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Bang_Ke\Tools\bang_ke\bly\"/>
    </mc:Choice>
  </mc:AlternateContent>
  <bookViews>
    <workbookView xWindow="0" yWindow="0" windowWidth="28800" windowHeight="11928" tabRatio="658" firstSheet="8" activeTab="12"/>
  </bookViews>
  <sheets>
    <sheet name="A CHAU" sheetId="1" state="hidden" r:id="rId1"/>
    <sheet name="FOLIOT" sheetId="4" state="hidden" r:id="rId2"/>
    <sheet name="SUNAGRO" sheetId="6" state="hidden" r:id="rId3"/>
    <sheet name="ZASI" sheetId="17" state="hidden" r:id="rId4"/>
    <sheet name="SONG LONG" sheetId="2" state="hidden" r:id="rId5"/>
    <sheet name="SONG LONG- XTC" sheetId="10" state="hidden" r:id="rId6"/>
    <sheet name="ĐẠI HÀO" sheetId="7" state="hidden" r:id="rId7"/>
    <sheet name="CHÍNH NGUYÊN" sheetId="8" state="hidden" r:id="rId8"/>
    <sheet name="LESSOHOME" sheetId="22" r:id="rId9"/>
    <sheet name="BLUELAKE" sheetId="23" r:id="rId10"/>
    <sheet name="MPF" sheetId="3" r:id="rId11"/>
    <sheet name="NOVA XUẤT" sheetId="14" r:id="rId12"/>
    <sheet name="NOVA NHẬP" sheetId="16" r:id="rId13"/>
    <sheet name="LIÊN Á" sheetId="15" r:id="rId14"/>
    <sheet name="VIETSTAR XTN - NTC" sheetId="18" r:id="rId15"/>
    <sheet name="VIET STAR NHẬP XUẤT" sheetId="19" r:id="rId16"/>
    <sheet name="LABEL" sheetId="5" r:id="rId17"/>
    <sheet name="VIETSTAR CHUYEN KHO" sheetId="20" r:id="rId18"/>
    <sheet name="CHÍNH NGUYÊN - NHẬP TC" sheetId="12" state="hidden" r:id="rId19"/>
    <sheet name="CHÍNH NGUYÊN - TÁI NHẬP" sheetId="11" state="hidden" r:id="rId20"/>
    <sheet name="HIGH POINT" sheetId="9" state="hidden" r:id="rId21"/>
  </sheets>
  <externalReferences>
    <externalReference r:id="rId22"/>
    <externalReference r:id="rId23"/>
  </externalReferences>
  <definedNames>
    <definedName name="_xlnm._FilterDatabase" localSheetId="9" hidden="1">BLUELAKE!$A$3:$AJ$3</definedName>
    <definedName name="_xlnm._FilterDatabase" localSheetId="7" hidden="1">'CHÍNH NGUYÊN'!$A$2:$AG$353</definedName>
    <definedName name="_xlnm._FilterDatabase" localSheetId="8" hidden="1">LESSOHOME!$A$3:$AO$3</definedName>
    <definedName name="_xlnm._FilterDatabase" localSheetId="10" hidden="1">MPF!$A$3:$AN$301</definedName>
    <definedName name="_xlnm._FilterDatabase" localSheetId="15" hidden="1">'VIET STAR NHẬP XUẤT'!$A$2:$AL$143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15" i="15" l="1"/>
  <c r="AF115" i="15" s="1"/>
  <c r="AE116" i="15"/>
  <c r="AF116" i="15" s="1"/>
  <c r="AE117" i="15"/>
  <c r="AF117" i="15" s="1"/>
  <c r="AC114" i="15"/>
  <c r="AC115" i="15"/>
  <c r="AC116" i="15"/>
  <c r="AC117" i="15"/>
  <c r="AI136" i="19" l="1"/>
  <c r="Z126" i="19"/>
  <c r="AI148" i="19"/>
  <c r="AI149" i="19"/>
  <c r="AI150" i="19"/>
  <c r="AI151" i="19"/>
  <c r="AJ151" i="19" s="1"/>
  <c r="AI152" i="19"/>
  <c r="AI153" i="19"/>
  <c r="AI139" i="19"/>
  <c r="AI140" i="19"/>
  <c r="AI141" i="19"/>
  <c r="AI142" i="19"/>
  <c r="AI143" i="19"/>
  <c r="AI144" i="19"/>
  <c r="Z113" i="18"/>
  <c r="Z112" i="18"/>
  <c r="AI138" i="19"/>
  <c r="AI133" i="19"/>
  <c r="AI145" i="19"/>
  <c r="AI146" i="19"/>
  <c r="AI147" i="19"/>
  <c r="AJ148" i="19"/>
  <c r="AJ149" i="19"/>
  <c r="AJ150" i="19"/>
  <c r="AJ152" i="19"/>
  <c r="AJ153" i="19"/>
  <c r="AI154" i="19"/>
  <c r="AJ154" i="19" s="1"/>
  <c r="AI155" i="19"/>
  <c r="AJ155" i="19" s="1"/>
  <c r="AI156" i="19"/>
  <c r="AJ156" i="19" s="1"/>
  <c r="AI157" i="19"/>
  <c r="AJ157" i="19" s="1"/>
  <c r="AI158" i="19"/>
  <c r="AJ158" i="19" s="1"/>
  <c r="AI159" i="19"/>
  <c r="AJ159" i="19" s="1"/>
  <c r="AI160" i="19"/>
  <c r="AJ160" i="19" s="1"/>
  <c r="AI161" i="19"/>
  <c r="AJ161" i="19" s="1"/>
  <c r="AI162" i="19"/>
  <c r="AJ162" i="19" s="1"/>
  <c r="AI163" i="19"/>
  <c r="AJ163" i="19" s="1"/>
  <c r="AI164" i="19"/>
  <c r="AJ164" i="19" s="1"/>
  <c r="AI165" i="19"/>
  <c r="AJ165" i="19" s="1"/>
  <c r="AI166" i="19"/>
  <c r="AJ166" i="19" s="1"/>
  <c r="AI167" i="19"/>
  <c r="AJ167" i="19" s="1"/>
  <c r="AI168" i="19"/>
  <c r="AJ168" i="19"/>
  <c r="AI169" i="19"/>
  <c r="AJ169" i="19" s="1"/>
  <c r="AI135" i="19"/>
  <c r="AI129" i="19"/>
  <c r="AG141" i="19" l="1"/>
  <c r="AJ141" i="19" s="1"/>
  <c r="AG140" i="19"/>
  <c r="AJ140" i="19" s="1"/>
  <c r="AB92" i="16" l="1"/>
  <c r="AE494" i="3" l="1"/>
  <c r="AE495" i="3"/>
  <c r="AE496" i="3"/>
  <c r="AE497" i="3"/>
  <c r="AE498" i="3"/>
  <c r="AE499" i="3"/>
  <c r="AE500" i="3"/>
  <c r="Z133" i="19" l="1"/>
  <c r="AF168" i="14" l="1"/>
  <c r="AF169" i="14"/>
  <c r="AF170" i="14"/>
  <c r="AF171" i="14"/>
  <c r="AF172" i="14"/>
  <c r="AE168" i="14"/>
  <c r="AE167" i="14"/>
  <c r="AE169" i="14"/>
  <c r="AE170" i="14"/>
  <c r="AE171" i="14"/>
  <c r="AE172" i="14"/>
  <c r="AB167" i="14"/>
  <c r="AB168" i="14"/>
  <c r="AB169" i="14"/>
  <c r="AB170" i="14"/>
  <c r="AB171" i="14"/>
  <c r="AB172" i="14"/>
  <c r="AB173" i="14"/>
  <c r="X91" i="16" l="1"/>
  <c r="Y112" i="18" l="1"/>
  <c r="Z105" i="18"/>
  <c r="Z106" i="18"/>
  <c r="Z107" i="18"/>
  <c r="Z108" i="18"/>
  <c r="Z109" i="18"/>
  <c r="Z110" i="18"/>
  <c r="Z111" i="18"/>
  <c r="Z104" i="18"/>
  <c r="AG139" i="19" l="1"/>
  <c r="AG138" i="19"/>
  <c r="AJ138" i="19" s="1"/>
  <c r="AG144" i="19"/>
  <c r="AJ144" i="19" s="1"/>
  <c r="AG145" i="19"/>
  <c r="AJ145" i="19" s="1"/>
  <c r="AG146" i="19"/>
  <c r="AJ146" i="19" s="1"/>
  <c r="AG147" i="19"/>
  <c r="AJ147" i="19" s="1"/>
  <c r="AG497" i="3" l="1"/>
  <c r="AG500" i="3"/>
  <c r="AG498" i="3"/>
  <c r="AG499" i="3"/>
  <c r="AB499" i="3"/>
  <c r="AF499" i="3" s="1"/>
  <c r="AC499" i="3"/>
  <c r="AB500" i="3"/>
  <c r="AC500" i="3"/>
  <c r="AF500" i="3" l="1"/>
  <c r="AE132" i="19"/>
  <c r="AI137" i="19" l="1"/>
  <c r="AJ139" i="19"/>
  <c r="AG135" i="19"/>
  <c r="AG136" i="19"/>
  <c r="AJ136" i="19" s="1"/>
  <c r="AG137" i="19"/>
  <c r="AG142" i="19"/>
  <c r="AJ142" i="19" s="1"/>
  <c r="AG143" i="19"/>
  <c r="AJ137" i="19" l="1"/>
  <c r="AJ143" i="19"/>
  <c r="AJ135" i="19"/>
  <c r="AE113" i="15"/>
  <c r="W113" i="15" l="1"/>
  <c r="A93" i="16" l="1"/>
  <c r="A94" i="16" s="1"/>
  <c r="A95" i="16" s="1"/>
  <c r="A96" i="16" s="1"/>
  <c r="AE114" i="15" l="1"/>
  <c r="AF114" i="15" s="1"/>
  <c r="AE166" i="14"/>
  <c r="AF167" i="14"/>
  <c r="AB166" i="14"/>
  <c r="AF166" i="14" l="1"/>
  <c r="A115" i="15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X86" i="16" l="1"/>
  <c r="AG125" i="19" l="1"/>
  <c r="AG124" i="19"/>
  <c r="Z103" i="18"/>
  <c r="AI122" i="19"/>
  <c r="Y103" i="18"/>
  <c r="Z98" i="18"/>
  <c r="Z99" i="18"/>
  <c r="Z100" i="18"/>
  <c r="Z101" i="18"/>
  <c r="Z102" i="18"/>
  <c r="AG7" i="23" l="1"/>
  <c r="AC497" i="3"/>
  <c r="AC498" i="3"/>
  <c r="AB497" i="3"/>
  <c r="AF497" i="3" s="1"/>
  <c r="AB498" i="3"/>
  <c r="AF498" i="3" s="1"/>
  <c r="AF92" i="16" l="1"/>
  <c r="AF94" i="16"/>
  <c r="AF95" i="16"/>
  <c r="AF96" i="16"/>
  <c r="AF97" i="16"/>
  <c r="AF98" i="16"/>
  <c r="AF99" i="16"/>
  <c r="AF100" i="16"/>
  <c r="AF101" i="16"/>
  <c r="AF102" i="16"/>
  <c r="AF103" i="16"/>
  <c r="AF104" i="16"/>
  <c r="AF105" i="16"/>
  <c r="AF106" i="16"/>
  <c r="AG106" i="16" s="1"/>
  <c r="AF107" i="16"/>
  <c r="AG107" i="16" s="1"/>
  <c r="AF91" i="16"/>
  <c r="AD92" i="16"/>
  <c r="AD94" i="16"/>
  <c r="AD95" i="16"/>
  <c r="AG95" i="16" s="1"/>
  <c r="AD96" i="16"/>
  <c r="AG96" i="16" s="1"/>
  <c r="AD97" i="16"/>
  <c r="AG97" i="16" s="1"/>
  <c r="AD98" i="16"/>
  <c r="AG98" i="16" s="1"/>
  <c r="AD99" i="16"/>
  <c r="AG99" i="16" s="1"/>
  <c r="AD100" i="16"/>
  <c r="AG100" i="16" s="1"/>
  <c r="AD101" i="16"/>
  <c r="AG101" i="16" s="1"/>
  <c r="AD102" i="16"/>
  <c r="AG102" i="16" s="1"/>
  <c r="AD103" i="16"/>
  <c r="AG103" i="16" s="1"/>
  <c r="AD104" i="16"/>
  <c r="AG104" i="16" s="1"/>
  <c r="AD105" i="16"/>
  <c r="AG105" i="16" s="1"/>
  <c r="AD91" i="16"/>
  <c r="AG94" i="16" l="1"/>
  <c r="AG92" i="16"/>
  <c r="AG91" i="16"/>
  <c r="AI127" i="19"/>
  <c r="AI128" i="19"/>
  <c r="AI130" i="19"/>
  <c r="AI131" i="19"/>
  <c r="AI132" i="19"/>
  <c r="AI134" i="19"/>
  <c r="AI126" i="19"/>
  <c r="AG127" i="19"/>
  <c r="AG128" i="19"/>
  <c r="AG130" i="19"/>
  <c r="AG129" i="19"/>
  <c r="AJ129" i="19" s="1"/>
  <c r="AG131" i="19"/>
  <c r="AG132" i="19"/>
  <c r="AJ132" i="19" s="1"/>
  <c r="AG133" i="19"/>
  <c r="AG134" i="19"/>
  <c r="AG126" i="19"/>
  <c r="AG122" i="19"/>
  <c r="AJ9" i="23"/>
  <c r="AJ128" i="19" l="1"/>
  <c r="AJ130" i="19"/>
  <c r="AJ126" i="19"/>
  <c r="AJ122" i="19"/>
  <c r="AJ134" i="19"/>
  <c r="AJ131" i="19"/>
  <c r="AJ133" i="19"/>
  <c r="AJ127" i="19"/>
  <c r="AE165" i="14"/>
  <c r="AB165" i="14"/>
  <c r="AF165" i="14" s="1"/>
  <c r="AB163" i="14"/>
  <c r="X88" i="16" l="1"/>
  <c r="X87" i="16"/>
  <c r="X85" i="16"/>
  <c r="A127" i="19" l="1"/>
  <c r="Y5" i="23" l="1"/>
  <c r="AB116" i="19" l="1"/>
  <c r="Z116" i="19"/>
  <c r="Y116" i="19"/>
  <c r="AE107" i="15" l="1"/>
  <c r="S109" i="15"/>
  <c r="AE106" i="15"/>
  <c r="S104" i="15"/>
  <c r="AE7" i="23" l="1"/>
  <c r="AE8" i="23"/>
  <c r="AE5" i="23"/>
  <c r="AG6" i="23"/>
  <c r="AE6" i="23"/>
  <c r="AE112" i="15" l="1"/>
  <c r="AC113" i="15"/>
  <c r="AC112" i="15"/>
  <c r="AE103" i="15"/>
  <c r="AE104" i="15"/>
  <c r="AE105" i="15"/>
  <c r="AE111" i="15"/>
  <c r="AE108" i="15"/>
  <c r="AE109" i="15"/>
  <c r="AE102" i="15"/>
  <c r="AC103" i="15"/>
  <c r="AC104" i="15"/>
  <c r="AC105" i="15"/>
  <c r="AC106" i="15"/>
  <c r="AF106" i="15" s="1"/>
  <c r="AC111" i="15"/>
  <c r="AC107" i="15"/>
  <c r="AF107" i="15" s="1"/>
  <c r="AC108" i="15"/>
  <c r="AC109" i="15"/>
  <c r="AC102" i="15"/>
  <c r="AF113" i="15" l="1"/>
  <c r="AF109" i="15"/>
  <c r="AF104" i="15"/>
  <c r="AF111" i="15"/>
  <c r="AF108" i="15"/>
  <c r="AF105" i="15"/>
  <c r="AF102" i="15"/>
  <c r="AF103" i="15"/>
  <c r="AF112" i="15"/>
  <c r="AH7" i="23"/>
  <c r="AB495" i="3"/>
  <c r="AC495" i="3"/>
  <c r="AB496" i="3"/>
  <c r="AC496" i="3"/>
  <c r="AC494" i="3"/>
  <c r="AC492" i="3"/>
  <c r="AB494" i="3"/>
  <c r="AG495" i="3"/>
  <c r="AG496" i="3"/>
  <c r="AG8" i="23"/>
  <c r="AG5" i="23"/>
  <c r="AJ4" i="23"/>
  <c r="AJ5" i="23"/>
  <c r="AJ6" i="23"/>
  <c r="AJ7" i="23"/>
  <c r="AJ8" i="23"/>
  <c r="AJ10" i="23"/>
  <c r="AJ11" i="23"/>
  <c r="AJ12" i="23"/>
  <c r="AJ13" i="23"/>
  <c r="AJ14" i="23"/>
  <c r="AJ15" i="23"/>
  <c r="AJ16" i="23"/>
  <c r="AJ17" i="23"/>
  <c r="AJ18" i="23"/>
  <c r="AJ19" i="23"/>
  <c r="AJ20" i="23"/>
  <c r="AJ21" i="23"/>
  <c r="AJ22" i="23"/>
  <c r="AJ23" i="23"/>
  <c r="AJ24" i="23"/>
  <c r="AJ25" i="23"/>
  <c r="AJ26" i="23"/>
  <c r="AJ27" i="23"/>
  <c r="AF496" i="3" l="1"/>
  <c r="AF495" i="3"/>
  <c r="AH8" i="23"/>
  <c r="AH6" i="23"/>
  <c r="AH5" i="23"/>
  <c r="AF7" i="22"/>
  <c r="AF9" i="22"/>
  <c r="AC9" i="22"/>
  <c r="AD9" i="22" s="1"/>
  <c r="AC7" i="22"/>
  <c r="AD7" i="22" s="1"/>
  <c r="AE154" i="14" l="1"/>
  <c r="AE164" i="14"/>
  <c r="AC164" i="14"/>
  <c r="AG89" i="16"/>
  <c r="AF89" i="16"/>
  <c r="AE161" i="14"/>
  <c r="AE162" i="14"/>
  <c r="AE163" i="14"/>
  <c r="AB162" i="14" l="1"/>
  <c r="AF162" i="14" s="1"/>
  <c r="AF163" i="14"/>
  <c r="AE153" i="14"/>
  <c r="AE492" i="3" l="1"/>
  <c r="AE491" i="3"/>
  <c r="AG494" i="3"/>
  <c r="AE490" i="3"/>
  <c r="AF494" i="3" l="1"/>
  <c r="AG491" i="3"/>
  <c r="AG492" i="3"/>
  <c r="AI116" i="19" l="1"/>
  <c r="AF88" i="16" l="1"/>
  <c r="AF87" i="16"/>
  <c r="AI120" i="19" l="1"/>
  <c r="AI118" i="19"/>
  <c r="AI119" i="19"/>
  <c r="AI121" i="19"/>
  <c r="AI117" i="19"/>
  <c r="AE120" i="19"/>
  <c r="AG9" i="22" l="1"/>
  <c r="AG7" i="22"/>
  <c r="B6" i="23" l="1"/>
  <c r="B7" i="23" s="1"/>
  <c r="B8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B132" i="23" s="1"/>
  <c r="B133" i="23" s="1"/>
  <c r="B134" i="23" s="1"/>
  <c r="B135" i="23" s="1"/>
  <c r="B136" i="23" s="1"/>
  <c r="B137" i="23" s="1"/>
  <c r="B138" i="23" s="1"/>
  <c r="B139" i="23" s="1"/>
  <c r="B140" i="23" s="1"/>
  <c r="B141" i="23" s="1"/>
  <c r="B142" i="23" s="1"/>
  <c r="B143" i="23" s="1"/>
  <c r="B144" i="23" s="1"/>
  <c r="B145" i="23" s="1"/>
  <c r="B146" i="23" s="1"/>
  <c r="B147" i="23" s="1"/>
  <c r="B148" i="23" s="1"/>
  <c r="B149" i="23" s="1"/>
  <c r="B150" i="23" s="1"/>
  <c r="B151" i="23" s="1"/>
  <c r="B152" i="23" s="1"/>
  <c r="B153" i="23" s="1"/>
  <c r="B154" i="23" s="1"/>
  <c r="B155" i="23" s="1"/>
  <c r="B156" i="23" s="1"/>
  <c r="B157" i="23" s="1"/>
  <c r="B158" i="23" s="1"/>
  <c r="B159" i="23" s="1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B262" i="23" s="1"/>
  <c r="B263" i="23" s="1"/>
  <c r="B264" i="23" s="1"/>
  <c r="B265" i="23" s="1"/>
  <c r="B266" i="23" s="1"/>
  <c r="B267" i="23" s="1"/>
  <c r="B268" i="23" s="1"/>
  <c r="B269" i="23" s="1"/>
  <c r="B270" i="23" s="1"/>
  <c r="B271" i="23" s="1"/>
  <c r="AE156" i="14"/>
  <c r="AE157" i="14"/>
  <c r="AE158" i="14"/>
  <c r="AE159" i="14"/>
  <c r="AE160" i="14"/>
  <c r="AB161" i="14"/>
  <c r="AF161" i="14" l="1"/>
  <c r="AG120" i="19"/>
  <c r="AJ120" i="19" s="1"/>
  <c r="AG121" i="19"/>
  <c r="AJ121" i="19" s="1"/>
  <c r="Z87" i="18" l="1"/>
  <c r="Z88" i="18"/>
  <c r="Z89" i="18"/>
  <c r="Z90" i="18"/>
  <c r="Z91" i="18"/>
  <c r="Z92" i="18"/>
  <c r="Z93" i="18"/>
  <c r="Z94" i="18"/>
  <c r="Z95" i="18"/>
  <c r="Z96" i="18"/>
  <c r="Z97" i="18"/>
  <c r="Z86" i="18"/>
  <c r="AI115" i="19"/>
  <c r="AI114" i="19"/>
  <c r="AI110" i="19"/>
  <c r="AI113" i="19"/>
  <c r="AI100" i="19" l="1"/>
  <c r="AG102" i="19"/>
  <c r="AG103" i="19"/>
  <c r="AG104" i="19"/>
  <c r="AG105" i="19"/>
  <c r="AG106" i="19"/>
  <c r="AG108" i="19"/>
  <c r="AG109" i="19"/>
  <c r="AG110" i="19"/>
  <c r="AG111" i="19"/>
  <c r="AG112" i="19"/>
  <c r="AG113" i="19"/>
  <c r="AG118" i="19"/>
  <c r="AJ118" i="19" s="1"/>
  <c r="AG119" i="19"/>
  <c r="AJ119" i="19" s="1"/>
  <c r="AG114" i="19"/>
  <c r="AG115" i="19"/>
  <c r="AJ115" i="19" s="1"/>
  <c r="AG116" i="19"/>
  <c r="AG117" i="19"/>
  <c r="AJ117" i="19" s="1"/>
  <c r="AG101" i="19"/>
  <c r="AG98" i="19"/>
  <c r="AG97" i="19"/>
  <c r="AG95" i="19"/>
  <c r="AI107" i="19"/>
  <c r="AI111" i="19"/>
  <c r="AI112" i="19"/>
  <c r="AI104" i="19"/>
  <c r="AI103" i="19"/>
  <c r="AJ103" i="19" l="1"/>
  <c r="AJ100" i="19"/>
  <c r="AJ112" i="19"/>
  <c r="AJ113" i="19"/>
  <c r="AJ114" i="19"/>
  <c r="AJ116" i="19"/>
  <c r="AJ111" i="19"/>
  <c r="AF86" i="16" l="1"/>
  <c r="X83" i="16" l="1"/>
  <c r="AB160" i="14" l="1"/>
  <c r="AF160" i="14" s="1"/>
  <c r="AB155" i="14"/>
  <c r="AB156" i="14"/>
  <c r="AF156" i="14" s="1"/>
  <c r="AB157" i="14"/>
  <c r="AF157" i="14" s="1"/>
  <c r="AB158" i="14"/>
  <c r="AF158" i="14" s="1"/>
  <c r="AB159" i="14"/>
  <c r="AF159" i="14" l="1"/>
  <c r="AJ98" i="19"/>
  <c r="AB85" i="16" l="1"/>
  <c r="X84" i="16" l="1"/>
  <c r="X80" i="16"/>
  <c r="X79" i="16"/>
  <c r="AC491" i="3"/>
  <c r="AB491" i="3"/>
  <c r="AF491" i="3" s="1"/>
  <c r="AB492" i="3"/>
  <c r="AF492" i="3" s="1"/>
  <c r="W490" i="3"/>
  <c r="AB79" i="16" l="1"/>
  <c r="W84" i="16" l="1"/>
  <c r="AD87" i="16" l="1"/>
  <c r="AG87" i="16" s="1"/>
  <c r="AD86" i="16"/>
  <c r="AD88" i="16"/>
  <c r="AG88" i="16" l="1"/>
  <c r="AG86" i="16"/>
  <c r="AI108" i="19"/>
  <c r="AJ108" i="19" s="1"/>
  <c r="AI109" i="19"/>
  <c r="AJ109" i="19" s="1"/>
  <c r="AJ110" i="19"/>
  <c r="AB153" i="14" l="1"/>
  <c r="AB154" i="14"/>
  <c r="AB152" i="14"/>
  <c r="AE155" i="14"/>
  <c r="AF155" i="14" s="1"/>
  <c r="AE152" i="14"/>
  <c r="AE148" i="14"/>
  <c r="AF154" i="14" l="1"/>
  <c r="AF152" i="14"/>
  <c r="AF153" i="14"/>
  <c r="X107" i="19"/>
  <c r="AG107" i="19" s="1"/>
  <c r="AG123" i="19" s="1"/>
  <c r="AF164" i="14" l="1"/>
  <c r="AF82" i="16"/>
  <c r="AD82" i="16"/>
  <c r="AG82" i="16" l="1"/>
  <c r="V79" i="16"/>
  <c r="AF81" i="16" l="1"/>
  <c r="AF90" i="16" s="1"/>
  <c r="AF85" i="16"/>
  <c r="AF83" i="16"/>
  <c r="AF84" i="16"/>
  <c r="AF80" i="16"/>
  <c r="AF78" i="16"/>
  <c r="AF79" i="16"/>
  <c r="A153" i="14" l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6" i="14" s="1"/>
  <c r="A167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G74" i="19" l="1"/>
  <c r="AD80" i="16" l="1"/>
  <c r="AD81" i="16"/>
  <c r="AG81" i="16" s="1"/>
  <c r="AD85" i="16"/>
  <c r="AD83" i="16"/>
  <c r="AG83" i="16" s="1"/>
  <c r="AD84" i="16"/>
  <c r="AG84" i="16" s="1"/>
  <c r="AG80" i="16" l="1"/>
  <c r="AD90" i="16"/>
  <c r="AG85" i="16"/>
  <c r="AI106" i="19"/>
  <c r="AJ106" i="19" s="1"/>
  <c r="X74" i="16" l="1"/>
  <c r="AJ107" i="19" l="1"/>
  <c r="AI105" i="19"/>
  <c r="AJ105" i="19" l="1"/>
  <c r="AJ96" i="19"/>
  <c r="AE139" i="14" l="1"/>
  <c r="AE138" i="14"/>
  <c r="AE136" i="14"/>
  <c r="AJ104" i="19" l="1"/>
  <c r="AF76" i="16" l="1"/>
  <c r="AG76" i="16" s="1"/>
  <c r="AJ97" i="19" l="1"/>
  <c r="AI87" i="19"/>
  <c r="AI66" i="19"/>
  <c r="AI65" i="19"/>
  <c r="Z82" i="18"/>
  <c r="Z83" i="18"/>
  <c r="Z84" i="18"/>
  <c r="Z81" i="18"/>
  <c r="AI89" i="19"/>
  <c r="AI82" i="19" l="1"/>
  <c r="AI83" i="19"/>
  <c r="AI81" i="19"/>
  <c r="Z79" i="19" l="1"/>
  <c r="AI68" i="19"/>
  <c r="AG65" i="19"/>
  <c r="AG66" i="19"/>
  <c r="AJ95" i="19" l="1"/>
  <c r="A103" i="19"/>
  <c r="AI102" i="19"/>
  <c r="AI101" i="19"/>
  <c r="AI123" i="19" s="1"/>
  <c r="AJ101" i="19" l="1"/>
  <c r="AJ102" i="19"/>
  <c r="X72" i="16"/>
  <c r="X70" i="16"/>
  <c r="AJ123" i="19" l="1"/>
  <c r="X69" i="16"/>
  <c r="AE147" i="14" l="1"/>
  <c r="AE149" i="14"/>
  <c r="AB145" i="14"/>
  <c r="AB146" i="14"/>
  <c r="AB147" i="14"/>
  <c r="AB148" i="14"/>
  <c r="AB149" i="14"/>
  <c r="AF149" i="14" l="1"/>
  <c r="AE143" i="14"/>
  <c r="AE144" i="14"/>
  <c r="AE145" i="14"/>
  <c r="AE146" i="14"/>
  <c r="AE142" i="14"/>
  <c r="AE137" i="14"/>
  <c r="AE140" i="14"/>
  <c r="AE141" i="14"/>
  <c r="AE98" i="15" l="1"/>
  <c r="X98" i="15"/>
  <c r="AB143" i="14" l="1"/>
  <c r="AF143" i="14" s="1"/>
  <c r="AB144" i="14"/>
  <c r="AF144" i="14" s="1"/>
  <c r="AF145" i="14"/>
  <c r="AF147" i="14"/>
  <c r="AF148" i="14"/>
  <c r="AF73" i="16"/>
  <c r="AF146" i="14" l="1"/>
  <c r="AF75" i="16"/>
  <c r="AF74" i="16"/>
  <c r="A79" i="16"/>
  <c r="A80" i="16" s="1"/>
  <c r="A81" i="16" s="1"/>
  <c r="A82" i="16" s="1"/>
  <c r="A83" i="16" l="1"/>
  <c r="A84" i="16" s="1"/>
  <c r="A85" i="16" s="1"/>
  <c r="A86" i="16" s="1"/>
  <c r="A87" i="16" s="1"/>
  <c r="A88" i="16" s="1"/>
  <c r="A92" i="16" s="1"/>
  <c r="AG85" i="19"/>
  <c r="AD78" i="16" l="1"/>
  <c r="AG78" i="16" l="1"/>
  <c r="AF5" i="22"/>
  <c r="AF8" i="22" s="1"/>
  <c r="AE99" i="15" l="1"/>
  <c r="AC100" i="15" l="1"/>
  <c r="AE100" i="15"/>
  <c r="AF100" i="15" l="1"/>
  <c r="N149" i="5" l="1"/>
  <c r="O149" i="5"/>
  <c r="O147" i="5"/>
  <c r="N147" i="5"/>
  <c r="N140" i="5"/>
  <c r="N145" i="5"/>
  <c r="O148" i="5"/>
  <c r="O146" i="5"/>
  <c r="AC5" i="22"/>
  <c r="AE487" i="3" l="1"/>
  <c r="AI85" i="19" l="1"/>
  <c r="AJ85" i="19" s="1"/>
  <c r="AG88" i="19"/>
  <c r="AG89" i="19"/>
  <c r="AG90" i="19"/>
  <c r="AG91" i="19"/>
  <c r="AG92" i="19"/>
  <c r="AG93" i="19"/>
  <c r="AG87" i="19"/>
  <c r="AI88" i="19"/>
  <c r="AI90" i="19"/>
  <c r="AI91" i="19"/>
  <c r="AI92" i="19"/>
  <c r="AI93" i="19"/>
  <c r="AJ90" i="19" l="1"/>
  <c r="AJ92" i="19"/>
  <c r="AJ88" i="19"/>
  <c r="AJ89" i="19"/>
  <c r="AJ87" i="19"/>
  <c r="AJ93" i="19"/>
  <c r="AJ91" i="19"/>
  <c r="W487" i="3"/>
  <c r="AD5" i="22" l="1"/>
  <c r="AG5" i="22" s="1"/>
  <c r="AG8" i="22" s="1"/>
  <c r="AE93" i="15"/>
  <c r="AE488" i="3" l="1"/>
  <c r="AG488" i="3" s="1"/>
  <c r="AG490" i="3"/>
  <c r="AB486" i="3"/>
  <c r="AC486" i="3"/>
  <c r="AB487" i="3"/>
  <c r="AC487" i="3"/>
  <c r="AB488" i="3"/>
  <c r="AC488" i="3"/>
  <c r="AB490" i="3"/>
  <c r="AF490" i="3" s="1"/>
  <c r="AC490" i="3"/>
  <c r="AF487" i="3" l="1"/>
  <c r="AF488" i="3"/>
  <c r="AG487" i="3"/>
  <c r="AG64" i="19"/>
  <c r="AJ64" i="19" s="1"/>
  <c r="A64" i="19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J65" i="19" l="1"/>
  <c r="AJ66" i="19"/>
  <c r="AE96" i="15" l="1"/>
  <c r="AC99" i="15"/>
  <c r="AF99" i="15" s="1"/>
  <c r="S94" i="15"/>
  <c r="AE484" i="3" l="1"/>
  <c r="AG484" i="3" l="1"/>
  <c r="AE482" i="3"/>
  <c r="AG482" i="3" s="1"/>
  <c r="AE483" i="3"/>
  <c r="AG483" i="3" s="1"/>
  <c r="AE485" i="3"/>
  <c r="AE489" i="3" s="1"/>
  <c r="AE493" i="3" s="1"/>
  <c r="AE486" i="3"/>
  <c r="AG486" i="3" s="1"/>
  <c r="AG485" i="3" l="1"/>
  <c r="AG489" i="3" s="1"/>
  <c r="AG493" i="3" s="1"/>
  <c r="AF486" i="3"/>
  <c r="AI84" i="19"/>
  <c r="AI80" i="19"/>
  <c r="AI79" i="19"/>
  <c r="AI78" i="19"/>
  <c r="AG80" i="19"/>
  <c r="AG81" i="19"/>
  <c r="AJ81" i="19" s="1"/>
  <c r="AG82" i="19"/>
  <c r="AJ82" i="19" s="1"/>
  <c r="AG83" i="19"/>
  <c r="AG84" i="19"/>
  <c r="AJ80" i="19" l="1"/>
  <c r="AJ83" i="19"/>
  <c r="AJ84" i="19"/>
  <c r="W93" i="15"/>
  <c r="AG63" i="19" l="1"/>
  <c r="AJ63" i="19" s="1"/>
  <c r="Y80" i="18"/>
  <c r="Z78" i="18"/>
  <c r="Z79" i="18"/>
  <c r="Z80" i="18" l="1"/>
  <c r="Y85" i="18"/>
  <c r="AE79" i="19"/>
  <c r="AD70" i="16" l="1"/>
  <c r="AD71" i="16"/>
  <c r="AD72" i="16"/>
  <c r="AD73" i="16"/>
  <c r="AG73" i="16" s="1"/>
  <c r="AF71" i="16" l="1"/>
  <c r="AG71" i="16" s="1"/>
  <c r="Z77" i="18" l="1"/>
  <c r="AI72" i="19"/>
  <c r="Z71" i="19" l="1"/>
  <c r="AB485" i="3"/>
  <c r="AF485" i="3" s="1"/>
  <c r="AC485" i="3"/>
  <c r="X68" i="16" l="1"/>
  <c r="AB141" i="14" l="1"/>
  <c r="AF141" i="14" s="1"/>
  <c r="AB142" i="14"/>
  <c r="AF142" i="14" s="1"/>
  <c r="Z73" i="18" l="1"/>
  <c r="Z74" i="18"/>
  <c r="Z75" i="18"/>
  <c r="Z76" i="18"/>
  <c r="AI75" i="19"/>
  <c r="AI74" i="19"/>
  <c r="AG71" i="19"/>
  <c r="AI77" i="19"/>
  <c r="AI76" i="19"/>
  <c r="AI70" i="19"/>
  <c r="AI71" i="19"/>
  <c r="AI73" i="19"/>
  <c r="AG70" i="19"/>
  <c r="AG72" i="19"/>
  <c r="AG75" i="19"/>
  <c r="AG77" i="19"/>
  <c r="AG78" i="19"/>
  <c r="AG79" i="19"/>
  <c r="AB138" i="14" l="1"/>
  <c r="AB139" i="14"/>
  <c r="AB140" i="14"/>
  <c r="AF140" i="14" l="1"/>
  <c r="AB151" i="14"/>
  <c r="AC98" i="15"/>
  <c r="AC97" i="15"/>
  <c r="AF98" i="15" l="1"/>
  <c r="AF138" i="14"/>
  <c r="AF139" i="14"/>
  <c r="AB482" i="3"/>
  <c r="AF482" i="3" s="1"/>
  <c r="AB483" i="3"/>
  <c r="AF483" i="3" s="1"/>
  <c r="AB484" i="3"/>
  <c r="AF484" i="3" s="1"/>
  <c r="AB481" i="3"/>
  <c r="AC482" i="3"/>
  <c r="AC483" i="3"/>
  <c r="AC484" i="3"/>
  <c r="AF489" i="3" l="1"/>
  <c r="AF493" i="3" s="1"/>
  <c r="AJ78" i="19"/>
  <c r="Z68" i="18"/>
  <c r="Z69" i="18"/>
  <c r="Z70" i="18"/>
  <c r="Z71" i="18"/>
  <c r="Z72" i="18"/>
  <c r="Z67" i="18"/>
  <c r="AE94" i="15"/>
  <c r="AE95" i="15"/>
  <c r="AE97" i="15"/>
  <c r="AF97" i="15" s="1"/>
  <c r="AC94" i="15"/>
  <c r="AC95" i="15"/>
  <c r="AC96" i="15"/>
  <c r="AF95" i="15" l="1"/>
  <c r="Z85" i="18"/>
  <c r="AF96" i="15"/>
  <c r="AF94" i="15"/>
  <c r="AB136" i="14"/>
  <c r="AF136" i="14" s="1"/>
  <c r="AB137" i="14"/>
  <c r="AF137" i="14" s="1"/>
  <c r="AE73" i="19" l="1"/>
  <c r="AG73" i="19" s="1"/>
  <c r="AJ77" i="19" l="1"/>
  <c r="AJ79" i="19"/>
  <c r="AC76" i="19"/>
  <c r="AG76" i="19" s="1"/>
  <c r="AJ76" i="19" l="1"/>
  <c r="AJ75" i="19" l="1"/>
  <c r="AE481" i="3"/>
  <c r="AG481" i="3" s="1"/>
  <c r="AC481" i="3"/>
  <c r="AE135" i="14"/>
  <c r="AE151" i="14" s="1"/>
  <c r="AB135" i="14"/>
  <c r="AF135" i="14" l="1"/>
  <c r="AF151" i="14" s="1"/>
  <c r="AJ74" i="19"/>
  <c r="AF481" i="3"/>
  <c r="AG68" i="19"/>
  <c r="A79" i="19" l="1"/>
  <c r="A80" i="19" s="1"/>
  <c r="A81" i="19" s="1"/>
  <c r="A83" i="19" s="1"/>
  <c r="A82" i="19" s="1"/>
  <c r="A84" i="19" s="1"/>
  <c r="A85" i="19" s="1"/>
  <c r="A87" i="19" s="1"/>
  <c r="AJ68" i="19"/>
  <c r="W85" i="15"/>
  <c r="A88" i="19" l="1"/>
  <c r="A89" i="19" s="1"/>
  <c r="AB133" i="14"/>
  <c r="AJ70" i="19"/>
  <c r="AG67" i="19"/>
  <c r="AJ67" i="19" s="1"/>
  <c r="A104" i="19" l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W91" i="15"/>
  <c r="A128" i="19" l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W90" i="15"/>
  <c r="Z65" i="18" l="1"/>
  <c r="Z55" i="19" l="1"/>
  <c r="Z54" i="19" l="1"/>
  <c r="AI69" i="19" l="1"/>
  <c r="AI94" i="19" s="1"/>
  <c r="AG69" i="19"/>
  <c r="AJ71" i="19"/>
  <c r="AJ73" i="19"/>
  <c r="AJ69" i="19" l="1"/>
  <c r="AJ72" i="19"/>
  <c r="Z64" i="18"/>
  <c r="AG61" i="19"/>
  <c r="AG60" i="19"/>
  <c r="AI60" i="19"/>
  <c r="AE91" i="15"/>
  <c r="AJ60" i="19" l="1"/>
  <c r="A40" i="19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E132" i="14" l="1"/>
  <c r="AF132" i="14" s="1"/>
  <c r="Y63" i="18"/>
  <c r="Z63" i="18" s="1"/>
  <c r="Z59" i="18"/>
  <c r="Z60" i="18"/>
  <c r="Z61" i="18"/>
  <c r="Z62" i="18"/>
  <c r="S90" i="15" l="1"/>
  <c r="AE90" i="15" s="1"/>
  <c r="AC65" i="16" l="1"/>
  <c r="AE131" i="14" l="1"/>
  <c r="AD61" i="16"/>
  <c r="AG61" i="16" s="1"/>
  <c r="K61" i="16"/>
  <c r="AB131" i="14" l="1"/>
  <c r="AF131" i="14" s="1"/>
  <c r="AE477" i="3" l="1"/>
  <c r="AE475" i="3"/>
  <c r="AE476" i="3"/>
  <c r="AE478" i="3"/>
  <c r="AE479" i="3"/>
  <c r="AE474" i="3"/>
  <c r="AE480" i="3" l="1"/>
  <c r="AE88" i="15"/>
  <c r="AE89" i="15"/>
  <c r="AE87" i="15"/>
  <c r="AG479" i="3" l="1"/>
  <c r="AB478" i="3"/>
  <c r="AC478" i="3"/>
  <c r="AB479" i="3"/>
  <c r="AC479" i="3"/>
  <c r="AF478" i="3" l="1"/>
  <c r="AG478" i="3"/>
  <c r="AF479" i="3"/>
  <c r="AI61" i="19"/>
  <c r="AJ61" i="19" s="1"/>
  <c r="AG56" i="19" l="1"/>
  <c r="AG57" i="19"/>
  <c r="AG58" i="19"/>
  <c r="AG59" i="19"/>
  <c r="AI56" i="19" l="1"/>
  <c r="AI55" i="19"/>
  <c r="AI57" i="19"/>
  <c r="AJ57" i="19" s="1"/>
  <c r="AI58" i="19"/>
  <c r="AJ58" i="19" s="1"/>
  <c r="AI59" i="19"/>
  <c r="AJ59" i="19" s="1"/>
  <c r="AI54" i="19"/>
  <c r="AJ56" i="19"/>
  <c r="Z47" i="19" l="1"/>
  <c r="AF68" i="16" l="1"/>
  <c r="AF70" i="16"/>
  <c r="AF69" i="16"/>
  <c r="AF72" i="16"/>
  <c r="AE130" i="14"/>
  <c r="AE127" i="14" l="1"/>
  <c r="AF62" i="16"/>
  <c r="J122" i="14" l="1"/>
  <c r="AB477" i="3" l="1"/>
  <c r="AC477" i="3"/>
  <c r="AD68" i="16" l="1"/>
  <c r="AD69" i="16"/>
  <c r="AD74" i="16"/>
  <c r="AG74" i="16" s="1"/>
  <c r="AD75" i="16"/>
  <c r="AG75" i="16" s="1"/>
  <c r="AD79" i="16"/>
  <c r="AG79" i="16" s="1"/>
  <c r="AD77" i="16" l="1"/>
  <c r="AG475" i="3"/>
  <c r="AG476" i="3"/>
  <c r="AF477" i="3"/>
  <c r="AG477" i="3"/>
  <c r="AG474" i="3"/>
  <c r="AC475" i="3"/>
  <c r="AC476" i="3"/>
  <c r="AC474" i="3"/>
  <c r="AB475" i="3"/>
  <c r="AF475" i="3" s="1"/>
  <c r="AB476" i="3"/>
  <c r="AF476" i="3" s="1"/>
  <c r="AB474" i="3"/>
  <c r="AF474" i="3" s="1"/>
  <c r="AB472" i="3"/>
  <c r="Y56" i="18"/>
  <c r="Y66" i="18" s="1"/>
  <c r="Z51" i="18"/>
  <c r="Z52" i="18"/>
  <c r="Z53" i="18"/>
  <c r="Z54" i="18"/>
  <c r="Z55" i="18"/>
  <c r="Z57" i="18"/>
  <c r="Z58" i="18"/>
  <c r="Z50" i="18"/>
  <c r="AI53" i="19"/>
  <c r="AI49" i="19"/>
  <c r="AI48" i="19"/>
  <c r="AI51" i="19"/>
  <c r="AI46" i="19"/>
  <c r="AI44" i="19"/>
  <c r="AI43" i="19"/>
  <c r="AG43" i="19"/>
  <c r="AI41" i="19"/>
  <c r="AG31" i="19"/>
  <c r="AG54" i="19"/>
  <c r="AJ54" i="19" s="1"/>
  <c r="Z56" i="18" l="1"/>
  <c r="Z66" i="18"/>
  <c r="AJ43" i="19"/>
  <c r="AG51" i="19"/>
  <c r="AJ51" i="19" s="1"/>
  <c r="AE129" i="14" l="1"/>
  <c r="AB129" i="14"/>
  <c r="J129" i="14"/>
  <c r="AF129" i="14" l="1"/>
  <c r="AG48" i="19"/>
  <c r="AG49" i="19"/>
  <c r="AG53" i="19"/>
  <c r="AG50" i="19"/>
  <c r="AG55" i="19"/>
  <c r="AG52" i="19"/>
  <c r="Z45" i="19"/>
  <c r="AG45" i="19" s="1"/>
  <c r="X62" i="16" l="1"/>
  <c r="AE47" i="19" l="1"/>
  <c r="AI47" i="19" l="1"/>
  <c r="AJ48" i="19"/>
  <c r="AJ49" i="19"/>
  <c r="AJ53" i="19"/>
  <c r="AI50" i="19"/>
  <c r="AJ50" i="19" s="1"/>
  <c r="AJ55" i="19"/>
  <c r="AI52" i="19"/>
  <c r="AJ52" i="19" s="1"/>
  <c r="AB130" i="14"/>
  <c r="AF130" i="14" s="1"/>
  <c r="AG46" i="19" l="1"/>
  <c r="AJ46" i="19" s="1"/>
  <c r="AG47" i="19"/>
  <c r="AJ47" i="19" s="1"/>
  <c r="AE85" i="15" l="1"/>
  <c r="AC86" i="15"/>
  <c r="AE86" i="15"/>
  <c r="AC87" i="15"/>
  <c r="AC88" i="15"/>
  <c r="AC90" i="15"/>
  <c r="AF90" i="15" s="1"/>
  <c r="AC91" i="15"/>
  <c r="AF91" i="15" s="1"/>
  <c r="AC89" i="15"/>
  <c r="AC93" i="15"/>
  <c r="AC85" i="15"/>
  <c r="AC101" i="14"/>
  <c r="AE120" i="14"/>
  <c r="AE126" i="14"/>
  <c r="AB126" i="14"/>
  <c r="AF126" i="14" s="1"/>
  <c r="J126" i="14"/>
  <c r="AF93" i="15" l="1"/>
  <c r="AF86" i="15"/>
  <c r="AF89" i="15"/>
  <c r="AF88" i="15"/>
  <c r="AF85" i="15"/>
  <c r="AF87" i="15"/>
  <c r="AE128" i="14" l="1"/>
  <c r="AB128" i="14"/>
  <c r="AF128" i="14" l="1"/>
  <c r="AI38" i="19"/>
  <c r="AI40" i="19"/>
  <c r="AI37" i="19"/>
  <c r="AI36" i="19"/>
  <c r="AG38" i="19"/>
  <c r="AG37" i="19"/>
  <c r="AG36" i="19"/>
  <c r="AJ37" i="19" l="1"/>
  <c r="AJ38" i="19"/>
  <c r="AJ36" i="19"/>
  <c r="B7" i="22" l="1"/>
  <c r="B10" i="22" l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B172" i="22" s="1"/>
  <c r="B173" i="22" s="1"/>
  <c r="B174" i="22" s="1"/>
  <c r="B175" i="22" s="1"/>
  <c r="B176" i="22" s="1"/>
  <c r="B177" i="22" s="1"/>
  <c r="B178" i="22" s="1"/>
  <c r="B179" i="22" s="1"/>
  <c r="B180" i="22" s="1"/>
  <c r="B181" i="22" s="1"/>
  <c r="B182" i="22" s="1"/>
  <c r="B183" i="22" s="1"/>
  <c r="B184" i="22" s="1"/>
  <c r="B185" i="22" s="1"/>
  <c r="B186" i="22" s="1"/>
  <c r="B187" i="22" s="1"/>
  <c r="B188" i="22" s="1"/>
  <c r="B189" i="22" s="1"/>
  <c r="B190" i="22" s="1"/>
  <c r="B191" i="22" s="1"/>
  <c r="B192" i="22" s="1"/>
  <c r="B193" i="22" s="1"/>
  <c r="B194" i="22" s="1"/>
  <c r="B195" i="22" s="1"/>
  <c r="B196" i="22" s="1"/>
  <c r="B197" i="22" s="1"/>
  <c r="B198" i="22" s="1"/>
  <c r="B199" i="22" s="1"/>
  <c r="B200" i="22" s="1"/>
  <c r="B201" i="22" s="1"/>
  <c r="B202" i="22" s="1"/>
  <c r="B203" i="22" s="1"/>
  <c r="B204" i="22" s="1"/>
  <c r="B205" i="22" s="1"/>
  <c r="B206" i="22" s="1"/>
  <c r="B207" i="22" s="1"/>
  <c r="B208" i="22" s="1"/>
  <c r="B209" i="22" s="1"/>
  <c r="B210" i="22" s="1"/>
  <c r="B211" i="22" s="1"/>
  <c r="B212" i="22" s="1"/>
  <c r="B213" i="22" s="1"/>
  <c r="B214" i="22" s="1"/>
  <c r="B215" i="22" s="1"/>
  <c r="B216" i="22" s="1"/>
  <c r="B217" i="22" s="1"/>
  <c r="B218" i="22" s="1"/>
  <c r="B219" i="22" s="1"/>
  <c r="B220" i="22" s="1"/>
  <c r="B221" i="22" s="1"/>
  <c r="B222" i="22" s="1"/>
  <c r="B223" i="22" s="1"/>
  <c r="B224" i="22" s="1"/>
  <c r="B225" i="22" s="1"/>
  <c r="B226" i="22" s="1"/>
  <c r="B227" i="22" s="1"/>
  <c r="B228" i="22" s="1"/>
  <c r="B229" i="22" s="1"/>
  <c r="B230" i="22" s="1"/>
  <c r="B231" i="22" s="1"/>
  <c r="B232" i="22" s="1"/>
  <c r="B233" i="22" s="1"/>
  <c r="B234" i="22" s="1"/>
  <c r="B235" i="22" s="1"/>
  <c r="B236" i="22" s="1"/>
  <c r="B237" i="22" s="1"/>
  <c r="B238" i="22" s="1"/>
  <c r="B239" i="22" s="1"/>
  <c r="B240" i="22" s="1"/>
  <c r="B241" i="22" s="1"/>
  <c r="B242" i="22" s="1"/>
  <c r="B243" i="22" s="1"/>
  <c r="B244" i="22" s="1"/>
  <c r="B245" i="22" s="1"/>
  <c r="B246" i="22" s="1"/>
  <c r="B247" i="22" s="1"/>
  <c r="B248" i="22" s="1"/>
  <c r="B249" i="22" s="1"/>
  <c r="B250" i="22" s="1"/>
  <c r="B251" i="22" s="1"/>
  <c r="B252" i="22" s="1"/>
  <c r="B253" i="22" s="1"/>
  <c r="B254" i="22" s="1"/>
  <c r="B255" i="22" s="1"/>
  <c r="B256" i="22" s="1"/>
  <c r="B257" i="22" s="1"/>
  <c r="B258" i="22" s="1"/>
  <c r="B259" i="22" s="1"/>
  <c r="B260" i="22" s="1"/>
  <c r="B261" i="22" s="1"/>
  <c r="B262" i="22" s="1"/>
  <c r="B263" i="22" s="1"/>
  <c r="B264" i="22" s="1"/>
  <c r="B265" i="22" s="1"/>
  <c r="B266" i="22" s="1"/>
  <c r="B267" i="22" s="1"/>
  <c r="B268" i="22" s="1"/>
  <c r="B269" i="22" s="1"/>
  <c r="B270" i="22" s="1"/>
  <c r="B271" i="22" s="1"/>
  <c r="B272" i="22" s="1"/>
  <c r="B273" i="22" s="1"/>
  <c r="B274" i="22" s="1"/>
  <c r="B275" i="22" s="1"/>
  <c r="B276" i="22" s="1"/>
  <c r="B277" i="22" s="1"/>
  <c r="B278" i="22" s="1"/>
  <c r="AB120" i="14"/>
  <c r="AD55" i="16"/>
  <c r="AD56" i="16"/>
  <c r="AD57" i="16"/>
  <c r="AD58" i="16"/>
  <c r="AD59" i="16"/>
  <c r="AB127" i="14" l="1"/>
  <c r="AF127" i="14" s="1"/>
  <c r="J127" i="14"/>
  <c r="Z34" i="19" l="1"/>
  <c r="AG39" i="19" l="1"/>
  <c r="AJ39" i="19" s="1"/>
  <c r="Z40" i="19" l="1"/>
  <c r="Y40" i="19"/>
  <c r="AI32" i="19"/>
  <c r="AE469" i="3" l="1"/>
  <c r="AE470" i="3"/>
  <c r="AE471" i="3"/>
  <c r="AE472" i="3"/>
  <c r="AE473" i="3" l="1"/>
  <c r="AG32" i="19"/>
  <c r="AG33" i="19"/>
  <c r="AG34" i="19"/>
  <c r="AG41" i="19"/>
  <c r="AG44" i="19"/>
  <c r="AG42" i="19"/>
  <c r="AI34" i="19"/>
  <c r="AI42" i="19"/>
  <c r="AI45" i="19"/>
  <c r="AJ45" i="19" s="1"/>
  <c r="AI62" i="19" l="1"/>
  <c r="AJ42" i="19"/>
  <c r="AJ34" i="19"/>
  <c r="AJ44" i="19"/>
  <c r="AJ41" i="19"/>
  <c r="AE81" i="15"/>
  <c r="Z48" i="18" l="1"/>
  <c r="AG40" i="19" l="1"/>
  <c r="AJ40" i="19" s="1"/>
  <c r="Z46" i="18" l="1"/>
  <c r="Z47" i="18"/>
  <c r="AI31" i="19"/>
  <c r="AF63" i="16" l="1"/>
  <c r="AF64" i="16"/>
  <c r="AF65" i="16"/>
  <c r="AF67" i="16"/>
  <c r="AF77" i="16" s="1"/>
  <c r="AF66" i="16" l="1"/>
  <c r="AI29" i="19"/>
  <c r="AI30" i="19"/>
  <c r="AJ31" i="19"/>
  <c r="AJ32" i="19"/>
  <c r="AI33" i="19"/>
  <c r="AJ33" i="19" s="1"/>
  <c r="AF59" i="16" l="1"/>
  <c r="AE82" i="15"/>
  <c r="AE83" i="15"/>
  <c r="AC82" i="15"/>
  <c r="AC83" i="15"/>
  <c r="AF58" i="16"/>
  <c r="AG58" i="16" s="1"/>
  <c r="AF83" i="15" l="1"/>
  <c r="AF82" i="15"/>
  <c r="S77" i="15"/>
  <c r="AE77" i="15" s="1"/>
  <c r="AE124" i="14"/>
  <c r="Y44" i="18" l="1"/>
  <c r="Z43" i="18"/>
  <c r="Z45" i="18"/>
  <c r="Z44" i="18" l="1"/>
  <c r="Y49" i="18"/>
  <c r="AE80" i="15"/>
  <c r="AC80" i="15"/>
  <c r="AC81" i="15"/>
  <c r="AF81" i="15" l="1"/>
  <c r="AF80" i="15"/>
  <c r="AI20" i="19"/>
  <c r="AB470" i="3" l="1"/>
  <c r="AB471" i="3"/>
  <c r="AB469" i="3"/>
  <c r="AE122" i="14" l="1"/>
  <c r="AE119" i="14" l="1"/>
  <c r="AE118" i="14"/>
  <c r="AF56" i="16" l="1"/>
  <c r="AF55" i="16"/>
  <c r="AF57" i="16"/>
  <c r="AG70" i="16"/>
  <c r="AF54" i="16"/>
  <c r="AF60" i="16" l="1"/>
  <c r="K54" i="16"/>
  <c r="Z28" i="19" l="1"/>
  <c r="X54" i="16"/>
  <c r="Z34" i="18" l="1"/>
  <c r="Z35" i="18"/>
  <c r="Z36" i="18"/>
  <c r="Z37" i="18"/>
  <c r="Z38" i="18"/>
  <c r="Z39" i="18"/>
  <c r="Z40" i="18"/>
  <c r="Z41" i="18"/>
  <c r="Z42" i="18"/>
  <c r="AI24" i="19"/>
  <c r="AI21" i="19"/>
  <c r="AI22" i="19"/>
  <c r="AI25" i="19"/>
  <c r="AI26" i="19"/>
  <c r="AI27" i="19"/>
  <c r="AI28" i="19"/>
  <c r="AG23" i="19"/>
  <c r="V23" i="19"/>
  <c r="AI23" i="19" s="1"/>
  <c r="J121" i="14" l="1"/>
  <c r="J120" i="14" l="1"/>
  <c r="AF120" i="14" l="1"/>
  <c r="AB122" i="14"/>
  <c r="AG25" i="19" l="1"/>
  <c r="AJ25" i="19" s="1"/>
  <c r="AG26" i="19"/>
  <c r="AJ26" i="19" s="1"/>
  <c r="AG27" i="19"/>
  <c r="AJ27" i="19" s="1"/>
  <c r="AG29" i="19"/>
  <c r="AJ29" i="19" s="1"/>
  <c r="AG30" i="19"/>
  <c r="AJ30" i="19" s="1"/>
  <c r="AE117" i="14" l="1"/>
  <c r="J117" i="14" l="1"/>
  <c r="J119" i="14" l="1"/>
  <c r="J118" i="14"/>
  <c r="AE467" i="3" l="1"/>
  <c r="AE463" i="3"/>
  <c r="AE462" i="3"/>
  <c r="O145" i="5"/>
  <c r="O142" i="5"/>
  <c r="O143" i="5"/>
  <c r="O144" i="5"/>
  <c r="O141" i="5"/>
  <c r="AD53" i="16" l="1"/>
  <c r="AG53" i="16" s="1"/>
  <c r="AG21" i="19"/>
  <c r="AJ21" i="19" s="1"/>
  <c r="AG22" i="19"/>
  <c r="AJ22" i="19" s="1"/>
  <c r="AJ23" i="19"/>
  <c r="AG28" i="19"/>
  <c r="AJ28" i="19" s="1"/>
  <c r="AG24" i="19"/>
  <c r="AJ24" i="19" s="1"/>
  <c r="AG20" i="19"/>
  <c r="AJ20" i="19" s="1"/>
  <c r="AB117" i="14" l="1"/>
  <c r="AF117" i="14" l="1"/>
  <c r="AG57" i="16"/>
  <c r="AG56" i="16"/>
  <c r="AG55" i="16" l="1"/>
  <c r="AE111" i="14"/>
  <c r="AI18" i="19" l="1"/>
  <c r="AI17" i="19"/>
  <c r="AI13" i="19"/>
  <c r="X50" i="16" l="1"/>
  <c r="X49" i="16"/>
  <c r="AE73" i="15" l="1"/>
  <c r="AB467" i="3" l="1"/>
  <c r="Z33" i="18" l="1"/>
  <c r="Z49" i="18" s="1"/>
  <c r="Y32" i="18"/>
  <c r="Z27" i="18"/>
  <c r="Z28" i="18"/>
  <c r="Z29" i="18"/>
  <c r="Z30" i="18"/>
  <c r="Z31" i="18"/>
  <c r="AB466" i="3" l="1"/>
  <c r="AI15" i="19" l="1"/>
  <c r="Z16" i="18"/>
  <c r="Z17" i="18"/>
  <c r="Z18" i="18"/>
  <c r="Z19" i="18"/>
  <c r="Z20" i="18"/>
  <c r="Z21" i="18"/>
  <c r="Z22" i="18"/>
  <c r="Z23" i="18"/>
  <c r="Z24" i="18"/>
  <c r="Z25" i="18"/>
  <c r="Z26" i="18"/>
  <c r="AE71" i="15" l="1"/>
  <c r="AE69" i="15"/>
  <c r="AE67" i="15"/>
  <c r="W72" i="15"/>
  <c r="AG13" i="19" l="1"/>
  <c r="AJ13" i="19" s="1"/>
  <c r="AG14" i="19"/>
  <c r="AG15" i="19"/>
  <c r="AG16" i="19"/>
  <c r="AG17" i="19"/>
  <c r="AJ17" i="19" s="1"/>
  <c r="AI12" i="19" l="1"/>
  <c r="AI11" i="19"/>
  <c r="AI7" i="19"/>
  <c r="AI14" i="19"/>
  <c r="AI16" i="19"/>
  <c r="AI9" i="19"/>
  <c r="AI10" i="19"/>
  <c r="AI8" i="19"/>
  <c r="AB112" i="14" l="1"/>
  <c r="AB113" i="14"/>
  <c r="AB114" i="14"/>
  <c r="AB118" i="14"/>
  <c r="AB119" i="14"/>
  <c r="AB121" i="14"/>
  <c r="AB123" i="14"/>
  <c r="AB124" i="14"/>
  <c r="AF122" i="14"/>
  <c r="AE123" i="14"/>
  <c r="AE121" i="14"/>
  <c r="AE113" i="14"/>
  <c r="AE114" i="14"/>
  <c r="AE112" i="14"/>
  <c r="AE125" i="14" l="1"/>
  <c r="AE134" i="14" s="1"/>
  <c r="AF124" i="14"/>
  <c r="AF118" i="14"/>
  <c r="AB125" i="14"/>
  <c r="AB134" i="14" s="1"/>
  <c r="AF123" i="14"/>
  <c r="AF121" i="14"/>
  <c r="AF114" i="14"/>
  <c r="AF113" i="14"/>
  <c r="AF112" i="14"/>
  <c r="AF119" i="14"/>
  <c r="AE465" i="3"/>
  <c r="AE461" i="3"/>
  <c r="AE464" i="3"/>
  <c r="AE466" i="3"/>
  <c r="AF125" i="14" l="1"/>
  <c r="AF134" i="14" s="1"/>
  <c r="AE468" i="3"/>
  <c r="AB462" i="3"/>
  <c r="AB463" i="3"/>
  <c r="AB464" i="3"/>
  <c r="AB465" i="3"/>
  <c r="J114" i="14" l="1"/>
  <c r="J113" i="14"/>
  <c r="J112" i="14"/>
  <c r="AB111" i="14" l="1"/>
  <c r="AB110" i="14"/>
  <c r="AB103" i="14"/>
  <c r="AB104" i="14"/>
  <c r="AB105" i="14"/>
  <c r="AB106" i="14"/>
  <c r="AB107" i="14"/>
  <c r="AB108" i="14"/>
  <c r="AB109" i="14"/>
  <c r="AE110" i="14"/>
  <c r="AC8" i="20" l="1"/>
  <c r="AC10" i="20"/>
  <c r="AC11" i="20"/>
  <c r="AC12" i="20"/>
  <c r="AC13" i="20"/>
  <c r="AC14" i="20"/>
  <c r="J111" i="14" l="1"/>
  <c r="AF111" i="14" l="1"/>
  <c r="AE102" i="14"/>
  <c r="AE107" i="14"/>
  <c r="AE108" i="14"/>
  <c r="AE109" i="14"/>
  <c r="AF109" i="14" l="1"/>
  <c r="AF110" i="14"/>
  <c r="S180" i="2" l="1"/>
  <c r="AC7" i="20" l="1"/>
  <c r="AC6" i="20"/>
  <c r="AB6" i="20"/>
  <c r="Z7" i="18"/>
  <c r="Z8" i="18"/>
  <c r="Z9" i="18"/>
  <c r="Z10" i="18"/>
  <c r="Z11" i="18"/>
  <c r="Z12" i="18"/>
  <c r="Z13" i="18"/>
  <c r="Z14" i="18"/>
  <c r="Z15" i="18"/>
  <c r="Z6" i="18"/>
  <c r="AG7" i="19"/>
  <c r="AJ7" i="19" s="1"/>
  <c r="Z32" i="18" l="1"/>
  <c r="AC71" i="15"/>
  <c r="AF71" i="15" l="1"/>
  <c r="AF44" i="16"/>
  <c r="W102" i="14" l="1"/>
  <c r="AB102" i="14" s="1"/>
  <c r="AB116" i="14" s="1"/>
  <c r="AA179" i="2"/>
  <c r="AA180" i="2"/>
  <c r="X178" i="2" l="1"/>
  <c r="Z185" i="10" l="1"/>
  <c r="Z186" i="10"/>
  <c r="Z187" i="10"/>
  <c r="Z188" i="10"/>
  <c r="Z189" i="10"/>
  <c r="Z190" i="10"/>
  <c r="Z191" i="10"/>
  <c r="Z192" i="10"/>
  <c r="Z193" i="10"/>
  <c r="Y185" i="10"/>
  <c r="Y186" i="10"/>
  <c r="Y187" i="10"/>
  <c r="Y188" i="10"/>
  <c r="Y189" i="10"/>
  <c r="Y190" i="10"/>
  <c r="Y191" i="10"/>
  <c r="Y192" i="10"/>
  <c r="Y193" i="10"/>
  <c r="Y183" i="10"/>
  <c r="Z183" i="10" s="1"/>
  <c r="Y184" i="10"/>
  <c r="Z184" i="10" s="1"/>
  <c r="A7" i="20"/>
  <c r="A8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J107" i="14" l="1"/>
  <c r="J106" i="14"/>
  <c r="AB250" i="8" l="1"/>
  <c r="AE99" i="14" l="1"/>
  <c r="AE98" i="14"/>
  <c r="AE97" i="14"/>
  <c r="AE96" i="14"/>
  <c r="AE94" i="14"/>
  <c r="AE93" i="14"/>
  <c r="AD47" i="16" l="1"/>
  <c r="AG47" i="16" l="1"/>
  <c r="X45" i="16"/>
  <c r="X44" i="16"/>
  <c r="X42" i="16"/>
  <c r="S177" i="2" l="1"/>
  <c r="AF42" i="16" l="1"/>
  <c r="O139" i="5" l="1"/>
  <c r="O140" i="5" s="1"/>
  <c r="AF14" i="17" l="1"/>
  <c r="AF13" i="17"/>
  <c r="AE64" i="15" l="1"/>
  <c r="AC64" i="15"/>
  <c r="AF64" i="15" l="1"/>
  <c r="J256" i="8" l="1"/>
  <c r="AJ16" i="19" l="1"/>
  <c r="AJ14" i="19"/>
  <c r="AJ15" i="19"/>
  <c r="AG12" i="19"/>
  <c r="AJ12" i="19" s="1"/>
  <c r="AG11" i="19"/>
  <c r="AJ11" i="19" s="1"/>
  <c r="AG10" i="19"/>
  <c r="AG9" i="19"/>
  <c r="AJ9" i="19" s="1"/>
  <c r="AG8" i="19"/>
  <c r="AJ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21" i="19" s="1"/>
  <c r="A22" i="19" s="1"/>
  <c r="A23" i="19" s="1"/>
  <c r="A7" i="18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4" i="19" l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20" i="18"/>
  <c r="A21" i="18" s="1"/>
  <c r="AJ10" i="19"/>
  <c r="W458" i="3"/>
  <c r="X456" i="3"/>
  <c r="W456" i="3"/>
  <c r="A22" i="18" l="1"/>
  <c r="A23" i="18" s="1"/>
  <c r="A24" i="18" s="1"/>
  <c r="A25" i="18" s="1"/>
  <c r="A26" i="18" s="1"/>
  <c r="A27" i="18" s="1"/>
  <c r="A28" i="18" s="1"/>
  <c r="A29" i="18" s="1"/>
  <c r="A30" i="18" s="1"/>
  <c r="A31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E61" i="15"/>
  <c r="A102" i="18" l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Z62" i="9"/>
  <c r="W62" i="9"/>
  <c r="V62" i="9"/>
  <c r="A62" i="9"/>
  <c r="Z61" i="9"/>
  <c r="W61" i="9"/>
  <c r="V61" i="9"/>
  <c r="A61" i="9"/>
  <c r="Z60" i="9"/>
  <c r="W60" i="9"/>
  <c r="V60" i="9"/>
  <c r="A60" i="9"/>
  <c r="Z59" i="9"/>
  <c r="W59" i="9"/>
  <c r="V59" i="9"/>
  <c r="A59" i="9"/>
  <c r="Z58" i="9"/>
  <c r="W58" i="9"/>
  <c r="V58" i="9"/>
  <c r="A58" i="9"/>
  <c r="Z57" i="9"/>
  <c r="W57" i="9"/>
  <c r="V57" i="9"/>
  <c r="A57" i="9"/>
  <c r="Z56" i="9"/>
  <c r="W56" i="9"/>
  <c r="V56" i="9"/>
  <c r="A56" i="9"/>
  <c r="Z55" i="9"/>
  <c r="W55" i="9"/>
  <c r="V55" i="9"/>
  <c r="A55" i="9"/>
  <c r="Z54" i="9"/>
  <c r="W54" i="9"/>
  <c r="V54" i="9"/>
  <c r="A54" i="9"/>
  <c r="Z53" i="9"/>
  <c r="W53" i="9"/>
  <c r="V53" i="9"/>
  <c r="A53" i="9"/>
  <c r="Z52" i="9"/>
  <c r="W52" i="9"/>
  <c r="V52" i="9"/>
  <c r="A52" i="9"/>
  <c r="Z51" i="9"/>
  <c r="W51" i="9"/>
  <c r="V51" i="9"/>
  <c r="A51" i="9"/>
  <c r="Z50" i="9"/>
  <c r="W50" i="9"/>
  <c r="V50" i="9"/>
  <c r="A50" i="9"/>
  <c r="Z49" i="9"/>
  <c r="W49" i="9"/>
  <c r="V49" i="9"/>
  <c r="A49" i="9"/>
  <c r="Z48" i="9"/>
  <c r="W48" i="9"/>
  <c r="V48" i="9"/>
  <c r="A48" i="9"/>
  <c r="Z47" i="9"/>
  <c r="W47" i="9"/>
  <c r="V47" i="9"/>
  <c r="A47" i="9"/>
  <c r="Z46" i="9"/>
  <c r="W46" i="9"/>
  <c r="V46" i="9"/>
  <c r="A46" i="9"/>
  <c r="Z45" i="9"/>
  <c r="W45" i="9"/>
  <c r="V45" i="9"/>
  <c r="A45" i="9"/>
  <c r="Z44" i="9"/>
  <c r="W44" i="9"/>
  <c r="V44" i="9"/>
  <c r="A44" i="9"/>
  <c r="Z43" i="9"/>
  <c r="W43" i="9"/>
  <c r="V43" i="9"/>
  <c r="Z42" i="9"/>
  <c r="Y42" i="9"/>
  <c r="W42" i="9"/>
  <c r="V42" i="9"/>
  <c r="U42" i="9"/>
  <c r="Z41" i="9"/>
  <c r="W41" i="9"/>
  <c r="V41" i="9"/>
  <c r="A41" i="9"/>
  <c r="Z40" i="9"/>
  <c r="Y40" i="9"/>
  <c r="W40" i="9"/>
  <c r="V40" i="9"/>
  <c r="A40" i="9"/>
  <c r="Z39" i="9"/>
  <c r="Y39" i="9"/>
  <c r="W39" i="9"/>
  <c r="V39" i="9"/>
  <c r="A39" i="9"/>
  <c r="Z38" i="9"/>
  <c r="Y38" i="9"/>
  <c r="W38" i="9"/>
  <c r="V38" i="9"/>
  <c r="A38" i="9"/>
  <c r="Z37" i="9"/>
  <c r="Y37" i="9"/>
  <c r="W37" i="9"/>
  <c r="V37" i="9"/>
  <c r="Z36" i="9"/>
  <c r="Y36" i="9"/>
  <c r="W36" i="9"/>
  <c r="V36" i="9"/>
  <c r="U36" i="9"/>
  <c r="AA35" i="9"/>
  <c r="Z35" i="9"/>
  <c r="W35" i="9"/>
  <c r="V35" i="9"/>
  <c r="A35" i="9"/>
  <c r="AA34" i="9"/>
  <c r="Z34" i="9"/>
  <c r="Y34" i="9"/>
  <c r="W34" i="9"/>
  <c r="V34" i="9"/>
  <c r="A34" i="9"/>
  <c r="AA33" i="9"/>
  <c r="Z33" i="9"/>
  <c r="Y33" i="9"/>
  <c r="W33" i="9"/>
  <c r="V33" i="9"/>
  <c r="A33" i="9"/>
  <c r="AA32" i="9"/>
  <c r="Z32" i="9"/>
  <c r="Y32" i="9"/>
  <c r="W32" i="9"/>
  <c r="V32" i="9"/>
  <c r="A32" i="9"/>
  <c r="AA31" i="9"/>
  <c r="Z31" i="9"/>
  <c r="Y31" i="9"/>
  <c r="W31" i="9"/>
  <c r="V31" i="9"/>
  <c r="A31" i="9"/>
  <c r="AA30" i="9"/>
  <c r="Z30" i="9"/>
  <c r="Y30" i="9"/>
  <c r="W30" i="9"/>
  <c r="V30" i="9"/>
  <c r="Z29" i="9"/>
  <c r="Y29" i="9"/>
  <c r="W29" i="9"/>
  <c r="V29" i="9"/>
  <c r="U29" i="9"/>
  <c r="AA28" i="9"/>
  <c r="Z28" i="9"/>
  <c r="Y28" i="9"/>
  <c r="W28" i="9"/>
  <c r="V28" i="9"/>
  <c r="A28" i="9"/>
  <c r="AA27" i="9"/>
  <c r="Z27" i="9"/>
  <c r="Y27" i="9"/>
  <c r="W27" i="9"/>
  <c r="V27" i="9"/>
  <c r="A27" i="9"/>
  <c r="AA26" i="9"/>
  <c r="Z26" i="9"/>
  <c r="Y26" i="9"/>
  <c r="W26" i="9"/>
  <c r="V26" i="9"/>
  <c r="A26" i="9"/>
  <c r="AA25" i="9"/>
  <c r="Z25" i="9"/>
  <c r="Y25" i="9"/>
  <c r="W25" i="9"/>
  <c r="V25" i="9"/>
  <c r="Z24" i="9"/>
  <c r="Y24" i="9"/>
  <c r="W24" i="9"/>
  <c r="V24" i="9"/>
  <c r="U24" i="9"/>
  <c r="AA23" i="9"/>
  <c r="Z23" i="9"/>
  <c r="Y23" i="9"/>
  <c r="W23" i="9"/>
  <c r="V23" i="9"/>
  <c r="A23" i="9"/>
  <c r="AA22" i="9"/>
  <c r="Z22" i="9"/>
  <c r="Y22" i="9"/>
  <c r="W22" i="9"/>
  <c r="V22" i="9"/>
  <c r="A22" i="9"/>
  <c r="AA21" i="9"/>
  <c r="Z21" i="9"/>
  <c r="Y21" i="9"/>
  <c r="W21" i="9"/>
  <c r="V21" i="9"/>
  <c r="A21" i="9"/>
  <c r="AA20" i="9"/>
  <c r="Z20" i="9"/>
  <c r="Y20" i="9"/>
  <c r="W20" i="9"/>
  <c r="V20" i="9"/>
  <c r="Z19" i="9"/>
  <c r="Y19" i="9"/>
  <c r="W19" i="9"/>
  <c r="V19" i="9"/>
  <c r="U19" i="9"/>
  <c r="AA18" i="9"/>
  <c r="Z18" i="9"/>
  <c r="Y18" i="9"/>
  <c r="W18" i="9"/>
  <c r="V18" i="9"/>
  <c r="A18" i="9"/>
  <c r="AA17" i="9"/>
  <c r="Z17" i="9"/>
  <c r="Y17" i="9"/>
  <c r="W17" i="9"/>
  <c r="V17" i="9"/>
  <c r="A17" i="9"/>
  <c r="AA16" i="9"/>
  <c r="Z16" i="9"/>
  <c r="Y16" i="9"/>
  <c r="W16" i="9"/>
  <c r="V16" i="9"/>
  <c r="A16" i="9"/>
  <c r="AA15" i="9"/>
  <c r="Z15" i="9"/>
  <c r="Y15" i="9"/>
  <c r="W15" i="9"/>
  <c r="V15" i="9"/>
  <c r="A15" i="9"/>
  <c r="AA14" i="9"/>
  <c r="Z14" i="9"/>
  <c r="Y14" i="9"/>
  <c r="W14" i="9"/>
  <c r="V14" i="9"/>
  <c r="Z13" i="9"/>
  <c r="Y13" i="9"/>
  <c r="W13" i="9"/>
  <c r="V13" i="9"/>
  <c r="U13" i="9"/>
  <c r="Z12" i="9"/>
  <c r="Y12" i="9"/>
  <c r="W12" i="9"/>
  <c r="V12" i="9"/>
  <c r="A12" i="9"/>
  <c r="Z11" i="9"/>
  <c r="Y11" i="9"/>
  <c r="W11" i="9"/>
  <c r="V11" i="9"/>
  <c r="A11" i="9"/>
  <c r="Z10" i="9"/>
  <c r="Y10" i="9"/>
  <c r="W10" i="9"/>
  <c r="V10" i="9"/>
  <c r="A10" i="9"/>
  <c r="Z9" i="9"/>
  <c r="W9" i="9"/>
  <c r="V9" i="9"/>
  <c r="Z8" i="9"/>
  <c r="Y8" i="9"/>
  <c r="W8" i="9"/>
  <c r="V8" i="9"/>
  <c r="U8" i="9"/>
  <c r="Z7" i="9"/>
  <c r="Y7" i="9"/>
  <c r="W7" i="9"/>
  <c r="V7" i="9"/>
  <c r="A7" i="9"/>
  <c r="Z6" i="9"/>
  <c r="Y6" i="9"/>
  <c r="W6" i="9"/>
  <c r="V6" i="9"/>
  <c r="A6" i="9"/>
  <c r="Z5" i="9"/>
  <c r="Y5" i="9"/>
  <c r="W5" i="9"/>
  <c r="V5" i="9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N138" i="5"/>
  <c r="O137" i="5"/>
  <c r="O138" i="5" s="1"/>
  <c r="O136" i="5"/>
  <c r="O135" i="5"/>
  <c r="N134" i="5"/>
  <c r="O133" i="5"/>
  <c r="O134" i="5" s="1"/>
  <c r="N132" i="5"/>
  <c r="O131" i="5"/>
  <c r="O130" i="5"/>
  <c r="O129" i="5"/>
  <c r="O132" i="5" s="1"/>
  <c r="N128" i="5"/>
  <c r="O127" i="5"/>
  <c r="O128" i="5" s="1"/>
  <c r="O126" i="5"/>
  <c r="N126" i="5"/>
  <c r="O125" i="5"/>
  <c r="N124" i="5"/>
  <c r="O123" i="5"/>
  <c r="O122" i="5"/>
  <c r="O124" i="5" s="1"/>
  <c r="N121" i="5"/>
  <c r="O120" i="5"/>
  <c r="O119" i="5"/>
  <c r="O118" i="5"/>
  <c r="O117" i="5"/>
  <c r="O116" i="5"/>
  <c r="N115" i="5"/>
  <c r="O114" i="5"/>
  <c r="O113" i="5"/>
  <c r="O112" i="5"/>
  <c r="O111" i="5"/>
  <c r="O110" i="5"/>
  <c r="O109" i="5"/>
  <c r="O107" i="5"/>
  <c r="O106" i="5"/>
  <c r="O104" i="5"/>
  <c r="O103" i="5"/>
  <c r="O102" i="5"/>
  <c r="O101" i="5"/>
  <c r="O100" i="5"/>
  <c r="O99" i="5"/>
  <c r="N98" i="5"/>
  <c r="N105" i="5" s="1"/>
  <c r="N108" i="5" s="1"/>
  <c r="O97" i="5"/>
  <c r="O96" i="5"/>
  <c r="O95" i="5"/>
  <c r="O94" i="5"/>
  <c r="O93" i="5"/>
  <c r="O92" i="5"/>
  <c r="O91" i="5"/>
  <c r="O90" i="5"/>
  <c r="N89" i="5"/>
  <c r="O88" i="5"/>
  <c r="O87" i="5"/>
  <c r="O86" i="5"/>
  <c r="O85" i="5"/>
  <c r="O84" i="5"/>
  <c r="O82" i="5"/>
  <c r="O81" i="5"/>
  <c r="O80" i="5"/>
  <c r="O79" i="5"/>
  <c r="O78" i="5"/>
  <c r="O77" i="5"/>
  <c r="O75" i="5"/>
  <c r="O74" i="5"/>
  <c r="O73" i="5"/>
  <c r="O72" i="5"/>
  <c r="O71" i="5"/>
  <c r="O70" i="5"/>
  <c r="O69" i="5"/>
  <c r="O68" i="5"/>
  <c r="O67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0" i="5"/>
  <c r="O49" i="5"/>
  <c r="O48" i="5"/>
  <c r="O47" i="5"/>
  <c r="O46" i="5"/>
  <c r="O45" i="5"/>
  <c r="O43" i="5"/>
  <c r="O42" i="5"/>
  <c r="O41" i="5"/>
  <c r="O40" i="5"/>
  <c r="A40" i="5"/>
  <c r="A41" i="5" s="1"/>
  <c r="A42" i="5" s="1"/>
  <c r="A43" i="5" s="1"/>
  <c r="O39" i="5"/>
  <c r="O37" i="5"/>
  <c r="O36" i="5"/>
  <c r="O35" i="5"/>
  <c r="A35" i="5"/>
  <c r="A36" i="5" s="1"/>
  <c r="A37" i="5" s="1"/>
  <c r="O34" i="5"/>
  <c r="O32" i="5"/>
  <c r="O31" i="5"/>
  <c r="O30" i="5"/>
  <c r="O29" i="5"/>
  <c r="O28" i="5"/>
  <c r="O27" i="5"/>
  <c r="O26" i="5"/>
  <c r="O25" i="5"/>
  <c r="O24" i="5"/>
  <c r="A24" i="5"/>
  <c r="A25" i="5" s="1"/>
  <c r="A26" i="5" s="1"/>
  <c r="A27" i="5" s="1"/>
  <c r="A28" i="5" s="1"/>
  <c r="A29" i="5" s="1"/>
  <c r="A30" i="5" s="1"/>
  <c r="A31" i="5" s="1"/>
  <c r="A32" i="5" s="1"/>
  <c r="O23" i="5"/>
  <c r="O21" i="5"/>
  <c r="O20" i="5"/>
  <c r="O19" i="5"/>
  <c r="O18" i="5"/>
  <c r="A18" i="5"/>
  <c r="A19" i="5" s="1"/>
  <c r="A20" i="5" s="1"/>
  <c r="A21" i="5" s="1"/>
  <c r="O17" i="5"/>
  <c r="O15" i="5"/>
  <c r="O14" i="5"/>
  <c r="O13" i="5"/>
  <c r="O12" i="5"/>
  <c r="O11" i="5"/>
  <c r="A11" i="5"/>
  <c r="A12" i="5" s="1"/>
  <c r="A13" i="5" s="1"/>
  <c r="A14" i="5" s="1"/>
  <c r="A15" i="5" s="1"/>
  <c r="O10" i="5"/>
  <c r="O9" i="5"/>
  <c r="O7" i="5"/>
  <c r="O6" i="5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D16" i="17"/>
  <c r="A16" i="17"/>
  <c r="AG15" i="17"/>
  <c r="AF15" i="17"/>
  <c r="AD15" i="17"/>
  <c r="A15" i="17"/>
  <c r="AD14" i="17"/>
  <c r="AG14" i="17" s="1"/>
  <c r="A14" i="17"/>
  <c r="AD13" i="17"/>
  <c r="AG13" i="17" s="1"/>
  <c r="AF12" i="17"/>
  <c r="AD12" i="17"/>
  <c r="AG10" i="17"/>
  <c r="AF10" i="17"/>
  <c r="AD10" i="17"/>
  <c r="Z10" i="17"/>
  <c r="A10" i="17"/>
  <c r="AG9" i="17"/>
  <c r="AF9" i="17"/>
  <c r="AD9" i="17"/>
  <c r="Z9" i="17"/>
  <c r="Y9" i="17"/>
  <c r="A9" i="17"/>
  <c r="AG8" i="17"/>
  <c r="AF8" i="17"/>
  <c r="AD8" i="17"/>
  <c r="Z8" i="17"/>
  <c r="A8" i="17"/>
  <c r="AG7" i="17"/>
  <c r="AF7" i="17"/>
  <c r="AD7" i="17"/>
  <c r="Z7" i="17"/>
  <c r="A7" i="17"/>
  <c r="AG6" i="17"/>
  <c r="AF6" i="17"/>
  <c r="AD6" i="17"/>
  <c r="Z6" i="17"/>
  <c r="AE79" i="15"/>
  <c r="AC79" i="15"/>
  <c r="AE78" i="15"/>
  <c r="AC78" i="15"/>
  <c r="AC77" i="15"/>
  <c r="AE76" i="15"/>
  <c r="AC76" i="15"/>
  <c r="AE75" i="15"/>
  <c r="AC75" i="15"/>
  <c r="AC73" i="15"/>
  <c r="AE72" i="15"/>
  <c r="AC72" i="15"/>
  <c r="AC67" i="15"/>
  <c r="AC69" i="15"/>
  <c r="AE70" i="15"/>
  <c r="AC70" i="15"/>
  <c r="AE68" i="15"/>
  <c r="AC68" i="15"/>
  <c r="AE66" i="15"/>
  <c r="AC66" i="15"/>
  <c r="A68" i="15"/>
  <c r="A70" i="15" s="1"/>
  <c r="A69" i="15" s="1"/>
  <c r="A67" i="15" s="1"/>
  <c r="AE63" i="15"/>
  <c r="AC63" i="15"/>
  <c r="AE62" i="15"/>
  <c r="AC62" i="15"/>
  <c r="A62" i="15"/>
  <c r="A63" i="15" s="1"/>
  <c r="AC61" i="15"/>
  <c r="AF61" i="15" s="1"/>
  <c r="AE60" i="15"/>
  <c r="AC60" i="15"/>
  <c r="AE59" i="15"/>
  <c r="AC59" i="15"/>
  <c r="AE57" i="15"/>
  <c r="W57" i="15"/>
  <c r="AC57" i="15" s="1"/>
  <c r="AE56" i="15"/>
  <c r="AC56" i="15"/>
  <c r="AE55" i="15"/>
  <c r="AC55" i="15"/>
  <c r="AE54" i="15"/>
  <c r="AC54" i="15"/>
  <c r="AE53" i="15"/>
  <c r="AC53" i="15"/>
  <c r="AE52" i="15"/>
  <c r="AC52" i="15"/>
  <c r="AE51" i="15"/>
  <c r="W51" i="15"/>
  <c r="AC51" i="15" s="1"/>
  <c r="AE50" i="15"/>
  <c r="AC50" i="15"/>
  <c r="AE49" i="15"/>
  <c r="AC49" i="15"/>
  <c r="AE48" i="15"/>
  <c r="AC48" i="15"/>
  <c r="A48" i="15"/>
  <c r="A49" i="15" s="1"/>
  <c r="A50" i="15" s="1"/>
  <c r="A51" i="15" s="1"/>
  <c r="A52" i="15" s="1"/>
  <c r="A53" i="15" s="1"/>
  <c r="A54" i="15" s="1"/>
  <c r="A55" i="15" s="1"/>
  <c r="A56" i="15" s="1"/>
  <c r="A57" i="15" s="1"/>
  <c r="AE47" i="15"/>
  <c r="AC47" i="15"/>
  <c r="AE45" i="15"/>
  <c r="W45" i="15"/>
  <c r="AC45" i="15" s="1"/>
  <c r="AE44" i="15"/>
  <c r="AC44" i="15"/>
  <c r="AE43" i="15"/>
  <c r="AC43" i="15"/>
  <c r="AE42" i="15"/>
  <c r="AC42" i="15"/>
  <c r="AE41" i="15"/>
  <c r="AC41" i="15"/>
  <c r="AE40" i="15"/>
  <c r="AC40" i="15"/>
  <c r="AE39" i="15"/>
  <c r="AC39" i="15"/>
  <c r="AE38" i="15"/>
  <c r="AC38" i="15"/>
  <c r="AE36" i="15"/>
  <c r="AC36" i="15"/>
  <c r="AE35" i="15"/>
  <c r="W35" i="15"/>
  <c r="AC35" i="15" s="1"/>
  <c r="AE34" i="15"/>
  <c r="AC34" i="15"/>
  <c r="AE33" i="15"/>
  <c r="AC33" i="15"/>
  <c r="AE32" i="15"/>
  <c r="AC32" i="15"/>
  <c r="AE31" i="15"/>
  <c r="AC31" i="15"/>
  <c r="AE30" i="15"/>
  <c r="AC30" i="15"/>
  <c r="AE29" i="15"/>
  <c r="AC29" i="15"/>
  <c r="AE28" i="15"/>
  <c r="AC28" i="15"/>
  <c r="AE27" i="15"/>
  <c r="AC27" i="15"/>
  <c r="AE26" i="15"/>
  <c r="AC26" i="15"/>
  <c r="AE24" i="15"/>
  <c r="AC24" i="15"/>
  <c r="AE23" i="15"/>
  <c r="AC23" i="15"/>
  <c r="AE22" i="15"/>
  <c r="AC22" i="15"/>
  <c r="AE21" i="15"/>
  <c r="AC21" i="15"/>
  <c r="AE20" i="15"/>
  <c r="AC20" i="15"/>
  <c r="AE19" i="15"/>
  <c r="AC19" i="15"/>
  <c r="W18" i="15"/>
  <c r="AC18" i="15" s="1"/>
  <c r="S18" i="15"/>
  <c r="AE18" i="15" s="1"/>
  <c r="AE17" i="15"/>
  <c r="AC17" i="15"/>
  <c r="AE16" i="15"/>
  <c r="AC16" i="15"/>
  <c r="AE15" i="15"/>
  <c r="AC15" i="15"/>
  <c r="AE14" i="15"/>
  <c r="X14" i="15"/>
  <c r="AC14" i="15" s="1"/>
  <c r="AE12" i="15"/>
  <c r="AC12" i="15"/>
  <c r="W11" i="15"/>
  <c r="AC11" i="15" s="1"/>
  <c r="S11" i="15"/>
  <c r="AE11" i="15" s="1"/>
  <c r="AE10" i="15"/>
  <c r="AC10" i="15"/>
  <c r="AE9" i="15"/>
  <c r="AC9" i="15"/>
  <c r="A9" i="15"/>
  <c r="AE8" i="15"/>
  <c r="AC8" i="15"/>
  <c r="AE7" i="15"/>
  <c r="AC7" i="15"/>
  <c r="AE6" i="15"/>
  <c r="AC6" i="15"/>
  <c r="AG72" i="16"/>
  <c r="AG69" i="16"/>
  <c r="AG68" i="16"/>
  <c r="AD67" i="16"/>
  <c r="AG67" i="16" s="1"/>
  <c r="AD65" i="16"/>
  <c r="AG65" i="16" s="1"/>
  <c r="AD64" i="16"/>
  <c r="AG64" i="16" s="1"/>
  <c r="AD63" i="16"/>
  <c r="AG63" i="16" s="1"/>
  <c r="AD62" i="16"/>
  <c r="AG62" i="16" s="1"/>
  <c r="AD54" i="16"/>
  <c r="AD60" i="16" s="1"/>
  <c r="AF51" i="16"/>
  <c r="AD51" i="16"/>
  <c r="AF50" i="16"/>
  <c r="AD50" i="16"/>
  <c r="AF49" i="16"/>
  <c r="AD49" i="16"/>
  <c r="AF48" i="16"/>
  <c r="AD48" i="16"/>
  <c r="AF45" i="16"/>
  <c r="AD45" i="16"/>
  <c r="AD44" i="16"/>
  <c r="AF43" i="16"/>
  <c r="AD43" i="16"/>
  <c r="AD42" i="16"/>
  <c r="AG42" i="16" s="1"/>
  <c r="AF41" i="16"/>
  <c r="X41" i="16"/>
  <c r="AD41" i="16" s="1"/>
  <c r="AF40" i="16"/>
  <c r="X40" i="16"/>
  <c r="AD40" i="16" s="1"/>
  <c r="A40" i="16"/>
  <c r="A41" i="16" s="1"/>
  <c r="A42" i="16" s="1"/>
  <c r="A43" i="16" s="1"/>
  <c r="A44" i="16" s="1"/>
  <c r="A45" i="16" s="1"/>
  <c r="A49" i="16" s="1"/>
  <c r="A50" i="16" s="1"/>
  <c r="A51" i="16" s="1"/>
  <c r="A54" i="16" s="1"/>
  <c r="A55" i="16" s="1"/>
  <c r="AF39" i="16"/>
  <c r="AD39" i="16"/>
  <c r="AF38" i="16"/>
  <c r="AD38" i="16"/>
  <c r="AF37" i="16"/>
  <c r="AD37" i="16"/>
  <c r="AF35" i="16"/>
  <c r="X35" i="16"/>
  <c r="AD35" i="16" s="1"/>
  <c r="A35" i="16"/>
  <c r="AF34" i="16"/>
  <c r="AD34" i="16"/>
  <c r="AF33" i="16"/>
  <c r="X33" i="16"/>
  <c r="AD33" i="16" s="1"/>
  <c r="AF32" i="16"/>
  <c r="X32" i="16"/>
  <c r="AD32" i="16" s="1"/>
  <c r="AF31" i="16"/>
  <c r="X31" i="16"/>
  <c r="AD31" i="16" s="1"/>
  <c r="AF30" i="16"/>
  <c r="X30" i="16"/>
  <c r="AD30" i="16" s="1"/>
  <c r="A30" i="16"/>
  <c r="A31" i="16" s="1"/>
  <c r="A32" i="16" s="1"/>
  <c r="A33" i="16" s="1"/>
  <c r="AF29" i="16"/>
  <c r="AD29" i="16"/>
  <c r="AF27" i="16"/>
  <c r="AD27" i="16"/>
  <c r="AF26" i="16"/>
  <c r="AD26" i="16"/>
  <c r="AF25" i="16"/>
  <c r="AD25" i="16"/>
  <c r="AF24" i="16"/>
  <c r="X24" i="16"/>
  <c r="AD24" i="16" s="1"/>
  <c r="AF23" i="16"/>
  <c r="AB23" i="16"/>
  <c r="AD23" i="16" s="1"/>
  <c r="A23" i="16"/>
  <c r="A24" i="16" s="1"/>
  <c r="A25" i="16" s="1"/>
  <c r="A26" i="16" s="1"/>
  <c r="A27" i="16" s="1"/>
  <c r="AF22" i="16"/>
  <c r="X22" i="16"/>
  <c r="AD22" i="16" s="1"/>
  <c r="K22" i="16"/>
  <c r="AF20" i="16"/>
  <c r="AD20" i="16"/>
  <c r="A20" i="16"/>
  <c r="AF19" i="16"/>
  <c r="AD19" i="16"/>
  <c r="AF18" i="16"/>
  <c r="AD18" i="16"/>
  <c r="AF17" i="16"/>
  <c r="X17" i="16"/>
  <c r="AD17" i="16" s="1"/>
  <c r="A17" i="16"/>
  <c r="AF16" i="16"/>
  <c r="X16" i="16"/>
  <c r="AD16" i="16" s="1"/>
  <c r="AF15" i="16"/>
  <c r="X15" i="16"/>
  <c r="AD15" i="16" s="1"/>
  <c r="AF14" i="16"/>
  <c r="X14" i="16"/>
  <c r="AD14" i="16" s="1"/>
  <c r="AF12" i="16"/>
  <c r="X12" i="16"/>
  <c r="AD12" i="16" s="1"/>
  <c r="AA11" i="16"/>
  <c r="AF10" i="16"/>
  <c r="AD10" i="16"/>
  <c r="A10" i="16"/>
  <c r="AF9" i="16"/>
  <c r="AD9" i="16"/>
  <c r="AF8" i="16"/>
  <c r="X8" i="16"/>
  <c r="W8" i="16"/>
  <c r="W11" i="16" s="1"/>
  <c r="A8" i="16"/>
  <c r="AF7" i="16"/>
  <c r="X7" i="16"/>
  <c r="AD7" i="16" s="1"/>
  <c r="AF2" i="16"/>
  <c r="AF108" i="14"/>
  <c r="AF107" i="14"/>
  <c r="AE106" i="14"/>
  <c r="AE105" i="14"/>
  <c r="AE104" i="14"/>
  <c r="AE103" i="14"/>
  <c r="AF102" i="14"/>
  <c r="A103" i="14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9" i="14" s="1"/>
  <c r="AE100" i="14"/>
  <c r="AB100" i="14"/>
  <c r="AB99" i="14"/>
  <c r="AF99" i="14" s="1"/>
  <c r="J99" i="14"/>
  <c r="AB98" i="14"/>
  <c r="AF98" i="14" s="1"/>
  <c r="J98" i="14"/>
  <c r="AB97" i="14"/>
  <c r="AF97" i="14" s="1"/>
  <c r="J97" i="14"/>
  <c r="A97" i="14"/>
  <c r="A98" i="14" s="1"/>
  <c r="A99" i="14" s="1"/>
  <c r="A100" i="14" s="1"/>
  <c r="AB96" i="14"/>
  <c r="AF96" i="14" s="1"/>
  <c r="J96" i="14"/>
  <c r="AE95" i="14"/>
  <c r="AB95" i="14"/>
  <c r="AB94" i="14"/>
  <c r="AF94" i="14" s="1"/>
  <c r="A94" i="14"/>
  <c r="AB93" i="14"/>
  <c r="AF93" i="14" s="1"/>
  <c r="AE92" i="14"/>
  <c r="AB92" i="14"/>
  <c r="AE91" i="14"/>
  <c r="AB91" i="14"/>
  <c r="AE90" i="14"/>
  <c r="AB90" i="14"/>
  <c r="AE88" i="14"/>
  <c r="AB88" i="14"/>
  <c r="A88" i="14"/>
  <c r="AE87" i="14"/>
  <c r="AD87" i="14"/>
  <c r="AB87" i="14"/>
  <c r="AE86" i="14"/>
  <c r="AB86" i="14"/>
  <c r="AE85" i="14"/>
  <c r="AB85" i="14"/>
  <c r="AE84" i="14"/>
  <c r="AB84" i="14"/>
  <c r="AE83" i="14"/>
  <c r="V83" i="14"/>
  <c r="AB83" i="14" s="1"/>
  <c r="AE82" i="14"/>
  <c r="AB82" i="14"/>
  <c r="AE81" i="14"/>
  <c r="AB81" i="14"/>
  <c r="AE80" i="14"/>
  <c r="V80" i="14"/>
  <c r="AB80" i="14" s="1"/>
  <c r="A80" i="14"/>
  <c r="A81" i="14" s="1"/>
  <c r="A82" i="14" s="1"/>
  <c r="A83" i="14" s="1"/>
  <c r="A84" i="14" s="1"/>
  <c r="A85" i="14" s="1"/>
  <c r="A86" i="14" s="1"/>
  <c r="AE79" i="14"/>
  <c r="W79" i="14"/>
  <c r="V79" i="14"/>
  <c r="J79" i="14"/>
  <c r="AE78" i="14"/>
  <c r="AB78" i="14"/>
  <c r="AE77" i="14"/>
  <c r="AB77" i="14"/>
  <c r="J77" i="14"/>
  <c r="AE76" i="14"/>
  <c r="AB76" i="14"/>
  <c r="A76" i="14"/>
  <c r="A77" i="14" s="1"/>
  <c r="AE75" i="14"/>
  <c r="AB75" i="14"/>
  <c r="AE74" i="14"/>
  <c r="AB74" i="14"/>
  <c r="AE73" i="14"/>
  <c r="AB73" i="14"/>
  <c r="AE72" i="14"/>
  <c r="AB72" i="14"/>
  <c r="AE71" i="14"/>
  <c r="AB71" i="14"/>
  <c r="AE70" i="14"/>
  <c r="AB70" i="14"/>
  <c r="AE69" i="14"/>
  <c r="AB69" i="14"/>
  <c r="A69" i="14"/>
  <c r="A70" i="14" s="1"/>
  <c r="A71" i="14" s="1"/>
  <c r="A72" i="14" s="1"/>
  <c r="A73" i="14" s="1"/>
  <c r="AE68" i="14"/>
  <c r="AB68" i="14"/>
  <c r="J68" i="14"/>
  <c r="AE66" i="14"/>
  <c r="AB66" i="14"/>
  <c r="J66" i="14"/>
  <c r="AE65" i="14"/>
  <c r="AB65" i="14"/>
  <c r="AE64" i="14"/>
  <c r="AB64" i="14"/>
  <c r="AE63" i="14"/>
  <c r="AB63" i="14"/>
  <c r="AE62" i="14"/>
  <c r="AB62" i="14"/>
  <c r="AE61" i="14"/>
  <c r="AB61" i="14"/>
  <c r="AE59" i="14"/>
  <c r="AB59" i="14"/>
  <c r="AE58" i="14"/>
  <c r="AB58" i="14"/>
  <c r="AE57" i="14"/>
  <c r="AB57" i="14"/>
  <c r="AE56" i="14"/>
  <c r="AB56" i="14"/>
  <c r="AE55" i="14"/>
  <c r="AB55" i="14"/>
  <c r="AE54" i="14"/>
  <c r="AB54" i="14"/>
  <c r="AE53" i="14"/>
  <c r="AB53" i="14"/>
  <c r="AE52" i="14"/>
  <c r="AB52" i="14"/>
  <c r="AE51" i="14"/>
  <c r="AB51" i="14"/>
  <c r="AE50" i="14"/>
  <c r="AB50" i="14"/>
  <c r="AE49" i="14"/>
  <c r="AB49" i="14"/>
  <c r="J49" i="14"/>
  <c r="AE48" i="14"/>
  <c r="AB48" i="14"/>
  <c r="J48" i="14"/>
  <c r="AE47" i="14"/>
  <c r="AB47" i="14"/>
  <c r="J47" i="14"/>
  <c r="AE46" i="14"/>
  <c r="AB46" i="14"/>
  <c r="AE45" i="14"/>
  <c r="AB45" i="14"/>
  <c r="AE44" i="14"/>
  <c r="AB44" i="14"/>
  <c r="AE43" i="14"/>
  <c r="AB43" i="14"/>
  <c r="J43" i="14"/>
  <c r="AE42" i="14"/>
  <c r="AB42" i="14"/>
  <c r="J42" i="14"/>
  <c r="AE41" i="14"/>
  <c r="AB41" i="14"/>
  <c r="AE40" i="14"/>
  <c r="AB40" i="14"/>
  <c r="AE39" i="14"/>
  <c r="AF39" i="14" s="1"/>
  <c r="AE38" i="14"/>
  <c r="AF38" i="14" s="1"/>
  <c r="AE36" i="14"/>
  <c r="AB36" i="14"/>
  <c r="AE35" i="14"/>
  <c r="AB35" i="14"/>
  <c r="AE34" i="14"/>
  <c r="AB34" i="14"/>
  <c r="AE33" i="14"/>
  <c r="AB33" i="14"/>
  <c r="AC32" i="14"/>
  <c r="AC37" i="14" s="1"/>
  <c r="AC60" i="14" s="1"/>
  <c r="AC67" i="14" s="1"/>
  <c r="AC89" i="14" s="1"/>
  <c r="Z32" i="14"/>
  <c r="W32" i="14"/>
  <c r="V32" i="14"/>
  <c r="AE31" i="14"/>
  <c r="AB31" i="14"/>
  <c r="AE30" i="14"/>
  <c r="AB30" i="14"/>
  <c r="AE29" i="14"/>
  <c r="AB29" i="14"/>
  <c r="AE28" i="14"/>
  <c r="AB28" i="14"/>
  <c r="AE27" i="14"/>
  <c r="AB27" i="14"/>
  <c r="AE26" i="14"/>
  <c r="AB26" i="14"/>
  <c r="AE25" i="14"/>
  <c r="AB25" i="14"/>
  <c r="AE24" i="14"/>
  <c r="AB24" i="14"/>
  <c r="AE23" i="14"/>
  <c r="AB23" i="14"/>
  <c r="AE22" i="14"/>
  <c r="AB22" i="14"/>
  <c r="AE21" i="14"/>
  <c r="AB21" i="14"/>
  <c r="AE20" i="14"/>
  <c r="AB20" i="14"/>
  <c r="AE19" i="14"/>
  <c r="AB19" i="14"/>
  <c r="AE18" i="14"/>
  <c r="AB18" i="14"/>
  <c r="AE17" i="14"/>
  <c r="AB17" i="14"/>
  <c r="AE16" i="14"/>
  <c r="AB16" i="14"/>
  <c r="AE15" i="14"/>
  <c r="AB15" i="14"/>
  <c r="AE14" i="14"/>
  <c r="AB14" i="14"/>
  <c r="AE13" i="14"/>
  <c r="AB13" i="14"/>
  <c r="AE12" i="14"/>
  <c r="AB12" i="14"/>
  <c r="AE11" i="14"/>
  <c r="AB11" i="14"/>
  <c r="AE10" i="14"/>
  <c r="AB10" i="14"/>
  <c r="AE9" i="14"/>
  <c r="AB9" i="14"/>
  <c r="AE8" i="14"/>
  <c r="AB8" i="14"/>
  <c r="AE7" i="14"/>
  <c r="AB7" i="14"/>
  <c r="AE2" i="14"/>
  <c r="V2" i="14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D259" i="8"/>
  <c r="Z259" i="8"/>
  <c r="Y259" i="8"/>
  <c r="AC259" i="8" s="1"/>
  <c r="A259" i="8"/>
  <c r="AD258" i="8"/>
  <c r="Z258" i="8"/>
  <c r="Y258" i="8"/>
  <c r="AC258" i="8" s="1"/>
  <c r="A258" i="8"/>
  <c r="AD257" i="8"/>
  <c r="Z257" i="8"/>
  <c r="Y257" i="8"/>
  <c r="AC257" i="8" s="1"/>
  <c r="A257" i="8"/>
  <c r="AD256" i="8"/>
  <c r="Z256" i="8"/>
  <c r="Y256" i="8"/>
  <c r="AC256" i="8" s="1"/>
  <c r="AB255" i="8"/>
  <c r="AC255" i="8" s="1"/>
  <c r="Z255" i="8"/>
  <c r="Y255" i="8"/>
  <c r="AD254" i="8"/>
  <c r="AC254" i="8"/>
  <c r="Y254" i="8"/>
  <c r="J254" i="8"/>
  <c r="A254" i="8"/>
  <c r="AD253" i="8"/>
  <c r="AC253" i="8"/>
  <c r="Y253" i="8"/>
  <c r="J253" i="8"/>
  <c r="A253" i="8"/>
  <c r="AD252" i="8"/>
  <c r="AC252" i="8"/>
  <c r="Y252" i="8"/>
  <c r="A252" i="8"/>
  <c r="AD251" i="8"/>
  <c r="AC251" i="8"/>
  <c r="AB251" i="8"/>
  <c r="Y251" i="8"/>
  <c r="AD250" i="8"/>
  <c r="AD255" i="8" s="1"/>
  <c r="AC250" i="8"/>
  <c r="Y250" i="8"/>
  <c r="X250" i="8"/>
  <c r="S250" i="8"/>
  <c r="R250" i="8"/>
  <c r="J250" i="8"/>
  <c r="AD249" i="8"/>
  <c r="AC249" i="8"/>
  <c r="Y249" i="8"/>
  <c r="J249" i="8"/>
  <c r="AD248" i="8"/>
  <c r="AC248" i="8"/>
  <c r="Y248" i="8"/>
  <c r="AD247" i="8"/>
  <c r="AC247" i="8"/>
  <c r="Y247" i="8"/>
  <c r="AD246" i="8"/>
  <c r="AC246" i="8"/>
  <c r="AB246" i="8"/>
  <c r="Y246" i="8"/>
  <c r="AD245" i="8"/>
  <c r="AC245" i="8"/>
  <c r="AB245" i="8"/>
  <c r="Z245" i="8"/>
  <c r="Y245" i="8"/>
  <c r="AD244" i="8"/>
  <c r="AC244" i="8"/>
  <c r="AB244" i="8"/>
  <c r="Z244" i="8"/>
  <c r="Y244" i="8"/>
  <c r="AD243" i="8"/>
  <c r="AC243" i="8"/>
  <c r="Z243" i="8"/>
  <c r="Y243" i="8"/>
  <c r="AD242" i="8"/>
  <c r="AC242" i="8"/>
  <c r="Z242" i="8"/>
  <c r="Y242" i="8"/>
  <c r="J242" i="8"/>
  <c r="AD241" i="8"/>
  <c r="AC241" i="8"/>
  <c r="Z241" i="8"/>
  <c r="Y241" i="8"/>
  <c r="J241" i="8"/>
  <c r="AD240" i="8"/>
  <c r="AC240" i="8"/>
  <c r="Z240" i="8"/>
  <c r="Y240" i="8"/>
  <c r="AD239" i="8"/>
  <c r="AC239" i="8"/>
  <c r="AB239" i="8"/>
  <c r="Z239" i="8"/>
  <c r="Y239" i="8"/>
  <c r="AD238" i="8"/>
  <c r="AC238" i="8"/>
  <c r="Z238" i="8"/>
  <c r="Y238" i="8"/>
  <c r="AD237" i="8"/>
  <c r="AC237" i="8"/>
  <c r="Z237" i="8"/>
  <c r="Y237" i="8"/>
  <c r="AD236" i="8"/>
  <c r="AC236" i="8"/>
  <c r="AB236" i="8"/>
  <c r="Z236" i="8"/>
  <c r="Y236" i="8"/>
  <c r="AD235" i="8"/>
  <c r="AC235" i="8"/>
  <c r="Z235" i="8"/>
  <c r="Y235" i="8"/>
  <c r="AD234" i="8"/>
  <c r="AC234" i="8"/>
  <c r="AB234" i="8"/>
  <c r="Z234" i="8"/>
  <c r="Y234" i="8"/>
  <c r="AD233" i="8"/>
  <c r="AC233" i="8"/>
  <c r="Z233" i="8"/>
  <c r="Y233" i="8"/>
  <c r="J233" i="8"/>
  <c r="AD232" i="8"/>
  <c r="AC232" i="8"/>
  <c r="Z232" i="8"/>
  <c r="Y232" i="8"/>
  <c r="J232" i="8"/>
  <c r="AD231" i="8"/>
  <c r="AC231" i="8"/>
  <c r="AD230" i="8"/>
  <c r="AC230" i="8"/>
  <c r="AB230" i="8"/>
  <c r="Z230" i="8"/>
  <c r="Y230" i="8"/>
  <c r="AD229" i="8"/>
  <c r="AC229" i="8"/>
  <c r="Z229" i="8"/>
  <c r="Y229" i="8"/>
  <c r="J229" i="8"/>
  <c r="A229" i="8"/>
  <c r="AD228" i="8"/>
  <c r="AC228" i="8"/>
  <c r="Z228" i="8"/>
  <c r="Y228" i="8"/>
  <c r="A228" i="8"/>
  <c r="AD227" i="8"/>
  <c r="AC227" i="8"/>
  <c r="Z227" i="8"/>
  <c r="Y227" i="8"/>
  <c r="A227" i="8"/>
  <c r="AD226" i="8"/>
  <c r="AC226" i="8"/>
  <c r="Z226" i="8"/>
  <c r="Y226" i="8"/>
  <c r="A226" i="8"/>
  <c r="AD225" i="8"/>
  <c r="AC225" i="8"/>
  <c r="Z225" i="8"/>
  <c r="Y225" i="8"/>
  <c r="AD224" i="8"/>
  <c r="AC224" i="8"/>
  <c r="Z224" i="8"/>
  <c r="Y224" i="8"/>
  <c r="AD223" i="8"/>
  <c r="AC223" i="8"/>
  <c r="AB223" i="8"/>
  <c r="Z223" i="8"/>
  <c r="Y223" i="8"/>
  <c r="AD222" i="8"/>
  <c r="AC222" i="8"/>
  <c r="Z222" i="8"/>
  <c r="Y222" i="8"/>
  <c r="J222" i="8"/>
  <c r="AD221" i="8"/>
  <c r="AC221" i="8"/>
  <c r="Z221" i="8"/>
  <c r="Y221" i="8"/>
  <c r="J221" i="8"/>
  <c r="AD220" i="8"/>
  <c r="AC220" i="8"/>
  <c r="Z220" i="8"/>
  <c r="Y220" i="8"/>
  <c r="A220" i="8"/>
  <c r="AD219" i="8"/>
  <c r="AC219" i="8"/>
  <c r="Z219" i="8"/>
  <c r="Y219" i="8"/>
  <c r="J219" i="8"/>
  <c r="A219" i="8"/>
  <c r="AD218" i="8"/>
  <c r="AC218" i="8"/>
  <c r="Z218" i="8"/>
  <c r="Y218" i="8"/>
  <c r="AD217" i="8"/>
  <c r="AC217" i="8"/>
  <c r="Z217" i="8"/>
  <c r="Y217" i="8"/>
  <c r="AD216" i="8"/>
  <c r="AC216" i="8"/>
  <c r="Z216" i="8"/>
  <c r="Y216" i="8"/>
  <c r="AD215" i="8"/>
  <c r="AC215" i="8"/>
  <c r="AB215" i="8"/>
  <c r="Z215" i="8"/>
  <c r="Y215" i="8"/>
  <c r="AD214" i="8"/>
  <c r="AC214" i="8"/>
  <c r="Z214" i="8"/>
  <c r="Y214" i="8"/>
  <c r="AD213" i="8"/>
  <c r="AC213" i="8"/>
  <c r="Z213" i="8"/>
  <c r="Y213" i="8"/>
  <c r="AD212" i="8"/>
  <c r="AC212" i="8"/>
  <c r="Z212" i="8"/>
  <c r="Y212" i="8"/>
  <c r="J212" i="8"/>
  <c r="A212" i="8"/>
  <c r="AD211" i="8"/>
  <c r="AC211" i="8"/>
  <c r="Z211" i="8"/>
  <c r="Y211" i="8"/>
  <c r="Q211" i="8"/>
  <c r="A211" i="8"/>
  <c r="AD210" i="8"/>
  <c r="AC210" i="8"/>
  <c r="Z210" i="8"/>
  <c r="Y210" i="8"/>
  <c r="AD209" i="8"/>
  <c r="AC209" i="8"/>
  <c r="Z209" i="8"/>
  <c r="Y209" i="8"/>
  <c r="J209" i="8"/>
  <c r="AD208" i="8"/>
  <c r="AC208" i="8"/>
  <c r="Z208" i="8"/>
  <c r="Y208" i="8"/>
  <c r="J208" i="8"/>
  <c r="AD207" i="8"/>
  <c r="AC207" i="8"/>
  <c r="AB207" i="8"/>
  <c r="Z207" i="8"/>
  <c r="Y207" i="8"/>
  <c r="T207" i="8"/>
  <c r="AD206" i="8"/>
  <c r="AC206" i="8"/>
  <c r="Z206" i="8"/>
  <c r="Y206" i="8"/>
  <c r="A206" i="8"/>
  <c r="AD205" i="8"/>
  <c r="AC205" i="8"/>
  <c r="Z205" i="8"/>
  <c r="Y205" i="8"/>
  <c r="A205" i="8"/>
  <c r="AD204" i="8"/>
  <c r="AC204" i="8"/>
  <c r="Z204" i="8"/>
  <c r="Y204" i="8"/>
  <c r="AD203" i="8"/>
  <c r="AC203" i="8"/>
  <c r="Z203" i="8"/>
  <c r="Y203" i="8"/>
  <c r="Q203" i="8"/>
  <c r="A203" i="8"/>
  <c r="AD202" i="8"/>
  <c r="AC202" i="8"/>
  <c r="Z202" i="8"/>
  <c r="Y202" i="8"/>
  <c r="A202" i="8"/>
  <c r="AD201" i="8"/>
  <c r="AC201" i="8"/>
  <c r="Z201" i="8"/>
  <c r="Y201" i="8"/>
  <c r="A201" i="8"/>
  <c r="AD200" i="8"/>
  <c r="AC200" i="8"/>
  <c r="Z200" i="8"/>
  <c r="Y200" i="8"/>
  <c r="A200" i="8"/>
  <c r="AD199" i="8"/>
  <c r="AC199" i="8"/>
  <c r="Z199" i="8"/>
  <c r="Y199" i="8"/>
  <c r="A199" i="8"/>
  <c r="AD198" i="8"/>
  <c r="AC198" i="8"/>
  <c r="Z198" i="8"/>
  <c r="Y198" i="8"/>
  <c r="J198" i="8"/>
  <c r="A198" i="8"/>
  <c r="AD197" i="8"/>
  <c r="AC197" i="8"/>
  <c r="Z197" i="8"/>
  <c r="Y197" i="8"/>
  <c r="J197" i="8"/>
  <c r="A197" i="8"/>
  <c r="AD196" i="8"/>
  <c r="AC196" i="8"/>
  <c r="Z196" i="8"/>
  <c r="Y196" i="8"/>
  <c r="J196" i="8"/>
  <c r="A196" i="8"/>
  <c r="AD195" i="8"/>
  <c r="AC195" i="8"/>
  <c r="Z195" i="8"/>
  <c r="Y195" i="8"/>
  <c r="J195" i="8"/>
  <c r="AD194" i="8"/>
  <c r="AC194" i="8"/>
  <c r="AB194" i="8"/>
  <c r="Z194" i="8"/>
  <c r="Y194" i="8"/>
  <c r="T194" i="8"/>
  <c r="AD193" i="8"/>
  <c r="AC193" i="8"/>
  <c r="Z193" i="8"/>
  <c r="Y193" i="8"/>
  <c r="J193" i="8"/>
  <c r="AD192" i="8"/>
  <c r="AC192" i="8"/>
  <c r="Z192" i="8"/>
  <c r="Y192" i="8"/>
  <c r="AD191" i="8"/>
  <c r="AC191" i="8"/>
  <c r="Z191" i="8"/>
  <c r="Y191" i="8"/>
  <c r="AD190" i="8"/>
  <c r="AC190" i="8"/>
  <c r="Z190" i="8"/>
  <c r="Y190" i="8"/>
  <c r="AD189" i="8"/>
  <c r="AC189" i="8"/>
  <c r="Z189" i="8"/>
  <c r="Y189" i="8"/>
  <c r="J189" i="8"/>
  <c r="AD188" i="8"/>
  <c r="AC188" i="8"/>
  <c r="AB188" i="8"/>
  <c r="Z188" i="8"/>
  <c r="Y188" i="8"/>
  <c r="AD187" i="8"/>
  <c r="AC187" i="8"/>
  <c r="Z187" i="8"/>
  <c r="Y187" i="8"/>
  <c r="J187" i="8"/>
  <c r="AD186" i="8"/>
  <c r="AC186" i="8"/>
  <c r="Z186" i="8"/>
  <c r="Y186" i="8"/>
  <c r="AD185" i="8"/>
  <c r="AC185" i="8"/>
  <c r="Z185" i="8"/>
  <c r="Y185" i="8"/>
  <c r="AD184" i="8"/>
  <c r="AC184" i="8"/>
  <c r="AB184" i="8"/>
  <c r="Z184" i="8"/>
  <c r="Y184" i="8"/>
  <c r="AD183" i="8"/>
  <c r="AC183" i="8"/>
  <c r="Z183" i="8"/>
  <c r="Y183" i="8"/>
  <c r="AD182" i="8"/>
  <c r="AC182" i="8"/>
  <c r="Z182" i="8"/>
  <c r="Y182" i="8"/>
  <c r="J182" i="8"/>
  <c r="AD181" i="8"/>
  <c r="AC181" i="8"/>
  <c r="Z181" i="8"/>
  <c r="Y181" i="8"/>
  <c r="AD180" i="8"/>
  <c r="AC180" i="8"/>
  <c r="Z180" i="8"/>
  <c r="Y180" i="8"/>
  <c r="J180" i="8"/>
  <c r="AD179" i="8"/>
  <c r="AC179" i="8"/>
  <c r="Z179" i="8"/>
  <c r="Y179" i="8"/>
  <c r="J179" i="8"/>
  <c r="AD178" i="8"/>
  <c r="AC178" i="8"/>
  <c r="AB178" i="8"/>
  <c r="Y178" i="8"/>
  <c r="AD177" i="8"/>
  <c r="AC177" i="8"/>
  <c r="Z177" i="8"/>
  <c r="Y177" i="8"/>
  <c r="AD176" i="8"/>
  <c r="AC176" i="8"/>
  <c r="Z176" i="8"/>
  <c r="Y176" i="8"/>
  <c r="J176" i="8"/>
  <c r="AD175" i="8"/>
  <c r="AC175" i="8"/>
  <c r="AB175" i="8"/>
  <c r="Y175" i="8"/>
  <c r="T175" i="8"/>
  <c r="S175" i="8"/>
  <c r="AD174" i="8"/>
  <c r="AC174" i="8"/>
  <c r="Z174" i="8"/>
  <c r="Y174" i="8"/>
  <c r="A174" i="8"/>
  <c r="AD173" i="8"/>
  <c r="AC173" i="8"/>
  <c r="Z173" i="8"/>
  <c r="Y173" i="8"/>
  <c r="J173" i="8"/>
  <c r="A173" i="8"/>
  <c r="AD172" i="8"/>
  <c r="AC172" i="8"/>
  <c r="AB172" i="8"/>
  <c r="Z172" i="8"/>
  <c r="Y172" i="8"/>
  <c r="A172" i="8"/>
  <c r="AD171" i="8"/>
  <c r="AC171" i="8"/>
  <c r="Z171" i="8"/>
  <c r="Y171" i="8"/>
  <c r="J171" i="8"/>
  <c r="AD170" i="8"/>
  <c r="AC170" i="8"/>
  <c r="Z170" i="8"/>
  <c r="Y170" i="8"/>
  <c r="J170" i="8"/>
  <c r="AD169" i="8"/>
  <c r="AC169" i="8"/>
  <c r="Z169" i="8"/>
  <c r="Y169" i="8"/>
  <c r="W169" i="8"/>
  <c r="AD168" i="8"/>
  <c r="AC168" i="8"/>
  <c r="Z168" i="8"/>
  <c r="Y168" i="8"/>
  <c r="J168" i="8"/>
  <c r="AD167" i="8"/>
  <c r="AC167" i="8"/>
  <c r="AB167" i="8"/>
  <c r="Z167" i="8"/>
  <c r="Y167" i="8"/>
  <c r="J167" i="8"/>
  <c r="AD166" i="8"/>
  <c r="AC166" i="8"/>
  <c r="Z166" i="8"/>
  <c r="Y166" i="8"/>
  <c r="J166" i="8"/>
  <c r="A166" i="8"/>
  <c r="AD165" i="8"/>
  <c r="AC165" i="8"/>
  <c r="Z165" i="8"/>
  <c r="Y165" i="8"/>
  <c r="J165" i="8"/>
  <c r="A165" i="8"/>
  <c r="AD164" i="8"/>
  <c r="AC164" i="8"/>
  <c r="Z164" i="8"/>
  <c r="Y164" i="8"/>
  <c r="A164" i="8"/>
  <c r="AD163" i="8"/>
  <c r="AC163" i="8"/>
  <c r="Z163" i="8"/>
  <c r="Y163" i="8"/>
  <c r="AD162" i="8"/>
  <c r="AC162" i="8"/>
  <c r="AB162" i="8"/>
  <c r="Z162" i="8"/>
  <c r="Y162" i="8"/>
  <c r="T162" i="8"/>
  <c r="AD161" i="8"/>
  <c r="AC161" i="8"/>
  <c r="AB161" i="8"/>
  <c r="Z161" i="8"/>
  <c r="Y161" i="8"/>
  <c r="A161" i="8"/>
  <c r="AD160" i="8"/>
  <c r="AC160" i="8"/>
  <c r="Z160" i="8"/>
  <c r="Y160" i="8"/>
  <c r="A160" i="8"/>
  <c r="AD159" i="8"/>
  <c r="AC159" i="8"/>
  <c r="AB159" i="8"/>
  <c r="Z159" i="8"/>
  <c r="Y159" i="8"/>
  <c r="AD158" i="8"/>
  <c r="AC158" i="8"/>
  <c r="Z158" i="8"/>
  <c r="Y158" i="8"/>
  <c r="AD157" i="8"/>
  <c r="AC157" i="8"/>
  <c r="Z157" i="8"/>
  <c r="Y157" i="8"/>
  <c r="AD156" i="8"/>
  <c r="AC156" i="8"/>
  <c r="Z156" i="8"/>
  <c r="Y156" i="8"/>
  <c r="AD155" i="8"/>
  <c r="AC155" i="8"/>
  <c r="Z155" i="8"/>
  <c r="Y155" i="8"/>
  <c r="J155" i="8"/>
  <c r="A155" i="8"/>
  <c r="AD154" i="8"/>
  <c r="AC154" i="8"/>
  <c r="AB154" i="8"/>
  <c r="Z154" i="8"/>
  <c r="Y154" i="8"/>
  <c r="A154" i="8"/>
  <c r="AD153" i="8"/>
  <c r="AC153" i="8"/>
  <c r="Z153" i="8"/>
  <c r="Y153" i="8"/>
  <c r="J153" i="8"/>
  <c r="A153" i="8"/>
  <c r="AD152" i="8"/>
  <c r="AC152" i="8"/>
  <c r="Z152" i="8"/>
  <c r="Y152" i="8"/>
  <c r="A152" i="8"/>
  <c r="AD151" i="8"/>
  <c r="AC151" i="8"/>
  <c r="AB151" i="8"/>
  <c r="Z151" i="8"/>
  <c r="Y151" i="8"/>
  <c r="A151" i="8"/>
  <c r="AD150" i="8"/>
  <c r="AC150" i="8"/>
  <c r="AB150" i="8"/>
  <c r="Z150" i="8"/>
  <c r="Y150" i="8"/>
  <c r="J150" i="8"/>
  <c r="AD149" i="8"/>
  <c r="AC149" i="8"/>
  <c r="AB149" i="8"/>
  <c r="Z149" i="8"/>
  <c r="Y149" i="8"/>
  <c r="T149" i="8"/>
  <c r="R149" i="8"/>
  <c r="AD148" i="8"/>
  <c r="AC148" i="8"/>
  <c r="AB148" i="8"/>
  <c r="Z148" i="8"/>
  <c r="Y148" i="8"/>
  <c r="AD147" i="8"/>
  <c r="AC147" i="8"/>
  <c r="AB147" i="8"/>
  <c r="Z147" i="8"/>
  <c r="Y147" i="8"/>
  <c r="AD146" i="8"/>
  <c r="AC146" i="8"/>
  <c r="AB146" i="8"/>
  <c r="Z146" i="8"/>
  <c r="Y146" i="8"/>
  <c r="J146" i="8"/>
  <c r="AD145" i="8"/>
  <c r="AC145" i="8"/>
  <c r="AB145" i="8"/>
  <c r="Z145" i="8"/>
  <c r="Y145" i="8"/>
  <c r="J145" i="8"/>
  <c r="AD144" i="8"/>
  <c r="AC144" i="8"/>
  <c r="AB144" i="8"/>
  <c r="Z144" i="8"/>
  <c r="Y144" i="8"/>
  <c r="J144" i="8"/>
  <c r="AD143" i="8"/>
  <c r="AC143" i="8"/>
  <c r="AB143" i="8"/>
  <c r="Z143" i="8"/>
  <c r="Y143" i="8"/>
  <c r="J143" i="8"/>
  <c r="AD142" i="8"/>
  <c r="AC142" i="8"/>
  <c r="AB142" i="8"/>
  <c r="Z142" i="8"/>
  <c r="Y142" i="8"/>
  <c r="AD141" i="8"/>
  <c r="AC141" i="8"/>
  <c r="Z141" i="8"/>
  <c r="Y141" i="8"/>
  <c r="AD140" i="8"/>
  <c r="AC140" i="8"/>
  <c r="Z140" i="8"/>
  <c r="Y140" i="8"/>
  <c r="AD139" i="8"/>
  <c r="AC139" i="8"/>
  <c r="Z139" i="8"/>
  <c r="Y139" i="8"/>
  <c r="AD138" i="8"/>
  <c r="AC138" i="8"/>
  <c r="Z138" i="8"/>
  <c r="Y138" i="8"/>
  <c r="AD137" i="8"/>
  <c r="AC137" i="8"/>
  <c r="AB137" i="8"/>
  <c r="Z137" i="8"/>
  <c r="Y137" i="8"/>
  <c r="T137" i="8"/>
  <c r="S137" i="8"/>
  <c r="AD136" i="8"/>
  <c r="AC136" i="8"/>
  <c r="Z136" i="8"/>
  <c r="Y136" i="8"/>
  <c r="Q136" i="8"/>
  <c r="AD135" i="8"/>
  <c r="AC135" i="8"/>
  <c r="AB135" i="8"/>
  <c r="Z135" i="8"/>
  <c r="Y135" i="8"/>
  <c r="W135" i="8"/>
  <c r="AD134" i="8"/>
  <c r="AC134" i="8"/>
  <c r="Z134" i="8"/>
  <c r="Y134" i="8"/>
  <c r="AD133" i="8"/>
  <c r="AC133" i="8"/>
  <c r="Z133" i="8"/>
  <c r="Y133" i="8"/>
  <c r="AD132" i="8"/>
  <c r="AC132" i="8"/>
  <c r="Z132" i="8"/>
  <c r="Y132" i="8"/>
  <c r="AD131" i="8"/>
  <c r="AC131" i="8"/>
  <c r="Z131" i="8"/>
  <c r="Y131" i="8"/>
  <c r="AD130" i="8"/>
  <c r="AC130" i="8"/>
  <c r="Z130" i="8"/>
  <c r="Y130" i="8"/>
  <c r="AD129" i="8"/>
  <c r="AC129" i="8"/>
  <c r="AB129" i="8"/>
  <c r="Z129" i="8"/>
  <c r="Y129" i="8"/>
  <c r="AD128" i="8"/>
  <c r="AC128" i="8"/>
  <c r="Z128" i="8"/>
  <c r="Y128" i="8"/>
  <c r="A128" i="8"/>
  <c r="AD127" i="8"/>
  <c r="AC127" i="8"/>
  <c r="AB127" i="8"/>
  <c r="Z127" i="8"/>
  <c r="Y127" i="8"/>
  <c r="J127" i="8"/>
  <c r="A127" i="8"/>
  <c r="AD126" i="8"/>
  <c r="AC126" i="8"/>
  <c r="Z126" i="8"/>
  <c r="Y126" i="8"/>
  <c r="AD125" i="8"/>
  <c r="AC125" i="8"/>
  <c r="AB125" i="8"/>
  <c r="Z125" i="8"/>
  <c r="Y125" i="8"/>
  <c r="A125" i="8"/>
  <c r="AD124" i="8"/>
  <c r="AC124" i="8"/>
  <c r="AB124" i="8"/>
  <c r="Z124" i="8"/>
  <c r="Y124" i="8"/>
  <c r="AD123" i="8"/>
  <c r="AC123" i="8"/>
  <c r="AB123" i="8"/>
  <c r="Z123" i="8"/>
  <c r="Y123" i="8"/>
  <c r="T123" i="8"/>
  <c r="S123" i="8"/>
  <c r="AD122" i="8"/>
  <c r="AC122" i="8"/>
  <c r="Z122" i="8"/>
  <c r="Y122" i="8"/>
  <c r="A122" i="8"/>
  <c r="AD121" i="8"/>
  <c r="AC121" i="8"/>
  <c r="Z121" i="8"/>
  <c r="Y121" i="8"/>
  <c r="A121" i="8"/>
  <c r="AD120" i="8"/>
  <c r="AC120" i="8"/>
  <c r="Z120" i="8"/>
  <c r="Y120" i="8"/>
  <c r="A120" i="8"/>
  <c r="AD119" i="8"/>
  <c r="AC119" i="8"/>
  <c r="Z119" i="8"/>
  <c r="Y119" i="8"/>
  <c r="A119" i="8"/>
  <c r="AD118" i="8"/>
  <c r="AC118" i="8"/>
  <c r="Z118" i="8"/>
  <c r="Y118" i="8"/>
  <c r="A118" i="8"/>
  <c r="AD117" i="8"/>
  <c r="AC117" i="8"/>
  <c r="Z117" i="8"/>
  <c r="Y117" i="8"/>
  <c r="J117" i="8"/>
  <c r="A117" i="8"/>
  <c r="AD116" i="8"/>
  <c r="AC116" i="8"/>
  <c r="Z116" i="8"/>
  <c r="Y116" i="8"/>
  <c r="A116" i="8"/>
  <c r="AD115" i="8"/>
  <c r="AC115" i="8"/>
  <c r="Z115" i="8"/>
  <c r="Y115" i="8"/>
  <c r="J115" i="8"/>
  <c r="AD114" i="8"/>
  <c r="AC114" i="8"/>
  <c r="AB114" i="8"/>
  <c r="Z114" i="8"/>
  <c r="Y114" i="8"/>
  <c r="T114" i="8"/>
  <c r="S114" i="8"/>
  <c r="AD113" i="8"/>
  <c r="AC113" i="8"/>
  <c r="Z113" i="8"/>
  <c r="Y113" i="8"/>
  <c r="A113" i="8"/>
  <c r="AD112" i="8"/>
  <c r="AC112" i="8"/>
  <c r="Z112" i="8"/>
  <c r="Y112" i="8"/>
  <c r="A112" i="8"/>
  <c r="AD111" i="8"/>
  <c r="AC111" i="8"/>
  <c r="Z111" i="8"/>
  <c r="Y111" i="8"/>
  <c r="J111" i="8"/>
  <c r="A111" i="8"/>
  <c r="AD110" i="8"/>
  <c r="AC110" i="8"/>
  <c r="Z110" i="8"/>
  <c r="Y110" i="8"/>
  <c r="J110" i="8"/>
  <c r="A110" i="8"/>
  <c r="AD109" i="8"/>
  <c r="AC109" i="8"/>
  <c r="Z109" i="8"/>
  <c r="Y109" i="8"/>
  <c r="J109" i="8"/>
  <c r="A109" i="8"/>
  <c r="AD108" i="8"/>
  <c r="AC108" i="8"/>
  <c r="Z108" i="8"/>
  <c r="Y108" i="8"/>
  <c r="A108" i="8"/>
  <c r="AD107" i="8"/>
  <c r="AC107" i="8"/>
  <c r="Z107" i="8"/>
  <c r="Y107" i="8"/>
  <c r="AD106" i="8"/>
  <c r="AC106" i="8"/>
  <c r="AB106" i="8"/>
  <c r="Z106" i="8"/>
  <c r="Y106" i="8"/>
  <c r="T106" i="8"/>
  <c r="S106" i="8"/>
  <c r="AD105" i="8"/>
  <c r="AC105" i="8"/>
  <c r="Z105" i="8"/>
  <c r="Y105" i="8"/>
  <c r="J105" i="8"/>
  <c r="A105" i="8"/>
  <c r="AD104" i="8"/>
  <c r="AC104" i="8"/>
  <c r="Z104" i="8"/>
  <c r="Y104" i="8"/>
  <c r="J104" i="8"/>
  <c r="A104" i="8"/>
  <c r="AD103" i="8"/>
  <c r="AC103" i="8"/>
  <c r="Z103" i="8"/>
  <c r="Y103" i="8"/>
  <c r="J103" i="8"/>
  <c r="A103" i="8"/>
  <c r="AD102" i="8"/>
  <c r="AC102" i="8"/>
  <c r="Z102" i="8"/>
  <c r="Y102" i="8"/>
  <c r="J102" i="8"/>
  <c r="A102" i="8"/>
  <c r="AD101" i="8"/>
  <c r="AC101" i="8"/>
  <c r="Z101" i="8"/>
  <c r="Y101" i="8"/>
  <c r="J101" i="8"/>
  <c r="A101" i="8"/>
  <c r="AD100" i="8"/>
  <c r="AC100" i="8"/>
  <c r="Z100" i="8"/>
  <c r="Y100" i="8"/>
  <c r="A100" i="8"/>
  <c r="AD99" i="8"/>
  <c r="AC99" i="8"/>
  <c r="Z99" i="8"/>
  <c r="Y99" i="8"/>
  <c r="A99" i="8"/>
  <c r="AD98" i="8"/>
  <c r="AC98" i="8"/>
  <c r="Z98" i="8"/>
  <c r="Y98" i="8"/>
  <c r="Q98" i="8"/>
  <c r="A98" i="8"/>
  <c r="AD97" i="8"/>
  <c r="AC97" i="8"/>
  <c r="Z97" i="8"/>
  <c r="Y97" i="8"/>
  <c r="J97" i="8"/>
  <c r="A97" i="8"/>
  <c r="AD96" i="8"/>
  <c r="AC96" i="8"/>
  <c r="AB96" i="8"/>
  <c r="Z96" i="8"/>
  <c r="Y96" i="8"/>
  <c r="A96" i="8"/>
  <c r="AD95" i="8"/>
  <c r="AC95" i="8"/>
  <c r="Z95" i="8"/>
  <c r="Y95" i="8"/>
  <c r="J95" i="8"/>
  <c r="AD94" i="8"/>
  <c r="AC94" i="8"/>
  <c r="AB94" i="8"/>
  <c r="Z94" i="8"/>
  <c r="Y94" i="8"/>
  <c r="X94" i="8"/>
  <c r="T94" i="8"/>
  <c r="AD93" i="8"/>
  <c r="AC93" i="8"/>
  <c r="Z93" i="8"/>
  <c r="Y93" i="8"/>
  <c r="J93" i="8"/>
  <c r="A93" i="8"/>
  <c r="AD92" i="8"/>
  <c r="AC92" i="8"/>
  <c r="Z92" i="8"/>
  <c r="Y92" i="8"/>
  <c r="J92" i="8"/>
  <c r="A92" i="8"/>
  <c r="AD91" i="8"/>
  <c r="AC91" i="8"/>
  <c r="Z91" i="8"/>
  <c r="Y91" i="8"/>
  <c r="J91" i="8"/>
  <c r="A91" i="8"/>
  <c r="AD90" i="8"/>
  <c r="AC90" i="8"/>
  <c r="Z90" i="8"/>
  <c r="Y90" i="8"/>
  <c r="J90" i="8"/>
  <c r="A90" i="8"/>
  <c r="AD89" i="8"/>
  <c r="AC89" i="8"/>
  <c r="Z89" i="8"/>
  <c r="Y89" i="8"/>
  <c r="J89" i="8"/>
  <c r="A89" i="8"/>
  <c r="AD88" i="8"/>
  <c r="AC88" i="8"/>
  <c r="Z88" i="8"/>
  <c r="Y88" i="8"/>
  <c r="J88" i="8"/>
  <c r="AD87" i="8"/>
  <c r="AC87" i="8"/>
  <c r="AB87" i="8"/>
  <c r="Z87" i="8"/>
  <c r="Y87" i="8"/>
  <c r="X87" i="8"/>
  <c r="S87" i="8"/>
  <c r="AD86" i="8"/>
  <c r="AC86" i="8"/>
  <c r="Z86" i="8"/>
  <c r="Y86" i="8"/>
  <c r="Q86" i="8"/>
  <c r="A86" i="8"/>
  <c r="AD85" i="8"/>
  <c r="AC85" i="8"/>
  <c r="Z85" i="8"/>
  <c r="Y85" i="8"/>
  <c r="Q85" i="8"/>
  <c r="A85" i="8"/>
  <c r="AD84" i="8"/>
  <c r="AC84" i="8"/>
  <c r="Z84" i="8"/>
  <c r="Y84" i="8"/>
  <c r="R84" i="8"/>
  <c r="Q84" i="8"/>
  <c r="A84" i="8"/>
  <c r="AD83" i="8"/>
  <c r="AC83" i="8"/>
  <c r="Z83" i="8"/>
  <c r="Y83" i="8"/>
  <c r="A83" i="8"/>
  <c r="AD82" i="8"/>
  <c r="AC82" i="8"/>
  <c r="Z82" i="8"/>
  <c r="Y82" i="8"/>
  <c r="AD81" i="8"/>
  <c r="AC81" i="8"/>
  <c r="AB81" i="8"/>
  <c r="Z81" i="8"/>
  <c r="Y81" i="8"/>
  <c r="X81" i="8"/>
  <c r="AD80" i="8"/>
  <c r="AC80" i="8"/>
  <c r="Z80" i="8"/>
  <c r="Y80" i="8"/>
  <c r="A80" i="8"/>
  <c r="AD79" i="8"/>
  <c r="AC79" i="8"/>
  <c r="Z79" i="8"/>
  <c r="Y79" i="8"/>
  <c r="A79" i="8"/>
  <c r="AD78" i="8"/>
  <c r="AC78" i="8"/>
  <c r="Z78" i="8"/>
  <c r="Y78" i="8"/>
  <c r="A78" i="8"/>
  <c r="AD77" i="8"/>
  <c r="AC77" i="8"/>
  <c r="Z77" i="8"/>
  <c r="Y77" i="8"/>
  <c r="A77" i="8"/>
  <c r="AD76" i="8"/>
  <c r="AC76" i="8"/>
  <c r="Z76" i="8"/>
  <c r="Y76" i="8"/>
  <c r="A76" i="8"/>
  <c r="AD75" i="8"/>
  <c r="AC75" i="8"/>
  <c r="Z75" i="8"/>
  <c r="Y75" i="8"/>
  <c r="A75" i="8"/>
  <c r="AD74" i="8"/>
  <c r="AC74" i="8"/>
  <c r="AB74" i="8"/>
  <c r="Z74" i="8"/>
  <c r="Y74" i="8"/>
  <c r="A74" i="8"/>
  <c r="AD73" i="8"/>
  <c r="AC73" i="8"/>
  <c r="Z73" i="8"/>
  <c r="Y73" i="8"/>
  <c r="J73" i="8"/>
  <c r="A73" i="8"/>
  <c r="AD72" i="8"/>
  <c r="AC72" i="8"/>
  <c r="Z72" i="8"/>
  <c r="Y72" i="8"/>
  <c r="Q72" i="8"/>
  <c r="A72" i="8"/>
  <c r="AD71" i="8"/>
  <c r="AC71" i="8"/>
  <c r="Z71" i="8"/>
  <c r="Y71" i="8"/>
  <c r="A71" i="8"/>
  <c r="AD70" i="8"/>
  <c r="AC70" i="8"/>
  <c r="Z70" i="8"/>
  <c r="Y70" i="8"/>
  <c r="A70" i="8"/>
  <c r="AD69" i="8"/>
  <c r="AC69" i="8"/>
  <c r="Z69" i="8"/>
  <c r="Y69" i="8"/>
  <c r="AC68" i="8"/>
  <c r="AB68" i="8"/>
  <c r="Z68" i="8"/>
  <c r="Y68" i="8"/>
  <c r="X68" i="8"/>
  <c r="AC67" i="8"/>
  <c r="Z67" i="8"/>
  <c r="Y67" i="8"/>
  <c r="Q67" i="8"/>
  <c r="A67" i="8"/>
  <c r="AC66" i="8"/>
  <c r="Z66" i="8"/>
  <c r="Y66" i="8"/>
  <c r="J66" i="8"/>
  <c r="A66" i="8"/>
  <c r="AC65" i="8"/>
  <c r="Z65" i="8"/>
  <c r="Y65" i="8"/>
  <c r="A65" i="8"/>
  <c r="AC64" i="8"/>
  <c r="Z64" i="8"/>
  <c r="Y64" i="8"/>
  <c r="A64" i="8"/>
  <c r="AC63" i="8"/>
  <c r="Z63" i="8"/>
  <c r="Y63" i="8"/>
  <c r="A63" i="8"/>
  <c r="AC62" i="8"/>
  <c r="Z62" i="8"/>
  <c r="Y62" i="8"/>
  <c r="A62" i="8"/>
  <c r="AC61" i="8"/>
  <c r="Z61" i="8"/>
  <c r="Y61" i="8"/>
  <c r="A61" i="8"/>
  <c r="AC60" i="8"/>
  <c r="Z60" i="8"/>
  <c r="Y60" i="8"/>
  <c r="A60" i="8"/>
  <c r="AC59" i="8"/>
  <c r="Z59" i="8"/>
  <c r="Y59" i="8"/>
  <c r="A59" i="8"/>
  <c r="AC58" i="8"/>
  <c r="Z58" i="8"/>
  <c r="Y58" i="8"/>
  <c r="A58" i="8"/>
  <c r="AC57" i="8"/>
  <c r="Z57" i="8"/>
  <c r="Y57" i="8"/>
  <c r="J57" i="8"/>
  <c r="A57" i="8"/>
  <c r="AC56" i="8"/>
  <c r="Z56" i="8"/>
  <c r="Y56" i="8"/>
  <c r="AC55" i="8"/>
  <c r="AB55" i="8"/>
  <c r="Z55" i="8"/>
  <c r="Y55" i="8"/>
  <c r="X55" i="8"/>
  <c r="AC54" i="8"/>
  <c r="Z54" i="8"/>
  <c r="Y54" i="8"/>
  <c r="J54" i="8"/>
  <c r="A54" i="8"/>
  <c r="AC53" i="8"/>
  <c r="Z53" i="8"/>
  <c r="Y53" i="8"/>
  <c r="J53" i="8"/>
  <c r="A53" i="8"/>
  <c r="AC52" i="8"/>
  <c r="Z52" i="8"/>
  <c r="Y52" i="8"/>
  <c r="A52" i="8"/>
  <c r="AC51" i="8"/>
  <c r="Z51" i="8"/>
  <c r="Y51" i="8"/>
  <c r="J51" i="8"/>
  <c r="A51" i="8"/>
  <c r="AC50" i="8"/>
  <c r="Z50" i="8"/>
  <c r="Y50" i="8"/>
  <c r="A50" i="8"/>
  <c r="AC49" i="8"/>
  <c r="Z49" i="8"/>
  <c r="Y49" i="8"/>
  <c r="J49" i="8"/>
  <c r="A49" i="8"/>
  <c r="AC48" i="8"/>
  <c r="Z48" i="8"/>
  <c r="Y48" i="8"/>
  <c r="A48" i="8"/>
  <c r="AC47" i="8"/>
  <c r="Z47" i="8"/>
  <c r="Y47" i="8"/>
  <c r="J47" i="8"/>
  <c r="A47" i="8"/>
  <c r="AC46" i="8"/>
  <c r="Z46" i="8"/>
  <c r="Y46" i="8"/>
  <c r="AC45" i="8"/>
  <c r="AB45" i="8"/>
  <c r="Z45" i="8"/>
  <c r="Y45" i="8"/>
  <c r="X45" i="8"/>
  <c r="AC44" i="8"/>
  <c r="Z44" i="8"/>
  <c r="Y44" i="8"/>
  <c r="J44" i="8"/>
  <c r="A44" i="8"/>
  <c r="AC43" i="8"/>
  <c r="Z43" i="8"/>
  <c r="Y43" i="8"/>
  <c r="A43" i="8"/>
  <c r="AC42" i="8"/>
  <c r="Z42" i="8"/>
  <c r="Y42" i="8"/>
  <c r="A42" i="8"/>
  <c r="AC41" i="8"/>
  <c r="Z41" i="8"/>
  <c r="Y41" i="8"/>
  <c r="J41" i="8"/>
  <c r="A41" i="8"/>
  <c r="AC40" i="8"/>
  <c r="Z40" i="8"/>
  <c r="Y40" i="8"/>
  <c r="A40" i="8"/>
  <c r="AC39" i="8"/>
  <c r="Z39" i="8"/>
  <c r="Y39" i="8"/>
  <c r="A39" i="8"/>
  <c r="AC38" i="8"/>
  <c r="Z38" i="8"/>
  <c r="Y38" i="8"/>
  <c r="A38" i="8"/>
  <c r="AC37" i="8"/>
  <c r="Z37" i="8"/>
  <c r="Y37" i="8"/>
  <c r="J37" i="8"/>
  <c r="A37" i="8"/>
  <c r="AC36" i="8"/>
  <c r="Z36" i="8"/>
  <c r="Y36" i="8"/>
  <c r="A36" i="8"/>
  <c r="AC35" i="8"/>
  <c r="AB35" i="8"/>
  <c r="Z35" i="8"/>
  <c r="Y35" i="8"/>
  <c r="AC34" i="8"/>
  <c r="AB34" i="8"/>
  <c r="Z34" i="8"/>
  <c r="Y34" i="8"/>
  <c r="X34" i="8"/>
  <c r="AC33" i="8"/>
  <c r="AB33" i="8"/>
  <c r="Z33" i="8"/>
  <c r="Y33" i="8"/>
  <c r="A33" i="8"/>
  <c r="AC32" i="8"/>
  <c r="Z32" i="8"/>
  <c r="Y32" i="8"/>
  <c r="A32" i="8"/>
  <c r="AC31" i="8"/>
  <c r="Z31" i="8"/>
  <c r="Y31" i="8"/>
  <c r="J31" i="8"/>
  <c r="A31" i="8"/>
  <c r="AC30" i="8"/>
  <c r="Z30" i="8"/>
  <c r="Y30" i="8"/>
  <c r="J30" i="8"/>
  <c r="A30" i="8"/>
  <c r="AC29" i="8"/>
  <c r="Z29" i="8"/>
  <c r="Y29" i="8"/>
  <c r="A29" i="8"/>
  <c r="AC28" i="8"/>
  <c r="Z28" i="8"/>
  <c r="Y28" i="8"/>
  <c r="A28" i="8"/>
  <c r="AC27" i="8"/>
  <c r="Z27" i="8"/>
  <c r="Y27" i="8"/>
  <c r="AC26" i="8"/>
  <c r="AB26" i="8"/>
  <c r="Z26" i="8"/>
  <c r="Y26" i="8"/>
  <c r="X26" i="8"/>
  <c r="AD25" i="8"/>
  <c r="AC25" i="8"/>
  <c r="Z25" i="8"/>
  <c r="Y25" i="8"/>
  <c r="A25" i="8"/>
  <c r="AD24" i="8"/>
  <c r="AC24" i="8"/>
  <c r="Z24" i="8"/>
  <c r="Y24" i="8"/>
  <c r="A24" i="8"/>
  <c r="AD23" i="8"/>
  <c r="AC23" i="8"/>
  <c r="Z23" i="8"/>
  <c r="Y23" i="8"/>
  <c r="J23" i="8"/>
  <c r="A23" i="8"/>
  <c r="AD22" i="8"/>
  <c r="AC22" i="8"/>
  <c r="Z22" i="8"/>
  <c r="Y22" i="8"/>
  <c r="J22" i="8"/>
  <c r="A22" i="8"/>
  <c r="AD21" i="8"/>
  <c r="AC21" i="8"/>
  <c r="Z21" i="8"/>
  <c r="Y21" i="8"/>
  <c r="A21" i="8"/>
  <c r="AD20" i="8"/>
  <c r="AC20" i="8"/>
  <c r="Z20" i="8"/>
  <c r="Y20" i="8"/>
  <c r="A20" i="8"/>
  <c r="AD19" i="8"/>
  <c r="AC19" i="8"/>
  <c r="Z19" i="8"/>
  <c r="Y19" i="8"/>
  <c r="J19" i="8"/>
  <c r="A19" i="8"/>
  <c r="AD18" i="8"/>
  <c r="AC18" i="8"/>
  <c r="Z18" i="8"/>
  <c r="Y18" i="8"/>
  <c r="J18" i="8"/>
  <c r="F18" i="8"/>
  <c r="A18" i="8"/>
  <c r="AD17" i="8"/>
  <c r="AC17" i="8"/>
  <c r="Z17" i="8"/>
  <c r="Y17" i="8"/>
  <c r="AC16" i="8"/>
  <c r="AB16" i="8"/>
  <c r="Z16" i="8"/>
  <c r="Y16" i="8"/>
  <c r="X16" i="8"/>
  <c r="AC15" i="8"/>
  <c r="Z15" i="8"/>
  <c r="Y15" i="8"/>
  <c r="AC14" i="8"/>
  <c r="AB14" i="8"/>
  <c r="Z14" i="8"/>
  <c r="Y14" i="8"/>
  <c r="J14" i="8"/>
  <c r="AC13" i="8"/>
  <c r="AB13" i="8"/>
  <c r="Z13" i="8"/>
  <c r="Y13" i="8"/>
  <c r="J13" i="8"/>
  <c r="AC12" i="8"/>
  <c r="Z12" i="8"/>
  <c r="Y12" i="8"/>
  <c r="AC11" i="8"/>
  <c r="AB11" i="8"/>
  <c r="Z11" i="8"/>
  <c r="Y11" i="8"/>
  <c r="J11" i="8"/>
  <c r="AC10" i="8"/>
  <c r="Z10" i="8"/>
  <c r="Y10" i="8"/>
  <c r="AC9" i="8"/>
  <c r="Z9" i="8"/>
  <c r="Y9" i="8"/>
  <c r="AC8" i="8"/>
  <c r="AB8" i="8"/>
  <c r="Z8" i="8"/>
  <c r="Y8" i="8"/>
  <c r="J8" i="8"/>
  <c r="AC7" i="8"/>
  <c r="Z7" i="8"/>
  <c r="Y7" i="8"/>
  <c r="AC6" i="8"/>
  <c r="Z6" i="8"/>
  <c r="Y6" i="8"/>
  <c r="AC5" i="8"/>
  <c r="AB5" i="8"/>
  <c r="Z5" i="8"/>
  <c r="Y5" i="8"/>
  <c r="AG472" i="3"/>
  <c r="AC472" i="3"/>
  <c r="AF470" i="3"/>
  <c r="AG470" i="3"/>
  <c r="AG469" i="3"/>
  <c r="AF469" i="3"/>
  <c r="AC467" i="3"/>
  <c r="AF466" i="3"/>
  <c r="AG466" i="3"/>
  <c r="AC466" i="3"/>
  <c r="AF465" i="3"/>
  <c r="AG465" i="3"/>
  <c r="AC465" i="3"/>
  <c r="AF464" i="3"/>
  <c r="AC464" i="3"/>
  <c r="AC463" i="3"/>
  <c r="AG462" i="3"/>
  <c r="AC462" i="3"/>
  <c r="AG461" i="3"/>
  <c r="AC461" i="3"/>
  <c r="AB461" i="3"/>
  <c r="AE459" i="3"/>
  <c r="AC459" i="3"/>
  <c r="AB459" i="3"/>
  <c r="AE458" i="3"/>
  <c r="AG458" i="3" s="1"/>
  <c r="AC458" i="3"/>
  <c r="AB458" i="3"/>
  <c r="AE457" i="3"/>
  <c r="AG457" i="3" s="1"/>
  <c r="AC457" i="3"/>
  <c r="AB457" i="3"/>
  <c r="AE456" i="3"/>
  <c r="AG456" i="3" s="1"/>
  <c r="AC456" i="3"/>
  <c r="AB456" i="3"/>
  <c r="AE455" i="3"/>
  <c r="AG455" i="3" s="1"/>
  <c r="AC455" i="3"/>
  <c r="AB455" i="3"/>
  <c r="B455" i="3"/>
  <c r="B456" i="3" s="1"/>
  <c r="B457" i="3" s="1"/>
  <c r="B458" i="3" s="1"/>
  <c r="B459" i="3" s="1"/>
  <c r="B462" i="3" s="1"/>
  <c r="B463" i="3" s="1"/>
  <c r="B464" i="3" s="1"/>
  <c r="B465" i="3" s="1"/>
  <c r="B466" i="3" s="1"/>
  <c r="B470" i="3" s="1"/>
  <c r="B471" i="3" s="1"/>
  <c r="B472" i="3" s="1"/>
  <c r="B475" i="3" s="1"/>
  <c r="AE454" i="3"/>
  <c r="AG454" i="3" s="1"/>
  <c r="AC454" i="3"/>
  <c r="AB454" i="3"/>
  <c r="AE452" i="3"/>
  <c r="AG452" i="3" s="1"/>
  <c r="AC452" i="3"/>
  <c r="AB452" i="3"/>
  <c r="AE451" i="3"/>
  <c r="AC451" i="3"/>
  <c r="AB451" i="3"/>
  <c r="AE449" i="3"/>
  <c r="AC449" i="3"/>
  <c r="AB449" i="3"/>
  <c r="AE448" i="3"/>
  <c r="AG448" i="3" s="1"/>
  <c r="AC448" i="3"/>
  <c r="AB448" i="3"/>
  <c r="AE447" i="3"/>
  <c r="AG447" i="3" s="1"/>
  <c r="AC447" i="3"/>
  <c r="AB447" i="3"/>
  <c r="AE446" i="3"/>
  <c r="AG446" i="3" s="1"/>
  <c r="AC446" i="3"/>
  <c r="AB446" i="3"/>
  <c r="AE445" i="3"/>
  <c r="AG445" i="3" s="1"/>
  <c r="AC445" i="3"/>
  <c r="W445" i="3"/>
  <c r="AB445" i="3" s="1"/>
  <c r="AE444" i="3"/>
  <c r="AG444" i="3" s="1"/>
  <c r="AC444" i="3"/>
  <c r="AB444" i="3"/>
  <c r="AE443" i="3"/>
  <c r="AG443" i="3" s="1"/>
  <c r="AC443" i="3"/>
  <c r="AB443" i="3"/>
  <c r="AE442" i="3"/>
  <c r="AG442" i="3" s="1"/>
  <c r="AC442" i="3"/>
  <c r="AB442" i="3"/>
  <c r="AE441" i="3"/>
  <c r="AG441" i="3" s="1"/>
  <c r="AC441" i="3"/>
  <c r="AB441" i="3"/>
  <c r="B441" i="3"/>
  <c r="B442" i="3" s="1"/>
  <c r="B443" i="3" s="1"/>
  <c r="B444" i="3" s="1"/>
  <c r="B445" i="3" s="1"/>
  <c r="B446" i="3" s="1"/>
  <c r="B447" i="3" s="1"/>
  <c r="B448" i="3" s="1"/>
  <c r="B449" i="3" s="1"/>
  <c r="AE440" i="3"/>
  <c r="AG440" i="3" s="1"/>
  <c r="AC440" i="3"/>
  <c r="AB440" i="3"/>
  <c r="AE438" i="3"/>
  <c r="AG438" i="3" s="1"/>
  <c r="AC438" i="3"/>
  <c r="W438" i="3"/>
  <c r="AB438" i="3" s="1"/>
  <c r="AE437" i="3"/>
  <c r="AG437" i="3" s="1"/>
  <c r="AC437" i="3"/>
  <c r="AB437" i="3"/>
  <c r="AE436" i="3"/>
  <c r="AG436" i="3" s="1"/>
  <c r="AC436" i="3"/>
  <c r="AB436" i="3"/>
  <c r="AE435" i="3"/>
  <c r="AG435" i="3" s="1"/>
  <c r="AC435" i="3"/>
  <c r="AB435" i="3"/>
  <c r="AE434" i="3"/>
  <c r="AG434" i="3" s="1"/>
  <c r="AC434" i="3"/>
  <c r="AB434" i="3"/>
  <c r="AE433" i="3"/>
  <c r="AG433" i="3" s="1"/>
  <c r="AC433" i="3"/>
  <c r="AB433" i="3"/>
  <c r="AE432" i="3"/>
  <c r="AG432" i="3" s="1"/>
  <c r="AC432" i="3"/>
  <c r="AB432" i="3"/>
  <c r="B432" i="3"/>
  <c r="B433" i="3" s="1"/>
  <c r="B434" i="3" s="1"/>
  <c r="B435" i="3" s="1"/>
  <c r="B436" i="3" s="1"/>
  <c r="B437" i="3" s="1"/>
  <c r="B438" i="3" s="1"/>
  <c r="AE431" i="3"/>
  <c r="AG431" i="3" s="1"/>
  <c r="AC431" i="3"/>
  <c r="AB431" i="3"/>
  <c r="AE429" i="3"/>
  <c r="AG429" i="3" s="1"/>
  <c r="AC429" i="3"/>
  <c r="X429" i="3"/>
  <c r="W429" i="3"/>
  <c r="AE428" i="3"/>
  <c r="AG428" i="3" s="1"/>
  <c r="AC428" i="3"/>
  <c r="W428" i="3"/>
  <c r="AB428" i="3" s="1"/>
  <c r="AE427" i="3"/>
  <c r="AG427" i="3" s="1"/>
  <c r="AC427" i="3"/>
  <c r="AB427" i="3"/>
  <c r="AE426" i="3"/>
  <c r="AG426" i="3" s="1"/>
  <c r="AC426" i="3"/>
  <c r="AB426" i="3"/>
  <c r="AE425" i="3"/>
  <c r="AG425" i="3" s="1"/>
  <c r="AC425" i="3"/>
  <c r="AB425" i="3"/>
  <c r="AE424" i="3"/>
  <c r="AC424" i="3"/>
  <c r="AB424" i="3"/>
  <c r="AE423" i="3"/>
  <c r="AG423" i="3" s="1"/>
  <c r="AC423" i="3"/>
  <c r="AB423" i="3"/>
  <c r="AE422" i="3"/>
  <c r="AG422" i="3" s="1"/>
  <c r="AC422" i="3"/>
  <c r="AB422" i="3"/>
  <c r="AE421" i="3"/>
  <c r="AG421" i="3" s="1"/>
  <c r="AC421" i="3"/>
  <c r="AB421" i="3"/>
  <c r="AE420" i="3"/>
  <c r="AG420" i="3" s="1"/>
  <c r="AC420" i="3"/>
  <c r="AB420" i="3"/>
  <c r="AE419" i="3"/>
  <c r="AG419" i="3" s="1"/>
  <c r="AC419" i="3"/>
  <c r="AB419" i="3"/>
  <c r="AE418" i="3"/>
  <c r="AG418" i="3" s="1"/>
  <c r="AC418" i="3"/>
  <c r="AB418" i="3"/>
  <c r="AE417" i="3"/>
  <c r="AG417" i="3" s="1"/>
  <c r="AC417" i="3"/>
  <c r="AB417" i="3"/>
  <c r="AE416" i="3"/>
  <c r="AG416" i="3" s="1"/>
  <c r="AC416" i="3"/>
  <c r="AB416" i="3"/>
  <c r="AE415" i="3"/>
  <c r="AG415" i="3" s="1"/>
  <c r="AC415" i="3"/>
  <c r="AB415" i="3"/>
  <c r="AE414" i="3"/>
  <c r="AG414" i="3" s="1"/>
  <c r="AC414" i="3"/>
  <c r="AB414" i="3"/>
  <c r="AE412" i="3"/>
  <c r="AG412" i="3" s="1"/>
  <c r="AC412" i="3"/>
  <c r="AB412" i="3"/>
  <c r="AE411" i="3"/>
  <c r="AG411" i="3" s="1"/>
  <c r="AC411" i="3"/>
  <c r="AB411" i="3"/>
  <c r="AE410" i="3"/>
  <c r="AG410" i="3" s="1"/>
  <c r="AC410" i="3"/>
  <c r="AB410" i="3"/>
  <c r="AE409" i="3"/>
  <c r="AG409" i="3" s="1"/>
  <c r="AC409" i="3"/>
  <c r="AB409" i="3"/>
  <c r="AE408" i="3"/>
  <c r="AG408" i="3" s="1"/>
  <c r="AC408" i="3"/>
  <c r="AB408" i="3"/>
  <c r="AE407" i="3"/>
  <c r="AG407" i="3" s="1"/>
  <c r="AC407" i="3"/>
  <c r="AB407" i="3"/>
  <c r="AE406" i="3"/>
  <c r="AG406" i="3" s="1"/>
  <c r="AC406" i="3"/>
  <c r="AB406" i="3"/>
  <c r="AE405" i="3"/>
  <c r="AG405" i="3" s="1"/>
  <c r="AC405" i="3"/>
  <c r="AB405" i="3"/>
  <c r="AE404" i="3"/>
  <c r="AG404" i="3" s="1"/>
  <c r="AC404" i="3"/>
  <c r="W404" i="3"/>
  <c r="AB404" i="3" s="1"/>
  <c r="AE403" i="3"/>
  <c r="AG403" i="3" s="1"/>
  <c r="AC403" i="3"/>
  <c r="AB403" i="3"/>
  <c r="AE402" i="3"/>
  <c r="AG402" i="3" s="1"/>
  <c r="AC402" i="3"/>
  <c r="AB402" i="3"/>
  <c r="AE401" i="3"/>
  <c r="AG401" i="3" s="1"/>
  <c r="AC401" i="3"/>
  <c r="AB401" i="3"/>
  <c r="AE400" i="3"/>
  <c r="AC400" i="3"/>
  <c r="AB400" i="3"/>
  <c r="AE399" i="3"/>
  <c r="AG399" i="3" s="1"/>
  <c r="AC399" i="3"/>
  <c r="AB399" i="3"/>
  <c r="AE398" i="3"/>
  <c r="AC398" i="3"/>
  <c r="AB398" i="3"/>
  <c r="AE397" i="3"/>
  <c r="AG397" i="3" s="1"/>
  <c r="AC397" i="3"/>
  <c r="AB397" i="3"/>
  <c r="AE396" i="3"/>
  <c r="AG396" i="3" s="1"/>
  <c r="AC396" i="3"/>
  <c r="AB396" i="3"/>
  <c r="AE395" i="3"/>
  <c r="AG395" i="3" s="1"/>
  <c r="AC395" i="3"/>
  <c r="W395" i="3"/>
  <c r="AB395" i="3" s="1"/>
  <c r="AF395" i="3" s="1"/>
  <c r="AE394" i="3"/>
  <c r="AG394" i="3" s="1"/>
  <c r="AC394" i="3"/>
  <c r="AB394" i="3"/>
  <c r="AE393" i="3"/>
  <c r="AG393" i="3" s="1"/>
  <c r="AC393" i="3"/>
  <c r="AB393" i="3"/>
  <c r="AE392" i="3"/>
  <c r="AG392" i="3" s="1"/>
  <c r="AC392" i="3"/>
  <c r="AB392" i="3"/>
  <c r="AE391" i="3"/>
  <c r="AG391" i="3" s="1"/>
  <c r="AC391" i="3"/>
  <c r="AB391" i="3"/>
  <c r="AE390" i="3"/>
  <c r="AC390" i="3"/>
  <c r="AB390" i="3"/>
  <c r="AE389" i="3"/>
  <c r="AC389" i="3"/>
  <c r="AB389" i="3"/>
  <c r="AE388" i="3"/>
  <c r="AG388" i="3" s="1"/>
  <c r="AC388" i="3"/>
  <c r="X388" i="3"/>
  <c r="X413" i="3" s="1"/>
  <c r="W388" i="3"/>
  <c r="AE387" i="3"/>
  <c r="AG387" i="3" s="1"/>
  <c r="AC387" i="3"/>
  <c r="AB387" i="3"/>
  <c r="AF387" i="3" s="1"/>
  <c r="W386" i="3"/>
  <c r="X386" i="3" s="1"/>
  <c r="AE385" i="3"/>
  <c r="AG385" i="3" s="1"/>
  <c r="AE384" i="3"/>
  <c r="AG384" i="3" s="1"/>
  <c r="AC384" i="3"/>
  <c r="AB384" i="3"/>
  <c r="AE383" i="3"/>
  <c r="AG383" i="3" s="1"/>
  <c r="AC383" i="3"/>
  <c r="AB383" i="3"/>
  <c r="AE382" i="3"/>
  <c r="AG382" i="3" s="1"/>
  <c r="AC382" i="3"/>
  <c r="AB382" i="3"/>
  <c r="AE381" i="3"/>
  <c r="AG381" i="3" s="1"/>
  <c r="AC381" i="3"/>
  <c r="AB381" i="3"/>
  <c r="AE380" i="3"/>
  <c r="AG380" i="3" s="1"/>
  <c r="AC380" i="3"/>
  <c r="AB380" i="3"/>
  <c r="AE379" i="3"/>
  <c r="AG379" i="3" s="1"/>
  <c r="AC379" i="3"/>
  <c r="AB379" i="3"/>
  <c r="AE378" i="3"/>
  <c r="AC378" i="3"/>
  <c r="AB378" i="3"/>
  <c r="AE377" i="3"/>
  <c r="AG377" i="3" s="1"/>
  <c r="AC377" i="3"/>
  <c r="AB377" i="3"/>
  <c r="AE376" i="3"/>
  <c r="AC376" i="3"/>
  <c r="AB376" i="3"/>
  <c r="W375" i="3"/>
  <c r="X375" i="3" s="1"/>
  <c r="AE374" i="3"/>
  <c r="AG374" i="3" s="1"/>
  <c r="AC374" i="3"/>
  <c r="X374" i="3"/>
  <c r="AB374" i="3" s="1"/>
  <c r="AE373" i="3"/>
  <c r="AG373" i="3" s="1"/>
  <c r="AC373" i="3"/>
  <c r="AB373" i="3"/>
  <c r="AE372" i="3"/>
  <c r="AC372" i="3"/>
  <c r="AB372" i="3"/>
  <c r="AE371" i="3"/>
  <c r="AG371" i="3" s="1"/>
  <c r="AC371" i="3"/>
  <c r="AB371" i="3"/>
  <c r="AE370" i="3"/>
  <c r="AC370" i="3"/>
  <c r="X370" i="3"/>
  <c r="AB370" i="3" s="1"/>
  <c r="AE369" i="3"/>
  <c r="AG369" i="3" s="1"/>
  <c r="AC369" i="3"/>
  <c r="AB369" i="3"/>
  <c r="AE368" i="3"/>
  <c r="AG368" i="3" s="1"/>
  <c r="AC368" i="3"/>
  <c r="AB368" i="3"/>
  <c r="AE367" i="3"/>
  <c r="AG367" i="3" s="1"/>
  <c r="AC367" i="3"/>
  <c r="AB367" i="3"/>
  <c r="AE366" i="3"/>
  <c r="AG366" i="3" s="1"/>
  <c r="AC366" i="3"/>
  <c r="W366" i="3"/>
  <c r="AB366" i="3" s="1"/>
  <c r="AE365" i="3"/>
  <c r="AC365" i="3"/>
  <c r="AB365" i="3"/>
  <c r="AE364" i="3"/>
  <c r="AG364" i="3" s="1"/>
  <c r="AC364" i="3"/>
  <c r="AB364" i="3"/>
  <c r="AF364" i="3" s="1"/>
  <c r="AE363" i="3"/>
  <c r="AG363" i="3" s="1"/>
  <c r="AC363" i="3"/>
  <c r="AB363" i="3"/>
  <c r="AE362" i="3"/>
  <c r="AG362" i="3" s="1"/>
  <c r="AC362" i="3"/>
  <c r="AB362" i="3"/>
  <c r="AE361" i="3"/>
  <c r="AG361" i="3" s="1"/>
  <c r="AC361" i="3"/>
  <c r="AB361" i="3"/>
  <c r="AE360" i="3"/>
  <c r="AG360" i="3" s="1"/>
  <c r="AC360" i="3"/>
  <c r="AB360" i="3"/>
  <c r="AE359" i="3"/>
  <c r="AG359" i="3" s="1"/>
  <c r="AB359" i="3"/>
  <c r="W358" i="3"/>
  <c r="X358" i="3" s="1"/>
  <c r="AG357" i="3"/>
  <c r="AE357" i="3"/>
  <c r="AC357" i="3"/>
  <c r="AB357" i="3"/>
  <c r="AF357" i="3" s="1"/>
  <c r="AE356" i="3"/>
  <c r="AG356" i="3" s="1"/>
  <c r="AC356" i="3"/>
  <c r="AB356" i="3"/>
  <c r="AE355" i="3"/>
  <c r="AG355" i="3" s="1"/>
  <c r="AC355" i="3"/>
  <c r="AB355" i="3"/>
  <c r="AE354" i="3"/>
  <c r="AC354" i="3"/>
  <c r="AB354" i="3"/>
  <c r="AE353" i="3"/>
  <c r="AG353" i="3" s="1"/>
  <c r="AC353" i="3"/>
  <c r="AB353" i="3"/>
  <c r="AE352" i="3"/>
  <c r="AC352" i="3"/>
  <c r="AB352" i="3"/>
  <c r="AE351" i="3"/>
  <c r="AG351" i="3" s="1"/>
  <c r="AC351" i="3"/>
  <c r="W351" i="3"/>
  <c r="AB351" i="3" s="1"/>
  <c r="AE350" i="3"/>
  <c r="AG350" i="3" s="1"/>
  <c r="AC350" i="3"/>
  <c r="W350" i="3"/>
  <c r="AB350" i="3" s="1"/>
  <c r="AE349" i="3"/>
  <c r="AG349" i="3" s="1"/>
  <c r="AC349" i="3"/>
  <c r="AB349" i="3"/>
  <c r="AE348" i="3"/>
  <c r="AG348" i="3" s="1"/>
  <c r="AC348" i="3"/>
  <c r="AB348" i="3"/>
  <c r="AE347" i="3"/>
  <c r="AG347" i="3" s="1"/>
  <c r="AC347" i="3"/>
  <c r="AB347" i="3"/>
  <c r="AE346" i="3"/>
  <c r="AG346" i="3" s="1"/>
  <c r="AC346" i="3"/>
  <c r="AB346" i="3"/>
  <c r="AE344" i="3"/>
  <c r="AG344" i="3" s="1"/>
  <c r="AC344" i="3"/>
  <c r="AB344" i="3"/>
  <c r="AE343" i="3"/>
  <c r="AG343" i="3" s="1"/>
  <c r="AC343" i="3"/>
  <c r="W343" i="3"/>
  <c r="AB343" i="3" s="1"/>
  <c r="AE342" i="3"/>
  <c r="AG342" i="3" s="1"/>
  <c r="AC342" i="3"/>
  <c r="AB342" i="3"/>
  <c r="W342" i="3"/>
  <c r="AE341" i="3"/>
  <c r="AG341" i="3" s="1"/>
  <c r="AC341" i="3"/>
  <c r="AB341" i="3"/>
  <c r="AE340" i="3"/>
  <c r="AG340" i="3" s="1"/>
  <c r="AC340" i="3"/>
  <c r="AB340" i="3"/>
  <c r="AE339" i="3"/>
  <c r="AG339" i="3" s="1"/>
  <c r="AC339" i="3"/>
  <c r="AB339" i="3"/>
  <c r="AE338" i="3"/>
  <c r="AG338" i="3" s="1"/>
  <c r="AC338" i="3"/>
  <c r="W338" i="3"/>
  <c r="AB338" i="3" s="1"/>
  <c r="AE337" i="3"/>
  <c r="AG337" i="3" s="1"/>
  <c r="AC337" i="3"/>
  <c r="AB337" i="3"/>
  <c r="AE336" i="3"/>
  <c r="AG336" i="3" s="1"/>
  <c r="AC336" i="3"/>
  <c r="AB336" i="3"/>
  <c r="AF336" i="3" s="1"/>
  <c r="AE335" i="3"/>
  <c r="AG335" i="3" s="1"/>
  <c r="AC335" i="3"/>
  <c r="AB335" i="3"/>
  <c r="AE334" i="3"/>
  <c r="AG334" i="3" s="1"/>
  <c r="AC334" i="3"/>
  <c r="W334" i="3"/>
  <c r="AB334" i="3" s="1"/>
  <c r="AM333" i="3"/>
  <c r="AE333" i="3"/>
  <c r="AG333" i="3" s="1"/>
  <c r="AC333" i="3"/>
  <c r="AB333" i="3"/>
  <c r="AE332" i="3"/>
  <c r="AG332" i="3" s="1"/>
  <c r="AC332" i="3"/>
  <c r="AB332" i="3"/>
  <c r="AE331" i="3"/>
  <c r="AG331" i="3" s="1"/>
  <c r="AC331" i="3"/>
  <c r="AB331" i="3"/>
  <c r="AE330" i="3"/>
  <c r="AG330" i="3" s="1"/>
  <c r="AC330" i="3"/>
  <c r="AB330" i="3"/>
  <c r="AE329" i="3"/>
  <c r="AG329" i="3" s="1"/>
  <c r="AC329" i="3"/>
  <c r="AB329" i="3"/>
  <c r="AE328" i="3"/>
  <c r="AG328" i="3" s="1"/>
  <c r="AC328" i="3"/>
  <c r="X328" i="3"/>
  <c r="W328" i="3"/>
  <c r="AE327" i="3"/>
  <c r="AG327" i="3" s="1"/>
  <c r="AC327" i="3"/>
  <c r="AB327" i="3"/>
  <c r="AE326" i="3"/>
  <c r="AC326" i="3"/>
  <c r="AB326" i="3"/>
  <c r="W326" i="3"/>
  <c r="W325" i="3"/>
  <c r="V325" i="3"/>
  <c r="AE324" i="3"/>
  <c r="AG324" i="3" s="1"/>
  <c r="AC324" i="3"/>
  <c r="AB324" i="3"/>
  <c r="AE323" i="3"/>
  <c r="AG323" i="3" s="1"/>
  <c r="AC323" i="3"/>
  <c r="AB323" i="3"/>
  <c r="AE322" i="3"/>
  <c r="AG322" i="3" s="1"/>
  <c r="AC322" i="3"/>
  <c r="AB322" i="3"/>
  <c r="AE321" i="3"/>
  <c r="AG321" i="3" s="1"/>
  <c r="AC321" i="3"/>
  <c r="W321" i="3"/>
  <c r="AB321" i="3" s="1"/>
  <c r="AE320" i="3"/>
  <c r="AG320" i="3" s="1"/>
  <c r="AC320" i="3"/>
  <c r="AB320" i="3"/>
  <c r="AE319" i="3"/>
  <c r="AG319" i="3" s="1"/>
  <c r="AC319" i="3"/>
  <c r="AB319" i="3"/>
  <c r="AE318" i="3"/>
  <c r="AG318" i="3" s="1"/>
  <c r="AC318" i="3"/>
  <c r="AB318" i="3"/>
  <c r="AE317" i="3"/>
  <c r="AG317" i="3" s="1"/>
  <c r="AC317" i="3"/>
  <c r="AB317" i="3"/>
  <c r="AE316" i="3"/>
  <c r="AC316" i="3"/>
  <c r="AB316" i="3"/>
  <c r="AE315" i="3"/>
  <c r="AG315" i="3" s="1"/>
  <c r="AC315" i="3"/>
  <c r="AB315" i="3"/>
  <c r="AE314" i="3"/>
  <c r="AG314" i="3" s="1"/>
  <c r="AC314" i="3"/>
  <c r="AB314" i="3"/>
  <c r="AD313" i="3"/>
  <c r="AD325" i="3" s="1"/>
  <c r="AE312" i="3"/>
  <c r="AG312" i="3" s="1"/>
  <c r="AC312" i="3"/>
  <c r="AB312" i="3"/>
  <c r="AE311" i="3"/>
  <c r="AG311" i="3" s="1"/>
  <c r="AC311" i="3"/>
  <c r="AB311" i="3"/>
  <c r="AE310" i="3"/>
  <c r="AG310" i="3" s="1"/>
  <c r="AC310" i="3"/>
  <c r="AB310" i="3"/>
  <c r="AE309" i="3"/>
  <c r="AG309" i="3" s="1"/>
  <c r="AC309" i="3"/>
  <c r="AB309" i="3"/>
  <c r="AE308" i="3"/>
  <c r="AG308" i="3" s="1"/>
  <c r="AC308" i="3"/>
  <c r="AB308" i="3"/>
  <c r="AE307" i="3"/>
  <c r="AG307" i="3" s="1"/>
  <c r="AC307" i="3"/>
  <c r="AB307" i="3"/>
  <c r="AE306" i="3"/>
  <c r="AG306" i="3" s="1"/>
  <c r="AC306" i="3"/>
  <c r="AB306" i="3"/>
  <c r="AE305" i="3"/>
  <c r="AG305" i="3" s="1"/>
  <c r="AC305" i="3"/>
  <c r="AB305" i="3"/>
  <c r="AE304" i="3"/>
  <c r="AG304" i="3" s="1"/>
  <c r="AC304" i="3"/>
  <c r="X304" i="3"/>
  <c r="AB304" i="3" s="1"/>
  <c r="AE303" i="3"/>
  <c r="AG303" i="3" s="1"/>
  <c r="AC303" i="3"/>
  <c r="AB303" i="3"/>
  <c r="AE302" i="3"/>
  <c r="AG302" i="3" s="1"/>
  <c r="AC302" i="3"/>
  <c r="AB302" i="3"/>
  <c r="AE301" i="3"/>
  <c r="AG301" i="3" s="1"/>
  <c r="AC301" i="3"/>
  <c r="AB301" i="3"/>
  <c r="AE300" i="3"/>
  <c r="AG300" i="3" s="1"/>
  <c r="AC300" i="3"/>
  <c r="AB300" i="3"/>
  <c r="AE299" i="3"/>
  <c r="AG299" i="3" s="1"/>
  <c r="AC299" i="3"/>
  <c r="AB299" i="3"/>
  <c r="AE298" i="3"/>
  <c r="AG298" i="3" s="1"/>
  <c r="AC298" i="3"/>
  <c r="AB298" i="3"/>
  <c r="AE297" i="3"/>
  <c r="AG297" i="3" s="1"/>
  <c r="AC297" i="3"/>
  <c r="AB297" i="3"/>
  <c r="AE296" i="3"/>
  <c r="AG296" i="3" s="1"/>
  <c r="X296" i="3"/>
  <c r="W296" i="3"/>
  <c r="AE295" i="3"/>
  <c r="AG295" i="3" s="1"/>
  <c r="AC295" i="3"/>
  <c r="AB295" i="3"/>
  <c r="AE294" i="3"/>
  <c r="AG294" i="3" s="1"/>
  <c r="AC294" i="3"/>
  <c r="X294" i="3"/>
  <c r="W294" i="3"/>
  <c r="AE293" i="3"/>
  <c r="AG293" i="3" s="1"/>
  <c r="AC293" i="3"/>
  <c r="X293" i="3"/>
  <c r="W293" i="3"/>
  <c r="AE292" i="3"/>
  <c r="AC292" i="3"/>
  <c r="AB292" i="3"/>
  <c r="AE291" i="3"/>
  <c r="AG291" i="3" s="1"/>
  <c r="AC291" i="3"/>
  <c r="AB291" i="3"/>
  <c r="AE290" i="3"/>
  <c r="AG290" i="3" s="1"/>
  <c r="AC290" i="3"/>
  <c r="AB290" i="3"/>
  <c r="AE289" i="3"/>
  <c r="AG289" i="3" s="1"/>
  <c r="AC289" i="3"/>
  <c r="AB289" i="3"/>
  <c r="AF289" i="3" s="1"/>
  <c r="AE288" i="3"/>
  <c r="AG288" i="3" s="1"/>
  <c r="AC288" i="3"/>
  <c r="V288" i="3"/>
  <c r="W313" i="3" s="1"/>
  <c r="V313" i="3" s="1"/>
  <c r="AE287" i="3"/>
  <c r="AG287" i="3" s="1"/>
  <c r="AC287" i="3"/>
  <c r="AB287" i="3"/>
  <c r="AE286" i="3"/>
  <c r="AG286" i="3" s="1"/>
  <c r="AC286" i="3"/>
  <c r="X286" i="3"/>
  <c r="W286" i="3"/>
  <c r="AE285" i="3"/>
  <c r="AG285" i="3" s="1"/>
  <c r="AC285" i="3"/>
  <c r="AB285" i="3"/>
  <c r="W284" i="3"/>
  <c r="V284" i="3" s="1"/>
  <c r="AE283" i="3"/>
  <c r="AG283" i="3" s="1"/>
  <c r="AC283" i="3"/>
  <c r="X283" i="3"/>
  <c r="W283" i="3"/>
  <c r="AE282" i="3"/>
  <c r="AG282" i="3" s="1"/>
  <c r="AC282" i="3"/>
  <c r="AB282" i="3"/>
  <c r="AE281" i="3"/>
  <c r="AG281" i="3" s="1"/>
  <c r="AC281" i="3"/>
  <c r="AB281" i="3"/>
  <c r="AE280" i="3"/>
  <c r="AG280" i="3" s="1"/>
  <c r="AC280" i="3"/>
  <c r="AB280" i="3"/>
  <c r="AE279" i="3"/>
  <c r="AG279" i="3" s="1"/>
  <c r="AC279" i="3"/>
  <c r="AB279" i="3"/>
  <c r="AE278" i="3"/>
  <c r="AG278" i="3" s="1"/>
  <c r="AC278" i="3"/>
  <c r="AB278" i="3"/>
  <c r="AE277" i="3"/>
  <c r="AG277" i="3" s="1"/>
  <c r="AC277" i="3"/>
  <c r="AB277" i="3"/>
  <c r="AE276" i="3"/>
  <c r="AG276" i="3" s="1"/>
  <c r="AC276" i="3"/>
  <c r="AB276" i="3"/>
  <c r="AE275" i="3"/>
  <c r="AG275" i="3" s="1"/>
  <c r="AC275" i="3"/>
  <c r="AB275" i="3"/>
  <c r="AE274" i="3"/>
  <c r="AG274" i="3" s="1"/>
  <c r="AC274" i="3"/>
  <c r="AB274" i="3"/>
  <c r="AE273" i="3"/>
  <c r="AG273" i="3" s="1"/>
  <c r="AC273" i="3"/>
  <c r="AB273" i="3"/>
  <c r="AE272" i="3"/>
  <c r="AG272" i="3" s="1"/>
  <c r="AC272" i="3"/>
  <c r="AB272" i="3"/>
  <c r="AE271" i="3"/>
  <c r="AG271" i="3" s="1"/>
  <c r="AC271" i="3"/>
  <c r="AB271" i="3"/>
  <c r="AE270" i="3"/>
  <c r="AG270" i="3" s="1"/>
  <c r="AC270" i="3"/>
  <c r="AB270" i="3"/>
  <c r="AE269" i="3"/>
  <c r="AC269" i="3"/>
  <c r="AB269" i="3"/>
  <c r="AE268" i="3"/>
  <c r="AG268" i="3" s="1"/>
  <c r="AC268" i="3"/>
  <c r="AB268" i="3"/>
  <c r="AE267" i="3"/>
  <c r="AG267" i="3" s="1"/>
  <c r="AC267" i="3"/>
  <c r="W267" i="3"/>
  <c r="AB267" i="3" s="1"/>
  <c r="AD266" i="3"/>
  <c r="AD284" i="3" s="1"/>
  <c r="AE265" i="3"/>
  <c r="AG265" i="3" s="1"/>
  <c r="AC265" i="3"/>
  <c r="AB265" i="3"/>
  <c r="AE264" i="3"/>
  <c r="AG264" i="3" s="1"/>
  <c r="AC264" i="3"/>
  <c r="AB264" i="3"/>
  <c r="AE263" i="3"/>
  <c r="AG263" i="3" s="1"/>
  <c r="AC263" i="3"/>
  <c r="AB263" i="3"/>
  <c r="AE262" i="3"/>
  <c r="AG262" i="3" s="1"/>
  <c r="AC262" i="3"/>
  <c r="AB262" i="3"/>
  <c r="AE261" i="3"/>
  <c r="AG261" i="3" s="1"/>
  <c r="AC261" i="3"/>
  <c r="AB261" i="3"/>
  <c r="AE260" i="3"/>
  <c r="AC260" i="3"/>
  <c r="AB260" i="3"/>
  <c r="AE259" i="3"/>
  <c r="AG259" i="3" s="1"/>
  <c r="AC259" i="3"/>
  <c r="AB259" i="3"/>
  <c r="AF259" i="3" s="1"/>
  <c r="AE258" i="3"/>
  <c r="AG258" i="3" s="1"/>
  <c r="AC258" i="3"/>
  <c r="AB258" i="3"/>
  <c r="AE257" i="3"/>
  <c r="AC257" i="3"/>
  <c r="AB257" i="3"/>
  <c r="AE256" i="3"/>
  <c r="AG256" i="3" s="1"/>
  <c r="AC256" i="3"/>
  <c r="AB256" i="3"/>
  <c r="AE255" i="3"/>
  <c r="AG255" i="3" s="1"/>
  <c r="AC255" i="3"/>
  <c r="AB255" i="3"/>
  <c r="AE254" i="3"/>
  <c r="AG254" i="3" s="1"/>
  <c r="AC254" i="3"/>
  <c r="X254" i="3"/>
  <c r="W254" i="3"/>
  <c r="AE253" i="3"/>
  <c r="AG253" i="3" s="1"/>
  <c r="AC253" i="3"/>
  <c r="AB253" i="3"/>
  <c r="AE252" i="3"/>
  <c r="AG252" i="3" s="1"/>
  <c r="AC252" i="3"/>
  <c r="AB252" i="3"/>
  <c r="AE251" i="3"/>
  <c r="AC251" i="3"/>
  <c r="AB251" i="3"/>
  <c r="AE250" i="3"/>
  <c r="AC250" i="3"/>
  <c r="AB250" i="3"/>
  <c r="AE249" i="3"/>
  <c r="AG249" i="3" s="1"/>
  <c r="AC249" i="3"/>
  <c r="AB249" i="3"/>
  <c r="AE248" i="3"/>
  <c r="AG248" i="3" s="1"/>
  <c r="AC248" i="3"/>
  <c r="AB248" i="3"/>
  <c r="AE247" i="3"/>
  <c r="AC247" i="3"/>
  <c r="X247" i="3"/>
  <c r="AB247" i="3" s="1"/>
  <c r="W247" i="3"/>
  <c r="AE246" i="3"/>
  <c r="AG246" i="3" s="1"/>
  <c r="AC246" i="3"/>
  <c r="AB246" i="3"/>
  <c r="AE245" i="3"/>
  <c r="AG245" i="3" s="1"/>
  <c r="AC245" i="3"/>
  <c r="AB245" i="3"/>
  <c r="AE244" i="3"/>
  <c r="AG244" i="3" s="1"/>
  <c r="AC244" i="3"/>
  <c r="AB244" i="3"/>
  <c r="AE243" i="3"/>
  <c r="AG243" i="3" s="1"/>
  <c r="AC243" i="3"/>
  <c r="AB243" i="3"/>
  <c r="AE242" i="3"/>
  <c r="AG242" i="3" s="1"/>
  <c r="AC242" i="3"/>
  <c r="AB242" i="3"/>
  <c r="AE241" i="3"/>
  <c r="AC241" i="3"/>
  <c r="AB241" i="3"/>
  <c r="AE240" i="3"/>
  <c r="AG240" i="3" s="1"/>
  <c r="AC240" i="3"/>
  <c r="AB240" i="3"/>
  <c r="AE239" i="3"/>
  <c r="AG239" i="3" s="1"/>
  <c r="AC239" i="3"/>
  <c r="AB239" i="3"/>
  <c r="AE238" i="3"/>
  <c r="AG238" i="3" s="1"/>
  <c r="AC238" i="3"/>
  <c r="AB238" i="3"/>
  <c r="AE237" i="3"/>
  <c r="AC237" i="3"/>
  <c r="AB237" i="3"/>
  <c r="AE236" i="3"/>
  <c r="AC236" i="3"/>
  <c r="AB236" i="3"/>
  <c r="AE235" i="3"/>
  <c r="AG235" i="3" s="1"/>
  <c r="AC235" i="3"/>
  <c r="X235" i="3"/>
  <c r="AB235" i="3" s="1"/>
  <c r="AE234" i="3"/>
  <c r="AG234" i="3" s="1"/>
  <c r="AC234" i="3"/>
  <c r="X234" i="3"/>
  <c r="AB234" i="3" s="1"/>
  <c r="AE233" i="3"/>
  <c r="AG233" i="3" s="1"/>
  <c r="AC233" i="3"/>
  <c r="AB233" i="3"/>
  <c r="AE232" i="3"/>
  <c r="AG232" i="3" s="1"/>
  <c r="AC232" i="3"/>
  <c r="X232" i="3"/>
  <c r="AB232" i="3" s="1"/>
  <c r="AE231" i="3"/>
  <c r="AC231" i="3"/>
  <c r="AB231" i="3"/>
  <c r="AD230" i="3"/>
  <c r="W230" i="3"/>
  <c r="X230" i="3" s="1"/>
  <c r="AG229" i="3"/>
  <c r="AE229" i="3"/>
  <c r="AC229" i="3"/>
  <c r="AB229" i="3"/>
  <c r="AF229" i="3" s="1"/>
  <c r="AE228" i="3"/>
  <c r="AC228" i="3"/>
  <c r="AB228" i="3"/>
  <c r="AE227" i="3"/>
  <c r="AC227" i="3"/>
  <c r="AB227" i="3"/>
  <c r="AE226" i="3"/>
  <c r="AG226" i="3" s="1"/>
  <c r="AC226" i="3"/>
  <c r="X226" i="3"/>
  <c r="W226" i="3"/>
  <c r="AE225" i="3"/>
  <c r="AG225" i="3" s="1"/>
  <c r="AC225" i="3"/>
  <c r="AB225" i="3"/>
  <c r="AE224" i="3"/>
  <c r="AG224" i="3" s="1"/>
  <c r="AC224" i="3"/>
  <c r="AB224" i="3"/>
  <c r="AE223" i="3"/>
  <c r="AG223" i="3" s="1"/>
  <c r="AC223" i="3"/>
  <c r="X223" i="3"/>
  <c r="W223" i="3"/>
  <c r="AE222" i="3"/>
  <c r="AG222" i="3" s="1"/>
  <c r="AC222" i="3"/>
  <c r="X222" i="3"/>
  <c r="W222" i="3"/>
  <c r="AE221" i="3"/>
  <c r="AG221" i="3" s="1"/>
  <c r="AC221" i="3"/>
  <c r="X221" i="3"/>
  <c r="AB221" i="3" s="1"/>
  <c r="AE220" i="3"/>
  <c r="AG220" i="3" s="1"/>
  <c r="AC220" i="3"/>
  <c r="X220" i="3"/>
  <c r="W220" i="3"/>
  <c r="AB220" i="3" s="1"/>
  <c r="AE219" i="3"/>
  <c r="AG219" i="3" s="1"/>
  <c r="AC219" i="3"/>
  <c r="X219" i="3"/>
  <c r="W219" i="3"/>
  <c r="AE218" i="3"/>
  <c r="AC218" i="3"/>
  <c r="AB218" i="3"/>
  <c r="AE217" i="3"/>
  <c r="AG217" i="3" s="1"/>
  <c r="AC217" i="3"/>
  <c r="AB217" i="3"/>
  <c r="AE216" i="3"/>
  <c r="AG216" i="3" s="1"/>
  <c r="AC216" i="3"/>
  <c r="AB216" i="3"/>
  <c r="AE215" i="3"/>
  <c r="AC215" i="3"/>
  <c r="X215" i="3"/>
  <c r="W215" i="3"/>
  <c r="AB215" i="3" s="1"/>
  <c r="AE214" i="3"/>
  <c r="AG214" i="3" s="1"/>
  <c r="AC214" i="3"/>
  <c r="AB214" i="3"/>
  <c r="AE213" i="3"/>
  <c r="AG213" i="3" s="1"/>
  <c r="AC213" i="3"/>
  <c r="AB213" i="3"/>
  <c r="AE212" i="3"/>
  <c r="AG212" i="3" s="1"/>
  <c r="AC212" i="3"/>
  <c r="AB212" i="3"/>
  <c r="AE211" i="3"/>
  <c r="AG211" i="3" s="1"/>
  <c r="AC211" i="3"/>
  <c r="X211" i="3"/>
  <c r="W211" i="3"/>
  <c r="AE210" i="3"/>
  <c r="AG210" i="3" s="1"/>
  <c r="AC210" i="3"/>
  <c r="AB210" i="3"/>
  <c r="AE209" i="3"/>
  <c r="AG209" i="3" s="1"/>
  <c r="AC209" i="3"/>
  <c r="AB209" i="3"/>
  <c r="AE208" i="3"/>
  <c r="AG208" i="3" s="1"/>
  <c r="AC208" i="3"/>
  <c r="AB208" i="3"/>
  <c r="AE207" i="3"/>
  <c r="AG207" i="3" s="1"/>
  <c r="AC207" i="3"/>
  <c r="AB207" i="3"/>
  <c r="AE206" i="3"/>
  <c r="AG206" i="3" s="1"/>
  <c r="AC206" i="3"/>
  <c r="AB206" i="3"/>
  <c r="AE205" i="3"/>
  <c r="AG205" i="3" s="1"/>
  <c r="AC205" i="3"/>
  <c r="AB205" i="3"/>
  <c r="AE204" i="3"/>
  <c r="AG204" i="3" s="1"/>
  <c r="AC204" i="3"/>
  <c r="AB204" i="3"/>
  <c r="AE203" i="3"/>
  <c r="AG203" i="3" s="1"/>
  <c r="AC203" i="3"/>
  <c r="AB203" i="3"/>
  <c r="AE201" i="3"/>
  <c r="AG201" i="3" s="1"/>
  <c r="AC201" i="3"/>
  <c r="AB201" i="3"/>
  <c r="AE200" i="3"/>
  <c r="AC200" i="3"/>
  <c r="AB200" i="3"/>
  <c r="AE199" i="3"/>
  <c r="AG199" i="3" s="1"/>
  <c r="AC199" i="3"/>
  <c r="X199" i="3"/>
  <c r="W199" i="3"/>
  <c r="AE198" i="3"/>
  <c r="AC198" i="3"/>
  <c r="AB198" i="3"/>
  <c r="AE197" i="3"/>
  <c r="AG197" i="3" s="1"/>
  <c r="AC197" i="3"/>
  <c r="AB197" i="3"/>
  <c r="AE196" i="3"/>
  <c r="AG196" i="3" s="1"/>
  <c r="AC196" i="3"/>
  <c r="AB196" i="3"/>
  <c r="AE195" i="3"/>
  <c r="AG195" i="3" s="1"/>
  <c r="AC195" i="3"/>
  <c r="AB195" i="3"/>
  <c r="AE194" i="3"/>
  <c r="AC194" i="3"/>
  <c r="AB194" i="3"/>
  <c r="AE193" i="3"/>
  <c r="AG193" i="3" s="1"/>
  <c r="AC193" i="3"/>
  <c r="AB193" i="3"/>
  <c r="AE192" i="3"/>
  <c r="AG192" i="3" s="1"/>
  <c r="AC192" i="3"/>
  <c r="AB192" i="3"/>
  <c r="AE191" i="3"/>
  <c r="AG191" i="3" s="1"/>
  <c r="AC191" i="3"/>
  <c r="AB191" i="3"/>
  <c r="AE190" i="3"/>
  <c r="AC190" i="3"/>
  <c r="AB190" i="3"/>
  <c r="AE189" i="3"/>
  <c r="AC189" i="3"/>
  <c r="W189" i="3"/>
  <c r="AB189" i="3" s="1"/>
  <c r="AE187" i="3"/>
  <c r="AG187" i="3" s="1"/>
  <c r="AC187" i="3"/>
  <c r="AB187" i="3"/>
  <c r="AE186" i="3"/>
  <c r="AG186" i="3" s="1"/>
  <c r="AC186" i="3"/>
  <c r="AB186" i="3"/>
  <c r="AE185" i="3"/>
  <c r="AG185" i="3" s="1"/>
  <c r="AC185" i="3"/>
  <c r="AB185" i="3"/>
  <c r="AE184" i="3"/>
  <c r="AC184" i="3"/>
  <c r="X184" i="3"/>
  <c r="AB184" i="3" s="1"/>
  <c r="W184" i="3"/>
  <c r="AE183" i="3"/>
  <c r="AG183" i="3" s="1"/>
  <c r="AC183" i="3"/>
  <c r="AB183" i="3"/>
  <c r="AE182" i="3"/>
  <c r="AC182" i="3"/>
  <c r="AB182" i="3"/>
  <c r="AE181" i="3"/>
  <c r="AG181" i="3" s="1"/>
  <c r="AC181" i="3"/>
  <c r="X181" i="3"/>
  <c r="W181" i="3"/>
  <c r="AE180" i="3"/>
  <c r="AC180" i="3"/>
  <c r="AB180" i="3"/>
  <c r="AE179" i="3"/>
  <c r="AC179" i="3"/>
  <c r="AB179" i="3"/>
  <c r="AE178" i="3"/>
  <c r="AG178" i="3" s="1"/>
  <c r="AC178" i="3"/>
  <c r="AB178" i="3"/>
  <c r="AE177" i="3"/>
  <c r="AG177" i="3" s="1"/>
  <c r="AC177" i="3"/>
  <c r="X177" i="3"/>
  <c r="W177" i="3"/>
  <c r="AE176" i="3"/>
  <c r="AG176" i="3" s="1"/>
  <c r="AC176" i="3"/>
  <c r="AB176" i="3"/>
  <c r="AE175" i="3"/>
  <c r="AG175" i="3" s="1"/>
  <c r="AC175" i="3"/>
  <c r="AB175" i="3"/>
  <c r="AE173" i="3"/>
  <c r="AG173" i="3" s="1"/>
  <c r="AC173" i="3"/>
  <c r="X173" i="3"/>
  <c r="AB173" i="3" s="1"/>
  <c r="AE172" i="3"/>
  <c r="AC172" i="3"/>
  <c r="X172" i="3"/>
  <c r="AB172" i="3" s="1"/>
  <c r="AE171" i="3"/>
  <c r="AG171" i="3" s="1"/>
  <c r="AC171" i="3"/>
  <c r="X171" i="3"/>
  <c r="AB171" i="3" s="1"/>
  <c r="AE170" i="3"/>
  <c r="AC170" i="3"/>
  <c r="X170" i="3"/>
  <c r="AB170" i="3" s="1"/>
  <c r="AE169" i="3"/>
  <c r="AG169" i="3" s="1"/>
  <c r="AC169" i="3"/>
  <c r="X169" i="3"/>
  <c r="AB169" i="3" s="1"/>
  <c r="AE168" i="3"/>
  <c r="AC168" i="3"/>
  <c r="X168" i="3"/>
  <c r="W168" i="3"/>
  <c r="AE167" i="3"/>
  <c r="AG167" i="3" s="1"/>
  <c r="AC167" i="3"/>
  <c r="AB167" i="3"/>
  <c r="AE166" i="3"/>
  <c r="AC166" i="3"/>
  <c r="AB166" i="3"/>
  <c r="AE165" i="3"/>
  <c r="AG165" i="3" s="1"/>
  <c r="AC165" i="3"/>
  <c r="X165" i="3"/>
  <c r="W165" i="3"/>
  <c r="AE164" i="3"/>
  <c r="AC164" i="3"/>
  <c r="AB164" i="3"/>
  <c r="AE163" i="3"/>
  <c r="AG163" i="3" s="1"/>
  <c r="AC163" i="3"/>
  <c r="AB163" i="3"/>
  <c r="AE162" i="3"/>
  <c r="AG162" i="3" s="1"/>
  <c r="AC162" i="3"/>
  <c r="AB162" i="3"/>
  <c r="AE160" i="3"/>
  <c r="AG160" i="3" s="1"/>
  <c r="AC160" i="3"/>
  <c r="AB160" i="3"/>
  <c r="AE159" i="3"/>
  <c r="AG159" i="3" s="1"/>
  <c r="AC159" i="3"/>
  <c r="AB159" i="3"/>
  <c r="AE158" i="3"/>
  <c r="AG158" i="3" s="1"/>
  <c r="AC158" i="3"/>
  <c r="AB158" i="3"/>
  <c r="AE157" i="3"/>
  <c r="AG157" i="3" s="1"/>
  <c r="AC157" i="3"/>
  <c r="AB157" i="3"/>
  <c r="AE156" i="3"/>
  <c r="AG156" i="3" s="1"/>
  <c r="AC156" i="3"/>
  <c r="AB156" i="3"/>
  <c r="AE155" i="3"/>
  <c r="AG155" i="3" s="1"/>
  <c r="AC155" i="3"/>
  <c r="AB155" i="3"/>
  <c r="AE154" i="3"/>
  <c r="AG154" i="3" s="1"/>
  <c r="AC154" i="3"/>
  <c r="AB154" i="3"/>
  <c r="AE153" i="3"/>
  <c r="AG153" i="3" s="1"/>
  <c r="AC153" i="3"/>
  <c r="AB153" i="3"/>
  <c r="AE152" i="3"/>
  <c r="AG152" i="3" s="1"/>
  <c r="AC152" i="3"/>
  <c r="AB152" i="3"/>
  <c r="AE151" i="3"/>
  <c r="AG151" i="3" s="1"/>
  <c r="AC151" i="3"/>
  <c r="AB151" i="3"/>
  <c r="AE150" i="3"/>
  <c r="AC150" i="3"/>
  <c r="AB150" i="3"/>
  <c r="T149" i="3"/>
  <c r="AE148" i="3"/>
  <c r="AG148" i="3" s="1"/>
  <c r="AC148" i="3"/>
  <c r="AB148" i="3"/>
  <c r="AE147" i="3"/>
  <c r="AG147" i="3" s="1"/>
  <c r="AC147" i="3"/>
  <c r="AB147" i="3"/>
  <c r="AE146" i="3"/>
  <c r="AG146" i="3" s="1"/>
  <c r="AC146" i="3"/>
  <c r="AB146" i="3"/>
  <c r="AE145" i="3"/>
  <c r="AC145" i="3"/>
  <c r="AB145" i="3"/>
  <c r="AE144" i="3"/>
  <c r="AG144" i="3" s="1"/>
  <c r="AC144" i="3"/>
  <c r="AB144" i="3"/>
  <c r="AE143" i="3"/>
  <c r="AG143" i="3" s="1"/>
  <c r="AC143" i="3"/>
  <c r="AB143" i="3"/>
  <c r="AE142" i="3"/>
  <c r="AG142" i="3" s="1"/>
  <c r="AC142" i="3"/>
  <c r="AB142" i="3"/>
  <c r="AE141" i="3"/>
  <c r="AC141" i="3"/>
  <c r="AB141" i="3"/>
  <c r="AE140" i="3"/>
  <c r="AG140" i="3" s="1"/>
  <c r="AC140" i="3"/>
  <c r="AB140" i="3"/>
  <c r="AE139" i="3"/>
  <c r="AG139" i="3" s="1"/>
  <c r="AC139" i="3"/>
  <c r="X139" i="3"/>
  <c r="AB139" i="3" s="1"/>
  <c r="AE138" i="3"/>
  <c r="AG138" i="3" s="1"/>
  <c r="AC138" i="3"/>
  <c r="AB138" i="3"/>
  <c r="AE137" i="3"/>
  <c r="AC137" i="3"/>
  <c r="X137" i="3"/>
  <c r="AB137" i="3" s="1"/>
  <c r="AE136" i="3"/>
  <c r="AG136" i="3" s="1"/>
  <c r="AC136" i="3"/>
  <c r="AB136" i="3"/>
  <c r="AE135" i="3"/>
  <c r="AG135" i="3" s="1"/>
  <c r="AC135" i="3"/>
  <c r="AB135" i="3"/>
  <c r="AD134" i="3"/>
  <c r="AD149" i="3" s="1"/>
  <c r="AD161" i="3" s="1"/>
  <c r="AD174" i="3" s="1"/>
  <c r="AD188" i="3" s="1"/>
  <c r="AD202" i="3" s="1"/>
  <c r="AE133" i="3"/>
  <c r="AC133" i="3"/>
  <c r="AB133" i="3"/>
  <c r="AE132" i="3"/>
  <c r="AC132" i="3"/>
  <c r="AB132" i="3"/>
  <c r="AE131" i="3"/>
  <c r="AC131" i="3"/>
  <c r="AB131" i="3"/>
  <c r="AE130" i="3"/>
  <c r="AC130" i="3"/>
  <c r="AB130" i="3"/>
  <c r="AE129" i="3"/>
  <c r="AC129" i="3"/>
  <c r="AB129" i="3"/>
  <c r="AE128" i="3"/>
  <c r="AC128" i="3"/>
  <c r="AB128" i="3"/>
  <c r="AE127" i="3"/>
  <c r="AC127" i="3"/>
  <c r="AB127" i="3"/>
  <c r="AE126" i="3"/>
  <c r="AC126" i="3"/>
  <c r="AB126" i="3"/>
  <c r="AE125" i="3"/>
  <c r="AC125" i="3"/>
  <c r="AB125" i="3"/>
  <c r="AE124" i="3"/>
  <c r="AC124" i="3"/>
  <c r="AB124" i="3"/>
  <c r="AE123" i="3"/>
  <c r="AC123" i="3"/>
  <c r="AB123" i="3"/>
  <c r="B123" i="3"/>
  <c r="B124" i="3" s="1"/>
  <c r="B125" i="3" s="1"/>
  <c r="B130" i="3" s="1"/>
  <c r="B131" i="3" s="1"/>
  <c r="B126" i="3" s="1"/>
  <c r="B127" i="3" s="1"/>
  <c r="B128" i="3" s="1"/>
  <c r="B129" i="3" s="1"/>
  <c r="B132" i="3" s="1"/>
  <c r="B133" i="3" s="1"/>
  <c r="AE122" i="3"/>
  <c r="AC122" i="3"/>
  <c r="AB122" i="3"/>
  <c r="AE121" i="3"/>
  <c r="AC121" i="3"/>
  <c r="AB121" i="3"/>
  <c r="AE120" i="3"/>
  <c r="AC120" i="3"/>
  <c r="AB120" i="3"/>
  <c r="AE119" i="3"/>
  <c r="AC119" i="3"/>
  <c r="AB119" i="3"/>
  <c r="AE118" i="3"/>
  <c r="AC118" i="3"/>
  <c r="AB118" i="3"/>
  <c r="AE117" i="3"/>
  <c r="AC117" i="3"/>
  <c r="AB117" i="3"/>
  <c r="AE116" i="3"/>
  <c r="AC116" i="3"/>
  <c r="AB116" i="3"/>
  <c r="AE115" i="3"/>
  <c r="AC115" i="3"/>
  <c r="X115" i="3"/>
  <c r="AB115" i="3" s="1"/>
  <c r="AE113" i="3"/>
  <c r="AC113" i="3"/>
  <c r="AB113" i="3"/>
  <c r="AE112" i="3"/>
  <c r="AC112" i="3"/>
  <c r="AB112" i="3"/>
  <c r="AE111" i="3"/>
  <c r="AC111" i="3"/>
  <c r="AB111" i="3"/>
  <c r="AE110" i="3"/>
  <c r="AC110" i="3"/>
  <c r="AB110" i="3"/>
  <c r="AE109" i="3"/>
  <c r="AC109" i="3"/>
  <c r="AB109" i="3"/>
  <c r="AE108" i="3"/>
  <c r="AC108" i="3"/>
  <c r="AB108" i="3"/>
  <c r="AE107" i="3"/>
  <c r="AC107" i="3"/>
  <c r="AB107" i="3"/>
  <c r="AE106" i="3"/>
  <c r="AC106" i="3"/>
  <c r="X106" i="3"/>
  <c r="W106" i="3"/>
  <c r="AE105" i="3"/>
  <c r="AC105" i="3"/>
  <c r="X105" i="3"/>
  <c r="W105" i="3"/>
  <c r="AE104" i="3"/>
  <c r="AC104" i="3"/>
  <c r="AB104" i="3"/>
  <c r="AE103" i="3"/>
  <c r="AC103" i="3"/>
  <c r="AB103" i="3"/>
  <c r="AE102" i="3"/>
  <c r="AC102" i="3"/>
  <c r="AB102" i="3"/>
  <c r="AE101" i="3"/>
  <c r="AC101" i="3"/>
  <c r="AB101" i="3"/>
  <c r="AE100" i="3"/>
  <c r="AC100" i="3"/>
  <c r="AB100" i="3"/>
  <c r="AE99" i="3"/>
  <c r="AC99" i="3"/>
  <c r="AB99" i="3"/>
  <c r="AE98" i="3"/>
  <c r="AC98" i="3"/>
  <c r="AB98" i="3"/>
  <c r="AE97" i="3"/>
  <c r="AC97" i="3"/>
  <c r="X97" i="3"/>
  <c r="W97" i="3"/>
  <c r="AE95" i="3"/>
  <c r="AC95" i="3"/>
  <c r="AB95" i="3"/>
  <c r="AE94" i="3"/>
  <c r="AC94" i="3"/>
  <c r="AB94" i="3"/>
  <c r="AE93" i="3"/>
  <c r="AC93" i="3"/>
  <c r="X93" i="3"/>
  <c r="W93" i="3"/>
  <c r="AE92" i="3"/>
  <c r="AC92" i="3"/>
  <c r="AB92" i="3"/>
  <c r="AE91" i="3"/>
  <c r="AC91" i="3"/>
  <c r="AB91" i="3"/>
  <c r="AE90" i="3"/>
  <c r="AC90" i="3"/>
  <c r="AB90" i="3"/>
  <c r="AE89" i="3"/>
  <c r="AC89" i="3"/>
  <c r="X89" i="3"/>
  <c r="W89" i="3"/>
  <c r="AE88" i="3"/>
  <c r="AC88" i="3"/>
  <c r="X88" i="3"/>
  <c r="W88" i="3"/>
  <c r="AE87" i="3"/>
  <c r="AC87" i="3"/>
  <c r="AB87" i="3"/>
  <c r="AE86" i="3"/>
  <c r="AC86" i="3"/>
  <c r="X86" i="3"/>
  <c r="AB86" i="3" s="1"/>
  <c r="AE85" i="3"/>
  <c r="AC85" i="3"/>
  <c r="AB85" i="3"/>
  <c r="AE84" i="3"/>
  <c r="AC84" i="3"/>
  <c r="AB84" i="3"/>
  <c r="AE83" i="3"/>
  <c r="AC83" i="3"/>
  <c r="AB83" i="3"/>
  <c r="AE82" i="3"/>
  <c r="AC82" i="3"/>
  <c r="AB82" i="3"/>
  <c r="AE81" i="3"/>
  <c r="AC81" i="3"/>
  <c r="AB81" i="3"/>
  <c r="AE80" i="3"/>
  <c r="AC80" i="3"/>
  <c r="AB80" i="3"/>
  <c r="AE79" i="3"/>
  <c r="AC79" i="3"/>
  <c r="AB79" i="3"/>
  <c r="AE78" i="3"/>
  <c r="AC78" i="3"/>
  <c r="AB78" i="3"/>
  <c r="AE77" i="3"/>
  <c r="AC77" i="3"/>
  <c r="AB77" i="3"/>
  <c r="AE75" i="3"/>
  <c r="AC75" i="3"/>
  <c r="AB75" i="3"/>
  <c r="AE74" i="3"/>
  <c r="AC74" i="3"/>
  <c r="AB74" i="3"/>
  <c r="AE73" i="3"/>
  <c r="AC73" i="3"/>
  <c r="AB73" i="3"/>
  <c r="AE72" i="3"/>
  <c r="AC72" i="3"/>
  <c r="AB72" i="3"/>
  <c r="AE71" i="3"/>
  <c r="AC71" i="3"/>
  <c r="AB71" i="3"/>
  <c r="AE70" i="3"/>
  <c r="AC70" i="3"/>
  <c r="AB70" i="3"/>
  <c r="AE69" i="3"/>
  <c r="AC69" i="3"/>
  <c r="AB69" i="3"/>
  <c r="AE68" i="3"/>
  <c r="AC68" i="3"/>
  <c r="AB68" i="3"/>
  <c r="AE67" i="3"/>
  <c r="AC67" i="3"/>
  <c r="AB67" i="3"/>
  <c r="AE66" i="3"/>
  <c r="AC66" i="3"/>
  <c r="AB66" i="3"/>
  <c r="AE65" i="3"/>
  <c r="AC65" i="3"/>
  <c r="AB65" i="3"/>
  <c r="AE64" i="3"/>
  <c r="AC64" i="3"/>
  <c r="AB64" i="3"/>
  <c r="AE63" i="3"/>
  <c r="AC63" i="3"/>
  <c r="AB63" i="3"/>
  <c r="AE62" i="3"/>
  <c r="AC62" i="3"/>
  <c r="X62" i="3"/>
  <c r="AB62" i="3" s="1"/>
  <c r="AE61" i="3"/>
  <c r="AC61" i="3"/>
  <c r="AB61" i="3"/>
  <c r="AE60" i="3"/>
  <c r="AC60" i="3"/>
  <c r="AB60" i="3"/>
  <c r="AE59" i="3"/>
  <c r="AC59" i="3"/>
  <c r="AB59" i="3"/>
  <c r="AE58" i="3"/>
  <c r="AC58" i="3"/>
  <c r="AB58" i="3"/>
  <c r="AE57" i="3"/>
  <c r="AC57" i="3"/>
  <c r="AB57" i="3"/>
  <c r="AE56" i="3"/>
  <c r="AC56" i="3"/>
  <c r="AB56" i="3"/>
  <c r="AE55" i="3"/>
  <c r="AC55" i="3"/>
  <c r="AB55" i="3"/>
  <c r="AG53" i="3"/>
  <c r="AE53" i="3"/>
  <c r="AC53" i="3"/>
  <c r="AB53" i="3"/>
  <c r="AG52" i="3"/>
  <c r="AE52" i="3"/>
  <c r="AC52" i="3"/>
  <c r="AB52" i="3"/>
  <c r="AG51" i="3"/>
  <c r="AE51" i="3"/>
  <c r="AC51" i="3"/>
  <c r="AB51" i="3"/>
  <c r="AG50" i="3"/>
  <c r="AE50" i="3"/>
  <c r="AC50" i="3"/>
  <c r="AB50" i="3"/>
  <c r="AG49" i="3"/>
  <c r="AE49" i="3"/>
  <c r="AC49" i="3"/>
  <c r="AB49" i="3"/>
  <c r="AG48" i="3"/>
  <c r="AE48" i="3"/>
  <c r="AC48" i="3"/>
  <c r="AB48" i="3"/>
  <c r="AG47" i="3"/>
  <c r="AE47" i="3"/>
  <c r="AC47" i="3"/>
  <c r="AB47" i="3"/>
  <c r="AE46" i="3"/>
  <c r="AC46" i="3"/>
  <c r="X46" i="3"/>
  <c r="W46" i="3"/>
  <c r="AE45" i="3"/>
  <c r="AC45" i="3"/>
  <c r="AB45" i="3"/>
  <c r="AE43" i="3"/>
  <c r="AC43" i="3"/>
  <c r="AB43" i="3"/>
  <c r="AE42" i="3"/>
  <c r="AC42" i="3"/>
  <c r="X42" i="3"/>
  <c r="W42" i="3"/>
  <c r="AG41" i="3"/>
  <c r="AE41" i="3"/>
  <c r="AC41" i="3"/>
  <c r="AB41" i="3"/>
  <c r="AG40" i="3"/>
  <c r="AE40" i="3"/>
  <c r="AC40" i="3"/>
  <c r="AB40" i="3"/>
  <c r="AG39" i="3"/>
  <c r="AE39" i="3"/>
  <c r="AC39" i="3"/>
  <c r="AB39" i="3"/>
  <c r="AG38" i="3"/>
  <c r="AE38" i="3"/>
  <c r="AC38" i="3"/>
  <c r="AB38" i="3"/>
  <c r="AG37" i="3"/>
  <c r="AE37" i="3"/>
  <c r="AC37" i="3"/>
  <c r="AB37" i="3"/>
  <c r="AG36" i="3"/>
  <c r="AE36" i="3"/>
  <c r="AC36" i="3"/>
  <c r="AB36" i="3"/>
  <c r="AG35" i="3"/>
  <c r="AE35" i="3"/>
  <c r="AC35" i="3"/>
  <c r="AB35" i="3"/>
  <c r="AG34" i="3"/>
  <c r="AE34" i="3"/>
  <c r="AB34" i="3"/>
  <c r="AG33" i="3"/>
  <c r="AE33" i="3"/>
  <c r="AC33" i="3"/>
  <c r="AB33" i="3"/>
  <c r="AG32" i="3"/>
  <c r="AE32" i="3"/>
  <c r="AC32" i="3"/>
  <c r="AB32" i="3"/>
  <c r="AG31" i="3"/>
  <c r="AE31" i="3"/>
  <c r="AC31" i="3"/>
  <c r="AB31" i="3"/>
  <c r="AG30" i="3"/>
  <c r="AE30" i="3"/>
  <c r="AC30" i="3"/>
  <c r="AB30" i="3"/>
  <c r="AG29" i="3"/>
  <c r="AE29" i="3"/>
  <c r="AC29" i="3"/>
  <c r="AB29" i="3"/>
  <c r="AG28" i="3"/>
  <c r="AE28" i="3"/>
  <c r="AC28" i="3"/>
  <c r="AB28" i="3"/>
  <c r="AG27" i="3"/>
  <c r="AE27" i="3"/>
  <c r="AC27" i="3"/>
  <c r="AB27" i="3"/>
  <c r="AE26" i="3"/>
  <c r="AC26" i="3"/>
  <c r="AB26" i="3"/>
  <c r="AG24" i="3"/>
  <c r="AC24" i="3"/>
  <c r="AB24" i="3"/>
  <c r="AF24" i="3" s="1"/>
  <c r="AG23" i="3"/>
  <c r="AC23" i="3"/>
  <c r="AB23" i="3"/>
  <c r="AF23" i="3" s="1"/>
  <c r="AG22" i="3"/>
  <c r="AC22" i="3"/>
  <c r="AB22" i="3"/>
  <c r="AF22" i="3" s="1"/>
  <c r="AC21" i="3"/>
  <c r="AB21" i="3"/>
  <c r="AF21" i="3" s="1"/>
  <c r="AG20" i="3"/>
  <c r="AC20" i="3"/>
  <c r="AB20" i="3"/>
  <c r="AF20" i="3" s="1"/>
  <c r="AG19" i="3"/>
  <c r="AC19" i="3"/>
  <c r="AB19" i="3"/>
  <c r="AF19" i="3" s="1"/>
  <c r="AG18" i="3"/>
  <c r="AC18" i="3"/>
  <c r="AB18" i="3"/>
  <c r="AF18" i="3" s="1"/>
  <c r="AG17" i="3"/>
  <c r="AC17" i="3"/>
  <c r="AB17" i="3"/>
  <c r="AF17" i="3" s="1"/>
  <c r="AC16" i="3"/>
  <c r="AB16" i="3"/>
  <c r="AG15" i="3"/>
  <c r="AE15" i="3"/>
  <c r="AE25" i="3" s="1"/>
  <c r="AC15" i="3"/>
  <c r="AB15" i="3"/>
  <c r="AG14" i="3"/>
  <c r="AC14" i="3"/>
  <c r="AB14" i="3"/>
  <c r="AC13" i="3"/>
  <c r="X13" i="3"/>
  <c r="W13" i="3"/>
  <c r="AB13" i="3" s="1"/>
  <c r="AF13" i="3" s="1"/>
  <c r="AG12" i="3"/>
  <c r="AC12" i="3"/>
  <c r="AB12" i="3"/>
  <c r="AF12" i="3" s="1"/>
  <c r="AC11" i="3"/>
  <c r="AB11" i="3"/>
  <c r="AF11" i="3" s="1"/>
  <c r="AE10" i="3"/>
  <c r="AC9" i="3"/>
  <c r="AB9" i="3"/>
  <c r="AF9" i="3" s="1"/>
  <c r="AG8" i="3"/>
  <c r="AC8" i="3"/>
  <c r="AB8" i="3"/>
  <c r="AF8" i="3" s="1"/>
  <c r="AG7" i="3"/>
  <c r="AC7" i="3"/>
  <c r="AB7" i="3"/>
  <c r="AF7" i="3" s="1"/>
  <c r="AG6" i="3"/>
  <c r="AC6" i="3"/>
  <c r="AB6" i="3"/>
  <c r="AF6" i="3" s="1"/>
  <c r="AG5" i="3"/>
  <c r="AC5" i="3"/>
  <c r="AB5" i="3"/>
  <c r="AC4" i="3"/>
  <c r="AB4" i="3"/>
  <c r="AF4" i="3" s="1"/>
  <c r="Y41" i="7"/>
  <c r="V41" i="7"/>
  <c r="U41" i="7"/>
  <c r="A41" i="7"/>
  <c r="Y40" i="7"/>
  <c r="V40" i="7"/>
  <c r="U40" i="7"/>
  <c r="A40" i="7"/>
  <c r="Y39" i="7"/>
  <c r="V39" i="7"/>
  <c r="U39" i="7"/>
  <c r="A39" i="7"/>
  <c r="Y38" i="7"/>
  <c r="V38" i="7"/>
  <c r="U38" i="7"/>
  <c r="A38" i="7"/>
  <c r="Y37" i="7"/>
  <c r="V37" i="7"/>
  <c r="U37" i="7"/>
  <c r="A37" i="7"/>
  <c r="Y36" i="7"/>
  <c r="V36" i="7"/>
  <c r="U36" i="7"/>
  <c r="A36" i="7"/>
  <c r="Y35" i="7"/>
  <c r="V35" i="7"/>
  <c r="U35" i="7"/>
  <c r="A35" i="7"/>
  <c r="Y34" i="7"/>
  <c r="V34" i="7"/>
  <c r="U34" i="7"/>
  <c r="A34" i="7"/>
  <c r="Y33" i="7"/>
  <c r="V33" i="7"/>
  <c r="U33" i="7"/>
  <c r="A33" i="7"/>
  <c r="Y32" i="7"/>
  <c r="V32" i="7"/>
  <c r="U32" i="7"/>
  <c r="A32" i="7"/>
  <c r="Y31" i="7"/>
  <c r="V31" i="7"/>
  <c r="U31" i="7"/>
  <c r="A31" i="7"/>
  <c r="Y30" i="7"/>
  <c r="V30" i="7"/>
  <c r="U30" i="7"/>
  <c r="A30" i="7"/>
  <c r="Y29" i="7"/>
  <c r="V29" i="7"/>
  <c r="U29" i="7"/>
  <c r="A29" i="7"/>
  <c r="Y28" i="7"/>
  <c r="V28" i="7"/>
  <c r="U28" i="7"/>
  <c r="A28" i="7"/>
  <c r="Y27" i="7"/>
  <c r="V27" i="7"/>
  <c r="U27" i="7"/>
  <c r="A27" i="7"/>
  <c r="Y26" i="7"/>
  <c r="V26" i="7"/>
  <c r="U26" i="7"/>
  <c r="A26" i="7"/>
  <c r="Y25" i="7"/>
  <c r="V25" i="7"/>
  <c r="U25" i="7"/>
  <c r="A25" i="7"/>
  <c r="Y24" i="7"/>
  <c r="V24" i="7"/>
  <c r="U24" i="7"/>
  <c r="A24" i="7"/>
  <c r="Y23" i="7"/>
  <c r="V23" i="7"/>
  <c r="U23" i="7"/>
  <c r="A23" i="7"/>
  <c r="Y22" i="7"/>
  <c r="V22" i="7"/>
  <c r="U22" i="7"/>
  <c r="A22" i="7"/>
  <c r="Y21" i="7"/>
  <c r="V21" i="7"/>
  <c r="U21" i="7"/>
  <c r="A21" i="7"/>
  <c r="Y20" i="7"/>
  <c r="V20" i="7"/>
  <c r="U20" i="7"/>
  <c r="A20" i="7"/>
  <c r="Y19" i="7"/>
  <c r="V19" i="7"/>
  <c r="U19" i="7"/>
  <c r="A19" i="7"/>
  <c r="Y18" i="7"/>
  <c r="V18" i="7"/>
  <c r="U18" i="7"/>
  <c r="A18" i="7"/>
  <c r="Y17" i="7"/>
  <c r="V17" i="7"/>
  <c r="U17" i="7"/>
  <c r="A17" i="7"/>
  <c r="Y16" i="7"/>
  <c r="V16" i="7"/>
  <c r="U16" i="7"/>
  <c r="A16" i="7"/>
  <c r="Y15" i="7"/>
  <c r="V15" i="7"/>
  <c r="U15" i="7"/>
  <c r="A15" i="7"/>
  <c r="Y14" i="7"/>
  <c r="V14" i="7"/>
  <c r="U14" i="7"/>
  <c r="A14" i="7"/>
  <c r="Y13" i="7"/>
  <c r="V13" i="7"/>
  <c r="U13" i="7"/>
  <c r="A13" i="7"/>
  <c r="Y12" i="7"/>
  <c r="V12" i="7"/>
  <c r="U12" i="7"/>
  <c r="A12" i="7"/>
  <c r="Y11" i="7"/>
  <c r="V11" i="7"/>
  <c r="U11" i="7"/>
  <c r="A11" i="7"/>
  <c r="Y10" i="7"/>
  <c r="V10" i="7"/>
  <c r="U10" i="7"/>
  <c r="A10" i="7"/>
  <c r="Y9" i="7"/>
  <c r="V9" i="7"/>
  <c r="U9" i="7"/>
  <c r="A9" i="7"/>
  <c r="Y8" i="7"/>
  <c r="V8" i="7"/>
  <c r="U8" i="7"/>
  <c r="A8" i="7"/>
  <c r="Y7" i="7"/>
  <c r="V7" i="7"/>
  <c r="U7" i="7"/>
  <c r="A7" i="7"/>
  <c r="Y6" i="7"/>
  <c r="V6" i="7"/>
  <c r="U6" i="7"/>
  <c r="A6" i="7"/>
  <c r="Y5" i="7"/>
  <c r="X5" i="7"/>
  <c r="V5" i="7"/>
  <c r="U5" i="7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Z182" i="10"/>
  <c r="Y182" i="10"/>
  <c r="Z181" i="10"/>
  <c r="Y181" i="10"/>
  <c r="A181" i="10"/>
  <c r="Z180" i="10"/>
  <c r="Y180" i="10"/>
  <c r="A180" i="10"/>
  <c r="Z179" i="10"/>
  <c r="Y179" i="10"/>
  <c r="A179" i="10"/>
  <c r="Z178" i="10"/>
  <c r="Y178" i="10"/>
  <c r="A178" i="10"/>
  <c r="Z177" i="10"/>
  <c r="Y177" i="10"/>
  <c r="A177" i="10"/>
  <c r="Z176" i="10"/>
  <c r="Y176" i="10"/>
  <c r="A176" i="10"/>
  <c r="Z175" i="10"/>
  <c r="Y175" i="10"/>
  <c r="A175" i="10"/>
  <c r="Z174" i="10"/>
  <c r="Y174" i="10"/>
  <c r="A174" i="10"/>
  <c r="Z173" i="10"/>
  <c r="Y173" i="10"/>
  <c r="A173" i="10"/>
  <c r="Z172" i="10"/>
  <c r="Y172" i="10"/>
  <c r="A172" i="10"/>
  <c r="Z171" i="10"/>
  <c r="Y171" i="10"/>
  <c r="A171" i="10"/>
  <c r="Z170" i="10"/>
  <c r="Y170" i="10"/>
  <c r="A170" i="10"/>
  <c r="Z169" i="10"/>
  <c r="Y169" i="10"/>
  <c r="A169" i="10"/>
  <c r="Z168" i="10"/>
  <c r="Y168" i="10"/>
  <c r="A168" i="10"/>
  <c r="Z167" i="10"/>
  <c r="Y167" i="10"/>
  <c r="A167" i="10"/>
  <c r="Z166" i="10"/>
  <c r="Y166" i="10"/>
  <c r="Z165" i="10"/>
  <c r="Y165" i="10"/>
  <c r="Z164" i="10"/>
  <c r="Y164" i="10"/>
  <c r="A164" i="10"/>
  <c r="Z163" i="10"/>
  <c r="Y163" i="10"/>
  <c r="A163" i="10"/>
  <c r="Z162" i="10"/>
  <c r="Y162" i="10"/>
  <c r="A162" i="10"/>
  <c r="Z161" i="10"/>
  <c r="Y161" i="10"/>
  <c r="A161" i="10"/>
  <c r="Z160" i="10"/>
  <c r="Y160" i="10"/>
  <c r="A160" i="10"/>
  <c r="Z159" i="10"/>
  <c r="Y159" i="10"/>
  <c r="A159" i="10"/>
  <c r="Z158" i="10"/>
  <c r="Y158" i="10"/>
  <c r="A158" i="10"/>
  <c r="Z157" i="10"/>
  <c r="Y157" i="10"/>
  <c r="A157" i="10"/>
  <c r="Z156" i="10"/>
  <c r="Y156" i="10"/>
  <c r="A156" i="10"/>
  <c r="Z155" i="10"/>
  <c r="Y155" i="10"/>
  <c r="A155" i="10"/>
  <c r="Z154" i="10"/>
  <c r="Y154" i="10"/>
  <c r="A154" i="10"/>
  <c r="Z153" i="10"/>
  <c r="Y153" i="10"/>
  <c r="A153" i="10"/>
  <c r="Z152" i="10"/>
  <c r="Y152" i="10"/>
  <c r="A152" i="10"/>
  <c r="Z151" i="10"/>
  <c r="Y151" i="10"/>
  <c r="Z150" i="10"/>
  <c r="Y150" i="10"/>
  <c r="Z149" i="10"/>
  <c r="Y149" i="10"/>
  <c r="A149" i="10"/>
  <c r="Z148" i="10"/>
  <c r="Y148" i="10"/>
  <c r="A148" i="10"/>
  <c r="Z147" i="10"/>
  <c r="Y147" i="10"/>
  <c r="A147" i="10"/>
  <c r="Z146" i="10"/>
  <c r="Y146" i="10"/>
  <c r="A146" i="10"/>
  <c r="Z145" i="10"/>
  <c r="Y145" i="10"/>
  <c r="A145" i="10"/>
  <c r="Z144" i="10"/>
  <c r="Y144" i="10"/>
  <c r="A144" i="10"/>
  <c r="Z143" i="10"/>
  <c r="Y143" i="10"/>
  <c r="A143" i="10"/>
  <c r="Z142" i="10"/>
  <c r="Y142" i="10"/>
  <c r="A142" i="10"/>
  <c r="Z141" i="10"/>
  <c r="Y141" i="10"/>
  <c r="A141" i="10"/>
  <c r="Z140" i="10"/>
  <c r="Y140" i="10"/>
  <c r="A140" i="10"/>
  <c r="Z139" i="10"/>
  <c r="Y139" i="10"/>
  <c r="A139" i="10"/>
  <c r="Z138" i="10"/>
  <c r="Y138" i="10"/>
  <c r="A138" i="10"/>
  <c r="Z137" i="10"/>
  <c r="Y137" i="10"/>
  <c r="Z136" i="10"/>
  <c r="Y136" i="10"/>
  <c r="Z135" i="10"/>
  <c r="Y135" i="10"/>
  <c r="A135" i="10"/>
  <c r="Z134" i="10"/>
  <c r="Y134" i="10"/>
  <c r="A134" i="10"/>
  <c r="Z133" i="10"/>
  <c r="Y133" i="10"/>
  <c r="A133" i="10"/>
  <c r="Z132" i="10"/>
  <c r="Y132" i="10"/>
  <c r="A132" i="10"/>
  <c r="Z131" i="10"/>
  <c r="Y131" i="10"/>
  <c r="A131" i="10"/>
  <c r="Z130" i="10"/>
  <c r="Y130" i="10"/>
  <c r="A130" i="10"/>
  <c r="Z129" i="10"/>
  <c r="Y129" i="10"/>
  <c r="A129" i="10"/>
  <c r="Z128" i="10"/>
  <c r="Y128" i="10"/>
  <c r="A128" i="10"/>
  <c r="Z127" i="10"/>
  <c r="Y127" i="10"/>
  <c r="A127" i="10"/>
  <c r="Z126" i="10"/>
  <c r="Y126" i="10"/>
  <c r="A126" i="10"/>
  <c r="Z125" i="10"/>
  <c r="Y125" i="10"/>
  <c r="A125" i="10"/>
  <c r="Z124" i="10"/>
  <c r="Y124" i="10"/>
  <c r="A124" i="10"/>
  <c r="Z123" i="10"/>
  <c r="Y123" i="10"/>
  <c r="A123" i="10"/>
  <c r="Z122" i="10"/>
  <c r="Y122" i="10"/>
  <c r="Z121" i="10"/>
  <c r="Y121" i="10"/>
  <c r="Z120" i="10"/>
  <c r="Y120" i="10"/>
  <c r="A120" i="10"/>
  <c r="Z119" i="10"/>
  <c r="Y119" i="10"/>
  <c r="A119" i="10"/>
  <c r="Z118" i="10"/>
  <c r="Y118" i="10"/>
  <c r="A118" i="10"/>
  <c r="Z117" i="10"/>
  <c r="Y117" i="10"/>
  <c r="A117" i="10"/>
  <c r="Z116" i="10"/>
  <c r="Y116" i="10"/>
  <c r="A116" i="10"/>
  <c r="Z115" i="10"/>
  <c r="Y115" i="10"/>
  <c r="A115" i="10"/>
  <c r="Z114" i="10"/>
  <c r="Y114" i="10"/>
  <c r="A114" i="10"/>
  <c r="Z113" i="10"/>
  <c r="Y113" i="10"/>
  <c r="Z112" i="10"/>
  <c r="Y112" i="10"/>
  <c r="Z111" i="10"/>
  <c r="Y111" i="10"/>
  <c r="A111" i="10"/>
  <c r="Z110" i="10"/>
  <c r="Y110" i="10"/>
  <c r="A110" i="10"/>
  <c r="Z109" i="10"/>
  <c r="Y109" i="10"/>
  <c r="A109" i="10"/>
  <c r="Z108" i="10"/>
  <c r="Y108" i="10"/>
  <c r="A108" i="10"/>
  <c r="Z107" i="10"/>
  <c r="Y107" i="10"/>
  <c r="A107" i="10"/>
  <c r="Z106" i="10"/>
  <c r="Y106" i="10"/>
  <c r="Z105" i="10"/>
  <c r="Y105" i="10"/>
  <c r="Z104" i="10"/>
  <c r="Y104" i="10"/>
  <c r="W104" i="10"/>
  <c r="V104" i="10"/>
  <c r="A104" i="10"/>
  <c r="Z103" i="10"/>
  <c r="Y103" i="10"/>
  <c r="W103" i="10"/>
  <c r="V103" i="10"/>
  <c r="A103" i="10"/>
  <c r="Z102" i="10"/>
  <c r="Y102" i="10"/>
  <c r="W102" i="10"/>
  <c r="V102" i="10"/>
  <c r="A102" i="10"/>
  <c r="Z101" i="10"/>
  <c r="Y101" i="10"/>
  <c r="W101" i="10"/>
  <c r="V101" i="10"/>
  <c r="A101" i="10"/>
  <c r="Z100" i="10"/>
  <c r="Y100" i="10"/>
  <c r="W100" i="10"/>
  <c r="V100" i="10"/>
  <c r="A100" i="10"/>
  <c r="Z99" i="10"/>
  <c r="Y99" i="10"/>
  <c r="W99" i="10"/>
  <c r="V99" i="10"/>
  <c r="A99" i="10"/>
  <c r="Z98" i="10"/>
  <c r="Y98" i="10"/>
  <c r="W98" i="10"/>
  <c r="V98" i="10"/>
  <c r="A98" i="10"/>
  <c r="Z97" i="10"/>
  <c r="Y97" i="10"/>
  <c r="W97" i="10"/>
  <c r="V97" i="10"/>
  <c r="A97" i="10"/>
  <c r="Z96" i="10"/>
  <c r="Y96" i="10"/>
  <c r="W96" i="10"/>
  <c r="V96" i="10"/>
  <c r="A96" i="10"/>
  <c r="Z95" i="10"/>
  <c r="Y95" i="10"/>
  <c r="W95" i="10"/>
  <c r="V95" i="10"/>
  <c r="A95" i="10"/>
  <c r="Z94" i="10"/>
  <c r="Y94" i="10"/>
  <c r="W94" i="10"/>
  <c r="V94" i="10"/>
  <c r="A94" i="10"/>
  <c r="Z93" i="10"/>
  <c r="Y93" i="10"/>
  <c r="W93" i="10"/>
  <c r="V93" i="10"/>
  <c r="Z92" i="10"/>
  <c r="Y92" i="10"/>
  <c r="Z91" i="10"/>
  <c r="Y91" i="10"/>
  <c r="W91" i="10"/>
  <c r="V91" i="10"/>
  <c r="A91" i="10"/>
  <c r="Z90" i="10"/>
  <c r="Y90" i="10"/>
  <c r="W90" i="10"/>
  <c r="V90" i="10"/>
  <c r="A90" i="10"/>
  <c r="Z89" i="10"/>
  <c r="Y89" i="10"/>
  <c r="W89" i="10"/>
  <c r="V89" i="10"/>
  <c r="A89" i="10"/>
  <c r="Z88" i="10"/>
  <c r="Y88" i="10"/>
  <c r="W88" i="10"/>
  <c r="V88" i="10"/>
  <c r="A88" i="10"/>
  <c r="Z87" i="10"/>
  <c r="Y87" i="10"/>
  <c r="W87" i="10"/>
  <c r="V87" i="10"/>
  <c r="A87" i="10"/>
  <c r="Z86" i="10"/>
  <c r="Y86" i="10"/>
  <c r="W86" i="10"/>
  <c r="V86" i="10"/>
  <c r="A86" i="10"/>
  <c r="Z85" i="10"/>
  <c r="Y85" i="10"/>
  <c r="W85" i="10"/>
  <c r="V85" i="10"/>
  <c r="A85" i="10"/>
  <c r="Z84" i="10"/>
  <c r="Y84" i="10"/>
  <c r="W84" i="10"/>
  <c r="V84" i="10"/>
  <c r="A84" i="10"/>
  <c r="Z83" i="10"/>
  <c r="Y83" i="10"/>
  <c r="W83" i="10"/>
  <c r="V83" i="10"/>
  <c r="A83" i="10"/>
  <c r="Z82" i="10"/>
  <c r="Y82" i="10"/>
  <c r="W82" i="10"/>
  <c r="V82" i="10"/>
  <c r="A82" i="10"/>
  <c r="Z81" i="10"/>
  <c r="Y81" i="10"/>
  <c r="W81" i="10"/>
  <c r="V81" i="10"/>
  <c r="A81" i="10"/>
  <c r="Z80" i="10"/>
  <c r="Y80" i="10"/>
  <c r="W80" i="10"/>
  <c r="V80" i="10"/>
  <c r="A80" i="10"/>
  <c r="Z79" i="10"/>
  <c r="Y79" i="10"/>
  <c r="W79" i="10"/>
  <c r="V79" i="10"/>
  <c r="A79" i="10"/>
  <c r="Z78" i="10"/>
  <c r="Y78" i="10"/>
  <c r="W78" i="10"/>
  <c r="V78" i="10"/>
  <c r="A78" i="10"/>
  <c r="Z77" i="10"/>
  <c r="Y77" i="10"/>
  <c r="W77" i="10"/>
  <c r="V77" i="10"/>
  <c r="A77" i="10"/>
  <c r="Z76" i="10"/>
  <c r="Y76" i="10"/>
  <c r="W76" i="10"/>
  <c r="V76" i="10"/>
  <c r="Z75" i="10"/>
  <c r="Y75" i="10"/>
  <c r="Z74" i="10"/>
  <c r="Y74" i="10"/>
  <c r="W74" i="10"/>
  <c r="V74" i="10"/>
  <c r="Z73" i="10"/>
  <c r="Y73" i="10"/>
  <c r="W73" i="10"/>
  <c r="V73" i="10"/>
  <c r="Z72" i="10"/>
  <c r="Y72" i="10"/>
  <c r="W72" i="10"/>
  <c r="V72" i="10"/>
  <c r="Z71" i="10"/>
  <c r="Y71" i="10"/>
  <c r="W71" i="10"/>
  <c r="V71" i="10"/>
  <c r="Z70" i="10"/>
  <c r="Y70" i="10"/>
  <c r="W70" i="10"/>
  <c r="V70" i="10"/>
  <c r="A70" i="10"/>
  <c r="Z69" i="10"/>
  <c r="Y69" i="10"/>
  <c r="W69" i="10"/>
  <c r="V69" i="10"/>
  <c r="A69" i="10"/>
  <c r="Z68" i="10"/>
  <c r="Y68" i="10"/>
  <c r="W68" i="10"/>
  <c r="V68" i="10"/>
  <c r="A68" i="10"/>
  <c r="Z67" i="10"/>
  <c r="Y67" i="10"/>
  <c r="W67" i="10"/>
  <c r="V67" i="10"/>
  <c r="A67" i="10"/>
  <c r="Z66" i="10"/>
  <c r="Y66" i="10"/>
  <c r="W66" i="10"/>
  <c r="V66" i="10"/>
  <c r="A66" i="10"/>
  <c r="Z65" i="10"/>
  <c r="Y65" i="10"/>
  <c r="W65" i="10"/>
  <c r="V65" i="10"/>
  <c r="A65" i="10"/>
  <c r="Z64" i="10"/>
  <c r="Y64" i="10"/>
  <c r="W64" i="10"/>
  <c r="V64" i="10"/>
  <c r="A64" i="10"/>
  <c r="Z63" i="10"/>
  <c r="Y63" i="10"/>
  <c r="W63" i="10"/>
  <c r="V63" i="10"/>
  <c r="A63" i="10"/>
  <c r="Z62" i="10"/>
  <c r="Y62" i="10"/>
  <c r="W62" i="10"/>
  <c r="V62" i="10"/>
  <c r="A62" i="10"/>
  <c r="Z61" i="10"/>
  <c r="Y61" i="10"/>
  <c r="W61" i="10"/>
  <c r="V61" i="10"/>
  <c r="Z60" i="10"/>
  <c r="Y60" i="10"/>
  <c r="W60" i="10"/>
  <c r="V60" i="10"/>
  <c r="A60" i="10"/>
  <c r="Z59" i="10"/>
  <c r="Y59" i="10"/>
  <c r="W59" i="10"/>
  <c r="V59" i="10"/>
  <c r="Z58" i="10"/>
  <c r="Y58" i="10"/>
  <c r="W58" i="10"/>
  <c r="V58" i="10"/>
  <c r="Z57" i="10"/>
  <c r="Y57" i="10"/>
  <c r="Z56" i="10"/>
  <c r="Y56" i="10"/>
  <c r="W56" i="10"/>
  <c r="V56" i="10"/>
  <c r="Z55" i="10"/>
  <c r="Y55" i="10"/>
  <c r="W55" i="10"/>
  <c r="V55" i="10"/>
  <c r="Z54" i="10"/>
  <c r="Y54" i="10"/>
  <c r="W54" i="10"/>
  <c r="V54" i="10"/>
  <c r="A54" i="10"/>
  <c r="Z53" i="10"/>
  <c r="Y53" i="10"/>
  <c r="W53" i="10"/>
  <c r="V53" i="10"/>
  <c r="A53" i="10"/>
  <c r="Z52" i="10"/>
  <c r="Y52" i="10"/>
  <c r="W52" i="10"/>
  <c r="V52" i="10"/>
  <c r="A52" i="10"/>
  <c r="Z51" i="10"/>
  <c r="Y51" i="10"/>
  <c r="W51" i="10"/>
  <c r="V51" i="10"/>
  <c r="A51" i="10"/>
  <c r="Z50" i="10"/>
  <c r="Y50" i="10"/>
  <c r="W50" i="10"/>
  <c r="V50" i="10"/>
  <c r="A50" i="10"/>
  <c r="Z49" i="10"/>
  <c r="Y49" i="10"/>
  <c r="W49" i="10"/>
  <c r="V49" i="10"/>
  <c r="A49" i="10"/>
  <c r="Z48" i="10"/>
  <c r="Y48" i="10"/>
  <c r="W48" i="10"/>
  <c r="V48" i="10"/>
  <c r="A48" i="10"/>
  <c r="Z47" i="10"/>
  <c r="Y47" i="10"/>
  <c r="W47" i="10"/>
  <c r="V47" i="10"/>
  <c r="A47" i="10"/>
  <c r="Z46" i="10"/>
  <c r="Y46" i="10"/>
  <c r="W46" i="10"/>
  <c r="V46" i="10"/>
  <c r="A46" i="10"/>
  <c r="Z45" i="10"/>
  <c r="Y45" i="10"/>
  <c r="W45" i="10"/>
  <c r="V45" i="10"/>
  <c r="A45" i="10"/>
  <c r="Z44" i="10"/>
  <c r="Y44" i="10"/>
  <c r="W44" i="10"/>
  <c r="V44" i="10"/>
  <c r="A44" i="10"/>
  <c r="Z43" i="10"/>
  <c r="Y43" i="10"/>
  <c r="W43" i="10"/>
  <c r="V43" i="10"/>
  <c r="A43" i="10"/>
  <c r="Z42" i="10"/>
  <c r="Y42" i="10"/>
  <c r="W42" i="10"/>
  <c r="V42" i="10"/>
  <c r="A42" i="10"/>
  <c r="Z41" i="10"/>
  <c r="Y41" i="10"/>
  <c r="W41" i="10"/>
  <c r="V41" i="10"/>
  <c r="Z40" i="10"/>
  <c r="Y40" i="10"/>
  <c r="Z39" i="10"/>
  <c r="Y39" i="10"/>
  <c r="W39" i="10"/>
  <c r="V39" i="10"/>
  <c r="A39" i="10"/>
  <c r="Z38" i="10"/>
  <c r="Y38" i="10"/>
  <c r="W38" i="10"/>
  <c r="V38" i="10"/>
  <c r="A38" i="10"/>
  <c r="Z37" i="10"/>
  <c r="Y37" i="10"/>
  <c r="W37" i="10"/>
  <c r="V37" i="10"/>
  <c r="Z36" i="10"/>
  <c r="Y36" i="10"/>
  <c r="W36" i="10"/>
  <c r="V36" i="10"/>
  <c r="Z35" i="10"/>
  <c r="Y35" i="10"/>
  <c r="W35" i="10"/>
  <c r="V35" i="10"/>
  <c r="Z34" i="10"/>
  <c r="Y34" i="10"/>
  <c r="W34" i="10"/>
  <c r="V34" i="10"/>
  <c r="A34" i="10"/>
  <c r="Z33" i="10"/>
  <c r="Y33" i="10"/>
  <c r="W33" i="10"/>
  <c r="V33" i="10"/>
  <c r="A33" i="10"/>
  <c r="Z32" i="10"/>
  <c r="Y32" i="10"/>
  <c r="W32" i="10"/>
  <c r="V32" i="10"/>
  <c r="A32" i="10"/>
  <c r="Z31" i="10"/>
  <c r="Y31" i="10"/>
  <c r="W31" i="10"/>
  <c r="V31" i="10"/>
  <c r="A31" i="10"/>
  <c r="Z30" i="10"/>
  <c r="Y30" i="10"/>
  <c r="W30" i="10"/>
  <c r="V30" i="10"/>
  <c r="A30" i="10"/>
  <c r="Z29" i="10"/>
  <c r="Y29" i="10"/>
  <c r="W29" i="10"/>
  <c r="V29" i="10"/>
  <c r="Z28" i="10"/>
  <c r="Y28" i="10"/>
  <c r="W28" i="10"/>
  <c r="V28" i="10"/>
  <c r="Z27" i="10"/>
  <c r="Z26" i="10"/>
  <c r="Y26" i="10"/>
  <c r="W26" i="10"/>
  <c r="V26" i="10"/>
  <c r="A26" i="10"/>
  <c r="Z25" i="10"/>
  <c r="Y25" i="10"/>
  <c r="W25" i="10"/>
  <c r="V25" i="10"/>
  <c r="A25" i="10"/>
  <c r="Z24" i="10"/>
  <c r="Y24" i="10"/>
  <c r="W24" i="10"/>
  <c r="V24" i="10"/>
  <c r="A24" i="10"/>
  <c r="Z23" i="10"/>
  <c r="Y23" i="10"/>
  <c r="W23" i="10"/>
  <c r="V23" i="10"/>
  <c r="A23" i="10"/>
  <c r="Z22" i="10"/>
  <c r="Y22" i="10"/>
  <c r="W22" i="10"/>
  <c r="V22" i="10"/>
  <c r="A22" i="10"/>
  <c r="Z21" i="10"/>
  <c r="Y21" i="10"/>
  <c r="W21" i="10"/>
  <c r="V21" i="10"/>
  <c r="A21" i="10"/>
  <c r="Z20" i="10"/>
  <c r="Y20" i="10"/>
  <c r="W20" i="10"/>
  <c r="V20" i="10"/>
  <c r="A20" i="10"/>
  <c r="Z19" i="10"/>
  <c r="Y19" i="10"/>
  <c r="W19" i="10"/>
  <c r="V19" i="10"/>
  <c r="A19" i="10"/>
  <c r="Z18" i="10"/>
  <c r="Y18" i="10"/>
  <c r="W18" i="10"/>
  <c r="V18" i="10"/>
  <c r="A18" i="10"/>
  <c r="Z17" i="10"/>
  <c r="Y17" i="10"/>
  <c r="W17" i="10"/>
  <c r="V17" i="10"/>
  <c r="A17" i="10"/>
  <c r="Z16" i="10"/>
  <c r="Y16" i="10"/>
  <c r="W16" i="10"/>
  <c r="V16" i="10"/>
  <c r="A16" i="10"/>
  <c r="Z15" i="10"/>
  <c r="Y15" i="10"/>
  <c r="W15" i="10"/>
  <c r="V15" i="10"/>
  <c r="Z14" i="10"/>
  <c r="Z13" i="10"/>
  <c r="Y13" i="10"/>
  <c r="W13" i="10"/>
  <c r="V13" i="10"/>
  <c r="A13" i="10"/>
  <c r="Z12" i="10"/>
  <c r="Y12" i="10"/>
  <c r="W12" i="10"/>
  <c r="V12" i="10"/>
  <c r="A12" i="10"/>
  <c r="Z11" i="10"/>
  <c r="Y11" i="10"/>
  <c r="W11" i="10"/>
  <c r="V11" i="10"/>
  <c r="A11" i="10"/>
  <c r="Z10" i="10"/>
  <c r="Y10" i="10"/>
  <c r="W10" i="10"/>
  <c r="V10" i="10"/>
  <c r="A10" i="10"/>
  <c r="Z9" i="10"/>
  <c r="Y9" i="10"/>
  <c r="W9" i="10"/>
  <c r="V9" i="10"/>
  <c r="A9" i="10"/>
  <c r="Z8" i="10"/>
  <c r="Y8" i="10"/>
  <c r="W8" i="10"/>
  <c r="V8" i="10"/>
  <c r="A8" i="10"/>
  <c r="Z7" i="10"/>
  <c r="Y7" i="10"/>
  <c r="W7" i="10"/>
  <c r="V7" i="10"/>
  <c r="A7" i="10"/>
  <c r="Z6" i="10"/>
  <c r="Y6" i="10"/>
  <c r="W6" i="10"/>
  <c r="V6" i="10"/>
  <c r="A6" i="10"/>
  <c r="Z5" i="10"/>
  <c r="Y5" i="10"/>
  <c r="W5" i="10"/>
  <c r="V5" i="10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Y183" i="2"/>
  <c r="X183" i="2"/>
  <c r="A183" i="2"/>
  <c r="Y182" i="2"/>
  <c r="X182" i="2"/>
  <c r="A182" i="2"/>
  <c r="Y181" i="2"/>
  <c r="X181" i="2"/>
  <c r="A181" i="2"/>
  <c r="Y180" i="2"/>
  <c r="X180" i="2"/>
  <c r="A180" i="2"/>
  <c r="Y179" i="2"/>
  <c r="AB179" i="2" s="1"/>
  <c r="X179" i="2"/>
  <c r="A179" i="2"/>
  <c r="AA178" i="2"/>
  <c r="Y178" i="2"/>
  <c r="AB178" i="2" s="1"/>
  <c r="A178" i="2"/>
  <c r="AA177" i="2"/>
  <c r="Y177" i="2"/>
  <c r="X177" i="2"/>
  <c r="AB177" i="2" s="1"/>
  <c r="AA176" i="2"/>
  <c r="Y176" i="2"/>
  <c r="AB175" i="2"/>
  <c r="AA175" i="2"/>
  <c r="AA174" i="2"/>
  <c r="Y174" i="2"/>
  <c r="X174" i="2"/>
  <c r="AB174" i="2" s="1"/>
  <c r="A174" i="2"/>
  <c r="AA173" i="2"/>
  <c r="Y173" i="2"/>
  <c r="X173" i="2"/>
  <c r="AB173" i="2" s="1"/>
  <c r="S173" i="2"/>
  <c r="A173" i="2"/>
  <c r="AB172" i="2"/>
  <c r="AA172" i="2"/>
  <c r="Y172" i="2"/>
  <c r="X172" i="2"/>
  <c r="A172" i="2"/>
  <c r="AB171" i="2"/>
  <c r="AA171" i="2"/>
  <c r="Y171" i="2"/>
  <c r="X171" i="2"/>
  <c r="S171" i="2"/>
  <c r="AA170" i="2"/>
  <c r="Y170" i="2"/>
  <c r="AA169" i="2"/>
  <c r="Y169" i="2"/>
  <c r="X169" i="2"/>
  <c r="AB169" i="2" s="1"/>
  <c r="A169" i="2"/>
  <c r="AA168" i="2"/>
  <c r="Y168" i="2"/>
  <c r="X168" i="2"/>
  <c r="AB168" i="2" s="1"/>
  <c r="A168" i="2"/>
  <c r="AB167" i="2"/>
  <c r="AA167" i="2"/>
  <c r="Y167" i="2"/>
  <c r="X167" i="2"/>
  <c r="A167" i="2"/>
  <c r="AB166" i="2"/>
  <c r="AA166" i="2"/>
  <c r="Y166" i="2"/>
  <c r="X166" i="2"/>
  <c r="A166" i="2"/>
  <c r="AA165" i="2"/>
  <c r="Y165" i="2"/>
  <c r="X165" i="2"/>
  <c r="AB165" i="2" s="1"/>
  <c r="AA164" i="2"/>
  <c r="Y164" i="2"/>
  <c r="X164" i="2"/>
  <c r="AA163" i="2"/>
  <c r="Y163" i="2"/>
  <c r="X163" i="2"/>
  <c r="AB163" i="2" s="1"/>
  <c r="A163" i="2"/>
  <c r="AA162" i="2"/>
  <c r="Y162" i="2"/>
  <c r="X162" i="2"/>
  <c r="AB162" i="2" s="1"/>
  <c r="A162" i="2"/>
  <c r="AB161" i="2"/>
  <c r="AA161" i="2"/>
  <c r="Y161" i="2"/>
  <c r="X161" i="2"/>
  <c r="A161" i="2"/>
  <c r="AB160" i="2"/>
  <c r="AA160" i="2"/>
  <c r="Y160" i="2"/>
  <c r="X160" i="2"/>
  <c r="A160" i="2"/>
  <c r="AB159" i="2"/>
  <c r="AA159" i="2"/>
  <c r="Y159" i="2"/>
  <c r="X159" i="2"/>
  <c r="A159" i="2"/>
  <c r="AA158" i="2"/>
  <c r="Y158" i="2"/>
  <c r="X158" i="2"/>
  <c r="AB158" i="2" s="1"/>
  <c r="S158" i="2"/>
  <c r="A158" i="2"/>
  <c r="AB157" i="2"/>
  <c r="AA157" i="2"/>
  <c r="Y157" i="2"/>
  <c r="X157" i="2"/>
  <c r="AB156" i="2"/>
  <c r="Y156" i="2"/>
  <c r="AA155" i="2"/>
  <c r="Y155" i="2"/>
  <c r="AB154" i="2"/>
  <c r="Y154" i="2"/>
  <c r="X154" i="2"/>
  <c r="AA153" i="2"/>
  <c r="Y153" i="2"/>
  <c r="X153" i="2"/>
  <c r="AB153" i="2" s="1"/>
  <c r="A153" i="2"/>
  <c r="AA152" i="2"/>
  <c r="Y152" i="2"/>
  <c r="X152" i="2"/>
  <c r="X155" i="2" s="1"/>
  <c r="A152" i="2"/>
  <c r="AB151" i="2"/>
  <c r="AA151" i="2"/>
  <c r="Y151" i="2"/>
  <c r="X151" i="2"/>
  <c r="AB150" i="2"/>
  <c r="AA150" i="2"/>
  <c r="Y150" i="2"/>
  <c r="X150" i="2"/>
  <c r="S150" i="2"/>
  <c r="AA149" i="2"/>
  <c r="Y149" i="2"/>
  <c r="AB148" i="2"/>
  <c r="Y148" i="2"/>
  <c r="X148" i="2"/>
  <c r="AB147" i="2"/>
  <c r="Y147" i="2"/>
  <c r="AA146" i="2"/>
  <c r="Y146" i="2"/>
  <c r="X146" i="2"/>
  <c r="X149" i="2" s="1"/>
  <c r="W146" i="2"/>
  <c r="S146" i="2"/>
  <c r="Q146" i="2"/>
  <c r="A146" i="2"/>
  <c r="AB145" i="2"/>
  <c r="AA145" i="2"/>
  <c r="Y145" i="2"/>
  <c r="X145" i="2"/>
  <c r="AB144" i="2"/>
  <c r="AA144" i="2"/>
  <c r="Y144" i="2"/>
  <c r="X144" i="2"/>
  <c r="V144" i="2"/>
  <c r="AB143" i="2"/>
  <c r="Y143" i="2"/>
  <c r="X143" i="2"/>
  <c r="A143" i="2"/>
  <c r="AB142" i="2"/>
  <c r="AA142" i="2"/>
  <c r="Y142" i="2"/>
  <c r="X142" i="2"/>
  <c r="A142" i="2"/>
  <c r="AB141" i="2"/>
  <c r="AA141" i="2"/>
  <c r="Y141" i="2"/>
  <c r="X141" i="2"/>
  <c r="S141" i="2"/>
  <c r="AD140" i="2"/>
  <c r="AB140" i="2"/>
  <c r="AA140" i="2"/>
  <c r="Y140" i="2"/>
  <c r="X140" i="2"/>
  <c r="AB139" i="2"/>
  <c r="Y139" i="2"/>
  <c r="X139" i="2"/>
  <c r="AB138" i="2"/>
  <c r="AA138" i="2"/>
  <c r="Y138" i="2"/>
  <c r="X138" i="2"/>
  <c r="A138" i="2"/>
  <c r="AB137" i="2"/>
  <c r="AA137" i="2"/>
  <c r="Y137" i="2"/>
  <c r="X137" i="2"/>
  <c r="A137" i="2"/>
  <c r="AB136" i="2"/>
  <c r="AA136" i="2"/>
  <c r="Y136" i="2"/>
  <c r="X136" i="2"/>
  <c r="AB135" i="2"/>
  <c r="AA135" i="2"/>
  <c r="Y135" i="2"/>
  <c r="X135" i="2"/>
  <c r="AB134" i="2"/>
  <c r="AA134" i="2"/>
  <c r="Y134" i="2"/>
  <c r="X134" i="2"/>
  <c r="AB133" i="2"/>
  <c r="AA133" i="2"/>
  <c r="Y133" i="2"/>
  <c r="X133" i="2"/>
  <c r="A133" i="2"/>
  <c r="AB132" i="2"/>
  <c r="AA132" i="2"/>
  <c r="Y132" i="2"/>
  <c r="X132" i="2"/>
  <c r="AC131" i="2"/>
  <c r="AB131" i="2"/>
  <c r="AA131" i="2"/>
  <c r="Y131" i="2"/>
  <c r="X131" i="2"/>
  <c r="V131" i="2"/>
  <c r="AB130" i="2"/>
  <c r="AA130" i="2"/>
  <c r="Y130" i="2"/>
  <c r="X130" i="2"/>
  <c r="AB129" i="2"/>
  <c r="AA129" i="2"/>
  <c r="Y129" i="2"/>
  <c r="X129" i="2"/>
  <c r="S129" i="2"/>
  <c r="AB128" i="2"/>
  <c r="AA128" i="2"/>
  <c r="Y128" i="2"/>
  <c r="X128" i="2"/>
  <c r="AB127" i="2"/>
  <c r="AA127" i="2"/>
  <c r="Y127" i="2"/>
  <c r="X127" i="2"/>
  <c r="AB126" i="2"/>
  <c r="AA126" i="2"/>
  <c r="Y126" i="2"/>
  <c r="X126" i="2"/>
  <c r="AB125" i="2"/>
  <c r="AA125" i="2"/>
  <c r="Y125" i="2"/>
  <c r="X125" i="2"/>
  <c r="W125" i="2"/>
  <c r="AC124" i="2"/>
  <c r="AB124" i="2"/>
  <c r="AA124" i="2"/>
  <c r="Y124" i="2"/>
  <c r="X124" i="2"/>
  <c r="Y122" i="2"/>
  <c r="X122" i="2"/>
  <c r="A122" i="2"/>
  <c r="AB121" i="2"/>
  <c r="AA121" i="2"/>
  <c r="Y121" i="2"/>
  <c r="X121" i="2"/>
  <c r="A121" i="2"/>
  <c r="AB120" i="2"/>
  <c r="AA120" i="2"/>
  <c r="Y120" i="2"/>
  <c r="X120" i="2"/>
  <c r="AB119" i="2"/>
  <c r="AA119" i="2"/>
  <c r="Y119" i="2"/>
  <c r="X119" i="2"/>
  <c r="AB118" i="2"/>
  <c r="AA118" i="2"/>
  <c r="Y118" i="2"/>
  <c r="X118" i="2"/>
  <c r="AB117" i="2"/>
  <c r="AA117" i="2"/>
  <c r="Y117" i="2"/>
  <c r="X117" i="2"/>
  <c r="U117" i="2"/>
  <c r="S117" i="2"/>
  <c r="AB116" i="2"/>
  <c r="AA116" i="2"/>
  <c r="Y116" i="2"/>
  <c r="X116" i="2"/>
  <c r="S116" i="2"/>
  <c r="A116" i="2"/>
  <c r="AC115" i="2"/>
  <c r="AB115" i="2"/>
  <c r="AA115" i="2"/>
  <c r="Y115" i="2"/>
  <c r="X115" i="2"/>
  <c r="A115" i="2"/>
  <c r="AC114" i="2"/>
  <c r="AB114" i="2"/>
  <c r="AA114" i="2"/>
  <c r="Y114" i="2"/>
  <c r="X114" i="2"/>
  <c r="AC113" i="2"/>
  <c r="AB113" i="2"/>
  <c r="AA113" i="2"/>
  <c r="Y113" i="2"/>
  <c r="X113" i="2"/>
  <c r="R113" i="2"/>
  <c r="Q113" i="2"/>
  <c r="S113" i="2" s="1"/>
  <c r="T113" i="2" s="1"/>
  <c r="AB112" i="2"/>
  <c r="AA112" i="2"/>
  <c r="Y112" i="2"/>
  <c r="X112" i="2"/>
  <c r="A112" i="2"/>
  <c r="AB111" i="2"/>
  <c r="AA111" i="2"/>
  <c r="Y111" i="2"/>
  <c r="X111" i="2"/>
  <c r="A111" i="2"/>
  <c r="AB110" i="2"/>
  <c r="AA110" i="2"/>
  <c r="Y110" i="2"/>
  <c r="X110" i="2"/>
  <c r="A110" i="2"/>
  <c r="AB109" i="2"/>
  <c r="AA109" i="2"/>
  <c r="Y109" i="2"/>
  <c r="X109" i="2"/>
  <c r="S109" i="2"/>
  <c r="A109" i="2"/>
  <c r="AB108" i="2"/>
  <c r="AA108" i="2"/>
  <c r="Y108" i="2"/>
  <c r="X108" i="2"/>
  <c r="A108" i="2"/>
  <c r="AB107" i="2"/>
  <c r="AA107" i="2"/>
  <c r="Y107" i="2"/>
  <c r="X107" i="2"/>
  <c r="AB106" i="2"/>
  <c r="AA106" i="2"/>
  <c r="Y106" i="2"/>
  <c r="X106" i="2"/>
  <c r="S106" i="2"/>
  <c r="Q106" i="2"/>
  <c r="AC105" i="2"/>
  <c r="AB105" i="2"/>
  <c r="AA105" i="2"/>
  <c r="Y105" i="2"/>
  <c r="X105" i="2"/>
  <c r="R105" i="2"/>
  <c r="AB104" i="2"/>
  <c r="AA104" i="2"/>
  <c r="Y104" i="2"/>
  <c r="X104" i="2"/>
  <c r="A104" i="2"/>
  <c r="AB103" i="2"/>
  <c r="AA103" i="2"/>
  <c r="Y103" i="2"/>
  <c r="X103" i="2"/>
  <c r="A103" i="2"/>
  <c r="AB102" i="2"/>
  <c r="AA102" i="2"/>
  <c r="Y102" i="2"/>
  <c r="X102" i="2"/>
  <c r="A102" i="2"/>
  <c r="AB101" i="2"/>
  <c r="AA101" i="2"/>
  <c r="Y101" i="2"/>
  <c r="X101" i="2"/>
  <c r="A101" i="2"/>
  <c r="AB100" i="2"/>
  <c r="AA100" i="2"/>
  <c r="Y100" i="2"/>
  <c r="X100" i="2"/>
  <c r="A100" i="2"/>
  <c r="AB99" i="2"/>
  <c r="AA99" i="2"/>
  <c r="Y99" i="2"/>
  <c r="X99" i="2"/>
  <c r="A99" i="2"/>
  <c r="AB98" i="2"/>
  <c r="AA98" i="2"/>
  <c r="Y98" i="2"/>
  <c r="X98" i="2"/>
  <c r="A98" i="2"/>
  <c r="AB97" i="2"/>
  <c r="AA97" i="2"/>
  <c r="Y97" i="2"/>
  <c r="X97" i="2"/>
  <c r="AC96" i="2"/>
  <c r="AB96" i="2"/>
  <c r="AA96" i="2"/>
  <c r="Y96" i="2"/>
  <c r="X96" i="2"/>
  <c r="R96" i="2"/>
  <c r="AB95" i="2"/>
  <c r="AA95" i="2"/>
  <c r="Y95" i="2"/>
  <c r="X95" i="2"/>
  <c r="T95" i="2"/>
  <c r="A95" i="2"/>
  <c r="AB94" i="2"/>
  <c r="AA94" i="2"/>
  <c r="Y94" i="2"/>
  <c r="X94" i="2"/>
  <c r="A94" i="2"/>
  <c r="AB93" i="2"/>
  <c r="AA93" i="2"/>
  <c r="Y93" i="2"/>
  <c r="X93" i="2"/>
  <c r="A93" i="2"/>
  <c r="AB92" i="2"/>
  <c r="AA92" i="2"/>
  <c r="Y92" i="2"/>
  <c r="X92" i="2"/>
  <c r="A92" i="2"/>
  <c r="AB91" i="2"/>
  <c r="AA91" i="2"/>
  <c r="Y91" i="2"/>
  <c r="X91" i="2"/>
  <c r="A91" i="2"/>
  <c r="AB90" i="2"/>
  <c r="AA90" i="2"/>
  <c r="Y90" i="2"/>
  <c r="X90" i="2"/>
  <c r="AC89" i="2"/>
  <c r="AB89" i="2"/>
  <c r="AA89" i="2"/>
  <c r="Y89" i="2"/>
  <c r="X89" i="2"/>
  <c r="R89" i="2"/>
  <c r="AB88" i="2"/>
  <c r="AA88" i="2"/>
  <c r="Y88" i="2"/>
  <c r="X88" i="2"/>
  <c r="A88" i="2"/>
  <c r="AB87" i="2"/>
  <c r="AA87" i="2"/>
  <c r="Y87" i="2"/>
  <c r="X87" i="2"/>
  <c r="S87" i="2"/>
  <c r="A87" i="2"/>
  <c r="AB86" i="2"/>
  <c r="AA86" i="2"/>
  <c r="Y86" i="2"/>
  <c r="X86" i="2"/>
  <c r="A86" i="2"/>
  <c r="AB85" i="2"/>
  <c r="AA85" i="2"/>
  <c r="Y85" i="2"/>
  <c r="X85" i="2"/>
  <c r="A85" i="2"/>
  <c r="AB84" i="2"/>
  <c r="AA84" i="2"/>
  <c r="Y84" i="2"/>
  <c r="X84" i="2"/>
  <c r="A84" i="2"/>
  <c r="AB83" i="2"/>
  <c r="AA83" i="2"/>
  <c r="Y83" i="2"/>
  <c r="X83" i="2"/>
  <c r="AC82" i="2"/>
  <c r="AB82" i="2"/>
  <c r="AA82" i="2"/>
  <c r="Y82" i="2"/>
  <c r="X82" i="2"/>
  <c r="R82" i="2"/>
  <c r="AB81" i="2"/>
  <c r="AA81" i="2"/>
  <c r="Y81" i="2"/>
  <c r="X81" i="2"/>
  <c r="A81" i="2"/>
  <c r="AB80" i="2"/>
  <c r="AA80" i="2"/>
  <c r="Y80" i="2"/>
  <c r="X80" i="2"/>
  <c r="A80" i="2"/>
  <c r="AB79" i="2"/>
  <c r="AA79" i="2"/>
  <c r="Y79" i="2"/>
  <c r="X79" i="2"/>
  <c r="A79" i="2"/>
  <c r="AB78" i="2"/>
  <c r="AA78" i="2"/>
  <c r="Y78" i="2"/>
  <c r="X78" i="2"/>
  <c r="A78" i="2"/>
  <c r="AB77" i="2"/>
  <c r="AA77" i="2"/>
  <c r="Y77" i="2"/>
  <c r="X77" i="2"/>
  <c r="A77" i="2"/>
  <c r="AB76" i="2"/>
  <c r="AA76" i="2"/>
  <c r="Y76" i="2"/>
  <c r="X76" i="2"/>
  <c r="S76" i="2"/>
  <c r="AC75" i="2"/>
  <c r="AB75" i="2"/>
  <c r="AA75" i="2"/>
  <c r="Y75" i="2"/>
  <c r="X75" i="2"/>
  <c r="R75" i="2"/>
  <c r="AC74" i="2"/>
  <c r="AB74" i="2"/>
  <c r="AA74" i="2"/>
  <c r="Y74" i="2"/>
  <c r="X74" i="2"/>
  <c r="T74" i="2"/>
  <c r="A74" i="2"/>
  <c r="AC73" i="2"/>
  <c r="AB73" i="2"/>
  <c r="AA73" i="2"/>
  <c r="Y73" i="2"/>
  <c r="X73" i="2"/>
  <c r="A73" i="2"/>
  <c r="AC72" i="2"/>
  <c r="AB72" i="2"/>
  <c r="AA72" i="2"/>
  <c r="Y72" i="2"/>
  <c r="X72" i="2"/>
  <c r="S72" i="2"/>
  <c r="AC71" i="2"/>
  <c r="AB71" i="2"/>
  <c r="AA71" i="2"/>
  <c r="Y71" i="2"/>
  <c r="X71" i="2"/>
  <c r="R71" i="2"/>
  <c r="AC70" i="2"/>
  <c r="AB70" i="2"/>
  <c r="AA70" i="2"/>
  <c r="Y70" i="2"/>
  <c r="X70" i="2"/>
  <c r="A70" i="2"/>
  <c r="AC69" i="2"/>
  <c r="AB69" i="2"/>
  <c r="AA69" i="2"/>
  <c r="Y69" i="2"/>
  <c r="X69" i="2"/>
  <c r="A69" i="2"/>
  <c r="AC68" i="2"/>
  <c r="AB68" i="2"/>
  <c r="AA68" i="2"/>
  <c r="Y68" i="2"/>
  <c r="X68" i="2"/>
  <c r="A68" i="2"/>
  <c r="AC67" i="2"/>
  <c r="AB67" i="2"/>
  <c r="AA67" i="2"/>
  <c r="Y67" i="2"/>
  <c r="X67" i="2"/>
  <c r="A67" i="2"/>
  <c r="AC66" i="2"/>
  <c r="AB66" i="2"/>
  <c r="AA66" i="2"/>
  <c r="Y66" i="2"/>
  <c r="X66" i="2"/>
  <c r="A66" i="2"/>
  <c r="AC65" i="2"/>
  <c r="AB65" i="2"/>
  <c r="AA65" i="2"/>
  <c r="Y65" i="2"/>
  <c r="X65" i="2"/>
  <c r="AC64" i="2"/>
  <c r="AB64" i="2"/>
  <c r="AA64" i="2"/>
  <c r="Y64" i="2"/>
  <c r="X64" i="2"/>
  <c r="R64" i="2"/>
  <c r="AC63" i="2"/>
  <c r="AB63" i="2"/>
  <c r="AA63" i="2"/>
  <c r="Y63" i="2"/>
  <c r="X63" i="2"/>
  <c r="A63" i="2"/>
  <c r="AC62" i="2"/>
  <c r="AB62" i="2"/>
  <c r="AA62" i="2"/>
  <c r="Y62" i="2"/>
  <c r="X62" i="2"/>
  <c r="S62" i="2"/>
  <c r="Q62" i="2"/>
  <c r="AC61" i="2"/>
  <c r="AB61" i="2"/>
  <c r="AA61" i="2"/>
  <c r="Y61" i="2"/>
  <c r="X61" i="2"/>
  <c r="AC60" i="2"/>
  <c r="AB60" i="2"/>
  <c r="AA60" i="2"/>
  <c r="Y60" i="2"/>
  <c r="X60" i="2"/>
  <c r="T60" i="2"/>
  <c r="A60" i="2"/>
  <c r="AC59" i="2"/>
  <c r="AB59" i="2"/>
  <c r="AA59" i="2"/>
  <c r="Y59" i="2"/>
  <c r="X59" i="2"/>
  <c r="S59" i="2"/>
  <c r="A59" i="2"/>
  <c r="AB58" i="2"/>
  <c r="Y58" i="2"/>
  <c r="X58" i="2"/>
  <c r="AB57" i="2"/>
  <c r="AA57" i="2"/>
  <c r="Y57" i="2"/>
  <c r="X57" i="2"/>
  <c r="AC56" i="2"/>
  <c r="AB56" i="2"/>
  <c r="AA56" i="2"/>
  <c r="Y56" i="2"/>
  <c r="X56" i="2"/>
  <c r="A56" i="2"/>
  <c r="AC55" i="2"/>
  <c r="AB55" i="2"/>
  <c r="AA55" i="2"/>
  <c r="Y55" i="2"/>
  <c r="X55" i="2"/>
  <c r="S55" i="2"/>
  <c r="Q55" i="2"/>
  <c r="A55" i="2"/>
  <c r="AC54" i="2"/>
  <c r="AB54" i="2"/>
  <c r="AA54" i="2"/>
  <c r="Y54" i="2"/>
  <c r="X54" i="2"/>
  <c r="A54" i="2"/>
  <c r="AC53" i="2"/>
  <c r="AB53" i="2"/>
  <c r="AA53" i="2"/>
  <c r="Y53" i="2"/>
  <c r="X53" i="2"/>
  <c r="A53" i="2"/>
  <c r="AC52" i="2"/>
  <c r="AB52" i="2"/>
  <c r="AA52" i="2"/>
  <c r="Y52" i="2"/>
  <c r="X52" i="2"/>
  <c r="AB51" i="2"/>
  <c r="AA51" i="2"/>
  <c r="Y51" i="2"/>
  <c r="X51" i="2"/>
  <c r="AC50" i="2"/>
  <c r="AB50" i="2"/>
  <c r="AA50" i="2"/>
  <c r="Y50" i="2"/>
  <c r="X50" i="2"/>
  <c r="A50" i="2"/>
  <c r="AC49" i="2"/>
  <c r="AB49" i="2"/>
  <c r="AA49" i="2"/>
  <c r="Y49" i="2"/>
  <c r="X49" i="2"/>
  <c r="A49" i="2"/>
  <c r="AC48" i="2"/>
  <c r="AB48" i="2"/>
  <c r="AA48" i="2"/>
  <c r="Y48" i="2"/>
  <c r="X48" i="2"/>
  <c r="S48" i="2"/>
  <c r="AB47" i="2"/>
  <c r="AA47" i="2"/>
  <c r="Y47" i="2"/>
  <c r="X47" i="2"/>
  <c r="AB46" i="2"/>
  <c r="AA46" i="2"/>
  <c r="Y46" i="2"/>
  <c r="X46" i="2"/>
  <c r="T46" i="2"/>
  <c r="A46" i="2"/>
  <c r="AB45" i="2"/>
  <c r="AA45" i="2"/>
  <c r="Y45" i="2"/>
  <c r="X45" i="2"/>
  <c r="A45" i="2"/>
  <c r="AB44" i="2"/>
  <c r="AA44" i="2"/>
  <c r="Y44" i="2"/>
  <c r="X44" i="2"/>
  <c r="A44" i="2"/>
  <c r="AB43" i="2"/>
  <c r="AA43" i="2"/>
  <c r="Y43" i="2"/>
  <c r="X43" i="2"/>
  <c r="A43" i="2"/>
  <c r="AB42" i="2"/>
  <c r="AA42" i="2"/>
  <c r="Y42" i="2"/>
  <c r="X42" i="2"/>
  <c r="S42" i="2"/>
  <c r="AB41" i="2"/>
  <c r="AA41" i="2"/>
  <c r="Y41" i="2"/>
  <c r="X41" i="2"/>
  <c r="AB40" i="2"/>
  <c r="AA40" i="2"/>
  <c r="Y40" i="2"/>
  <c r="X40" i="2"/>
  <c r="A40" i="2"/>
  <c r="AB39" i="2"/>
  <c r="AA39" i="2"/>
  <c r="Y39" i="2"/>
  <c r="X39" i="2"/>
  <c r="A39" i="2"/>
  <c r="AB38" i="2"/>
  <c r="AA38" i="2"/>
  <c r="Y38" i="2"/>
  <c r="X38" i="2"/>
  <c r="A38" i="2"/>
  <c r="AB37" i="2"/>
  <c r="AA37" i="2"/>
  <c r="Y37" i="2"/>
  <c r="X37" i="2"/>
  <c r="A37" i="2"/>
  <c r="AB36" i="2"/>
  <c r="AA36" i="2"/>
  <c r="Y36" i="2"/>
  <c r="X36" i="2"/>
  <c r="A36" i="2"/>
  <c r="AB35" i="2"/>
  <c r="AA35" i="2"/>
  <c r="Y35" i="2"/>
  <c r="X35" i="2"/>
  <c r="A35" i="2"/>
  <c r="AB34" i="2"/>
  <c r="AA34" i="2"/>
  <c r="Y34" i="2"/>
  <c r="X34" i="2"/>
  <c r="S34" i="2"/>
  <c r="Q34" i="2"/>
  <c r="A34" i="2"/>
  <c r="AB33" i="2"/>
  <c r="AA33" i="2"/>
  <c r="Y33" i="2"/>
  <c r="X33" i="2"/>
  <c r="AB32" i="2"/>
  <c r="AA32" i="2"/>
  <c r="Y32" i="2"/>
  <c r="X32" i="2"/>
  <c r="AB31" i="2"/>
  <c r="AA31" i="2"/>
  <c r="Y31" i="2"/>
  <c r="X31" i="2"/>
  <c r="A31" i="2"/>
  <c r="AB30" i="2"/>
  <c r="AA30" i="2"/>
  <c r="Y30" i="2"/>
  <c r="X30" i="2"/>
  <c r="A30" i="2"/>
  <c r="AB29" i="2"/>
  <c r="AA29" i="2"/>
  <c r="Y29" i="2"/>
  <c r="X29" i="2"/>
  <c r="S29" i="2"/>
  <c r="A29" i="2"/>
  <c r="AB28" i="2"/>
  <c r="AA28" i="2"/>
  <c r="Y28" i="2"/>
  <c r="X28" i="2"/>
  <c r="A28" i="2"/>
  <c r="AB27" i="2"/>
  <c r="AA27" i="2"/>
  <c r="Y27" i="2"/>
  <c r="X27" i="2"/>
  <c r="AB26" i="2"/>
  <c r="Y26" i="2"/>
  <c r="X26" i="2"/>
  <c r="AB25" i="2"/>
  <c r="AA25" i="2"/>
  <c r="Y25" i="2"/>
  <c r="X25" i="2"/>
  <c r="AB24" i="2"/>
  <c r="AA24" i="2"/>
  <c r="Y24" i="2"/>
  <c r="X24" i="2"/>
  <c r="AB23" i="2"/>
  <c r="AA23" i="2"/>
  <c r="Y23" i="2"/>
  <c r="X23" i="2"/>
  <c r="AB22" i="2"/>
  <c r="AA22" i="2"/>
  <c r="Y22" i="2"/>
  <c r="X22" i="2"/>
  <c r="T22" i="2"/>
  <c r="S22" i="2"/>
  <c r="R22" i="2"/>
  <c r="AB21" i="2"/>
  <c r="Y21" i="2"/>
  <c r="X21" i="2"/>
  <c r="S21" i="2"/>
  <c r="AB20" i="2"/>
  <c r="AA20" i="2"/>
  <c r="Y20" i="2"/>
  <c r="X20" i="2"/>
  <c r="AB19" i="2"/>
  <c r="AA19" i="2"/>
  <c r="Y19" i="2"/>
  <c r="X19" i="2"/>
  <c r="A19" i="2"/>
  <c r="AC18" i="2"/>
  <c r="AB18" i="2"/>
  <c r="AA18" i="2"/>
  <c r="Y18" i="2"/>
  <c r="X18" i="2"/>
  <c r="W18" i="2"/>
  <c r="S18" i="2"/>
  <c r="R18" i="2"/>
  <c r="AB17" i="2"/>
  <c r="AA17" i="2"/>
  <c r="Y17" i="2"/>
  <c r="X17" i="2"/>
  <c r="AB16" i="2"/>
  <c r="AA16" i="2"/>
  <c r="Y16" i="2"/>
  <c r="X16" i="2"/>
  <c r="T16" i="2"/>
  <c r="AB15" i="2"/>
  <c r="AA15" i="2"/>
  <c r="Y15" i="2"/>
  <c r="X15" i="2"/>
  <c r="AB14" i="2"/>
  <c r="AA14" i="2"/>
  <c r="Y14" i="2"/>
  <c r="X14" i="2"/>
  <c r="AB13" i="2"/>
  <c r="AA13" i="2"/>
  <c r="Y13" i="2"/>
  <c r="X13" i="2"/>
  <c r="AB12" i="2"/>
  <c r="AA12" i="2"/>
  <c r="Y12" i="2"/>
  <c r="X12" i="2"/>
  <c r="AB11" i="2"/>
  <c r="AA11" i="2"/>
  <c r="Y11" i="2"/>
  <c r="X11" i="2"/>
  <c r="R11" i="2"/>
  <c r="AB10" i="2"/>
  <c r="AA10" i="2"/>
  <c r="Y10" i="2"/>
  <c r="X10" i="2"/>
  <c r="R10" i="2"/>
  <c r="AB9" i="2"/>
  <c r="AA9" i="2"/>
  <c r="Y9" i="2"/>
  <c r="X9" i="2"/>
  <c r="AB8" i="2"/>
  <c r="AA8" i="2"/>
  <c r="Y8" i="2"/>
  <c r="X8" i="2"/>
  <c r="AB7" i="2"/>
  <c r="AA7" i="2"/>
  <c r="Y7" i="2"/>
  <c r="X7" i="2"/>
  <c r="AC6" i="2"/>
  <c r="AB6" i="2"/>
  <c r="AA6" i="2"/>
  <c r="Y6" i="2"/>
  <c r="X6" i="2"/>
  <c r="S6" i="2"/>
  <c r="AB5" i="2"/>
  <c r="AA5" i="2"/>
  <c r="Y5" i="2"/>
  <c r="X5" i="2"/>
  <c r="AN19" i="6"/>
  <c r="AM19" i="6"/>
  <c r="AK19" i="6"/>
  <c r="AJ19" i="6"/>
  <c r="AN18" i="6"/>
  <c r="AM18" i="6"/>
  <c r="AK18" i="6"/>
  <c r="AJ18" i="6"/>
  <c r="AN17" i="6"/>
  <c r="AM17" i="6"/>
  <c r="AK17" i="6"/>
  <c r="AJ17" i="6"/>
  <c r="AN16" i="6"/>
  <c r="AM16" i="6"/>
  <c r="AK16" i="6"/>
  <c r="AJ16" i="6"/>
  <c r="AN15" i="6"/>
  <c r="AM15" i="6"/>
  <c r="AK15" i="6"/>
  <c r="AJ15" i="6"/>
  <c r="AN14" i="6"/>
  <c r="AM14" i="6"/>
  <c r="AK14" i="6"/>
  <c r="AJ14" i="6"/>
  <c r="AN13" i="6"/>
  <c r="AM13" i="6"/>
  <c r="AK13" i="6"/>
  <c r="AJ13" i="6"/>
  <c r="AN12" i="6"/>
  <c r="AM12" i="6"/>
  <c r="AK12" i="6"/>
  <c r="AJ12" i="6"/>
  <c r="AI12" i="6"/>
  <c r="AN11" i="6"/>
  <c r="AM11" i="6"/>
  <c r="AK11" i="6"/>
  <c r="AJ11" i="6"/>
  <c r="AG11" i="6"/>
  <c r="AN10" i="6"/>
  <c r="AM10" i="6"/>
  <c r="AK10" i="6"/>
  <c r="AJ10" i="6"/>
  <c r="AC10" i="6"/>
  <c r="AN9" i="6"/>
  <c r="AM9" i="6"/>
  <c r="AK9" i="6"/>
  <c r="AJ9" i="6"/>
  <c r="AG9" i="6"/>
  <c r="Y9" i="6"/>
  <c r="AO7" i="6"/>
  <c r="AN7" i="6"/>
  <c r="AM7" i="6"/>
  <c r="AK7" i="6"/>
  <c r="AJ7" i="6"/>
  <c r="O7" i="6"/>
  <c r="M7" i="6"/>
  <c r="AO6" i="6"/>
  <c r="AN6" i="6"/>
  <c r="AM6" i="6"/>
  <c r="AK6" i="6"/>
  <c r="AJ6" i="6"/>
  <c r="O6" i="6"/>
  <c r="M6" i="6"/>
  <c r="AO5" i="6"/>
  <c r="AN5" i="6"/>
  <c r="AM5" i="6"/>
  <c r="AK5" i="6"/>
  <c r="AJ5" i="6"/>
  <c r="O5" i="6"/>
  <c r="M5" i="6"/>
  <c r="AL35" i="4"/>
  <c r="AK35" i="4"/>
  <c r="AI35" i="4"/>
  <c r="AH35" i="4"/>
  <c r="AM34" i="4"/>
  <c r="AL34" i="4"/>
  <c r="AK34" i="4"/>
  <c r="AI34" i="4"/>
  <c r="AH34" i="4"/>
  <c r="AE34" i="4"/>
  <c r="AM33" i="4"/>
  <c r="AL33" i="4"/>
  <c r="AK33" i="4"/>
  <c r="AI33" i="4"/>
  <c r="AH33" i="4"/>
  <c r="AE33" i="4"/>
  <c r="AM32" i="4"/>
  <c r="AL32" i="4"/>
  <c r="AK32" i="4"/>
  <c r="AI32" i="4"/>
  <c r="AH32" i="4"/>
  <c r="AE32" i="4"/>
  <c r="AM31" i="4"/>
  <c r="AL31" i="4"/>
  <c r="AK31" i="4"/>
  <c r="AI31" i="4"/>
  <c r="AH31" i="4"/>
  <c r="AE31" i="4"/>
  <c r="AM30" i="4"/>
  <c r="AL30" i="4"/>
  <c r="AK30" i="4"/>
  <c r="AI30" i="4"/>
  <c r="AH30" i="4"/>
  <c r="AE30" i="4"/>
  <c r="AM29" i="4"/>
  <c r="AL29" i="4"/>
  <c r="AK29" i="4"/>
  <c r="AI29" i="4"/>
  <c r="AH29" i="4"/>
  <c r="AE29" i="4"/>
  <c r="AM28" i="4"/>
  <c r="AL28" i="4"/>
  <c r="AK28" i="4"/>
  <c r="AI28" i="4"/>
  <c r="AH28" i="4"/>
  <c r="AM27" i="4"/>
  <c r="AL27" i="4"/>
  <c r="AK27" i="4"/>
  <c r="AI27" i="4"/>
  <c r="AH27" i="4"/>
  <c r="AM26" i="4"/>
  <c r="AL26" i="4"/>
  <c r="AK26" i="4"/>
  <c r="AI26" i="4"/>
  <c r="AH26" i="4"/>
  <c r="AM25" i="4"/>
  <c r="AL25" i="4"/>
  <c r="AK25" i="4"/>
  <c r="AI25" i="4"/>
  <c r="AH25" i="4"/>
  <c r="AM24" i="4"/>
  <c r="AL24" i="4"/>
  <c r="AK24" i="4"/>
  <c r="AI24" i="4"/>
  <c r="AH24" i="4"/>
  <c r="AM23" i="4"/>
  <c r="AL23" i="4"/>
  <c r="AK23" i="4"/>
  <c r="AI23" i="4"/>
  <c r="AH23" i="4"/>
  <c r="AE23" i="4"/>
  <c r="AM22" i="4"/>
  <c r="AL22" i="4"/>
  <c r="AK22" i="4"/>
  <c r="AI22" i="4"/>
  <c r="AH22" i="4"/>
  <c r="AM21" i="4"/>
  <c r="AL21" i="4"/>
  <c r="AK21" i="4"/>
  <c r="AI21" i="4"/>
  <c r="AH21" i="4"/>
  <c r="AM20" i="4"/>
  <c r="AL20" i="4"/>
  <c r="AK20" i="4"/>
  <c r="AI20" i="4"/>
  <c r="AH20" i="4"/>
  <c r="AM19" i="4"/>
  <c r="AL19" i="4"/>
  <c r="AK19" i="4"/>
  <c r="AI19" i="4"/>
  <c r="AH19" i="4"/>
  <c r="AE19" i="4"/>
  <c r="AL18" i="4"/>
  <c r="AK18" i="4"/>
  <c r="AI18" i="4"/>
  <c r="AH18" i="4"/>
  <c r="AL17" i="4"/>
  <c r="AK17" i="4"/>
  <c r="AI17" i="4"/>
  <c r="AH17" i="4"/>
  <c r="AL16" i="4"/>
  <c r="AK16" i="4"/>
  <c r="AI16" i="4"/>
  <c r="AH16" i="4"/>
  <c r="AL15" i="4"/>
  <c r="AK15" i="4"/>
  <c r="AI15" i="4"/>
  <c r="AH15" i="4"/>
  <c r="AL14" i="4"/>
  <c r="AK14" i="4"/>
  <c r="AI14" i="4"/>
  <c r="AH14" i="4"/>
  <c r="AL13" i="4"/>
  <c r="AK13" i="4"/>
  <c r="AI13" i="4"/>
  <c r="AH13" i="4"/>
  <c r="AM12" i="4"/>
  <c r="AL12" i="4"/>
  <c r="AK12" i="4"/>
  <c r="AI12" i="4"/>
  <c r="AH12" i="4"/>
  <c r="AG12" i="4"/>
  <c r="AB12" i="4"/>
  <c r="AA12" i="4"/>
  <c r="AM11" i="4"/>
  <c r="AL11" i="4"/>
  <c r="AK11" i="4"/>
  <c r="AI11" i="4"/>
  <c r="AH11" i="4"/>
  <c r="AB11" i="4"/>
  <c r="AA11" i="4"/>
  <c r="AM10" i="4"/>
  <c r="AL10" i="4"/>
  <c r="AK10" i="4"/>
  <c r="AI10" i="4"/>
  <c r="AH10" i="4"/>
  <c r="AE10" i="4"/>
  <c r="AB10" i="4"/>
  <c r="AA10" i="4"/>
  <c r="AM9" i="4"/>
  <c r="AL9" i="4"/>
  <c r="AK9" i="4"/>
  <c r="AI9" i="4"/>
  <c r="AH9" i="4"/>
  <c r="AE9" i="4"/>
  <c r="AB9" i="4"/>
  <c r="AA9" i="4"/>
  <c r="AL8" i="4"/>
  <c r="AK8" i="4"/>
  <c r="AI8" i="4"/>
  <c r="AH8" i="4"/>
  <c r="AM7" i="4"/>
  <c r="AL7" i="4"/>
  <c r="AK7" i="4"/>
  <c r="AI7" i="4"/>
  <c r="AH7" i="4"/>
  <c r="AB7" i="4"/>
  <c r="AA7" i="4"/>
  <c r="AM6" i="4"/>
  <c r="AL6" i="4"/>
  <c r="AK6" i="4"/>
  <c r="AI6" i="4"/>
  <c r="AH6" i="4"/>
  <c r="AG6" i="4"/>
  <c r="AB6" i="4"/>
  <c r="AA6" i="4"/>
  <c r="AM5" i="4"/>
  <c r="AL5" i="4"/>
  <c r="AK5" i="4"/>
  <c r="AI5" i="4"/>
  <c r="AH5" i="4"/>
  <c r="AB5" i="4"/>
  <c r="AA5" i="4"/>
  <c r="AL4" i="4"/>
  <c r="AK4" i="4"/>
  <c r="AI4" i="4"/>
  <c r="AH4" i="4"/>
  <c r="AG4" i="4"/>
  <c r="N121" i="1"/>
  <c r="K121" i="1"/>
  <c r="J121" i="1"/>
  <c r="N120" i="1"/>
  <c r="K120" i="1"/>
  <c r="J120" i="1"/>
  <c r="N119" i="1"/>
  <c r="K119" i="1"/>
  <c r="J119" i="1"/>
  <c r="N118" i="1"/>
  <c r="K118" i="1"/>
  <c r="J118" i="1"/>
  <c r="N117" i="1"/>
  <c r="K117" i="1"/>
  <c r="J117" i="1"/>
  <c r="N116" i="1"/>
  <c r="K116" i="1"/>
  <c r="J116" i="1"/>
  <c r="N115" i="1"/>
  <c r="K115" i="1"/>
  <c r="J115" i="1"/>
  <c r="N114" i="1"/>
  <c r="K114" i="1"/>
  <c r="J114" i="1"/>
  <c r="N113" i="1"/>
  <c r="K113" i="1"/>
  <c r="J113" i="1"/>
  <c r="N112" i="1"/>
  <c r="N111" i="1"/>
  <c r="K111" i="1"/>
  <c r="J111" i="1"/>
  <c r="N110" i="1"/>
  <c r="K110" i="1"/>
  <c r="J110" i="1"/>
  <c r="N109" i="1"/>
  <c r="K109" i="1"/>
  <c r="N108" i="1"/>
  <c r="K108" i="1"/>
  <c r="N107" i="1"/>
  <c r="K107" i="1"/>
  <c r="N106" i="1"/>
  <c r="K106" i="1"/>
  <c r="N105" i="1"/>
  <c r="K105" i="1"/>
  <c r="N103" i="1"/>
  <c r="K103" i="1"/>
  <c r="J103" i="1"/>
  <c r="N102" i="1"/>
  <c r="K102" i="1"/>
  <c r="J102" i="1"/>
  <c r="N101" i="1"/>
  <c r="K101" i="1"/>
  <c r="J101" i="1"/>
  <c r="N100" i="1"/>
  <c r="K100" i="1"/>
  <c r="J100" i="1"/>
  <c r="N99" i="1"/>
  <c r="K99" i="1"/>
  <c r="J99" i="1"/>
  <c r="N98" i="1"/>
  <c r="K98" i="1"/>
  <c r="J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J86" i="1"/>
  <c r="N85" i="1"/>
  <c r="K85" i="1"/>
  <c r="J85" i="1"/>
  <c r="N84" i="1"/>
  <c r="K84" i="1"/>
  <c r="J84" i="1"/>
  <c r="N83" i="1"/>
  <c r="K83" i="1"/>
  <c r="J83" i="1"/>
  <c r="N82" i="1"/>
  <c r="K82" i="1"/>
  <c r="J82" i="1"/>
  <c r="N81" i="1"/>
  <c r="K81" i="1"/>
  <c r="J81" i="1"/>
  <c r="N80" i="1"/>
  <c r="K80" i="1"/>
  <c r="J80" i="1"/>
  <c r="N79" i="1"/>
  <c r="K79" i="1"/>
  <c r="J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N68" i="1"/>
  <c r="K68" i="1"/>
  <c r="N67" i="1"/>
  <c r="K67" i="1"/>
  <c r="N66" i="1"/>
  <c r="K66" i="1"/>
  <c r="N65" i="1"/>
  <c r="K65" i="1"/>
  <c r="N64" i="1"/>
  <c r="N63" i="1"/>
  <c r="K63" i="1"/>
  <c r="N60" i="1"/>
  <c r="J60" i="1"/>
  <c r="N59" i="1"/>
  <c r="J59" i="1"/>
  <c r="A59" i="1"/>
  <c r="N58" i="1"/>
  <c r="J58" i="1"/>
  <c r="A58" i="1"/>
  <c r="N57" i="1"/>
  <c r="J57" i="1"/>
  <c r="A57" i="1"/>
  <c r="N56" i="1"/>
  <c r="J56" i="1"/>
  <c r="A56" i="1"/>
  <c r="N55" i="1"/>
  <c r="J55" i="1"/>
  <c r="A55" i="1"/>
  <c r="N54" i="1"/>
  <c r="J54" i="1"/>
  <c r="A54" i="1"/>
  <c r="N53" i="1"/>
  <c r="J53" i="1"/>
  <c r="A53" i="1"/>
  <c r="N52" i="1"/>
  <c r="J52" i="1"/>
  <c r="A52" i="1"/>
  <c r="N51" i="1"/>
  <c r="J51" i="1"/>
  <c r="A51" i="1"/>
  <c r="N50" i="1"/>
  <c r="J50" i="1"/>
  <c r="A50" i="1"/>
  <c r="N49" i="1"/>
  <c r="J49" i="1"/>
  <c r="A49" i="1"/>
  <c r="N48" i="1"/>
  <c r="J48" i="1"/>
  <c r="A48" i="1"/>
  <c r="N47" i="1"/>
  <c r="J47" i="1"/>
  <c r="A47" i="1"/>
  <c r="N46" i="1"/>
  <c r="J46" i="1"/>
  <c r="A46" i="1"/>
  <c r="N45" i="1"/>
  <c r="A45" i="1"/>
  <c r="N44" i="1"/>
  <c r="J44" i="1"/>
  <c r="A44" i="1"/>
  <c r="N43" i="1"/>
  <c r="J43" i="1"/>
  <c r="A43" i="1"/>
  <c r="N42" i="1"/>
  <c r="J42" i="1"/>
  <c r="A42" i="1"/>
  <c r="N41" i="1"/>
  <c r="J41" i="1"/>
  <c r="A41" i="1"/>
  <c r="N40" i="1"/>
  <c r="J40" i="1"/>
  <c r="A40" i="1"/>
  <c r="N39" i="1"/>
  <c r="J39" i="1"/>
  <c r="A39" i="1"/>
  <c r="N38" i="1"/>
  <c r="K38" i="1"/>
  <c r="J38" i="1"/>
  <c r="A38" i="1"/>
  <c r="N37" i="1"/>
  <c r="K37" i="1"/>
  <c r="J37" i="1"/>
  <c r="A37" i="1"/>
  <c r="N36" i="1"/>
  <c r="K36" i="1"/>
  <c r="J36" i="1"/>
  <c r="A36" i="1"/>
  <c r="N35" i="1"/>
  <c r="K35" i="1"/>
  <c r="J35" i="1"/>
  <c r="A35" i="1"/>
  <c r="N34" i="1"/>
  <c r="K34" i="1"/>
  <c r="J34" i="1"/>
  <c r="A34" i="1"/>
  <c r="N33" i="1"/>
  <c r="K33" i="1"/>
  <c r="J33" i="1"/>
  <c r="A33" i="1"/>
  <c r="N32" i="1"/>
  <c r="K32" i="1"/>
  <c r="J32" i="1"/>
  <c r="A32" i="1"/>
  <c r="N31" i="1"/>
  <c r="K31" i="1"/>
  <c r="J31" i="1"/>
  <c r="A31" i="1"/>
  <c r="N30" i="1"/>
  <c r="K30" i="1"/>
  <c r="J30" i="1"/>
  <c r="A30" i="1"/>
  <c r="N29" i="1"/>
  <c r="K29" i="1"/>
  <c r="J29" i="1"/>
  <c r="A29" i="1"/>
  <c r="N28" i="1"/>
  <c r="K28" i="1"/>
  <c r="J28" i="1"/>
  <c r="A28" i="1"/>
  <c r="N27" i="1"/>
  <c r="K27" i="1"/>
  <c r="J27" i="1"/>
  <c r="A27" i="1"/>
  <c r="N26" i="1"/>
  <c r="K26" i="1"/>
  <c r="J26" i="1"/>
  <c r="A26" i="1"/>
  <c r="N25" i="1"/>
  <c r="A25" i="1"/>
  <c r="N24" i="1"/>
  <c r="N22" i="1"/>
  <c r="N21" i="1"/>
  <c r="K21" i="1"/>
  <c r="J21" i="1"/>
  <c r="N20" i="1"/>
  <c r="K20" i="1"/>
  <c r="J20" i="1"/>
  <c r="N19" i="1"/>
  <c r="K19" i="1"/>
  <c r="J19" i="1"/>
  <c r="N18" i="1"/>
  <c r="K18" i="1"/>
  <c r="J18" i="1"/>
  <c r="N17" i="1"/>
  <c r="K17" i="1"/>
  <c r="J17" i="1"/>
  <c r="N16" i="1"/>
  <c r="K16" i="1"/>
  <c r="J16" i="1"/>
  <c r="N15" i="1"/>
  <c r="K15" i="1"/>
  <c r="J15" i="1"/>
  <c r="N14" i="1"/>
  <c r="K14" i="1"/>
  <c r="J14" i="1"/>
  <c r="N13" i="1"/>
  <c r="K13" i="1"/>
  <c r="J13" i="1"/>
  <c r="N12" i="1"/>
  <c r="K12" i="1"/>
  <c r="J12" i="1"/>
  <c r="N11" i="1"/>
  <c r="K11" i="1"/>
  <c r="J11" i="1"/>
  <c r="N10" i="1"/>
  <c r="K10" i="1"/>
  <c r="J10" i="1"/>
  <c r="N9" i="1"/>
  <c r="K9" i="1"/>
  <c r="J9" i="1"/>
  <c r="N8" i="1"/>
  <c r="K8" i="1"/>
  <c r="J8" i="1"/>
  <c r="N7" i="1"/>
  <c r="K7" i="1"/>
  <c r="J7" i="1"/>
  <c r="N6" i="1"/>
  <c r="K6" i="1"/>
  <c r="J6" i="1"/>
  <c r="N5" i="1"/>
  <c r="K5" i="1"/>
  <c r="J5" i="1"/>
  <c r="AB177" i="3" l="1"/>
  <c r="AF151" i="3"/>
  <c r="AF155" i="3"/>
  <c r="AF221" i="3"/>
  <c r="AB328" i="3"/>
  <c r="AF343" i="3"/>
  <c r="W413" i="3"/>
  <c r="W430" i="3" s="1"/>
  <c r="AE453" i="3"/>
  <c r="AF454" i="3"/>
  <c r="AF342" i="3"/>
  <c r="X430" i="3"/>
  <c r="AF51" i="15"/>
  <c r="AF53" i="15"/>
  <c r="AF137" i="3"/>
  <c r="AF240" i="3"/>
  <c r="AF253" i="3"/>
  <c r="AF48" i="3"/>
  <c r="AF185" i="3"/>
  <c r="AF204" i="3"/>
  <c r="AF205" i="3"/>
  <c r="AF206" i="3"/>
  <c r="AF207" i="3"/>
  <c r="AF208" i="3"/>
  <c r="AF209" i="3"/>
  <c r="AF210" i="3"/>
  <c r="AB211" i="3"/>
  <c r="AB283" i="3"/>
  <c r="AF283" i="3" s="1"/>
  <c r="AB286" i="3"/>
  <c r="AF286" i="3" s="1"/>
  <c r="AF315" i="3"/>
  <c r="AF393" i="3"/>
  <c r="AB88" i="3"/>
  <c r="AF88" i="3" s="1"/>
  <c r="AB89" i="3"/>
  <c r="AF89" i="3" s="1"/>
  <c r="AG13" i="3"/>
  <c r="AB165" i="3"/>
  <c r="AB181" i="3"/>
  <c r="AB188" i="3" s="1"/>
  <c r="AB223" i="3"/>
  <c r="AF223" i="3" s="1"/>
  <c r="AB429" i="3"/>
  <c r="AG451" i="3"/>
  <c r="AF292" i="3"/>
  <c r="AF298" i="3"/>
  <c r="AF328" i="3"/>
  <c r="AF374" i="3"/>
  <c r="AF451" i="3"/>
  <c r="AF452" i="3"/>
  <c r="AF453" i="3" s="1"/>
  <c r="AG23" i="16"/>
  <c r="AF90" i="14"/>
  <c r="AG77" i="16"/>
  <c r="AF41" i="3"/>
  <c r="AF148" i="3"/>
  <c r="AF252" i="3"/>
  <c r="AF319" i="3"/>
  <c r="B476" i="3"/>
  <c r="B477" i="3" s="1"/>
  <c r="B478" i="3" s="1"/>
  <c r="B479" i="3" s="1"/>
  <c r="B482" i="3" s="1"/>
  <c r="B483" i="3" s="1"/>
  <c r="B484" i="3" s="1"/>
  <c r="B485" i="3" s="1"/>
  <c r="B486" i="3" s="1"/>
  <c r="B487" i="3" s="1"/>
  <c r="B488" i="3" s="1"/>
  <c r="B491" i="3" s="1"/>
  <c r="B492" i="3" s="1"/>
  <c r="AF101" i="3"/>
  <c r="AF193" i="3"/>
  <c r="AF264" i="3"/>
  <c r="AG20" i="16"/>
  <c r="AF7" i="14"/>
  <c r="AF80" i="14"/>
  <c r="AF60" i="15"/>
  <c r="AF20" i="15"/>
  <c r="AE84" i="15"/>
  <c r="AE92" i="15" s="1"/>
  <c r="AE89" i="14"/>
  <c r="AE101" i="14"/>
  <c r="AE116" i="14"/>
  <c r="AD66" i="16"/>
  <c r="AG22" i="16"/>
  <c r="AD8" i="16"/>
  <c r="AG8" i="16" s="1"/>
  <c r="AG19" i="16"/>
  <c r="AG24" i="16"/>
  <c r="AG34" i="16"/>
  <c r="AG43" i="16"/>
  <c r="AF49" i="15"/>
  <c r="AF41" i="15"/>
  <c r="AF17" i="15"/>
  <c r="AF28" i="15"/>
  <c r="AE74" i="15"/>
  <c r="AB101" i="14"/>
  <c r="AB79" i="14"/>
  <c r="AF79" i="14" s="1"/>
  <c r="AF86" i="14"/>
  <c r="AC116" i="14"/>
  <c r="AF129" i="3"/>
  <c r="AF133" i="3"/>
  <c r="AF135" i="3"/>
  <c r="AB168" i="3"/>
  <c r="AF168" i="3" s="1"/>
  <c r="AF169" i="3"/>
  <c r="AF232" i="3"/>
  <c r="AF233" i="3"/>
  <c r="AF244" i="3"/>
  <c r="AB288" i="3"/>
  <c r="AF288" i="3" s="1"/>
  <c r="AF322" i="3"/>
  <c r="AF447" i="3"/>
  <c r="AF37" i="3"/>
  <c r="AF52" i="3"/>
  <c r="AF87" i="3"/>
  <c r="AB93" i="3"/>
  <c r="AF93" i="3" s="1"/>
  <c r="AF100" i="3"/>
  <c r="AF104" i="3"/>
  <c r="AF146" i="3"/>
  <c r="AF152" i="3"/>
  <c r="AF156" i="3"/>
  <c r="AB226" i="3"/>
  <c r="AF226" i="3" s="1"/>
  <c r="AF231" i="3"/>
  <c r="AF269" i="3"/>
  <c r="AF271" i="3"/>
  <c r="AF272" i="3"/>
  <c r="AF273" i="3"/>
  <c r="AF277" i="3"/>
  <c r="AF282" i="3"/>
  <c r="AF291" i="3"/>
  <c r="AF321" i="3"/>
  <c r="AF329" i="3"/>
  <c r="AF333" i="3"/>
  <c r="AF356" i="3"/>
  <c r="AF360" i="3"/>
  <c r="AF362" i="3"/>
  <c r="AF366" i="3"/>
  <c r="AF384" i="3"/>
  <c r="AF414" i="3"/>
  <c r="AF429" i="3"/>
  <c r="AF432" i="3"/>
  <c r="AF15" i="3"/>
  <c r="AF28" i="3"/>
  <c r="AF29" i="3"/>
  <c r="AF30" i="3"/>
  <c r="AF64" i="3"/>
  <c r="AF68" i="3"/>
  <c r="AF72" i="3"/>
  <c r="AF81" i="3"/>
  <c r="AF86" i="3"/>
  <c r="AF109" i="3"/>
  <c r="AF113" i="3"/>
  <c r="AF290" i="3"/>
  <c r="AB296" i="3"/>
  <c r="AF296" i="3" s="1"/>
  <c r="AF326" i="3"/>
  <c r="AF332" i="3"/>
  <c r="AF347" i="3"/>
  <c r="AF394" i="3"/>
  <c r="AF396" i="3"/>
  <c r="AF404" i="3"/>
  <c r="AF408" i="3"/>
  <c r="AF412" i="3"/>
  <c r="AF433" i="3"/>
  <c r="AB46" i="3"/>
  <c r="AF46" i="3" s="1"/>
  <c r="AB97" i="3"/>
  <c r="AF97" i="3" s="1"/>
  <c r="AF181" i="3"/>
  <c r="AG59" i="16"/>
  <c r="AG7" i="16"/>
  <c r="AG17" i="16"/>
  <c r="AG10" i="16"/>
  <c r="AG12" i="16"/>
  <c r="AG38" i="16"/>
  <c r="A56" i="16"/>
  <c r="A57" i="16" s="1"/>
  <c r="A58" i="16" s="1"/>
  <c r="A59" i="16" s="1"/>
  <c r="A63" i="16" s="1"/>
  <c r="A64" i="16" s="1"/>
  <c r="A65" i="16" s="1"/>
  <c r="A68" i="16" s="1"/>
  <c r="AF55" i="14"/>
  <c r="AF68" i="14"/>
  <c r="AF95" i="14"/>
  <c r="AF11" i="16"/>
  <c r="AG26" i="16"/>
  <c r="AG32" i="16"/>
  <c r="AG39" i="16"/>
  <c r="AD52" i="16"/>
  <c r="AF28" i="16"/>
  <c r="AG25" i="16"/>
  <c r="AG27" i="16"/>
  <c r="AG37" i="16"/>
  <c r="AF52" i="16"/>
  <c r="AF11" i="14"/>
  <c r="AF34" i="14"/>
  <c r="AF42" i="14"/>
  <c r="AF50" i="14"/>
  <c r="AF20" i="14"/>
  <c r="AF24" i="14"/>
  <c r="AF56" i="14"/>
  <c r="AF29" i="14"/>
  <c r="AF31" i="14"/>
  <c r="AF46" i="14"/>
  <c r="AF76" i="14"/>
  <c r="AF81" i="14"/>
  <c r="AF14" i="14"/>
  <c r="AF18" i="14"/>
  <c r="AF33" i="14"/>
  <c r="AF35" i="14"/>
  <c r="AF40" i="14"/>
  <c r="AF62" i="14"/>
  <c r="AF82" i="14"/>
  <c r="AF87" i="14"/>
  <c r="AF23" i="14"/>
  <c r="AF36" i="14"/>
  <c r="AF41" i="14"/>
  <c r="AF61" i="14"/>
  <c r="AF66" i="14"/>
  <c r="AF78" i="14"/>
  <c r="AF27" i="14"/>
  <c r="AF52" i="14"/>
  <c r="AF65" i="14"/>
  <c r="AF72" i="14"/>
  <c r="AF74" i="14"/>
  <c r="AF13" i="14"/>
  <c r="AF15" i="14"/>
  <c r="AF17" i="14"/>
  <c r="AF19" i="14"/>
  <c r="AF30" i="14"/>
  <c r="AF44" i="14"/>
  <c r="AF49" i="14"/>
  <c r="AF51" i="14"/>
  <c r="AF71" i="14"/>
  <c r="AF85" i="14"/>
  <c r="AF88" i="14"/>
  <c r="A120" i="14"/>
  <c r="A121" i="14" s="1"/>
  <c r="A122" i="14" s="1"/>
  <c r="A123" i="14" s="1"/>
  <c r="A124" i="14" s="1"/>
  <c r="A130" i="14" s="1"/>
  <c r="A131" i="14" s="1"/>
  <c r="AF79" i="15"/>
  <c r="AB89" i="14"/>
  <c r="AF83" i="14"/>
  <c r="AF22" i="14"/>
  <c r="AF54" i="14"/>
  <c r="AF84" i="14"/>
  <c r="AF8" i="14"/>
  <c r="AF10" i="14"/>
  <c r="AF12" i="14"/>
  <c r="AF21" i="14"/>
  <c r="AF26" i="14"/>
  <c r="AF28" i="14"/>
  <c r="AF43" i="14"/>
  <c r="AF45" i="14"/>
  <c r="AF48" i="14"/>
  <c r="AF53" i="14"/>
  <c r="AF58" i="14"/>
  <c r="AB67" i="14"/>
  <c r="AF64" i="14"/>
  <c r="AF70" i="14"/>
  <c r="AF77" i="14"/>
  <c r="AF9" i="14"/>
  <c r="AF16" i="14"/>
  <c r="AF25" i="14"/>
  <c r="AF47" i="14"/>
  <c r="AF57" i="14"/>
  <c r="AE67" i="14"/>
  <c r="AF63" i="14"/>
  <c r="AF69" i="14"/>
  <c r="AF73" i="14"/>
  <c r="AF92" i="14"/>
  <c r="AF77" i="15"/>
  <c r="AG54" i="16"/>
  <c r="AB32" i="14"/>
  <c r="AB37" i="14" s="1"/>
  <c r="AB60" i="14" s="1"/>
  <c r="AF75" i="14"/>
  <c r="AE32" i="14"/>
  <c r="AE37" i="14" s="1"/>
  <c r="AE60" i="14" s="1"/>
  <c r="AF91" i="14"/>
  <c r="AF103" i="14"/>
  <c r="O121" i="5"/>
  <c r="O115" i="5"/>
  <c r="AG51" i="16"/>
  <c r="AF31" i="3"/>
  <c r="AF32" i="3"/>
  <c r="AF34" i="3"/>
  <c r="AB42" i="3"/>
  <c r="AF42" i="3" s="1"/>
  <c r="AG42" i="3"/>
  <c r="AG46" i="3"/>
  <c r="AF55" i="3"/>
  <c r="AF59" i="3"/>
  <c r="AF63" i="3"/>
  <c r="AF91" i="3"/>
  <c r="AE114" i="3"/>
  <c r="AF99" i="3"/>
  <c r="AF103" i="3"/>
  <c r="AF154" i="3"/>
  <c r="AF187" i="3"/>
  <c r="AF192" i="3"/>
  <c r="AB222" i="3"/>
  <c r="AF222" i="3" s="1"/>
  <c r="AF243" i="3"/>
  <c r="AF297" i="3"/>
  <c r="AF434" i="3"/>
  <c r="AF435" i="3"/>
  <c r="AF436" i="3"/>
  <c r="AF437" i="3"/>
  <c r="AF58" i="3"/>
  <c r="AF62" i="3"/>
  <c r="AF90" i="3"/>
  <c r="AF98" i="3"/>
  <c r="AF102" i="3"/>
  <c r="AF108" i="3"/>
  <c r="AF112" i="3"/>
  <c r="AF153" i="3"/>
  <c r="AF186" i="3"/>
  <c r="AF191" i="3"/>
  <c r="AB199" i="3"/>
  <c r="AF199" i="3" s="1"/>
  <c r="AF224" i="3"/>
  <c r="AF242" i="3"/>
  <c r="AF256" i="3"/>
  <c r="AF279" i="3"/>
  <c r="AF324" i="3"/>
  <c r="AF339" i="3"/>
  <c r="AF348" i="3"/>
  <c r="AF373" i="3"/>
  <c r="AF382" i="3"/>
  <c r="AF385" i="3"/>
  <c r="AF418" i="3"/>
  <c r="AF422" i="3"/>
  <c r="AF424" i="3"/>
  <c r="AB105" i="3"/>
  <c r="AF105" i="3" s="1"/>
  <c r="AB106" i="3"/>
  <c r="AF106" i="3" s="1"/>
  <c r="AE161" i="3"/>
  <c r="AB219" i="3"/>
  <c r="AF219" i="3" s="1"/>
  <c r="AB254" i="3"/>
  <c r="AF254" i="3" s="1"/>
  <c r="AB294" i="3"/>
  <c r="AF402" i="3"/>
  <c r="AF85" i="3"/>
  <c r="AF92" i="3"/>
  <c r="AF94" i="3"/>
  <c r="AF165" i="3"/>
  <c r="AB25" i="3"/>
  <c r="AB76" i="3"/>
  <c r="AC10" i="3"/>
  <c r="AF35" i="3"/>
  <c r="AF43" i="3"/>
  <c r="AF57" i="3"/>
  <c r="AF61" i="3"/>
  <c r="AF107" i="3"/>
  <c r="AF111" i="3"/>
  <c r="AF118" i="3"/>
  <c r="AF123" i="3"/>
  <c r="AF124" i="3"/>
  <c r="AF126" i="3"/>
  <c r="AF128" i="3"/>
  <c r="AF132" i="3"/>
  <c r="AF211" i="3"/>
  <c r="AB293" i="3"/>
  <c r="AB313" i="3" s="1"/>
  <c r="AF294" i="3"/>
  <c r="AF38" i="3"/>
  <c r="AF39" i="3"/>
  <c r="AF40" i="3"/>
  <c r="AF49" i="3"/>
  <c r="AF50" i="3"/>
  <c r="AF51" i="3"/>
  <c r="AF56" i="3"/>
  <c r="AF60" i="3"/>
  <c r="AF65" i="3"/>
  <c r="AF69" i="3"/>
  <c r="AF73" i="3"/>
  <c r="AF78" i="3"/>
  <c r="AC96" i="3"/>
  <c r="AF82" i="3"/>
  <c r="AF95" i="3"/>
  <c r="AF110" i="3"/>
  <c r="AF131" i="3"/>
  <c r="AF203" i="3"/>
  <c r="AF147" i="3"/>
  <c r="AF157" i="3"/>
  <c r="AF158" i="3"/>
  <c r="AF159" i="3"/>
  <c r="AF160" i="3"/>
  <c r="AF201" i="3"/>
  <c r="AF238" i="3"/>
  <c r="AF239" i="3"/>
  <c r="AF276" i="3"/>
  <c r="AF281" i="3"/>
  <c r="AF295" i="3"/>
  <c r="AF305" i="3"/>
  <c r="AF306" i="3"/>
  <c r="AF310" i="3"/>
  <c r="AF317" i="3"/>
  <c r="AF318" i="3"/>
  <c r="AF320" i="3"/>
  <c r="AF323" i="3"/>
  <c r="AF344" i="3"/>
  <c r="AF346" i="3"/>
  <c r="AF359" i="3"/>
  <c r="AF361" i="3"/>
  <c r="AF368" i="3"/>
  <c r="AF369" i="3"/>
  <c r="AB388" i="3"/>
  <c r="AB413" i="3" s="1"/>
  <c r="AF444" i="3"/>
  <c r="AF446" i="3"/>
  <c r="AF448" i="3"/>
  <c r="AF455" i="3"/>
  <c r="AF456" i="3"/>
  <c r="AF457" i="3"/>
  <c r="AG150" i="3"/>
  <c r="AF176" i="3"/>
  <c r="AF195" i="3"/>
  <c r="AF196" i="3"/>
  <c r="AF197" i="3"/>
  <c r="AF212" i="3"/>
  <c r="AF213" i="3"/>
  <c r="AF214" i="3"/>
  <c r="AF225" i="3"/>
  <c r="AF245" i="3"/>
  <c r="AF246" i="3"/>
  <c r="AF262" i="3"/>
  <c r="AF263" i="3"/>
  <c r="AF265" i="3"/>
  <c r="AF275" i="3"/>
  <c r="AF280" i="3"/>
  <c r="AF287" i="3"/>
  <c r="AF299" i="3"/>
  <c r="AF304" i="3"/>
  <c r="AF330" i="3"/>
  <c r="AF334" i="3"/>
  <c r="AF335" i="3"/>
  <c r="AF340" i="3"/>
  <c r="AF341" i="3"/>
  <c r="AF349" i="3"/>
  <c r="AF350" i="3"/>
  <c r="AF363" i="3"/>
  <c r="AF367" i="3"/>
  <c r="AF380" i="3"/>
  <c r="AF391" i="3"/>
  <c r="AF405" i="3"/>
  <c r="AF409" i="3"/>
  <c r="AF438" i="3"/>
  <c r="AF440" i="3"/>
  <c r="AF431" i="3"/>
  <c r="X11" i="16"/>
  <c r="AG15" i="16"/>
  <c r="AG9" i="16"/>
  <c r="AG35" i="16"/>
  <c r="AF46" i="16"/>
  <c r="AG16" i="16"/>
  <c r="AD46" i="16"/>
  <c r="AG45" i="16"/>
  <c r="AG354" i="3"/>
  <c r="AF354" i="3"/>
  <c r="AG372" i="3"/>
  <c r="AF372" i="3"/>
  <c r="AG378" i="3"/>
  <c r="AF378" i="3"/>
  <c r="AG389" i="3"/>
  <c r="AF389" i="3"/>
  <c r="AG398" i="3"/>
  <c r="AF398" i="3"/>
  <c r="AE44" i="3"/>
  <c r="AE54" i="3" s="1"/>
  <c r="AE76" i="3"/>
  <c r="AB96" i="3"/>
  <c r="AF122" i="3"/>
  <c r="AG179" i="3"/>
  <c r="AF179" i="3"/>
  <c r="AE202" i="3"/>
  <c r="AF189" i="3"/>
  <c r="AG218" i="3"/>
  <c r="AF218" i="3"/>
  <c r="AG250" i="3"/>
  <c r="AF250" i="3"/>
  <c r="AC44" i="3"/>
  <c r="AC76" i="3" s="1"/>
  <c r="AF33" i="3"/>
  <c r="AF53" i="3"/>
  <c r="AF67" i="3"/>
  <c r="AF75" i="3"/>
  <c r="AF84" i="3"/>
  <c r="AF125" i="3"/>
  <c r="AF140" i="3"/>
  <c r="AG227" i="3"/>
  <c r="AF227" i="3"/>
  <c r="AG352" i="3"/>
  <c r="AG358" i="3" s="1"/>
  <c r="AF352" i="3"/>
  <c r="AG370" i="3"/>
  <c r="AF370" i="3"/>
  <c r="AG376" i="3"/>
  <c r="AF376" i="3"/>
  <c r="AG400" i="3"/>
  <c r="AF400" i="3"/>
  <c r="AF407" i="3"/>
  <c r="AF411" i="3"/>
  <c r="AF416" i="3"/>
  <c r="AG260" i="3"/>
  <c r="AF260" i="3"/>
  <c r="AF71" i="3"/>
  <c r="AF80" i="3"/>
  <c r="AF119" i="3"/>
  <c r="AF121" i="3"/>
  <c r="AB10" i="3"/>
  <c r="AC25" i="3"/>
  <c r="AF27" i="3"/>
  <c r="AF45" i="3"/>
  <c r="AF47" i="3"/>
  <c r="AF66" i="3"/>
  <c r="AF70" i="3"/>
  <c r="AF74" i="3"/>
  <c r="AE96" i="3"/>
  <c r="AF79" i="3"/>
  <c r="AF83" i="3"/>
  <c r="AE134" i="3"/>
  <c r="AF144" i="3"/>
  <c r="AG236" i="3"/>
  <c r="AF236" i="3"/>
  <c r="AF420" i="3"/>
  <c r="AE174" i="3"/>
  <c r="AG174" i="3" s="1"/>
  <c r="AC313" i="3"/>
  <c r="AC325" i="3" s="1"/>
  <c r="AE413" i="3"/>
  <c r="AE430" i="3" s="1"/>
  <c r="AE439" i="3" s="1"/>
  <c r="AE450" i="3" s="1"/>
  <c r="AF426" i="3"/>
  <c r="AF442" i="3"/>
  <c r="AG453" i="3"/>
  <c r="AF127" i="3"/>
  <c r="AF142" i="3"/>
  <c r="AF143" i="3"/>
  <c r="AF163" i="3"/>
  <c r="AF171" i="3"/>
  <c r="AF177" i="3"/>
  <c r="AF178" i="3"/>
  <c r="AF183" i="3"/>
  <c r="AF216" i="3"/>
  <c r="AF217" i="3"/>
  <c r="AF220" i="3"/>
  <c r="AE266" i="3"/>
  <c r="AM266" i="3" s="1"/>
  <c r="AF234" i="3"/>
  <c r="AF235" i="3"/>
  <c r="AC266" i="3"/>
  <c r="AC284" i="3" s="1"/>
  <c r="AF248" i="3"/>
  <c r="AF249" i="3"/>
  <c r="AF258" i="3"/>
  <c r="AF261" i="3"/>
  <c r="AF267" i="3"/>
  <c r="AF268" i="3"/>
  <c r="AE313" i="3"/>
  <c r="AF303" i="3"/>
  <c r="AF312" i="3"/>
  <c r="AF316" i="3"/>
  <c r="AF338" i="3"/>
  <c r="AF351" i="3"/>
  <c r="AF377" i="3"/>
  <c r="AE386" i="3"/>
  <c r="AG390" i="3"/>
  <c r="AF397" i="3"/>
  <c r="AF399" i="3"/>
  <c r="AF415" i="3"/>
  <c r="AF419" i="3"/>
  <c r="AF423" i="3"/>
  <c r="AF441" i="3"/>
  <c r="AF458" i="3"/>
  <c r="AF138" i="3"/>
  <c r="AF139" i="3"/>
  <c r="AF167" i="3"/>
  <c r="AF173" i="3"/>
  <c r="AE230" i="3"/>
  <c r="AM230" i="3" s="1"/>
  <c r="AF255" i="3"/>
  <c r="AF301" i="3"/>
  <c r="AF302" i="3"/>
  <c r="AF308" i="3"/>
  <c r="AF309" i="3"/>
  <c r="AF331" i="3"/>
  <c r="AF379" i="3"/>
  <c r="AF381" i="3"/>
  <c r="AF401" i="3"/>
  <c r="AG50" i="16"/>
  <c r="AF59" i="14"/>
  <c r="AG49" i="16"/>
  <c r="AF106" i="14"/>
  <c r="AF105" i="14"/>
  <c r="AG464" i="3"/>
  <c r="AB180" i="2"/>
  <c r="AF15" i="15"/>
  <c r="AF19" i="15"/>
  <c r="AF23" i="15"/>
  <c r="AF6" i="15"/>
  <c r="AF29" i="15"/>
  <c r="AF31" i="15"/>
  <c r="AF33" i="15"/>
  <c r="AF35" i="15"/>
  <c r="AF47" i="15"/>
  <c r="AF72" i="15"/>
  <c r="AF55" i="15"/>
  <c r="AF67" i="15"/>
  <c r="AF32" i="15"/>
  <c r="AF54" i="15"/>
  <c r="AF56" i="15"/>
  <c r="AF24" i="15"/>
  <c r="AF27" i="15"/>
  <c r="AF42" i="15"/>
  <c r="A71" i="15"/>
  <c r="A72" i="15" s="1"/>
  <c r="A73" i="15" s="1"/>
  <c r="A76" i="15" s="1"/>
  <c r="A77" i="15" s="1"/>
  <c r="A78" i="15" s="1"/>
  <c r="A79" i="15" s="1"/>
  <c r="A80" i="15" s="1"/>
  <c r="A81" i="15" s="1"/>
  <c r="A82" i="15" s="1"/>
  <c r="A83" i="15" s="1"/>
  <c r="A86" i="15" s="1"/>
  <c r="A87" i="15" s="1"/>
  <c r="A88" i="15" s="1"/>
  <c r="AF12" i="15"/>
  <c r="AE46" i="15"/>
  <c r="AF40" i="15"/>
  <c r="AF45" i="15"/>
  <c r="AF14" i="15"/>
  <c r="AE25" i="15"/>
  <c r="AF26" i="15"/>
  <c r="AE37" i="15"/>
  <c r="AF36" i="15"/>
  <c r="AF52" i="15"/>
  <c r="AF78" i="15"/>
  <c r="AE58" i="15"/>
  <c r="AE65" i="15" s="1"/>
  <c r="AF57" i="15"/>
  <c r="AF69" i="15"/>
  <c r="AF76" i="15"/>
  <c r="AF18" i="15"/>
  <c r="AF7" i="15"/>
  <c r="AF10" i="15"/>
  <c r="AF21" i="15"/>
  <c r="AC46" i="15"/>
  <c r="AF44" i="15"/>
  <c r="AF48" i="15"/>
  <c r="AF63" i="15"/>
  <c r="AF70" i="15"/>
  <c r="AF73" i="15"/>
  <c r="AC13" i="15"/>
  <c r="AF9" i="15"/>
  <c r="AF16" i="15"/>
  <c r="AF34" i="15"/>
  <c r="AF43" i="15"/>
  <c r="AF50" i="15"/>
  <c r="AF11" i="15"/>
  <c r="AC37" i="15"/>
  <c r="AE13" i="15"/>
  <c r="AF8" i="15"/>
  <c r="AF22" i="15"/>
  <c r="AF62" i="15"/>
  <c r="AF68" i="15"/>
  <c r="AF75" i="15"/>
  <c r="AB164" i="2"/>
  <c r="AB170" i="2"/>
  <c r="AB176" i="2" s="1"/>
  <c r="AB155" i="2"/>
  <c r="X170" i="2"/>
  <c r="X176" i="2" s="1"/>
  <c r="AB152" i="2"/>
  <c r="AB146" i="2"/>
  <c r="AB149" i="2" s="1"/>
  <c r="AG48" i="16"/>
  <c r="AF104" i="14"/>
  <c r="AG14" i="16"/>
  <c r="AG18" i="16"/>
  <c r="AG31" i="16"/>
  <c r="AG33" i="16"/>
  <c r="AD36" i="16"/>
  <c r="AD28" i="16"/>
  <c r="AF36" i="16"/>
  <c r="AG41" i="16"/>
  <c r="AF66" i="15"/>
  <c r="AG44" i="16"/>
  <c r="AG30" i="16"/>
  <c r="AG40" i="16"/>
  <c r="AG29" i="16"/>
  <c r="AC25" i="15"/>
  <c r="AF30" i="15"/>
  <c r="AF39" i="15"/>
  <c r="AF59" i="15"/>
  <c r="AF38" i="15"/>
  <c r="AF100" i="14"/>
  <c r="AB161" i="3"/>
  <c r="AF161" i="3" s="1"/>
  <c r="AF150" i="3"/>
  <c r="AF26" i="3"/>
  <c r="AF36" i="3"/>
  <c r="AF77" i="3"/>
  <c r="AF117" i="3"/>
  <c r="AE149" i="3"/>
  <c r="AG141" i="3"/>
  <c r="AF141" i="3"/>
  <c r="AF162" i="3"/>
  <c r="AG168" i="3"/>
  <c r="AE188" i="3"/>
  <c r="AG188" i="3" s="1"/>
  <c r="AG184" i="3"/>
  <c r="AF184" i="3"/>
  <c r="AG198" i="3"/>
  <c r="AF198" i="3"/>
  <c r="AC230" i="3"/>
  <c r="AG228" i="3"/>
  <c r="AF228" i="3"/>
  <c r="AG241" i="3"/>
  <c r="AF241" i="3"/>
  <c r="AF274" i="3"/>
  <c r="AF278" i="3"/>
  <c r="AF311" i="3"/>
  <c r="AG145" i="3"/>
  <c r="AF145" i="3"/>
  <c r="AE345" i="3"/>
  <c r="AE375" i="3"/>
  <c r="AG365" i="3"/>
  <c r="AF5" i="3"/>
  <c r="AF14" i="3"/>
  <c r="AF116" i="3"/>
  <c r="AC134" i="3"/>
  <c r="AC149" i="3" s="1"/>
  <c r="AC161" i="3" s="1"/>
  <c r="AC174" i="3" s="1"/>
  <c r="AC188" i="3" s="1"/>
  <c r="AC202" i="3" s="1"/>
  <c r="AF120" i="3"/>
  <c r="AF130" i="3"/>
  <c r="AB149" i="3"/>
  <c r="AG170" i="3"/>
  <c r="AF170" i="3"/>
  <c r="AG194" i="3"/>
  <c r="AF194" i="3"/>
  <c r="AG200" i="3"/>
  <c r="AF200" i="3"/>
  <c r="AG215" i="3"/>
  <c r="AF215" i="3"/>
  <c r="AG237" i="3"/>
  <c r="AF237" i="3"/>
  <c r="AG251" i="3"/>
  <c r="AF251" i="3"/>
  <c r="AF270" i="3"/>
  <c r="AF300" i="3"/>
  <c r="AF307" i="3"/>
  <c r="AG316" i="3"/>
  <c r="AG325" i="3" s="1"/>
  <c r="AE325" i="3"/>
  <c r="AF327" i="3"/>
  <c r="AB358" i="3"/>
  <c r="AG166" i="3"/>
  <c r="AF166" i="3"/>
  <c r="AG182" i="3"/>
  <c r="AF182" i="3"/>
  <c r="AE284" i="3"/>
  <c r="AM284" i="3" s="1"/>
  <c r="AC114" i="3"/>
  <c r="AB134" i="3"/>
  <c r="AG164" i="3"/>
  <c r="AF164" i="3"/>
  <c r="AG172" i="3"/>
  <c r="AF172" i="3"/>
  <c r="AG180" i="3"/>
  <c r="AF180" i="3"/>
  <c r="AG190" i="3"/>
  <c r="AF190" i="3"/>
  <c r="AB202" i="3"/>
  <c r="AG247" i="3"/>
  <c r="AF247" i="3"/>
  <c r="AG257" i="3"/>
  <c r="AF257" i="3"/>
  <c r="AF314" i="3"/>
  <c r="AB325" i="3"/>
  <c r="AF427" i="3"/>
  <c r="AF115" i="3"/>
  <c r="AG137" i="3"/>
  <c r="AG189" i="3"/>
  <c r="AG231" i="3"/>
  <c r="AG269" i="3"/>
  <c r="AG284" i="3" s="1"/>
  <c r="AG292" i="3"/>
  <c r="AG313" i="3" s="1"/>
  <c r="AB345" i="3"/>
  <c r="AG326" i="3"/>
  <c r="AG345" i="3" s="1"/>
  <c r="AF337" i="3"/>
  <c r="AF353" i="3"/>
  <c r="AE358" i="3"/>
  <c r="AF371" i="3"/>
  <c r="AF383" i="3"/>
  <c r="AF390" i="3"/>
  <c r="AF392" i="3"/>
  <c r="AF403" i="3"/>
  <c r="AF406" i="3"/>
  <c r="AF410" i="3"/>
  <c r="AF417" i="3"/>
  <c r="AF421" i="3"/>
  <c r="AF425" i="3"/>
  <c r="AF428" i="3"/>
  <c r="AG449" i="3"/>
  <c r="AF449" i="3"/>
  <c r="AF136" i="3"/>
  <c r="AF175" i="3"/>
  <c r="AF285" i="3"/>
  <c r="AF355" i="3"/>
  <c r="AF365" i="3"/>
  <c r="AF443" i="3"/>
  <c r="AB375" i="3"/>
  <c r="AB386" i="3" s="1"/>
  <c r="AG424" i="3"/>
  <c r="AG463" i="3"/>
  <c r="AF463" i="3"/>
  <c r="AF445" i="3"/>
  <c r="AF459" i="3"/>
  <c r="AG459" i="3"/>
  <c r="AG460" i="3" s="1"/>
  <c r="AG467" i="3"/>
  <c r="AF467" i="3"/>
  <c r="AG471" i="3"/>
  <c r="AF471" i="3"/>
  <c r="AF472" i="3"/>
  <c r="AE460" i="3"/>
  <c r="AF461" i="3"/>
  <c r="AF462" i="3"/>
  <c r="AF460" i="3" l="1"/>
  <c r="AB284" i="3"/>
  <c r="AF76" i="3"/>
  <c r="A151" i="19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F313" i="3"/>
  <c r="B495" i="3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AB266" i="3"/>
  <c r="AF388" i="3"/>
  <c r="AG468" i="3"/>
  <c r="AG473" i="3" s="1"/>
  <c r="AG480" i="3" s="1"/>
  <c r="AF293" i="3"/>
  <c r="AF25" i="3"/>
  <c r="AG413" i="3"/>
  <c r="AG430" i="3" s="1"/>
  <c r="AG230" i="3"/>
  <c r="AG60" i="16"/>
  <c r="AG66" i="16" s="1"/>
  <c r="AF96" i="3"/>
  <c r="AF10" i="3"/>
  <c r="AG375" i="3"/>
  <c r="AF188" i="3"/>
  <c r="AD11" i="16"/>
  <c r="A69" i="16"/>
  <c r="A70" i="16" s="1"/>
  <c r="A71" i="16" s="1"/>
  <c r="A72" i="16" s="1"/>
  <c r="A73" i="16" s="1"/>
  <c r="A74" i="16" s="1"/>
  <c r="A75" i="16" s="1"/>
  <c r="A138" i="14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32" i="14"/>
  <c r="AC125" i="14"/>
  <c r="AF116" i="14"/>
  <c r="AG11" i="16"/>
  <c r="A89" i="15"/>
  <c r="A90" i="15" s="1"/>
  <c r="AF84" i="15"/>
  <c r="AF92" i="15" s="1"/>
  <c r="AF101" i="14"/>
  <c r="AF89" i="14"/>
  <c r="AB230" i="3"/>
  <c r="AC54" i="3"/>
  <c r="AB174" i="3"/>
  <c r="AF174" i="3" s="1"/>
  <c r="AB44" i="3"/>
  <c r="AF44" i="3" s="1"/>
  <c r="AF468" i="3"/>
  <c r="AF473" i="3" s="1"/>
  <c r="AF480" i="3" s="1"/>
  <c r="AB114" i="3"/>
  <c r="AF114" i="3" s="1"/>
  <c r="AG28" i="16"/>
  <c r="AF32" i="14"/>
  <c r="AF37" i="14" s="1"/>
  <c r="AF60" i="14" s="1"/>
  <c r="AF67" i="14" s="1"/>
  <c r="AF74" i="15"/>
  <c r="AF284" i="3"/>
  <c r="AF266" i="3"/>
  <c r="AF149" i="3"/>
  <c r="AG386" i="3"/>
  <c r="AF413" i="3"/>
  <c r="AF375" i="3"/>
  <c r="AF358" i="3"/>
  <c r="AF202" i="3"/>
  <c r="AF386" i="3"/>
  <c r="AF345" i="3"/>
  <c r="AF230" i="3"/>
  <c r="AF37" i="15"/>
  <c r="AF58" i="15"/>
  <c r="AF65" i="15" s="1"/>
  <c r="AF13" i="15"/>
  <c r="AF25" i="15"/>
  <c r="AG36" i="16"/>
  <c r="AG46" i="16"/>
  <c r="AG52" i="16" s="1"/>
  <c r="AF46" i="15"/>
  <c r="AF430" i="3"/>
  <c r="AG266" i="3"/>
  <c r="AG439" i="3"/>
  <c r="AG450" i="3" s="1"/>
  <c r="AB430" i="3"/>
  <c r="AB439" i="3" s="1"/>
  <c r="AG202" i="3"/>
  <c r="AF325" i="3"/>
  <c r="AF134" i="3"/>
  <c r="AC134" i="14" l="1"/>
  <c r="AC151" i="14" s="1"/>
  <c r="AB54" i="3"/>
  <c r="AF54" i="3" s="1"/>
  <c r="A94" i="15"/>
  <c r="A95" i="15" s="1"/>
  <c r="A96" i="15" s="1"/>
  <c r="A97" i="15" s="1"/>
  <c r="A98" i="15" s="1"/>
  <c r="A99" i="15" s="1"/>
  <c r="A100" i="15" s="1"/>
  <c r="A103" i="15" s="1"/>
  <c r="A104" i="15" s="1"/>
  <c r="A105" i="15" s="1"/>
  <c r="A106" i="15" s="1"/>
  <c r="A107" i="15" s="1"/>
  <c r="A108" i="15" s="1"/>
  <c r="A109" i="15" s="1"/>
  <c r="A91" i="15"/>
  <c r="A97" i="16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B450" i="3"/>
  <c r="AF439" i="3"/>
  <c r="AF450" i="3" s="1"/>
  <c r="A113" i="15" l="1"/>
  <c r="A114" i="15" s="1"/>
  <c r="AB453" i="3"/>
  <c r="AB460" i="3" l="1"/>
  <c r="AB468" i="3"/>
  <c r="AG18" i="19"/>
  <c r="AJ18" i="19" s="1"/>
  <c r="AB473" i="3" l="1"/>
  <c r="AB480" i="3" s="1"/>
  <c r="AB489" i="3" l="1"/>
  <c r="AB493" i="3" s="1"/>
  <c r="AG13" i="16" l="1"/>
  <c r="AG21" i="16"/>
  <c r="AD13" i="16"/>
  <c r="AF21" i="16"/>
  <c r="AF13" i="16"/>
  <c r="AD21" i="16"/>
</calcChain>
</file>

<file path=xl/comments1.xml><?xml version="1.0" encoding="utf-8"?>
<comments xmlns="http://schemas.openxmlformats.org/spreadsheetml/2006/main">
  <authors>
    <author>Hana Hien</author>
    <author>APC</author>
  </authors>
  <commentList>
    <comment ref="AG4" authorId="0" shapeId="0">
      <text>
        <r>
          <rPr>
            <sz val="9"/>
            <color indexed="81"/>
            <rFont val="Tahoma"/>
            <family val="2"/>
          </rPr>
          <t>PHÍ CO ANZZ</t>
        </r>
      </text>
    </comment>
    <comment ref="AA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11809</t>
        </r>
      </text>
    </comment>
    <comment ref="AB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10381</t>
        </r>
      </text>
    </comment>
    <comment ref="AA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11635</t>
        </r>
      </text>
    </comment>
    <comment ref="AB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00024169
</t>
        </r>
      </text>
    </comment>
    <comment ref="AG6" authorId="0" shapeId="0">
      <text>
        <r>
          <rPr>
            <sz val="9"/>
            <color indexed="81"/>
            <rFont val="Tahoma"/>
            <family val="2"/>
          </rPr>
          <t>PHÍ CO ANZZ</t>
        </r>
      </text>
    </comment>
    <comment ref="AA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00002991
</t>
        </r>
      </text>
    </comment>
    <comment ref="AB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00024170</t>
        </r>
      </text>
    </comment>
    <comment ref="AG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PHÍ CO AANZ
</t>
        </r>
      </text>
    </comment>
    <comment ref="AA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00025296
</t>
        </r>
      </text>
    </comment>
    <comment ref="AB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21553</t>
        </r>
      </text>
    </comment>
    <comment ref="AA1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00026399
</t>
        </r>
      </text>
    </comment>
    <comment ref="AB1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21970
</t>
        </r>
      </text>
    </comment>
    <comment ref="AA1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43166
</t>
        </r>
      </text>
    </comment>
    <comment ref="AB1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54799</t>
        </r>
      </text>
    </comment>
    <comment ref="AA1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16039</t>
        </r>
      </text>
    </comment>
    <comment ref="AB1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56297</t>
        </r>
      </text>
    </comment>
    <comment ref="AA1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25883-</t>
        </r>
      </text>
    </comment>
    <comment ref="AB1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00040221</t>
        </r>
      </text>
    </comment>
    <comment ref="AA2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73386</t>
        </r>
      </text>
    </comment>
    <comment ref="AB2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95933</t>
        </r>
      </text>
    </comment>
    <comment ref="AA2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28897</t>
        </r>
      </text>
    </comment>
    <comment ref="AB2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00055718</t>
        </r>
      </text>
    </comment>
    <comment ref="AA2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29305</t>
        </r>
      </text>
    </comment>
    <comment ref="AB2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00056536</t>
        </r>
      </text>
    </comment>
    <comment ref="AA2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29045</t>
        </r>
      </text>
    </comment>
    <comment ref="AA2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38210</t>
        </r>
      </text>
    </comment>
    <comment ref="AB2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00058799</t>
        </r>
      </text>
    </comment>
    <comment ref="AA25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38322</t>
        </r>
      </text>
    </comment>
    <comment ref="AA26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38740</t>
        </r>
      </text>
    </comment>
    <comment ref="AA27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38732</t>
        </r>
      </text>
    </comment>
    <comment ref="AA28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4355</t>
        </r>
      </text>
    </comment>
    <comment ref="AB28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10688</t>
        </r>
      </text>
    </comment>
    <comment ref="AA2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39697</t>
        </r>
      </text>
    </comment>
    <comment ref="AB29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00402647</t>
        </r>
      </text>
    </comment>
    <comment ref="AA3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19088</t>
        </r>
      </text>
    </comment>
    <comment ref="AB30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00062655</t>
        </r>
      </text>
    </comment>
    <comment ref="AA31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19066</t>
        </r>
      </text>
    </comment>
    <comment ref="AA3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108381</t>
        </r>
      </text>
    </comment>
    <comment ref="AB32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00402647</t>
        </r>
      </text>
    </comment>
    <comment ref="AA3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00086367
</t>
        </r>
      </text>
    </comment>
    <comment ref="AB33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43480</t>
        </r>
      </text>
    </comment>
    <comment ref="AA3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110995
</t>
        </r>
      </text>
    </comment>
    <comment ref="AB34" authorId="1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00065497</t>
        </r>
      </text>
    </comment>
  </commentList>
</comments>
</file>

<file path=xl/comments2.xml><?xml version="1.0" encoding="utf-8"?>
<comments xmlns="http://schemas.openxmlformats.org/spreadsheetml/2006/main">
  <authors>
    <author>APC</author>
  </authors>
  <commentList>
    <comment ref="Y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00046344</t>
        </r>
      </text>
    </comment>
    <comment ref="Z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00229083</t>
        </r>
      </text>
    </comment>
    <comment ref="AA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243850</t>
        </r>
      </text>
    </comment>
    <comment ref="Y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17041</t>
        </r>
      </text>
    </comment>
    <comment ref="Z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00279596</t>
        </r>
      </text>
    </comment>
    <comment ref="AA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252378</t>
        </r>
      </text>
    </comment>
    <comment ref="Y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5527</t>
        </r>
      </text>
    </comment>
    <comment ref="Z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00309235</t>
        </r>
      </text>
    </comment>
    <comment ref="AA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255706</t>
        </r>
      </text>
    </comment>
    <comment ref="Z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00061483</t>
        </r>
      </text>
    </comment>
  </commentList>
</comments>
</file>

<file path=xl/comments3.xml><?xml version="1.0" encoding="utf-8"?>
<comments xmlns="http://schemas.openxmlformats.org/spreadsheetml/2006/main">
  <authors>
    <author>APC</author>
  </authors>
  <commentList>
    <comment ref="R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00010826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642
</t>
        </r>
      </text>
    </comment>
    <comment ref="R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00159919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23136
HD: 26308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918
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00000198</t>
        </r>
      </text>
    </comment>
    <comment ref="R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00436172
HD: 00436044</t>
        </r>
      </text>
    </comment>
    <comment ref="S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89543
HD: 89699
HD: 88539
HD: 88540
HD: 89525
</t>
        </r>
      </text>
    </comment>
    <comment ref="W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00045520
HD: 00046217</t>
        </r>
      </text>
    </comment>
    <comment ref="R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00614547
HD: 00607984</t>
        </r>
      </text>
    </comment>
    <comment ref="T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PHÍ PS THANH TOAN CHAM
HD: 00065658</t>
        </r>
      </text>
    </comment>
    <comment ref="W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00065168</t>
        </r>
      </text>
    </comment>
    <comment ref="U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00001149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66340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67425</t>
        </r>
      </text>
    </comment>
    <comment ref="T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4338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68726</t>
        </r>
      </text>
    </comment>
    <comment ref="Q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00748010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00742313</t>
        </r>
      </text>
    </comment>
    <comment ref="U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4946
</t>
        </r>
      </text>
    </comment>
    <comment ref="U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5288
</t>
        </r>
      </text>
    </comment>
    <comment ref="Q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00839300
HD: 00846369</t>
        </r>
      </text>
    </comment>
    <comment ref="R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00839156</t>
        </r>
      </text>
    </comment>
    <comment ref="S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37993
HD: 00037875
</t>
        </r>
      </text>
    </comment>
    <comment ref="W3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00006976</t>
        </r>
      </text>
    </comment>
    <comment ref="U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00010240</t>
        </r>
      </text>
    </comment>
    <comment ref="Q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85024</t>
        </r>
      </text>
    </comment>
    <comment ref="T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5131
</t>
        </r>
      </text>
    </comment>
    <comment ref="U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5569
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87600</t>
        </r>
      </text>
    </comment>
    <comment ref="U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5568
</t>
        </r>
      </text>
    </comment>
    <comment ref="Q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00941480</t>
        </r>
      </text>
    </comment>
    <comment ref="R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00941346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00042728
HD: 00042726
HD: 00042742
HD: 00042969
HD: 00006795</t>
        </r>
      </text>
    </comment>
    <comment ref="U4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6317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98412</t>
        </r>
      </text>
    </comment>
    <comment ref="U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00011750</t>
        </r>
      </text>
    </comment>
    <comment ref="Q4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99331</t>
        </r>
      </text>
    </comment>
    <comment ref="T4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6438
</t>
        </r>
      </text>
    </comment>
    <comment ref="T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00001575
HD: 00001598</t>
        </r>
      </text>
    </comment>
    <comment ref="R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01121859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112591</t>
        </r>
      </text>
    </comment>
    <comment ref="T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00001869</t>
        </r>
      </text>
    </comment>
    <comment ref="Q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01273772
HD: 01268421</t>
        </r>
      </text>
    </comment>
    <comment ref="R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01264171</t>
        </r>
      </text>
    </comment>
    <comment ref="T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00002010</t>
        </r>
      </text>
    </comment>
    <comment ref="R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01413980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00002217
HD: 00002349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00026310
HD: 00025848
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1754
HD: 1755
HD: 1898
HD: 1899
HD: 1895
HD: 1894
HD: 2159
HD: 2160
HD: 2107
HD: 2108
</t>
        </r>
      </text>
    </comment>
    <comment ref="T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00000061</t>
        </r>
      </text>
    </comment>
  </commentList>
</comments>
</file>

<file path=xl/comments4.xml><?xml version="1.0" encoding="utf-8"?>
<comments xmlns="http://schemas.openxmlformats.org/spreadsheetml/2006/main">
  <authors>
    <author>APC</author>
  </authors>
  <commentList>
    <comment ref="P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00378628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</t>
        </r>
      </text>
    </comment>
  </commentList>
</comments>
</file>

<file path=xl/comments5.xml><?xml version="1.0" encoding="utf-8"?>
<comments xmlns="http://schemas.openxmlformats.org/spreadsheetml/2006/main">
  <authors>
    <author>APC</author>
  </authors>
  <commentList>
    <comment ref="R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30752
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00691002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00735981
</t>
        </r>
      </text>
    </comment>
    <comment ref="R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00735887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00744045</t>
        </r>
      </text>
    </comment>
    <comment ref="R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00743463</t>
        </r>
      </text>
    </comment>
    <comment ref="R1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00782862</t>
        </r>
      </text>
    </comment>
    <comment ref="Q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00818543</t>
        </r>
      </text>
    </comment>
    <comment ref="R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00818534</t>
        </r>
      </text>
    </comment>
    <comment ref="R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00846321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00934726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00934641
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01045423</t>
        </r>
      </text>
    </comment>
    <comment ref="R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01045372</t>
        </r>
      </text>
    </comment>
    <comment ref="V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00015465</t>
        </r>
      </text>
    </comment>
    <comment ref="R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01228393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01251471</t>
        </r>
      </text>
    </comment>
    <comment ref="R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01251456</t>
        </r>
      </text>
    </comment>
    <comment ref="Q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00143133</t>
        </r>
      </text>
    </comment>
    <comment ref="R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01297562</t>
        </r>
      </text>
    </comment>
    <comment ref="Q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01383392</t>
        </r>
      </text>
    </comment>
    <comment ref="R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01350171</t>
        </r>
      </text>
    </comment>
    <comment ref="R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01399337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01406142</t>
        </r>
      </text>
    </comment>
    <comment ref="R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01406131
</t>
        </r>
      </text>
    </comment>
    <comment ref="Q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01420069</t>
        </r>
      </text>
    </comment>
    <comment ref="R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01419307</t>
        </r>
      </text>
    </comment>
    <comment ref="Q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01461846
HD: 01461825</t>
        </r>
      </text>
    </comment>
    <comment ref="R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01461818</t>
        </r>
      </text>
    </comment>
    <comment ref="Q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00042316
HD: 00042405</t>
        </r>
      </text>
    </comment>
    <comment ref="R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00042259</t>
        </r>
      </text>
    </comment>
    <comment ref="W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1227</t>
        </r>
      </text>
    </comment>
    <comment ref="R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00049183</t>
        </r>
      </text>
    </comment>
    <comment ref="Q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00096496</t>
        </r>
      </text>
    </comment>
    <comment ref="R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00096493</t>
        </r>
      </text>
    </comment>
    <comment ref="Q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7172
</t>
        </r>
      </text>
    </comment>
    <comment ref="Q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00130421</t>
        </r>
      </text>
    </comment>
    <comment ref="R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00130375</t>
        </r>
      </text>
    </comment>
    <comment ref="Q8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00223444</t>
        </r>
      </text>
    </comment>
    <comment ref="Q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00223497</t>
        </r>
      </text>
    </comment>
  </commentList>
</comments>
</file>

<file path=xl/comments6.xml><?xml version="1.0" encoding="utf-8"?>
<comments xmlns="http://schemas.openxmlformats.org/spreadsheetml/2006/main">
  <authors>
    <author>APC</author>
  </authors>
  <commentList>
    <comment ref="W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22154</t>
        </r>
      </text>
    </comment>
    <comment ref="X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35154
</t>
        </r>
      </text>
    </comment>
    <comment ref="W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60022</t>
        </r>
      </text>
    </comment>
    <comment ref="X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75179
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00003552</t>
        </r>
      </text>
    </comment>
    <comment ref="X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30014</t>
        </r>
      </text>
    </comment>
    <comment ref="W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69740</t>
        </r>
      </text>
    </comment>
    <comment ref="X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00050640</t>
        </r>
      </text>
    </comment>
    <comment ref="W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69710</t>
        </r>
      </text>
    </comment>
    <comment ref="X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00050636</t>
        </r>
      </text>
    </comment>
    <comment ref="W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50335</t>
        </r>
      </text>
    </comment>
    <comment ref="X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00050495</t>
        </r>
      </text>
    </comment>
    <comment ref="W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51064</t>
        </r>
      </text>
    </comment>
    <comment ref="X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00051390</t>
        </r>
      </text>
    </comment>
    <comment ref="W3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40153</t>
        </r>
      </text>
    </comment>
    <comment ref="X3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40435</t>
        </r>
      </text>
    </comment>
    <comment ref="W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40443</t>
        </r>
      </text>
    </comment>
    <comment ref="X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40926</t>
        </r>
      </text>
    </comment>
    <comment ref="W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40532</t>
        </r>
      </text>
    </comment>
    <comment ref="X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40928</t>
        </r>
      </text>
    </comment>
    <comment ref="W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77715</t>
        </r>
      </text>
    </comment>
    <comment ref="X3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00057248</t>
        </r>
      </text>
    </comment>
    <comment ref="W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00379818</t>
        </r>
      </text>
    </comment>
    <comment ref="X3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31388</t>
        </r>
      </text>
    </comment>
    <comment ref="W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10547</t>
        </r>
      </text>
    </comment>
    <comment ref="X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44985</t>
        </r>
      </text>
    </comment>
    <comment ref="W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16423
</t>
        </r>
      </text>
    </comment>
    <comment ref="X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00050669</t>
        </r>
      </text>
    </comment>
    <comment ref="W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8037</t>
        </r>
      </text>
    </comment>
    <comment ref="X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42940</t>
        </r>
      </text>
    </comment>
    <comment ref="W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16606 </t>
        </r>
      </text>
    </comment>
    <comment ref="X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00051324</t>
        </r>
      </text>
    </comment>
    <comment ref="W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114109</t>
        </r>
      </text>
    </comment>
    <comment ref="X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66798 </t>
        </r>
      </text>
    </comment>
    <comment ref="W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51167
HD: 66918</t>
        </r>
      </text>
    </comment>
    <comment ref="X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00009439
HD: 53333</t>
        </r>
      </text>
    </comment>
    <comment ref="W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21622
HD: 21768
</t>
        </r>
      </text>
    </comment>
    <comment ref="X4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55075
HD: 55096</t>
        </r>
      </text>
    </comment>
    <comment ref="W4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18623</t>
        </r>
      </text>
    </comment>
    <comment ref="X4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57732
</t>
        </r>
      </text>
    </comment>
    <comment ref="W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106295 </t>
        </r>
      </text>
    </comment>
    <comment ref="X4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56606</t>
        </r>
      </text>
    </comment>
    <comment ref="W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81142</t>
        </r>
      </text>
    </comment>
    <comment ref="X4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58730</t>
        </r>
      </text>
    </comment>
    <comment ref="W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59275</t>
        </r>
      </text>
    </comment>
    <comment ref="X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64124</t>
        </r>
      </text>
    </comment>
    <comment ref="W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59650</t>
        </r>
      </text>
    </comment>
    <comment ref="X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60231</t>
        </r>
      </text>
    </comment>
    <comment ref="W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6881
</t>
        </r>
      </text>
    </comment>
    <comment ref="X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68218
</t>
        </r>
      </text>
    </comment>
    <comment ref="W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20816</t>
        </r>
      </text>
    </comment>
    <comment ref="X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61199</t>
        </r>
      </text>
    </comment>
    <comment ref="W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21013</t>
        </r>
      </text>
    </comment>
    <comment ref="X5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61961</t>
        </r>
      </text>
    </comment>
    <comment ref="W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66596
</t>
        </r>
      </text>
    </comment>
    <comment ref="X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146378</t>
        </r>
      </text>
    </comment>
    <comment ref="W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148772</t>
        </r>
      </text>
    </comment>
    <comment ref="X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70049</t>
        </r>
      </text>
    </comment>
    <comment ref="W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00046140</t>
        </r>
      </text>
    </comment>
    <comment ref="X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85846</t>
        </r>
      </text>
    </comment>
    <comment ref="W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117108</t>
        </r>
      </text>
    </comment>
    <comment ref="X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64287</t>
        </r>
      </text>
    </comment>
    <comment ref="W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114915</t>
        </r>
      </text>
    </comment>
    <comment ref="X6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64978</t>
        </r>
      </text>
    </comment>
    <comment ref="V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00579263 
</t>
        </r>
      </text>
    </comment>
    <comment ref="W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00579033</t>
        </r>
      </text>
    </comment>
    <comment ref="X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00158626
HD: 00158220</t>
        </r>
      </text>
    </comment>
    <comment ref="W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88453</t>
        </r>
      </text>
    </comment>
    <comment ref="X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00595023
</t>
        </r>
      </text>
    </comment>
    <comment ref="W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90744</t>
        </r>
      </text>
    </comment>
    <comment ref="X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00074554</t>
        </r>
      </text>
    </comment>
    <comment ref="W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00123024</t>
        </r>
      </text>
    </comment>
    <comment ref="X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00074552</t>
        </r>
      </text>
    </comment>
    <comment ref="W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00063131</t>
        </r>
      </text>
    </comment>
    <comment ref="X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95885</t>
        </r>
      </text>
    </comment>
    <comment ref="W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24038</t>
        </r>
      </text>
    </comment>
    <comment ref="X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95886
</t>
        </r>
      </text>
    </comment>
    <comment ref="W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1217</t>
        </r>
      </text>
    </comment>
    <comment ref="X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167709</t>
        </r>
      </text>
    </comment>
    <comment ref="W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24814</t>
        </r>
      </text>
    </comment>
    <comment ref="X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79767</t>
        </r>
      </text>
    </comment>
    <comment ref="W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99301</t>
        </r>
      </text>
    </comment>
    <comment ref="X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82923</t>
        </r>
      </text>
    </comment>
    <comment ref="W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00015087
</t>
        </r>
      </text>
    </comment>
    <comment ref="X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82612</t>
        </r>
      </text>
    </comment>
    <comment ref="W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12766</t>
        </r>
      </text>
    </comment>
    <comment ref="X7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176195</t>
        </r>
      </text>
    </comment>
    <comment ref="W7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139595</t>
        </r>
      </text>
    </comment>
    <comment ref="X7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128859</t>
        </r>
      </text>
    </comment>
    <comment ref="V9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00832390</t>
        </r>
      </text>
    </comment>
    <comment ref="W95" authorId="0" shapeId="0">
      <text>
        <r>
          <rPr>
            <b/>
            <sz val="9"/>
            <color indexed="81"/>
            <rFont val="Tahoma"/>
            <family val="2"/>
          </rPr>
          <t xml:space="preserve">APC:
</t>
        </r>
        <r>
          <rPr>
            <sz val="9"/>
            <color indexed="81"/>
            <rFont val="Tahoma"/>
            <family val="2"/>
          </rPr>
          <t>HD: 00822519</t>
        </r>
      </text>
    </comment>
    <comment ref="X9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128466</t>
        </r>
      </text>
    </comment>
    <comment ref="W9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0016421
HD: 00164151</t>
        </r>
      </text>
    </comment>
    <comment ref="X9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103402
HD: 103405
</t>
        </r>
      </text>
    </comment>
    <comment ref="W9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209492</t>
        </r>
      </text>
    </comment>
    <comment ref="X9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95887</t>
        </r>
      </text>
    </comment>
    <comment ref="W9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211123</t>
        </r>
      </text>
    </comment>
    <comment ref="X9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96994
</t>
        </r>
      </text>
    </comment>
    <comment ref="W10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221770</t>
        </r>
      </text>
    </comment>
    <comment ref="X10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102094</t>
        </r>
      </text>
    </comment>
    <comment ref="W1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33231
</t>
        </r>
      </text>
    </comment>
    <comment ref="X1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103605</t>
        </r>
      </text>
    </comment>
    <comment ref="W10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107697</t>
        </r>
      </text>
    </comment>
    <comment ref="X10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112151</t>
        </r>
      </text>
    </comment>
    <comment ref="W10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107946
</t>
        </r>
      </text>
    </comment>
    <comment ref="X10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112153
</t>
        </r>
      </text>
    </comment>
    <comment ref="W10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00007705</t>
        </r>
      </text>
    </comment>
    <comment ref="X10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134404
</t>
        </r>
      </text>
    </comment>
    <comment ref="W10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00020051
HD: 00020050
</t>
        </r>
      </text>
    </comment>
    <comment ref="X10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113682
HD: 113679</t>
        </r>
      </text>
    </comment>
    <comment ref="W10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186962
</t>
        </r>
      </text>
    </comment>
    <comment ref="X10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109892</t>
        </r>
      </text>
    </comment>
    <comment ref="W10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37493
</t>
        </r>
      </text>
    </comment>
    <comment ref="X10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119729</t>
        </r>
      </text>
    </comment>
    <comment ref="W1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37864</t>
        </r>
      </text>
    </comment>
    <comment ref="X1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115957
</t>
        </r>
      </text>
    </comment>
    <comment ref="V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00965725</t>
        </r>
      </text>
    </comment>
    <comment ref="W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00961068</t>
        </r>
      </text>
    </comment>
    <comment ref="X11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00006965
HD: 00071844</t>
        </r>
      </text>
    </comment>
    <comment ref="W1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245545</t>
        </r>
      </text>
    </comment>
    <comment ref="X1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119522
</t>
        </r>
      </text>
    </comment>
    <comment ref="W1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195693</t>
        </r>
      </text>
    </comment>
    <comment ref="X1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175342</t>
        </r>
      </text>
    </comment>
    <comment ref="W1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114422
</t>
        </r>
      </text>
    </comment>
    <comment ref="X1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114695
</t>
        </r>
      </text>
    </comment>
    <comment ref="W11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120827</t>
        </r>
      </text>
    </comment>
    <comment ref="X11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121037</t>
        </r>
      </text>
    </comment>
    <comment ref="W12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00007313</t>
        </r>
      </text>
    </comment>
    <comment ref="X12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151351
</t>
        </r>
      </text>
    </comment>
    <comment ref="W1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252839</t>
        </r>
      </text>
    </comment>
    <comment ref="X1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117727</t>
        </r>
      </text>
    </comment>
    <comment ref="W1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117871</t>
        </r>
      </text>
    </comment>
    <comment ref="X1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18177</t>
        </r>
      </text>
    </comment>
    <comment ref="W1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00027316</t>
        </r>
      </text>
    </comment>
    <comment ref="X12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183795</t>
        </r>
      </text>
    </comment>
    <comment ref="W1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258830</t>
        </r>
      </text>
    </comment>
    <comment ref="X1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121283</t>
        </r>
      </text>
    </comment>
    <comment ref="W1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15892
</t>
        </r>
      </text>
    </comment>
    <comment ref="X1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156426</t>
        </r>
      </text>
    </comment>
    <comment ref="W1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54227</t>
        </r>
      </text>
    </comment>
    <comment ref="X12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01034881</t>
        </r>
      </text>
    </comment>
    <comment ref="W1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38078</t>
        </r>
      </text>
    </comment>
    <comment ref="W1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19570</t>
        </r>
      </text>
    </comment>
    <comment ref="X12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162044</t>
        </r>
      </text>
    </comment>
    <comment ref="W1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58115</t>
        </r>
      </text>
    </comment>
    <comment ref="X1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01070746</t>
        </r>
      </text>
    </comment>
    <comment ref="W1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01027166</t>
        </r>
      </text>
    </comment>
    <comment ref="X13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</t>
        </r>
      </text>
    </comment>
    <comment ref="W1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01066665</t>
        </r>
      </text>
    </comment>
    <comment ref="X13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00154817 </t>
        </r>
      </text>
    </comment>
    <comment ref="W1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01074772</t>
        </r>
      </text>
    </comment>
    <comment ref="X13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00286642</t>
        </r>
      </text>
    </comment>
    <comment ref="W13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01186804</t>
        </r>
      </text>
    </comment>
    <comment ref="W13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01196056</t>
        </r>
      </text>
    </comment>
    <comment ref="W13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01219103</t>
        </r>
      </text>
    </comment>
    <comment ref="W1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136936
</t>
        </r>
      </text>
    </comment>
    <comment ref="X14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132385</t>
        </r>
      </text>
    </comment>
    <comment ref="W1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20810</t>
        </r>
      </text>
    </comment>
    <comment ref="X14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133877</t>
        </r>
      </text>
    </comment>
    <comment ref="W1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205033</t>
        </r>
      </text>
    </comment>
    <comment ref="X14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175786
</t>
        </r>
      </text>
    </comment>
    <comment ref="W1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00228793</t>
        </r>
      </text>
    </comment>
    <comment ref="X14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210137</t>
        </r>
      </text>
    </comment>
    <comment ref="X15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218827</t>
        </r>
      </text>
    </comment>
    <comment ref="W1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01253822</t>
        </r>
      </text>
    </comment>
    <comment ref="X15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00079023</t>
        </r>
      </text>
    </comment>
    <comment ref="W1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01253862</t>
        </r>
      </text>
    </comment>
    <comment ref="X15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00085680
</t>
        </r>
      </text>
    </comment>
    <comment ref="W1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64527</t>
        </r>
      </text>
    </comment>
    <comment ref="X15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221972
</t>
        </r>
      </text>
    </comment>
    <comment ref="W15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24073</t>
        </r>
      </text>
    </comment>
    <comment ref="X15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152999</t>
        </r>
      </text>
    </comment>
    <comment ref="W1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29559</t>
        </r>
      </text>
    </comment>
    <comment ref="X15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199977</t>
        </r>
      </text>
    </comment>
    <comment ref="W15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00026611</t>
        </r>
      </text>
    </comment>
    <comment ref="X15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01303135</t>
        </r>
      </text>
    </comment>
    <comment ref="W1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00070275</t>
        </r>
      </text>
    </comment>
    <comment ref="X15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00179914</t>
        </r>
      </text>
    </comment>
    <comment ref="W15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01335411</t>
        </r>
      </text>
    </comment>
    <comment ref="W16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00030349</t>
        </r>
      </text>
    </comment>
    <comment ref="W1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01430546</t>
        </r>
      </text>
    </comment>
    <comment ref="X16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00095890
</t>
        </r>
      </text>
    </comment>
    <comment ref="W1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01432261</t>
        </r>
      </text>
    </comment>
    <comment ref="X16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00096328</t>
        </r>
      </text>
    </comment>
    <comment ref="W16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173112</t>
        </r>
      </text>
    </comment>
    <comment ref="X16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317835</t>
        </r>
      </text>
    </comment>
    <comment ref="W1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00275261
HD: 00274819</t>
        </r>
      </text>
    </comment>
    <comment ref="X16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176563
HD: 175851
</t>
        </r>
      </text>
    </comment>
    <comment ref="W1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52100</t>
        </r>
      </text>
    </comment>
    <comment ref="X16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225734
</t>
        </r>
      </text>
    </comment>
    <comment ref="W1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43773</t>
        </r>
      </text>
    </comment>
    <comment ref="X16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176999
</t>
        </r>
      </text>
    </comment>
    <comment ref="W1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00043924
HD: 00043837
</t>
        </r>
      </text>
    </comment>
    <comment ref="X16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176986
HD: 177076
</t>
        </r>
      </text>
    </comment>
    <comment ref="W1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227274</t>
        </r>
      </text>
    </comment>
    <comment ref="X16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227439</t>
        </r>
      </text>
    </comment>
    <comment ref="W1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227185
</t>
        </r>
      </text>
    </comment>
    <comment ref="X17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227439</t>
        </r>
      </text>
    </comment>
    <comment ref="W17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227203</t>
        </r>
      </text>
    </comment>
    <comment ref="W1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54560</t>
        </r>
      </text>
    </comment>
    <comment ref="X17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228870
</t>
        </r>
      </text>
    </comment>
    <comment ref="W1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00101239
</t>
        </r>
      </text>
    </comment>
    <comment ref="X17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228870
</t>
        </r>
      </text>
    </comment>
    <comment ref="W17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2535</t>
        </r>
      </text>
    </comment>
    <comment ref="X17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1693</t>
        </r>
      </text>
    </comment>
    <comment ref="W17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3133
HD: 3325
</t>
        </r>
      </text>
    </comment>
    <comment ref="X17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2367
HD: 2268
</t>
        </r>
      </text>
    </comment>
    <comment ref="W1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5523</t>
        </r>
      </text>
    </comment>
    <comment ref="X17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3944
</t>
        </r>
      </text>
    </comment>
    <comment ref="W1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3869
</t>
        </r>
      </text>
    </comment>
    <comment ref="X17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00001244
</t>
        </r>
      </text>
    </comment>
    <comment ref="W1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00010698</t>
        </r>
      </text>
    </comment>
    <comment ref="X18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11316
</t>
        </r>
      </text>
    </comment>
    <comment ref="W18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00008428
HD: 00008260
</t>
        </r>
      </text>
    </comment>
    <comment ref="X18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10350
HD: 10202
</t>
        </r>
      </text>
    </comment>
    <comment ref="W18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3889</t>
        </r>
      </text>
    </comment>
    <comment ref="X18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 00015492</t>
        </r>
      </text>
    </comment>
    <comment ref="W18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17341</t>
        </r>
      </text>
    </comment>
    <comment ref="X183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16237</t>
        </r>
      </text>
    </comment>
    <comment ref="W18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00010046
HD: 00010171</t>
        </r>
      </text>
    </comment>
    <comment ref="X18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12643
HD: 12709
</t>
        </r>
      </text>
    </comment>
    <comment ref="W1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00124011</t>
        </r>
      </text>
    </comment>
    <comment ref="X18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9566
</t>
        </r>
      </text>
    </comment>
    <comment ref="W18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00128350</t>
        </r>
      </text>
    </comment>
    <comment ref="X18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20372</t>
        </r>
      </text>
    </comment>
    <comment ref="X18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19248</t>
        </r>
      </text>
    </comment>
    <comment ref="W2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30166</t>
        </r>
      </text>
    </comment>
    <comment ref="X20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24824</t>
        </r>
      </text>
    </comment>
    <comment ref="W2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67072
</t>
        </r>
      </text>
    </comment>
    <comment ref="W218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00293977</t>
        </r>
      </text>
    </comment>
    <comment ref="X221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50610
HD: 00006816</t>
        </r>
      </text>
    </comment>
    <comment ref="X222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00055005</t>
        </r>
      </text>
    </comment>
    <comment ref="W2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36400</t>
        </r>
      </text>
    </comment>
    <comment ref="X224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55004</t>
        </r>
      </text>
    </comment>
    <comment ref="W225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5345
</t>
        </r>
      </text>
    </comment>
    <comment ref="X22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99694
</t>
        </r>
      </text>
    </comment>
    <comment ref="X22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00018820
</t>
        </r>
      </text>
    </comment>
  </commentList>
</comments>
</file>

<file path=xl/comments7.xml><?xml version="1.0" encoding="utf-8"?>
<comments xmlns="http://schemas.openxmlformats.org/spreadsheetml/2006/main">
  <authors>
    <author>Kim Ngan</author>
  </authors>
  <commentList>
    <comment ref="P2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22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10/08/2025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
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Kim Ngan:
ETD: 21/08/2025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28/08/2025</t>
        </r>
      </text>
    </comment>
    <comment ref="P3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08/08/2025</t>
        </r>
      </text>
    </comment>
    <comment ref="P3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13/08/2025</t>
        </r>
      </text>
    </comment>
    <comment ref="P38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28/08/2025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O52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O59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30/09/2025</t>
        </r>
      </text>
    </comment>
    <comment ref="O66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14/09/2025</t>
        </r>
      </text>
    </comment>
    <comment ref="N6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03/10/2025
</t>
        </r>
      </text>
    </comment>
    <comment ref="O67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30/09/2025</t>
        </r>
      </text>
    </comment>
    <comment ref="N69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ETD: 04/10/2025</t>
        </r>
      </text>
    </comment>
    <comment ref="N70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04/10/2025</t>
        </r>
      </text>
    </comment>
    <comment ref="N84" authorId="0" shapeId="0">
      <text>
        <r>
          <rPr>
            <b/>
            <sz val="9"/>
            <color indexed="81"/>
            <rFont val="Tahoma"/>
            <family val="2"/>
          </rPr>
          <t>Kim Ngan:</t>
        </r>
        <r>
          <rPr>
            <sz val="9"/>
            <color indexed="81"/>
            <rFont val="Tahoma"/>
            <family val="2"/>
          </rPr>
          <t xml:space="preserve">
04/10/2025</t>
        </r>
      </text>
    </comment>
  </commentList>
</comments>
</file>

<file path=xl/comments8.xml><?xml version="1.0" encoding="utf-8"?>
<comments xmlns="http://schemas.openxmlformats.org/spreadsheetml/2006/main">
  <authors>
    <author>APC</author>
  </authors>
  <commentList>
    <comment ref="T9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1546
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00019883
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00014619</t>
        </r>
      </text>
    </comment>
    <comment ref="S17" authorId="0" shapeId="0">
      <text>
        <r>
          <rPr>
            <b/>
            <sz val="9"/>
            <color indexed="81"/>
            <rFont val="Tahoma"/>
            <family val="2"/>
          </rPr>
          <t>APC:</t>
        </r>
        <r>
          <rPr>
            <sz val="9"/>
            <color indexed="81"/>
            <rFont val="Tahoma"/>
            <family val="2"/>
          </rPr>
          <t xml:space="preserve">
HD: 00015052
</t>
        </r>
      </text>
    </comment>
  </commentList>
</comments>
</file>

<file path=xl/sharedStrings.xml><?xml version="1.0" encoding="utf-8"?>
<sst xmlns="http://schemas.openxmlformats.org/spreadsheetml/2006/main" count="15893" uniqueCount="8271">
  <si>
    <t xml:space="preserve">Chi phí làm hàng </t>
  </si>
  <si>
    <t>BÁO CÁO TỜ KHAI XUẤT NHẬP KHẨU</t>
  </si>
  <si>
    <t>STT</t>
  </si>
  <si>
    <t>Số TK</t>
  </si>
  <si>
    <t>Ngày ĐK</t>
  </si>
  <si>
    <t>Tạo Job</t>
  </si>
  <si>
    <t>Note</t>
  </si>
  <si>
    <t>Ngày tạm ứmg</t>
  </si>
  <si>
    <t>20'</t>
  </si>
  <si>
    <t>40'</t>
  </si>
  <si>
    <t>LCL / CONT NO.</t>
  </si>
  <si>
    <t>Nâng/hạ/
CSHT</t>
  </si>
  <si>
    <t xml:space="preserve">Chi phí 
làm hàng </t>
  </si>
  <si>
    <t>LCC/ CO</t>
  </si>
  <si>
    <t xml:space="preserve">Estimate tạm ứng </t>
  </si>
  <si>
    <t>Vận đơn/ BOOKING</t>
  </si>
  <si>
    <t>Ngày vận đơn</t>
  </si>
  <si>
    <t>Số lượng kiện</t>
  </si>
  <si>
    <t>Tổng trọng lượng hàng (Gross)</t>
  </si>
  <si>
    <t>Địa điểm lưu kho</t>
  </si>
  <si>
    <t>Tên địa điểm lưu kho</t>
  </si>
  <si>
    <t>Mã phương tiện vận chuyển</t>
  </si>
  <si>
    <t>Ngày đến</t>
  </si>
  <si>
    <t>Mã địa điểm dỡ hàng</t>
  </si>
  <si>
    <t>Tên địa điểm dỡ hàng</t>
  </si>
  <si>
    <t>Mã địa điểm xếp hàng</t>
  </si>
  <si>
    <t>Tên địa điểm xếp hàng</t>
  </si>
  <si>
    <t>Số lượng cont</t>
  </si>
  <si>
    <t>Số giấy phép</t>
  </si>
  <si>
    <t>Số hóa đơn TM</t>
  </si>
  <si>
    <t>Ngày HĐTM</t>
  </si>
  <si>
    <t>Tổng trị giá hóa đơn</t>
  </si>
  <si>
    <t>Phương thức thanh toán</t>
  </si>
  <si>
    <t>Điều kiện giá hóa đơn</t>
  </si>
  <si>
    <t>Ng.Tệ hóa đơn</t>
  </si>
  <si>
    <t>Tỷ giá VNĐ</t>
  </si>
  <si>
    <t>Phí BH</t>
  </si>
  <si>
    <t>Phí VC</t>
  </si>
  <si>
    <t>Người nộp thuế</t>
  </si>
  <si>
    <t>Trị giá KB</t>
  </si>
  <si>
    <t>Tổng trị giá TT</t>
  </si>
  <si>
    <t>Tổng tiền thuế</t>
  </si>
  <si>
    <t>Khoản điều chỉnh 1</t>
  </si>
  <si>
    <t>Khoản điều chỉnh 2</t>
  </si>
  <si>
    <t>Khoản điều chỉnh 3</t>
  </si>
  <si>
    <t>Khoản điều chỉnh 4</t>
  </si>
  <si>
    <t>Khoản điều chỉnh 5</t>
  </si>
  <si>
    <t>Lý do đề nghị BP</t>
  </si>
  <si>
    <t>Mã ngân hàng trả thuế</t>
  </si>
  <si>
    <t>Tên ngân hàng trả thuế</t>
  </si>
  <si>
    <t>Năm phát hành hạn mức</t>
  </si>
  <si>
    <t>Ký hiệu CT hạn mức</t>
  </si>
  <si>
    <t>Số CT hạn mức</t>
  </si>
  <si>
    <t>Mã xđ thời hạn nộp thuế</t>
  </si>
  <si>
    <t>Mã ngân hàng bảo lãnh</t>
  </si>
  <si>
    <t>Tên ngân hàng bảo lãnh</t>
  </si>
  <si>
    <t>Năm phát hành bảo lãnh</t>
  </si>
  <si>
    <t>Ký hiệu CT bảo lãnh</t>
  </si>
  <si>
    <t>Số hiệu CT bảo lãnh</t>
  </si>
  <si>
    <t>Số hợp đồng</t>
  </si>
  <si>
    <t>Ngày hợp đồng</t>
  </si>
  <si>
    <t>Ngày HHHĐ</t>
  </si>
  <si>
    <t>Trạng thái</t>
  </si>
  <si>
    <t>Phân luồng</t>
  </si>
  <si>
    <t>Ngày thông quan</t>
  </si>
  <si>
    <t>Tổng thuế XNK</t>
  </si>
  <si>
    <t>Tổng Thuế TV</t>
  </si>
  <si>
    <t>Số tiền miễn thuế XNK</t>
  </si>
  <si>
    <t>Tổng thuế PBĐX</t>
  </si>
  <si>
    <t>Tổng thuế TTĐB</t>
  </si>
  <si>
    <t>Tổng thuế MT</t>
  </si>
  <si>
    <t>Tổng thuế VAT</t>
  </si>
  <si>
    <t>Tổng lượng hàng</t>
  </si>
  <si>
    <t>Số hồ sơ TK</t>
  </si>
  <si>
    <t>Ghi chú</t>
  </si>
  <si>
    <t>Số điện thoại</t>
  </si>
  <si>
    <t>Mã doanh nghiệp</t>
  </si>
  <si>
    <t>Tên doanh nghiệp</t>
  </si>
  <si>
    <t>Mã phân loại khai trị giá</t>
  </si>
  <si>
    <t>Số hợp đồng xuất khẩu</t>
  </si>
  <si>
    <t>Số Record</t>
  </si>
  <si>
    <t>Nhà cung cấp</t>
  </si>
  <si>
    <t>Số chứng từ thanh toán</t>
  </si>
  <si>
    <t>Ngày chứng từ thanh toán</t>
  </si>
  <si>
    <t>Mã tiền tệ phí bảo hiểm</t>
  </si>
  <si>
    <t>Mã tiền tệ phí vận chuyển</t>
  </si>
  <si>
    <t>Địa chỉ đối tác 1</t>
  </si>
  <si>
    <t>Địa chỉ đối tác 2</t>
  </si>
  <si>
    <t>Địa chỉ đối tác 3</t>
  </si>
  <si>
    <t>Địa chỉ đối tác 4</t>
  </si>
  <si>
    <t>Ký hiệu và số bao bì</t>
  </si>
  <si>
    <t>Chi tiết khai trị giá</t>
  </si>
  <si>
    <t>Tariif</t>
  </si>
  <si>
    <t>Nâng</t>
  </si>
  <si>
    <t>Hạ</t>
  </si>
  <si>
    <t xml:space="preserve">Làm hàng </t>
  </si>
  <si>
    <t>Cơ sở hạ tầng</t>
  </si>
  <si>
    <t>C/O</t>
  </si>
  <si>
    <t>bộ</t>
  </si>
  <si>
    <t>Note:</t>
  </si>
  <si>
    <t>Chi phí làm hàng, chi hộ thuế</t>
  </si>
  <si>
    <t>KGN-23011165</t>
  </si>
  <si>
    <t>LCL</t>
  </si>
  <si>
    <t>GXSAG23014749</t>
  </si>
  <si>
    <t>KGN-23010881</t>
  </si>
  <si>
    <t>TEMU0499180</t>
  </si>
  <si>
    <t>Tên phương tiện vận chuyển</t>
  </si>
  <si>
    <t>OREA 033N</t>
  </si>
  <si>
    <t>XANH</t>
  </si>
  <si>
    <t>KGN-23010890</t>
  </si>
  <si>
    <t>HMMU6455630</t>
  </si>
  <si>
    <t>SGNE95488800</t>
  </si>
  <si>
    <t>ONE CYGNUS 013W</t>
  </si>
  <si>
    <t>KGN-23010900</t>
  </si>
  <si>
    <t>CULVSGN2300006</t>
  </si>
  <si>
    <t>CULU1924155</t>
  </si>
  <si>
    <t>ZHONG LIAN SHAN TOU 2249N</t>
  </si>
  <si>
    <t>305262991520</t>
  </si>
  <si>
    <t>305258522500</t>
  </si>
  <si>
    <t>305263342920</t>
  </si>
  <si>
    <t>KGN-23010127</t>
  </si>
  <si>
    <t>EGLV091230734256</t>
  </si>
  <si>
    <t xml:space="preserve">EGHU3209614
EITU0601582
EITU0611847
EITU3020621
EITU3088088 </t>
  </si>
  <si>
    <t>VÀNG</t>
  </si>
  <si>
    <t>KGN-23010147</t>
  </si>
  <si>
    <t>CMAU4185078
CMAU6460646
CMAU6971780</t>
  </si>
  <si>
    <t>XDQD906107</t>
  </si>
  <si>
    <t>KGN-23010636</t>
  </si>
  <si>
    <t>AIR</t>
  </si>
  <si>
    <t>625044315044</t>
  </si>
  <si>
    <t>KGN-23010438</t>
  </si>
  <si>
    <t>046CX04159</t>
  </si>
  <si>
    <t>WHSU4010385
WHSU4014122
WHSU4021060
WHSU4061989</t>
  </si>
  <si>
    <t>KGN-23010634</t>
  </si>
  <si>
    <t>TRHU4201790
BMOU5842873
CSNU8035111</t>
  </si>
  <si>
    <t>TAOHCM2479JHL12</t>
  </si>
  <si>
    <t>ĐỎ</t>
  </si>
  <si>
    <t>305274320100</t>
  </si>
  <si>
    <t>305280758550</t>
  </si>
  <si>
    <t>105216212840</t>
  </si>
  <si>
    <t>105216070740</t>
  </si>
  <si>
    <t>105216603700</t>
  </si>
  <si>
    <t xml:space="preserve">O22120116 </t>
  </si>
  <si>
    <t>VEJA18879</t>
  </si>
  <si>
    <t>VEJA18885</t>
  </si>
  <si>
    <t>XDQD906109</t>
  </si>
  <si>
    <t>OBLU8811520</t>
  </si>
  <si>
    <t>OOCU8561204
FFAU3543128</t>
  </si>
  <si>
    <t>CMAU7849817
CXDU1822749
SEKU5794524</t>
  </si>
  <si>
    <t>KGN-23010547</t>
  </si>
  <si>
    <t>KGN-23010635</t>
  </si>
  <si>
    <t>KGN-23010421</t>
  </si>
  <si>
    <t>KGN-23010419</t>
  </si>
  <si>
    <t>KGN-23010475</t>
  </si>
  <si>
    <t>305298946760</t>
  </si>
  <si>
    <t>28/01/2023</t>
  </si>
  <si>
    <t>305299496300</t>
  </si>
  <si>
    <t>30/01/2023</t>
  </si>
  <si>
    <t>TWCU2149130</t>
  </si>
  <si>
    <t>BSIU9382431
SEGU6915605</t>
  </si>
  <si>
    <t>JJS230010000253</t>
  </si>
  <si>
    <t>2712927350</t>
  </si>
  <si>
    <t>KGN-23011083</t>
  </si>
  <si>
    <t>KGN-23011084</t>
  </si>
  <si>
    <t>13/01/2023</t>
  </si>
  <si>
    <t>KGN-23010991</t>
  </si>
  <si>
    <t>105237755010</t>
  </si>
  <si>
    <t>A17CX12100</t>
  </si>
  <si>
    <t>BHCU3233988
IAAU2827590 
IAAU2872943</t>
  </si>
  <si>
    <t>KGN-23020023</t>
  </si>
  <si>
    <t>305303984920</t>
  </si>
  <si>
    <t>KHAI TK + THANH LÝ</t>
  </si>
  <si>
    <t>HASLS21221201107</t>
  </si>
  <si>
    <t>TRIU8095638</t>
  </si>
  <si>
    <t>SỐ
 ISO</t>
  </si>
  <si>
    <t>TKHQ</t>
  </si>
  <si>
    <t>NGÀY
TKHQ</t>
  </si>
  <si>
    <t>TẠO JOB</t>
  </si>
  <si>
    <t>SELLING + OBH
PENDING</t>
  </si>
  <si>
    <t>X/N</t>
  </si>
  <si>
    <t>MỨC</t>
  </si>
  <si>
    <t>Số kiện</t>
  </si>
  <si>
    <t xml:space="preserve">Estimate
 tạm ứng </t>
  </si>
  <si>
    <t>G.W
(KGS)</t>
  </si>
  <si>
    <t xml:space="preserve">Tên hàng </t>
  </si>
  <si>
    <t xml:space="preserve">Số Bill/ Booking </t>
  </si>
  <si>
    <t>Ngày 
ETA/ Cut off</t>
  </si>
  <si>
    <t>CẢNG</t>
  </si>
  <si>
    <t>Số cont/
seal</t>
  </si>
  <si>
    <t>Ngày giao/Xếp hàng</t>
  </si>
  <si>
    <t>PHÍ NÂNG</t>
  </si>
  <si>
    <t>PHÍ HẠ</t>
  </si>
  <si>
    <t>PHÍ CHỨNG TỪ
(TM)</t>
  </si>
  <si>
    <t>PHÍ CHỨNG TỪ
(ST CK)</t>
  </si>
  <si>
    <t>PHÍ DEM/DET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</si>
  <si>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</si>
  <si>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</si>
  <si>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</si>
  <si>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</si>
  <si>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</si>
  <si>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</si>
  <si>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 xml:space="preserve">CƯỢC CONT </t>
  </si>
  <si>
    <t>TẠM THU HÃNG TÀU/ SỬA CHỮA CONT</t>
  </si>
  <si>
    <t>CHUYỂN CƯỢC</t>
  </si>
  <si>
    <t>GHI CHÚ</t>
  </si>
  <si>
    <t>PHÍ CƯỢC</t>
  </si>
  <si>
    <t>N</t>
  </si>
  <si>
    <t>PTXCLP2310001</t>
  </si>
  <si>
    <t>Dest</t>
  </si>
  <si>
    <t>PHÍ KHÁC</t>
  </si>
  <si>
    <t>X</t>
  </si>
  <si>
    <t>THEO DÕI HÀNG HÓA TẠM ỨNG, THANH TOÁN, ĐIỀU XE 2023 - FOLIOT</t>
  </si>
  <si>
    <t>ZIMUHCM80319515</t>
  </si>
  <si>
    <t>ZIMUHCM80319516</t>
  </si>
  <si>
    <t>Chi hộ TM</t>
  </si>
  <si>
    <t>KGN-23020104</t>
  </si>
  <si>
    <t>VẬN CHUYỂN NỘI ĐỊA</t>
  </si>
  <si>
    <t>305312255050</t>
  </si>
  <si>
    <t>APHU6733845</t>
  </si>
  <si>
    <t>THÁNG 02/2023</t>
  </si>
  <si>
    <t>1Z6W7881D958280958</t>
  </si>
  <si>
    <t>1Z6W7881D958048147</t>
  </si>
  <si>
    <t>105255211500</t>
  </si>
  <si>
    <t>105255551550</t>
  </si>
  <si>
    <t>KGN-23020271</t>
  </si>
  <si>
    <t>KGN-23020272</t>
  </si>
  <si>
    <t>305314148330</t>
  </si>
  <si>
    <t>305314199210</t>
  </si>
  <si>
    <t>305314463660</t>
  </si>
  <si>
    <t>305314372810</t>
  </si>
  <si>
    <t>305316872620</t>
  </si>
  <si>
    <t>TMC23020574SIN</t>
  </si>
  <si>
    <t>039DX02312</t>
  </si>
  <si>
    <t>HLCUSGN230216610</t>
  </si>
  <si>
    <t>PB2301310131</t>
  </si>
  <si>
    <t>339LN2300145</t>
  </si>
  <si>
    <t>WHSU5558820
WHSU6517213</t>
  </si>
  <si>
    <t>HLBU2871720</t>
  </si>
  <si>
    <t>TEMU7812969</t>
  </si>
  <si>
    <t>MSDU1699994</t>
  </si>
  <si>
    <t>KGN-23020273</t>
  </si>
  <si>
    <t>KGN-23020274</t>
  </si>
  <si>
    <t>KGN-23020278</t>
  </si>
  <si>
    <t>KGN-23020275</t>
  </si>
  <si>
    <t>KGN-23020277</t>
  </si>
  <si>
    <t>305316656100</t>
  </si>
  <si>
    <t>305316623310</t>
  </si>
  <si>
    <t>CSNU6720543</t>
  </si>
  <si>
    <t>WHSU6054232</t>
  </si>
  <si>
    <t>039DX02313</t>
  </si>
  <si>
    <t>KGN-23020308</t>
  </si>
  <si>
    <t>KGN-23020307</t>
  </si>
  <si>
    <t>305320724500</t>
  </si>
  <si>
    <t>305320811630</t>
  </si>
  <si>
    <t>105260265720</t>
  </si>
  <si>
    <t>305323385530</t>
  </si>
  <si>
    <t>305323727940/E62
305323756900/H21</t>
  </si>
  <si>
    <t>305326861510</t>
  </si>
  <si>
    <t>305327614230</t>
  </si>
  <si>
    <t xml:space="preserve">NYKU3790150 
NYKU3868942 </t>
  </si>
  <si>
    <t>TRHU4779135
TEMU7296918
NYKU5270667</t>
  </si>
  <si>
    <t>WHSU6347272</t>
  </si>
  <si>
    <t>YMLU3438714</t>
  </si>
  <si>
    <t>YMMU6314259
YMMU6578415</t>
  </si>
  <si>
    <t>ONEYPKGC65985600</t>
  </si>
  <si>
    <t>SGND07030700</t>
  </si>
  <si>
    <t>YMLUI490462827</t>
  </si>
  <si>
    <t>YMLUI490462648</t>
  </si>
  <si>
    <t>105260336160</t>
  </si>
  <si>
    <t>TLLYHCJH23025101</t>
  </si>
  <si>
    <t>FCIU6408242
FBIU0199502</t>
  </si>
  <si>
    <t>KGN-23020573</t>
  </si>
  <si>
    <t>KGN-23020574</t>
  </si>
  <si>
    <t>KGN-23020345</t>
  </si>
  <si>
    <t>KGN-23020568</t>
  </si>
  <si>
    <t>KGN-23020569</t>
  </si>
  <si>
    <t>KGN-23020570</t>
  </si>
  <si>
    <t>KGN-23020571</t>
  </si>
  <si>
    <t>KGN-23020346</t>
  </si>
  <si>
    <t>14/02/2023</t>
  </si>
  <si>
    <t>KGN-23020782</t>
  </si>
  <si>
    <t>SNLDXMVL000136</t>
  </si>
  <si>
    <t>làm GCN mẫu X cho HĐ 0000005</t>
  </si>
  <si>
    <t>16/02/23</t>
  </si>
  <si>
    <t>GXSAG23024061</t>
  </si>
  <si>
    <t>KGN-23021001</t>
  </si>
  <si>
    <t>235300095836</t>
  </si>
  <si>
    <t>CÁT LÁI</t>
  </si>
  <si>
    <t>EMCU8572843</t>
  </si>
  <si>
    <t>305341955610</t>
  </si>
  <si>
    <t>LCL /
 CONT NO.</t>
  </si>
  <si>
    <t>21/02/2023</t>
  </si>
  <si>
    <t>KGN-23021175</t>
  </si>
  <si>
    <t>NOSNB23CL40073I</t>
  </si>
  <si>
    <t>305330306760</t>
  </si>
  <si>
    <t>305331839060</t>
  </si>
  <si>
    <t>15/02/2023</t>
  </si>
  <si>
    <t>305332601950/E62
305332614810/B11</t>
  </si>
  <si>
    <t>105272334900</t>
  </si>
  <si>
    <t>16/02/2023</t>
  </si>
  <si>
    <t>305336634540</t>
  </si>
  <si>
    <t>305334566960</t>
  </si>
  <si>
    <t>305336352330</t>
  </si>
  <si>
    <t>305336425130</t>
  </si>
  <si>
    <t>17/02/2023</t>
  </si>
  <si>
    <t>105272733900</t>
  </si>
  <si>
    <t>305339629950</t>
  </si>
  <si>
    <t>18/02/2023</t>
  </si>
  <si>
    <t>305341861810</t>
  </si>
  <si>
    <t>105276566400</t>
  </si>
  <si>
    <t>105280989330</t>
  </si>
  <si>
    <t>305345280460</t>
  </si>
  <si>
    <t>305344838540</t>
  </si>
  <si>
    <t>105283295130</t>
  </si>
  <si>
    <t>305348121060</t>
  </si>
  <si>
    <t>305350027160</t>
  </si>
  <si>
    <t>305350095430</t>
  </si>
  <si>
    <t>105283308100</t>
  </si>
  <si>
    <t>WHSU6578332</t>
  </si>
  <si>
    <t>039DX06289</t>
  </si>
  <si>
    <t>PKGCB23001257</t>
  </si>
  <si>
    <t>SUDUVICGPCAA0617</t>
  </si>
  <si>
    <t>JJCSGSHHNC230297</t>
  </si>
  <si>
    <t>ZIMUHCM80320397</t>
  </si>
  <si>
    <t>EGLV070300012863</t>
  </si>
  <si>
    <t>WHSU5161410</t>
  </si>
  <si>
    <t xml:space="preserve">WHSU6661914 </t>
  </si>
  <si>
    <t>REGU3268870</t>
  </si>
  <si>
    <t>SIKU3112453</t>
  </si>
  <si>
    <t>OOLU0353561</t>
  </si>
  <si>
    <t>SEKU9099310
SEKU9090210</t>
  </si>
  <si>
    <t>ZIMU3142271</t>
  </si>
  <si>
    <t>EGHU3936721</t>
  </si>
  <si>
    <t>TGBU8594711</t>
  </si>
  <si>
    <t>YMLUI490463482</t>
  </si>
  <si>
    <t>ONEYPKGD01188600</t>
  </si>
  <si>
    <t>235300159613</t>
  </si>
  <si>
    <t>BSGNC23002219</t>
  </si>
  <si>
    <t>BLWCB23000097</t>
  </si>
  <si>
    <t>039DX08546</t>
  </si>
  <si>
    <t>039DX10074</t>
  </si>
  <si>
    <t>EGLV091330046611</t>
  </si>
  <si>
    <t>FFAU1386565</t>
  </si>
  <si>
    <t xml:space="preserve">MRSU0082094
PONU0281900 
MSKU4457876 
MSKU3850030 </t>
  </si>
  <si>
    <t xml:space="preserve">BSIU2798094 
NYKU9787637 </t>
  </si>
  <si>
    <t>EITU3171633</t>
  </si>
  <si>
    <t>FFAU4016672</t>
  </si>
  <si>
    <t>SEGU3400479</t>
  </si>
  <si>
    <t>HLBU2934921</t>
  </si>
  <si>
    <t>WHSU6451203</t>
  </si>
  <si>
    <t>WHSU6245331</t>
  </si>
  <si>
    <t>EISU3970488</t>
  </si>
  <si>
    <t>KGN-23020634</t>
  </si>
  <si>
    <t>KGN-23020646</t>
  </si>
  <si>
    <t>KGN-23020988</t>
  </si>
  <si>
    <t>KGN-23020989</t>
  </si>
  <si>
    <t>KGN-23020987</t>
  </si>
  <si>
    <t>KGN-23020967</t>
  </si>
  <si>
    <t>KGN-23020786</t>
  </si>
  <si>
    <t>KGN-23020741</t>
  </si>
  <si>
    <t>KGN-23020738</t>
  </si>
  <si>
    <t>KGN-23020780</t>
  </si>
  <si>
    <t>KGN-23020739</t>
  </si>
  <si>
    <t>KGN-23020779</t>
  </si>
  <si>
    <t>KGN-23020990</t>
  </si>
  <si>
    <t>KGN-23020991</t>
  </si>
  <si>
    <t>KGN-23020994</t>
  </si>
  <si>
    <t>KGN-23020997</t>
  </si>
  <si>
    <t>KGN-23021188</t>
  </si>
  <si>
    <t>KGN-23021189</t>
  </si>
  <si>
    <t>KGN-23021190</t>
  </si>
  <si>
    <t>KGN-23021191</t>
  </si>
  <si>
    <t>305352978950</t>
  </si>
  <si>
    <t>NSSU0072078</t>
  </si>
  <si>
    <t>SGN23B01084</t>
  </si>
  <si>
    <t>EGLV149300264194</t>
  </si>
  <si>
    <t>HTAHCM23023092</t>
  </si>
  <si>
    <t>Không ứng</t>
  </si>
  <si>
    <t>KGN-23021193</t>
  </si>
  <si>
    <t>KGN-23020781</t>
  </si>
  <si>
    <t>039DX08344</t>
  </si>
  <si>
    <t>PHÍ XIN C/O:
 31300568, 31300594</t>
  </si>
  <si>
    <t>20/02/2023</t>
  </si>
  <si>
    <t xml:space="preserve">2 KIỆN/ 2080 KGS
/ 3.4 CBM </t>
  </si>
  <si>
    <t xml:space="preserve">1 KIỆN/ 190 KGS
/ 0.37 CBM </t>
  </si>
  <si>
    <t xml:space="preserve">3 KIỆN/ 2380 KGS
/ 0.38 CBM </t>
  </si>
  <si>
    <t>XE ĐẨY TÚI GOLF</t>
  </si>
  <si>
    <t>305361003860</t>
  </si>
  <si>
    <t>24/02/23</t>
  </si>
  <si>
    <t>305317456200</t>
  </si>
  <si>
    <t>305287582630</t>
  </si>
  <si>
    <t>14/01/2023</t>
  </si>
  <si>
    <t>305291802930</t>
  </si>
  <si>
    <t>16/01/2023</t>
  </si>
  <si>
    <t>Phí khai hquan</t>
  </si>
  <si>
    <t>Phí vận chuyển</t>
  </si>
  <si>
    <t>GAOU6109936</t>
  </si>
  <si>
    <t>TCNU3880944</t>
  </si>
  <si>
    <t>JZPU8023588</t>
  </si>
  <si>
    <t>ZIMU1379156</t>
  </si>
  <si>
    <t>ZIMUHCM80317138</t>
  </si>
  <si>
    <t>XUẤT/NHẬP</t>
  </si>
  <si>
    <t>235300081992</t>
  </si>
  <si>
    <t>CAAU5779612</t>
  </si>
  <si>
    <t>LUỒNG</t>
  </si>
  <si>
    <t>2 C/O</t>
  </si>
  <si>
    <t>KGN-23030404</t>
  </si>
  <si>
    <t>COAU8035412290E</t>
  </si>
  <si>
    <t>305372133640
305372110060</t>
  </si>
  <si>
    <t>HLBU2080083</t>
  </si>
  <si>
    <t>305376039750
305376026120</t>
  </si>
  <si>
    <t>HLXU8471190</t>
  </si>
  <si>
    <t>305378247330</t>
  </si>
  <si>
    <t>BSIU9355605</t>
  </si>
  <si>
    <t>305381304450</t>
  </si>
  <si>
    <t>CMAU8210121</t>
  </si>
  <si>
    <t>C/O AANZ</t>
  </si>
  <si>
    <t xml:space="preserve">2 TK </t>
  </si>
  <si>
    <t>V</t>
  </si>
  <si>
    <t>305363939000</t>
  </si>
  <si>
    <t>MSMU4614662</t>
  </si>
  <si>
    <t>EBKG04983162</t>
  </si>
  <si>
    <t>305367082550</t>
  </si>
  <si>
    <t>CAIU4224546
HLXU8614537</t>
  </si>
  <si>
    <t>305380228330</t>
  </si>
  <si>
    <t>1KT825629</t>
  </si>
  <si>
    <t>MSKU5205539</t>
  </si>
  <si>
    <t>TLLU2441450</t>
  </si>
  <si>
    <t>KGN-23010807</t>
  </si>
  <si>
    <t>KGN-23010735</t>
  </si>
  <si>
    <t>Ms. Thẩm</t>
  </si>
  <si>
    <t>DFSU3093090
SNBU2278474
SNBU2304830
SNBU2343374
SNCU2962407</t>
  </si>
  <si>
    <t>KGN-23030589</t>
  </si>
  <si>
    <t>WHSU6615647
WHSU5713989</t>
  </si>
  <si>
    <t>KGN-23030166</t>
  </si>
  <si>
    <t>305363949240</t>
  </si>
  <si>
    <t>THÁNG 03/2023</t>
  </si>
  <si>
    <t>305365933260</t>
  </si>
  <si>
    <t>305367883940</t>
  </si>
  <si>
    <t>305372301310</t>
  </si>
  <si>
    <t>305373272430</t>
  </si>
  <si>
    <t>305374899930</t>
  </si>
  <si>
    <t>305374354630</t>
  </si>
  <si>
    <t>305377524600</t>
  </si>
  <si>
    <t>305379624820</t>
  </si>
  <si>
    <t>305379936430</t>
  </si>
  <si>
    <t>305387599810</t>
  </si>
  <si>
    <t>305389726740</t>
  </si>
  <si>
    <t>305389361120</t>
  </si>
  <si>
    <t>305393989630</t>
  </si>
  <si>
    <t>305395842200</t>
  </si>
  <si>
    <t>305396692810</t>
  </si>
  <si>
    <t>13/03/2023</t>
  </si>
  <si>
    <t>15/03/2023</t>
  </si>
  <si>
    <t>16/03/2023</t>
  </si>
  <si>
    <t>KGN-23030168</t>
  </si>
  <si>
    <t>KGN-23030167</t>
  </si>
  <si>
    <t>KGN-23030170</t>
  </si>
  <si>
    <t>KGN-23030448</t>
  </si>
  <si>
    <t>KGN-23030447</t>
  </si>
  <si>
    <t>KGN-23030445</t>
  </si>
  <si>
    <t>KGN-23030446</t>
  </si>
  <si>
    <t>KGN-23030588</t>
  </si>
  <si>
    <t>KGN-23030955</t>
  </si>
  <si>
    <t>KGN-23030956</t>
  </si>
  <si>
    <t>KGN-23030957</t>
  </si>
  <si>
    <t>KGN-23030962</t>
  </si>
  <si>
    <t>KGN-23031053</t>
  </si>
  <si>
    <t>KGN-23030169</t>
  </si>
  <si>
    <t>KGN-23030449</t>
  </si>
  <si>
    <t>305399146160</t>
  </si>
  <si>
    <t>17/03/2023</t>
  </si>
  <si>
    <t>KGN-23031071</t>
  </si>
  <si>
    <t>WHSU5481760</t>
  </si>
  <si>
    <t>MRSU4201951</t>
  </si>
  <si>
    <t>TRHU8093837</t>
  </si>
  <si>
    <t>CULU1937846</t>
  </si>
  <si>
    <t>TGBU3765977</t>
  </si>
  <si>
    <t>BEAU5802243</t>
  </si>
  <si>
    <t>TWCU2128142</t>
  </si>
  <si>
    <t>TLLU2648581</t>
  </si>
  <si>
    <t>MSMU6606497</t>
  </si>
  <si>
    <t>WHSU5627200
WHSU6452642</t>
  </si>
  <si>
    <t>TGBU3709227</t>
  </si>
  <si>
    <t>MRSU4346657</t>
  </si>
  <si>
    <t>VUTHAM136993V</t>
  </si>
  <si>
    <t>CULVSGN2301062</t>
  </si>
  <si>
    <t>CULVSGN2301281</t>
  </si>
  <si>
    <t>BSGNC23003421</t>
  </si>
  <si>
    <t>GSGNHKGB300502</t>
  </si>
  <si>
    <t>039DX08349</t>
  </si>
  <si>
    <t>T2303871</t>
  </si>
  <si>
    <t xml:space="preserve">JJS230010001525 </t>
  </si>
  <si>
    <t>339LN2300321</t>
  </si>
  <si>
    <t>BSGNC23003423</t>
  </si>
  <si>
    <t>105302519450</t>
  </si>
  <si>
    <t>EGHU3823453 
EISU2138869 
EISU2274119
TCLU7575113</t>
  </si>
  <si>
    <t>KGN-23021310</t>
  </si>
  <si>
    <t>EGLV091330052203</t>
  </si>
  <si>
    <t>105317932640</t>
  </si>
  <si>
    <t>EISU2060420</t>
  </si>
  <si>
    <t>EGLV091330065313</t>
  </si>
  <si>
    <t>105316006240</t>
  </si>
  <si>
    <t>TGBU3532384
TGBU3696963</t>
  </si>
  <si>
    <t>780310000906</t>
  </si>
  <si>
    <t>105320610250</t>
  </si>
  <si>
    <t>105322741160</t>
  </si>
  <si>
    <t>105322883150</t>
  </si>
  <si>
    <t>105322976030</t>
  </si>
  <si>
    <t>105327455920</t>
  </si>
  <si>
    <t>KGN-23030310</t>
  </si>
  <si>
    <t>KGN-23030311</t>
  </si>
  <si>
    <t>KGN-23030512</t>
  </si>
  <si>
    <t>KGN-23030582</t>
  </si>
  <si>
    <t>KGN-23030953</t>
  </si>
  <si>
    <t>KGN-23030575</t>
  </si>
  <si>
    <t>KGN-23030954</t>
  </si>
  <si>
    <t>SZXEF23020041031A</t>
  </si>
  <si>
    <t>SZXEF23020041031B</t>
  </si>
  <si>
    <t>305399437250</t>
  </si>
  <si>
    <t>14/03/2023</t>
  </si>
  <si>
    <t>SITAUSG2300297</t>
  </si>
  <si>
    <t>SITGBWSG001125</t>
  </si>
  <si>
    <t>OOLU8893074980</t>
  </si>
  <si>
    <t>SITWPSG2300499</t>
  </si>
  <si>
    <t xml:space="preserve">TCLU2402265
MRSU0230102 
MSKU7325702 </t>
  </si>
  <si>
    <t>SITU2843948
FTAU1227107
GAOU2069244</t>
  </si>
  <si>
    <t>SITU2780161</t>
  </si>
  <si>
    <t>UETU2547766
TLLU2656400</t>
  </si>
  <si>
    <t>SITU2770055</t>
  </si>
  <si>
    <t>AHA0259892</t>
  </si>
  <si>
    <t>KGN-23031096</t>
  </si>
  <si>
    <t>KGN-23031097</t>
  </si>
  <si>
    <t>KGN-23031098</t>
  </si>
  <si>
    <t>KGN-23031099</t>
  </si>
  <si>
    <t>18/03/23</t>
  </si>
  <si>
    <t>132300019676513</t>
  </si>
  <si>
    <t>M2418751041</t>
  </si>
  <si>
    <t>KHAI TK K VC</t>
  </si>
  <si>
    <r>
      <rPr>
        <b/>
        <sz val="12"/>
        <color rgb="FFFF0000"/>
        <rFont val="Times New Roman"/>
        <family val="1"/>
      </rPr>
      <t>CHI MIỄN KIỂM,</t>
    </r>
    <r>
      <rPr>
        <b/>
        <sz val="12"/>
        <rFont val="Times New Roman"/>
        <family val="1"/>
      </rPr>
      <t xml:space="preserve"> KHAI TK K VC</t>
    </r>
  </si>
  <si>
    <t>KGN-23031285</t>
  </si>
  <si>
    <t>KGN-23031286</t>
  </si>
  <si>
    <t>039DX12884</t>
  </si>
  <si>
    <t>039DX13479</t>
  </si>
  <si>
    <t>EBKG05144834</t>
  </si>
  <si>
    <t>235300261264</t>
  </si>
  <si>
    <t>23/03/2023</t>
  </si>
  <si>
    <t>24/03/2023</t>
  </si>
  <si>
    <t>HCM-SBK-2303276</t>
  </si>
  <si>
    <t>235300277896</t>
  </si>
  <si>
    <t xml:space="preserve">2 KIỆN/ 2080 KGS
/ 3.73 CBM </t>
  </si>
  <si>
    <t>PHÍ XIN C/O T03.2023</t>
  </si>
  <si>
    <t>9 C/O</t>
  </si>
  <si>
    <t>25/03/2023</t>
  </si>
  <si>
    <t>EBKG05169566</t>
  </si>
  <si>
    <t>THEO DÕI HÀNG HÓA TẠM ỨNG, THANH TOÁN, ĐIỀU XE 2023 - SUNAGRO</t>
  </si>
  <si>
    <t>Phí KDTV</t>
  </si>
  <si>
    <t>Phí CO</t>
  </si>
  <si>
    <t>20/03/2023</t>
  </si>
  <si>
    <t>27/03/2023</t>
  </si>
  <si>
    <t>BSGNC23005629</t>
  </si>
  <si>
    <t>MRSU3932524</t>
  </si>
  <si>
    <t>TXGU5412544</t>
  </si>
  <si>
    <t>305392741750</t>
  </si>
  <si>
    <t>WHSU5683117</t>
  </si>
  <si>
    <t>305391642050</t>
  </si>
  <si>
    <t>WHSU5804630</t>
  </si>
  <si>
    <t>305394297520</t>
  </si>
  <si>
    <t>MEDU5172561</t>
  </si>
  <si>
    <t>EITU9219652</t>
  </si>
  <si>
    <t>305408821230</t>
  </si>
  <si>
    <t>305415486410
305415453730</t>
  </si>
  <si>
    <t>TCKU4262400</t>
  </si>
  <si>
    <t>305416989530</t>
  </si>
  <si>
    <t>305418583320</t>
  </si>
  <si>
    <t>TXGU6694191</t>
  </si>
  <si>
    <t>MEDU6526021</t>
  </si>
  <si>
    <t>KGN-23031526</t>
  </si>
  <si>
    <t>KGN-23031527</t>
  </si>
  <si>
    <t>105338133240</t>
  </si>
  <si>
    <t>105338142340</t>
  </si>
  <si>
    <t>105338148310</t>
  </si>
  <si>
    <t>105341336660</t>
  </si>
  <si>
    <t>305409483650</t>
  </si>
  <si>
    <t>305409879630</t>
  </si>
  <si>
    <t>305409469430</t>
  </si>
  <si>
    <t>305409934450</t>
  </si>
  <si>
    <t>305410155800</t>
  </si>
  <si>
    <t>105347570420</t>
  </si>
  <si>
    <t>305412652920</t>
  </si>
  <si>
    <t>305412112740/E62
305412179460/B11</t>
  </si>
  <si>
    <t>105350101140</t>
  </si>
  <si>
    <t>305415453840</t>
  </si>
  <si>
    <t>305418719820</t>
  </si>
  <si>
    <t>305418643850</t>
  </si>
  <si>
    <t>305418499430</t>
  </si>
  <si>
    <t>21/03/2023</t>
  </si>
  <si>
    <t>22/03/2023</t>
  </si>
  <si>
    <t>KGN-23031452</t>
  </si>
  <si>
    <t>KGN-23031451</t>
  </si>
  <si>
    <t>KGN-23031453</t>
  </si>
  <si>
    <t>KGN-23031450</t>
  </si>
  <si>
    <t>KGN-23031449</t>
  </si>
  <si>
    <t>KGN-23031454</t>
  </si>
  <si>
    <t>KGN-23031455</t>
  </si>
  <si>
    <t>KGN-23031448</t>
  </si>
  <si>
    <t>KGN-23031500</t>
  </si>
  <si>
    <t>KGN-23031501</t>
  </si>
  <si>
    <t>KGN-23031502</t>
  </si>
  <si>
    <t>235300290183</t>
  </si>
  <si>
    <t>SGN300238700</t>
  </si>
  <si>
    <t>PB2303140216</t>
  </si>
  <si>
    <t>039DX15726</t>
  </si>
  <si>
    <t>YMLUZ490311127</t>
  </si>
  <si>
    <t>235300266738</t>
  </si>
  <si>
    <t>EBKG05248089</t>
  </si>
  <si>
    <t>YMLUI490466822</t>
  </si>
  <si>
    <t>EGHU8277490</t>
  </si>
  <si>
    <t>EITU9322260</t>
  </si>
  <si>
    <t>PCIU0154032</t>
  </si>
  <si>
    <t>OOCU8362141</t>
  </si>
  <si>
    <t>OOCU7376454</t>
  </si>
  <si>
    <t>FESU5343367</t>
  </si>
  <si>
    <t>WHSU6579935</t>
  </si>
  <si>
    <t>YMMU6501990</t>
  </si>
  <si>
    <t>TRHU7371487</t>
  </si>
  <si>
    <t>MEDU5616183</t>
  </si>
  <si>
    <t>YMMU1176033</t>
  </si>
  <si>
    <t>KGN-23031051</t>
  </si>
  <si>
    <t>MRKU7449620
MRKU9117096
TTNU1028989</t>
  </si>
  <si>
    <t xml:space="preserve">MRKU7229630 </t>
  </si>
  <si>
    <t>FCIU6409505
FCIU5577741</t>
  </si>
  <si>
    <t xml:space="preserve">TCKU1547631 </t>
  </si>
  <si>
    <t>TLLYHCJR23035103</t>
  </si>
  <si>
    <t>A56DX05641</t>
  </si>
  <si>
    <t>TXGU5051483</t>
  </si>
  <si>
    <t>KMTCSUB2109748</t>
  </si>
  <si>
    <t>CMAU6148617
SEGU5154158</t>
  </si>
  <si>
    <t>NAM6048407</t>
  </si>
  <si>
    <t>KGN-23031050</t>
  </si>
  <si>
    <t>KGN-23031049</t>
  </si>
  <si>
    <t>KGN-23031052</t>
  </si>
  <si>
    <t>KGN-23030960</t>
  </si>
  <si>
    <t>KGN-23031279</t>
  </si>
  <si>
    <t>KGN-23031528</t>
  </si>
  <si>
    <t>27/03/23</t>
  </si>
  <si>
    <t>THEO DÕI HÀNG HÓA TẠM ỨNG, THANH TOÁN, ĐIỀU XE 2023 - SONG LONG</t>
  </si>
  <si>
    <t>2 LÔ</t>
  </si>
  <si>
    <t>305420239040</t>
  </si>
  <si>
    <t>MRSU3128706</t>
  </si>
  <si>
    <t>Phí CSHT</t>
  </si>
  <si>
    <t>C/O E, PHYTO 031554</t>
  </si>
  <si>
    <t>C/O E, PHYTO 026691</t>
  </si>
  <si>
    <t>C/O E, PHYTO 033449</t>
  </si>
  <si>
    <t>THÁNG 04/2023</t>
  </si>
  <si>
    <t>COAU8036156890</t>
  </si>
  <si>
    <t xml:space="preserve">DRYU2794345 
FCIU4977825 
TLLU2608070 
UETU2256740 
UETU2274152 </t>
  </si>
  <si>
    <t>MST: 3702721103</t>
  </si>
  <si>
    <t xml:space="preserve">MST: </t>
  </si>
  <si>
    <t>MST:</t>
  </si>
  <si>
    <t>105305611830
105305733300</t>
  </si>
  <si>
    <t>THEO DÕI HÀNG HÓA LABEL</t>
  </si>
  <si>
    <t>Vàng</t>
  </si>
  <si>
    <t xml:space="preserve">ĐỎ </t>
  </si>
  <si>
    <t>305381479120</t>
  </si>
  <si>
    <t>305403931510</t>
  </si>
  <si>
    <t>EBKG05169602</t>
  </si>
  <si>
    <t>04/04/2023</t>
  </si>
  <si>
    <t>YMLUE490365834</t>
  </si>
  <si>
    <t>305437842900</t>
  </si>
  <si>
    <t>FFAU2578583</t>
  </si>
  <si>
    <t>305438410600</t>
  </si>
  <si>
    <t>FCIU4703357</t>
  </si>
  <si>
    <t>305438298600</t>
  </si>
  <si>
    <t>HMMU6531299</t>
  </si>
  <si>
    <t>KGN-23040123</t>
  </si>
  <si>
    <t>305440475930
305440459500</t>
  </si>
  <si>
    <t>TGBU5547383</t>
  </si>
  <si>
    <t>KGN-23040171</t>
  </si>
  <si>
    <t>03/4/2023</t>
  </si>
  <si>
    <t>305440600420</t>
  </si>
  <si>
    <t>105363250420</t>
  </si>
  <si>
    <t>105365218010</t>
  </si>
  <si>
    <t>305434698460</t>
  </si>
  <si>
    <t>305436067660</t>
  </si>
  <si>
    <t>105366990630</t>
  </si>
  <si>
    <t>105366994460</t>
  </si>
  <si>
    <t>105367414020</t>
  </si>
  <si>
    <t>105367484350</t>
  </si>
  <si>
    <t>105368199160</t>
  </si>
  <si>
    <t>105370922900</t>
  </si>
  <si>
    <t>105371491960</t>
  </si>
  <si>
    <t>105371175600</t>
  </si>
  <si>
    <t>31/03/2023</t>
  </si>
  <si>
    <t>HDMUSUBA62386600</t>
  </si>
  <si>
    <t>BSGNC23006078</t>
  </si>
  <si>
    <t>BSGNC23004568</t>
  </si>
  <si>
    <t>EGLV091330089034</t>
  </si>
  <si>
    <t>RTM1305064</t>
  </si>
  <si>
    <t>CAIU6086750</t>
  </si>
  <si>
    <t xml:space="preserve">OOLU8893277350   </t>
  </si>
  <si>
    <t>EGLV070300043424</t>
  </si>
  <si>
    <t>SITGBWSG001171</t>
  </si>
  <si>
    <t>HDMUSUBA90002700</t>
  </si>
  <si>
    <t xml:space="preserve"> </t>
  </si>
  <si>
    <t>KOCU4377093</t>
  </si>
  <si>
    <t>TXGU6771750</t>
  </si>
  <si>
    <t>TEMU5150740</t>
  </si>
  <si>
    <t>EGHU3489243</t>
  </si>
  <si>
    <t>TCKU7610114</t>
  </si>
  <si>
    <t>MRKU8273704 
MRKU8397536
TCLU2702344
MRSU0185744</t>
  </si>
  <si>
    <t>CBHU4170521
CAIU2998266</t>
  </si>
  <si>
    <t>EITU0256315
EITU0600694</t>
  </si>
  <si>
    <t>TLLU3621775</t>
  </si>
  <si>
    <t>KOCU4769999</t>
  </si>
  <si>
    <t>KGN-23031858</t>
  </si>
  <si>
    <t>KGN-23031529</t>
  </si>
  <si>
    <t>KGN-23040040</t>
  </si>
  <si>
    <t>KGN-23040122</t>
  </si>
  <si>
    <t>105351685350</t>
  </si>
  <si>
    <t>305420554960</t>
  </si>
  <si>
    <t>305419625840</t>
  </si>
  <si>
    <t>305432757840</t>
  </si>
  <si>
    <t>KGN-23031377</t>
  </si>
  <si>
    <t>KGN-23031571</t>
  </si>
  <si>
    <t>KGN-23031565</t>
  </si>
  <si>
    <t>KGN-23031897</t>
  </si>
  <si>
    <t>LGHCMSIN23033001</t>
  </si>
  <si>
    <t>BSGNC23006143</t>
  </si>
  <si>
    <t>SUDU7951274
TTNU1094260
MRKU9777335</t>
  </si>
  <si>
    <t>BMOU1554586</t>
  </si>
  <si>
    <t>TGBU3682614</t>
  </si>
  <si>
    <t>CSNU8336120</t>
  </si>
  <si>
    <t>KGN-23031861</t>
  </si>
  <si>
    <t>KGN-23031878</t>
  </si>
  <si>
    <t>KGN-23031862</t>
  </si>
  <si>
    <t>KGN-23040041</t>
  </si>
  <si>
    <t>KGN-23031860</t>
  </si>
  <si>
    <t>KGN-23031898</t>
  </si>
  <si>
    <t>KGN-23031863</t>
  </si>
  <si>
    <t>105360601510</t>
  </si>
  <si>
    <t>29/03/2023</t>
  </si>
  <si>
    <t>KGN-23031621</t>
  </si>
  <si>
    <t>PKGCB2300488501</t>
  </si>
  <si>
    <t>FFAU4021771</t>
  </si>
  <si>
    <t>05/04/23</t>
  </si>
  <si>
    <t>KGN-23040193</t>
  </si>
  <si>
    <t>5/4/2023</t>
  </si>
  <si>
    <t>x</t>
  </si>
  <si>
    <t>122300020322541</t>
  </si>
  <si>
    <t>122300020321696</t>
  </si>
  <si>
    <t>305443514300</t>
  </si>
  <si>
    <t>HLBU1264872</t>
  </si>
  <si>
    <t>305433920320</t>
  </si>
  <si>
    <t>MST: 3702373463</t>
  </si>
  <si>
    <t>THEO DÕI HÀNG HÓA TẠM ỨNG, THANH TOÁN, ĐIỀU XE 2023 - ĐẠI HÀO</t>
  </si>
  <si>
    <t>ACMD110624</t>
  </si>
  <si>
    <t xml:space="preserve">CMAU8546369 </t>
  </si>
  <si>
    <t xml:space="preserve"> NOSNB23CL40592E</t>
  </si>
  <si>
    <t>KGN-23040501</t>
  </si>
  <si>
    <t>305453199610</t>
  </si>
  <si>
    <t>10/04/2023</t>
  </si>
  <si>
    <t>235300348459</t>
  </si>
  <si>
    <t>EGHU8345260</t>
  </si>
  <si>
    <t>KGN-23040503</t>
  </si>
  <si>
    <t>08/04/2023</t>
  </si>
  <si>
    <t>HMTL028371</t>
  </si>
  <si>
    <t>KGN-23040527</t>
  </si>
  <si>
    <t>11/04/2023</t>
  </si>
  <si>
    <t>305444497060</t>
  </si>
  <si>
    <t>HLBU1142771</t>
  </si>
  <si>
    <t>305445690560</t>
  </si>
  <si>
    <t>YMLUE490365835</t>
  </si>
  <si>
    <t>11/4/2023</t>
  </si>
  <si>
    <t>305455469340</t>
  </si>
  <si>
    <t>KGN-23040597</t>
  </si>
  <si>
    <t>07/04/2023</t>
  </si>
  <si>
    <t>132300020351328</t>
  </si>
  <si>
    <t>KGN-23040598</t>
  </si>
  <si>
    <t>305441536650</t>
  </si>
  <si>
    <t>305441917010</t>
  </si>
  <si>
    <t>305447772840</t>
  </si>
  <si>
    <t>305447229310</t>
  </si>
  <si>
    <t>305448183410</t>
  </si>
  <si>
    <t>305447290060</t>
  </si>
  <si>
    <t>305451532760</t>
  </si>
  <si>
    <t>105383466160</t>
  </si>
  <si>
    <t>305451737310</t>
  </si>
  <si>
    <t>305455689730</t>
  </si>
  <si>
    <t>305454301040</t>
  </si>
  <si>
    <t>305456975520</t>
  </si>
  <si>
    <t>WHLU5707110
WHSU5351597</t>
  </si>
  <si>
    <t>WHSU6683430</t>
  </si>
  <si>
    <t>CULU6304120</t>
  </si>
  <si>
    <t>TSSU2097790</t>
  </si>
  <si>
    <t>TLLU2919934</t>
  </si>
  <si>
    <t>CAAU2028156</t>
  </si>
  <si>
    <t>CCLU5281350</t>
  </si>
  <si>
    <t>DFSU3158246
DFSU3109391</t>
  </si>
  <si>
    <t>SMCU1117409</t>
  </si>
  <si>
    <t>CMAU3165164</t>
  </si>
  <si>
    <t>WHSU6203552</t>
  </si>
  <si>
    <t>WHSU6011312</t>
  </si>
  <si>
    <t>039DX18251</t>
  </si>
  <si>
    <t>CULVSGN2301799</t>
  </si>
  <si>
    <t>341BK3003550</t>
  </si>
  <si>
    <t>341BK3003551</t>
  </si>
  <si>
    <t>341BK3003553</t>
  </si>
  <si>
    <t>TLLYHCJU23045103</t>
  </si>
  <si>
    <t>SGN3A2248400</t>
  </si>
  <si>
    <t>SGN1819738</t>
  </si>
  <si>
    <t>039DX19678</t>
  </si>
  <si>
    <t>039DX16967</t>
  </si>
  <si>
    <t>KGN-23040446</t>
  </si>
  <si>
    <t>KGN-23040385</t>
  </si>
  <si>
    <t>KGN-23040384</t>
  </si>
  <si>
    <t>KGN-23040386</t>
  </si>
  <si>
    <t>KGN-23040387</t>
  </si>
  <si>
    <t>KGN-23040390</t>
  </si>
  <si>
    <t>KGN-23040388</t>
  </si>
  <si>
    <t>KGN-23040608</t>
  </si>
  <si>
    <t>KGN-23040627</t>
  </si>
  <si>
    <t>KGN-23040628</t>
  </si>
  <si>
    <t>KGN-23040629</t>
  </si>
  <si>
    <t>KGN-23040630</t>
  </si>
  <si>
    <t>KGN-23040649</t>
  </si>
  <si>
    <t>305458536630</t>
  </si>
  <si>
    <t>TCNU1984580</t>
  </si>
  <si>
    <t>KGN-23040650</t>
  </si>
  <si>
    <t>305458698440
305458713360</t>
  </si>
  <si>
    <t>TEMU7681811</t>
  </si>
  <si>
    <t>KGN-23040651</t>
  </si>
  <si>
    <t>305458718850</t>
  </si>
  <si>
    <t>HCM-SBK-2304331</t>
  </si>
  <si>
    <t>305461134330</t>
  </si>
  <si>
    <t>EBKG05393156</t>
  </si>
  <si>
    <t>MEDU4632174</t>
  </si>
  <si>
    <t>SZXEF23030054796</t>
  </si>
  <si>
    <t>105385151060
105385196820
105385153530</t>
  </si>
  <si>
    <t>305466217030</t>
  </si>
  <si>
    <t>15/04/2023</t>
  </si>
  <si>
    <t>CBHU9168954</t>
  </si>
  <si>
    <t>305464358310</t>
  </si>
  <si>
    <t>OOCU8763340</t>
  </si>
  <si>
    <t>305464268340</t>
  </si>
  <si>
    <t>14/04/2023</t>
  </si>
  <si>
    <t>KGN-23040875</t>
  </si>
  <si>
    <t>KGN-23040877</t>
  </si>
  <si>
    <t>KGN-23040876</t>
  </si>
  <si>
    <t>305469653810</t>
  </si>
  <si>
    <t>17/04/2023</t>
  </si>
  <si>
    <t>OOCU6527962</t>
  </si>
  <si>
    <t>KGN-23040968</t>
  </si>
  <si>
    <t>305468151610</t>
  </si>
  <si>
    <t>TLLU4342899</t>
  </si>
  <si>
    <t>305469700820</t>
  </si>
  <si>
    <t>YMLUW490429137</t>
  </si>
  <si>
    <t>BMOU6325290</t>
  </si>
  <si>
    <t>KGN-23040972</t>
  </si>
  <si>
    <t xml:space="preserve">TEMU6468930 </t>
  </si>
  <si>
    <t>DRYU4107155</t>
  </si>
  <si>
    <t>SGND48129700</t>
  </si>
  <si>
    <t>305472349950
305472372240</t>
  </si>
  <si>
    <t>KGN-23040997</t>
  </si>
  <si>
    <t>KGN-23041124</t>
  </si>
  <si>
    <t>PHÍ XIN C/O T04.2023</t>
  </si>
  <si>
    <t>2 C/O, CHỨNG THỰC INV VCCI</t>
  </si>
  <si>
    <t>THÁNG 05/2023</t>
  </si>
  <si>
    <t>1 LÔ</t>
  </si>
  <si>
    <t>KGN-23041185</t>
  </si>
  <si>
    <t>KGN-23040195</t>
  </si>
  <si>
    <t>YMMU6115658</t>
  </si>
  <si>
    <t>21/04/2023</t>
  </si>
  <si>
    <t xml:space="preserve">CSLU6141550 </t>
  </si>
  <si>
    <t>KGN-23041463</t>
  </si>
  <si>
    <t>305481031721
305481073940</t>
  </si>
  <si>
    <t>305481601300
305481624400</t>
  </si>
  <si>
    <t>KGN-23041464</t>
  </si>
  <si>
    <t>24/04/2023.</t>
  </si>
  <si>
    <t>KGN-23041466</t>
  </si>
  <si>
    <t>305484616160</t>
  </si>
  <si>
    <t>24/04/2023</t>
  </si>
  <si>
    <t>039DX23527</t>
  </si>
  <si>
    <t>WHLU5707363</t>
  </si>
  <si>
    <t>305484472810</t>
  </si>
  <si>
    <t>HLBU2173925</t>
  </si>
  <si>
    <t>13/04/23</t>
  </si>
  <si>
    <t>305463333030</t>
  </si>
  <si>
    <t>305463459250</t>
  </si>
  <si>
    <t>305463026540</t>
  </si>
  <si>
    <t>305462722740</t>
  </si>
  <si>
    <t>305467879640</t>
  </si>
  <si>
    <t>305468564460</t>
  </si>
  <si>
    <t>105397701400</t>
  </si>
  <si>
    <t>105397685040</t>
  </si>
  <si>
    <t>105401453730</t>
  </si>
  <si>
    <t>105403157860</t>
  </si>
  <si>
    <t>305474118260</t>
  </si>
  <si>
    <t>305476480800</t>
  </si>
  <si>
    <t>305479464860
305479534050</t>
  </si>
  <si>
    <t>305480360420</t>
  </si>
  <si>
    <t>105401573760</t>
  </si>
  <si>
    <t>105407780810</t>
  </si>
  <si>
    <t>305481476920</t>
  </si>
  <si>
    <t>305484936100</t>
  </si>
  <si>
    <t>305485288200</t>
  </si>
  <si>
    <t>18/04/2023</t>
  </si>
  <si>
    <t>19/04/2023</t>
  </si>
  <si>
    <t>20/04/2023</t>
  </si>
  <si>
    <t>22/04/2023</t>
  </si>
  <si>
    <t>25/04/2023</t>
  </si>
  <si>
    <t>341BK3003718</t>
  </si>
  <si>
    <t>039DX16958</t>
  </si>
  <si>
    <t>BSGNC23007702</t>
  </si>
  <si>
    <t>235300416284</t>
  </si>
  <si>
    <t>TLLYHCJR23045101</t>
  </si>
  <si>
    <t xml:space="preserve">LCLSINSGN2300174 </t>
  </si>
  <si>
    <t>HDMUSUBA59400600</t>
  </si>
  <si>
    <t>339LN2300629</t>
  </si>
  <si>
    <t>CULVSGN2302286</t>
  </si>
  <si>
    <t>SMLMSGN3A2454300</t>
  </si>
  <si>
    <t>EGLV091330137012</t>
  </si>
  <si>
    <t>YMLUI490468930</t>
  </si>
  <si>
    <t>CULVSGN2302038</t>
  </si>
  <si>
    <t>KGN-23040887</t>
  </si>
  <si>
    <t>KGN-23040886</t>
  </si>
  <si>
    <t>KGN-23040885</t>
  </si>
  <si>
    <t>KGN-23040884</t>
  </si>
  <si>
    <t>KGN-23041024</t>
  </si>
  <si>
    <t>KGN-23041025</t>
  </si>
  <si>
    <t>KGN-23041107</t>
  </si>
  <si>
    <t>KGN-23041199</t>
  </si>
  <si>
    <t>KGN-23041437</t>
  </si>
  <si>
    <t>KGN-23041438</t>
  </si>
  <si>
    <t>KGN-23041439</t>
  </si>
  <si>
    <t xml:space="preserve">	KGN-23041495</t>
  </si>
  <si>
    <t xml:space="preserve">	KGN-23041550</t>
  </si>
  <si>
    <t>KGN-23040669</t>
  </si>
  <si>
    <t>KGN-23040609</t>
  </si>
  <si>
    <t>KGN-23040915</t>
  </si>
  <si>
    <t>KGN-23040883</t>
  </si>
  <si>
    <t>KGN-23040967</t>
  </si>
  <si>
    <t>KGN-23040966</t>
  </si>
  <si>
    <t>BSIU9364000</t>
  </si>
  <si>
    <t>SGND46860700</t>
  </si>
  <si>
    <t>NYKU0847571</t>
  </si>
  <si>
    <t xml:space="preserve">YMLUE490366006 </t>
  </si>
  <si>
    <t>XANH/VÀNG</t>
  </si>
  <si>
    <t>HLBU2304706</t>
  </si>
  <si>
    <t>COAU8037166610</t>
  </si>
  <si>
    <t>305486913230
305486802850</t>
  </si>
  <si>
    <t>305486621550
305486636950</t>
  </si>
  <si>
    <t>CAIU9503097</t>
  </si>
  <si>
    <t>305488907200
305488952700</t>
  </si>
  <si>
    <t>ONEYSGND52089700</t>
  </si>
  <si>
    <t>BMOU5719956</t>
  </si>
  <si>
    <t>KGN-23041574</t>
  </si>
  <si>
    <t>KGN-23041575</t>
  </si>
  <si>
    <t>KGN-23041576</t>
  </si>
  <si>
    <t>039DX23528</t>
  </si>
  <si>
    <t>WHSU6541077</t>
  </si>
  <si>
    <t>305487825550</t>
  </si>
  <si>
    <t>305493261530</t>
  </si>
  <si>
    <t>26/04/2023</t>
  </si>
  <si>
    <t>TRHU6488334</t>
  </si>
  <si>
    <t>25/04/23</t>
  </si>
  <si>
    <t>27/04/2023</t>
  </si>
  <si>
    <t>105422242110</t>
  </si>
  <si>
    <t>DGML23040084</t>
  </si>
  <si>
    <t xml:space="preserve">105355638140	</t>
  </si>
  <si>
    <t xml:space="preserve">3 KIỆN/ 1260 KGS
/ 1.51 CBM </t>
  </si>
  <si>
    <t>305495046860</t>
  </si>
  <si>
    <t>KHÔNG ỨNG</t>
  </si>
  <si>
    <t>1</t>
  </si>
  <si>
    <t>105433530420</t>
  </si>
  <si>
    <t>05/05/2023</t>
  </si>
  <si>
    <t>HTAHCM23043190</t>
  </si>
  <si>
    <t>305511979750</t>
  </si>
  <si>
    <t>08/05/2023</t>
  </si>
  <si>
    <t>BMOU4538995
CBHU9057375</t>
  </si>
  <si>
    <t>305515154950</t>
  </si>
  <si>
    <t>09/05/2023</t>
  </si>
  <si>
    <t>039DX23525</t>
  </si>
  <si>
    <t>105410297640</t>
  </si>
  <si>
    <t>105424750910</t>
  </si>
  <si>
    <t>105423839620</t>
  </si>
  <si>
    <t>105424910620</t>
  </si>
  <si>
    <t>105428835300</t>
  </si>
  <si>
    <t>305504045140</t>
  </si>
  <si>
    <t>305506587540</t>
  </si>
  <si>
    <t>305508064430</t>
  </si>
  <si>
    <t>305507165300</t>
  </si>
  <si>
    <t>305508509850</t>
  </si>
  <si>
    <t>305509888040</t>
  </si>
  <si>
    <t>28/04/2023</t>
  </si>
  <si>
    <t>305511613430</t>
  </si>
  <si>
    <t>305514375410</t>
  </si>
  <si>
    <t>105437620260</t>
  </si>
  <si>
    <t>105439656450</t>
  </si>
  <si>
    <t>105445466340</t>
  </si>
  <si>
    <t>305517062600
305518199950</t>
  </si>
  <si>
    <t>TLLYHCJH23045101</t>
  </si>
  <si>
    <t>PKGCB23006395</t>
  </si>
  <si>
    <t>JTHCM23S04012</t>
  </si>
  <si>
    <t>EGLV091330128757</t>
  </si>
  <si>
    <t>LX-SGNBNE23015</t>
  </si>
  <si>
    <t>039DX22192</t>
  </si>
  <si>
    <t xml:space="preserve">JJS230010002861 </t>
  </si>
  <si>
    <t>ZIMUHCM80332663</t>
  </si>
  <si>
    <t>CULVSGN2302492</t>
  </si>
  <si>
    <t>YMLUI490469632</t>
  </si>
  <si>
    <t>EGLV091330122015</t>
  </si>
  <si>
    <t>PKG2304006887</t>
  </si>
  <si>
    <t xml:space="preserve">LCLSINSGN2300202 </t>
  </si>
  <si>
    <t>039DX22243</t>
  </si>
  <si>
    <t>KGN-23050322</t>
  </si>
  <si>
    <t>KGN-23050320</t>
  </si>
  <si>
    <t>KGN-23050371</t>
  </si>
  <si>
    <t>KGN-23050321</t>
  </si>
  <si>
    <t>KGN-23050369</t>
  </si>
  <si>
    <t>KGN-23050372</t>
  </si>
  <si>
    <t>KGN-23050619</t>
  </si>
  <si>
    <t>KGN-23050668</t>
  </si>
  <si>
    <t>KGN-23041106</t>
  </si>
  <si>
    <t>KGN-23041849</t>
  </si>
  <si>
    <t>KGN-23041231</t>
  </si>
  <si>
    <t>KGN-23050116</t>
  </si>
  <si>
    <t>KGN-23050006</t>
  </si>
  <si>
    <t>KGN-23050305</t>
  </si>
  <si>
    <t>KGN-23050366</t>
  </si>
  <si>
    <t>KGN-23050508</t>
  </si>
  <si>
    <t>10/05/23</t>
  </si>
  <si>
    <t>PHÍ XIN C/O T05.2023</t>
  </si>
  <si>
    <t>1 C/O, CHỨNG THỰC INV VCCI</t>
  </si>
  <si>
    <t>KGN-23051250</t>
  </si>
  <si>
    <t>16/05/2023</t>
  </si>
  <si>
    <t>THÁNG 06/2023</t>
  </si>
  <si>
    <t>122300021426171</t>
  </si>
  <si>
    <t>KGN-23051252</t>
  </si>
  <si>
    <t>122300021426802</t>
  </si>
  <si>
    <t>KGN-23051253</t>
  </si>
  <si>
    <t>122300021428983</t>
  </si>
  <si>
    <t>KGN-23051254</t>
  </si>
  <si>
    <t>EBKG05577834</t>
  </si>
  <si>
    <t>18/05/2023</t>
  </si>
  <si>
    <t>MSMU4695129</t>
  </si>
  <si>
    <t>305520295310</t>
  </si>
  <si>
    <t>105448496310</t>
  </si>
  <si>
    <t>305523975540</t>
  </si>
  <si>
    <t>HASLS21230500056</t>
  </si>
  <si>
    <t>HDMUSUBA53723000</t>
  </si>
  <si>
    <t>105448450440</t>
  </si>
  <si>
    <t>15/05/2023</t>
  </si>
  <si>
    <t>105455061610</t>
  </si>
  <si>
    <t>105455052950</t>
  </si>
  <si>
    <t>305524374540</t>
  </si>
  <si>
    <t>305528636250</t>
  </si>
  <si>
    <t>105455291320</t>
  </si>
  <si>
    <t>105458164010</t>
  </si>
  <si>
    <t>105456090500</t>
  </si>
  <si>
    <t>17/05/2023</t>
  </si>
  <si>
    <t>305532792630</t>
  </si>
  <si>
    <t>305536412660</t>
  </si>
  <si>
    <t>105455743150</t>
  </si>
  <si>
    <t>105462865540</t>
  </si>
  <si>
    <t>105462997030</t>
  </si>
  <si>
    <t>TLLYHCJH23055101</t>
  </si>
  <si>
    <t xml:space="preserve">SLOGJKT-2023127/HCM </t>
  </si>
  <si>
    <t>CNB0224221</t>
  </si>
  <si>
    <t>TAOHCM2761JHL1</t>
  </si>
  <si>
    <t>039DX26785</t>
  </si>
  <si>
    <t>1KT873059</t>
  </si>
  <si>
    <t>HDMUDELA62605300</t>
  </si>
  <si>
    <t>EGLV091330156042</t>
  </si>
  <si>
    <t>EGLV091330148294</t>
  </si>
  <si>
    <t>KGN-23050773</t>
  </si>
  <si>
    <t>KGN-23051024</t>
  </si>
  <si>
    <t>KGN-23051361</t>
  </si>
  <si>
    <t>KGN-23051025</t>
  </si>
  <si>
    <t>KGN-23051251</t>
  </si>
  <si>
    <t>KGN-23050695</t>
  </si>
  <si>
    <t>KGN-23050694</t>
  </si>
  <si>
    <t>KGN-23050688</t>
  </si>
  <si>
    <t>KGN-23050280</t>
  </si>
  <si>
    <t>KGN-23050749</t>
  </si>
  <si>
    <t>KGN-23050748</t>
  </si>
  <si>
    <t>KGN-23051003</t>
  </si>
  <si>
    <t>KGN-23050746</t>
  </si>
  <si>
    <t>KGN-23051164</t>
  </si>
  <si>
    <t>KGN-23051163</t>
  </si>
  <si>
    <t>KGN-23051162</t>
  </si>
  <si>
    <t>18/05/23</t>
  </si>
  <si>
    <t>TGCU0159100</t>
  </si>
  <si>
    <t>22/05/2023</t>
  </si>
  <si>
    <t>TRHU8921320</t>
  </si>
  <si>
    <t>305546306460</t>
  </si>
  <si>
    <t>23/05/2023</t>
  </si>
  <si>
    <t>TCLU7296675</t>
  </si>
  <si>
    <t>122300021610391</t>
  </si>
  <si>
    <t xml:space="preserve">	KGN-23051664</t>
  </si>
  <si>
    <t>122300021629053</t>
  </si>
  <si>
    <t>KGN-23051665</t>
  </si>
  <si>
    <t>122300021630298</t>
  </si>
  <si>
    <t xml:space="preserve">	KGN-23051666</t>
  </si>
  <si>
    <t>72690981</t>
  </si>
  <si>
    <t>305549183500</t>
  </si>
  <si>
    <t>24/05/2023</t>
  </si>
  <si>
    <t>HLBU1652501</t>
  </si>
  <si>
    <t>305543781710</t>
  </si>
  <si>
    <t>305538509640</t>
  </si>
  <si>
    <t>25/05/2023</t>
  </si>
  <si>
    <t>305552691750</t>
  </si>
  <si>
    <t>BEAU4297907</t>
  </si>
  <si>
    <t>305552215750</t>
  </si>
  <si>
    <t>EBKG05750370</t>
  </si>
  <si>
    <t>TRHU8634973</t>
  </si>
  <si>
    <t>305540652710</t>
  </si>
  <si>
    <t>105462805560</t>
  </si>
  <si>
    <t>305543624540</t>
  </si>
  <si>
    <t>305543756950</t>
  </si>
  <si>
    <t>305543905830</t>
  </si>
  <si>
    <t>305544261100</t>
  </si>
  <si>
    <t>305544395940</t>
  </si>
  <si>
    <t>305546507400
305546544500</t>
  </si>
  <si>
    <t>305546687410</t>
  </si>
  <si>
    <t>305546719500</t>
  </si>
  <si>
    <t>305547343640</t>
  </si>
  <si>
    <t>305546600130</t>
  </si>
  <si>
    <t>305547313800</t>
  </si>
  <si>
    <t>305548738150</t>
  </si>
  <si>
    <t>305549763060</t>
  </si>
  <si>
    <t>305548720540/E62
305549320110/B11</t>
  </si>
  <si>
    <t>305553017730</t>
  </si>
  <si>
    <t>20/05/2023</t>
  </si>
  <si>
    <t>KGN-23050747</t>
  </si>
  <si>
    <t>KGN-23051524</t>
  </si>
  <si>
    <t>KGN-23051527</t>
  </si>
  <si>
    <t>KGN-23051555</t>
  </si>
  <si>
    <t>KGN-23051526</t>
  </si>
  <si>
    <t>KGN-23051536</t>
  </si>
  <si>
    <t>KGN-23051537</t>
  </si>
  <si>
    <t>KGN-23051615</t>
  </si>
  <si>
    <t>KGN-23051612</t>
  </si>
  <si>
    <t>KGN-23051611</t>
  </si>
  <si>
    <t>KGN-23051610</t>
  </si>
  <si>
    <t>KGN-23051613</t>
  </si>
  <si>
    <t>KGN-23051631</t>
  </si>
  <si>
    <t>KGN-23051783</t>
  </si>
  <si>
    <t>KGN-23051784</t>
  </si>
  <si>
    <t>KGN-23051781</t>
  </si>
  <si>
    <t>KGN-23051798</t>
  </si>
  <si>
    <t>NAM6136391</t>
  </si>
  <si>
    <t>YMLUI490470278</t>
  </si>
  <si>
    <t>SGN23E01387</t>
  </si>
  <si>
    <t>341BK3005500</t>
  </si>
  <si>
    <t>235300453678</t>
  </si>
  <si>
    <t>SITSGXMG320346</t>
  </si>
  <si>
    <t>039DX29957</t>
  </si>
  <si>
    <t>SITSGXMG320345</t>
  </si>
  <si>
    <t>SITSGXMG320347</t>
  </si>
  <si>
    <t>SITSGXMG320344</t>
  </si>
  <si>
    <t>SITSGXMG320348</t>
  </si>
  <si>
    <t>180 13028175</t>
  </si>
  <si>
    <t>HCM/BTL23050001</t>
  </si>
  <si>
    <t>039DX22244</t>
  </si>
  <si>
    <t>039DX27195</t>
  </si>
  <si>
    <t>DHL</t>
  </si>
  <si>
    <t>KGN-23051538</t>
  </si>
  <si>
    <t>PKGCB23007198</t>
  </si>
  <si>
    <t>26/05/2023</t>
  </si>
  <si>
    <t>BAO GIẤY</t>
  </si>
  <si>
    <t>105479034030</t>
  </si>
  <si>
    <t>305555637240</t>
  </si>
  <si>
    <t xml:space="preserve">	EBKG05661048</t>
  </si>
  <si>
    <t>105477868750</t>
  </si>
  <si>
    <t>305555949661</t>
  </si>
  <si>
    <t>FCIU9505396</t>
  </si>
  <si>
    <t>305560155040</t>
  </si>
  <si>
    <t>29/05/2023</t>
  </si>
  <si>
    <t>122300021766571</t>
  </si>
  <si>
    <t>KGN-23051969</t>
  </si>
  <si>
    <t>305560351410</t>
  </si>
  <si>
    <t>TRHU7086258</t>
  </si>
  <si>
    <t>235300568009</t>
  </si>
  <si>
    <t>SKYU8146822</t>
  </si>
  <si>
    <t>30/05/2023</t>
  </si>
  <si>
    <t>MSMU5079920</t>
  </si>
  <si>
    <t>EBKG05693005</t>
  </si>
  <si>
    <t>31/05/2023</t>
  </si>
  <si>
    <t>105483285350</t>
  </si>
  <si>
    <t>220310096535</t>
  </si>
  <si>
    <t>GAOU6769919
TLLU8711613</t>
  </si>
  <si>
    <t>YMLUZ490311317</t>
  </si>
  <si>
    <t>02/6/2023</t>
  </si>
  <si>
    <t>CAIU6578512</t>
  </si>
  <si>
    <t>2632/ 6.184 CBM</t>
  </si>
  <si>
    <t>213.96/1.06CBM</t>
  </si>
  <si>
    <t>HCM-SBK-2306439</t>
  </si>
  <si>
    <t>05/06/2023</t>
  </si>
  <si>
    <t>KGN-23060353</t>
  </si>
  <si>
    <t>06/06/2023</t>
  </si>
  <si>
    <t>BSIU9647628</t>
  </si>
  <si>
    <t>EBKG05783191</t>
  </si>
  <si>
    <t>MSMU8022785</t>
  </si>
  <si>
    <t>08/06/2023</t>
  </si>
  <si>
    <t>122300022067229</t>
  </si>
  <si>
    <t>KGN-23060509</t>
  </si>
  <si>
    <t>09/06/2023</t>
  </si>
  <si>
    <t>122300022113620</t>
  </si>
  <si>
    <t>122300022115366</t>
  </si>
  <si>
    <t>KGN-23060628</t>
  </si>
  <si>
    <t>BỔ SUNG CHI HỘ</t>
  </si>
  <si>
    <t>PHÍ XIN C/O T06.2023</t>
  </si>
  <si>
    <t>COAU7884807200</t>
  </si>
  <si>
    <t>KGN-23060627</t>
  </si>
  <si>
    <t>14/06/2023</t>
  </si>
  <si>
    <t>OOCU9079820</t>
  </si>
  <si>
    <t>EBKG05806348</t>
  </si>
  <si>
    <t>MSMU6295369</t>
  </si>
  <si>
    <t>15/06/2023</t>
  </si>
  <si>
    <t>039DX35238</t>
  </si>
  <si>
    <t>WHSU6028249</t>
  </si>
  <si>
    <t>GCXU5918223</t>
  </si>
  <si>
    <t>039DX35139</t>
  </si>
  <si>
    <t>TCLU1582500</t>
  </si>
  <si>
    <t>12</t>
  </si>
  <si>
    <t>13</t>
  </si>
  <si>
    <t>14</t>
  </si>
  <si>
    <t>15</t>
  </si>
  <si>
    <t>16</t>
  </si>
  <si>
    <t>17</t>
  </si>
  <si>
    <t>HLXU6590797</t>
  </si>
  <si>
    <t>TGBU2104020
FCIU4815188
CSLU1884779
TGBU2317453
OOLU0594872
CSLU2391015
UETU2661721
CSNU1993376
TEMU5432086
CBHU4190554</t>
  </si>
  <si>
    <t>TGBU5976578</t>
  </si>
  <si>
    <t>OOLU2140741820G</t>
  </si>
  <si>
    <t>KGN-23061252</t>
  </si>
  <si>
    <t>CSLU1797329
SLDU2001919
OOLU2928731
OOLU1390359
TEMU3458712
FBIU0384877
BSIU2885244
FTAU1573774
CBHU4434650
OOLU0542014</t>
  </si>
  <si>
    <t>KGN-23061065</t>
  </si>
  <si>
    <t>19/06/2023</t>
  </si>
  <si>
    <t>THÁNG 07/2023</t>
  </si>
  <si>
    <t>122300022354910</t>
  </si>
  <si>
    <t>KGN-23061544</t>
  </si>
  <si>
    <t>KGN-23061545</t>
  </si>
  <si>
    <t>305608238260</t>
  </si>
  <si>
    <t>20/06/2023</t>
  </si>
  <si>
    <t>CMAU8648210</t>
  </si>
  <si>
    <t>TGBU4321909</t>
  </si>
  <si>
    <t>18</t>
  </si>
  <si>
    <t>19</t>
  </si>
  <si>
    <t>GOSUNGB20086958R</t>
  </si>
  <si>
    <t>KGN-23061596</t>
  </si>
  <si>
    <t>21/06/2023</t>
  </si>
  <si>
    <t>22/06/2023</t>
  </si>
  <si>
    <t>24/06/2023</t>
  </si>
  <si>
    <t>HLBU2881415</t>
  </si>
  <si>
    <t>20</t>
  </si>
  <si>
    <t>21</t>
  </si>
  <si>
    <t>122300022356433</t>
  </si>
  <si>
    <t>235300659365</t>
  </si>
  <si>
    <t>TRHU5846053</t>
  </si>
  <si>
    <t>27/06/2023</t>
  </si>
  <si>
    <t>TGBU6066079</t>
  </si>
  <si>
    <t>28/06/2023</t>
  </si>
  <si>
    <t>TGBU4161755</t>
  </si>
  <si>
    <t>KGN-23062232</t>
  </si>
  <si>
    <t>29/06/2023</t>
  </si>
  <si>
    <t>BEAU5480281</t>
  </si>
  <si>
    <t>COAU7244446280L</t>
  </si>
  <si>
    <t>TCLU7826034</t>
  </si>
  <si>
    <t>TGHU6369884</t>
  </si>
  <si>
    <t>ZIMUHCM80342741</t>
  </si>
  <si>
    <t>ZIMUHCM80341144</t>
  </si>
  <si>
    <t>ZCSU6900801</t>
  </si>
  <si>
    <t>SE23060066</t>
  </si>
  <si>
    <t>BMOU6035346</t>
  </si>
  <si>
    <t>OOLU2720166200</t>
  </si>
  <si>
    <t>OOCU6999022</t>
  </si>
  <si>
    <t>PHÍ DEM</t>
  </si>
  <si>
    <t>PHÍ DET</t>
  </si>
  <si>
    <t>001DA97683</t>
  </si>
  <si>
    <t>122300022944713</t>
  </si>
  <si>
    <t>122300022945957</t>
  </si>
  <si>
    <t>122300022947009</t>
  </si>
  <si>
    <t>122300022948083</t>
  </si>
  <si>
    <t>122300022958232</t>
  </si>
  <si>
    <t>122300022961907</t>
  </si>
  <si>
    <t>KGN-23070605</t>
  </si>
  <si>
    <t>KGN-23070607</t>
  </si>
  <si>
    <t>KGN-23070609</t>
  </si>
  <si>
    <t>KGN-23070623</t>
  </si>
  <si>
    <t>KGN-23070624</t>
  </si>
  <si>
    <t>PHỤ PHÍ NÂNG</t>
  </si>
  <si>
    <t>COAU7884860960</t>
  </si>
  <si>
    <t>OOLU2721381400E</t>
  </si>
  <si>
    <t>513,29</t>
  </si>
  <si>
    <t>KGN-23070696</t>
  </si>
  <si>
    <t>04/07/2023</t>
  </si>
  <si>
    <t>06/07/2023</t>
  </si>
  <si>
    <t>17/07/2023</t>
  </si>
  <si>
    <t>XUẤT</t>
  </si>
  <si>
    <t>NHẬP</t>
  </si>
  <si>
    <t>CULVSGN2303129</t>
  </si>
  <si>
    <t>CULVSGN2303647</t>
  </si>
  <si>
    <t>PTNCLP2360004</t>
  </si>
  <si>
    <t>PKECLP2360126</t>
  </si>
  <si>
    <t>CULVSGN2303648</t>
  </si>
  <si>
    <t>TLLU7945345</t>
  </si>
  <si>
    <t>FFAU4253036</t>
  </si>
  <si>
    <t>TEMU5626163</t>
  </si>
  <si>
    <t>IAAU2884590</t>
  </si>
  <si>
    <t>105564026410 105564149501</t>
  </si>
  <si>
    <t>305642302250
305642305900</t>
  </si>
  <si>
    <t>305626091320
305626224210</t>
  </si>
  <si>
    <t>PHÍ CSHT</t>
  </si>
  <si>
    <t>THEO DÕI HÀNG HÓA TẠM ỨNG, THANH TOÁN, ĐIỀU XE 2023 - HIGHPOINT</t>
  </si>
  <si>
    <t>TCLU4439622</t>
  </si>
  <si>
    <t>105587149510
105587026050</t>
  </si>
  <si>
    <t>OOLU6836320</t>
  </si>
  <si>
    <t>305670154220
305670600120</t>
  </si>
  <si>
    <t>PTNCLP2370001</t>
  </si>
  <si>
    <t>DFSU7242000</t>
  </si>
  <si>
    <t>13/07/2023</t>
  </si>
  <si>
    <t>KGN-23070944</t>
  </si>
  <si>
    <t>2 PK/ 3100 KGS / 0.9 CBM</t>
  </si>
  <si>
    <t>1 PK / 290 KGS / 2 CBM</t>
  </si>
  <si>
    <t>1 PK/ 720 KGS/ 0.76 CBM</t>
  </si>
  <si>
    <t>305673633660
305673692240</t>
  </si>
  <si>
    <t>18/07/2023</t>
  </si>
  <si>
    <t>CULVSGN2303681</t>
  </si>
  <si>
    <t>CULU6023479</t>
  </si>
  <si>
    <t>DFSU2984027
FCIU5859241
TGBU3001198
OOLU1923566
TLLU3013970
CSLU2315530
TEMU2692990
TGHU1938041
CSLU1421481
OOLU0567882</t>
  </si>
  <si>
    <t>PHÍ XIN C/O T07.2023</t>
  </si>
  <si>
    <t>KGN-23071046</t>
  </si>
  <si>
    <t>WHSU5446732
WHSU5598041</t>
  </si>
  <si>
    <t>039DX37910</t>
  </si>
  <si>
    <t>039DX37913</t>
  </si>
  <si>
    <t>WHSU6770134
WHSU5638524</t>
  </si>
  <si>
    <t>HCM-SBK-2307540</t>
  </si>
  <si>
    <t>AMIGL230273796A</t>
  </si>
  <si>
    <t>BMOU6930536</t>
  </si>
  <si>
    <t>KGN-23071091</t>
  </si>
  <si>
    <t>KGN-PR-2307404</t>
  </si>
  <si>
    <t>KGN-PR-2306183</t>
  </si>
  <si>
    <t>20/07/2023</t>
  </si>
  <si>
    <t>21/07/2023</t>
  </si>
  <si>
    <t>n</t>
  </si>
  <si>
    <t>CTAHCM23073122</t>
  </si>
  <si>
    <t>1.902,82</t>
  </si>
  <si>
    <t>305677870760</t>
  </si>
  <si>
    <t>122300023197278</t>
  </si>
  <si>
    <t>305680357900</t>
  </si>
  <si>
    <t>122300023224499</t>
  </si>
  <si>
    <t>KGN-23071178</t>
  </si>
  <si>
    <t>KGN-23071179</t>
  </si>
  <si>
    <t>122300023221166</t>
  </si>
  <si>
    <t>FCIU7374785</t>
  </si>
  <si>
    <t>EBKG06131084</t>
  </si>
  <si>
    <t>24/07/2023</t>
  </si>
  <si>
    <t>EBKG06228096</t>
  </si>
  <si>
    <t>TCLU5899812
MSMU6122661</t>
  </si>
  <si>
    <t>ZIMUHCM80347555</t>
  </si>
  <si>
    <t>TEMU4296112</t>
  </si>
  <si>
    <t>25/07/2023</t>
  </si>
  <si>
    <t>GCXU5017755</t>
  </si>
  <si>
    <t>SGNM82771700</t>
  </si>
  <si>
    <t>CULVSGN2304140</t>
  </si>
  <si>
    <t>SEKU6488236</t>
  </si>
  <si>
    <t>305692048600
305691900200</t>
  </si>
  <si>
    <t>PHÍ SỬA TK AMA</t>
  </si>
  <si>
    <t>CHI HỘ OBH</t>
  </si>
  <si>
    <t>KGN-PR-2307507</t>
  </si>
  <si>
    <t>039DX39584</t>
  </si>
  <si>
    <t>EBKG06201552</t>
  </si>
  <si>
    <t>MSMU7249516</t>
  </si>
  <si>
    <t>THÁNG 08/2023</t>
  </si>
  <si>
    <t>GXSAG23075802</t>
  </si>
  <si>
    <t>2 PK/ 2100 KGS / 3.4 CBM</t>
  </si>
  <si>
    <t>KGN-23071425</t>
  </si>
  <si>
    <t>26/07/2023</t>
  </si>
  <si>
    <t>WHSU6604658
WHSU6036769
WHSU6709010</t>
  </si>
  <si>
    <t>KGN-23071455</t>
  </si>
  <si>
    <t>810 KGS/ 2.35 CBM</t>
  </si>
  <si>
    <t>3207.8 KGS/ 6 CBM</t>
  </si>
  <si>
    <t>27/07/2023</t>
  </si>
  <si>
    <t>CULU1909910
CULU1926883
CULU1926918
CULU1930918
GESU1257929
TEMU0548710
TEMU0549742
TLLU2939587
TRHU3123230
UETU2276432</t>
  </si>
  <si>
    <t>KGN-23071495</t>
  </si>
  <si>
    <t>EBKG06226381</t>
  </si>
  <si>
    <t>TLLU5540688</t>
  </si>
  <si>
    <t>FLXT-00002100146A</t>
  </si>
  <si>
    <t>NYKU5234952</t>
  </si>
  <si>
    <t>KGN-23071511</t>
  </si>
  <si>
    <t>KGN-23071512</t>
  </si>
  <si>
    <t>KGN-23071514</t>
  </si>
  <si>
    <t>105609763230
105609811050</t>
  </si>
  <si>
    <t>OOCU8820861</t>
  </si>
  <si>
    <t xml:space="preserve">LCL </t>
  </si>
  <si>
    <t>SE0715</t>
  </si>
  <si>
    <t>SE0714</t>
  </si>
  <si>
    <t>KGN-23071522</t>
  </si>
  <si>
    <t>KGN-23071525</t>
  </si>
  <si>
    <t>6.240 CBM</t>
  </si>
  <si>
    <t>KGN-23071526</t>
  </si>
  <si>
    <t>KGN-23071528</t>
  </si>
  <si>
    <t>X-V</t>
  </si>
  <si>
    <t>KGN-23071545</t>
  </si>
  <si>
    <t>KGN-23071549</t>
  </si>
  <si>
    <t>KGN-23071550</t>
  </si>
  <si>
    <t>KGN-23071551</t>
  </si>
  <si>
    <t>KGN-23071552</t>
  </si>
  <si>
    <t>KGN-23071553</t>
  </si>
  <si>
    <t>CTOHCM2307540</t>
  </si>
  <si>
    <t>KGN-23071554</t>
  </si>
  <si>
    <t>Công Ty TNHH Ngũ Kim Chính Nguyên Việt Nam</t>
  </si>
  <si>
    <t>Công Ty TNHH HIGH POINT FURNITURE GLOBAL (Việt Nam)</t>
  </si>
  <si>
    <t>Tờ khai thứ 2</t>
  </si>
  <si>
    <t>G.W</t>
  </si>
  <si>
    <t>CƯỚC SOTRANS</t>
  </si>
  <si>
    <t>GW</t>
  </si>
  <si>
    <t>TỜ KHAI THỨ 2</t>
  </si>
  <si>
    <t>21.931,1</t>
  </si>
  <si>
    <t>11.222,08</t>
  </si>
  <si>
    <t>9.057</t>
  </si>
  <si>
    <t>Chi 1 triệu Kiểm hóa</t>
  </si>
  <si>
    <t xml:space="preserve">CHI HỘ OBH </t>
  </si>
  <si>
    <t>CSHT</t>
  </si>
  <si>
    <t>KGN-PR-2307587</t>
  </si>
  <si>
    <t>KGN-PR-2307589</t>
  </si>
  <si>
    <t>105609685313
105609485442</t>
  </si>
  <si>
    <t>CMAU2440106</t>
  </si>
  <si>
    <t>SZXEF23070099720
SZXEF23070099720B</t>
  </si>
  <si>
    <r>
      <rPr>
        <sz val="12"/>
        <rFont val="Times New Roman"/>
        <family val="1"/>
      </rPr>
      <t>WHSU5827338</t>
    </r>
    <r>
      <rPr>
        <sz val="12"/>
        <color theme="1"/>
        <rFont val="Times New Roman"/>
        <family val="1"/>
      </rPr>
      <t xml:space="preserve">
WHSU6088206</t>
    </r>
  </si>
  <si>
    <t>PTNCLP2370003</t>
  </si>
  <si>
    <t>OOCU8973710</t>
  </si>
  <si>
    <t>105620231360
105620140510</t>
  </si>
  <si>
    <t>TEMU5787065</t>
  </si>
  <si>
    <t>FLXT-00002100123A</t>
  </si>
  <si>
    <t>CULVSGN2304255</t>
  </si>
  <si>
    <t>FFAU4642249</t>
  </si>
  <si>
    <t>305710789810
305710373750</t>
  </si>
  <si>
    <t>KGN-23080086</t>
  </si>
  <si>
    <t>KGN-23080087</t>
  </si>
  <si>
    <t>KGN-23080092</t>
  </si>
  <si>
    <t>NBHCM23053886</t>
  </si>
  <si>
    <t>KGN-23080117</t>
  </si>
  <si>
    <t>6PK/ 961 KGS / 0.51 CBM</t>
  </si>
  <si>
    <t>CÁI MÉP PHỤ THU 3TR</t>
  </si>
  <si>
    <t>KGN-23070603</t>
  </si>
  <si>
    <t>KGN-23070606</t>
  </si>
  <si>
    <t>KGN-23070604</t>
  </si>
  <si>
    <t>KGN-23071177</t>
  </si>
  <si>
    <t>KGN-23071180</t>
  </si>
  <si>
    <r>
      <t xml:space="preserve">CÁI MÉP PHỤ THU 3TR 
</t>
    </r>
    <r>
      <rPr>
        <b/>
        <sz val="12"/>
        <color rgb="FFFF0000"/>
        <rFont val="Times New Roman"/>
        <family val="1"/>
      </rPr>
      <t>Chi 1 triệu Kiểm hóa</t>
    </r>
  </si>
  <si>
    <t>1pk /1,400 KGS/0.8 CBM</t>
  </si>
  <si>
    <t>NOSNB23CL41485B</t>
  </si>
  <si>
    <t>KGN-23080187</t>
  </si>
  <si>
    <t>KGN-23080277</t>
  </si>
  <si>
    <t>GOSUNGB20087344H</t>
  </si>
  <si>
    <t>2 PK/1500 KGS/0.39 CBM</t>
  </si>
  <si>
    <t>GOSUNGB20087344C</t>
  </si>
  <si>
    <t>KGN-23080278</t>
  </si>
  <si>
    <t>1PK /480 KGS/0.5 CBM</t>
  </si>
  <si>
    <t>AMFU8839788</t>
  </si>
  <si>
    <t>OOLU9193870</t>
  </si>
  <si>
    <t>HLBU2025430</t>
  </si>
  <si>
    <t>305727820810
305727905510</t>
  </si>
  <si>
    <t>CULVSGN2304256</t>
  </si>
  <si>
    <t>TRHU7405798</t>
  </si>
  <si>
    <t>KGN-23080410</t>
  </si>
  <si>
    <t>SEKU4562798</t>
  </si>
  <si>
    <t>14/08/2023</t>
  </si>
  <si>
    <t>229572641</t>
  </si>
  <si>
    <t>TGBU6321261</t>
  </si>
  <si>
    <t>KGN-23080713</t>
  </si>
  <si>
    <t>PHÍ SỬA CHỮA</t>
  </si>
  <si>
    <t>16/08/2023</t>
  </si>
  <si>
    <t>122300023922887</t>
  </si>
  <si>
    <t>KGN-23080826</t>
  </si>
  <si>
    <t>KGN-23080827</t>
  </si>
  <si>
    <t>305739832660</t>
  </si>
  <si>
    <t>122300023922549</t>
  </si>
  <si>
    <t>CULVXMN2301884</t>
  </si>
  <si>
    <t>TGBU5022158
CCLU7965835</t>
  </si>
  <si>
    <t>15/08/2023</t>
  </si>
  <si>
    <t>KGN-23080875</t>
  </si>
  <si>
    <t>122300023969380</t>
  </si>
  <si>
    <r>
      <t xml:space="preserve">MSMU5838991
</t>
    </r>
    <r>
      <rPr>
        <sz val="12"/>
        <rFont val="Times New Roman"/>
        <family val="1"/>
      </rPr>
      <t>TRHU3537327</t>
    </r>
  </si>
  <si>
    <t>NOSNB23CL41661I</t>
  </si>
  <si>
    <t>KGN-23080927</t>
  </si>
  <si>
    <t>1PK/ 300 KGS/ 0.08 CBM</t>
  </si>
  <si>
    <t>17/08/2023</t>
  </si>
  <si>
    <t>ZIMUHCM80349202</t>
  </si>
  <si>
    <t>BSIU3269393</t>
  </si>
  <si>
    <t>BỔ SUNG PHÍ SỬA HD</t>
  </si>
  <si>
    <t>21/08/2023</t>
  </si>
  <si>
    <t>SE0815</t>
  </si>
  <si>
    <t>SE0816</t>
  </si>
  <si>
    <t>305754340050
305754482520</t>
  </si>
  <si>
    <t>CULVSGN2304166</t>
  </si>
  <si>
    <t>TRHU7404425</t>
  </si>
  <si>
    <t>KGN-23081132</t>
  </si>
  <si>
    <t>KGN-23081133</t>
  </si>
  <si>
    <t>22/08/2023</t>
  </si>
  <si>
    <t>CULVSGN2304167</t>
  </si>
  <si>
    <t>FFAU4360688</t>
  </si>
  <si>
    <t>305756654140
305756903930</t>
  </si>
  <si>
    <t>KGN-23081245</t>
  </si>
  <si>
    <t>KGN-PR-2308390 
KGN-PR-23080475 (263,158 VND)</t>
  </si>
  <si>
    <t>THÁNG 09/2023</t>
  </si>
  <si>
    <t>KGN-23081342</t>
  </si>
  <si>
    <t>COAU8042516610L</t>
  </si>
  <si>
    <t>1PK/ 550 KGS/ 0.57 CBM</t>
  </si>
  <si>
    <t>BSIU9867509</t>
  </si>
  <si>
    <t>EBKG06404563</t>
  </si>
  <si>
    <t>MSDU7673024</t>
  </si>
  <si>
    <t>KGN-23081355</t>
  </si>
  <si>
    <t>23/08/2023</t>
  </si>
  <si>
    <t>TRHU4304232</t>
  </si>
  <si>
    <t>KGN-23081463</t>
  </si>
  <si>
    <t>122300024192412</t>
  </si>
  <si>
    <t>24/08/2023</t>
  </si>
  <si>
    <t>PKECLP2380027</t>
  </si>
  <si>
    <t>IAAU4685556</t>
  </si>
  <si>
    <t>PKECLP2380026</t>
  </si>
  <si>
    <t>IAAU2816826</t>
  </si>
  <si>
    <t>KGN-23081519</t>
  </si>
  <si>
    <t>KGN-23081521</t>
  </si>
  <si>
    <t>6.230 CBM</t>
  </si>
  <si>
    <t>0.810 CBM</t>
  </si>
  <si>
    <t>GLDU5761575</t>
  </si>
  <si>
    <t>039DX51497</t>
  </si>
  <si>
    <t>WHSU0039919</t>
  </si>
  <si>
    <t>25/08/2023</t>
  </si>
  <si>
    <t>SGNDC5565700</t>
  </si>
  <si>
    <t>GLDU7539309</t>
  </si>
  <si>
    <t>KGN-23081543</t>
  </si>
  <si>
    <t>KGN-PR-23080475</t>
  </si>
  <si>
    <t>4458</t>
  </si>
  <si>
    <t xml:space="preserve"> 1,720.08/ 4.14 CBM </t>
  </si>
  <si>
    <t>HTAHCM23083180</t>
  </si>
  <si>
    <t>26/08/2023</t>
  </si>
  <si>
    <t>COAU7884973180</t>
  </si>
  <si>
    <t>KGN-23081616</t>
  </si>
  <si>
    <t>CSLU2267262
CSLU2316460
CBHU4259481
OOLU0659675
FTAU1490617
CXDU2362484
OOLU0919237
OOLU1799748
FCIU5700100
UETU2358510</t>
  </si>
  <si>
    <t>305771318700</t>
  </si>
  <si>
    <t>28/08/2023</t>
  </si>
  <si>
    <t>SGNDC8207300</t>
  </si>
  <si>
    <t>GCXU5270969</t>
  </si>
  <si>
    <t>KGN-23081740</t>
  </si>
  <si>
    <t>039DX52247</t>
  </si>
  <si>
    <t>305775160630
305775028550</t>
  </si>
  <si>
    <t>29/08/2023</t>
  </si>
  <si>
    <t>WHLU5662696</t>
  </si>
  <si>
    <t>KGN-23081798</t>
  </si>
  <si>
    <t>FCIU8462319</t>
  </si>
  <si>
    <t>CMZ1132903</t>
  </si>
  <si>
    <t>BEAU4154700
CMAU2763520</t>
  </si>
  <si>
    <t>235300961967</t>
  </si>
  <si>
    <t>EITU0279394</t>
  </si>
  <si>
    <t>30/08/2023</t>
  </si>
  <si>
    <t>HLXU8188344</t>
  </si>
  <si>
    <t>31/08/2023</t>
  </si>
  <si>
    <t>HLXU8227190</t>
  </si>
  <si>
    <t>KGN-23092914</t>
  </si>
  <si>
    <t>NOSNB23CL41772J</t>
  </si>
  <si>
    <t>NBHCM23059097</t>
  </si>
  <si>
    <t>KGN-23092923</t>
  </si>
  <si>
    <t>CULVSGN2304867</t>
  </si>
  <si>
    <t>KGN-23092986</t>
  </si>
  <si>
    <t>2 pk / 2080 kg /4 cbm</t>
  </si>
  <si>
    <t>2 pk /452 kg / 0.24 cbm</t>
  </si>
  <si>
    <t>HAMU1242554</t>
  </si>
  <si>
    <t>CAIU9428183</t>
  </si>
  <si>
    <t>GCXU5994590</t>
  </si>
  <si>
    <t>GXSAG23087208</t>
  </si>
  <si>
    <t>CULVSGN2304978</t>
  </si>
  <si>
    <t>SGNDD2078400</t>
  </si>
  <si>
    <t>KGN-23093297</t>
  </si>
  <si>
    <t>TRHU5856196</t>
  </si>
  <si>
    <t>KGN-23093331</t>
  </si>
  <si>
    <t>1 PK/ 1050 KGS/ 1.9 CBM</t>
  </si>
  <si>
    <t>PHÍ XIN C/O T09.2023</t>
  </si>
  <si>
    <t>KGN-23093334</t>
  </si>
  <si>
    <t>LINH KIỆN</t>
  </si>
  <si>
    <t>TÊN HÀNG</t>
  </si>
  <si>
    <t>305803595810
305803348010</t>
  </si>
  <si>
    <t>TRHU5040622</t>
  </si>
  <si>
    <t>KGN-23093394</t>
  </si>
  <si>
    <t>UETU5558635</t>
  </si>
  <si>
    <t>305786698250
305786922030
305786963700</t>
  </si>
  <si>
    <t>FTAU1673789</t>
  </si>
  <si>
    <t>13/09/2023</t>
  </si>
  <si>
    <t>SEGU4518701</t>
  </si>
  <si>
    <t>FFAU1802220</t>
  </si>
  <si>
    <t>SZXEF23080122661A/B</t>
  </si>
  <si>
    <t>FCIU3229710</t>
  </si>
  <si>
    <t>105714539560
105714416841</t>
  </si>
  <si>
    <t>KIỂM HÓA</t>
  </si>
  <si>
    <t>305818714410
305818680330</t>
  </si>
  <si>
    <t>19/09/2023</t>
  </si>
  <si>
    <t>SGNDD6642500</t>
  </si>
  <si>
    <t>NYKU5105908</t>
  </si>
  <si>
    <t>18/09/2023</t>
  </si>
  <si>
    <t>PKECLP2390048</t>
  </si>
  <si>
    <t>IAAU2697373</t>
  </si>
  <si>
    <t>KGN-23093772</t>
  </si>
  <si>
    <t>KGN-23093774</t>
  </si>
  <si>
    <t>HTAHCM23093090</t>
  </si>
  <si>
    <t xml:space="preserve"> 857.50 kg/  2.13 cbm</t>
  </si>
  <si>
    <t>PCIU1129630</t>
  </si>
  <si>
    <t>TRỪ 20K LPHQ</t>
  </si>
  <si>
    <t>20/09/2023</t>
  </si>
  <si>
    <t>122300024942413</t>
  </si>
  <si>
    <t>KGN-23093983</t>
  </si>
  <si>
    <t>122300024945698</t>
  </si>
  <si>
    <t>KGN-23093984</t>
  </si>
  <si>
    <t>ONEYSGNDE9259600</t>
  </si>
  <si>
    <t>TCLU6834502</t>
  </si>
  <si>
    <t>305822436900
305822493560</t>
  </si>
  <si>
    <t>305823898020
305824128760</t>
  </si>
  <si>
    <t>CULVSGN2304979</t>
  </si>
  <si>
    <t>BEAU5550769</t>
  </si>
  <si>
    <t>BMOU1380437</t>
  </si>
  <si>
    <t>I490480076</t>
  </si>
  <si>
    <t>KGN-23094063</t>
  </si>
  <si>
    <t>KGN-23094064</t>
  </si>
  <si>
    <t>21/09/2023</t>
  </si>
  <si>
    <t>THÁNG 10/2023</t>
  </si>
  <si>
    <t>KGN-23092987</t>
  </si>
  <si>
    <t>TJNS23080118</t>
  </si>
  <si>
    <t>KGN-23094302</t>
  </si>
  <si>
    <t>KGN-PR-2309475</t>
  </si>
  <si>
    <t>305835359120
305835438660</t>
  </si>
  <si>
    <t>25/09/2023</t>
  </si>
  <si>
    <t>SGNDE2198800</t>
  </si>
  <si>
    <t>KKFU7803770</t>
  </si>
  <si>
    <t>105737273940
105738181950</t>
  </si>
  <si>
    <t>SZXEF23090131108A/B</t>
  </si>
  <si>
    <t>CMAU2454938</t>
  </si>
  <si>
    <t>KGN-23094376</t>
  </si>
  <si>
    <t>Chi 500k Kiểm hóa</t>
  </si>
  <si>
    <t>PCIU9532180</t>
  </si>
  <si>
    <t>23/09/2023</t>
  </si>
  <si>
    <t>712310445531</t>
  </si>
  <si>
    <t>DFSU1914447</t>
  </si>
  <si>
    <t>22/09/2023</t>
  </si>
  <si>
    <t>KGN-PR-2309541</t>
  </si>
  <si>
    <t>KGN-PR-2309539</t>
  </si>
  <si>
    <t>KGN-23094531</t>
  </si>
  <si>
    <t>132300025023618</t>
  </si>
  <si>
    <t>122300025024920</t>
  </si>
  <si>
    <t>122300025024952</t>
  </si>
  <si>
    <t>KGN-23094532</t>
  </si>
  <si>
    <t>KGN-23094533</t>
  </si>
  <si>
    <t>27/09/2023</t>
  </si>
  <si>
    <t>SGNDD6701800</t>
  </si>
  <si>
    <t>SEGU5052310</t>
  </si>
  <si>
    <t>KGN-23094544</t>
  </si>
  <si>
    <t>105747323140
105746217400</t>
  </si>
  <si>
    <t>CTOHCM2309546OFS</t>
  </si>
  <si>
    <t>KGN-23094551</t>
  </si>
  <si>
    <t>CSNU6270889
FFAU2447921</t>
  </si>
  <si>
    <t>305848032730
305847923530</t>
  </si>
  <si>
    <t>28/09/2023</t>
  </si>
  <si>
    <t>CULVSGN2304980</t>
  </si>
  <si>
    <t>UETU2453775</t>
  </si>
  <si>
    <t>KGN-23094719</t>
  </si>
  <si>
    <t>305859380760
305859399110
305859442030</t>
  </si>
  <si>
    <t>3/10/2023</t>
  </si>
  <si>
    <t>WHSU6229048</t>
  </si>
  <si>
    <t>039DX59006</t>
  </si>
  <si>
    <t>305856633520
305856770020</t>
  </si>
  <si>
    <t>02/10/2023</t>
  </si>
  <si>
    <t>SE231002</t>
  </si>
  <si>
    <t>KGN-23101745</t>
  </si>
  <si>
    <t>KGN-23101746</t>
  </si>
  <si>
    <t>DPSE23090058</t>
  </si>
  <si>
    <t>3226KGS/3.739CBM</t>
  </si>
  <si>
    <t>KGN-23101837</t>
  </si>
  <si>
    <t>305863436230</t>
  </si>
  <si>
    <t>122300025372405</t>
  </si>
  <si>
    <t>KGN-23101838</t>
  </si>
  <si>
    <t>122300025540362</t>
  </si>
  <si>
    <t>KGN-23102020</t>
  </si>
  <si>
    <t>KGN-23102021</t>
  </si>
  <si>
    <t>122300025542262</t>
  </si>
  <si>
    <t>305876341800
305876487140</t>
  </si>
  <si>
    <t>KGN-23102024</t>
  </si>
  <si>
    <t>WHSU6245136</t>
  </si>
  <si>
    <t>039DX59007</t>
  </si>
  <si>
    <t>KGN-23102080</t>
  </si>
  <si>
    <t>GXSAG23098020</t>
  </si>
  <si>
    <t>1 PK/ 75 KGS/ 0.2 CBM</t>
  </si>
  <si>
    <t>SGNDF0622600</t>
  </si>
  <si>
    <t>KGN-23102204</t>
  </si>
  <si>
    <t>SEGU5050810</t>
  </si>
  <si>
    <t>ONEU1002935</t>
  </si>
  <si>
    <t>KGN-23102287</t>
  </si>
  <si>
    <t>305877960310</t>
  </si>
  <si>
    <t>305877765120</t>
  </si>
  <si>
    <t>BEAU5396587</t>
  </si>
  <si>
    <t>SEKU4405171</t>
  </si>
  <si>
    <t>HLBU2802870</t>
  </si>
  <si>
    <t>PKECLP23A0012</t>
  </si>
  <si>
    <t>KGN-23102370</t>
  </si>
  <si>
    <t>16/10/2023</t>
  </si>
  <si>
    <t>SE231008</t>
  </si>
  <si>
    <t>KGN-23102464</t>
  </si>
  <si>
    <t xml:space="preserve">3,983.60 KGS/ 10.96 CBM </t>
  </si>
  <si>
    <t>HTAHCM23103031</t>
  </si>
  <si>
    <t>18/10/2023</t>
  </si>
  <si>
    <t>305894920130
305895584100</t>
  </si>
  <si>
    <t>17/10/2023</t>
  </si>
  <si>
    <t>039DX61859</t>
  </si>
  <si>
    <t>KGN-23102578</t>
  </si>
  <si>
    <t>WHSU2797538</t>
  </si>
  <si>
    <t>PHÍ XIN C/O T10.2023</t>
  </si>
  <si>
    <t>SUDU7580722
MRKU8832206
TCLU6144981 
MRKU7732120
MSKU3403920
TTNU1291423
TCKU1808437
MRKU7055009</t>
  </si>
  <si>
    <t>235301173865</t>
  </si>
  <si>
    <t>19/10/2023</t>
  </si>
  <si>
    <t>IAAU2835322</t>
  </si>
  <si>
    <t>HLCUHA3231003575</t>
  </si>
  <si>
    <t>THÁNG 11/2023</t>
  </si>
  <si>
    <t>122300025757419</t>
  </si>
  <si>
    <t>KGN-23102773</t>
  </si>
  <si>
    <t>GAOU6304784</t>
  </si>
  <si>
    <t>KGN-23102723</t>
  </si>
  <si>
    <t>CMZ1154383</t>
  </si>
  <si>
    <t>24/10/2023</t>
  </si>
  <si>
    <t>CMAU2474657</t>
  </si>
  <si>
    <t>25/10/2023</t>
  </si>
  <si>
    <t>039DX65082</t>
  </si>
  <si>
    <t>KGN-23103117</t>
  </si>
  <si>
    <t>WHSU5950888</t>
  </si>
  <si>
    <t>305915376450
305915638620</t>
  </si>
  <si>
    <t>OOLU2992751</t>
  </si>
  <si>
    <t>21/10/2023</t>
  </si>
  <si>
    <t>OOLU0681010</t>
  </si>
  <si>
    <t>122300025925700</t>
  </si>
  <si>
    <t>KGN-23103121</t>
  </si>
  <si>
    <t>122300025923062</t>
  </si>
  <si>
    <t>KGN-23103123</t>
  </si>
  <si>
    <t>CMZ1154382</t>
  </si>
  <si>
    <t>SEGU4860416</t>
  </si>
  <si>
    <t>ESDU1206873</t>
  </si>
  <si>
    <t>KGN-23103127</t>
  </si>
  <si>
    <t>105809315400
105810880710</t>
  </si>
  <si>
    <t>EPIRCHNCWA246979
EPIRCHNCWA246982</t>
  </si>
  <si>
    <t>SGNDF7931900</t>
  </si>
  <si>
    <t>TRHU7003192</t>
  </si>
  <si>
    <t>KGN-23103148</t>
  </si>
  <si>
    <t>12269,02</t>
  </si>
  <si>
    <t>12126,34</t>
  </si>
  <si>
    <t>COAU7245991250L</t>
  </si>
  <si>
    <t>1 PK/ 720 KGS/ 0.65 CBM</t>
  </si>
  <si>
    <t>KGN-23103164</t>
  </si>
  <si>
    <t>NOSNB23CL42220J</t>
  </si>
  <si>
    <t>KGN-23103168</t>
  </si>
  <si>
    <t>5 PK/ 4980 KGS / 3.4 CBM</t>
  </si>
  <si>
    <t>305901165200</t>
  </si>
  <si>
    <t>305914337210</t>
  </si>
  <si>
    <t>305913902400</t>
  </si>
  <si>
    <t>CỘNG 560K PHỤ PHÍ NÂNG</t>
  </si>
  <si>
    <t>KGN-23103268</t>
  </si>
  <si>
    <t>26/10/2023</t>
  </si>
  <si>
    <t>DFSU7313356</t>
  </si>
  <si>
    <t>13208,56</t>
  </si>
  <si>
    <t>FCIU5826910</t>
  </si>
  <si>
    <t>ZIMUHCM80364007</t>
  </si>
  <si>
    <t>ZCSU7279176</t>
  </si>
  <si>
    <t>30/10/2023</t>
  </si>
  <si>
    <t>001DAF3362</t>
  </si>
  <si>
    <t>WHSU6014902
WHSU6213761
WHSU6948503</t>
  </si>
  <si>
    <t>27/10/2023</t>
  </si>
  <si>
    <t>ONEYSGNDF7654400</t>
  </si>
  <si>
    <t>31/10/2023</t>
  </si>
  <si>
    <t>KGN-23103663</t>
  </si>
  <si>
    <t>GCXU5415173</t>
  </si>
  <si>
    <t>KGN-PR-2310523</t>
  </si>
  <si>
    <t>CKEHCM2310561OFS</t>
  </si>
  <si>
    <t>CCLU5297001</t>
  </si>
  <si>
    <t>KGN-23110006</t>
  </si>
  <si>
    <t>305941735430
305941752230</t>
  </si>
  <si>
    <t>039DX65068</t>
  </si>
  <si>
    <t>WHLU5700965</t>
  </si>
  <si>
    <t>KGN-23110060</t>
  </si>
  <si>
    <t>NOSNB23CL42394F</t>
  </si>
  <si>
    <t>2 PK/ 2080 KGS / 4 CBM</t>
  </si>
  <si>
    <t>KGN-23110133</t>
  </si>
  <si>
    <t>CCL002725</t>
  </si>
  <si>
    <t>PTNCLP23A0006</t>
  </si>
  <si>
    <t>TSSU5024782</t>
  </si>
  <si>
    <t>105834333950
105834400340</t>
  </si>
  <si>
    <t>KGN-23110279</t>
  </si>
  <si>
    <t>105845867740
105845926540</t>
  </si>
  <si>
    <t>03/11/2023</t>
  </si>
  <si>
    <t>SZXEF23100148585</t>
  </si>
  <si>
    <t>CMAU9579120</t>
  </si>
  <si>
    <t>105847027310
105846984720</t>
  </si>
  <si>
    <t>SZXEF23100150414A</t>
  </si>
  <si>
    <t>TRHU1950199</t>
  </si>
  <si>
    <t>JT2314SSG357</t>
  </si>
  <si>
    <t>KGN-23110414</t>
  </si>
  <si>
    <t>305957625430
305957477730</t>
  </si>
  <si>
    <t>039DX68850</t>
  </si>
  <si>
    <t>KGN-23110416</t>
  </si>
  <si>
    <t>WHSU2409632</t>
  </si>
  <si>
    <t>235301237766</t>
  </si>
  <si>
    <t>EITU0010384</t>
  </si>
  <si>
    <t>08/11/2023</t>
  </si>
  <si>
    <t>TCLU5724500</t>
  </si>
  <si>
    <t>09/11/2023</t>
  </si>
  <si>
    <t>DPSE23100105</t>
  </si>
  <si>
    <t>13/11/2023</t>
  </si>
  <si>
    <t>TGBU4588670</t>
  </si>
  <si>
    <t>SGNDF7663400</t>
  </si>
  <si>
    <t>KGN-23110685</t>
  </si>
  <si>
    <t>AMIGL230482318A</t>
  </si>
  <si>
    <t>14/11/2023</t>
  </si>
  <si>
    <t>122300026560879</t>
  </si>
  <si>
    <t>KGN-23110936</t>
  </si>
  <si>
    <t>122300026564346</t>
  </si>
  <si>
    <t>KGN-23110937</t>
  </si>
  <si>
    <t>122300026568439</t>
  </si>
  <si>
    <t>KGN-23110938</t>
  </si>
  <si>
    <t>122300026569150</t>
  </si>
  <si>
    <t>KGN-23110939</t>
  </si>
  <si>
    <t>3328 KGS/ 3.72 CBM</t>
  </si>
  <si>
    <t>15/11/2023</t>
  </si>
  <si>
    <t>ZIMUHCM80365998</t>
  </si>
  <si>
    <t>RFCU4056512</t>
  </si>
  <si>
    <t>KGN-23110983</t>
  </si>
  <si>
    <t>039DX68849</t>
  </si>
  <si>
    <t>305978541540
305978393510</t>
  </si>
  <si>
    <t>BSIU3186940</t>
  </si>
  <si>
    <t>KGN-23110984</t>
  </si>
  <si>
    <t>105867124310
105862693750</t>
  </si>
  <si>
    <t>KGN-23110985</t>
  </si>
  <si>
    <t>16/11/2023</t>
  </si>
  <si>
    <t>PKECLP23B0026</t>
  </si>
  <si>
    <t>TGBU3676340</t>
  </si>
  <si>
    <t>305977157160</t>
  </si>
  <si>
    <t>305977438120</t>
  </si>
  <si>
    <t>305977766530</t>
  </si>
  <si>
    <t>305977819840</t>
  </si>
  <si>
    <t>ZIMUHCM80368193</t>
  </si>
  <si>
    <t>BSIU9545143</t>
  </si>
  <si>
    <t>17/11/2023</t>
  </si>
  <si>
    <t>20/11/2023</t>
  </si>
  <si>
    <t>122300026705084</t>
  </si>
  <si>
    <t>KGN-23111211</t>
  </si>
  <si>
    <t>122300026715532</t>
  </si>
  <si>
    <t>KGN-23111213</t>
  </si>
  <si>
    <t>122300026713576</t>
  </si>
  <si>
    <t>KGN-23111214</t>
  </si>
  <si>
    <t>SMCU2014600</t>
  </si>
  <si>
    <t>KGN-23111219</t>
  </si>
  <si>
    <t>305997306110
305996527820</t>
  </si>
  <si>
    <t>SE231107</t>
  </si>
  <si>
    <t>KGN-23111376</t>
  </si>
  <si>
    <t>039DX73462</t>
  </si>
  <si>
    <t>WHLU5829525</t>
  </si>
  <si>
    <t>22/11/2023</t>
  </si>
  <si>
    <t>306007019640
306007484810</t>
  </si>
  <si>
    <t>039DX71222</t>
  </si>
  <si>
    <t>WHSU5302925</t>
  </si>
  <si>
    <t>KGN-23111491</t>
  </si>
  <si>
    <t>305996293210</t>
  </si>
  <si>
    <t>305997194700</t>
  </si>
  <si>
    <t>305996916760</t>
  </si>
  <si>
    <t>THÁNG 12/2023</t>
  </si>
  <si>
    <t>PHÍ XIN C/O T11.2023</t>
  </si>
  <si>
    <r>
      <rPr>
        <sz val="10"/>
        <color theme="1"/>
        <rFont val="Times New Roman"/>
        <family val="1"/>
      </rPr>
      <t>BEAU2726495
BEAU2878440
FCIU3574701
SEGU1402575
SITU2662580
TGBU3155589
TLLU3548102
UETU2435365</t>
    </r>
  </si>
  <si>
    <t>KGN-23111551</t>
  </si>
  <si>
    <t>KGN-PR-2311739</t>
  </si>
  <si>
    <t>23/11/2023</t>
  </si>
  <si>
    <t>SGNDG5773500</t>
  </si>
  <si>
    <t>TCLU6518340</t>
  </si>
  <si>
    <t>10753,02</t>
  </si>
  <si>
    <t>KGN-23111556</t>
  </si>
  <si>
    <t>12994,22</t>
  </si>
  <si>
    <t>27/11/2023</t>
  </si>
  <si>
    <t>105894306711
105894636740</t>
  </si>
  <si>
    <t>CMZ1174454</t>
  </si>
  <si>
    <t>CMAU2753013</t>
  </si>
  <si>
    <t>KGN-23111657</t>
  </si>
  <si>
    <t>122300026873501</t>
  </si>
  <si>
    <t>306021047420</t>
  </si>
  <si>
    <t>24/11/2023</t>
  </si>
  <si>
    <t>SỐ INV</t>
  </si>
  <si>
    <t>CCL/YKJ/2023/SI2311229</t>
  </si>
  <si>
    <t>CCL/YKJ/2023/SI2311095</t>
  </si>
  <si>
    <t>CCL/YTC/2023/SI2311094</t>
  </si>
  <si>
    <t>CCL/YKJ/2023/SI2311097</t>
  </si>
  <si>
    <t>CCL/YKJ/2023/SI2311096</t>
  </si>
  <si>
    <t>CCL/YKJ/2023/SI2311164</t>
  </si>
  <si>
    <t>CCL/YKJ/2023/SI2311167</t>
  </si>
  <si>
    <t>CCL/YKJ/2023/SI2311163</t>
  </si>
  <si>
    <t>122300026729517</t>
  </si>
  <si>
    <t>CCL/YTC/2023/SI2311166</t>
  </si>
  <si>
    <t>KGN-23111699</t>
  </si>
  <si>
    <t>122300026730837</t>
  </si>
  <si>
    <t>CCL/YTC/2023/SI2311165</t>
  </si>
  <si>
    <t>KGN-23111700</t>
  </si>
  <si>
    <t>305999006260</t>
  </si>
  <si>
    <t>305999239030</t>
  </si>
  <si>
    <t>28/11/2023</t>
  </si>
  <si>
    <t>10719,92</t>
  </si>
  <si>
    <t>SGNDJ8612800</t>
  </si>
  <si>
    <t>TCLU9727278</t>
  </si>
  <si>
    <t>122300026954858</t>
  </si>
  <si>
    <t>KGN-23111814</t>
  </si>
  <si>
    <t>122300026955211</t>
  </si>
  <si>
    <t>KGN-23111815</t>
  </si>
  <si>
    <t>KGN-23111817</t>
  </si>
  <si>
    <t>PKECLP23B0043</t>
  </si>
  <si>
    <t>KGN-23111892</t>
  </si>
  <si>
    <t>DFSU4366408</t>
  </si>
  <si>
    <t>306027917810</t>
  </si>
  <si>
    <t>306027949050</t>
  </si>
  <si>
    <t>CCL/YKJ/2023/SI2311252</t>
  </si>
  <si>
    <t>CCL/YKJ/2023/SI2311251</t>
  </si>
  <si>
    <t>KGN-23111932</t>
  </si>
  <si>
    <t>306030082760</t>
  </si>
  <si>
    <t>122300026981092</t>
  </si>
  <si>
    <t>CCL/YKJ/2023/SI2311253</t>
  </si>
  <si>
    <t>306030251500</t>
  </si>
  <si>
    <t>122300026982037</t>
  </si>
  <si>
    <t>KGN-23111933</t>
  </si>
  <si>
    <t>CCL/YTC/2023/SI2311254</t>
  </si>
  <si>
    <t>SGNDG5777900</t>
  </si>
  <si>
    <t>KGN-23112016</t>
  </si>
  <si>
    <t>TCLU6450410</t>
  </si>
  <si>
    <t>29/11/2023</t>
  </si>
  <si>
    <t>039DX71293</t>
  </si>
  <si>
    <t>306031948300
306032036020</t>
  </si>
  <si>
    <t>WHSU2384581</t>
  </si>
  <si>
    <t>KGN-23112085</t>
  </si>
  <si>
    <t>ZIMUHCM80368196</t>
  </si>
  <si>
    <t>ZCSU7693709</t>
  </si>
  <si>
    <t>CTOHCM2311604</t>
  </si>
  <si>
    <t>KGN-23120353</t>
  </si>
  <si>
    <t>OOCU8492850</t>
  </si>
  <si>
    <t>306048432600
306048531300</t>
  </si>
  <si>
    <t>WHSU6755000</t>
  </si>
  <si>
    <t>KGN-23120355</t>
  </si>
  <si>
    <t>039DX74974</t>
  </si>
  <si>
    <t>105941408900
105941958511</t>
  </si>
  <si>
    <t>KGN-23120357</t>
  </si>
  <si>
    <t>CSSGN23B0261</t>
  </si>
  <si>
    <t>SEGU5629130</t>
  </si>
  <si>
    <t>ONEYSGNDK5739900</t>
  </si>
  <si>
    <t>KGN-23120361</t>
  </si>
  <si>
    <t>TLLU4815137</t>
  </si>
  <si>
    <t>122300027400655</t>
  </si>
  <si>
    <t>KGN-23120777</t>
  </si>
  <si>
    <t>KGN-23120778</t>
  </si>
  <si>
    <t>KGN-23120779</t>
  </si>
  <si>
    <t>KGN-23120780</t>
  </si>
  <si>
    <t>KGN-23120781</t>
  </si>
  <si>
    <t>PKECLP23C0016</t>
  </si>
  <si>
    <t>13/12/2023</t>
  </si>
  <si>
    <t>KGN-23120800</t>
  </si>
  <si>
    <t>SLSU2087443</t>
  </si>
  <si>
    <t>306064374950
306064336230</t>
  </si>
  <si>
    <t xml:space="preserve">039DX76563 </t>
  </si>
  <si>
    <t>KGN-23120801</t>
  </si>
  <si>
    <t>WHSU2404538</t>
  </si>
  <si>
    <t>16954,49</t>
  </si>
  <si>
    <t>039DX78076</t>
  </si>
  <si>
    <t>KGN-23120802</t>
  </si>
  <si>
    <t>WHSU2220741</t>
  </si>
  <si>
    <t>OOLU2728920750</t>
  </si>
  <si>
    <t xml:space="preserve">CMZ1183574 </t>
  </si>
  <si>
    <t>CAIU3711853</t>
  </si>
  <si>
    <t>105955669040
105955602911</t>
  </si>
  <si>
    <t>CMAU0340279</t>
  </si>
  <si>
    <t>CMZ1183835</t>
  </si>
  <si>
    <t>10865,5</t>
  </si>
  <si>
    <t>CCL/YKJ/2023/SI2312094</t>
  </si>
  <si>
    <t>CCL/YKJ/2023/SI2312096</t>
  </si>
  <si>
    <t>CCL/YKJ/2023/SI2312095</t>
  </si>
  <si>
    <t>CCL/YTC/2023/SI2312097</t>
  </si>
  <si>
    <t>306075055000
306075024420</t>
  </si>
  <si>
    <t>18/12/2023</t>
  </si>
  <si>
    <t>SE231212</t>
  </si>
  <si>
    <t>KGN-23121068</t>
  </si>
  <si>
    <t>SE231211</t>
  </si>
  <si>
    <t>KGN-23121070</t>
  </si>
  <si>
    <t>SEGU6411498</t>
  </si>
  <si>
    <t>PHÍ XIN C/O T12.2023</t>
  </si>
  <si>
    <t>19/12/2023</t>
  </si>
  <si>
    <t>THÁNG 01/2024</t>
  </si>
  <si>
    <t>KGN-23121341</t>
  </si>
  <si>
    <t>KGN-PR-2312538</t>
  </si>
  <si>
    <t>306080964840
306081095410</t>
  </si>
  <si>
    <t>20/12/2023</t>
  </si>
  <si>
    <t>039DX76605</t>
  </si>
  <si>
    <t>WHSU5705216</t>
  </si>
  <si>
    <t>KGN-23121351</t>
  </si>
  <si>
    <t>YMJAI221066521</t>
  </si>
  <si>
    <t>TCNU4754133</t>
  </si>
  <si>
    <t>KGN-23121353</t>
  </si>
  <si>
    <t>PHỤ TÙNG</t>
  </si>
  <si>
    <t>ONEYSGNDK9549500</t>
  </si>
  <si>
    <t>TCNU5992624</t>
  </si>
  <si>
    <t>21/12/2023</t>
  </si>
  <si>
    <t>KKFU7602482</t>
  </si>
  <si>
    <t>KGN-23121391</t>
  </si>
  <si>
    <t>KGN-23121392</t>
  </si>
  <si>
    <t>22/12/2023</t>
  </si>
  <si>
    <t>344,38</t>
  </si>
  <si>
    <t>132300027357138</t>
  </si>
  <si>
    <t>KGN-23121430</t>
  </si>
  <si>
    <t>TK THANH LÝ HỢP ĐỒNG</t>
  </si>
  <si>
    <t>23/12/2023</t>
  </si>
  <si>
    <t>25/12/2023</t>
  </si>
  <si>
    <t>26/12/2023</t>
  </si>
  <si>
    <t>27/12/2023</t>
  </si>
  <si>
    <t>DRYU9692237
GCXU5635331</t>
  </si>
  <si>
    <t>KOCU4084238</t>
  </si>
  <si>
    <t>OOCU8957303</t>
  </si>
  <si>
    <t>DFSU7505739
OOLU4942533</t>
  </si>
  <si>
    <t>23/12/23</t>
  </si>
  <si>
    <t>CCL/YKJ/2023/SI2312195</t>
  </si>
  <si>
    <t>KGN-23121644</t>
  </si>
  <si>
    <t>122300027741319</t>
  </si>
  <si>
    <t>CCL/YKJ/2023/SI2312196</t>
  </si>
  <si>
    <t>KGN-23121646</t>
  </si>
  <si>
    <t>CCL/YKJ/2023/SI2312218</t>
  </si>
  <si>
    <t>KGN-23121699</t>
  </si>
  <si>
    <t>GAOU6342320</t>
  </si>
  <si>
    <t>KOCU4534280</t>
  </si>
  <si>
    <t>KOCU5256394</t>
  </si>
  <si>
    <t>306099179800
306099261920</t>
  </si>
  <si>
    <t>039DX80036</t>
  </si>
  <si>
    <t>WHSU6460078</t>
  </si>
  <si>
    <t>TGBU6356530</t>
  </si>
  <si>
    <t>HMMU6566799</t>
  </si>
  <si>
    <t>CCL/YKJ/2023/SI2312182</t>
  </si>
  <si>
    <t>KGN-23121855</t>
  </si>
  <si>
    <t>KGN-23121856</t>
  </si>
  <si>
    <t>CCL/YTC/2023/SI12312183-S12312217</t>
  </si>
  <si>
    <t>KGN-23121899</t>
  </si>
  <si>
    <t>OOLU1863174</t>
  </si>
  <si>
    <t>28/12/2023</t>
  </si>
  <si>
    <t>KGN-23121901</t>
  </si>
  <si>
    <t>29/12/2023</t>
  </si>
  <si>
    <t xml:space="preserve">NYKU4062210		</t>
  </si>
  <si>
    <t>SEGU4926914</t>
  </si>
  <si>
    <t>ONEYSGNDM3518400</t>
  </si>
  <si>
    <t>10828,04</t>
  </si>
  <si>
    <t>11419,04</t>
  </si>
  <si>
    <t>KGN-24010054</t>
  </si>
  <si>
    <t>KGN-24010056</t>
  </si>
  <si>
    <t>02/01/2024</t>
  </si>
  <si>
    <t>DHCM312055310</t>
  </si>
  <si>
    <t>306112210260
306112305610</t>
  </si>
  <si>
    <t>03/01/2024</t>
  </si>
  <si>
    <t>039DX80038</t>
  </si>
  <si>
    <t>WHSU5037992</t>
  </si>
  <si>
    <t>MD2324SSG3504</t>
  </si>
  <si>
    <t>KGN-24010248</t>
  </si>
  <si>
    <t>SITU2862070
SITU2811468
GAOU2061428
FTAU1177412
TGBU2668340
BEAU2885497
SITU2854310
TLLU3258401
TGBU3154047
SITU2666950</t>
  </si>
  <si>
    <t>KGN-24010266</t>
  </si>
  <si>
    <t>06/1/2024</t>
  </si>
  <si>
    <t>08/01/2024</t>
  </si>
  <si>
    <t>CCLU7499085
TEMU7571584</t>
  </si>
  <si>
    <t>FFAU1795120</t>
  </si>
  <si>
    <t>09/01/2024</t>
  </si>
  <si>
    <t>OOCU7319330</t>
  </si>
  <si>
    <t>PTNCLP23C0005</t>
  </si>
  <si>
    <t>106001873940
106000404160
106000322740</t>
  </si>
  <si>
    <t>KGN-24010530</t>
  </si>
  <si>
    <t>TSSU5000986</t>
  </si>
  <si>
    <t>PKECLP2410012</t>
  </si>
  <si>
    <t>FCIU5293853</t>
  </si>
  <si>
    <t>KGN-24010648</t>
  </si>
  <si>
    <t>15/01/2024</t>
  </si>
  <si>
    <t>KGN-24010890</t>
  </si>
  <si>
    <t>16/01/2024</t>
  </si>
  <si>
    <t>KGN-24010891</t>
  </si>
  <si>
    <t>KGN-24010892</t>
  </si>
  <si>
    <t>KGN-24010893</t>
  </si>
  <si>
    <t>TLLU4186250</t>
  </si>
  <si>
    <t>YMJAW490445682</t>
  </si>
  <si>
    <t>KGN-24010948</t>
  </si>
  <si>
    <t>306146791700
306146705600</t>
  </si>
  <si>
    <t>17/01/2024</t>
  </si>
  <si>
    <t>039DX82795</t>
  </si>
  <si>
    <t>WHSU6005351</t>
  </si>
  <si>
    <t>306145774820
306145802930</t>
  </si>
  <si>
    <t>306145841210
306145872120</t>
  </si>
  <si>
    <t>SE240107</t>
  </si>
  <si>
    <t>SE240108</t>
  </si>
  <si>
    <t>EBKG07686200</t>
  </si>
  <si>
    <t>TRHU2357172</t>
  </si>
  <si>
    <t>KGN-24011036</t>
  </si>
  <si>
    <t>KGN-24011037</t>
  </si>
  <si>
    <t>KGN-24011039</t>
  </si>
  <si>
    <t>CKEHCM2401011OFS</t>
  </si>
  <si>
    <t>CSNU6672131</t>
  </si>
  <si>
    <t>MÁY MÓC</t>
  </si>
  <si>
    <t>CAIU3520570
CSLU1583570
CSNU1846673
DRYU2481588
FCIU3171645
TEMU3057453 
FCIU5243976
TEMU4886211</t>
  </si>
  <si>
    <t>PHÍ XIN C/O T01.2024</t>
  </si>
  <si>
    <t>THÁNG 02/2024</t>
  </si>
  <si>
    <t>KGN-24011063</t>
  </si>
  <si>
    <t>306128676400
306128604260</t>
  </si>
  <si>
    <t>039DX82790</t>
  </si>
  <si>
    <t>WHSU5580700</t>
  </si>
  <si>
    <t>KGN-24011076</t>
  </si>
  <si>
    <t>22/01/2024</t>
  </si>
  <si>
    <t>19/01/2024</t>
  </si>
  <si>
    <t>QDWJ231257209</t>
  </si>
  <si>
    <t>20/01/2024</t>
  </si>
  <si>
    <t>KGN-24011326</t>
  </si>
  <si>
    <t>KGN-24011328</t>
  </si>
  <si>
    <t>106028600530
106028608340</t>
  </si>
  <si>
    <t>KGN-24011337</t>
  </si>
  <si>
    <t>TRHU5526609
DFSU6912642</t>
  </si>
  <si>
    <t>039EX06181</t>
  </si>
  <si>
    <t>WHSU4013830</t>
  </si>
  <si>
    <t>23/01/2024</t>
  </si>
  <si>
    <t>KGN-24011524</t>
  </si>
  <si>
    <t>106045014830
106044970400</t>
  </si>
  <si>
    <t>24/01/2024</t>
  </si>
  <si>
    <t>KGN-24011525</t>
  </si>
  <si>
    <t>PTNCLP2410001</t>
  </si>
  <si>
    <t>FFAU2798232</t>
  </si>
  <si>
    <t>CAIU4415970</t>
  </si>
  <si>
    <t>TGBU9680223
FSCU8760903</t>
  </si>
  <si>
    <t>18/01/2024</t>
  </si>
  <si>
    <t>25/01/2024</t>
  </si>
  <si>
    <t>KAZ00083Y06MFI</t>
  </si>
  <si>
    <t>316.36 KGS/ 2.250 CBM</t>
  </si>
  <si>
    <t>ZIMUHCM80374930</t>
  </si>
  <si>
    <t>CHUYỂN KHO - NEO MOOC 1 NGÀY</t>
  </si>
  <si>
    <t>SGN6272914</t>
  </si>
  <si>
    <t>YMJAE490374223</t>
  </si>
  <si>
    <t>KGN-24011569</t>
  </si>
  <si>
    <t>10998,6</t>
  </si>
  <si>
    <t>TLLU4086375
SEGU6186606</t>
  </si>
  <si>
    <t>22420,8</t>
  </si>
  <si>
    <t>KGN-24011608</t>
  </si>
  <si>
    <t>EBKG07739933</t>
  </si>
  <si>
    <t>27/01/2024</t>
  </si>
  <si>
    <t>MSDU5050848
BSIU2960651</t>
  </si>
  <si>
    <t>WHSU5610240</t>
  </si>
  <si>
    <t>SZXEF24010189075B
SZXEF24010189075A</t>
  </si>
  <si>
    <t>106047475330
106047306740</t>
  </si>
  <si>
    <t>WHLU5589743</t>
  </si>
  <si>
    <t>SZXEF24010190490B
SZXEF24010190490A</t>
  </si>
  <si>
    <t>106053518210
106053474660</t>
  </si>
  <si>
    <t>CCL/YTC/2024/SI2401138</t>
  </si>
  <si>
    <t>CCL/YKJ/2024/SI2401139</t>
  </si>
  <si>
    <t>CCL/YKJ/2024/SI2401141</t>
  </si>
  <si>
    <t>CCL/YKJ/2024/SI2401140</t>
  </si>
  <si>
    <t>CCL/YKJ/2024/SI2401207</t>
  </si>
  <si>
    <t>CCL/YKJ/2024/SI2401208</t>
  </si>
  <si>
    <t>ZIMUHCM80378614</t>
  </si>
  <si>
    <t>29/01/2024</t>
  </si>
  <si>
    <t>WFHU5170164</t>
  </si>
  <si>
    <t>TCKU7787028</t>
  </si>
  <si>
    <t>30/01/2024</t>
  </si>
  <si>
    <t>122400024637226</t>
  </si>
  <si>
    <t>KGN-24020204</t>
  </si>
  <si>
    <t>KGN-24020206</t>
  </si>
  <si>
    <t>BỔ SUNG PHÍ LÀM CO</t>
  </si>
  <si>
    <t>KGN-24020287</t>
  </si>
  <si>
    <t>YMLU3577643</t>
  </si>
  <si>
    <t>GXSAG24016114</t>
  </si>
  <si>
    <t>COAU7247505240I</t>
  </si>
  <si>
    <t>KGN-24020347</t>
  </si>
  <si>
    <t>KGN-24020348</t>
  </si>
  <si>
    <t>TGBU4571106</t>
  </si>
  <si>
    <t>HLBU2140768</t>
  </si>
  <si>
    <t>235400188632</t>
  </si>
  <si>
    <t>TLLU7539259
MAGU5392090
BSIU9455190</t>
  </si>
  <si>
    <t>MRSU5046715</t>
  </si>
  <si>
    <t>COAU7247551920J</t>
  </si>
  <si>
    <t>KGN-24020637</t>
  </si>
  <si>
    <t>KGN-24020638</t>
  </si>
  <si>
    <t>COAU7247551920C</t>
  </si>
  <si>
    <t>NOSNB24CL40404J</t>
  </si>
  <si>
    <t>KGN-24020639</t>
  </si>
  <si>
    <t>20/02/2024</t>
  </si>
  <si>
    <t>21/02/2024</t>
  </si>
  <si>
    <t>PHÍ XIN C/O T02.2024</t>
  </si>
  <si>
    <t>2 PK / 2080 KG /3.49 CBM</t>
  </si>
  <si>
    <t>1 PK/ 120 KG/ 0.38 CBM</t>
  </si>
  <si>
    <t>1 PK/ 720 KG/ 0.65 CBM</t>
  </si>
  <si>
    <t>1 PK/ 3380 KG/ 1.33 CBM</t>
  </si>
  <si>
    <t>2 PK / 960 KG /0.65 CBM</t>
  </si>
  <si>
    <t>THÁNG 03/2024</t>
  </si>
  <si>
    <t>KGN-24020962</t>
  </si>
  <si>
    <t>TGHU4914932</t>
  </si>
  <si>
    <t>22/02/2024</t>
  </si>
  <si>
    <t>039EX06895</t>
  </si>
  <si>
    <t>WHSU5714033</t>
  </si>
  <si>
    <t>306214356620
306214220010</t>
  </si>
  <si>
    <t>KGN-24021024</t>
  </si>
  <si>
    <t>IAAU4685983</t>
  </si>
  <si>
    <t>PKECLP2420022</t>
  </si>
  <si>
    <t>KGN-24021030</t>
  </si>
  <si>
    <t>PKECLP2420024</t>
  </si>
  <si>
    <t>BMOU1027878</t>
  </si>
  <si>
    <t>KGN-24021032</t>
  </si>
  <si>
    <t>PKECLP2420023</t>
  </si>
  <si>
    <t>106091007850
106090065060
106089322030</t>
  </si>
  <si>
    <t>KGN-24021037</t>
  </si>
  <si>
    <t>IAAU2832956</t>
  </si>
  <si>
    <t>FCIU9965302</t>
  </si>
  <si>
    <t>TCKU7663670</t>
  </si>
  <si>
    <t>TGBU5020134</t>
  </si>
  <si>
    <t>26/02/2024</t>
  </si>
  <si>
    <t>28/02/2024</t>
  </si>
  <si>
    <t>KGN-24022046</t>
  </si>
  <si>
    <t>KGN-24022048</t>
  </si>
  <si>
    <t>CCL/YKJ/2024/SI2402014</t>
  </si>
  <si>
    <t>CCL/YKJ/2024/SI2402012</t>
  </si>
  <si>
    <t>CCL/YKJ/2024/SI2402013</t>
  </si>
  <si>
    <t>CCL/YKJ/2024/SI2402123</t>
  </si>
  <si>
    <t>CCL/YKJ/2024/SI2402122</t>
  </si>
  <si>
    <t>WHSU2600588</t>
  </si>
  <si>
    <t>039EX10355</t>
  </si>
  <si>
    <t>306231796900 
306231782420</t>
  </si>
  <si>
    <t>KGN-23121901-BS1</t>
  </si>
  <si>
    <t>039EX11122</t>
  </si>
  <si>
    <t>WHSU5667332</t>
  </si>
  <si>
    <t>ZIMUHCM80385009</t>
  </si>
  <si>
    <t>TGBU5413682</t>
  </si>
  <si>
    <t>TCHCAT24020239</t>
  </si>
  <si>
    <t>624 KGM/ 7.840 CBM</t>
  </si>
  <si>
    <t>306231917410
306231939330</t>
  </si>
  <si>
    <t>039EX10353</t>
  </si>
  <si>
    <t>WHSU2613760</t>
  </si>
  <si>
    <t>5/3/2024</t>
  </si>
  <si>
    <t>KGN-24030287</t>
  </si>
  <si>
    <t>KGN-24030288</t>
  </si>
  <si>
    <t>KGN-24030289</t>
  </si>
  <si>
    <t>04/3/2024</t>
  </si>
  <si>
    <t>026E507146</t>
  </si>
  <si>
    <t>WHSU0190571
WHSU0190381
WHSU0197914
WHSU0199080
WHSU0204269
WHSU0209609
WHSU0209717
WHSU2104910</t>
  </si>
  <si>
    <t>KGN-24030290</t>
  </si>
  <si>
    <t>KGN-24030291</t>
  </si>
  <si>
    <t>KGN-24030294</t>
  </si>
  <si>
    <t>4/3/2024</t>
  </si>
  <si>
    <t>235400329723</t>
  </si>
  <si>
    <t>DFSU7461369</t>
  </si>
  <si>
    <t>039EX14027</t>
  </si>
  <si>
    <t>WHSU6618585</t>
  </si>
  <si>
    <t>05/03/2024</t>
  </si>
  <si>
    <t>06/03/2024</t>
  </si>
  <si>
    <t>306248319660
306248379200
306248476351</t>
  </si>
  <si>
    <t>039EX14424</t>
  </si>
  <si>
    <t>Đ</t>
  </si>
  <si>
    <t>KGN-24030540</t>
  </si>
  <si>
    <t>WHSU6557319</t>
  </si>
  <si>
    <t>FCIU4720776</t>
  </si>
  <si>
    <t>TCKU4628737
UETU4070158</t>
  </si>
  <si>
    <t>11/3/2024</t>
  </si>
  <si>
    <t>13/03/2024</t>
  </si>
  <si>
    <t>KGN-24030874</t>
  </si>
  <si>
    <t>122400025563808</t>
  </si>
  <si>
    <t>KGN-24030875</t>
  </si>
  <si>
    <t>12/3/2024</t>
  </si>
  <si>
    <t>GAOU6504340</t>
  </si>
  <si>
    <t>FFAU1845617</t>
  </si>
  <si>
    <t>CMZ1231758</t>
  </si>
  <si>
    <t>FFAU4206775</t>
  </si>
  <si>
    <t>306265150460
306265294440</t>
  </si>
  <si>
    <t>039EX14430</t>
  </si>
  <si>
    <t>WHSU6743632</t>
  </si>
  <si>
    <t>KGN-24030891</t>
  </si>
  <si>
    <t>1024 KGM / 2.04 CBM</t>
  </si>
  <si>
    <t>306279729510
306279752500</t>
  </si>
  <si>
    <t>19/03/2024</t>
  </si>
  <si>
    <t>039EX19349</t>
  </si>
  <si>
    <t>WHSU2879317</t>
  </si>
  <si>
    <t>KGN-24031444</t>
  </si>
  <si>
    <t>KGN-24031445</t>
  </si>
  <si>
    <t>COAU7248558000M</t>
  </si>
  <si>
    <t>039EX18525</t>
  </si>
  <si>
    <t>20/03/2024</t>
  </si>
  <si>
    <t>039EX16161</t>
  </si>
  <si>
    <t>ZIMUHCM80390615</t>
  </si>
  <si>
    <t>FXLU2077749</t>
  </si>
  <si>
    <t>306282398020
306282592840</t>
  </si>
  <si>
    <t>039EX18160</t>
  </si>
  <si>
    <t>WHSU5452226</t>
  </si>
  <si>
    <t>KGN-24031481</t>
  </si>
  <si>
    <t>PHÍ XIN C/O T03.2024</t>
  </si>
  <si>
    <t>KGN-24031538</t>
  </si>
  <si>
    <t>1 PK / 1100 KG/ 0.65 CBM</t>
  </si>
  <si>
    <t>THÁNG 04/2024</t>
  </si>
  <si>
    <t>21/03/2024</t>
  </si>
  <si>
    <t>22/03/2024</t>
  </si>
  <si>
    <t>ZIMUHCM80389241</t>
  </si>
  <si>
    <t>039EX14018</t>
  </si>
  <si>
    <t>ZCSU6853309</t>
  </si>
  <si>
    <t>25/03/2024</t>
  </si>
  <si>
    <t>ZCSU6504333</t>
  </si>
  <si>
    <t>DFSU7383923
SEGU6291290</t>
  </si>
  <si>
    <t>26/03/2024</t>
  </si>
  <si>
    <t>28/03/2024</t>
  </si>
  <si>
    <t>TEMU1363665</t>
  </si>
  <si>
    <t>CMZ1235787</t>
  </si>
  <si>
    <t>CAIU3449743</t>
  </si>
  <si>
    <t>CMAU1213598</t>
  </si>
  <si>
    <t>CMZ1233424</t>
  </si>
  <si>
    <t>CMAU7626650</t>
  </si>
  <si>
    <t>CMZ1233427</t>
  </si>
  <si>
    <t>106160214900
106160193901</t>
  </si>
  <si>
    <t>27/03/2024</t>
  </si>
  <si>
    <t>KGN-24031954</t>
  </si>
  <si>
    <t>CCL/YKJ/2024/SI2403293</t>
  </si>
  <si>
    <t>KGN-24031955</t>
  </si>
  <si>
    <t>CCL/YKJ/2024/SI2403308</t>
  </si>
  <si>
    <t>KGN-24031956</t>
  </si>
  <si>
    <t>CCL/YKJ/2024/SI2403307</t>
  </si>
  <si>
    <t>CCL/YKJ/2024/SI2403040</t>
  </si>
  <si>
    <t>CCL/YKJ/2024/SI2403042</t>
  </si>
  <si>
    <t>CCL/YKJ/2024/SI2403041</t>
  </si>
  <si>
    <t>CCL/YKJ/2024/SI2403147</t>
  </si>
  <si>
    <t>CCL/YTC/2024/SI2403148</t>
  </si>
  <si>
    <t>WHLU5783580
WHSU5222331</t>
  </si>
  <si>
    <t>306300586710
306300547840</t>
  </si>
  <si>
    <t>039EX18161</t>
  </si>
  <si>
    <t>WHSU5445823</t>
  </si>
  <si>
    <t>106166217250
106165602320</t>
  </si>
  <si>
    <t>OOLU9264721</t>
  </si>
  <si>
    <t>CTOHCM2403565</t>
  </si>
  <si>
    <t>29/03/2024</t>
  </si>
  <si>
    <r>
      <rPr>
        <sz val="12"/>
        <rFont val="Times New Roman"/>
        <family val="1"/>
      </rPr>
      <t>WHSU5698246</t>
    </r>
    <r>
      <rPr>
        <sz val="12"/>
        <color theme="1"/>
        <rFont val="Times New Roman"/>
        <family val="1"/>
      </rPr>
      <t xml:space="preserve">
WHSU5385149</t>
    </r>
  </si>
  <si>
    <r>
      <t xml:space="preserve">GCXU5354479
</t>
    </r>
    <r>
      <rPr>
        <sz val="12"/>
        <rFont val="Times New Roman"/>
        <family val="1"/>
      </rPr>
      <t>WHLU5699442</t>
    </r>
  </si>
  <si>
    <t>MRKU4844868</t>
  </si>
  <si>
    <t>KGN-24040183</t>
  </si>
  <si>
    <t>SGNM95437500</t>
  </si>
  <si>
    <t>TCLU5122648</t>
  </si>
  <si>
    <t>KGN-24040184</t>
  </si>
  <si>
    <t>FSCU8297131</t>
  </si>
  <si>
    <t>KGN-24040187</t>
  </si>
  <si>
    <t>KGN-24040190</t>
  </si>
  <si>
    <t>HMMU6385002</t>
  </si>
  <si>
    <t>CAIU4441270</t>
  </si>
  <si>
    <t>KGN-24040191</t>
  </si>
  <si>
    <t>SGNM43072000</t>
  </si>
  <si>
    <t>CAIU7455425</t>
  </si>
  <si>
    <t>KGN-24040194</t>
  </si>
  <si>
    <t>KGN-24040196</t>
  </si>
  <si>
    <t>306316001960
306316099850</t>
  </si>
  <si>
    <t>039EX21922</t>
  </si>
  <si>
    <t>WHSU5807537</t>
  </si>
  <si>
    <t>KGN-24040198</t>
  </si>
  <si>
    <t>KGN-24040199</t>
  </si>
  <si>
    <t>ZIMUHCM80388197</t>
  </si>
  <si>
    <t>KGN-24040229</t>
  </si>
  <si>
    <t>ZCSU7877080</t>
  </si>
  <si>
    <t>KGN-24040334</t>
  </si>
  <si>
    <t>SGN2115340</t>
  </si>
  <si>
    <t>APHU7009069</t>
  </si>
  <si>
    <t>KGN-24040335</t>
  </si>
  <si>
    <t>CMZ1235786</t>
  </si>
  <si>
    <t>CMAU0567832</t>
  </si>
  <si>
    <t>CMZ1239442</t>
  </si>
  <si>
    <t>TCLU7267384</t>
  </si>
  <si>
    <t>CMZ1232277</t>
  </si>
  <si>
    <t>GESU1250539</t>
  </si>
  <si>
    <t>KGN-24040336</t>
  </si>
  <si>
    <t>KGN-24040337</t>
  </si>
  <si>
    <t>KGN-24040338</t>
  </si>
  <si>
    <t>KGN-24040339</t>
  </si>
  <si>
    <t>122400025603186-1</t>
  </si>
  <si>
    <t>CCL/YTC/2024/SI2404027</t>
  </si>
  <si>
    <t>CCL/YKJ/2024/SI2404026</t>
  </si>
  <si>
    <t>CCL/YKJ/2024/SI2404028</t>
  </si>
  <si>
    <t>CCL/YKJ/2024/SI2404030</t>
  </si>
  <si>
    <t>CCL/YKJ/2024/SI2404029</t>
  </si>
  <si>
    <t>106180866520
106180799430</t>
  </si>
  <si>
    <t>PTNCLP2430006</t>
  </si>
  <si>
    <t>YMMU6645112</t>
  </si>
  <si>
    <t>KGN-24040343</t>
  </si>
  <si>
    <t>GXSAG24037000</t>
  </si>
  <si>
    <t>1 PK / 120 KG/ 0.2 CBM</t>
  </si>
  <si>
    <t>KGN-24040352</t>
  </si>
  <si>
    <t>OOLU2146701840S</t>
  </si>
  <si>
    <t>3 PK / 3120 KG/ 2.28 CBM</t>
  </si>
  <si>
    <t>KGN-24040353</t>
  </si>
  <si>
    <t>EITU9441510</t>
  </si>
  <si>
    <t>KGN-24040380</t>
  </si>
  <si>
    <t>HLBU3261384</t>
  </si>
  <si>
    <t>KGN-24040382</t>
  </si>
  <si>
    <t>FANU3879923</t>
  </si>
  <si>
    <t>KGN-24040383</t>
  </si>
  <si>
    <t>KGN-24040384</t>
  </si>
  <si>
    <t>KGN-24040386</t>
  </si>
  <si>
    <t>SZXEF24030221505</t>
  </si>
  <si>
    <t>TGHU1503814</t>
  </si>
  <si>
    <t>18737-0068-022024</t>
  </si>
  <si>
    <t>KGN-24040401</t>
  </si>
  <si>
    <t>KGN-24040402</t>
  </si>
  <si>
    <t>CMAU4323916</t>
  </si>
  <si>
    <t>SGN2085073</t>
  </si>
  <si>
    <t>DFSU6906568
CSNU8199202</t>
  </si>
  <si>
    <t>KGN-24040631</t>
  </si>
  <si>
    <t>KGN-24040633</t>
  </si>
  <si>
    <t>SGN2096982</t>
  </si>
  <si>
    <t>KGN-24040720</t>
  </si>
  <si>
    <t>CMAU5622491</t>
  </si>
  <si>
    <t>09/04/2024</t>
  </si>
  <si>
    <t>PKECLP2430122</t>
  </si>
  <si>
    <t>KGN-24040723</t>
  </si>
  <si>
    <t>TGHU5288324</t>
  </si>
  <si>
    <t>PKECLP2430123</t>
  </si>
  <si>
    <t>KGN-24040724</t>
  </si>
  <si>
    <t>TLLU6007014</t>
  </si>
  <si>
    <t>KGN-24040725</t>
  </si>
  <si>
    <t>306336594120
306336658040</t>
  </si>
  <si>
    <t>039EX21926</t>
  </si>
  <si>
    <t>WHSU5221783</t>
  </si>
  <si>
    <t>306336725240
306336746130</t>
  </si>
  <si>
    <t>039EX24091</t>
  </si>
  <si>
    <t>KGN-24040729</t>
  </si>
  <si>
    <t>WHLU0496632</t>
  </si>
  <si>
    <t>10/04/2024</t>
  </si>
  <si>
    <t>039EX18572</t>
  </si>
  <si>
    <t>SGNE49134500</t>
  </si>
  <si>
    <t>106191236431
106191304920</t>
  </si>
  <si>
    <t>122400026567597</t>
  </si>
  <si>
    <t>CCL/YKJ/2024/SI2404112</t>
  </si>
  <si>
    <t>KGN-24040971</t>
  </si>
  <si>
    <t>WHLU0561240</t>
  </si>
  <si>
    <t>KGN-24040972</t>
  </si>
  <si>
    <t>FDCU0471227</t>
  </si>
  <si>
    <t>2070 KGM/ 1.555 CBM</t>
  </si>
  <si>
    <t>SZSHCM404154604</t>
  </si>
  <si>
    <t>2 PK/ 2360 KG/ 4.091 CBM</t>
  </si>
  <si>
    <t>KGN-24041032</t>
  </si>
  <si>
    <t>KGN-24041033</t>
  </si>
  <si>
    <t>15/04/2024</t>
  </si>
  <si>
    <t>1 PK / 650 KG/ 0.18 CBM</t>
  </si>
  <si>
    <t>COAU7249121530H</t>
  </si>
  <si>
    <t>16/04/2024</t>
  </si>
  <si>
    <t>ZIMUHCM80395892</t>
  </si>
  <si>
    <t>ZCSU7320900</t>
  </si>
  <si>
    <t>KGN-24041159</t>
  </si>
  <si>
    <t>ZIMUHCM80395655</t>
  </si>
  <si>
    <t>KGN-24041162</t>
  </si>
  <si>
    <t>ZCSU7789863</t>
  </si>
  <si>
    <t>KGN-24041163</t>
  </si>
  <si>
    <t>ZIMUHCM80396843</t>
  </si>
  <si>
    <t>ZCSU7038203
TCNU2523541</t>
  </si>
  <si>
    <t>TCNU2016146</t>
  </si>
  <si>
    <t>EBKG08460223</t>
  </si>
  <si>
    <t>17/04/2024</t>
  </si>
  <si>
    <t>KGN-24041325</t>
  </si>
  <si>
    <t>306354871230
306354967350</t>
  </si>
  <si>
    <t>039EX25064</t>
  </si>
  <si>
    <t>WHSU6676787</t>
  </si>
  <si>
    <t>KGN-24041327</t>
  </si>
  <si>
    <t>YMJAI209489036</t>
  </si>
  <si>
    <t>KGN-24041330</t>
  </si>
  <si>
    <t>YMLU8920781
YMMU6222091</t>
  </si>
  <si>
    <t>KGN-24040340</t>
  </si>
  <si>
    <t>KGN-24040953</t>
  </si>
  <si>
    <t>19/04/2024</t>
  </si>
  <si>
    <t>SGN2124819</t>
  </si>
  <si>
    <t>20/04/2024</t>
  </si>
  <si>
    <t>SZHKHCM240403</t>
  </si>
  <si>
    <t>PHÍ XIN C/O T04.2024</t>
  </si>
  <si>
    <t>THÁNG 05/2024</t>
  </si>
  <si>
    <t>KGN-24041414</t>
  </si>
  <si>
    <t>AHA0285087</t>
  </si>
  <si>
    <t>APHU7379485</t>
  </si>
  <si>
    <t>KGN-24041448</t>
  </si>
  <si>
    <t>KGN-24041520</t>
  </si>
  <si>
    <t>PONU2095839</t>
  </si>
  <si>
    <t>KGN-24041522</t>
  </si>
  <si>
    <t>TCLU7430866</t>
  </si>
  <si>
    <t>NOSNB24CL41090S</t>
  </si>
  <si>
    <t>KGN-24041576</t>
  </si>
  <si>
    <t>2 PK/ 2080 KG/ 3.31 CBM</t>
  </si>
  <si>
    <t>325 KGM/ 1.178 CBM</t>
  </si>
  <si>
    <t>23/04/2024</t>
  </si>
  <si>
    <t>KGN-24041822</t>
  </si>
  <si>
    <t>SGNE62300900</t>
  </si>
  <si>
    <t>KGN-24041823</t>
  </si>
  <si>
    <t>TCNU7539052</t>
  </si>
  <si>
    <t>ZIMUHCM80396911</t>
  </si>
  <si>
    <t>KGN-24041824</t>
  </si>
  <si>
    <t>ZCSU7295541</t>
  </si>
  <si>
    <t>KGN-24041825</t>
  </si>
  <si>
    <t>BEAU5780648</t>
  </si>
  <si>
    <t>24/04/2024</t>
  </si>
  <si>
    <t>039EX25065</t>
  </si>
  <si>
    <t>306369943260
306369991710</t>
  </si>
  <si>
    <t>WHSU2777655</t>
  </si>
  <si>
    <t>306370208560
306371505810</t>
  </si>
  <si>
    <t>039EX25068</t>
  </si>
  <si>
    <t>WHSU2221650</t>
  </si>
  <si>
    <t>KGN-24041832</t>
  </si>
  <si>
    <t>KGN-24041835</t>
  </si>
  <si>
    <t>TCKU6185978</t>
  </si>
  <si>
    <t>KGN-24041840</t>
  </si>
  <si>
    <t>25/04/2024</t>
  </si>
  <si>
    <t>KKFU8024007</t>
  </si>
  <si>
    <t>SGNE62320400</t>
  </si>
  <si>
    <t>SGNEA0372400</t>
  </si>
  <si>
    <t>KGN-24041930</t>
  </si>
  <si>
    <t>PKECLP2440082</t>
  </si>
  <si>
    <t>IAAU4683445</t>
  </si>
  <si>
    <t>KGN-24042003</t>
  </si>
  <si>
    <t>26/04/2024</t>
  </si>
  <si>
    <t>TCLU5548000</t>
  </si>
  <si>
    <t>KGN-24042011</t>
  </si>
  <si>
    <t>COAU7249470590F</t>
  </si>
  <si>
    <t>3 PK/ 5180 KGM/ 1.49 CBM</t>
  </si>
  <si>
    <t>SGNE95936900</t>
  </si>
  <si>
    <t>SGN2122788</t>
  </si>
  <si>
    <t>TCKU2876400</t>
  </si>
  <si>
    <t>TRHU5627137</t>
  </si>
  <si>
    <t>238013269</t>
  </si>
  <si>
    <t>KGN-24050248</t>
  </si>
  <si>
    <t>KGN-24050249</t>
  </si>
  <si>
    <t>KGN-24050281</t>
  </si>
  <si>
    <t>COAU7249470590C</t>
  </si>
  <si>
    <t>KGN-24050496</t>
  </si>
  <si>
    <t>5 PK/ 5160 KGM/ 3.44 CBM</t>
  </si>
  <si>
    <t xml:space="preserve"> TEMU3238662</t>
  </si>
  <si>
    <t>106255913850
106255719360</t>
  </si>
  <si>
    <t>SZXEF24040235645B
SZXEF24040235645A</t>
  </si>
  <si>
    <t>KGN-24050866</t>
  </si>
  <si>
    <t>OOLU2736800090</t>
  </si>
  <si>
    <t>106252236750/E31
106252352030/A12</t>
  </si>
  <si>
    <t>PTNCLP2440003</t>
  </si>
  <si>
    <t>OOLU6984498</t>
  </si>
  <si>
    <t>LLLHCM24417449HK</t>
  </si>
  <si>
    <t>10 PK/ 134.4 KGM/ 0.708 CBM</t>
  </si>
  <si>
    <t>106252995550
106253141961</t>
  </si>
  <si>
    <t>SZXEF24040235646B
SZXEF24040235646A</t>
  </si>
  <si>
    <t xml:space="preserve">GESU3869878 </t>
  </si>
  <si>
    <t>CMAU3427789</t>
  </si>
  <si>
    <t>EBKG08781510</t>
  </si>
  <si>
    <t>BSIU2742990</t>
  </si>
  <si>
    <t>TGCU0223934</t>
  </si>
  <si>
    <t>235400701631</t>
  </si>
  <si>
    <t>TGBU6893781</t>
  </si>
  <si>
    <t>TEMU4359822</t>
  </si>
  <si>
    <t>235400727702</t>
  </si>
  <si>
    <t>235400749056</t>
  </si>
  <si>
    <t>EISU2258890</t>
  </si>
  <si>
    <t>106237227350/E31</t>
  </si>
  <si>
    <t>306403653900/E62
306403706030/B11</t>
  </si>
  <si>
    <t>039EX32633</t>
  </si>
  <si>
    <t>WHSU5599264</t>
  </si>
  <si>
    <t>KGN-24050875</t>
  </si>
  <si>
    <t>KGN-24050876</t>
  </si>
  <si>
    <t>KGN-24050877</t>
  </si>
  <si>
    <t>KGN-24050878</t>
  </si>
  <si>
    <t>KGN-24050879</t>
  </si>
  <si>
    <t>KGN-24050880</t>
  </si>
  <si>
    <t>KGN-24050881</t>
  </si>
  <si>
    <t>KGN-24050882</t>
  </si>
  <si>
    <t>KGN-24050883</t>
  </si>
  <si>
    <t>KGN-24050884</t>
  </si>
  <si>
    <t>KGN-24050885</t>
  </si>
  <si>
    <t>KGN-24050914</t>
  </si>
  <si>
    <t>OOLU2735819320J</t>
  </si>
  <si>
    <t>1 PK / 610 KG/ 0.43 CBM</t>
  </si>
  <si>
    <t>PHÍ XIN C/O T05.2024</t>
  </si>
  <si>
    <t>SGN2116675</t>
  </si>
  <si>
    <t>14/05/2024</t>
  </si>
  <si>
    <t>16/05/2024</t>
  </si>
  <si>
    <t>FCIU9944790</t>
  </si>
  <si>
    <t>15/05/2024</t>
  </si>
  <si>
    <t>306421823800/E62
306422090610/B11</t>
  </si>
  <si>
    <t>039EX32624</t>
  </si>
  <si>
    <t>WHSU6925365</t>
  </si>
  <si>
    <t>KGN-24051273</t>
  </si>
  <si>
    <t>KGN-24051331</t>
  </si>
  <si>
    <t>INKU2642850</t>
  </si>
  <si>
    <t>17/05/2024</t>
  </si>
  <si>
    <t>CCL/YKJ/2024/SI2405175</t>
  </si>
  <si>
    <t>KGN-24051402</t>
  </si>
  <si>
    <t>KGN-24051403</t>
  </si>
  <si>
    <t>CCL/YKJ/2024/SI2405174</t>
  </si>
  <si>
    <t>KGN-24051481</t>
  </si>
  <si>
    <t>THÁNG 06/2024</t>
  </si>
  <si>
    <t>KGN-24051577</t>
  </si>
  <si>
    <t>1 PK/ 450 KGM/ 0.1 CBM</t>
  </si>
  <si>
    <t>EGLV143451685769G</t>
  </si>
  <si>
    <t>21/05/2024</t>
  </si>
  <si>
    <t>SGNM02199800</t>
  </si>
  <si>
    <t>KGN-24051684</t>
  </si>
  <si>
    <t>SEGU5835228</t>
  </si>
  <si>
    <t>KGN-24051685</t>
  </si>
  <si>
    <t>GAOU6157488</t>
  </si>
  <si>
    <t>KGN-24051686</t>
  </si>
  <si>
    <t>TCNU1764077</t>
  </si>
  <si>
    <t>306430693610/E62
306430762540/B11</t>
  </si>
  <si>
    <t>SGN2405042</t>
  </si>
  <si>
    <t>22/05/2024</t>
  </si>
  <si>
    <t>039EX35187</t>
  </si>
  <si>
    <t>306439321810/E62
306439898460/B11</t>
  </si>
  <si>
    <t>WHLU5791348</t>
  </si>
  <si>
    <t>KGN-24051875</t>
  </si>
  <si>
    <t>KGN-24051876</t>
  </si>
  <si>
    <t>KGN-24051877</t>
  </si>
  <si>
    <t>039EX33616</t>
  </si>
  <si>
    <t>ZIMUHCM80399235</t>
  </si>
  <si>
    <t>KGN-24051878</t>
  </si>
  <si>
    <t>106299033520/E31</t>
  </si>
  <si>
    <t>23/05/2024</t>
  </si>
  <si>
    <t>PKECLP2450052</t>
  </si>
  <si>
    <t>IAAU4685670</t>
  </si>
  <si>
    <t>KGN-24051917</t>
  </si>
  <si>
    <t>039EX37422</t>
  </si>
  <si>
    <t>27/05/2024</t>
  </si>
  <si>
    <t>24/05/2024</t>
  </si>
  <si>
    <t>GXSAG24055706</t>
  </si>
  <si>
    <t>KGN-24052323</t>
  </si>
  <si>
    <t>KGN-24052393</t>
  </si>
  <si>
    <t>KSSU1002913</t>
  </si>
  <si>
    <t>KGN-24052394</t>
  </si>
  <si>
    <t>WHSU6762479
WHSU6823574</t>
  </si>
  <si>
    <t>28/05/2024</t>
  </si>
  <si>
    <t>339IN2428759</t>
  </si>
  <si>
    <t>KGN-24052397</t>
  </si>
  <si>
    <t>MSMU5749791</t>
  </si>
  <si>
    <t>LLLHCM24514070HK</t>
  </si>
  <si>
    <t>29/05/2024</t>
  </si>
  <si>
    <t>12 CARTONS/ 161.00 KGS/ 0.742 CBM</t>
  </si>
  <si>
    <t>XUN2405CLI8532</t>
  </si>
  <si>
    <t>1CARTONS/ 877.00 KGS/ 3.612 CBM</t>
  </si>
  <si>
    <t>31/05/2024</t>
  </si>
  <si>
    <t>COAU7250402730K</t>
  </si>
  <si>
    <t>KGN-24052512</t>
  </si>
  <si>
    <t>AHA0288359</t>
  </si>
  <si>
    <t>CMZ1289538</t>
  </si>
  <si>
    <t>TCLU7385793</t>
  </si>
  <si>
    <t>ĐI XE 8T (XEM BÁO GIÁ)</t>
  </si>
  <si>
    <t>306450233150/E62
306458520340/B11</t>
  </si>
  <si>
    <t>039EX35439</t>
  </si>
  <si>
    <t>WHLU5512130</t>
  </si>
  <si>
    <t>039EX42812</t>
  </si>
  <si>
    <t>039EX42813</t>
  </si>
  <si>
    <t>SGN2178847</t>
  </si>
  <si>
    <t>CHUYỂN 1 HĐ 59907 TỪ CÔNG NỢ T03.25 SANG</t>
  </si>
  <si>
    <r>
      <t xml:space="preserve">WHLU5833989
</t>
    </r>
    <r>
      <rPr>
        <sz val="12"/>
        <rFont val="Times New Roman"/>
        <family val="1"/>
      </rPr>
      <t>WHSU5436755</t>
    </r>
  </si>
  <si>
    <t>KGN-24060161</t>
  </si>
  <si>
    <t>APZU3644140</t>
  </si>
  <si>
    <t xml:space="preserve">CULVSHK2422687 </t>
  </si>
  <si>
    <t>TEMU0549001</t>
  </si>
  <si>
    <t>039EX45081</t>
  </si>
  <si>
    <t>KGN-24060212</t>
  </si>
  <si>
    <t>KGN-24060214</t>
  </si>
  <si>
    <t>KGN-24060215</t>
  </si>
  <si>
    <t>HLXU8321821</t>
  </si>
  <si>
    <t>KGN-24060216</t>
  </si>
  <si>
    <t>KGN-24060218</t>
  </si>
  <si>
    <t>WHLU5673941
WHSU5043634</t>
  </si>
  <si>
    <t>KGN-24060219</t>
  </si>
  <si>
    <t>KGN-24060236</t>
  </si>
  <si>
    <t>WHSU5336648
WHSU6119185</t>
  </si>
  <si>
    <t>THÊM PHÍ PS 1TR</t>
  </si>
  <si>
    <t>TRHU4921240</t>
  </si>
  <si>
    <t>039EX45311</t>
  </si>
  <si>
    <t>KGN-24060485</t>
  </si>
  <si>
    <t>TEMU6974369</t>
  </si>
  <si>
    <t>WHSU6630868
WHSU5327013</t>
  </si>
  <si>
    <t>KGN-24060486</t>
  </si>
  <si>
    <t>CMAU4286664</t>
  </si>
  <si>
    <t>KGN-24060488</t>
  </si>
  <si>
    <t>DFSU7645704</t>
  </si>
  <si>
    <t>306476603660/E62
306477202640/B11</t>
  </si>
  <si>
    <t>039EX40829</t>
  </si>
  <si>
    <t>KGN-24060492</t>
  </si>
  <si>
    <t>KGN-24060489</t>
  </si>
  <si>
    <t>KGN-24060493</t>
  </si>
  <si>
    <t>KGN-24060494</t>
  </si>
  <si>
    <t>CSNU6693026</t>
  </si>
  <si>
    <t>PTNCLP2450001</t>
  </si>
  <si>
    <t>NOSNB24CL41810Y</t>
  </si>
  <si>
    <t>NOSNB24CL41810Z</t>
  </si>
  <si>
    <t>11/06/2024</t>
  </si>
  <si>
    <t>MATS7444493000</t>
  </si>
  <si>
    <t>13/06/2024</t>
  </si>
  <si>
    <t>SGN2215649</t>
  </si>
  <si>
    <t>EBKG08979358</t>
  </si>
  <si>
    <t>14/06/2024</t>
  </si>
  <si>
    <t>KGN-24060567</t>
  </si>
  <si>
    <t>KGN-24060571</t>
  </si>
  <si>
    <t>039EX40828</t>
  </si>
  <si>
    <t>12/06/2024</t>
  </si>
  <si>
    <t>MATU2686913</t>
  </si>
  <si>
    <t>ZIMUHCM80415789</t>
  </si>
  <si>
    <t>KGN-24060788</t>
  </si>
  <si>
    <t>306494407500/B11
306494412030/E62</t>
  </si>
  <si>
    <t>WHSU6007950</t>
  </si>
  <si>
    <t>18/06/2024</t>
  </si>
  <si>
    <t>08/06/2024</t>
  </si>
  <si>
    <t>CMZ1289523</t>
  </si>
  <si>
    <t>TRHU6377135</t>
  </si>
  <si>
    <t>KGN-24060841</t>
  </si>
  <si>
    <t>CMAU9502262</t>
  </si>
  <si>
    <t>BEAU6332782</t>
  </si>
  <si>
    <t>NGÀY ĐÓNG/GIAO HÀNG</t>
  </si>
  <si>
    <t>THEO DÕI HÀNG HÓA TẠM ỨNG, THANH TOÁN, ĐIỀU XE  - CHÍNH NGUYÊN</t>
  </si>
  <si>
    <t>WHSU6538427</t>
  </si>
  <si>
    <t>CSSGN2460055</t>
  </si>
  <si>
    <t>KGN-24060887</t>
  </si>
  <si>
    <t>KGN-24060889</t>
  </si>
  <si>
    <t>KGN-24060891</t>
  </si>
  <si>
    <t>039EX41006</t>
  </si>
  <si>
    <t>039EX41005</t>
  </si>
  <si>
    <t>106353989600/E31
106354090620/A12</t>
  </si>
  <si>
    <t>YMJAI209493945</t>
  </si>
  <si>
    <t>17/06/2024</t>
  </si>
  <si>
    <t>306509727330/E62
306509761150/B11</t>
  </si>
  <si>
    <t>WHSU2639980</t>
  </si>
  <si>
    <t>KGN-24061157</t>
  </si>
  <si>
    <t>306509367530/E62
306509355630/B11</t>
  </si>
  <si>
    <t>WHSU2021544</t>
  </si>
  <si>
    <t>KGN-24061162</t>
  </si>
  <si>
    <t>KGN-24061165</t>
  </si>
  <si>
    <t>KGN-24061168</t>
  </si>
  <si>
    <t>CULU1944995</t>
  </si>
  <si>
    <t>20/06/2024</t>
  </si>
  <si>
    <t>SZXEF24060259694A
 SZXEF24060259694B</t>
  </si>
  <si>
    <t>106358415000
 106358325621</t>
  </si>
  <si>
    <t>19/06/2024</t>
  </si>
  <si>
    <t>306511950530/E62</t>
  </si>
  <si>
    <t>SGN2406028</t>
  </si>
  <si>
    <t>MSMU8717062</t>
  </si>
  <si>
    <t>KGN-24061325</t>
  </si>
  <si>
    <t>KGN-24061327</t>
  </si>
  <si>
    <t>PHÍ XIN C/O T06.2024</t>
  </si>
  <si>
    <t>KGN-24061334</t>
  </si>
  <si>
    <t>1 PK / 140 KGM / 0.38 CBM</t>
  </si>
  <si>
    <t>1 PK/ 1020 KGM / 0.28 CBM</t>
  </si>
  <si>
    <t>1 PK / 800 KGM / 0.13 CBM</t>
  </si>
  <si>
    <t>2 PK / 2180 KGM / 1.8 CBM</t>
  </si>
  <si>
    <t>FSCU8569517</t>
  </si>
  <si>
    <t>KGN-24061449</t>
  </si>
  <si>
    <t>KGN-24061446</t>
  </si>
  <si>
    <t>21/06/2024</t>
  </si>
  <si>
    <t>CMZ1334398</t>
  </si>
  <si>
    <t>CMAU2206130</t>
  </si>
  <si>
    <t>TRỪ 1,428,000 PHÍ BỐC XẾP</t>
  </si>
  <si>
    <t>KGN-24061528</t>
  </si>
  <si>
    <t xml:space="preserve">039EX50633 </t>
  </si>
  <si>
    <t>24/06/2024</t>
  </si>
  <si>
    <t>039EX49221</t>
  </si>
  <si>
    <t>25/06/2024</t>
  </si>
  <si>
    <t>26/06/2024</t>
  </si>
  <si>
    <t>106316020900/E31
106319515151/A12</t>
  </si>
  <si>
    <t>A59E016779</t>
  </si>
  <si>
    <t>THÁNG 07/2024</t>
  </si>
  <si>
    <t>WHSU6016058</t>
  </si>
  <si>
    <t>KGN-24061680</t>
  </si>
  <si>
    <t>10H 02/07/2024 CÁT LÁI</t>
  </si>
  <si>
    <t>CL</t>
  </si>
  <si>
    <t>08H 27/06/2024</t>
  </si>
  <si>
    <t>08H 28/06/2024</t>
  </si>
  <si>
    <t>10H 30/06/2024</t>
  </si>
  <si>
    <t>KGN-24061747</t>
  </si>
  <si>
    <t>KGN-24061748</t>
  </si>
  <si>
    <t>TEMU2558147</t>
  </si>
  <si>
    <t>306529261420/E62
306529255010/B11</t>
  </si>
  <si>
    <r>
      <t xml:space="preserve">WHSU6654746
</t>
    </r>
    <r>
      <rPr>
        <sz val="12"/>
        <color rgb="FFFF0000"/>
        <rFont val="Times New Roman"/>
        <family val="1"/>
      </rPr>
      <t>WHSU5763486</t>
    </r>
  </si>
  <si>
    <t>IAAU1781176</t>
  </si>
  <si>
    <t>UETU2500666</t>
  </si>
  <si>
    <t>KGN-24061821</t>
  </si>
  <si>
    <t>HWNBCLI2400016</t>
  </si>
  <si>
    <t>NGÀY GIAO HÀNG</t>
  </si>
  <si>
    <t>5 PK/ 5830 KGM/ 3.470 CBM</t>
  </si>
  <si>
    <t>PÁT TAY CẦM</t>
  </si>
  <si>
    <t>CHI TIẾT</t>
  </si>
  <si>
    <t>ETA</t>
  </si>
  <si>
    <t>01/07/2024</t>
  </si>
  <si>
    <t>27/06/2024</t>
  </si>
  <si>
    <t>SE240703</t>
  </si>
  <si>
    <t>306532510340/E62
306532550240/B11</t>
  </si>
  <si>
    <t>09H 28/06/2024 CL-K5</t>
  </si>
  <si>
    <t>02/07/2024</t>
  </si>
  <si>
    <t>03/07/2024</t>
  </si>
  <si>
    <t>SGNEJ2356800</t>
  </si>
  <si>
    <t xml:space="preserve">17H 03/07/2024 </t>
  </si>
  <si>
    <t>22H 05/07/2024</t>
  </si>
  <si>
    <r>
      <rPr>
        <sz val="12"/>
        <rFont val="Times New Roman"/>
        <family val="1"/>
      </rPr>
      <t>BMOU6333171</t>
    </r>
    <r>
      <rPr>
        <sz val="12"/>
        <color rgb="FFFF0000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SEGU6466274</t>
    </r>
    <r>
      <rPr>
        <sz val="12"/>
        <color rgb="FFFF0000"/>
        <rFont val="Times New Roman"/>
        <family val="1"/>
      </rPr>
      <t xml:space="preserve">
</t>
    </r>
    <r>
      <rPr>
        <sz val="12"/>
        <color theme="1"/>
        <rFont val="Times New Roman"/>
        <family val="1"/>
      </rPr>
      <t>YMMU6631905</t>
    </r>
  </si>
  <si>
    <t>KGN-24070057</t>
  </si>
  <si>
    <t xml:space="preserve">Xuất </t>
  </si>
  <si>
    <t>INV NO</t>
  </si>
  <si>
    <t>SL-CU.009/2024</t>
  </si>
  <si>
    <t>KHÁCH HÀNG</t>
  </si>
  <si>
    <t>CONG TY TNHH CUORI VIETNAM</t>
  </si>
  <si>
    <t>Xuất</t>
  </si>
  <si>
    <t>CONG TY TNHH VACPRO VIETNAM</t>
  </si>
  <si>
    <t>LLLHCM24617065HK</t>
  </si>
  <si>
    <t>CL-K3</t>
  </si>
  <si>
    <t>28/06/2024</t>
  </si>
  <si>
    <t>UACU5706872</t>
  </si>
  <si>
    <t xml:space="preserve">FFAU3124836 </t>
  </si>
  <si>
    <t>039EX57654</t>
  </si>
  <si>
    <t xml:space="preserve">10H 09/07/2024 </t>
  </si>
  <si>
    <t>MEL24070109</t>
  </si>
  <si>
    <t>10H 08/07/2024 CL-K1</t>
  </si>
  <si>
    <t>08/07/2024</t>
  </si>
  <si>
    <t xml:space="preserve"> SL-LD.018/2024 </t>
  </si>
  <si>
    <t>CÔNG TY TNHH LEADER ELECTRIC APPLIANCE </t>
  </si>
  <si>
    <t>MPKECLP2460075</t>
  </si>
  <si>
    <t>YMMU4083309 TGCU5037953</t>
  </si>
  <si>
    <t xml:space="preserve">10H 16/07/2024 </t>
  </si>
  <si>
    <t>09/07/2024</t>
  </si>
  <si>
    <t>09H 11/07/2024</t>
  </si>
  <si>
    <t>SZXEF24060263848A
SZXEF24060263848B</t>
  </si>
  <si>
    <t>GLDU3527737</t>
  </si>
  <si>
    <t>106397112362
106397322251</t>
  </si>
  <si>
    <t>306552629960/B11</t>
  </si>
  <si>
    <t>KGN-24070480</t>
  </si>
  <si>
    <t>KGN-24070481</t>
  </si>
  <si>
    <t>KGN-24070482</t>
  </si>
  <si>
    <t>KGN-24070483</t>
  </si>
  <si>
    <t>KGN-24070492</t>
  </si>
  <si>
    <t>KGN-24070494</t>
  </si>
  <si>
    <t>KGN-24070495</t>
  </si>
  <si>
    <t>KGN-24070496</t>
  </si>
  <si>
    <t>06/07/2024</t>
  </si>
  <si>
    <t>04/07/2024</t>
  </si>
  <si>
    <t>YMJAI209497659</t>
  </si>
  <si>
    <t>CAIU6551487</t>
  </si>
  <si>
    <t>10/07/2024</t>
  </si>
  <si>
    <t>WHSU6538140</t>
  </si>
  <si>
    <t>KGN-24070551</t>
  </si>
  <si>
    <t>306560481530/E62
306560455410/B11</t>
  </si>
  <si>
    <t>106399009250/A12  
106400886210/E31 
106400966600/E31</t>
  </si>
  <si>
    <t>SE240705</t>
  </si>
  <si>
    <t>12H 11/07/2024</t>
  </si>
  <si>
    <t>PTNCLP2460004</t>
  </si>
  <si>
    <t>YMMU6894162</t>
  </si>
  <si>
    <t>KGN-24070664</t>
  </si>
  <si>
    <t>HẠT NHỰA ABS</t>
  </si>
  <si>
    <t>306562392160/E62
306562396400/B11</t>
  </si>
  <si>
    <t>KGN-24070666</t>
  </si>
  <si>
    <t>TCKU4384878</t>
  </si>
  <si>
    <t>KGN-24070722</t>
  </si>
  <si>
    <t xml:space="preserve">15/07/2024 </t>
  </si>
  <si>
    <t>12/07/2024</t>
  </si>
  <si>
    <t>11/07/2024</t>
  </si>
  <si>
    <t>SL-LD.019/2024</t>
  </si>
  <si>
    <t>EBKG09506617</t>
  </si>
  <si>
    <t>13/07/2024</t>
  </si>
  <si>
    <t>039EX53350</t>
  </si>
  <si>
    <t>SZXEF24060263847</t>
  </si>
  <si>
    <t>TCLU6949630</t>
  </si>
  <si>
    <t>17H 13/07/2024</t>
  </si>
  <si>
    <t>ICD PL</t>
  </si>
  <si>
    <t>306574996950</t>
  </si>
  <si>
    <t>ICD PL3</t>
  </si>
  <si>
    <t>KGN-24070921</t>
  </si>
  <si>
    <t>039EX55106</t>
  </si>
  <si>
    <t>039EX55107</t>
  </si>
  <si>
    <t>WHSU5398980</t>
  </si>
  <si>
    <t xml:space="preserve">TK TÁI NHẬP </t>
  </si>
  <si>
    <t>NGÀY TK</t>
  </si>
  <si>
    <t>NGƯỜI SỬA CHỮA</t>
  </si>
  <si>
    <t>TK TẠM XUẤT</t>
  </si>
  <si>
    <t xml:space="preserve">NGÀY TK </t>
  </si>
  <si>
    <t>Chính Nguyên</t>
  </si>
  <si>
    <t>CHÚ Ý: HÀNG TÁI XUẤT SỬA CHỮA, KHI TÁI NHẬP NẾU CÓ PHÍ SỬA CHƯA THÌ CHỈ TÍNH THUẾ NHẬP KHẨU PHẦN PHÍ SỬA CHỮA, VAT MIỄN</t>
  </si>
  <si>
    <t>TRƯỜNG HỢP CÓ THAY THẾ LINH KIỆN VÀ CÓ GIÁ LINH KIỆN THÌ TÁCH TỜ KHAI KHAI A12 CHO LINH KIỆN THAY THẾ ĐÓ.</t>
  </si>
  <si>
    <t xml:space="preserve">106415838910/G51 
</t>
  </si>
  <si>
    <t>106415748720/G51</t>
  </si>
  <si>
    <t>306063563540</t>
  </si>
  <si>
    <t>31/12/2023</t>
  </si>
  <si>
    <t>13/12/2024</t>
  </si>
  <si>
    <t>QUÁ THỜI HẠN</t>
  </si>
  <si>
    <t>THỜI HẠN ĐẾN</t>
  </si>
  <si>
    <t>05/03/2025</t>
  </si>
  <si>
    <t>306248476351</t>
  </si>
  <si>
    <t>6/3/2024</t>
  </si>
  <si>
    <t>KGN-24071042</t>
  </si>
  <si>
    <t>306576238420/E62
306576264060/B11</t>
  </si>
  <si>
    <t>15/07/2024</t>
  </si>
  <si>
    <t>SỐ KIỆN</t>
  </si>
  <si>
    <t>PNK</t>
  </si>
  <si>
    <t>SL-VA.020/2024</t>
  </si>
  <si>
    <t>SL-VA.019/2024</t>
  </si>
  <si>
    <t>19/07/2024</t>
  </si>
  <si>
    <t>KGN-24071097</t>
  </si>
  <si>
    <t>SEGU5575814</t>
  </si>
  <si>
    <t>00000061</t>
  </si>
  <si>
    <t>Xanh</t>
  </si>
  <si>
    <t>00000058</t>
  </si>
  <si>
    <t>00000059</t>
  </si>
  <si>
    <t>00000057</t>
  </si>
  <si>
    <t>00000056</t>
  </si>
  <si>
    <t>00000060</t>
  </si>
  <si>
    <t>SL-CU.010/2024</t>
  </si>
  <si>
    <t>SL-VA.021/2024</t>
  </si>
  <si>
    <t>17/07/2024</t>
  </si>
  <si>
    <t xml:space="preserve">1PK / 75KGM / 0.3CBM </t>
  </si>
  <si>
    <t>HWCLI2401128</t>
  </si>
  <si>
    <t xml:space="preserve">1PK / 940KGM / 0.25CBM </t>
  </si>
  <si>
    <t>KHUÔN THÉP</t>
  </si>
  <si>
    <t>HWNBCLI2400019</t>
  </si>
  <si>
    <t>HWNBCLI2400018</t>
  </si>
  <si>
    <t>KGN-24071230</t>
  </si>
  <si>
    <t>18/07/2024</t>
  </si>
  <si>
    <t>00000062</t>
  </si>
  <si>
    <t>16/07/2024</t>
  </si>
  <si>
    <t>KGN-24071212</t>
  </si>
  <si>
    <t>KGN-24071309</t>
  </si>
  <si>
    <t>KGN-24071343</t>
  </si>
  <si>
    <t>ZIMUHCM80429902</t>
  </si>
  <si>
    <t>235401401550</t>
  </si>
  <si>
    <t>22/07/2024</t>
  </si>
  <si>
    <t>GHOC24061439</t>
  </si>
  <si>
    <t>WHSU2974227</t>
  </si>
  <si>
    <t>WHSU5117737</t>
  </si>
  <si>
    <t>15H 22/07/2024</t>
  </si>
  <si>
    <t>20/07/2024</t>
  </si>
  <si>
    <t xml:space="preserve">KGN-24071460 </t>
  </si>
  <si>
    <t>SL-LD.020/2024</t>
  </si>
  <si>
    <t>SL-VA.022/2024</t>
  </si>
  <si>
    <t>00000063</t>
  </si>
  <si>
    <t>23/07/2024</t>
  </si>
  <si>
    <t>KGN-24071509</t>
  </si>
  <si>
    <t>306588051950/ E62
306588118600/B11</t>
  </si>
  <si>
    <t>KGN-24071510</t>
  </si>
  <si>
    <t>KGN-24071511</t>
  </si>
  <si>
    <t>SNLEXMVL001526</t>
  </si>
  <si>
    <t>DFSU3096000
SNBU2381559
SNCU2925980
SNBU2278664
DFSU1990750
SNBU2375828
SNBU2312795
SNCU2922615
SNCU2947207
TEMU0604074
SNBU2297999
SNBU2286166</t>
  </si>
  <si>
    <t>EITU0078208</t>
  </si>
  <si>
    <t>PTNCLP2470003</t>
  </si>
  <si>
    <t>FFAU1504061</t>
  </si>
  <si>
    <t>24/07/2024</t>
  </si>
  <si>
    <t>039EX58201</t>
  </si>
  <si>
    <t>KEO</t>
  </si>
  <si>
    <t xml:space="preserve">5PK / 5200KGM / 8.75CBM </t>
  </si>
  <si>
    <t>00000064</t>
  </si>
  <si>
    <t>PHÍ XIN C/O T07.2024</t>
  </si>
  <si>
    <t>THÁNG 08/2024</t>
  </si>
  <si>
    <t>PHÍ TK XUẤT TC</t>
  </si>
  <si>
    <t>PHÍ CHUYỂN CONT T07.2024</t>
  </si>
  <si>
    <t>KGN-24071636</t>
  </si>
  <si>
    <t>KGN-24071637</t>
  </si>
  <si>
    <t>HẠT NHỰA</t>
  </si>
  <si>
    <t>SP ITC</t>
  </si>
  <si>
    <t>26 CT/ 255 KGM/ 1.373 CBM</t>
  </si>
  <si>
    <t>`</t>
  </si>
  <si>
    <t>106414765110
106414735820</t>
  </si>
  <si>
    <t>3 XE - TÍNH XE 8T</t>
  </si>
  <si>
    <t>KGN-24071683</t>
  </si>
  <si>
    <t>25/07/2024</t>
  </si>
  <si>
    <t>ZIMUHCM80429909</t>
  </si>
  <si>
    <t>EBKG09647537</t>
  </si>
  <si>
    <t>22H 28/07/2024</t>
  </si>
  <si>
    <t>MEDU3958715</t>
  </si>
  <si>
    <t>306590283660/ B11
306590284400/E62</t>
  </si>
  <si>
    <t>306601570350/E62
306601576650/B11</t>
  </si>
  <si>
    <t>HWNBCLI2400020</t>
  </si>
  <si>
    <t>1 PK/ 1350 KGM/ 0.8 CBM</t>
  </si>
  <si>
    <t>WHSU5461784</t>
  </si>
  <si>
    <t>KGN-24071780</t>
  </si>
  <si>
    <t>9H 27/07/2024</t>
  </si>
  <si>
    <t>FSCU8095110</t>
  </si>
  <si>
    <t>CLGN</t>
  </si>
  <si>
    <t xml:space="preserve">14H 26/07/2024 </t>
  </si>
  <si>
    <t>106445213453/A12
106445257440/H11</t>
  </si>
  <si>
    <t>KGN-24071891</t>
  </si>
  <si>
    <t>KGN-24071898</t>
  </si>
  <si>
    <t>KGN-24071899</t>
  </si>
  <si>
    <t>KGN-24071900</t>
  </si>
  <si>
    <t>26/07/2024 - CFS PHÚ HỮU</t>
  </si>
  <si>
    <t>KGN-24071912</t>
  </si>
  <si>
    <t>KGN-24071913</t>
  </si>
  <si>
    <t>MSDU8853761</t>
  </si>
  <si>
    <t>2 XE - TÍNH XE 8T</t>
  </si>
  <si>
    <t>02/08/2024</t>
  </si>
  <si>
    <t>31/07/2024</t>
  </si>
  <si>
    <t>039EX63022</t>
  </si>
  <si>
    <t>29/07/2024</t>
  </si>
  <si>
    <t>00000065</t>
  </si>
  <si>
    <t>SL-VA.023/2024</t>
  </si>
  <si>
    <t>116</t>
  </si>
  <si>
    <r>
      <t xml:space="preserve">ZCSU7123352
</t>
    </r>
    <r>
      <rPr>
        <sz val="12"/>
        <rFont val="Times New Roman"/>
        <family val="1"/>
      </rPr>
      <t>TRHU6115644</t>
    </r>
  </si>
  <si>
    <t>GLNL24072464</t>
  </si>
  <si>
    <t>HWNBCLI2400021</t>
  </si>
  <si>
    <t>1 PK/ 100 KGM/ 0.3 CBM</t>
  </si>
  <si>
    <t>SL-CU.011/2024</t>
  </si>
  <si>
    <t>WHSU6284488
WHSU5895862</t>
  </si>
  <si>
    <t>21H 04/08/2024</t>
  </si>
  <si>
    <t>KGN-24072355</t>
  </si>
  <si>
    <t>KGN-24080004</t>
  </si>
  <si>
    <t>02/08/2024 - CFS PHÚ HỮU</t>
  </si>
  <si>
    <t>01 CO</t>
  </si>
  <si>
    <t>9 TK</t>
  </si>
  <si>
    <t>YMJAW490461624</t>
  </si>
  <si>
    <t>039EX61755</t>
  </si>
  <si>
    <t>YMLU3555428</t>
  </si>
  <si>
    <t xml:space="preserve">22H 04/08/2024 </t>
  </si>
  <si>
    <t>ICD PL 3</t>
  </si>
  <si>
    <t>KGN-24080075</t>
  </si>
  <si>
    <t>07/08/2024</t>
  </si>
  <si>
    <t>00000066</t>
  </si>
  <si>
    <t>00000068</t>
  </si>
  <si>
    <t>SL-VA.024/2024</t>
  </si>
  <si>
    <t>05/08/2024</t>
  </si>
  <si>
    <t xml:space="preserve">ZIMUHCM80436061 </t>
  </si>
  <si>
    <t>06/08/2024</t>
  </si>
  <si>
    <t>ZIMUHCM80440240</t>
  </si>
  <si>
    <t>08/08/2024</t>
  </si>
  <si>
    <t>ZIMUHCM80440672</t>
  </si>
  <si>
    <t>SGNEP5745500</t>
  </si>
  <si>
    <t>22h 07/08/2024</t>
  </si>
  <si>
    <t xml:space="preserve">18H 09/08/2024  </t>
  </si>
  <si>
    <t>12/08/2024</t>
  </si>
  <si>
    <t>039EX61753</t>
  </si>
  <si>
    <t>039EX61756</t>
  </si>
  <si>
    <t>SL-VA.025/2024</t>
  </si>
  <si>
    <t>CONG TY YONGJIN VIET NAM</t>
  </si>
  <si>
    <t>00001084</t>
  </si>
  <si>
    <t>YJZY-240701</t>
  </si>
  <si>
    <t>21 PP</t>
  </si>
  <si>
    <t>NHÀ XUẤT KHẨU</t>
  </si>
  <si>
    <t>THEO DÕI HÀNG NHẬP TẠI CHỖ 2024 - CHÍNH NGUYÊN</t>
  </si>
  <si>
    <t>MST: 3700650295</t>
  </si>
  <si>
    <t>106415748721/G51
106415838911/G51 
106415974341/A12
106416028240/E31</t>
  </si>
  <si>
    <t>106451222953/A12
106451244430/E31</t>
  </si>
  <si>
    <t>00000069</t>
  </si>
  <si>
    <t>106476232660/A12</t>
  </si>
  <si>
    <t>CAAU5440280</t>
  </si>
  <si>
    <t>SEGU5679608
ZCSU7335921</t>
  </si>
  <si>
    <t>KGN-24080437</t>
  </si>
  <si>
    <t>KGN-24080440</t>
  </si>
  <si>
    <t>CONG TY TNHH DECHANG VIETNAM</t>
  </si>
  <si>
    <t>SL-DE.009 2024</t>
  </si>
  <si>
    <t>SL-LD.021.2024</t>
  </si>
  <si>
    <t>11H 10/08/2024</t>
  </si>
  <si>
    <t>TLLU5462780</t>
  </si>
  <si>
    <t>ZCSU7254286</t>
  </si>
  <si>
    <t>00000070</t>
  </si>
  <si>
    <t>KGN-24080541</t>
  </si>
  <si>
    <t>KGN-24080542</t>
  </si>
  <si>
    <t>7/8/2024</t>
  </si>
  <si>
    <t>10/08/2024</t>
  </si>
  <si>
    <t>15/08/2024</t>
  </si>
  <si>
    <t>PTNCLP2470006</t>
  </si>
  <si>
    <t>22H 16/08/2024</t>
  </si>
  <si>
    <t>09/08/2024</t>
  </si>
  <si>
    <t>SL-LD.022.2024</t>
  </si>
  <si>
    <t>00000071</t>
  </si>
  <si>
    <t>LINH KIỆN KHUÔN</t>
  </si>
  <si>
    <t>WHSU5554130</t>
  </si>
  <si>
    <t>WHSU5174510</t>
  </si>
  <si>
    <t>9H 15/08/2024</t>
  </si>
  <si>
    <t>306647885040/B11
306647924020/E62</t>
  </si>
  <si>
    <t>306650256900/B11
306650261910/E62</t>
  </si>
  <si>
    <t>00000072</t>
  </si>
  <si>
    <t>13/08/2024</t>
  </si>
  <si>
    <t>CXGSEHCM24070316</t>
  </si>
  <si>
    <t>KGN-24080442</t>
  </si>
  <si>
    <t>KGN-24080689</t>
  </si>
  <si>
    <t>KGN-24080690</t>
  </si>
  <si>
    <t>KGN-24080691</t>
  </si>
  <si>
    <t>XE 8T</t>
  </si>
  <si>
    <t>KGN-24080735</t>
  </si>
  <si>
    <t xml:space="preserve">YMJAN490386803 </t>
  </si>
  <si>
    <t>039EX65067</t>
  </si>
  <si>
    <t>14/08/2024</t>
  </si>
  <si>
    <t xml:space="preserve">16H 17/08/2024 </t>
  </si>
  <si>
    <t xml:space="preserve">23H 17/08/2024  </t>
  </si>
  <si>
    <t>KGN-24080753</t>
  </si>
  <si>
    <t>039EX64939</t>
  </si>
  <si>
    <t>106493939200/E31
106493920741/A12</t>
  </si>
  <si>
    <t>WHSU6452051</t>
  </si>
  <si>
    <t>BỔ SUNG PHÍ LÀM C/O AANZ</t>
  </si>
  <si>
    <t>BỔ SUNG PHÍ LÀM C/O B</t>
  </si>
  <si>
    <t>BEAU4301735
YMMU6755275</t>
  </si>
  <si>
    <t>COAU7252402200</t>
  </si>
  <si>
    <t>FCIU5593228
CSNU1274773
OOLU0629855
CSLU2346470
TEMU3078950
FCIU5059064
DFSU2917728
CBHU4260590
TGBU3127870
FCIU4767140
FCIU5848817
TEMU3517008
FCIU5115300</t>
  </si>
  <si>
    <t>00000073</t>
  </si>
  <si>
    <t>SL-VA.026.2024</t>
  </si>
  <si>
    <t>WHLU5776596
WHSU6368151</t>
  </si>
  <si>
    <t>TGHU5324442</t>
  </si>
  <si>
    <t>306659814220/E62
306659834960/B11</t>
  </si>
  <si>
    <t>WHSU5750895</t>
  </si>
  <si>
    <t>KGN-24080944</t>
  </si>
  <si>
    <t>KGN-24080945</t>
  </si>
  <si>
    <t>KGN-24080946</t>
  </si>
  <si>
    <t>KGN-24080948</t>
  </si>
  <si>
    <t>TÍNH 500K NEO + 530 PHÍ GRAB</t>
  </si>
  <si>
    <t>16/08/2024</t>
  </si>
  <si>
    <t>SZXEF24070274261</t>
  </si>
  <si>
    <t>106497623410
106496854221</t>
  </si>
  <si>
    <t>CMAU0343004</t>
  </si>
  <si>
    <t>KGN-24081060</t>
  </si>
  <si>
    <t>PTNCLP2480005</t>
  </si>
  <si>
    <t>19/08/2024</t>
  </si>
  <si>
    <t>SL-CU.012/2024</t>
  </si>
  <si>
    <t>SGNEQ1616600</t>
  </si>
  <si>
    <t>ICD PHÚC LONG</t>
  </si>
  <si>
    <t>17/08/2024</t>
  </si>
  <si>
    <t>00000074</t>
  </si>
  <si>
    <t>039EX67925</t>
  </si>
  <si>
    <t>23/08/2024</t>
  </si>
  <si>
    <t>20/08/2024</t>
  </si>
  <si>
    <t>FFAU3630351</t>
  </si>
  <si>
    <t>00000075</t>
  </si>
  <si>
    <t>SL-VA.027.2024</t>
  </si>
  <si>
    <t>CÔNG TY TNHH SẢN XUấT THƯƠNG MẠI NHỰA SONG LONG VIệT NAM</t>
  </si>
  <si>
    <t>21/08/2024</t>
  </si>
  <si>
    <t>ZIMUHCM80443903</t>
  </si>
  <si>
    <t>22H 21/08/2024</t>
  </si>
  <si>
    <t>18H 28/08/2024</t>
  </si>
  <si>
    <t>106507780630/E31
106507783800/A12</t>
  </si>
  <si>
    <t>SEGU5389240</t>
  </si>
  <si>
    <t>KGN-24081266</t>
  </si>
  <si>
    <t>KGN-24081267</t>
  </si>
  <si>
    <t>00000076</t>
  </si>
  <si>
    <t>SL-LD.023.2024</t>
  </si>
  <si>
    <t>00000077</t>
  </si>
  <si>
    <t>SL-DE.0102024</t>
  </si>
  <si>
    <t>KGN-24081340</t>
  </si>
  <si>
    <t>TCNU4422308
FCIU8929893</t>
  </si>
  <si>
    <t>KGN-24081343</t>
  </si>
  <si>
    <t>PHÍ TK XUẤT TC T08.24</t>
  </si>
  <si>
    <t>PHÍ CHUYỂN CONT T08.2024</t>
  </si>
  <si>
    <t>PHÍ XIN C/O T08.2024</t>
  </si>
  <si>
    <t>KGN-24081361</t>
  </si>
  <si>
    <t>KGN-24081375</t>
  </si>
  <si>
    <t>12 TK</t>
  </si>
  <si>
    <t>THÁNG 09/2024</t>
  </si>
  <si>
    <t>22/08/2024</t>
  </si>
  <si>
    <t>SL-LD.024.2024</t>
  </si>
  <si>
    <t>OOCU0702610</t>
  </si>
  <si>
    <t>COAU7252314750</t>
  </si>
  <si>
    <t>KGN-24081443</t>
  </si>
  <si>
    <t>KGN-24081189</t>
  </si>
  <si>
    <t>306678295950/E62
306678333200/B11</t>
  </si>
  <si>
    <t>WHSU5934233</t>
  </si>
  <si>
    <t>SL-VA.028.2024</t>
  </si>
  <si>
    <t>00000078</t>
  </si>
  <si>
    <t>306684638650</t>
  </si>
  <si>
    <t>KHO TCS</t>
  </si>
  <si>
    <t>KGN-24081497</t>
  </si>
  <si>
    <t>26/08/2024</t>
  </si>
  <si>
    <t>039EX71072</t>
  </si>
  <si>
    <t xml:space="preserve">8AM 30/08/2024 </t>
  </si>
  <si>
    <t>27/08/2024</t>
  </si>
  <si>
    <t>039EX71073</t>
  </si>
  <si>
    <t>039EX67980</t>
  </si>
  <si>
    <t>ICD TANAMEXCO</t>
  </si>
  <si>
    <t>106523820650</t>
  </si>
  <si>
    <t>106525323920</t>
  </si>
  <si>
    <t>WH2408005</t>
  </si>
  <si>
    <t>KGN-24081557</t>
  </si>
  <si>
    <t>KGN-24081558</t>
  </si>
  <si>
    <t>1PP/71KG/0.46 CBM</t>
  </si>
  <si>
    <t>8PK/103 KGM</t>
  </si>
  <si>
    <t>CHỈ KHAI TK K VẬN CHUYỂN</t>
  </si>
  <si>
    <t>KGN-24070495-BS1</t>
  </si>
  <si>
    <t>KGN-24070494-BS1</t>
  </si>
  <si>
    <t>KGN-24070666-BS1</t>
  </si>
  <si>
    <t>28/08/2024</t>
  </si>
  <si>
    <t>039EX67926</t>
  </si>
  <si>
    <t>18H 02/09/2024</t>
  </si>
  <si>
    <t>CFS NGỌC KHANH</t>
  </si>
  <si>
    <t>WHSU5186893
WHSU5037159</t>
  </si>
  <si>
    <t>KGN-24081863</t>
  </si>
  <si>
    <t>Lấy trái tuyến</t>
  </si>
  <si>
    <t>KGN-24081920</t>
  </si>
  <si>
    <t>BSIU9900490</t>
  </si>
  <si>
    <t>WHSU5033940
WHSU5728952</t>
  </si>
  <si>
    <t>TÍNH 1TR PHÍ HỦY XE (ĐÃ THANH TOÁN RIÊNG)</t>
  </si>
  <si>
    <t>306695271320/E62
306695318550/B11</t>
  </si>
  <si>
    <t>DFSU7758320</t>
  </si>
  <si>
    <t>KGN-24082066</t>
  </si>
  <si>
    <t>TRỤC VÍT</t>
  </si>
  <si>
    <t>29/08/2024</t>
  </si>
  <si>
    <t>CCL/YKJ/2024/SI2408264</t>
  </si>
  <si>
    <t>CCL/YKJ/2024/SI2408263</t>
  </si>
  <si>
    <t>CCL/YKJ/2024/SI2408261</t>
  </si>
  <si>
    <t>00000079</t>
  </si>
  <si>
    <t>122400031223151</t>
  </si>
  <si>
    <t>KGN-24082144</t>
  </si>
  <si>
    <t>KGN-24082146</t>
  </si>
  <si>
    <t>KGN-24082149</t>
  </si>
  <si>
    <t>306703350240/B11</t>
  </si>
  <si>
    <t>SSGN24151934</t>
  </si>
  <si>
    <t>02/09/2024</t>
  </si>
  <si>
    <t>KGN-24082167</t>
  </si>
  <si>
    <t>039EX72593</t>
  </si>
  <si>
    <t>039EX74126</t>
  </si>
  <si>
    <t>04/09/2024</t>
  </si>
  <si>
    <t xml:space="preserve">ZIMUHCM80445135 </t>
  </si>
  <si>
    <t>KGN-24082218</t>
  </si>
  <si>
    <t>ZIMUHCM80450692</t>
  </si>
  <si>
    <t>6H 05/09/2024</t>
  </si>
  <si>
    <t>14H 06/09/2024</t>
  </si>
  <si>
    <t>SL-VA.029.2024</t>
  </si>
  <si>
    <t>SL-CU.013/2024</t>
  </si>
  <si>
    <t>KGN-24082234</t>
  </si>
  <si>
    <t>30/08/2024</t>
  </si>
  <si>
    <t>31/08/2024</t>
  </si>
  <si>
    <t>00000080</t>
  </si>
  <si>
    <t>07/8/2024</t>
  </si>
  <si>
    <t>106474210140/E31</t>
  </si>
  <si>
    <t>09/09/2024</t>
  </si>
  <si>
    <t>CCL/YKJ/2024/SI2409069</t>
  </si>
  <si>
    <t>CCL/YKJ/2024/SI2409067</t>
  </si>
  <si>
    <t>CCL/YKJ/2024/SI2409066</t>
  </si>
  <si>
    <t>ZIMUHCM80451396</t>
  </si>
  <si>
    <t>23H 11/09/2024</t>
  </si>
  <si>
    <t>06/09/2024</t>
  </si>
  <si>
    <t>00000082</t>
  </si>
  <si>
    <t>SL-VA.030.2024</t>
  </si>
  <si>
    <t>00000081</t>
  </si>
  <si>
    <t>486</t>
  </si>
  <si>
    <t>306720535940/E62
306720622410/B11</t>
  </si>
  <si>
    <t>BMOU1218149</t>
  </si>
  <si>
    <t>306720728000/E62
306720759610/B11</t>
  </si>
  <si>
    <t>KGN-24090410</t>
  </si>
  <si>
    <t>Số Kiện</t>
  </si>
  <si>
    <t xml:space="preserve">HANA KOVI </t>
  </si>
  <si>
    <t>MICHIGAN</t>
  </si>
  <si>
    <t>KGN-24090411</t>
  </si>
  <si>
    <t>YAKJIN</t>
  </si>
  <si>
    <t>KGN-24090412</t>
  </si>
  <si>
    <t>ZCSU7350042</t>
  </si>
  <si>
    <t>TCNU4253872</t>
  </si>
  <si>
    <t>KGN-24090415</t>
  </si>
  <si>
    <t>KGN-24090413</t>
  </si>
  <si>
    <t>KGN-24090417</t>
  </si>
  <si>
    <t>KGN-24090419</t>
  </si>
  <si>
    <t>KGN-24090420</t>
  </si>
  <si>
    <t>WHSU2631085</t>
  </si>
  <si>
    <t>10/09/2024</t>
  </si>
  <si>
    <t>106551501820
106551610650</t>
  </si>
  <si>
    <t>05/09/2024</t>
  </si>
  <si>
    <t>SZXEF24080284616</t>
  </si>
  <si>
    <t>BSIU8176586</t>
  </si>
  <si>
    <t>12H 13/09/2024</t>
  </si>
  <si>
    <t>KGN-24090461</t>
  </si>
  <si>
    <t>13/09/2024</t>
  </si>
  <si>
    <t>039EX72609</t>
  </si>
  <si>
    <t>TCNU5349135</t>
  </si>
  <si>
    <t>MÁY ÉP NHỰA</t>
  </si>
  <si>
    <t>14/09/2024</t>
  </si>
  <si>
    <t>GXSAG24080573</t>
  </si>
  <si>
    <t>SL-LD.025.2024</t>
  </si>
  <si>
    <t>NLLU4135052
NBYU8122922
NBYU8028705</t>
  </si>
  <si>
    <t xml:space="preserve">HẠT NHỰA </t>
  </si>
  <si>
    <t>BMOU4986881
TRHU4462285</t>
  </si>
  <si>
    <t>KGN-24090671</t>
  </si>
  <si>
    <t>SNBU2304296
SLPU2004047
SLPU2006712
BHCU3215285
SLPU2000720
TEMU0866618
SNBU2349222
SNBU2279233
TIIU2360757
FCIU5567506
FCIU6224625
SNCU2922066</t>
  </si>
  <si>
    <t xml:space="preserve">HUN TRÙNG </t>
  </si>
  <si>
    <t>11/09/2024</t>
  </si>
  <si>
    <t>12/09/2024</t>
  </si>
  <si>
    <t>CỘNG CHI HQ 2TR, MÁY MÓC</t>
  </si>
  <si>
    <t>106565710420/A12
106565731900/E31</t>
  </si>
  <si>
    <t>KGN-24090726</t>
  </si>
  <si>
    <t>KGN-24090728</t>
  </si>
  <si>
    <t>00000083</t>
  </si>
  <si>
    <t>TRỤC VÍT MÁY ÉP</t>
  </si>
  <si>
    <t xml:space="preserve">LCL /
</t>
  </si>
  <si>
    <t xml:space="preserve"> CONT NO.</t>
  </si>
  <si>
    <t>CSNU1983341
CSNU1809031
OOCU0386091
MAGU2290264
TLLU2990085
CSLU1771833
OOLU1892064
OOLU1349062
OOLU0655200
OOLU1630090
TEMU5795179
OOCU0560840</t>
  </si>
  <si>
    <t>MSKU7837910
MRSU0176660
HASU1037280
CRSU1016332
MSKU5664970
MSKU5125752
CAIU6203882
TEMU5616606
BMOU2435473
MSKU4405960
MRKU7683242
MRKU7296942
MSKU4275742</t>
  </si>
  <si>
    <t>BEAU2726495
BEAU2878440
FCIU3574701
SEGU1402575
SITU2662580
TGBU3155589
TLLU3548102
UETU2435365</t>
  </si>
  <si>
    <t>03/09/2024</t>
  </si>
  <si>
    <t>NÚM TAY CẦM</t>
  </si>
  <si>
    <t>KGN-24090744</t>
  </si>
  <si>
    <t>306733403340/E62
306733492610/B11</t>
  </si>
  <si>
    <t>WHSU5098004</t>
  </si>
  <si>
    <t>10H 17/09/2024</t>
  </si>
  <si>
    <t>14/09/2024
CFS PHÚ HỮU</t>
  </si>
  <si>
    <t>13/09/2024
14/09/2024</t>
  </si>
  <si>
    <t>KGN-24090815</t>
  </si>
  <si>
    <t>16/09/2024</t>
  </si>
  <si>
    <t>PKHCLP2490003</t>
  </si>
  <si>
    <t>18/09/2024</t>
  </si>
  <si>
    <t>039EX76888</t>
  </si>
  <si>
    <t>PTNCLP2490003</t>
  </si>
  <si>
    <t>6H 22/09/2024</t>
  </si>
  <si>
    <t>4 PK/ 1120 KGM/ 0.47 CBM</t>
  </si>
  <si>
    <t>200 PK/ 2780 KGM/ 5.47 CBM</t>
  </si>
  <si>
    <t>1 PK/ 400 KGM/ 0.14 CBM</t>
  </si>
  <si>
    <t>OOLU2151968200H
(WAN HAI 335 006S)</t>
  </si>
  <si>
    <t>LNBHCM24082662
(WAN HAI 335 006S)</t>
  </si>
  <si>
    <t xml:space="preserve">EGLV143456617559
(EVER OUTWIT 0024-023S) </t>
  </si>
  <si>
    <t>HWNBCLI2400026
(XIN MING ZHOU 102 2412S)</t>
  </si>
  <si>
    <t>NOSNB24CL42901
(XIN MING ZHOU 102 2412S)</t>
  </si>
  <si>
    <t>SNLEXMVL002040
(MILD ORCHID 2435S)</t>
  </si>
  <si>
    <t>MÁY CUỘN BIÊN</t>
  </si>
  <si>
    <t>00000084</t>
  </si>
  <si>
    <t>SL-VA.031.2024</t>
  </si>
  <si>
    <t>KGN-24090940</t>
  </si>
  <si>
    <t>17/09/2024</t>
  </si>
  <si>
    <t>039EX75385</t>
  </si>
  <si>
    <t>0H 19/09/2024</t>
  </si>
  <si>
    <t>ZIMUHCM80455869</t>
  </si>
  <si>
    <t>16H 20/09/2024</t>
  </si>
  <si>
    <t>14H 20/09/2024</t>
  </si>
  <si>
    <t>YMMU6885598</t>
  </si>
  <si>
    <t>SL-LD.026.2024</t>
  </si>
  <si>
    <t>SL-VA.032.2024</t>
  </si>
  <si>
    <t>SZHCM24061560
(WAN HAI 289 S046)</t>
  </si>
  <si>
    <t>KGN-24091086</t>
  </si>
  <si>
    <t>KGN-24091089</t>
  </si>
  <si>
    <t>WHSU5433484
WHSU6729589</t>
  </si>
  <si>
    <t>KGN-24091091</t>
  </si>
  <si>
    <t>KGN-24091092</t>
  </si>
  <si>
    <t>BHCU4982764
TCLU2278811</t>
  </si>
  <si>
    <t>WHSU6713936</t>
  </si>
  <si>
    <t>19/09/2024</t>
  </si>
  <si>
    <t>SITGNBCLE004324
(SITC SHUNDE 2418S)</t>
  </si>
  <si>
    <t>22/09/2024</t>
  </si>
  <si>
    <t>KGN-24091124</t>
  </si>
  <si>
    <t>TCNU2317577</t>
  </si>
  <si>
    <t>20/09/2024</t>
  </si>
  <si>
    <t>306746757940/B11
306746771460/E62</t>
  </si>
  <si>
    <t>CMZ1406527</t>
  </si>
  <si>
    <t>TEMU2720237</t>
  </si>
  <si>
    <t>KGN-24091154</t>
  </si>
  <si>
    <t>00000085</t>
  </si>
  <si>
    <t>PONU8143467</t>
  </si>
  <si>
    <t>KGN-24091163</t>
  </si>
  <si>
    <t>KGN-24091179</t>
  </si>
  <si>
    <t>2 PK/2020 KGM/9.984 CBM</t>
  </si>
  <si>
    <t>THÁNG 10/2024</t>
  </si>
  <si>
    <t>PHÍ TK XUẤT TC T09.24</t>
  </si>
  <si>
    <t>KGN-24091207</t>
  </si>
  <si>
    <t>106577692320/E31</t>
  </si>
  <si>
    <t>039EX83741</t>
  </si>
  <si>
    <t>039EX83743</t>
  </si>
  <si>
    <t>6H 11/10/2024</t>
  </si>
  <si>
    <t>6H 04/10/2024</t>
  </si>
  <si>
    <t>KGN-24091220</t>
  </si>
  <si>
    <t>SL-LD.027.2024</t>
  </si>
  <si>
    <t>SL-DE.0112024</t>
  </si>
  <si>
    <t>PTNCLP2480015</t>
  </si>
  <si>
    <t>TSSU2262107/20GP
TSSU5189416/40HQ</t>
  </si>
  <si>
    <t>21/09/2024</t>
  </si>
  <si>
    <t>PTXCLP2490003</t>
  </si>
  <si>
    <t>23/09/2024</t>
  </si>
  <si>
    <t>039EX82047</t>
  </si>
  <si>
    <t>SGNEU5837300</t>
  </si>
  <si>
    <t>SMCU7011482</t>
  </si>
  <si>
    <t>106587711750/E31
106587922010/A12</t>
  </si>
  <si>
    <t>106589155630/E31</t>
  </si>
  <si>
    <t xml:space="preserve">ICD PHUC LONG </t>
  </si>
  <si>
    <t>25/09/2024</t>
  </si>
  <si>
    <t>106577819022/A12</t>
  </si>
  <si>
    <t>00000088</t>
  </si>
  <si>
    <t>00000086</t>
  </si>
  <si>
    <t>PHÍ XIN C/O T09.2024</t>
  </si>
  <si>
    <t>KGN-24091341</t>
  </si>
  <si>
    <t>HỦY TK 306752727100</t>
  </si>
  <si>
    <t>039EX76889</t>
  </si>
  <si>
    <t>30/09/2024</t>
  </si>
  <si>
    <t>24/09/2024</t>
  </si>
  <si>
    <t>IAAU2686281</t>
  </si>
  <si>
    <t>KGN-24091460</t>
  </si>
  <si>
    <t>00000089</t>
  </si>
  <si>
    <t>KGN-24091473</t>
  </si>
  <si>
    <t>KGN-24091497</t>
  </si>
  <si>
    <t>WHSU5417992</t>
  </si>
  <si>
    <t>11H59 24/09/2024</t>
  </si>
  <si>
    <t>EMCU9493610</t>
  </si>
  <si>
    <t>PKHCLP2490004</t>
  </si>
  <si>
    <t>TGBU2565207</t>
  </si>
  <si>
    <t>26/09/2024</t>
  </si>
  <si>
    <t>MÁY MÓC XE 5T</t>
  </si>
  <si>
    <t>SSGN24157285</t>
  </si>
  <si>
    <t>16H 26/09/2024</t>
  </si>
  <si>
    <t>106598184120/A12</t>
  </si>
  <si>
    <t>BMOU1489752</t>
  </si>
  <si>
    <t>11H 27/09/2024</t>
  </si>
  <si>
    <t>KGN-24091706</t>
  </si>
  <si>
    <t>306768351060/B11</t>
  </si>
  <si>
    <t>PHÍ C/O</t>
  </si>
  <si>
    <t>KGN-24091847</t>
  </si>
  <si>
    <t>CONG TY TNHH LEADER ELECTRIC APPLIANCE </t>
  </si>
  <si>
    <t>ZIMUHCM80456056</t>
  </si>
  <si>
    <t>22H 03/10/2024</t>
  </si>
  <si>
    <t>SGNEW6165700</t>
  </si>
  <si>
    <t>ICD Phuc Long</t>
  </si>
  <si>
    <t>27/09/2024</t>
  </si>
  <si>
    <t>CAIU3539451</t>
  </si>
  <si>
    <t>KGN-24091956</t>
  </si>
  <si>
    <t>EDASUN202409112</t>
  </si>
  <si>
    <t>CXGSEHCM24090148</t>
  </si>
  <si>
    <t>4PP/ 4028.5 KGM/ 4.028 CBM</t>
  </si>
  <si>
    <t>KGN-24091974</t>
  </si>
  <si>
    <t>16 PP/4,373.62 KGM/ 15.790 CBM</t>
  </si>
  <si>
    <t>KGN-24091978</t>
  </si>
  <si>
    <t>28/09/2024</t>
  </si>
  <si>
    <t>XE 15T</t>
  </si>
  <si>
    <t>KGN-24091847-BS1</t>
  </si>
  <si>
    <t>BỔ SUNG LỆ PHÍ CO</t>
  </si>
  <si>
    <t>WHSU6025609</t>
  </si>
  <si>
    <t>306779185550/E62
306779203750/B11</t>
  </si>
  <si>
    <t>SL-CU.014/2024</t>
  </si>
  <si>
    <t>SL-VA.033.2024</t>
  </si>
  <si>
    <t>GXSAG24091394
(POS BANGKOK 1058S)</t>
  </si>
  <si>
    <t>HWNBCLI2400030
(AS PAMELA 069W)</t>
  </si>
  <si>
    <t>HWNBCLI2400031
(AS PAMELA 069W)</t>
  </si>
  <si>
    <t>NHỰA POLYPROPYLENE</t>
  </si>
  <si>
    <t>KGN-24092147</t>
  </si>
  <si>
    <t>TCNU8933477</t>
  </si>
  <si>
    <t>KGN-24092219</t>
  </si>
  <si>
    <t>04/10/2024</t>
  </si>
  <si>
    <t>EGLV149408232536</t>
  </si>
  <si>
    <t>GLDU9741324</t>
  </si>
  <si>
    <t>02/10/2024</t>
  </si>
  <si>
    <t>03/10/2024</t>
  </si>
  <si>
    <t>YMJAN490389108</t>
  </si>
  <si>
    <t>SGNEV5970900</t>
  </si>
  <si>
    <t>22H 05/10/2024</t>
  </si>
  <si>
    <t>GIA HẠN DEM 3 LẦN</t>
  </si>
  <si>
    <t>SL-LD.028.2024</t>
  </si>
  <si>
    <t>01/10/2024</t>
  </si>
  <si>
    <t>HỦY</t>
  </si>
  <si>
    <t>07/10/2024</t>
  </si>
  <si>
    <t>WHSU5453990</t>
  </si>
  <si>
    <t>306787097100/B11
306787089030/E62</t>
  </si>
  <si>
    <t>KGN-24100082</t>
  </si>
  <si>
    <t>KGN-24100087</t>
  </si>
  <si>
    <t>5 PK/5200 KGM/11.736 CBM</t>
  </si>
  <si>
    <t>TLLU5580422</t>
  </si>
  <si>
    <t>KGN-24100123</t>
  </si>
  <si>
    <t>00000090</t>
  </si>
  <si>
    <t>00000091</t>
  </si>
  <si>
    <t>3/10/2024</t>
  </si>
  <si>
    <t>00000092</t>
  </si>
  <si>
    <t>YMJAN490388094</t>
  </si>
  <si>
    <t>SE241002</t>
  </si>
  <si>
    <t>KGN-24100233</t>
  </si>
  <si>
    <t>KGN-24100234</t>
  </si>
  <si>
    <t>306792939260/E62
306792983950/B11</t>
  </si>
  <si>
    <t>KGN-24100247</t>
  </si>
  <si>
    <t>6H 08/10/2024</t>
  </si>
  <si>
    <t>04/10/2024
CFS PHÚ HỮU</t>
  </si>
  <si>
    <t>3 PK/ 3630 KGM/ 1.6 CBM</t>
  </si>
  <si>
    <t>1 PK/ 50 KGM/ 0.1 CBM</t>
  </si>
  <si>
    <t>SL-LD.029.2024</t>
  </si>
  <si>
    <t>SL-LD.030.2024</t>
  </si>
  <si>
    <t>SL-VA.034.2024</t>
  </si>
  <si>
    <t>07/10/2024
08/10/2024</t>
  </si>
  <si>
    <t>09/10/2024</t>
  </si>
  <si>
    <t>21H 10/10/2024</t>
  </si>
  <si>
    <t>KGN-24100360</t>
  </si>
  <si>
    <t>CXDU1154043</t>
  </si>
  <si>
    <t>KGN-24100361</t>
  </si>
  <si>
    <t>YMJAW490465845</t>
  </si>
  <si>
    <t>20H 12/10/2024</t>
  </si>
  <si>
    <t>YMLU5169656</t>
  </si>
  <si>
    <t>CCL/YKJ/2024/SI2410054</t>
  </si>
  <si>
    <t>CCL/YKJ/2024/SI2410053</t>
  </si>
  <si>
    <t>CCL/YKJ/2024/SI2410052</t>
  </si>
  <si>
    <t>CCL/YKJ/2024/SI2410055-72</t>
  </si>
  <si>
    <t>08/10/2024</t>
  </si>
  <si>
    <t xml:space="preserve">YAKJIN </t>
  </si>
  <si>
    <t xml:space="preserve">MICHIGAN </t>
  </si>
  <si>
    <t>191 CTNS</t>
  </si>
  <si>
    <t>HANA KOVI</t>
  </si>
  <si>
    <t>81 CTNS</t>
  </si>
  <si>
    <t xml:space="preserve">CAMBODIA </t>
  </si>
  <si>
    <t xml:space="preserve">1 CTNS </t>
  </si>
  <si>
    <t>17 CTNS</t>
  </si>
  <si>
    <t>KGN-24100412</t>
  </si>
  <si>
    <t>KGN-24100413</t>
  </si>
  <si>
    <t>KGN-24100419</t>
  </si>
  <si>
    <t>KGN-24100421</t>
  </si>
  <si>
    <t>DHCM409065313</t>
  </si>
  <si>
    <t>3 CS / 1431 KGM/ 0.49 CBM</t>
  </si>
  <si>
    <t>10/10/2024</t>
  </si>
  <si>
    <t>WHSU6029707</t>
  </si>
  <si>
    <t>306805199910/B11
306805173900/E62</t>
  </si>
  <si>
    <t>KGN-24100559</t>
  </si>
  <si>
    <t>00000093</t>
  </si>
  <si>
    <t>00000094</t>
  </si>
  <si>
    <t>00000095</t>
  </si>
  <si>
    <t>KGN-24100564</t>
  </si>
  <si>
    <t>12H 08/10/2024</t>
  </si>
  <si>
    <t>30/09/2024
DEM 14/10</t>
  </si>
  <si>
    <t>YMMU6023931</t>
  </si>
  <si>
    <t>KGN-24100592</t>
  </si>
  <si>
    <t>11/10/2024</t>
  </si>
  <si>
    <t>12/10/2024</t>
  </si>
  <si>
    <t>YMJAI228463846 
(GSL AFRICA 957S)</t>
  </si>
  <si>
    <t>BEAU2340558
FCIU6258055
MAGU2437606
SEGU2734445
TCKU1259893
TCKU1263553
TCLU7616629
TEMU4930926
YMLU3484129
YMMU1117262</t>
  </si>
  <si>
    <t>CL KHO 2</t>
  </si>
  <si>
    <t>106633300210/A12</t>
  </si>
  <si>
    <t>21H 13/10/2024</t>
  </si>
  <si>
    <t>039EX88622</t>
  </si>
  <si>
    <t>039EX88624</t>
  </si>
  <si>
    <t>KGN-24100710</t>
  </si>
  <si>
    <t>FCIU4921277</t>
  </si>
  <si>
    <t>18/10/2024</t>
  </si>
  <si>
    <t>KGN-24100717</t>
  </si>
  <si>
    <t>15/10/2024</t>
  </si>
  <si>
    <t>SL-LD.031.2024</t>
  </si>
  <si>
    <t>SL-LD.032.2024</t>
  </si>
  <si>
    <t>SL-LD.033.2024</t>
  </si>
  <si>
    <t>PTNCLP2490008</t>
  </si>
  <si>
    <t>17/10/2024</t>
  </si>
  <si>
    <t>14/10/2024</t>
  </si>
  <si>
    <t>SL-CU.015/2024</t>
  </si>
  <si>
    <t>00000096</t>
  </si>
  <si>
    <t>10H 22/10/2024</t>
  </si>
  <si>
    <t>PHÁT SINH 500K</t>
  </si>
  <si>
    <t>16/10/2024</t>
  </si>
  <si>
    <t>EBKG10166353</t>
  </si>
  <si>
    <t>13H 18/10/2024</t>
  </si>
  <si>
    <t>EBKG10409889</t>
  </si>
  <si>
    <t>10H 19/10/2024</t>
  </si>
  <si>
    <t>35 CTNS</t>
  </si>
  <si>
    <t>17/10/2024
18/10/2024</t>
  </si>
  <si>
    <t>KGN-24101053</t>
  </si>
  <si>
    <t>TGHU4750680
MSDU4072760</t>
  </si>
  <si>
    <t>KGN-24101125</t>
  </si>
  <si>
    <t>00000097</t>
  </si>
  <si>
    <t>00000098</t>
  </si>
  <si>
    <t>00000099</t>
  </si>
  <si>
    <t>TTNU4272849</t>
  </si>
  <si>
    <t>HLXU1363661</t>
  </si>
  <si>
    <t>CCL/YKJ/2024/SI2410160</t>
  </si>
  <si>
    <t>19/10/2024</t>
  </si>
  <si>
    <t>SL-LD.034.2024</t>
  </si>
  <si>
    <t>SL-LD.035.2024</t>
  </si>
  <si>
    <t>SL-LD.036.2024</t>
  </si>
  <si>
    <t>306828881830</t>
  </si>
  <si>
    <t>306828906550</t>
  </si>
  <si>
    <t>306828948220</t>
  </si>
  <si>
    <t>WHSU2409777</t>
  </si>
  <si>
    <t>WHSU2354530</t>
  </si>
  <si>
    <t>ZIMUHCM80464290</t>
  </si>
  <si>
    <t>21/10/2024</t>
  </si>
  <si>
    <t>ZIMUHCM80462583</t>
  </si>
  <si>
    <t>ZIMUHCM80460274</t>
  </si>
  <si>
    <t>22/10/2024</t>
  </si>
  <si>
    <t>306830032520/B11
306830038600/E62</t>
  </si>
  <si>
    <t>306831650440/B11
306831693950/E62</t>
  </si>
  <si>
    <t>TSSU5139544
UETU2793008</t>
  </si>
  <si>
    <t>4H 24/10/2024
SI: 22H 23/10/2024</t>
  </si>
  <si>
    <t>KGN-24101199</t>
  </si>
  <si>
    <t>SL-VA.035.2024</t>
  </si>
  <si>
    <t>KGN-24101221</t>
  </si>
  <si>
    <t>KGN-24101223</t>
  </si>
  <si>
    <t>KGN-24101224</t>
  </si>
  <si>
    <t>039EX90150</t>
  </si>
  <si>
    <t>23/10/2024</t>
  </si>
  <si>
    <t>KGN-24101226</t>
  </si>
  <si>
    <t>00000100</t>
  </si>
  <si>
    <t>00000101</t>
  </si>
  <si>
    <t>00000102</t>
  </si>
  <si>
    <t>106647375110/E31
106647398761/A12</t>
  </si>
  <si>
    <t>PHÍ TK XUẤT TC T10.24</t>
  </si>
  <si>
    <t>THÁNG 11/2024</t>
  </si>
  <si>
    <t>KGN-24101364</t>
  </si>
  <si>
    <t>BEAU5043276</t>
  </si>
  <si>
    <t>4H 24/10/2024
SI: 10H 23/10/2024</t>
  </si>
  <si>
    <t>00000103</t>
  </si>
  <si>
    <t>SL-VA.036.2024</t>
  </si>
  <si>
    <t>24/10/2024</t>
  </si>
  <si>
    <t>YJZY-240902</t>
  </si>
  <si>
    <t>13 PP</t>
  </si>
  <si>
    <t>NHẬP TC</t>
  </si>
  <si>
    <t>KGN-24101436</t>
  </si>
  <si>
    <t>NHẬPHẬP/X</t>
  </si>
  <si>
    <t xml:space="preserve">TêNHẬPHẬP hàNHẬPHẬPg </t>
  </si>
  <si>
    <t>PHÍ CHỨNHẬPHẬPG TỪ
(TM)</t>
  </si>
  <si>
    <t>PHÍ CHỨNHẬPHẬPG TỪ
(ST CK)</t>
  </si>
  <si>
    <t xml:space="preserve">CƯỢC CONHẬPHẬPT </t>
  </si>
  <si>
    <t>TẠM THU HÃNHẬPHẬPG TÀU/ SỬA CHỮA CONHẬPHẬPT</t>
  </si>
  <si>
    <t>CHUYỂNHẬPHẬP CƯỢC</t>
  </si>
  <si>
    <t>KGNHẬPHẬP-23020090</t>
  </si>
  <si>
    <t>NHẬPHẬP</t>
  </si>
  <si>
    <t xml:space="preserve"> NHẬPHẬPHỰA POM/ ACETAL RESINHẬPHẬP</t>
  </si>
  <si>
    <t>KGNHẬPHẬP-23020235</t>
  </si>
  <si>
    <t>SGNHẬPHẬP1789850</t>
  </si>
  <si>
    <t>GEMALINHẬPHẬPK</t>
  </si>
  <si>
    <t>KGNHẬPHẬP-23020347</t>
  </si>
  <si>
    <t>KGNHẬPHẬP-23021000</t>
  </si>
  <si>
    <t>KGNHẬPHẬP-23021192</t>
  </si>
  <si>
    <t>DRYU9791461
TCNHẬPHẬPU2088824</t>
  </si>
  <si>
    <t>CHỈ TRUCKINHẬPHẬPG</t>
  </si>
  <si>
    <t>KGNHẬPHẬP-23030587</t>
  </si>
  <si>
    <t>THÁNHẬPHẬPG 03/2023</t>
  </si>
  <si>
    <t>HOÀNHẬPHẬP THUẾ
105039263822 + 105039290640</t>
  </si>
  <si>
    <t>KGNHẬPHẬP-23041159</t>
  </si>
  <si>
    <t>KGNHẬPHẬP-23030164</t>
  </si>
  <si>
    <t>450K THANHẬPHẬPH LÝ T 02</t>
  </si>
  <si>
    <t>KGNHẬPHẬP-23030165</t>
  </si>
  <si>
    <t>KGNHẬPHẬP-23041165</t>
  </si>
  <si>
    <t>CHỈ TRUCKINHẬPHẬPG + THANHẬPHẬPH LÝ</t>
  </si>
  <si>
    <t>KGNHẬPHẬP-23030083</t>
  </si>
  <si>
    <t>KGNHẬPHẬP-23030108</t>
  </si>
  <si>
    <t>KGNHẬPHẬP-23041168</t>
  </si>
  <si>
    <t>KGNHẬPHẬP-23041173</t>
  </si>
  <si>
    <t>KGNHẬPHẬP-23041175</t>
  </si>
  <si>
    <t>KGNHẬPHẬP-23031072</t>
  </si>
  <si>
    <t>KGNHẬPHẬP-23041176</t>
  </si>
  <si>
    <t>KGNHẬPHẬP-23041178</t>
  </si>
  <si>
    <t>YMLUNHẬPHẬP490370865</t>
  </si>
  <si>
    <t>KGNHẬPHẬP-23041180</t>
  </si>
  <si>
    <t>KGNHẬPHẬP-23041182</t>
  </si>
  <si>
    <t>THÁNHẬPHẬPG 04/2023</t>
  </si>
  <si>
    <t>HOÀNHẬPHẬP THUẾ
105223429361</t>
  </si>
  <si>
    <t>KGNHẬPHẬP-23050356</t>
  </si>
  <si>
    <t>KGNHẬPHẬP-23040124</t>
  </si>
  <si>
    <t xml:space="preserve">
 CHỈ TRUCKINHẬPHẬPG + THANHẬPHẬPH LÝ</t>
  </si>
  <si>
    <t>KGNHẬPHẬP-23040125</t>
  </si>
  <si>
    <t>339INHẬPHẬP2309437</t>
  </si>
  <si>
    <t>KGNHẬPHẬP-23040126</t>
  </si>
  <si>
    <t>SGNHẬPHẬPM86009000</t>
  </si>
  <si>
    <t>KGNHẬPHẬP-23040175</t>
  </si>
  <si>
    <t>SGNHẬPHẬP1825531</t>
  </si>
  <si>
    <t>TCNHẬPHẬPU2827591</t>
  </si>
  <si>
    <t>KGNHẬPHẬP-23040234</t>
  </si>
  <si>
    <t>KGNHẬPHẬP-23040558</t>
  </si>
  <si>
    <t>KGNHẬPHẬP-23040563</t>
  </si>
  <si>
    <t>KGNHẬPHẬP-23040790</t>
  </si>
  <si>
    <t>KGNHẬPHẬP-23040791</t>
  </si>
  <si>
    <t>KGNHẬPHẬP-23040792</t>
  </si>
  <si>
    <t>NHẬPHẬPLLU4209237</t>
  </si>
  <si>
    <t>TÍNHẬPHẬPH PHÍ CHI MIỄNHẬPHẬP KIỂM 500K -  CHỈ TRUCKINHẬPHẬPG + THANHẬPHẬPH LÝ</t>
  </si>
  <si>
    <t>KGNHẬPHẬP-23040969</t>
  </si>
  <si>
    <t>SGNHẬPHẬP1829764</t>
  </si>
  <si>
    <t>KGNHẬPHẬP-23041545</t>
  </si>
  <si>
    <t>KGNHẬPHẬP-23041546</t>
  </si>
  <si>
    <t>KGNHẬPHẬP-23041714</t>
  </si>
  <si>
    <t>KGNHẬPHẬP-23041716</t>
  </si>
  <si>
    <t>SGNHẬPHẬPD53705300</t>
  </si>
  <si>
    <t>KGNHẬPHẬP-23050218</t>
  </si>
  <si>
    <t>SGNHẬPHẬPD32046509</t>
  </si>
  <si>
    <t>ONHẬPHẬPEU0125724</t>
  </si>
  <si>
    <t>TÍNHẬPHẬPH PHÍ LÀM HÀNHẬPHẬPG 1700K + VC CÁI MÉP +
 CHỈ TRUCKINHẬPHẬPG + THANHẬPHẬPH LÝ</t>
  </si>
  <si>
    <t>KGNHẬPHẬP-23041850</t>
  </si>
  <si>
    <t>THÁNHẬPHẬPG 05/2023</t>
  </si>
  <si>
    <t>KGNHẬPHẬP-23050462</t>
  </si>
  <si>
    <t>KGNHẬPHẬP-23050509</t>
  </si>
  <si>
    <t>KGNHẬPHẬP-23050621</t>
  </si>
  <si>
    <t>KGNHẬPHẬP-23051380</t>
  </si>
  <si>
    <t>KGNHẬPHẬP-23051530</t>
  </si>
  <si>
    <t>SGNHẬPHẬP1844681</t>
  </si>
  <si>
    <t>KGNHẬPHẬP-23051567</t>
  </si>
  <si>
    <t>KGNHẬPHẬP-23051670</t>
  </si>
  <si>
    <t>KGNHẬPHẬP-23051804</t>
  </si>
  <si>
    <t>YMLUNHẬPHẬP490372554</t>
  </si>
  <si>
    <t>KGNHẬPHẬP-23051805</t>
  </si>
  <si>
    <t>THÁNHẬPHẬPG 06/2023</t>
  </si>
  <si>
    <t>KGNHẬPHẬP-23051895</t>
  </si>
  <si>
    <t>CHỈ TRUCKINHẬPHẬPG + THANHẬPHẬPH LÝ
+ 150K PHÍ THANHẬPHẬPH LÝ T05.23</t>
  </si>
  <si>
    <t xml:space="preserve">KGNHẬPHẬP-PR-2306188 </t>
  </si>
  <si>
    <t>KGNHẬPHẬP-23051974</t>
  </si>
  <si>
    <t>KGNHẬPHẬP-23051897</t>
  </si>
  <si>
    <t xml:space="preserve"> CZVNHẬPHẬPSGNHẬPHẬP3E055</t>
  </si>
  <si>
    <t>KGNHẬPHẬP-23052003</t>
  </si>
  <si>
    <t>KGNHẬPHẬP-23052002</t>
  </si>
  <si>
    <t>KGNHẬPHẬP-23052095</t>
  </si>
  <si>
    <t>KGNHẬPHẬP-23052121</t>
  </si>
  <si>
    <t>KGNHẬPHẬP-23060035</t>
  </si>
  <si>
    <t>KGNHẬPHẬP-23060079</t>
  </si>
  <si>
    <t>KGNHẬPHẬP-23060207</t>
  </si>
  <si>
    <t>KGNHẬPHẬP-23060360</t>
  </si>
  <si>
    <t>KGNHẬPHẬP-23060361</t>
  </si>
  <si>
    <t>KGNHẬPHẬP-23060997</t>
  </si>
  <si>
    <t>KGNHẬPHẬP-23060999</t>
  </si>
  <si>
    <t>KGNHẬPHẬP-23061106</t>
  </si>
  <si>
    <t>KGNHẬPHẬP-23061109</t>
  </si>
  <si>
    <t>KGNHẬPHẬP-23061110</t>
  </si>
  <si>
    <t>KGNHẬPHẬP-23061546</t>
  </si>
  <si>
    <t>SGNHẬPHẬP1862771</t>
  </si>
  <si>
    <t>KGNHẬPHẬP-23061552</t>
  </si>
  <si>
    <t>SGNHẬPHẬP1867023</t>
  </si>
  <si>
    <t>KGNHẬPHẬP-23061759</t>
  </si>
  <si>
    <t>KGNHẬPHẬP-23062015</t>
  </si>
  <si>
    <t>THÁNHẬPHẬPG 07/2023</t>
  </si>
  <si>
    <t>KGNHẬPHẬP-23062135</t>
  </si>
  <si>
    <t>SGNHẬPHẬP1871417</t>
  </si>
  <si>
    <t>TCNHẬPHẬPU2837434</t>
  </si>
  <si>
    <t>KGNHẬPHẬP-23062229</t>
  </si>
  <si>
    <t>KGNHẬPHẬP-23062231</t>
  </si>
  <si>
    <t>SGNHẬPHẬP1872515</t>
  </si>
  <si>
    <t>KGNHẬPHẬP-23062290</t>
  </si>
  <si>
    <t>SGNHẬPHẬPD88359900</t>
  </si>
  <si>
    <t>KGNHẬPHẬP-23070171</t>
  </si>
  <si>
    <t>SGNHẬPHẬPD92837500</t>
  </si>
  <si>
    <t>KGNHẬPHẬP-23070325</t>
  </si>
  <si>
    <t>SGNHẬPHẬP1880299</t>
  </si>
  <si>
    <t>KGNHẬPHẬP-23070326</t>
  </si>
  <si>
    <t>TCNHẬPHẬPU2508613</t>
  </si>
  <si>
    <t>KGNHẬPHẬP-23070371</t>
  </si>
  <si>
    <t>KGNHẬPHẬP-23070827</t>
  </si>
  <si>
    <t>SGNHẬPHẬPD99318600</t>
  </si>
  <si>
    <t>KGNHẬPHẬP-23070516</t>
  </si>
  <si>
    <t>KGNHẬPHẬP-PR-2307507</t>
  </si>
  <si>
    <t>KGNHẬPHẬP-23071062</t>
  </si>
  <si>
    <t>KGNHẬPHẬP-23071059</t>
  </si>
  <si>
    <t>KGNHẬPHẬP-23071060</t>
  </si>
  <si>
    <t>KGNHẬPHẬP-23071181</t>
  </si>
  <si>
    <t>KGNHẬPHẬP-23071176</t>
  </si>
  <si>
    <t>KGNHẬPHẬP-23071312</t>
  </si>
  <si>
    <t>KGNHẬPHẬP-23071419</t>
  </si>
  <si>
    <t>KGNHẬPHẬP-23071422</t>
  </si>
  <si>
    <t>KGNHẬPHẬP-23071802</t>
  </si>
  <si>
    <t>KGNHẬPHẬP-PR-2307587</t>
  </si>
  <si>
    <t>THÁNHẬPHẬPG 08/2023</t>
  </si>
  <si>
    <t>KGNHẬPHẬP-23071496</t>
  </si>
  <si>
    <t>KGNHẬPHẬP-23071497</t>
  </si>
  <si>
    <t>ONHẬPHẬPEYSGNHẬPHẬPDA6344800</t>
  </si>
  <si>
    <t>KGNHẬPHẬP-23071503</t>
  </si>
  <si>
    <t>SGNHẬPHẬPDA9710800</t>
  </si>
  <si>
    <t>NHẬPHẬPYKU3273116</t>
  </si>
  <si>
    <t>KGNHẬPHẬP-23080406</t>
  </si>
  <si>
    <t>KGNHẬPHẬP-23080408</t>
  </si>
  <si>
    <t>KGNHẬPHẬP-23080409</t>
  </si>
  <si>
    <t>KGNHẬPHẬP-23080478</t>
  </si>
  <si>
    <t>FANHẬPHẬPU1605902</t>
  </si>
  <si>
    <t>KGNHẬPHẬP-23080480</t>
  </si>
  <si>
    <t>KGNHẬPHẬP-23080876</t>
  </si>
  <si>
    <t>KGNHẬPHẬP-23080951</t>
  </si>
  <si>
    <t>SGNHẬPHẬPDC5570300</t>
  </si>
  <si>
    <t>TCNHẬPHẬPU6429261
SEGU2070243</t>
  </si>
  <si>
    <t>KGNHẬPHẬP-23080949</t>
  </si>
  <si>
    <t>KGNHẬPHẬP-23081356</t>
  </si>
  <si>
    <t>KGNHẬPHẬP-23081357</t>
  </si>
  <si>
    <t>KGNHẬPHẬP-23081462</t>
  </si>
  <si>
    <t>KGNHẬPHẬP-23081536</t>
  </si>
  <si>
    <t>KGNHẬPHẬP-23081537</t>
  </si>
  <si>
    <t>KGNHẬPHẬP-23081606</t>
  </si>
  <si>
    <t>THÁNHẬPHẬPG 09/2023</t>
  </si>
  <si>
    <t>KGNHẬPHẬP-23081962</t>
  </si>
  <si>
    <t>KIỂM HÓA
SOTRANHẬPHẬPS KHAI TK</t>
  </si>
  <si>
    <t>KGNHẬPHẬP-PR-2309541</t>
  </si>
  <si>
    <t>KGNHẬPHẬP-23081799</t>
  </si>
  <si>
    <t>KGNHẬPHẬP-23082016</t>
  </si>
  <si>
    <t>KGNHẬPHẬP-23082017</t>
  </si>
  <si>
    <t>KGNHẬPHẬP-23082018</t>
  </si>
  <si>
    <t>KGNHẬPHẬP-23093034</t>
  </si>
  <si>
    <t>KGNHẬPHẬP-23093090</t>
  </si>
  <si>
    <t>KGNHẬPHẬP-23093091</t>
  </si>
  <si>
    <t>KGNHẬPHẬP-23093405</t>
  </si>
  <si>
    <t>SGNHẬPHẬP1925994</t>
  </si>
  <si>
    <t>KGNHẬPHẬP-23093481</t>
  </si>
  <si>
    <t>ONHẬPHẬPEYSGNHẬPHẬPDE0432400</t>
  </si>
  <si>
    <t>KGNHẬPHẬP-23093482</t>
  </si>
  <si>
    <t>SGNHẬPHẬPDD7521900</t>
  </si>
  <si>
    <t>KGNHẬPHẬP-23093808</t>
  </si>
  <si>
    <t>SGNHẬPHẬP300954200</t>
  </si>
  <si>
    <t>KGNHẬPHẬP-23094062</t>
  </si>
  <si>
    <t>KGNHẬPHẬP-23094079</t>
  </si>
  <si>
    <t>FANHẬPHẬPU1869206</t>
  </si>
  <si>
    <t>KGNHẬPHẬP-23094382</t>
  </si>
  <si>
    <t>SGNHẬPHẬP300957500</t>
  </si>
  <si>
    <t>KGNHẬPHẬP-23093621</t>
  </si>
  <si>
    <t>VÀNHẬPHẬPG
/ĐỎ</t>
  </si>
  <si>
    <t>KGNHẬPHẬP-23093803</t>
  </si>
  <si>
    <t>KGNHẬPHẬP-23094380</t>
  </si>
  <si>
    <t>KGNHẬPHẬP-23094381</t>
  </si>
  <si>
    <t>THÁNHẬPHẬPG 10/2023</t>
  </si>
  <si>
    <t>KGNHẬPHẬP-23101840</t>
  </si>
  <si>
    <t>KGNHẬPHẬP-23102465</t>
  </si>
  <si>
    <t>KGNHẬPHẬP-23103019</t>
  </si>
  <si>
    <t>KGNHẬPHẬP-23103125</t>
  </si>
  <si>
    <t>KGNHẬPHẬP-23103487</t>
  </si>
  <si>
    <t>KGNHẬPHẬP-23102337</t>
  </si>
  <si>
    <t>SGNHẬPHẬPDF1959600</t>
  </si>
  <si>
    <t>KGNHẬPHẬP-23102022</t>
  </si>
  <si>
    <t>KGNHẬPHẬP-23102308</t>
  </si>
  <si>
    <t>SGNHẬPHẬP1953097</t>
  </si>
  <si>
    <t>KGNHẬPHẬP-23102577</t>
  </si>
  <si>
    <t>ONHẬPHẬPEYSGNHẬPHẬPDG3276800</t>
  </si>
  <si>
    <t>NHẬPHẬPYKU5134892</t>
  </si>
  <si>
    <t>KGNHẬPHẬP-23102781</t>
  </si>
  <si>
    <t>KGNHẬPHẬP-23103124</t>
  </si>
  <si>
    <t>KGNHẬPHẬP-23103120</t>
  </si>
  <si>
    <t>KGNHẬPHẬP-23103306</t>
  </si>
  <si>
    <t>KGNHẬPHẬP-23103314</t>
  </si>
  <si>
    <t>THÁNHẬPHẬPG 11/2023</t>
  </si>
  <si>
    <t>KGNHẬPHẬP-23110280</t>
  </si>
  <si>
    <t>UNHẬPHẬPXU3190448</t>
  </si>
  <si>
    <t>CHARGE 500K LẤY CONHẬPHẬPT ĐỒNHẬPHẬPG NHẬPHẬPAI</t>
  </si>
  <si>
    <t>KGNHẬPHẬP-PR-2311770</t>
  </si>
  <si>
    <t>KGNHẬPHẬP-23110281</t>
  </si>
  <si>
    <t>KGNHẬPHẬP-23110282</t>
  </si>
  <si>
    <t>KGNHẬPHẬP-23110417</t>
  </si>
  <si>
    <t>KGNHẬPHẬP-23110487</t>
  </si>
  <si>
    <t>KGNHẬPHẬP-23110684</t>
  </si>
  <si>
    <t>KGNHẬPHẬP-23111061</t>
  </si>
  <si>
    <t>KGNHẬPHẬP-23111215</t>
  </si>
  <si>
    <t>SGNHẬPHẬP3A9517300</t>
  </si>
  <si>
    <t>KGNHẬPHẬP-23111488</t>
  </si>
  <si>
    <t>KGNHẬPHẬP-23111607</t>
  </si>
  <si>
    <t>KGNHẬPHẬP-23112087</t>
  </si>
  <si>
    <t>THÁNHẬPHẬPG 12/2023</t>
  </si>
  <si>
    <t>KGNHẬPHẬP-23120905</t>
  </si>
  <si>
    <t>KGNHẬPHẬP-23120956</t>
  </si>
  <si>
    <t>KGNHẬPHẬP-23121224</t>
  </si>
  <si>
    <t>KGNHẬPHẬP-23121586</t>
  </si>
  <si>
    <t>KGNHẬPHẬP-23121587</t>
  </si>
  <si>
    <t xml:space="preserve">SGNHẬPHẬPM71404500 </t>
  </si>
  <si>
    <t>KGNHẬPHẬP-23121621</t>
  </si>
  <si>
    <t>KGNHẬPHẬP-23121623</t>
  </si>
  <si>
    <t>KGNHẬPHẬP-23121770</t>
  </si>
  <si>
    <t>KGNHẬPHẬP-23121772</t>
  </si>
  <si>
    <t>KGNHẬPHẬP-23121773</t>
  </si>
  <si>
    <t>KGNHẬPHẬP-23121857</t>
  </si>
  <si>
    <t>KGNHẬPHẬP-23121858</t>
  </si>
  <si>
    <t>THÁNHẬPHẬPG 01/2024</t>
  </si>
  <si>
    <t>KGNHẬPHẬP-24010267</t>
  </si>
  <si>
    <t>KGNHẬPHẬP-24010337</t>
  </si>
  <si>
    <t>CSNHẬPHẬPU6456678</t>
  </si>
  <si>
    <t>KGNHẬPHẬP-24010486</t>
  </si>
  <si>
    <t>KGNHẬPHẬP-24010492</t>
  </si>
  <si>
    <t>ONHẬPHẬPEYSGNHẬPHẬPDNHẬPHẬP7053300</t>
  </si>
  <si>
    <t>KGNHẬPHẬP-24010494</t>
  </si>
  <si>
    <t>KGNHẬPHẬP-24011034</t>
  </si>
  <si>
    <t>KGNHẬPHẬP-24011341</t>
  </si>
  <si>
    <t>KGNHẬPHẬP-24011342</t>
  </si>
  <si>
    <t>KGNHẬPHẬP-24011526</t>
  </si>
  <si>
    <t>KGNHẬPHẬP-24011527</t>
  </si>
  <si>
    <t>KGNHẬPHẬP-24011561</t>
  </si>
  <si>
    <t>KGNHẬPHẬP-24011772</t>
  </si>
  <si>
    <t>KGNHẬPHẬP-24011783</t>
  </si>
  <si>
    <t>THÁNHẬPHẬPG 02/2024</t>
  </si>
  <si>
    <t>KGNHẬPHẬP-24011756</t>
  </si>
  <si>
    <t>KGNHẬPHẬP-24011858</t>
  </si>
  <si>
    <t>KGNHẬPHẬP-24011855</t>
  </si>
  <si>
    <t>TCNHẬPHẬPU4219374</t>
  </si>
  <si>
    <t>KGNHẬPHẬP-24020073</t>
  </si>
  <si>
    <t>KGNHẬPHẬP-24020203</t>
  </si>
  <si>
    <t>FANHẬPHẬPU3274254</t>
  </si>
  <si>
    <t>KGNHẬPHẬP-24020208</t>
  </si>
  <si>
    <t>HLCUSGNHẬPHẬP2312ASYG6</t>
  </si>
  <si>
    <t>FANHẬPHẬPU3369299</t>
  </si>
  <si>
    <t>KGNHẬPHẬP-24020209</t>
  </si>
  <si>
    <t>HLCUSGNHẬPHẬP2312AQGG1</t>
  </si>
  <si>
    <t>FANHẬPHẬPU1961610</t>
  </si>
  <si>
    <t>KGNHẬPHẬP-24020288</t>
  </si>
  <si>
    <t>SGNHẬPHẬP2037689</t>
  </si>
  <si>
    <t>XINHẬPHẬPU1536560</t>
  </si>
  <si>
    <t>KGNHẬPHẬP-24020349</t>
  </si>
  <si>
    <t>SGNHẬPHẬPE31710300</t>
  </si>
  <si>
    <t>KGNHẬPHẬP-24020350</t>
  </si>
  <si>
    <t>HLCUSGNHẬPHẬP240155240</t>
  </si>
  <si>
    <t>KGNHẬPHẬP-24020351</t>
  </si>
  <si>
    <t>KGNHẬPHẬP-24020555</t>
  </si>
  <si>
    <t>KGNHẬPHẬP-24021022</t>
  </si>
  <si>
    <t>SGNHẬPHẬPE13110400</t>
  </si>
  <si>
    <t>THÁNHẬPHẬPG 03/2024</t>
  </si>
  <si>
    <t>KGNHẬPHẬP-24021949</t>
  </si>
  <si>
    <t>KGNHẬPHẬP-24021950</t>
  </si>
  <si>
    <t>KGNHẬPHẬP-24021951</t>
  </si>
  <si>
    <t>KGNHẬPHẬP-24030065</t>
  </si>
  <si>
    <t>KGNHẬPHẬP-24030067</t>
  </si>
  <si>
    <t>KGNHẬPHẬP-24030068</t>
  </si>
  <si>
    <t>KGNHẬPHẬP-24030300</t>
  </si>
  <si>
    <t>KGNHẬPHẬP-24030303</t>
  </si>
  <si>
    <t>KGNHẬPHẬP-24030547</t>
  </si>
  <si>
    <t>SGNHẬPHẬPE39633800</t>
  </si>
  <si>
    <t>NHẬPHẬPYKU5723911
GLDU9480560
TCNHẬPHẬPU6655700</t>
  </si>
  <si>
    <t>KGNHẬPHẬP-24030535</t>
  </si>
  <si>
    <t>KGNHẬPHẬP-24030537</t>
  </si>
  <si>
    <t>CKSGNHẬPHẬP2420140</t>
  </si>
  <si>
    <t>KGNHẬPHẬP-24030876</t>
  </si>
  <si>
    <t>KGNHẬPHẬP-24030880</t>
  </si>
  <si>
    <t>SGNHẬPHẬPE45960800</t>
  </si>
  <si>
    <t>KGNHẬPHẬP-24030882</t>
  </si>
  <si>
    <t>ONHẬPHẬPEYSGNHẬPHẬPE32529500</t>
  </si>
  <si>
    <t>KGNHẬPHẬP-24030883</t>
  </si>
  <si>
    <t>KGNHẬPHẬP-24030888</t>
  </si>
  <si>
    <t>KGNHẬPHẬP-24031483</t>
  </si>
  <si>
    <t>KGNHẬPHẬP-24031484</t>
  </si>
  <si>
    <t>KGNHẬPHẬP-24031486</t>
  </si>
  <si>
    <t>KÉO CONHẬPHẬPT VỀ TỪ CÁI MÉP</t>
  </si>
  <si>
    <t>KGNHẬPHẬP-24031855</t>
  </si>
  <si>
    <t>KÉO CONHẬPHẬPT VỀ</t>
  </si>
  <si>
    <t>CHUYỂNHẬPHẬP 1 HĐ 59907 SANHẬPHẬPG CÔNHẬPHẬPG NHẬPHẬPỢ T05.25</t>
  </si>
  <si>
    <t>KGNHẬPHẬP-24031715</t>
  </si>
  <si>
    <t>KGNHẬPHẬP-24031716</t>
  </si>
  <si>
    <t>KGNHẬPHẬP-24031883</t>
  </si>
  <si>
    <t>KGNHẬPHẬP-24031882</t>
  </si>
  <si>
    <t>KGNHẬPHẬP-24031884</t>
  </si>
  <si>
    <t>KGNHẬPHẬP-24031886</t>
  </si>
  <si>
    <t>KGNHẬPHẬP-24031885</t>
  </si>
  <si>
    <t>THÁNHẬPHẬPG 04/2024</t>
  </si>
  <si>
    <t>KGN-24101437</t>
  </si>
  <si>
    <t>SEGU6181116
TCNU6734178</t>
  </si>
  <si>
    <t>YMJAI216489999</t>
  </si>
  <si>
    <t>ETA: 18/10/2024
DEM: 31/10/2024</t>
  </si>
  <si>
    <t>SL-DE.0122024</t>
  </si>
  <si>
    <t>00000104</t>
  </si>
  <si>
    <t>16TK</t>
  </si>
  <si>
    <t>00001623</t>
  </si>
  <si>
    <t xml:space="preserve"> JXLU6194285</t>
  </si>
  <si>
    <t xml:space="preserve"> ZCSU6847142</t>
  </si>
  <si>
    <t>306842273900/E62
306842270360/B11</t>
  </si>
  <si>
    <t>WHSU5629498</t>
  </si>
  <si>
    <t>KGN-24101623</t>
  </si>
  <si>
    <t>00000105</t>
  </si>
  <si>
    <t>KGN-24101668</t>
  </si>
  <si>
    <t>SZNSGN24A5012</t>
  </si>
  <si>
    <t>25 BG/757.5 KGM/3.935 CBM</t>
  </si>
  <si>
    <t>KGN-24101671</t>
  </si>
  <si>
    <t>KGN-24101672</t>
  </si>
  <si>
    <t>KGN-24101674</t>
  </si>
  <si>
    <t>KGN-24101676</t>
  </si>
  <si>
    <t xml:space="preserve">6H 25/10/2024  </t>
  </si>
  <si>
    <t>1 PK/550 KGM/0.1 CBM</t>
  </si>
  <si>
    <t>039EX94444</t>
  </si>
  <si>
    <t>26/10/2024
CFS PHÚ HỮU</t>
  </si>
  <si>
    <t>29/10/2024</t>
  </si>
  <si>
    <t>HWNBCLI2400032</t>
  </si>
  <si>
    <t>25/10/2024</t>
  </si>
  <si>
    <t>YMJAI209504387</t>
  </si>
  <si>
    <t>TCNU1977832
YMMU6445541
YMMU6842908</t>
  </si>
  <si>
    <t>KGN-24101954</t>
  </si>
  <si>
    <t>28/10/2024</t>
  </si>
  <si>
    <t>NGÀY GIAO MPF</t>
  </si>
  <si>
    <t>30/10/2024</t>
  </si>
  <si>
    <t>6H 01/11/2024</t>
  </si>
  <si>
    <t>ZIMUHCM80462479</t>
  </si>
  <si>
    <t>ZIMUHCM80465018</t>
  </si>
  <si>
    <t>ICD Phước Long 3</t>
  </si>
  <si>
    <t>6H 31/10/2024
SI: 16H 29/10/2024</t>
  </si>
  <si>
    <t>6H 31/10/2024
SI: 10H 30/10/2024</t>
  </si>
  <si>
    <t>LDGHCM24A1601PH</t>
  </si>
  <si>
    <t>27/10/2024</t>
  </si>
  <si>
    <t>SL-VA.037.2024</t>
  </si>
  <si>
    <t>26/10/2024</t>
  </si>
  <si>
    <t>31/10/2024</t>
  </si>
  <si>
    <t>00000106</t>
  </si>
  <si>
    <t>KGN-24102282</t>
  </si>
  <si>
    <t>SL-LD.037.2024</t>
  </si>
  <si>
    <t>SL-LD.038.2024</t>
  </si>
  <si>
    <t>SL-LD.039.2024</t>
  </si>
  <si>
    <t>UETU5938321</t>
  </si>
  <si>
    <t>KGN-24102353</t>
  </si>
  <si>
    <t>ZCSU2759444</t>
  </si>
  <si>
    <t>KGN-24102354</t>
  </si>
  <si>
    <t>EBKG10615763</t>
  </si>
  <si>
    <t>SGN2406897</t>
  </si>
  <si>
    <t>SI: 16H 01/10/2024
8H 05/11/2024</t>
  </si>
  <si>
    <t>SI: 11H 01/10/2024
11H 03/11/2024</t>
  </si>
  <si>
    <t>WHSU2559329</t>
  </si>
  <si>
    <t>306861777260/B11
306861760020/E62</t>
  </si>
  <si>
    <t>SL-CU.016/2024</t>
  </si>
  <si>
    <t>SL-VA.038.2024</t>
  </si>
  <si>
    <t>00000107</t>
  </si>
  <si>
    <t>1/11/2024</t>
  </si>
  <si>
    <t>106664043250/E31</t>
  </si>
  <si>
    <t>106679251600/A12</t>
  </si>
  <si>
    <t>MEDU9460226</t>
  </si>
  <si>
    <t>CMAU4991978</t>
  </si>
  <si>
    <t>KGN-24102485</t>
  </si>
  <si>
    <t>KGN-24102486</t>
  </si>
  <si>
    <t>00000108</t>
  </si>
  <si>
    <t>01/11/2024</t>
  </si>
  <si>
    <t>TRỤC MÁY ÉP</t>
  </si>
  <si>
    <t>06/11/2024</t>
  </si>
  <si>
    <t>6 PK/ 1688 KGM/ 0.48 CBM</t>
  </si>
  <si>
    <t>04/11/2024</t>
  </si>
  <si>
    <t>15H 06/11/2024</t>
  </si>
  <si>
    <t>KGN-24110135</t>
  </si>
  <si>
    <t>00000110</t>
  </si>
  <si>
    <t>00000111</t>
  </si>
  <si>
    <t>00000112</t>
  </si>
  <si>
    <t>08/11/2024</t>
  </si>
  <si>
    <t>5 PK/ 5200 KGS/ 9 CBM</t>
  </si>
  <si>
    <t>SGNEAV219800</t>
  </si>
  <si>
    <t>SI: 15H 06/11/2024
5H 11/11/2024</t>
  </si>
  <si>
    <t xml:space="preserve">ICD Phúc Long </t>
  </si>
  <si>
    <t>HANY24100254
(XIN MING ZHOU 108 2425S)</t>
  </si>
  <si>
    <t>HWNBCLI2400035
(AS PAMELA 070W)</t>
  </si>
  <si>
    <t>SL-VA.039.2024</t>
  </si>
  <si>
    <t>KKFU8153386</t>
  </si>
  <si>
    <t>KGN-24110321</t>
  </si>
  <si>
    <t>039EX97048</t>
  </si>
  <si>
    <t>03H 16/11/2024</t>
  </si>
  <si>
    <t>039EX97058</t>
  </si>
  <si>
    <t>13/11/2024</t>
  </si>
  <si>
    <t>KGN-24110371</t>
  </si>
  <si>
    <t>KGN-24110372</t>
  </si>
  <si>
    <t>00000113</t>
  </si>
  <si>
    <t>11/11/2024</t>
  </si>
  <si>
    <t>SGNEX3140501</t>
  </si>
  <si>
    <t>SI: 16H 12/1/2024
12H 13/11/2024</t>
  </si>
  <si>
    <t>SE241109</t>
  </si>
  <si>
    <t>12H 12/11/2024</t>
  </si>
  <si>
    <t>5T + 1T</t>
  </si>
  <si>
    <t>306892388520/E62
306892457930/B11</t>
  </si>
  <si>
    <t>PTNCLP24A0001</t>
  </si>
  <si>
    <t>12/11/2024</t>
  </si>
  <si>
    <t>KGN-24110575</t>
  </si>
  <si>
    <t>NYKU4723943</t>
  </si>
  <si>
    <t>14/11/2024</t>
  </si>
  <si>
    <t>KGN-24110653</t>
  </si>
  <si>
    <t>KGN-24110654</t>
  </si>
  <si>
    <t>WHSU5523320</t>
  </si>
  <si>
    <t>WHSU2521004</t>
  </si>
  <si>
    <t>SL-LD.040.2024</t>
  </si>
  <si>
    <t>SL-LD.041.2024</t>
  </si>
  <si>
    <t>SL-LD.042.2024</t>
  </si>
  <si>
    <t>SL-LD.043.2024</t>
  </si>
  <si>
    <t>306900395230/E62
306900409230/B11</t>
  </si>
  <si>
    <t>306899828340/E62
306899854460/B11</t>
  </si>
  <si>
    <t>KGN-24110973</t>
  </si>
  <si>
    <t>KGN-24110979</t>
  </si>
  <si>
    <t>039EY00608</t>
  </si>
  <si>
    <t>21H 23/11/2024</t>
  </si>
  <si>
    <t>SL-VA.040.2024</t>
  </si>
  <si>
    <t>SL-CU.017/2024</t>
  </si>
  <si>
    <t>18/11/2024</t>
  </si>
  <si>
    <t>16/11/2024</t>
  </si>
  <si>
    <t>22/11/2024</t>
  </si>
  <si>
    <t>00000114</t>
  </si>
  <si>
    <t>00000115</t>
  </si>
  <si>
    <t>00000116</t>
  </si>
  <si>
    <t>00000117</t>
  </si>
  <si>
    <t>00000118</t>
  </si>
  <si>
    <t>19/11/2024</t>
  </si>
  <si>
    <t>CHÚ Ý: SỐ QUẢN LÝ NỘI BỘ DOANH NGHIỆP - #&amp;NKTC#&amp;số tờ khai xuất đối ứng(bỏ số cuối)</t>
  </si>
  <si>
    <t>SGNEBG895800</t>
  </si>
  <si>
    <t>SI: 10H 23/11/2024
10H 24/11/2024</t>
  </si>
  <si>
    <t>00000119</t>
  </si>
  <si>
    <t>20/11/2024</t>
  </si>
  <si>
    <t>SL-LD.044.2024</t>
  </si>
  <si>
    <t>SL-LD.045.2024</t>
  </si>
  <si>
    <t>SL-LD.046.2024</t>
  </si>
  <si>
    <t>122400034017884</t>
  </si>
  <si>
    <t>CCL/YTC/2024/SI2411149</t>
  </si>
  <si>
    <t>CCL/YKJ/2024/SI2411148</t>
  </si>
  <si>
    <t>KGN-24111449</t>
  </si>
  <si>
    <t>PHÍ TK XUẤT TC T11.24</t>
  </si>
  <si>
    <t>OOLU4281135</t>
  </si>
  <si>
    <t>21/11/2024</t>
  </si>
  <si>
    <t>82 CTNS</t>
  </si>
  <si>
    <t>513 CTNS</t>
  </si>
  <si>
    <t>CAMBODIA - YTC</t>
  </si>
  <si>
    <t>23/11/2024</t>
  </si>
  <si>
    <t>16H 23/11/2024</t>
  </si>
  <si>
    <t>KGN-24111478</t>
  </si>
  <si>
    <t>KGN-24111479</t>
  </si>
  <si>
    <t>WHLU0365988</t>
  </si>
  <si>
    <t>SSGN24169089</t>
  </si>
  <si>
    <t>106712467150/A12
106712472420/E31</t>
  </si>
  <si>
    <t>306925176260/E62
306926224640/B11</t>
  </si>
  <si>
    <t>CHI HỘ</t>
  </si>
  <si>
    <t>25/11/2024</t>
  </si>
  <si>
    <t>26/11/2024</t>
  </si>
  <si>
    <t>3700884575</t>
  </si>
  <si>
    <t>00000120</t>
  </si>
  <si>
    <t>SL-DE.0132024</t>
  </si>
  <si>
    <t>SL-VA.041.2024</t>
  </si>
  <si>
    <t>KGN-24111558</t>
  </si>
  <si>
    <t>NYKU3605648</t>
  </si>
  <si>
    <t>17TK</t>
  </si>
  <si>
    <t>KGN-24111572</t>
  </si>
  <si>
    <t>KGN-24102424</t>
  </si>
  <si>
    <t>PTNCLP24B0002</t>
  </si>
  <si>
    <t>YMLU8771986</t>
  </si>
  <si>
    <t>306929927900/B11</t>
  </si>
  <si>
    <t>KGN-24111591</t>
  </si>
  <si>
    <t>TIIU4292332</t>
  </si>
  <si>
    <t>29/11/2024</t>
  </si>
  <si>
    <t>039EY00623</t>
  </si>
  <si>
    <t xml:space="preserve">ZIMUHCM80473345 </t>
  </si>
  <si>
    <t>00000124</t>
  </si>
  <si>
    <t>00000122</t>
  </si>
  <si>
    <t>00000123</t>
  </si>
  <si>
    <t>00000121</t>
  </si>
  <si>
    <t>106752919710/E31
106752994720/A12</t>
  </si>
  <si>
    <t>CRXU4786663</t>
  </si>
  <si>
    <t>8H 26/11/2024</t>
  </si>
  <si>
    <t>ICD SOTRANS</t>
  </si>
  <si>
    <t>12H 03/12/2024</t>
  </si>
  <si>
    <t>KGN-24111808</t>
  </si>
  <si>
    <t>SEGU6518681</t>
  </si>
  <si>
    <t>PTNCLP24B0005</t>
  </si>
  <si>
    <t>TRHU8117348
EMCU1676682</t>
  </si>
  <si>
    <t>KGN-24111839</t>
  </si>
  <si>
    <t>27/11/2024</t>
  </si>
  <si>
    <r>
      <t>THÁNG 12/2024 (</t>
    </r>
    <r>
      <rPr>
        <b/>
        <sz val="10"/>
        <color rgb="FFFF0000"/>
        <rFont val="Times New Roman"/>
        <family val="1"/>
      </rPr>
      <t>SERVICE DAY TỪ NGÀY 1/12</t>
    </r>
    <r>
      <rPr>
        <b/>
        <sz val="10"/>
        <rFont val="Times New Roman"/>
        <family val="1"/>
      </rPr>
      <t>)</t>
    </r>
  </si>
  <si>
    <r>
      <t>THÁNG 12/2024</t>
    </r>
    <r>
      <rPr>
        <b/>
        <sz val="10"/>
        <color rgb="FFFF0000"/>
        <rFont val="Times New Roman"/>
        <family val="1"/>
      </rPr>
      <t xml:space="preserve"> (SERVICE DAY TỪ NGÀY 1/12)</t>
    </r>
  </si>
  <si>
    <t>EBKG10643799</t>
  </si>
  <si>
    <t>2TR PHÍ PHÁT SINH</t>
  </si>
  <si>
    <t>039EY06121</t>
  </si>
  <si>
    <t>ICD Phúc Long</t>
  </si>
  <si>
    <t>SI: 11H 27/11/2024
3H 30/11/2024</t>
  </si>
  <si>
    <t>SI: 10H 28/11/2024
1H 01/12/2024</t>
  </si>
  <si>
    <t>ZCSU7905813</t>
  </si>
  <si>
    <t>YMJAS490316955</t>
  </si>
  <si>
    <t>28/11/2024</t>
  </si>
  <si>
    <t>GESU6382013</t>
  </si>
  <si>
    <t>WHSU5043070</t>
  </si>
  <si>
    <t>KGN-24112051</t>
  </si>
  <si>
    <t>KGN-24112052</t>
  </si>
  <si>
    <t>KGN-24112053</t>
  </si>
  <si>
    <t>SI: 8H 26/11/2024 
19H 26/11/2024</t>
  </si>
  <si>
    <t>SI: 10H 27/11/2024 
13H 28/11/2024</t>
  </si>
  <si>
    <t>KGN-24112055</t>
  </si>
  <si>
    <t>SL-VA.042.2024</t>
  </si>
  <si>
    <t>00000125</t>
  </si>
  <si>
    <t>BEAU2474705</t>
  </si>
  <si>
    <t>MDGHCM24B152</t>
  </si>
  <si>
    <t>30 BAGS/ 914 KGM/ 4.29 CBM (156m/bao)</t>
  </si>
  <si>
    <t>KGN-24112221</t>
  </si>
  <si>
    <t>THÁNG 12/2024</t>
  </si>
  <si>
    <t>KGN-24112261</t>
  </si>
  <si>
    <t>KGN-24112262</t>
  </si>
  <si>
    <t>WHSU2268262</t>
  </si>
  <si>
    <t>306946227140/E62
306946249060/B11</t>
  </si>
  <si>
    <t>106755868441/E31
106755931220/A12</t>
  </si>
  <si>
    <t>KGN-24112359</t>
  </si>
  <si>
    <t>039EY05239</t>
  </si>
  <si>
    <t>BHTPRHKM0061</t>
  </si>
  <si>
    <t>SL-CU.018/2024</t>
  </si>
  <si>
    <t>SE241202</t>
  </si>
  <si>
    <t>30/11/2024</t>
  </si>
  <si>
    <t>00000126</t>
  </si>
  <si>
    <t>306952626650/E62
306952633320/B11</t>
  </si>
  <si>
    <t>12H 04/12/2024</t>
  </si>
  <si>
    <t>COAU7254900670
(MIYUNHE 443S)</t>
  </si>
  <si>
    <t>03/12/2024</t>
  </si>
  <si>
    <t>ETA/ETD
CUT OFF</t>
  </si>
  <si>
    <t>HẠT NHỰA PHENOLIC</t>
  </si>
  <si>
    <t>02/12/2024</t>
  </si>
  <si>
    <t>KGN-24120095</t>
  </si>
  <si>
    <t>TEMU2370437</t>
  </si>
  <si>
    <t>KGN-24120106</t>
  </si>
  <si>
    <t>SL-VA.043.2024</t>
  </si>
  <si>
    <t>EGHU9627606</t>
  </si>
  <si>
    <t>KGN-24120175</t>
  </si>
  <si>
    <t>04/12/2024</t>
  </si>
  <si>
    <t>00000127</t>
  </si>
  <si>
    <t>06/12/2024
07/12/2024</t>
  </si>
  <si>
    <t>WHSU2914716</t>
  </si>
  <si>
    <t>306961908650/E62
306961894910/B11</t>
  </si>
  <si>
    <t>KGN-24120296</t>
  </si>
  <si>
    <t>KGN-24120298</t>
  </si>
  <si>
    <t>PKECLP24B0123</t>
  </si>
  <si>
    <t>PTNCLP24B0006</t>
  </si>
  <si>
    <t>08/12/2024</t>
  </si>
  <si>
    <t>DHCM411053613</t>
  </si>
  <si>
    <t>1 PK/570 KGM/2.610 CBM</t>
  </si>
  <si>
    <t>06/12/2024</t>
  </si>
  <si>
    <t>KGN-24120302</t>
  </si>
  <si>
    <t>SGNM15559100</t>
  </si>
  <si>
    <t>XE 5T-PHÁT SINH 500K</t>
  </si>
  <si>
    <t>6H 09/12/2024</t>
  </si>
  <si>
    <t>12/12/2024</t>
  </si>
  <si>
    <t>039EY05241</t>
  </si>
  <si>
    <t>09/12/2024</t>
  </si>
  <si>
    <t>EBKG10842495</t>
  </si>
  <si>
    <t>EBKG10900747</t>
  </si>
  <si>
    <t>TGBU2073233
FCIU5044383
OOLU0636540
DFSU1545689
UETU2929347
CSNU1604849
OOLU2986527
UETU2932274
CSNU1368321
CSLU1930787</t>
  </si>
  <si>
    <t>47PK/1035 KGM/2.301 CBM</t>
  </si>
  <si>
    <t>BOSHCM24110575</t>
  </si>
  <si>
    <t>XE 2T</t>
  </si>
  <si>
    <t>07/12/2024</t>
  </si>
  <si>
    <t>HMMU6423870
CXDU2276236</t>
  </si>
  <si>
    <t>KGN-24120377</t>
  </si>
  <si>
    <t>KGN-24120381</t>
  </si>
  <si>
    <t>SL-LD.047.2024</t>
  </si>
  <si>
    <t>SL-LD.048.2024</t>
  </si>
  <si>
    <t>SL-LD.049.2024</t>
  </si>
  <si>
    <t>106785145830/E31</t>
  </si>
  <si>
    <t>106785187610/A12
106785188860/E31</t>
  </si>
  <si>
    <t>11/12/2024</t>
  </si>
  <si>
    <t>KGN-24120433</t>
  </si>
  <si>
    <t>KGN-24120435</t>
  </si>
  <si>
    <t xml:space="preserve">SI,VGM: 10H 09/12/2024 
11H 10/12/2024 </t>
  </si>
  <si>
    <t>10/12/2024</t>
  </si>
  <si>
    <t>SGNEBA821500</t>
  </si>
  <si>
    <t>039EY10736</t>
  </si>
  <si>
    <t>SGN2493216</t>
  </si>
  <si>
    <t>ZIMUHCM80479535</t>
  </si>
  <si>
    <t>ICD PHUOC LONG 3</t>
  </si>
  <si>
    <t>SI,VGM: 11H 12/12/2024 
 4H 15/12/2024</t>
  </si>
  <si>
    <t>05/12/2024</t>
  </si>
  <si>
    <t>MSMU5588531</t>
  </si>
  <si>
    <t>TCLU2085160</t>
  </si>
  <si>
    <t>SI: 13H 29/11/2024
1H 29/11/2024</t>
  </si>
  <si>
    <t xml:space="preserve">SI,VGM: 10H 02/12/2024
23H 03/12/2024 </t>
  </si>
  <si>
    <t xml:space="preserve">SI,VGM: 09H 04/12/2024 
15H 05/12/2024 </t>
  </si>
  <si>
    <t xml:space="preserve">SI,VGM: 8H 06/12/2024 
13H 07/12/2024 </t>
  </si>
  <si>
    <t>509 CTNS</t>
  </si>
  <si>
    <t>CAMBODIA</t>
  </si>
  <si>
    <t>KGN-24120506</t>
  </si>
  <si>
    <t>KGN-24120507</t>
  </si>
  <si>
    <t>TCLU3190290</t>
  </si>
  <si>
    <t>WHLU0661803</t>
  </si>
  <si>
    <t>KGN-24120628</t>
  </si>
  <si>
    <t>KGN-24120629</t>
  </si>
  <si>
    <t>CCL/YKJ/2024/SI2412099</t>
  </si>
  <si>
    <t>00000128</t>
  </si>
  <si>
    <t>00000129</t>
  </si>
  <si>
    <t>00000130</t>
  </si>
  <si>
    <t>12h 16/12/2024</t>
  </si>
  <si>
    <t>HNSU5027461</t>
  </si>
  <si>
    <t>CMAU7935010</t>
  </si>
  <si>
    <t>306979902740/E62
306979878020/B11</t>
  </si>
  <si>
    <t>KGN-24120792</t>
  </si>
  <si>
    <t>KGN-24120793</t>
  </si>
  <si>
    <t>WHSU6798574</t>
  </si>
  <si>
    <t>CONT</t>
  </si>
  <si>
    <t>MSCU6971057</t>
  </si>
  <si>
    <t>SL-CU.019/2024</t>
  </si>
  <si>
    <t>KGN-24120862</t>
  </si>
  <si>
    <t>NOTE: 16h là k cho xuống hàng, 18h là k cho nhập hàng nữa</t>
  </si>
  <si>
    <t>00000131</t>
  </si>
  <si>
    <t>SEGU6886127</t>
  </si>
  <si>
    <t>TCKU4363155</t>
  </si>
  <si>
    <t>KGN-24120880</t>
  </si>
  <si>
    <t>19/12/2024</t>
  </si>
  <si>
    <t>039EY11091</t>
  </si>
  <si>
    <t>16/12/2024</t>
  </si>
  <si>
    <t>18/12/2024</t>
  </si>
  <si>
    <t>17/12/2024</t>
  </si>
  <si>
    <t>SGN2470762</t>
  </si>
  <si>
    <t>339IN2488818</t>
  </si>
  <si>
    <t>039EY12329</t>
  </si>
  <si>
    <t>00000132</t>
  </si>
  <si>
    <t>HWCLI2402440
(SM JAKARTA 2416)</t>
  </si>
  <si>
    <t>TCNU3507057</t>
  </si>
  <si>
    <t>KGN-24121093</t>
  </si>
  <si>
    <t>KGN-24121108</t>
  </si>
  <si>
    <t>SL-LD.50.2024</t>
  </si>
  <si>
    <t>SL-LD.51.2024</t>
  </si>
  <si>
    <t>SL-LD.52.2024</t>
  </si>
  <si>
    <t>ZIMUHCM80484056</t>
  </si>
  <si>
    <t xml:space="preserve">SI,VGM: 11H 16/12/2024 
19H 17/12/2024 </t>
  </si>
  <si>
    <t xml:space="preserve">SI,VGM: 10H 12/12/2024 
8H 13/12/2024 </t>
  </si>
  <si>
    <t>SI: 9H 12/12/2024 
1H 15/12/2024</t>
  </si>
  <si>
    <t xml:space="preserve">SI: 11H 11/12/2024
3H 13/12/2024 </t>
  </si>
  <si>
    <t>TRHU5068804
TGBU7956190</t>
  </si>
  <si>
    <t>KGN-24121286</t>
  </si>
  <si>
    <t>1 PK/ 75 KGM/ 0.35 CBM</t>
  </si>
  <si>
    <t>00000133</t>
  </si>
  <si>
    <t>00000134</t>
  </si>
  <si>
    <t>00000135</t>
  </si>
  <si>
    <t>SL-LD.53.2024</t>
  </si>
  <si>
    <t>SL-LD.54.2024</t>
  </si>
  <si>
    <t>SL-LD.55.2024</t>
  </si>
  <si>
    <t>ZCSU6119281</t>
  </si>
  <si>
    <t xml:space="preserve">SI,VGM: 8H 18/12/2024
23H 19/12/2024 </t>
  </si>
  <si>
    <t xml:space="preserve">SI,VGM:8H 19/12/2024
14H 20/12/2024 </t>
  </si>
  <si>
    <t>WHSU2238268</t>
  </si>
  <si>
    <t>306997581610/B11
306997614620/E62</t>
  </si>
  <si>
    <t>MỚI: 18H 21/12/2024</t>
  </si>
  <si>
    <t>SILICONE SEALANT</t>
  </si>
  <si>
    <t>WHSU5168272</t>
  </si>
  <si>
    <t>KGN-24121457</t>
  </si>
  <si>
    <t>KGN-24121458</t>
  </si>
  <si>
    <t>KGN-24121461</t>
  </si>
  <si>
    <t>21/12/2024</t>
  </si>
  <si>
    <t>20/12/2024</t>
  </si>
  <si>
    <t xml:space="preserve">CL </t>
  </si>
  <si>
    <t>SL-DE.0142024</t>
  </si>
  <si>
    <t>039EY11105</t>
  </si>
  <si>
    <r>
      <t>THÁNG 01/2025</t>
    </r>
    <r>
      <rPr>
        <b/>
        <sz val="10"/>
        <color rgb="FFFF0000"/>
        <rFont val="Times New Roman"/>
        <family val="1"/>
      </rPr>
      <t xml:space="preserve"> (SERVICE DAY TỪ NGÀY /01/25)</t>
    </r>
  </si>
  <si>
    <r>
      <t xml:space="preserve">THÁNG 01/2025 </t>
    </r>
    <r>
      <rPr>
        <b/>
        <sz val="10"/>
        <color rgb="FFFF0000"/>
        <rFont val="Times New Roman"/>
        <family val="1"/>
      </rPr>
      <t>(SERVICE DAY TỪ NGÀY /01/25)</t>
    </r>
  </si>
  <si>
    <t>PHÍ TK XUẤT TC T12.24</t>
  </si>
  <si>
    <r>
      <t xml:space="preserve">THÁNG 01/2025 </t>
    </r>
    <r>
      <rPr>
        <b/>
        <sz val="10"/>
        <color rgb="FFFF0000"/>
        <rFont val="Times New Roman"/>
        <family val="1"/>
      </rPr>
      <t>(SERVICE DAY TỪ NGÀY /1/25)</t>
    </r>
  </si>
  <si>
    <r>
      <t xml:space="preserve">THÁNG 12/2024 </t>
    </r>
    <r>
      <rPr>
        <b/>
        <sz val="10"/>
        <color rgb="FFFF0000"/>
        <rFont val="Times New Roman"/>
        <family val="1"/>
      </rPr>
      <t>(SERVICE DAY TỪ NGÀY 01/12/24)</t>
    </r>
  </si>
  <si>
    <t>KGN-24121578</t>
  </si>
  <si>
    <t>MRSU4297070</t>
  </si>
  <si>
    <t>KGN-24121605</t>
  </si>
  <si>
    <t>00000136</t>
  </si>
  <si>
    <t>00000137</t>
  </si>
  <si>
    <t>00000138</t>
  </si>
  <si>
    <t>SL-VA.044.2024</t>
  </si>
  <si>
    <t>SL-VA.045.2024</t>
  </si>
  <si>
    <t>23/12/2024</t>
  </si>
  <si>
    <t>00000139</t>
  </si>
  <si>
    <t>24/12/2024</t>
  </si>
  <si>
    <t>ZIMUHCM80485360</t>
  </si>
  <si>
    <r>
      <t>THÁNG 1/2025 (</t>
    </r>
    <r>
      <rPr>
        <b/>
        <sz val="10"/>
        <color rgb="FFFF0000"/>
        <rFont val="Times New Roman"/>
        <family val="1"/>
      </rPr>
      <t>SERVICE DAY TỪ NGÀY 1/1</t>
    </r>
    <r>
      <rPr>
        <b/>
        <sz val="10"/>
        <rFont val="Times New Roman"/>
        <family val="1"/>
      </rPr>
      <t>)</t>
    </r>
  </si>
  <si>
    <t>30/12/2024</t>
  </si>
  <si>
    <t>25/12/2024</t>
  </si>
  <si>
    <t>26/12/2024</t>
  </si>
  <si>
    <t>EBKG11156028</t>
  </si>
  <si>
    <t>SGNECW784400</t>
  </si>
  <si>
    <t>ZCSU6969860</t>
  </si>
  <si>
    <t>KGN-24121866</t>
  </si>
  <si>
    <t>MSDU4365542</t>
  </si>
  <si>
    <t>00000140</t>
  </si>
  <si>
    <t>UETU6389397</t>
  </si>
  <si>
    <t>KGN-24121989</t>
  </si>
  <si>
    <t>KGN-24122025</t>
  </si>
  <si>
    <t>SI,VGM: 10H 26/12/2024 
 3H 28/12/2024</t>
  </si>
  <si>
    <t>SI,VGM: 14H 27/12/2024 
 10H 29/12/2024 
CY: 04:30 29/12/2024</t>
  </si>
  <si>
    <t xml:space="preserve">SI,VGM: 11H 19/12/2024
1H 22/12/2024 
</t>
  </si>
  <si>
    <t>SI/VGM: 14H30 20/12/2024
11H 21/12/2024</t>
  </si>
  <si>
    <t xml:space="preserve">SI,VGM: 8H 25/12/2024 
 5H 26/12/2024 </t>
  </si>
  <si>
    <t xml:space="preserve">SI,VGM:  11H 25/12/2024
3H 27/12/2024 </t>
  </si>
  <si>
    <t>TCLU2450751</t>
  </si>
  <si>
    <t>KGN-24122050</t>
  </si>
  <si>
    <t>THÁNG 1/2025</t>
  </si>
  <si>
    <t>TL TSCD</t>
  </si>
  <si>
    <t>SL-VA.046.2024</t>
  </si>
  <si>
    <t>106831687650/A42</t>
  </si>
  <si>
    <t>00000141</t>
  </si>
  <si>
    <t>27/12/2024</t>
  </si>
  <si>
    <t>YMJAN490392153</t>
  </si>
  <si>
    <t>ZIMUHCM80489357</t>
  </si>
  <si>
    <t>339IN2499460</t>
  </si>
  <si>
    <t>AHA0312115</t>
  </si>
  <si>
    <t xml:space="preserve">ZIMUHCM80490332 </t>
  </si>
  <si>
    <t>31/12/2024</t>
  </si>
  <si>
    <t>ZIMUHCM80490323</t>
  </si>
  <si>
    <t xml:space="preserve">SI,VGM: 10H 31/12/2024 
6H 02/01/2025 </t>
  </si>
  <si>
    <t>307026825950/E62
307026810810/B11</t>
  </si>
  <si>
    <t>TCHCAT24120189</t>
  </si>
  <si>
    <t>5 PP/ 780 KGM/ 12.1 CBM</t>
  </si>
  <si>
    <t>KGN-24122443</t>
  </si>
  <si>
    <t>FYCU7125104</t>
  </si>
  <si>
    <t>ZCSU6822479
TCNU5550290</t>
  </si>
  <si>
    <t>TEMU5563276</t>
  </si>
  <si>
    <t>5T</t>
  </si>
  <si>
    <t>MSNU7461133
MSDU8512390</t>
  </si>
  <si>
    <t>TCLU7343490</t>
  </si>
  <si>
    <t>TCNU4952930</t>
  </si>
  <si>
    <t>SI,VGM: 9H 31/12/2024 
23H 02/01/2025</t>
  </si>
  <si>
    <t xml:space="preserve">SI,VGM: 14H 30/12/2024 
6H 01/01/2025 </t>
  </si>
  <si>
    <t xml:space="preserve">SI,VGM: 16H 30/12/2024
6H 02/01/2024 </t>
  </si>
  <si>
    <t>039EY19194</t>
  </si>
  <si>
    <t>039EY17647</t>
  </si>
  <si>
    <t>SL-VA.01.2025</t>
  </si>
  <si>
    <t>SI,VGM: 15H 31/12/2024 
23H 31/12/2024 
CY: 16H 02/01/2025</t>
  </si>
  <si>
    <t>03/01/2025</t>
  </si>
  <si>
    <t>SGN2541883</t>
  </si>
  <si>
    <t>02/01/2025</t>
  </si>
  <si>
    <t>SGNECA710300</t>
  </si>
  <si>
    <t>GHOC24121076</t>
  </si>
  <si>
    <t>5820.7</t>
  </si>
  <si>
    <t>106851294100/A12
106850945350/H11</t>
  </si>
  <si>
    <t>TRHU5479235</t>
  </si>
  <si>
    <t>KGN-25010121</t>
  </si>
  <si>
    <t>KGN-25010122</t>
  </si>
  <si>
    <t>KGN-25010124</t>
  </si>
  <si>
    <t>KGN-25010127</t>
  </si>
  <si>
    <t>KGN-25010128</t>
  </si>
  <si>
    <t>ZCSU6757537</t>
  </si>
  <si>
    <t>KGN-25010130</t>
  </si>
  <si>
    <t>KGN-25010131</t>
  </si>
  <si>
    <t>KGN-25010135</t>
  </si>
  <si>
    <t>KGN-25010136</t>
  </si>
  <si>
    <t>KGN-25010137</t>
  </si>
  <si>
    <t>00000001</t>
  </si>
  <si>
    <t>KGN-25010149</t>
  </si>
  <si>
    <t>CMAU7918625</t>
  </si>
  <si>
    <t xml:space="preserve">SI,VGM: 17H 02/01/2025 
22H 05/01/2025 </t>
  </si>
  <si>
    <t xml:space="preserve">SI,VGM: 10H 03/01/2025 
1H 04/01/2025 </t>
  </si>
  <si>
    <t>06/01/2025</t>
  </si>
  <si>
    <t>WHSU6958292</t>
  </si>
  <si>
    <t>DEM/DET</t>
  </si>
  <si>
    <t>307046137440/E62
307046080960/B11</t>
  </si>
  <si>
    <t>SL-LD.01.2025</t>
  </si>
  <si>
    <t>SL-LD.02.2025</t>
  </si>
  <si>
    <t>SL-LD.03.2025</t>
  </si>
  <si>
    <t>SL-LD.04.2025</t>
  </si>
  <si>
    <t>THEO DÕI HÀNG HÓA TẠM ỨNG, THANH TOÁN, ĐIỀU XE  - MPF</t>
  </si>
  <si>
    <t>THEO DÕI HÀNG HÓA TẠM ỨNG, THANH TOÁN, ĐIỀU XE  - LIÊN Á</t>
  </si>
  <si>
    <t>SỐ CONT/SEAL</t>
  </si>
  <si>
    <t>ZIMUHCM80493786</t>
  </si>
  <si>
    <t>MST: 3703185737</t>
  </si>
  <si>
    <t>EGLV147401581423</t>
  </si>
  <si>
    <t>08/01/2025</t>
  </si>
  <si>
    <t>THEO DÕI HÀNG HÓA TẠM ỨNG, THANH TOÁN, ĐIỀU XE  - NOVA</t>
  </si>
  <si>
    <t>07/01/2025</t>
  </si>
  <si>
    <t>MST: 3701926362</t>
  </si>
  <si>
    <t>JZPU4102333</t>
  </si>
  <si>
    <t>TRHU3614526</t>
  </si>
  <si>
    <t>ZIMU3079667</t>
  </si>
  <si>
    <t>SI,VGM: 00H 09/01/2025 
08H 09/01/2025</t>
  </si>
  <si>
    <t>CUT OFF
ETA/ETD</t>
  </si>
  <si>
    <t>KGN-25010273</t>
  </si>
  <si>
    <t>ETA: 02/01/2025</t>
  </si>
  <si>
    <t>EGHU3570870
EGSU3361385
EGSU3605368</t>
  </si>
  <si>
    <t>SITSGOSW405262</t>
  </si>
  <si>
    <t>ZIMUHCM80493787</t>
  </si>
  <si>
    <t>ETA: 05/01/2025</t>
  </si>
  <si>
    <t xml:space="preserve">SP ITC 
</t>
  </si>
  <si>
    <t>THU PHÍ BOT</t>
  </si>
  <si>
    <t>10/01/2025
FREE 5 DEM</t>
  </si>
  <si>
    <t>ETA: 6H 07/01/2025</t>
  </si>
  <si>
    <t>09/01/2025</t>
  </si>
  <si>
    <r>
      <rPr>
        <b/>
        <sz val="10"/>
        <color rgb="FF000000"/>
        <rFont val="Times New Roman"/>
        <family val="1"/>
      </rPr>
      <t>MEDUYD015341</t>
    </r>
    <r>
      <rPr>
        <sz val="10"/>
        <color rgb="FF000000"/>
        <rFont val="Times New Roman"/>
        <family val="1"/>
      </rPr>
      <t xml:space="preserve">
(MSC HAILEY ANN III / HZ452A)</t>
    </r>
  </si>
  <si>
    <t>WHSU5729706</t>
  </si>
  <si>
    <t>10/01/2024</t>
  </si>
  <si>
    <t>JJCXMSGAYD40530</t>
  </si>
  <si>
    <t>ETA: 17H 07/01/2025</t>
  </si>
  <si>
    <t>CẢNG HẠ</t>
  </si>
  <si>
    <t>CẢNG ĐẾN</t>
  </si>
  <si>
    <t>JOB</t>
  </si>
  <si>
    <t>NHÀ NK</t>
  </si>
  <si>
    <t>JINJIANG XILIN</t>
  </si>
  <si>
    <t>ETA/ETD</t>
  </si>
  <si>
    <t>339IN25000058</t>
  </si>
  <si>
    <t>339IN25000059</t>
  </si>
  <si>
    <t>SGN2539969</t>
  </si>
  <si>
    <t xml:space="preserve">SI,VGM: 11H 09/01/2025 
17H 09/01/2025 </t>
  </si>
  <si>
    <t>NGÀY ĐÓNG HÀNG</t>
  </si>
  <si>
    <t>BOOKING</t>
  </si>
  <si>
    <t>Vận đơn</t>
  </si>
  <si>
    <t>SI,VGM: 00H 09/01/2025
'22H 08/01/2025</t>
  </si>
  <si>
    <t>CUT OFF</t>
  </si>
  <si>
    <t>307049605610/B11
307049780610/E62</t>
  </si>
  <si>
    <t>PTNCLP24C0006</t>
  </si>
  <si>
    <t>EISU8581940/EMCLJL6243</t>
  </si>
  <si>
    <t>23,418</t>
  </si>
  <si>
    <t>Vessel: YM CONSTANCY 045A
ETA: 15H 09/01/2025</t>
  </si>
  <si>
    <t>Cut off: 22H 03/01/2025</t>
  </si>
  <si>
    <t>Cut off: 12H 10/01/2025</t>
  </si>
  <si>
    <t>FTAU1564221</t>
  </si>
  <si>
    <t xml:space="preserve">SI,VGM: 11H 07/01/2025 
16H 08/01/2025 </t>
  </si>
  <si>
    <t>10/01/2025</t>
  </si>
  <si>
    <t>SITC</t>
  </si>
  <si>
    <t>FUJIAN JINGFENG</t>
  </si>
  <si>
    <t>20/01/2025
14 DEM, 7 DET</t>
  </si>
  <si>
    <t>TLLU2039142/SJJA693866</t>
  </si>
  <si>
    <t>TCKU2872549</t>
  </si>
  <si>
    <t>SI,VGM: 9H 10/01/2025 
3H 10/01/2025</t>
  </si>
  <si>
    <t>13/01/2025</t>
  </si>
  <si>
    <t>14/01/2025</t>
  </si>
  <si>
    <t>SEKU6228671</t>
  </si>
  <si>
    <t>CLHU4761062</t>
  </si>
  <si>
    <t>WAN HAI</t>
  </si>
  <si>
    <t>SITSGOSW409270</t>
  </si>
  <si>
    <t>SITSGNGW405671</t>
  </si>
  <si>
    <t xml:space="preserve">SI,VGM: 11H 20/01/2025
13H 21/01/2025 </t>
  </si>
  <si>
    <t>SITU2565298</t>
  </si>
  <si>
    <t>SL-VA.02/2025</t>
  </si>
  <si>
    <t>00000002</t>
  </si>
  <si>
    <t>00000003</t>
  </si>
  <si>
    <t>00000004</t>
  </si>
  <si>
    <t>00000005</t>
  </si>
  <si>
    <t>SL-LD.05.2025</t>
  </si>
  <si>
    <t>SL-LD.06.2025</t>
  </si>
  <si>
    <t>GUANGDONG BAOYUN</t>
  </si>
  <si>
    <t>CAM KẾT BSUNG HD VAT ĐẾN HẾT T4/25</t>
  </si>
  <si>
    <t>039FX00951</t>
  </si>
  <si>
    <t>SGN2556894</t>
  </si>
  <si>
    <t>SGN2548753</t>
  </si>
  <si>
    <t>07:59 18/01/2025</t>
  </si>
  <si>
    <t>NHẬP TẠI CHỖ</t>
  </si>
  <si>
    <t>PXK: 00000006</t>
  </si>
  <si>
    <t>KGN-25010522</t>
  </si>
  <si>
    <t>KGN-25010523</t>
  </si>
  <si>
    <t>KGN-25010524</t>
  </si>
  <si>
    <t>KGN-25010525</t>
  </si>
  <si>
    <t>KGN-25010526</t>
  </si>
  <si>
    <t>KGN-25010527</t>
  </si>
  <si>
    <t>ICD PHUC LONG</t>
  </si>
  <si>
    <t>00000006</t>
  </si>
  <si>
    <t>00000007</t>
  </si>
  <si>
    <t>11/01/2025</t>
  </si>
  <si>
    <t>SI,VGM: 11H 15/01/2025 
07H 17/01/2025 
CY: 04:59 17/01/2025</t>
  </si>
  <si>
    <t>PKECLP24C0152</t>
  </si>
  <si>
    <t>YMMU4177162/YMAS894077</t>
  </si>
  <si>
    <t>PTNCLP24C0010</t>
  </si>
  <si>
    <t>BMOU3152014/YMAS222894</t>
  </si>
  <si>
    <t>15/01/2025</t>
  </si>
  <si>
    <t>SI: 8H30 16/01/25
CY: 09:00 18/01/2025</t>
  </si>
  <si>
    <t>ZIMUHCM80488154</t>
  </si>
  <si>
    <t>106876838830/E31</t>
  </si>
  <si>
    <t>UACU3932280</t>
  </si>
  <si>
    <t>CRSU1076239</t>
  </si>
  <si>
    <t>YMJAW490472986</t>
  </si>
  <si>
    <t>ZIMUHCM80489358</t>
  </si>
  <si>
    <t xml:space="preserve">SI,VGM: 8h 15/01/2025 
6h 16/01/2024 </t>
  </si>
  <si>
    <t>VGM,SI: 1H 13/01/2025
CY: 13:00 15/01/2025</t>
  </si>
  <si>
    <r>
      <t xml:space="preserve">23H 14/1/2025
</t>
    </r>
    <r>
      <rPr>
        <sz val="10"/>
        <color rgb="FFFF0000"/>
        <rFont val="Times New Roman"/>
        <family val="1"/>
      </rPr>
      <t>HẠ TRƯỚC 23H59 14/1</t>
    </r>
    <r>
      <rPr>
        <sz val="10"/>
        <rFont val="Times New Roman"/>
        <family val="1"/>
      </rPr>
      <t xml:space="preserve">
CY: 20:00 16/01/2025</t>
    </r>
  </si>
  <si>
    <t>16/01/2025</t>
  </si>
  <si>
    <t>COAU7255856780
(BAL PEACE 020S)</t>
  </si>
  <si>
    <t>OOCU0344270
FCIU5203314
UETU2479764
OOLU0216147
TEMU3261148
OOLU1763215
TIIU2459478
CSNU1470550
OOCU0590295
CSLU1842639
OOLU0535798
CBHU4409431</t>
  </si>
  <si>
    <t>HWNBCLI2400056</t>
  </si>
  <si>
    <t>106871272102/A12
106871329350/E31</t>
  </si>
  <si>
    <t>17/01/2025</t>
  </si>
  <si>
    <t>335 CTNS</t>
  </si>
  <si>
    <t>00000008</t>
  </si>
  <si>
    <t>SI: 16H 16/01/2025
22h 19/01/2025</t>
  </si>
  <si>
    <t>SGNF00574800</t>
  </si>
  <si>
    <t>SGNF00575900</t>
  </si>
  <si>
    <t>SGN2563279</t>
  </si>
  <si>
    <t>SL-LD.07.2025</t>
  </si>
  <si>
    <t>SL-LD.08.2025</t>
  </si>
  <si>
    <t>BEAU2717338</t>
  </si>
  <si>
    <t>TCNU2306295
TRHU6108542</t>
  </si>
  <si>
    <t>18/01/2025</t>
  </si>
  <si>
    <t>KGN-25010777</t>
  </si>
  <si>
    <t>CSNU1497632</t>
  </si>
  <si>
    <t>KHỐI LƯỢNG</t>
  </si>
  <si>
    <t xml:space="preserve">18H 20/01/2025 </t>
  </si>
  <si>
    <t>19/01/2025</t>
  </si>
  <si>
    <t>20/01/2025</t>
  </si>
  <si>
    <t>Vessel: SPIL NIRMALA 085A
DEM 26/01/25
ETA: 10:30 13/01/2025</t>
  </si>
  <si>
    <t>Vessel: SPIL NIRMALA 085A
ETA: 10:30 13/01/2025
DEM 26/01/25</t>
  </si>
  <si>
    <t>SGN4B2751503</t>
  </si>
  <si>
    <t>CY: 22:00 22/01/2025</t>
  </si>
  <si>
    <t>GESU1050361</t>
  </si>
  <si>
    <t>HASLS21241202614</t>
  </si>
  <si>
    <t>HEUNG A LINE</t>
  </si>
  <si>
    <t>BMOU3185131/YMAS220077</t>
  </si>
  <si>
    <t>PKECLP2510006</t>
  </si>
  <si>
    <t>KGN-25011029</t>
  </si>
  <si>
    <t>CMAU7642265</t>
  </si>
  <si>
    <t>307078087760/E62</t>
  </si>
  <si>
    <t>16/1/2025</t>
  </si>
  <si>
    <t>307072574600/B11</t>
  </si>
  <si>
    <t>21/01/2025</t>
  </si>
  <si>
    <t>12H 22/01/2025</t>
  </si>
  <si>
    <t>307079339840/B11
307079330630/E62</t>
  </si>
  <si>
    <t>22H 25/01/2025</t>
  </si>
  <si>
    <t>TEMU8305320
ZCSU6612554</t>
  </si>
  <si>
    <t>TWCU2132040</t>
  </si>
  <si>
    <t>KGN-25011169</t>
  </si>
  <si>
    <t>KGN-25011170</t>
  </si>
  <si>
    <t>KGN-25011171</t>
  </si>
  <si>
    <t>KGN-25011172</t>
  </si>
  <si>
    <t>KGN-25011174</t>
  </si>
  <si>
    <t>KGN-25011175</t>
  </si>
  <si>
    <t>KGN-25011176</t>
  </si>
  <si>
    <t>KGN-25011178</t>
  </si>
  <si>
    <t>106888411230/E31</t>
  </si>
  <si>
    <t>KGN-25011179</t>
  </si>
  <si>
    <t>DEM</t>
  </si>
  <si>
    <t>20/1/2025</t>
  </si>
  <si>
    <t>STT CONT</t>
  </si>
  <si>
    <t xml:space="preserve">TEMU4387300 </t>
  </si>
  <si>
    <t>TDTU7866547</t>
  </si>
  <si>
    <t xml:space="preserve">CAIU6457634 </t>
  </si>
  <si>
    <t>R6429552</t>
  </si>
  <si>
    <t>SỐ SEAL</t>
  </si>
  <si>
    <t>SỐ CONT</t>
  </si>
  <si>
    <t>R6429551</t>
  </si>
  <si>
    <t>WHAB650217</t>
  </si>
  <si>
    <t>WHAB650211</t>
  </si>
  <si>
    <t>CMAU0522524</t>
  </si>
  <si>
    <t>TRHU3049913</t>
  </si>
  <si>
    <t>WHSU2681764</t>
  </si>
  <si>
    <t>WHSU2601732</t>
  </si>
  <si>
    <t>WHAB650132</t>
  </si>
  <si>
    <t>WHSU2656951</t>
  </si>
  <si>
    <t>SEGU3023550</t>
  </si>
  <si>
    <t>R1797041</t>
  </si>
  <si>
    <t>R1796997</t>
  </si>
  <si>
    <t>SEGU1639398</t>
  </si>
  <si>
    <t>R1797095</t>
  </si>
  <si>
    <t>CMAU3276506</t>
  </si>
  <si>
    <t>R1797094</t>
  </si>
  <si>
    <t>TEMU2858186</t>
  </si>
  <si>
    <t>YMAR983925</t>
  </si>
  <si>
    <t>SEGU5358399</t>
  </si>
  <si>
    <t>FCIU5558398</t>
  </si>
  <si>
    <t>VN53166AJ</t>
  </si>
  <si>
    <t>VN30052AJ</t>
  </si>
  <si>
    <t>VN30058AJ</t>
  </si>
  <si>
    <t>VN53214AJ</t>
  </si>
  <si>
    <t>VN53230AJ</t>
  </si>
  <si>
    <t>VN55726AJ</t>
  </si>
  <si>
    <t>TRHU2747463</t>
  </si>
  <si>
    <t>CAIU3695691</t>
  </si>
  <si>
    <t>GAOU6634826</t>
  </si>
  <si>
    <t>SM698506</t>
  </si>
  <si>
    <t>SMCU2015361</t>
  </si>
  <si>
    <t>307083069550
307083079830</t>
  </si>
  <si>
    <t>307071271420/B11</t>
  </si>
  <si>
    <t>307057206060/B11</t>
  </si>
  <si>
    <t>GHI CHÚ: 100% FCL HUN TRÙNG - LCL HỎI LẠI + LÀM PKL HẠ/ VGM 
HÀNG ĐI MỸ HẠ TRƯỚC NGÀY 14 VÀ 31 HẰNG THÁNG</t>
  </si>
  <si>
    <t>039FX06155</t>
  </si>
  <si>
    <t>KGN-25011231</t>
  </si>
  <si>
    <t>BSUNG CO FORM B</t>
  </si>
  <si>
    <t>306881757731
306881769631
306881783852</t>
  </si>
  <si>
    <t>EBKG10676895</t>
  </si>
  <si>
    <t>KP-20250106-1</t>
  </si>
  <si>
    <t>KP-20250106-2</t>
  </si>
  <si>
    <t>KP-20250106-3</t>
  </si>
  <si>
    <t>KP-20250107-4</t>
  </si>
  <si>
    <t>KP-20250107-5</t>
  </si>
  <si>
    <t>KP-20250107-6</t>
  </si>
  <si>
    <t>DH-20240805-6</t>
  </si>
  <si>
    <t>DH-20240805-7</t>
  </si>
  <si>
    <t>DH-20220620-5</t>
  </si>
  <si>
    <t>DH-20220620-6</t>
  </si>
  <si>
    <t>DH-20220620-7</t>
  </si>
  <si>
    <t>DH-20241125-1</t>
  </si>
  <si>
    <t>DH-20241125-2</t>
  </si>
  <si>
    <t>DH-20241125-3</t>
  </si>
  <si>
    <t>DH-20241125-4</t>
  </si>
  <si>
    <t>DLNV-20250115</t>
  </si>
  <si>
    <t>LEVA-20250116-4</t>
  </si>
  <si>
    <t>LEVA-20250116-5</t>
  </si>
  <si>
    <t>LEVA-20250116-6</t>
  </si>
  <si>
    <t>LEVA-20250116-3</t>
  </si>
  <si>
    <t>LEVA-20250117-2</t>
  </si>
  <si>
    <t>LEVA-20250117-1</t>
  </si>
  <si>
    <t>DH-20241120</t>
  </si>
  <si>
    <t>TRHU2369574</t>
  </si>
  <si>
    <t>KKTU7862490</t>
  </si>
  <si>
    <t>307035212540/H21</t>
  </si>
  <si>
    <t>SGN2511387M3</t>
  </si>
  <si>
    <t xml:space="preserve">16/01/2025 
17/01/2025 </t>
  </si>
  <si>
    <t>DLNV20241231</t>
  </si>
  <si>
    <t>FX34903771 
FX34903779
FX34903789</t>
  </si>
  <si>
    <t>MEDU6461553
MEDU5000222
FCIU3083966</t>
  </si>
  <si>
    <t>BN-20241106-1
BN-20241106-2
BN-20241106-3</t>
  </si>
  <si>
    <t>SỐ INVOICE</t>
  </si>
  <si>
    <t>XL-NV241229</t>
  </si>
  <si>
    <t>XL-HD241230</t>
  </si>
  <si>
    <t>NV-20250108</t>
  </si>
  <si>
    <t>LHY59+60-24</t>
  </si>
  <si>
    <t>DET</t>
  </si>
  <si>
    <t>QUARTZ</t>
  </si>
  <si>
    <t>ARTIFICIAL STONE</t>
  </si>
  <si>
    <t>BỒN RỬA</t>
  </si>
  <si>
    <t>106879784801/A12
106879789550/E31</t>
  </si>
  <si>
    <t>00000009</t>
  </si>
  <si>
    <t>00000010</t>
  </si>
  <si>
    <t>SEGU3494668</t>
  </si>
  <si>
    <t>307086666300/B11</t>
  </si>
  <si>
    <t xml:space="preserve">SI,VGM: 11H 13/01/2025 
7H 15/01/2025 </t>
  </si>
  <si>
    <t xml:space="preserve">SI,VGM: 16h 14/01/2025
6h 16/01/2024 </t>
  </si>
  <si>
    <t>KGN-25011268</t>
  </si>
  <si>
    <t>2 PK/1480 KGM/ 0.4 CBM</t>
  </si>
  <si>
    <t>PHÍ TK XUẤT TC T1.2</t>
  </si>
  <si>
    <t>KGN-25011271</t>
  </si>
  <si>
    <t>KGN-25011272</t>
  </si>
  <si>
    <t>KGN-25011273</t>
  </si>
  <si>
    <t>KGN-25011274</t>
  </si>
  <si>
    <t>KGN-25011275</t>
  </si>
  <si>
    <t>KGN-25011276</t>
  </si>
  <si>
    <t>KGN-25011277</t>
  </si>
  <si>
    <t>KGN-25011278</t>
  </si>
  <si>
    <t>KGN-25011279</t>
  </si>
  <si>
    <t>KGN-25011280</t>
  </si>
  <si>
    <t>KGN-25011281</t>
  </si>
  <si>
    <t>KGN-25011282</t>
  </si>
  <si>
    <t>KGN-25011283</t>
  </si>
  <si>
    <t>KGN-25011284</t>
  </si>
  <si>
    <t>KGN-25011285</t>
  </si>
  <si>
    <t>KGN-25011286</t>
  </si>
  <si>
    <t>KGN-25011287</t>
  </si>
  <si>
    <t>KGN-25011288</t>
  </si>
  <si>
    <t>KGN-25011289</t>
  </si>
  <si>
    <t>MSDU2120807/FJ21926560
AXIU2934815/FJ21926646
MSBU3009025/FJ21926551
GLDU9456590/FJ21926645
MSMU2368317/FJ21926648
MEDU3000476/FJ21926693</t>
  </si>
  <si>
    <t>PHÍ SỬA CHỮA CONT</t>
  </si>
  <si>
    <t>PHÍ SỮA CHỮA CONT</t>
  </si>
  <si>
    <t>JW STONE</t>
  </si>
  <si>
    <t>PHỤ THU VC HÀNG NẶNG
 &gt; 25 TẤN</t>
  </si>
  <si>
    <t>PHÍ TTHQ</t>
  </si>
  <si>
    <t>PHỤ THU VC HÀNG NẶNG 
( từ 21.8 tấn - 25 tấn)</t>
  </si>
  <si>
    <t>Phụ thu lấy cont xa 
(cảng CÁI MÉP)</t>
  </si>
  <si>
    <t>Phí BOT</t>
  </si>
  <si>
    <t>Phí Hóa chất</t>
  </si>
  <si>
    <t>Phụ thu 
Kiểm hóa</t>
  </si>
  <si>
    <t>PHÍ TK THỨ 2</t>
  </si>
  <si>
    <t>Phí hun trùng</t>
  </si>
  <si>
    <t>PHÍ VC LCL</t>
  </si>
  <si>
    <t>PHÍ TK THÊM</t>
  </si>
  <si>
    <t>PHÍ CO</t>
  </si>
  <si>
    <r>
      <t xml:space="preserve">THÁNG 02/2025 </t>
    </r>
    <r>
      <rPr>
        <b/>
        <sz val="10"/>
        <color rgb="FFFF0000"/>
        <rFont val="Times New Roman"/>
        <family val="1"/>
      </rPr>
      <t>(SERVICE DAY TỪ NGÀY 21/01/25)</t>
    </r>
  </si>
  <si>
    <r>
      <t>THÁNG 02/2025</t>
    </r>
    <r>
      <rPr>
        <b/>
        <sz val="10"/>
        <color rgb="FFFF0000"/>
        <rFont val="Times New Roman"/>
        <family val="1"/>
      </rPr>
      <t xml:space="preserve"> (SERVICE DAY TỪ NGÀY 21/01/25)</t>
    </r>
  </si>
  <si>
    <r>
      <t>THÁNG 2/2025 (</t>
    </r>
    <r>
      <rPr>
        <b/>
        <sz val="10"/>
        <color rgb="FFFF0000"/>
        <rFont val="Times New Roman"/>
        <family val="1"/>
      </rPr>
      <t>SERVICE DAY TỪ NGÀY 03/2</t>
    </r>
    <r>
      <rPr>
        <b/>
        <sz val="10"/>
        <rFont val="Times New Roman"/>
        <family val="1"/>
      </rPr>
      <t>)</t>
    </r>
  </si>
  <si>
    <r>
      <t xml:space="preserve">THÁNG 02/2025 </t>
    </r>
    <r>
      <rPr>
        <b/>
        <sz val="10"/>
        <color rgb="FFFF0000"/>
        <rFont val="Times New Roman"/>
        <family val="1"/>
      </rPr>
      <t>(SERVICE DAY TỪ NGÀY 3/2/25)</t>
    </r>
  </si>
  <si>
    <t>CS195000724N</t>
  </si>
  <si>
    <t>XE 3T5</t>
  </si>
  <si>
    <t>01/02/2025
14 DEM</t>
  </si>
  <si>
    <t>25/01/2025
7 DET</t>
  </si>
  <si>
    <t>307089701940/B11</t>
  </si>
  <si>
    <t>THÁNG 2/2025</t>
  </si>
  <si>
    <t>C/O VJ</t>
  </si>
  <si>
    <t>C/O TR</t>
  </si>
  <si>
    <t>LẤY BILL GỐC</t>
  </si>
  <si>
    <t>003/11/24-CJSL-TFUC</t>
  </si>
  <si>
    <t>TK MƯỢN KHUÔN</t>
  </si>
  <si>
    <t>KGN-25011422</t>
  </si>
  <si>
    <t>SL-VA.03/2025</t>
  </si>
  <si>
    <t>SI,VGM: 12H 23/01/2025
8H 24/01/25
CY: 14:00 27/01/2025</t>
  </si>
  <si>
    <t>SI,VGM: 15H 22/1/25
21H 24/01/25
CY: 12:00 24/01/2025</t>
  </si>
  <si>
    <t>19-20/01/2025</t>
  </si>
  <si>
    <t>22/01/2025</t>
  </si>
  <si>
    <t>CCL/YKJ/2025/SI2501128</t>
  </si>
  <si>
    <t>00000011</t>
  </si>
  <si>
    <t>EGLV530400103294</t>
  </si>
  <si>
    <t>EITU1532552
EITU9375465
EMCU1583424
EMCU8608822
FDCU0168798
TIIU4673175</t>
  </si>
  <si>
    <t>6H 23/01/2025</t>
  </si>
  <si>
    <t>BMOU1217076
WHSU2755609</t>
  </si>
  <si>
    <t>307101572800/E62
307101577110/B11</t>
  </si>
  <si>
    <t xml:space="preserve">10,815,200 </t>
  </si>
  <si>
    <t>039FX05937</t>
  </si>
  <si>
    <t>106897908941/ G12</t>
  </si>
  <si>
    <t>23/01/2025</t>
  </si>
  <si>
    <t>KGN-25011695</t>
  </si>
  <si>
    <t>NCC
LINE</t>
  </si>
  <si>
    <t>SKLU2024580</t>
  </si>
  <si>
    <t>307103752820/B11</t>
  </si>
  <si>
    <t>KGN-25011701</t>
  </si>
  <si>
    <t>DEM: 05/02/2025
DET: 15/02/2025</t>
  </si>
  <si>
    <t>C/O VJ
RCEP</t>
  </si>
  <si>
    <t xml:space="preserve">SI,VGM: 09/01/2024
CY: 02:59 10/01/2025 </t>
  </si>
  <si>
    <t>KGN-25011582</t>
  </si>
  <si>
    <t>LẤY BILL GỐC, C/O TR</t>
  </si>
  <si>
    <t>LẤY BILL GỐC, C/O VJ</t>
  </si>
  <si>
    <t>C/O VJ
C/O RCEP</t>
  </si>
  <si>
    <t>COAU7256583780
(KANWAY LUCKY 006S)</t>
  </si>
  <si>
    <t>01/02/2025</t>
  </si>
  <si>
    <t>KGN-25020012</t>
  </si>
  <si>
    <t>OOCU9450442
OOCU9449565
OOCU9523343
OOCU9523472</t>
  </si>
  <si>
    <t>SL-LD.09.2025</t>
  </si>
  <si>
    <t>SL-LD.11.2025</t>
  </si>
  <si>
    <t>SL-LD.10.2025</t>
  </si>
  <si>
    <t>24/01/2025</t>
  </si>
  <si>
    <t>KGN-25020049</t>
  </si>
  <si>
    <t>04/02/2025
05/02/2025</t>
  </si>
  <si>
    <t>GOSUSNH22071570</t>
  </si>
  <si>
    <t>JXJU3223835</t>
  </si>
  <si>
    <t>02/02/2025</t>
  </si>
  <si>
    <t>KGN-25020056</t>
  </si>
  <si>
    <t>Vessel: EVER OMNI 034A
ETA: 10/02/2025</t>
  </si>
  <si>
    <r>
      <t xml:space="preserve">09/01/2025
</t>
    </r>
    <r>
      <rPr>
        <sz val="10"/>
        <color rgb="FFFF0000"/>
        <rFont val="Times New Roman"/>
        <family val="1"/>
      </rPr>
      <t>11/01/2025</t>
    </r>
  </si>
  <si>
    <t>KHO DHL</t>
  </si>
  <si>
    <t xml:space="preserve">1 KIỆN/ 2.40 KGM/ </t>
  </si>
  <si>
    <t>CHỈ MỞ TỜ KHAI</t>
  </si>
  <si>
    <t>KGN-25020103</t>
  </si>
  <si>
    <t>Lệ phí hải quan bổ sung</t>
  </si>
  <si>
    <t>KS1125010029</t>
  </si>
  <si>
    <t>TODO SEISAKUSHO</t>
  </si>
  <si>
    <t>05/02/2025</t>
  </si>
  <si>
    <t>TOYOTO</t>
  </si>
  <si>
    <t>SUZHOU GEDO</t>
  </si>
  <si>
    <t>PICANOL NV</t>
  </si>
  <si>
    <t>Lệ phí hải quan T11</t>
  </si>
  <si>
    <t>Lệ phí hải quan T12</t>
  </si>
  <si>
    <t>Lệ phí hải quan JW STONE</t>
  </si>
  <si>
    <t>KGN-25020154</t>
  </si>
  <si>
    <t>15h 05/02/2025</t>
  </si>
  <si>
    <t>CL KHO 3</t>
  </si>
  <si>
    <t>MÁY MÓC (8 MÁY)</t>
  </si>
  <si>
    <t>PTNCLP2510005</t>
  </si>
  <si>
    <t>YMMU6346359/YMAS900845</t>
  </si>
  <si>
    <t>SL-VA.04/2025</t>
  </si>
  <si>
    <t>DEM: 07/02/2025</t>
  </si>
  <si>
    <t>07/02/2025</t>
  </si>
  <si>
    <t>106904572940/A12</t>
  </si>
  <si>
    <t>106919712430/A12</t>
  </si>
  <si>
    <t>106914771130/A12</t>
  </si>
  <si>
    <t>106919809951/A12</t>
  </si>
  <si>
    <t>339IN25002385</t>
  </si>
  <si>
    <t>SI,VGM: 10H 10/02/2025 
 5H 10/02/2025</t>
  </si>
  <si>
    <t>CONG TY TNHH CHUNJU ELECTRIC VIET NAM</t>
  </si>
  <si>
    <t>MSMU4195503</t>
  </si>
  <si>
    <t>BOSHCM25010221</t>
  </si>
  <si>
    <t>08/02/2025</t>
  </si>
  <si>
    <t>06/02/2025</t>
  </si>
  <si>
    <t>97 PK/ 2079 KGM/ 4.865 CBM</t>
  </si>
  <si>
    <t>3 PK/ 3,367.500 KGM/ 11.290 CBM</t>
  </si>
  <si>
    <t>SZHTHCM2501079</t>
  </si>
  <si>
    <t>13/02/2025</t>
  </si>
  <si>
    <t>039FX05944</t>
  </si>
  <si>
    <t>039FX05949</t>
  </si>
  <si>
    <t xml:space="preserve">039FX06594 </t>
  </si>
  <si>
    <t>106926147640/A12</t>
  </si>
  <si>
    <t>WHSU5535444</t>
  </si>
  <si>
    <t>MÁY MÓC
PHÍ PHÁT SINH 12TR</t>
  </si>
  <si>
    <t>307127524340/B11
307127565860/E62</t>
  </si>
  <si>
    <t>11/02/2025</t>
  </si>
  <si>
    <t>SL-VA.05/2025</t>
  </si>
  <si>
    <t>SL-CJ.01/2025</t>
  </si>
  <si>
    <t>00000013</t>
  </si>
  <si>
    <t>00000014</t>
  </si>
  <si>
    <t>00000015</t>
  </si>
  <si>
    <t>00000012</t>
  </si>
  <si>
    <t>KGN-25020485</t>
  </si>
  <si>
    <t>339IN25006920</t>
  </si>
  <si>
    <t>KGN-25020486</t>
  </si>
  <si>
    <t>106933023850/E31
106933020940/A12</t>
  </si>
  <si>
    <t>12/02/2025</t>
  </si>
  <si>
    <t>KGN-25020522</t>
  </si>
  <si>
    <t>WHSU0049630
WHSU2586828</t>
  </si>
  <si>
    <t>307133024830/ E62
307133026930/B11</t>
  </si>
  <si>
    <t>CY: 01:00 17/02/2025</t>
  </si>
  <si>
    <t>MSBU5062944</t>
  </si>
  <si>
    <t>SL-DE.012025</t>
  </si>
  <si>
    <t>00000017</t>
  </si>
  <si>
    <t>10/02/2025</t>
  </si>
  <si>
    <t>SL-CU.01.2025</t>
  </si>
  <si>
    <t>00000016</t>
  </si>
  <si>
    <t>12/12/2025</t>
  </si>
  <si>
    <t>12/2/2025</t>
  </si>
  <si>
    <t>WHSU5240422</t>
  </si>
  <si>
    <t>KGN-25020675</t>
  </si>
  <si>
    <t>KGN-25020674</t>
  </si>
  <si>
    <t>KGN-25020676</t>
  </si>
  <si>
    <t>KGN-25020678</t>
  </si>
  <si>
    <t>00000018</t>
  </si>
  <si>
    <t>KGN-25020694</t>
  </si>
  <si>
    <t>WHSU2216905</t>
  </si>
  <si>
    <t>307131512460/E62</t>
  </si>
  <si>
    <t>307133679330/B11
307133746860/E62</t>
  </si>
  <si>
    <t>STAEUBLI SARGANS</t>
  </si>
  <si>
    <t>KGN-25020789</t>
  </si>
  <si>
    <t>KGN-25020790</t>
  </si>
  <si>
    <t>00000019
00000020</t>
  </si>
  <si>
    <t>12:00 21/02/2025</t>
  </si>
  <si>
    <t>039FX07196</t>
  </si>
  <si>
    <t>SNKO101250201397</t>
  </si>
  <si>
    <t xml:space="preserve">SINOKOR </t>
  </si>
  <si>
    <t>CAT LAI</t>
  </si>
  <si>
    <t>CY: 00:00 21/02/2025</t>
  </si>
  <si>
    <t xml:space="preserve">SI,VGM:  8H 18/02/2025
1H 19/02/2025 </t>
  </si>
  <si>
    <t>XL-HD250219</t>
  </si>
  <si>
    <t>106943440921/A12</t>
  </si>
  <si>
    <t>14/02/2025</t>
  </si>
  <si>
    <t>2 PK/1,7 KGM</t>
  </si>
  <si>
    <t>18/02/2025</t>
  </si>
  <si>
    <t>KGN-25020982</t>
  </si>
  <si>
    <t>17/02/2025</t>
  </si>
  <si>
    <t>KGN-25021003</t>
  </si>
  <si>
    <t>TRHU4088160</t>
  </si>
  <si>
    <t>SITSGOSW414413</t>
  </si>
  <si>
    <t>19/02/2025</t>
  </si>
  <si>
    <t>SKLU2357935</t>
  </si>
  <si>
    <t>307147566260/B11</t>
  </si>
  <si>
    <t>KGN-25021166</t>
  </si>
  <si>
    <t>CY 18:00 25/02/2025</t>
  </si>
  <si>
    <t>307149922350/B11
307149977650/E62</t>
  </si>
  <si>
    <t>SL-LD.12.2025</t>
  </si>
  <si>
    <t>SL-LD.13.2025</t>
  </si>
  <si>
    <t>SL-LD.14.2025</t>
  </si>
  <si>
    <t>SL-LD.15.2025</t>
  </si>
  <si>
    <t>SL-CJ.02/2025</t>
  </si>
  <si>
    <t>69 CTNS</t>
  </si>
  <si>
    <t>YTC CORPORATION</t>
  </si>
  <si>
    <t>230 CTNS</t>
  </si>
  <si>
    <t>25/02/2025</t>
  </si>
  <si>
    <t>22/02/2025</t>
  </si>
  <si>
    <t>HC2504SSGT451</t>
  </si>
  <si>
    <t>SEGU3453632
TRHU2721999</t>
  </si>
  <si>
    <t>WHLU5814757</t>
  </si>
  <si>
    <t>122500029514136</t>
  </si>
  <si>
    <t>CCL/YKJ/2025/SI2502138</t>
  </si>
  <si>
    <t>CCL/YTC/2025/SI2502137</t>
  </si>
  <si>
    <t>VJ
RCEP</t>
  </si>
  <si>
    <t>SGN2561013</t>
  </si>
  <si>
    <t>ZIMUHCM80503558</t>
  </si>
  <si>
    <t xml:space="preserve">SI,VGM: 11H 25/02/2025
13H 26/02/2025 </t>
  </si>
  <si>
    <t xml:space="preserve">SI,VGM: 16H 25/02/2025 
03H 27/02/2025 </t>
  </si>
  <si>
    <t>SL-VA.06/2025</t>
  </si>
  <si>
    <t>647</t>
  </si>
  <si>
    <t>1392</t>
  </si>
  <si>
    <t>KGN-25021279</t>
  </si>
  <si>
    <t>SNLFSKVLF4A838</t>
  </si>
  <si>
    <t xml:space="preserve">JINJIANG XILIN </t>
  </si>
  <si>
    <t>KGN-25021294</t>
  </si>
  <si>
    <t xml:space="preserve">4 tờ </t>
  </si>
  <si>
    <t>XL-HD250221</t>
  </si>
  <si>
    <t>INV XL-NV2501</t>
  </si>
  <si>
    <t>PHÍ TK XUẤT TC T2.25</t>
  </si>
  <si>
    <t>15 TK</t>
  </si>
  <si>
    <r>
      <t>THÁNG 03/2025</t>
    </r>
    <r>
      <rPr>
        <b/>
        <sz val="10"/>
        <color rgb="FFFF0000"/>
        <rFont val="Times New Roman"/>
        <family val="1"/>
      </rPr>
      <t xml:space="preserve"> (SERVICE DAY TỪ NGÀY 01/03/25)</t>
    </r>
  </si>
  <si>
    <r>
      <t xml:space="preserve">THÁNG 03/2025 </t>
    </r>
    <r>
      <rPr>
        <b/>
        <sz val="10"/>
        <color rgb="FFFF0000"/>
        <rFont val="Times New Roman"/>
        <family val="1"/>
      </rPr>
      <t>(SERVICE DAY TỪ NGÀY 3/3/25)</t>
    </r>
  </si>
  <si>
    <t>SHHCM25022935</t>
  </si>
  <si>
    <t>3 PP/ 1920 KGM/ 6 CBM</t>
  </si>
  <si>
    <t>WUXI KAI</t>
  </si>
  <si>
    <t>ETA: 22/02/2025</t>
  </si>
  <si>
    <t>KGN-25021341</t>
  </si>
  <si>
    <t>KGN-25021343</t>
  </si>
  <si>
    <t>039FX08342</t>
  </si>
  <si>
    <t>6H 28/02/2025</t>
  </si>
  <si>
    <t>GOSUXIA8462394
(WAN HAI 335 014S)</t>
  </si>
  <si>
    <t>KGN-25021468</t>
  </si>
  <si>
    <t>KGN-25021469</t>
  </si>
  <si>
    <t>190 CTNS</t>
  </si>
  <si>
    <t>Đỏ</t>
  </si>
  <si>
    <t>23/02/2025</t>
  </si>
  <si>
    <t>KHO NGOẠI QUAN U&amp;I</t>
  </si>
  <si>
    <t>JJCSKSGY500864</t>
  </si>
  <si>
    <t>TWCU2208145
TWCU2138433
CAAU2543367
TWCU2167853
BMOU1671520
TIIU2344099
TLLU3636857
TWCU2153736</t>
  </si>
  <si>
    <t>106960336560/E31</t>
  </si>
  <si>
    <t>21/02/2025</t>
  </si>
  <si>
    <t>00000021</t>
  </si>
  <si>
    <t>7 NGÀY</t>
  </si>
  <si>
    <t>24/02/2025</t>
  </si>
  <si>
    <t>Phí C/O</t>
  </si>
  <si>
    <t>KGN-25011174-BS1</t>
  </si>
  <si>
    <t>01/03/2025</t>
  </si>
  <si>
    <t>FSCU8154763</t>
  </si>
  <si>
    <t>KGN-25011422-BS1</t>
  </si>
  <si>
    <t>A59F004500</t>
  </si>
  <si>
    <t>04H 28/02/2025 
CY: 12H 28/02/2025</t>
  </si>
  <si>
    <t>307164544760/B11</t>
  </si>
  <si>
    <t>TLLU3136450</t>
  </si>
  <si>
    <t>TCNU5966440</t>
  </si>
  <si>
    <t>2</t>
  </si>
  <si>
    <t>ZIMUHCM80504958</t>
  </si>
  <si>
    <t xml:space="preserve">SI,VGM: 8H 26/02/2025
3H 27/03/2025 </t>
  </si>
  <si>
    <t>2 PK/ 1050 KGM/ 0.26 CBM</t>
  </si>
  <si>
    <t>HWNBCLI2500004
(XIN MING ZHOU 90 2501)</t>
  </si>
  <si>
    <t>KGN-25021801</t>
  </si>
  <si>
    <t>KGN-25021804</t>
  </si>
  <si>
    <t>YMJAE490389292C</t>
  </si>
  <si>
    <t>KIỂM HÓA 8 CONT
CHI BẤM SEAL 4 CONT
PHÁT SINH 500K -&gt; CÔNG NỢ PHÍ DV</t>
  </si>
  <si>
    <t>Hiệp Phước</t>
  </si>
  <si>
    <t>CÁT ĐÁ THẠCH ANH</t>
  </si>
  <si>
    <t>NHỰA POLYESTER</t>
  </si>
  <si>
    <t>28T/cont</t>
  </si>
  <si>
    <t>VJ</t>
  </si>
  <si>
    <t>26/02/2025</t>
  </si>
  <si>
    <t>CCL/YKJ/2025/I2502163</t>
  </si>
  <si>
    <t>JXLU6191990
ZCSU6626157</t>
  </si>
  <si>
    <t>3T5</t>
  </si>
  <si>
    <t>1 CS/ 421 KGM/ 3.660 CBM</t>
  </si>
  <si>
    <r>
      <t xml:space="preserve">1TR CHI MIỄN KIỂM
</t>
    </r>
    <r>
      <rPr>
        <b/>
        <sz val="10"/>
        <rFont val="Times New Roman"/>
        <family val="1"/>
      </rPr>
      <t>MÁY MÓC</t>
    </r>
  </si>
  <si>
    <t>KGN-25021880</t>
  </si>
  <si>
    <t>00000027</t>
  </si>
  <si>
    <t>00000023</t>
  </si>
  <si>
    <t>00000024</t>
  </si>
  <si>
    <t>00000025</t>
  </si>
  <si>
    <t>00000026</t>
  </si>
  <si>
    <t>KGN-25021921</t>
  </si>
  <si>
    <t>27/02/2025
28/02/2025</t>
  </si>
  <si>
    <t>KGN-25011288-BS1</t>
  </si>
  <si>
    <t>ĐĂNG KÝ DSQ 2tr</t>
  </si>
  <si>
    <t>WHSU5572710</t>
  </si>
  <si>
    <t>307170059250/B11
307170126710/E62</t>
  </si>
  <si>
    <t>27/02/2025</t>
  </si>
  <si>
    <t>KGN-25022076</t>
  </si>
  <si>
    <t>KGN-25022077</t>
  </si>
  <si>
    <t>KGN-25022078</t>
  </si>
  <si>
    <t>THÁNG 3/2025</t>
  </si>
  <si>
    <t>04/03/2025</t>
  </si>
  <si>
    <t>KGN-25022082</t>
  </si>
  <si>
    <t>DLNV-20250226</t>
  </si>
  <si>
    <t>3106,17</t>
  </si>
  <si>
    <t>10H 01/03/2025</t>
  </si>
  <si>
    <t>IAAU2847560</t>
  </si>
  <si>
    <t>307172725920/B11</t>
  </si>
  <si>
    <t>KGN-25022095</t>
  </si>
  <si>
    <t>07/03/2025</t>
  </si>
  <si>
    <t>039FX12939</t>
  </si>
  <si>
    <t>SI: 14H 07/03/2025
11H 09/03/2025</t>
  </si>
  <si>
    <t>8T + 5T (2 XE)</t>
  </si>
  <si>
    <t>SL-VA.07/2025</t>
  </si>
  <si>
    <t>00000028</t>
  </si>
  <si>
    <t>CHỈ KHAI TK</t>
  </si>
  <si>
    <t>FCIU6234053
SNBU2332322
SNBU2296570</t>
  </si>
  <si>
    <t>12/03/2025</t>
  </si>
  <si>
    <t>147500114564</t>
  </si>
  <si>
    <t>XL-HD250225</t>
  </si>
  <si>
    <t>KHAI BÁO HÓA CHẤT
THU TRÁI TUYẾN HIỆP PHƯỚC</t>
  </si>
  <si>
    <t>HASL007250201534</t>
  </si>
  <si>
    <t>XL-HD250229</t>
  </si>
  <si>
    <t>COAU7257463930 
(HANSA FRESENBURG 085W)</t>
  </si>
  <si>
    <t>OOLU1974877</t>
  </si>
  <si>
    <t>PRUTEX NYLON</t>
  </si>
  <si>
    <t>KGN-25022316</t>
  </si>
  <si>
    <t>03/03/2025</t>
  </si>
  <si>
    <t>KGN-25022317</t>
  </si>
  <si>
    <r>
      <t>TGCU2080236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ZIMU1159320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ZIMU1445561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ZIMU2794254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ZIMU3064970
ZIMU3076518
ZIMU3162869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ZIMU3145326
ZIMU3088735
ZIMU3168419</t>
    </r>
  </si>
  <si>
    <t>KGN-25030009</t>
  </si>
  <si>
    <t>SL-VA.08/2025</t>
  </si>
  <si>
    <t>SL-CU.02.2025</t>
  </si>
  <si>
    <t>PKECLP2520079</t>
  </si>
  <si>
    <t>YMLU5182956/YMAS899155</t>
  </si>
  <si>
    <t>ETA: 03/03/2025</t>
  </si>
  <si>
    <t>PTNCLP2520003</t>
  </si>
  <si>
    <t>FUJIAN SEALINKE
khai báo hóa chất</t>
  </si>
  <si>
    <t>EGLV147500196579</t>
  </si>
  <si>
    <t>XL-NV250308</t>
  </si>
  <si>
    <t>106984152550/E31</t>
  </si>
  <si>
    <t>INTERASIA</t>
  </si>
  <si>
    <t>A59F003755</t>
  </si>
  <si>
    <t>CUT OFF:  9H 05/03/2025</t>
  </si>
  <si>
    <t>00000029</t>
  </si>
  <si>
    <t>SL-CJ.03/2025</t>
  </si>
  <si>
    <t>HWNBCLI2500005
(XIN MING ZHOU 102 2503S)</t>
  </si>
  <si>
    <t>1 PK/ 420 KGS/ 0.6 CBM</t>
  </si>
  <si>
    <t>POT HANDLE</t>
  </si>
  <si>
    <t>YMMU6397973/YMAS903631</t>
  </si>
  <si>
    <t>307189274250/B11</t>
  </si>
  <si>
    <t>IAAU2785983</t>
  </si>
  <si>
    <t>KGN-25030140</t>
  </si>
  <si>
    <t>00000032</t>
  </si>
  <si>
    <t>00000030
00000031</t>
  </si>
  <si>
    <t>DET: 11/03/2025</t>
  </si>
  <si>
    <t>06/03/2025</t>
  </si>
  <si>
    <t>23/8/2022</t>
  </si>
  <si>
    <t>14/1/2023</t>
  </si>
  <si>
    <t>KGN-25030163</t>
  </si>
  <si>
    <t>KGN-25030165</t>
  </si>
  <si>
    <t>106984793310/A12
106984776512/A31
106984810810/E31</t>
  </si>
  <si>
    <t>KGN-25030173</t>
  </si>
  <si>
    <t>KGN-25030175</t>
  </si>
  <si>
    <t>KGN-25030176</t>
  </si>
  <si>
    <t>122500030042794</t>
  </si>
  <si>
    <t>CCL/YKJ/2025/SI2503046</t>
  </si>
  <si>
    <t>200K QUÉT TK</t>
  </si>
  <si>
    <t>106988121331/E31
106988074910/A12</t>
  </si>
  <si>
    <t>DRYU2726000
EGSU3416934
EITU3119548</t>
  </si>
  <si>
    <t>BSUNG NỢ CSHT</t>
  </si>
  <si>
    <t>307194839250/B11
307194877900/E62</t>
  </si>
  <si>
    <t>WHSU5242718</t>
  </si>
  <si>
    <t>039FX12940</t>
  </si>
  <si>
    <t>6H 17/03/2025
CY:</t>
  </si>
  <si>
    <t>SL-CJ.04/2025</t>
  </si>
  <si>
    <t>10/03/2025</t>
  </si>
  <si>
    <t>KGN-25030270</t>
  </si>
  <si>
    <t>08/03/2025
CFS PHÚ HỮU</t>
  </si>
  <si>
    <t xml:space="preserve">SITSGOSW418097 </t>
  </si>
  <si>
    <t xml:space="preserve">SITSGNGW418212 </t>
  </si>
  <si>
    <t>19H 16/03/2025
CY: 15:00 15/03/2025</t>
  </si>
  <si>
    <t>KGN-25030279</t>
  </si>
  <si>
    <t>00000034</t>
  </si>
  <si>
    <t>EBKG12020236</t>
  </si>
  <si>
    <t>22H 12/03/2025</t>
  </si>
  <si>
    <t>28/02/2025</t>
  </si>
  <si>
    <t>11/03/2025</t>
  </si>
  <si>
    <t>01/03/2025
CFS PHÚ HỮU</t>
  </si>
  <si>
    <t>Lệ phí hải quan t2</t>
  </si>
  <si>
    <t>Lệ phí hải quan t3</t>
  </si>
  <si>
    <t>KHO SCSC</t>
  </si>
  <si>
    <t>ETA: 08/03/2025</t>
  </si>
  <si>
    <t>SL-LD.16.2025</t>
  </si>
  <si>
    <t>SL-LD.17.2025</t>
  </si>
  <si>
    <t>SL-LD.18.2025</t>
  </si>
  <si>
    <t>SL-LD.19.2025</t>
  </si>
  <si>
    <t>107003417620/H21</t>
  </si>
  <si>
    <t xml:space="preserve">MSMU8171644       </t>
  </si>
  <si>
    <t>FX34983308</t>
  </si>
  <si>
    <t>LEVA-20250311</t>
  </si>
  <si>
    <t>18711.43</t>
  </si>
  <si>
    <t>13/03/2025</t>
  </si>
  <si>
    <t>SGN2622590</t>
  </si>
  <si>
    <t>4H 16/03/2025
CY: 07:59 15/03/2025</t>
  </si>
  <si>
    <t>SKLU0726973
SKLU1427811
SKLU1626161</t>
  </si>
  <si>
    <t>14/03/2025</t>
  </si>
  <si>
    <t>XL-HC250313</t>
  </si>
  <si>
    <t>SL-VA.09/2025</t>
  </si>
  <si>
    <t>KGN-25030611</t>
  </si>
  <si>
    <t>KGN-25030614</t>
  </si>
  <si>
    <t>PXK: 00000058</t>
  </si>
  <si>
    <t>LY-LHY01/02/03/04/06-25</t>
  </si>
  <si>
    <t>BỒN SỨ</t>
  </si>
  <si>
    <t>KGN-25030615</t>
  </si>
  <si>
    <t>KGN-25030616</t>
  </si>
  <si>
    <t>400 CTNS</t>
  </si>
  <si>
    <t>15/03/2025</t>
  </si>
  <si>
    <t>307211204660/B11</t>
  </si>
  <si>
    <t>SITU2716917</t>
  </si>
  <si>
    <t>TEMU1044797</t>
  </si>
  <si>
    <t>HWNBCLI2500009
(WAN HAI 335 015S)</t>
  </si>
  <si>
    <t>3 PK/ 2400 KGS/ 0.69 CBM</t>
  </si>
  <si>
    <t>SL-CU.03.2025</t>
  </si>
  <si>
    <t>00000035</t>
  </si>
  <si>
    <t>00000036</t>
  </si>
  <si>
    <t>KGN-25030731</t>
  </si>
  <si>
    <t>13/03/2025
14/03/2025</t>
  </si>
  <si>
    <t>BEAU2698536</t>
  </si>
  <si>
    <t>DRYU2769867
EGSU3242914
EITU0136840</t>
  </si>
  <si>
    <t>EBKG12004094</t>
  </si>
  <si>
    <t>CY: 22H 19/03/2025</t>
  </si>
  <si>
    <t>EBKG12091522</t>
  </si>
  <si>
    <t>SI 10H 26/03/2025
CY: 2H 28/03/2025</t>
  </si>
  <si>
    <t>307216245950/B11</t>
  </si>
  <si>
    <t>KGN-25030844</t>
  </si>
  <si>
    <t>00000037</t>
  </si>
  <si>
    <t>00000038</t>
  </si>
  <si>
    <t>00000039</t>
  </si>
  <si>
    <t>00000040</t>
  </si>
  <si>
    <t>WHSU5790178</t>
  </si>
  <si>
    <t>307217019120
307217029140</t>
  </si>
  <si>
    <t>APZU3242579</t>
  </si>
  <si>
    <t>M1024691</t>
  </si>
  <si>
    <t>CY: 12:00 21/03/2025</t>
  </si>
  <si>
    <t>307214320840/B11
307214376620/E62</t>
  </si>
  <si>
    <t>DH-20241231</t>
  </si>
  <si>
    <t>KGN-25030867</t>
  </si>
  <si>
    <t>KGN-25030871</t>
  </si>
  <si>
    <t xml:space="preserve">HASLS21250202652 </t>
  </si>
  <si>
    <t>8H 21/03/2025
CY: 23H 20/03/2025</t>
  </si>
  <si>
    <t>KGN-25030874</t>
  </si>
  <si>
    <t>039FX20598</t>
  </si>
  <si>
    <t>SI,VGM: 10H 21/03/2025
15H 22/03/2025</t>
  </si>
  <si>
    <t>46280</t>
  </si>
  <si>
    <t>84077</t>
  </si>
  <si>
    <t>84084</t>
  </si>
  <si>
    <t>84144</t>
  </si>
  <si>
    <t>Phụ thu lấy cont xa 
(cảng Hiệp Phước)</t>
  </si>
  <si>
    <t>18/03/2025</t>
  </si>
  <si>
    <t>KGN-25030992</t>
  </si>
  <si>
    <t>PKECLP2520117</t>
  </si>
  <si>
    <t>ETA: 18/03/2025</t>
  </si>
  <si>
    <t>039FX17387</t>
  </si>
  <si>
    <t>SL-LD.20.2025</t>
  </si>
  <si>
    <t>SL-LD.21.2025</t>
  </si>
  <si>
    <t>SL-LD.22.2025</t>
  </si>
  <si>
    <t>đã settle nâng/hạ</t>
  </si>
  <si>
    <t>MEDU6959280</t>
  </si>
  <si>
    <t>FX34908156</t>
  </si>
  <si>
    <t>LEVA-20250318-3</t>
  </si>
  <si>
    <t>BMOU2138433</t>
  </si>
  <si>
    <t>FX34908171</t>
  </si>
  <si>
    <t>LEVA-20250318-2</t>
  </si>
  <si>
    <t>54040</t>
  </si>
  <si>
    <t>DRYU2986688
EMCU6125790</t>
  </si>
  <si>
    <t>22/03/2025</t>
  </si>
  <si>
    <t>25/03/2025</t>
  </si>
  <si>
    <t>17/03/2025</t>
  </si>
  <si>
    <t>20/03/2025</t>
  </si>
  <si>
    <t>19/03/2025</t>
  </si>
  <si>
    <t>CAAU8815415/IAAH336677
IAAU1020428/IAAH331948</t>
  </si>
  <si>
    <t>TYDS25030008A
(HONG AN 2507S)</t>
  </si>
  <si>
    <t>21/03/2025</t>
  </si>
  <si>
    <t>1 PP/ 1000 KGS/ 1.921 CBM
144*115*116 cm</t>
  </si>
  <si>
    <t>00000041</t>
  </si>
  <si>
    <t>00000042</t>
  </si>
  <si>
    <t>00000043</t>
  </si>
  <si>
    <t>KGN-25031159</t>
  </si>
  <si>
    <t>KGN-25031160</t>
  </si>
  <si>
    <t>KGN-25031161</t>
  </si>
  <si>
    <t>039FX21532</t>
  </si>
  <si>
    <t>SI: 16H 27/03/2025
CY: 1H 30/03/2025</t>
  </si>
  <si>
    <t>107022362201/A12
107022380360/E31</t>
  </si>
  <si>
    <t>WHSU6277792</t>
  </si>
  <si>
    <t>CƯỢC 3TR/CONT</t>
  </si>
  <si>
    <t>307228859360/B11
307228898820/E62</t>
  </si>
  <si>
    <t>KGN-25031178</t>
  </si>
  <si>
    <t>039FX17388</t>
  </si>
  <si>
    <t>18H 30/03/2025</t>
  </si>
  <si>
    <r>
      <t>THÁNG 04/2025</t>
    </r>
    <r>
      <rPr>
        <b/>
        <sz val="10"/>
        <color rgb="FFFF0000"/>
        <rFont val="Times New Roman"/>
        <family val="1"/>
      </rPr>
      <t xml:space="preserve"> (SERVICE DAY TỪ NGÀY 01/04/25)</t>
    </r>
  </si>
  <si>
    <r>
      <t xml:space="preserve">THÁNG 03/2025 </t>
    </r>
    <r>
      <rPr>
        <b/>
        <sz val="10"/>
        <color rgb="FFFF0000"/>
        <rFont val="Times New Roman"/>
        <family val="1"/>
      </rPr>
      <t>(SERVICE DAY TỪ NGÀY 27/02/25)</t>
    </r>
  </si>
  <si>
    <t>PHÍ TK XUẤT TC T3.25</t>
  </si>
  <si>
    <t>14 TK</t>
  </si>
  <si>
    <t>307232347350/B11</t>
  </si>
  <si>
    <t>HALU2074908</t>
  </si>
  <si>
    <t>HEUNG A</t>
  </si>
  <si>
    <r>
      <t xml:space="preserve">THÁNG 04/2025 </t>
    </r>
    <r>
      <rPr>
        <b/>
        <sz val="10"/>
        <color rgb="FFFF0000"/>
        <rFont val="Times New Roman"/>
        <family val="1"/>
      </rPr>
      <t>(SERVICE DAY TỪ NGÀY 3/4/25)</t>
    </r>
  </si>
  <si>
    <t>EGLV147500260765</t>
  </si>
  <si>
    <t>WHSU5732968</t>
  </si>
  <si>
    <t>WHAB653958</t>
  </si>
  <si>
    <t>KP-20250320-1</t>
  </si>
  <si>
    <t>WHSU6193520</t>
  </si>
  <si>
    <t>WHAB653954</t>
  </si>
  <si>
    <t>KP-20250320-2</t>
  </si>
  <si>
    <t>KGN-25031218</t>
  </si>
  <si>
    <t>KGN-25031200</t>
  </si>
  <si>
    <t>WHSU8084051</t>
  </si>
  <si>
    <t>WHAB653942</t>
  </si>
  <si>
    <t>KP-20250320-3</t>
  </si>
  <si>
    <t>KGN-25031258</t>
  </si>
  <si>
    <t>SL-VA.10/2025</t>
  </si>
  <si>
    <t>24/03/2025</t>
  </si>
  <si>
    <t>KIỂM HÓA, TK TÁI NHẬP</t>
  </si>
  <si>
    <t>039FX22768</t>
  </si>
  <si>
    <t>12H 30/03/2025</t>
  </si>
  <si>
    <t>GLDU2240423</t>
  </si>
  <si>
    <t>FX38781143</t>
  </si>
  <si>
    <t>LEVA-20250324-4</t>
  </si>
  <si>
    <t>MEDU3646173</t>
  </si>
  <si>
    <t>FX38781145</t>
  </si>
  <si>
    <t>LEVA-20250324-5</t>
  </si>
  <si>
    <t>MEDU3312556</t>
  </si>
  <si>
    <t>FX38781208</t>
  </si>
  <si>
    <t>LEVA-20250324-6</t>
  </si>
  <si>
    <t>KGN-25031597</t>
  </si>
  <si>
    <t>00000044</t>
  </si>
  <si>
    <r>
      <t xml:space="preserve">THÁNG 04/2025 </t>
    </r>
    <r>
      <rPr>
        <b/>
        <sz val="10"/>
        <color rgb="FFFF0000"/>
        <rFont val="Times New Roman"/>
        <family val="1"/>
      </rPr>
      <t>(SERVICE DAY TỪ NGÀY 20/04/25)</t>
    </r>
  </si>
  <si>
    <t>AMIGL230000958A</t>
  </si>
  <si>
    <t>KBHCM-061-018-22JP</t>
  </si>
  <si>
    <t>JPUKB</t>
  </si>
  <si>
    <t>CNSHA</t>
  </si>
  <si>
    <t>YMJAE490390640C</t>
  </si>
  <si>
    <t>18 PK/ 2917.2 GW/ 18.72 CBM</t>
  </si>
  <si>
    <t>10H 31/03/2025</t>
  </si>
  <si>
    <t>ZIMUHCM80514940</t>
  </si>
  <si>
    <t>26/03/2025</t>
  </si>
  <si>
    <t>KGN-25031663</t>
  </si>
  <si>
    <t>KGN-25031665</t>
  </si>
  <si>
    <t>23H 31/03/2025
CY: 7H 01/04/2025</t>
  </si>
  <si>
    <t>ZIMUHCM80515448</t>
  </si>
  <si>
    <t>3H30 01/04/2025</t>
  </si>
  <si>
    <t>WHLU0457976</t>
  </si>
  <si>
    <t>WHLT177235</t>
  </si>
  <si>
    <t>DH-20230806-1</t>
  </si>
  <si>
    <t>DH-20230806-2</t>
  </si>
  <si>
    <t>WHSU2018411</t>
  </si>
  <si>
    <t>WHLW862747</t>
  </si>
  <si>
    <t>27/03/2025</t>
  </si>
  <si>
    <t>KGN-25031813</t>
  </si>
  <si>
    <t>HĐ nâng + 400K</t>
  </si>
  <si>
    <t>DH-20230806-3</t>
  </si>
  <si>
    <t>DH-20230806-4</t>
  </si>
  <si>
    <t>DH-20230806-5</t>
  </si>
  <si>
    <t>WHSU2622252</t>
  </si>
  <si>
    <t>WHLW854259</t>
  </si>
  <si>
    <t>WHSU2490109</t>
  </si>
  <si>
    <t>WHLW854266</t>
  </si>
  <si>
    <t>WHSU2893001</t>
  </si>
  <si>
    <t>WHLW854202</t>
  </si>
  <si>
    <t>28/03/2025</t>
  </si>
  <si>
    <t>2 XE 8T</t>
  </si>
  <si>
    <t>DLNV-20250328</t>
  </si>
  <si>
    <t>LEVA-20250328</t>
  </si>
  <si>
    <t>DH-20230806-6</t>
  </si>
  <si>
    <t>DH-20230806-7</t>
  </si>
  <si>
    <t>DH-20230806-8</t>
  </si>
  <si>
    <t>01/04/2025</t>
  </si>
  <si>
    <t>COAU7258050090
(BAL PEACE 029S)</t>
  </si>
  <si>
    <t>KGN-25031960</t>
  </si>
  <si>
    <t>KGN-25031961</t>
  </si>
  <si>
    <t>TIIU6283290</t>
  </si>
  <si>
    <t>307253775900/E62
307253737030/B11</t>
  </si>
  <si>
    <t>039FX22172</t>
  </si>
  <si>
    <t>Phí cho tờ khai 
thứ 2</t>
  </si>
  <si>
    <t>THÁNG 4/2025</t>
  </si>
  <si>
    <t>02/04/2025</t>
  </si>
  <si>
    <t>307258032340/B11</t>
  </si>
  <si>
    <t>WHSU2783832
WHSU2455601</t>
  </si>
  <si>
    <t>KGN-25032037</t>
  </si>
  <si>
    <t>ZIMU3012880</t>
  </si>
  <si>
    <t>A4251253838</t>
  </si>
  <si>
    <t>SHHCM25047639</t>
  </si>
  <si>
    <t>29/03/2025</t>
  </si>
  <si>
    <t>CAT LAI KHO 2</t>
  </si>
  <si>
    <t>3 PP/ 1209 KGM/ 5 CBM</t>
  </si>
  <si>
    <t>KGN-25032054</t>
  </si>
  <si>
    <t>KGN-25032062</t>
  </si>
  <si>
    <t>KGN-25032071</t>
  </si>
  <si>
    <t>KGN-25032098</t>
  </si>
  <si>
    <t>ZIMU1001968</t>
  </si>
  <si>
    <t>A4251253820</t>
  </si>
  <si>
    <t>FCIU4127734</t>
  </si>
  <si>
    <t>A4251253813</t>
  </si>
  <si>
    <t>ZCSU2598313</t>
  </si>
  <si>
    <t>A4251246435</t>
  </si>
  <si>
    <t>31/03/2025</t>
  </si>
  <si>
    <t>KGN-25032180</t>
  </si>
  <si>
    <t>039FX24352</t>
  </si>
  <si>
    <t>252045381</t>
  </si>
  <si>
    <t>252045736</t>
  </si>
  <si>
    <t>1H 09/04/2025</t>
  </si>
  <si>
    <t>11H 08/03/2025</t>
  </si>
  <si>
    <t>SL-VA.11/2025</t>
  </si>
  <si>
    <t>CHI HỘ DSQ 38 USD
(tỷ giá 28/3: 25,760)</t>
  </si>
  <si>
    <t>SL-CJ.05/2025</t>
  </si>
  <si>
    <t>CƯỢC CONT 3TR</t>
  </si>
  <si>
    <t>KGN-25040088</t>
  </si>
  <si>
    <t>SZHCM25033178
(WAN HAI 286 S081)</t>
  </si>
  <si>
    <t>5 PK/ 5100 KGM/ 8.337 CBM</t>
  </si>
  <si>
    <t>HWNBCLI2500014
(PHOENIX D V. 513S)</t>
  </si>
  <si>
    <t>4 PK/ 4200 KGM/ 7.2 CBM</t>
  </si>
  <si>
    <t xml:space="preserve">18/03/2025	</t>
  </si>
  <si>
    <t>LPHQ</t>
  </si>
  <si>
    <t>KGN-25040152</t>
  </si>
  <si>
    <t>01/04/2025
DEM 06/04/2025
DET 08/04/2025</t>
  </si>
  <si>
    <t>BEAU2120316
CSNU1702151
DFSU1822192
FTAU1571597
OOCU0775940
OOLU1164198
OOLU1594413
OOLU1602041
OOLU1723320
OOLU1915560
TGBU3241028
TLLU3105402</t>
  </si>
  <si>
    <t>03/04/2025
04/04/2025</t>
  </si>
  <si>
    <t>107060531541/A12</t>
  </si>
  <si>
    <t>339IN25022316</t>
  </si>
  <si>
    <t>03/04/2025</t>
  </si>
  <si>
    <t>KGN-25040198</t>
  </si>
  <si>
    <t>00000045</t>
  </si>
  <si>
    <t>00000046</t>
  </si>
  <si>
    <t xml:space="preserve">SI,VGM: 09H 04/04/2025  CY:  20H 05/04/2025 </t>
  </si>
  <si>
    <t xml:space="preserve">MSDU4181268 </t>
  </si>
  <si>
    <r>
      <t>THÁNG 4/2025 (</t>
    </r>
    <r>
      <rPr>
        <b/>
        <sz val="10"/>
        <color rgb="FFFF0000"/>
        <rFont val="Times New Roman"/>
        <family val="1"/>
      </rPr>
      <t>SERVICE DAY TỪ NGÀY 03/4</t>
    </r>
    <r>
      <rPr>
        <b/>
        <sz val="10"/>
        <rFont val="Times New Roman"/>
        <family val="1"/>
      </rPr>
      <t>)</t>
    </r>
  </si>
  <si>
    <t>09/04/2025</t>
  </si>
  <si>
    <t>05/04/2025</t>
  </si>
  <si>
    <t>04/04/2025</t>
  </si>
  <si>
    <t>BSIU3184552</t>
  </si>
  <si>
    <t>KGN-25040331</t>
  </si>
  <si>
    <t>KGN-25040332</t>
  </si>
  <si>
    <t>MRKU2070947</t>
  </si>
  <si>
    <t>ML-VN0063984</t>
  </si>
  <si>
    <t>LEVA-20250404-2</t>
  </si>
  <si>
    <t>MSKU5042663</t>
  </si>
  <si>
    <t>ML-VN0063845</t>
  </si>
  <si>
    <t>LEVA-20250404-1</t>
  </si>
  <si>
    <t>08/04/2025</t>
  </si>
  <si>
    <t>SZHCM25036735
(SITC TIANJIN 2510S)</t>
  </si>
  <si>
    <t>2 PW CASE/ 998 KGM/ 10.603 CBM</t>
  </si>
  <si>
    <t>06/04/2025</t>
  </si>
  <si>
    <t>SL-CU.04.2025</t>
  </si>
  <si>
    <t>00000047</t>
  </si>
  <si>
    <t xml:space="preserve">039FX26390 </t>
  </si>
  <si>
    <t>WHSU6639741</t>
  </si>
  <si>
    <t>307286813910/B11
307286832440/E62</t>
  </si>
  <si>
    <t>ZIMUHCM80517213</t>
  </si>
  <si>
    <t>EBKG12347330</t>
  </si>
  <si>
    <t>JXLU7805748</t>
  </si>
  <si>
    <t>A4251239034</t>
  </si>
  <si>
    <t>LF01P-20250408</t>
  </si>
  <si>
    <t>TGHU0548028</t>
  </si>
  <si>
    <t>FX38777142</t>
  </si>
  <si>
    <t>DH-20231112</t>
  </si>
  <si>
    <t>EGLV147500231889</t>
  </si>
  <si>
    <t>INV HD250327</t>
  </si>
  <si>
    <t>DRYU2663350
EGHU3936660</t>
  </si>
  <si>
    <t>GXSAG25032420</t>
  </si>
  <si>
    <t>ETA: 09/04/2025</t>
  </si>
  <si>
    <t>2 PP/ 1260 KGM/ 1.26 CBM</t>
  </si>
  <si>
    <t>CHI BẤM SEAL</t>
  </si>
  <si>
    <t>KGN-25040656</t>
  </si>
  <si>
    <t>KGN-25040659</t>
  </si>
  <si>
    <t>10/04/2025</t>
  </si>
  <si>
    <t>17H 12/04/2025</t>
  </si>
  <si>
    <t>EBKG12023062</t>
  </si>
  <si>
    <t>039FX22170</t>
  </si>
  <si>
    <t>107080732141/A12 107080757340/E31</t>
  </si>
  <si>
    <t>SI,VGM: 09H 11/04/2025   10H 12/04/2025  
CY: 15H 11/04/2025</t>
  </si>
  <si>
    <t>SI,VGM: 09H 14/04/2025  15H 13/04/2025  
CY: 15:29 13/04/2025</t>
  </si>
  <si>
    <t>SL-LD.23.2025</t>
  </si>
  <si>
    <t>SL-LD.24.2025</t>
  </si>
  <si>
    <t>SL-LD.25.2025</t>
  </si>
  <si>
    <t>SL-LD.26.2025</t>
  </si>
  <si>
    <t>WHSU5728844</t>
  </si>
  <si>
    <t>307292907410/E62
307292899340/B11</t>
  </si>
  <si>
    <t>251899508</t>
  </si>
  <si>
    <t>KGN-25040813</t>
  </si>
  <si>
    <t>KGN-25040816</t>
  </si>
  <si>
    <t>KGN-25040820</t>
  </si>
  <si>
    <t>TRHU4047601</t>
  </si>
  <si>
    <t>W251603</t>
  </si>
  <si>
    <t>10H 15/03/2025</t>
  </si>
  <si>
    <t>UACU3875277</t>
  </si>
  <si>
    <t>WHSU2922250</t>
  </si>
  <si>
    <t>16/04/2025</t>
  </si>
  <si>
    <t>20/04/2025</t>
  </si>
  <si>
    <t>XL-NV250405</t>
  </si>
  <si>
    <t>18/04/2025</t>
  </si>
  <si>
    <t>KGN-25040889</t>
  </si>
  <si>
    <t>11/04/2025</t>
  </si>
  <si>
    <t>1 PK/ 1430.60 KGM/ 1.08 CBM</t>
  </si>
  <si>
    <t>CAT LAI KHO 5</t>
  </si>
  <si>
    <t>KGN-25040891</t>
  </si>
  <si>
    <t>KGN-25040892</t>
  </si>
  <si>
    <t>KGN-25040893</t>
  </si>
  <si>
    <t>KGN-25040895</t>
  </si>
  <si>
    <t>KGN-25040896</t>
  </si>
  <si>
    <t>KGN-25040931</t>
  </si>
  <si>
    <t>2 NHÀ CUNG CẤP THƯỜNG KHAI BÁO HÓA CHẤT: FUJIAN SEALINKE + XIAMEN INMAIIN
JINJIANG XILIN - ĐÁ NHÂN TẠO PHẢI GIÁM ĐỊNH HỢP QUY XÂY DỰNG</t>
  </si>
  <si>
    <t>TEMU4170166</t>
  </si>
  <si>
    <t>SITSGNGW425208</t>
  </si>
  <si>
    <t xml:space="preserve">12734308 </t>
  </si>
  <si>
    <t>17H 19/04/2025
CY: 16:59 20/04/2025</t>
  </si>
  <si>
    <t>14/04/2025</t>
  </si>
  <si>
    <t>024F529206</t>
  </si>
  <si>
    <t>XL-SY250412</t>
  </si>
  <si>
    <t>WHSU2864533</t>
  </si>
  <si>
    <t>KGN-25041028</t>
  </si>
  <si>
    <t>KGN-25041029</t>
  </si>
  <si>
    <t>KGN-25040897</t>
  </si>
  <si>
    <t>HWCLI2500854 
(ASL QINGDAO 2504S)</t>
  </si>
  <si>
    <t>1 PK/ 100 KGM/ 0.35 CBM</t>
  </si>
  <si>
    <t>SL-VA.12/2025</t>
  </si>
  <si>
    <t>1381</t>
  </si>
  <si>
    <t>252365298</t>
  </si>
  <si>
    <t>MRKU7604691
MRKU6950909</t>
  </si>
  <si>
    <t>XL-NV2502A</t>
  </si>
  <si>
    <t>KGN-25041043</t>
  </si>
  <si>
    <t>MÁY MÓC
XE 8T
CHI KIỂM HÓA 1tr2</t>
  </si>
  <si>
    <t>00000048</t>
  </si>
  <si>
    <t>00000049</t>
  </si>
  <si>
    <t>00000050</t>
  </si>
  <si>
    <t>00000051</t>
  </si>
  <si>
    <t>16/04/205</t>
  </si>
  <si>
    <t>00000052</t>
  </si>
  <si>
    <t>DH-20240829C</t>
  </si>
  <si>
    <t>15/04/2025</t>
  </si>
  <si>
    <t xml:space="preserve">039FX31487 </t>
  </si>
  <si>
    <t>CY: 17:00 19/04/2025
BK: 6H 20/04/2025</t>
  </si>
  <si>
    <t>HPL</t>
  </si>
  <si>
    <t>KGN-25041208</t>
  </si>
  <si>
    <t>Tính phí lấy hàng ở Cái Mép</t>
  </si>
  <si>
    <t>6 CTNS</t>
  </si>
  <si>
    <t xml:space="preserve">134 CTNS </t>
  </si>
  <si>
    <t xml:space="preserve">YAKJIN CAMBODIA </t>
  </si>
  <si>
    <t>115 CTNS</t>
  </si>
  <si>
    <t>FANU5042598</t>
  </si>
  <si>
    <t>KGN-25041280</t>
  </si>
  <si>
    <t>EBKG12512943</t>
  </si>
  <si>
    <t>17/04/2025</t>
  </si>
  <si>
    <t>CCL/YTC/2025/SI2504141</t>
  </si>
  <si>
    <t>CCL/YKJ/2025/SI2504142</t>
  </si>
  <si>
    <t>CCL/YKJ/2025/SI2504143</t>
  </si>
  <si>
    <t xml:space="preserve"> 11:59 20/04/2025 
CY: 09:00 22/04/2025</t>
  </si>
  <si>
    <t>12:00 22/04/2025</t>
  </si>
  <si>
    <t>21/04/2025</t>
  </si>
  <si>
    <t>WHSU2439391</t>
  </si>
  <si>
    <t>WHSU6162638</t>
  </si>
  <si>
    <t>307318123360/E62
307318111460/B11</t>
  </si>
  <si>
    <t>ZIMUHCM80519520</t>
  </si>
  <si>
    <t>235500599064</t>
  </si>
  <si>
    <t>307314124260/B11
307314182400/E62</t>
  </si>
  <si>
    <t>039FX28352</t>
  </si>
  <si>
    <t>MI250407</t>
  </si>
  <si>
    <t>252145541</t>
  </si>
  <si>
    <t>KGN-25041382</t>
  </si>
  <si>
    <t xml:space="preserve">20H 19/04/2025  </t>
  </si>
  <si>
    <t>TCLU4466720</t>
  </si>
  <si>
    <t xml:space="preserve">SI,VGM: 11H 21/04/2025  11H 23/04/2025  </t>
  </si>
  <si>
    <t>TEMU5000267</t>
  </si>
  <si>
    <t>SL-LD.27.2025</t>
  </si>
  <si>
    <t>SL-LD.28.2025</t>
  </si>
  <si>
    <t>SL-LD.29.2025</t>
  </si>
  <si>
    <t>SL-LD.30.2025</t>
  </si>
  <si>
    <t>573</t>
  </si>
  <si>
    <t>1.417</t>
  </si>
  <si>
    <t>KGN-25041426</t>
  </si>
  <si>
    <t>KGN-25041428</t>
  </si>
  <si>
    <t>KGN-25041429</t>
  </si>
  <si>
    <t>KGN-25041430</t>
  </si>
  <si>
    <t>KGN-25041431</t>
  </si>
  <si>
    <t>MRKU3958589</t>
  </si>
  <si>
    <r>
      <t>THÁNG 05/2025</t>
    </r>
    <r>
      <rPr>
        <b/>
        <sz val="10"/>
        <color rgb="FFFF0000"/>
        <rFont val="Times New Roman"/>
        <family val="1"/>
      </rPr>
      <t xml:space="preserve"> (SERVICE DAY TỪ NGÀY 01/05/25)</t>
    </r>
  </si>
  <si>
    <t>PHÍ TK XUẤT TC T4.25</t>
  </si>
  <si>
    <t>13 TK</t>
  </si>
  <si>
    <t>SG2504412</t>
  </si>
  <si>
    <t>CY: 2H 26/04/2025</t>
  </si>
  <si>
    <t xml:space="preserve">039FX31562 </t>
  </si>
  <si>
    <t>CK LINE</t>
  </si>
  <si>
    <t>039FX28351</t>
  </si>
  <si>
    <r>
      <t xml:space="preserve">THÁNG 05/2025 </t>
    </r>
    <r>
      <rPr>
        <b/>
        <sz val="10"/>
        <color rgb="FFFF0000"/>
        <rFont val="Times New Roman"/>
        <family val="1"/>
      </rPr>
      <t>(SERVICE DAY TỪ NGÀY 3/5/25)</t>
    </r>
  </si>
  <si>
    <t>3 PP/ 1109 KGM / 3.440 CBM</t>
  </si>
  <si>
    <t>Tan Cang Nhon Trach</t>
  </si>
  <si>
    <t>22/04/2025</t>
  </si>
  <si>
    <t>DEM: 25/04/2025
DET: 7 days</t>
  </si>
  <si>
    <t>ETA: 22/01/2025</t>
  </si>
  <si>
    <t>A59F010795</t>
  </si>
  <si>
    <t xml:space="preserve">SI,VGM: 16H 22/04/2025  06H 24/04/2025  </t>
  </si>
  <si>
    <t>EITU9055630</t>
  </si>
  <si>
    <t>307326038740
307325971060</t>
  </si>
  <si>
    <t>TCLU7909503 
TGBU7128909</t>
  </si>
  <si>
    <t>KGN-25041586</t>
  </si>
  <si>
    <t>KGN-25041587</t>
  </si>
  <si>
    <t>KGN-25041590</t>
  </si>
  <si>
    <t>KGN-25041593</t>
  </si>
  <si>
    <t>KGN-25041594</t>
  </si>
  <si>
    <t>KGN-25041595</t>
  </si>
  <si>
    <t>00000053</t>
  </si>
  <si>
    <t>00000054</t>
  </si>
  <si>
    <t>00000055</t>
  </si>
  <si>
    <t>23/04/2025</t>
  </si>
  <si>
    <t>26/04/2025</t>
  </si>
  <si>
    <t>ZIMUHCM80522062</t>
  </si>
  <si>
    <t>SI,VGM: 16H 25/04/2025
16H 28/04/2025</t>
  </si>
  <si>
    <t>KGN-25041728</t>
  </si>
  <si>
    <t>SKHU6313264</t>
  </si>
  <si>
    <t>SGNFB1324400</t>
  </si>
  <si>
    <t>235500544693</t>
  </si>
  <si>
    <t>AHA0322647</t>
  </si>
  <si>
    <t xml:space="preserve">SI,VGM: 11H 24/04/2025  23H 26/04/2025  </t>
  </si>
  <si>
    <t xml:space="preserve">SI,VGM: 10H 25/04/2025  06H 27/04/2025  </t>
  </si>
  <si>
    <t>SI,VGM: 9H 28/04/2025  
9H 28/04/2025 
CY: 13H 27/04/2025</t>
  </si>
  <si>
    <t>24/04/2025</t>
  </si>
  <si>
    <t>CY: 17H 26/04/2025</t>
  </si>
  <si>
    <t>HWNBCLI2500022 
(HMM MASTER 0005W)</t>
  </si>
  <si>
    <t>1 PK/400 KGS/ 0.7 CBM</t>
  </si>
  <si>
    <t>EGHU9764785</t>
  </si>
  <si>
    <t>CKSU2202912</t>
  </si>
  <si>
    <t>KGN-25041835</t>
  </si>
  <si>
    <t>KGN-25041836</t>
  </si>
  <si>
    <t>25/04/2025</t>
  </si>
  <si>
    <t>465</t>
  </si>
  <si>
    <t>SL-VA.13/2025</t>
  </si>
  <si>
    <t>SL-CU.05.2025</t>
  </si>
  <si>
    <t>10H 29/04/2025
SI: 11H 29/04/2025</t>
  </si>
  <si>
    <t>039FX34210</t>
  </si>
  <si>
    <t>LN-LHN14-25</t>
  </si>
  <si>
    <t>PXK: 00000101</t>
  </si>
  <si>
    <t>PXK: 00000105</t>
  </si>
  <si>
    <t>LY-LHY10/11/12/13/13-25</t>
  </si>
  <si>
    <t>27/04/2025</t>
  </si>
  <si>
    <t>TCLU3713261</t>
  </si>
  <si>
    <t>Phí chứng nhận hợp quy</t>
  </si>
  <si>
    <t>107129733910</t>
  </si>
  <si>
    <t>KGN-25041928</t>
  </si>
  <si>
    <t>WHSU2035701
WHLU0319318</t>
  </si>
  <si>
    <t>KGN-25041981</t>
  </si>
  <si>
    <t>THÁNG 5/2025</t>
  </si>
  <si>
    <t>KGN-25041986</t>
  </si>
  <si>
    <t>KGN-25042013</t>
  </si>
  <si>
    <t>KGN-25042018</t>
  </si>
  <si>
    <t>AJ</t>
  </si>
  <si>
    <t>TR</t>
  </si>
  <si>
    <t>RCEP</t>
  </si>
  <si>
    <t>TCNU2503925</t>
  </si>
  <si>
    <t>A4251266250</t>
  </si>
  <si>
    <t>LF01P-20250425</t>
  </si>
  <si>
    <t>Tính phí hạ Hiệp Phước</t>
  </si>
  <si>
    <t>ECMU1979190</t>
  </si>
  <si>
    <t>KGN-25042074</t>
  </si>
  <si>
    <t>KGN-25042082</t>
  </si>
  <si>
    <t>KGN-25042090</t>
  </si>
  <si>
    <t>KGN-25042091</t>
  </si>
  <si>
    <t>28/04/2025</t>
  </si>
  <si>
    <t>LẤY BILL</t>
  </si>
  <si>
    <r>
      <t>THÁNG 5/2025 (</t>
    </r>
    <r>
      <rPr>
        <b/>
        <sz val="10"/>
        <color rgb="FFFF0000"/>
        <rFont val="Times New Roman"/>
        <family val="1"/>
      </rPr>
      <t>SERVICE DAY TỪ NGÀY 26/4</t>
    </r>
    <r>
      <rPr>
        <b/>
        <sz val="10"/>
        <rFont val="Times New Roman"/>
        <family val="1"/>
      </rPr>
      <t>)</t>
    </r>
  </si>
  <si>
    <t>PKECLP2540070</t>
  </si>
  <si>
    <t>ETA: 26/04/2025</t>
  </si>
  <si>
    <t>SE25050013-01</t>
  </si>
  <si>
    <t>10H 05/05/2025</t>
  </si>
  <si>
    <t>307347692650/E62
307347723710/B11</t>
  </si>
  <si>
    <t>PTNCLP2540002</t>
  </si>
  <si>
    <t>WHSU5620546</t>
  </si>
  <si>
    <t>6H 02/05/2025</t>
  </si>
  <si>
    <t>29/04/2025</t>
  </si>
  <si>
    <t>KGN-25041591
KGN-25042281</t>
  </si>
  <si>
    <t>WHSU5251345</t>
  </si>
  <si>
    <t>107136282520/E31</t>
  </si>
  <si>
    <t>307354321760/E62
307354319220/B11</t>
  </si>
  <si>
    <t xml:space="preserve">28/04/2025 </t>
  </si>
  <si>
    <t>107140876511/A12
107140984200/E31</t>
  </si>
  <si>
    <t>307353443150/E62
307353421710/B11</t>
  </si>
  <si>
    <t>02/05/2025</t>
  </si>
  <si>
    <t>SL-CJ.06/2025</t>
  </si>
  <si>
    <t>SL-VA.14/2025</t>
  </si>
  <si>
    <t>KGN-25050078</t>
  </si>
  <si>
    <t>KGN-25050079</t>
  </si>
  <si>
    <t>039FX37387</t>
  </si>
  <si>
    <t>07/05/2025</t>
  </si>
  <si>
    <t>235500544898</t>
  </si>
  <si>
    <t xml:space="preserve">SI,VGM:10H 08/05/2025  
02H 08/05/2025  </t>
  </si>
  <si>
    <t>SL-LD.31.2025</t>
  </si>
  <si>
    <t>SL-LD.32.2025</t>
  </si>
  <si>
    <t>SL-LD.33.2025</t>
  </si>
  <si>
    <t>SL-LD.34.2025</t>
  </si>
  <si>
    <t>PLASTIC PELLETS</t>
  </si>
  <si>
    <t>JJCSHSGB500523
(MILD SYMPHONY 2518S)</t>
  </si>
  <si>
    <t>WHSU6104380</t>
  </si>
  <si>
    <t>WHSU4041848</t>
  </si>
  <si>
    <t>6H 09/05/2025</t>
  </si>
  <si>
    <t>KGN-25050124</t>
  </si>
  <si>
    <t>KGN-25050125</t>
  </si>
  <si>
    <t>KGN-25050126</t>
  </si>
  <si>
    <t>YMLU8944090</t>
  </si>
  <si>
    <t>ETA: 05/05/2025</t>
  </si>
  <si>
    <t>FUJIAN SEALINKE</t>
  </si>
  <si>
    <t xml:space="preserve">MST: 3703240385 </t>
  </si>
  <si>
    <t>THEO DÕI HÀNG HÓA TẠM ỨNG, THANH TOÁN, ĐIỀU XE  - ZASI</t>
  </si>
  <si>
    <t>NSASGNG204947</t>
  </si>
  <si>
    <t>SITU2828223/SITF590026</t>
  </si>
  <si>
    <t xml:space="preserve">DEM: 13/05/2025
DET: 3 </t>
  </si>
  <si>
    <t>30/04/2025</t>
  </si>
  <si>
    <t>CSSGN2540248</t>
  </si>
  <si>
    <t>SL-CU.06.2025</t>
  </si>
  <si>
    <t>05/05/2025</t>
  </si>
  <si>
    <t>KHAI TK CÁT LÁI</t>
  </si>
  <si>
    <t>ZIMUHCM80527174</t>
  </si>
  <si>
    <t>KGN-25050198</t>
  </si>
  <si>
    <t>NSASGNG206194</t>
  </si>
  <si>
    <t>SITU2641823/SITF564098</t>
  </si>
  <si>
    <t>KGN-25042236</t>
  </si>
  <si>
    <t>KGN-25050221</t>
  </si>
  <si>
    <t>ASH-25050101</t>
  </si>
  <si>
    <t>07/05/2025
CFS Phú Hữu</t>
  </si>
  <si>
    <t>5 PK/ 2584 KGS/ 12.140 CBM</t>
  </si>
  <si>
    <t>307368028130/E62
307368008200/B11</t>
  </si>
  <si>
    <t>107153088820/E31
107153077620/A12</t>
  </si>
  <si>
    <t>06/05/2025</t>
  </si>
  <si>
    <t>JJCNSSGY501048</t>
  </si>
  <si>
    <t>BMOU1671330</t>
  </si>
  <si>
    <t>BY20250427</t>
  </si>
  <si>
    <t>WLL2505/0358</t>
  </si>
  <si>
    <t>WHSU2598290</t>
  </si>
  <si>
    <t>039FX38657</t>
  </si>
  <si>
    <t>20H 10/05/2025</t>
  </si>
  <si>
    <t>14H 09/05/2025</t>
  </si>
  <si>
    <t>08/05/2025</t>
  </si>
  <si>
    <t>09/05/2025</t>
  </si>
  <si>
    <t>22h 11/05/2025</t>
  </si>
  <si>
    <t>EMCU8490030</t>
  </si>
  <si>
    <t>ZIMU2939614</t>
  </si>
  <si>
    <t>A4251251641</t>
  </si>
  <si>
    <t>DH-20240505-1</t>
  </si>
  <si>
    <t>ZIMU1435199</t>
  </si>
  <si>
    <t>A4251251532</t>
  </si>
  <si>
    <t>DH-20240505-2</t>
  </si>
  <si>
    <t>ZIMU1101355</t>
  </si>
  <si>
    <t>A4251254889</t>
  </si>
  <si>
    <t>DH-20240505-3</t>
  </si>
  <si>
    <t>UESU2451104</t>
  </si>
  <si>
    <t>A4251254881</t>
  </si>
  <si>
    <t>DH-20240505-4</t>
  </si>
  <si>
    <t>SEGU2097033</t>
  </si>
  <si>
    <t>A4251251683</t>
  </si>
  <si>
    <t>DH-20240505-5</t>
  </si>
  <si>
    <t>SG2506088</t>
  </si>
  <si>
    <t>DEM: 21/05/2025
DET: 3</t>
  </si>
  <si>
    <t>KHO TRANSIMEX</t>
  </si>
  <si>
    <t>14H 14/05/2025
CY: 17:00 13/05/2025</t>
  </si>
  <si>
    <t>ZIMU2774392</t>
  </si>
  <si>
    <t>A4251239940</t>
  </si>
  <si>
    <t>DH-20240505-6</t>
  </si>
  <si>
    <t>NSASGNG206478A</t>
  </si>
  <si>
    <t>UETU2333229/SITF563275</t>
  </si>
  <si>
    <t>13/05/2025</t>
  </si>
  <si>
    <t>NSASGNG207685</t>
  </si>
  <si>
    <t>TGBU2542773/SITF564216</t>
  </si>
  <si>
    <t>WHSU2450019</t>
  </si>
  <si>
    <t>107157437660/A12</t>
  </si>
  <si>
    <t>12/05/2025</t>
  </si>
  <si>
    <t>TWCU2187320</t>
  </si>
  <si>
    <t>JJCNSSGY501121</t>
  </si>
  <si>
    <t>UETU2937574
BMOU1671793
FCIU6349108
FTAU1981122
TWCU2125415
TWCU2171869
HAHU2035101</t>
  </si>
  <si>
    <t>XL-NV250501</t>
  </si>
  <si>
    <t>KGN-25050539</t>
  </si>
  <si>
    <t>KGN-25050540</t>
  </si>
  <si>
    <t>KGN-25050541</t>
  </si>
  <si>
    <t>KGN-25050544</t>
  </si>
  <si>
    <t>SNLFNSVLF42019</t>
  </si>
  <si>
    <t>XL-HD250511</t>
  </si>
  <si>
    <t>HWNBCLI2500025
(MILD PEONY 2519S)</t>
  </si>
  <si>
    <t>2 PK/ 1055 KGS/ 0.41 CBM</t>
  </si>
  <si>
    <t>039FX37386</t>
  </si>
  <si>
    <t>039FX37385</t>
  </si>
  <si>
    <t>06H 16/05/2025</t>
  </si>
  <si>
    <t>EMCU6375784</t>
  </si>
  <si>
    <t>GAOU2018930</t>
  </si>
  <si>
    <t>SGN2687001</t>
  </si>
  <si>
    <t>02H 20/05/2025</t>
  </si>
  <si>
    <t>KGN-25050772</t>
  </si>
  <si>
    <t>107165011550/A12
107164961040/A12</t>
  </si>
  <si>
    <t>EGLV149502516950
'EGLV149502223103</t>
  </si>
  <si>
    <t>17/05/2025</t>
  </si>
  <si>
    <t>WLL2505/1293</t>
  </si>
  <si>
    <t>13H 14/05/2025</t>
  </si>
  <si>
    <t>15/05/2025</t>
  </si>
  <si>
    <t>KGN-25050812</t>
  </si>
  <si>
    <t>KGN-25050813</t>
  </si>
  <si>
    <t>KGN-25050815</t>
  </si>
  <si>
    <t>WORLDWIDE LINK</t>
  </si>
  <si>
    <t>14/05/2025</t>
  </si>
  <si>
    <t>KGN-25050837</t>
  </si>
  <si>
    <t>KGN-25050842</t>
  </si>
  <si>
    <t>32 ROLLS/ 839.284 KGM/ 3 CBM</t>
  </si>
  <si>
    <t>32 ROLL/ 911.48 KGM/ 3 CBM</t>
  </si>
  <si>
    <t>KGN-25050871</t>
  </si>
  <si>
    <t>KGN-25051032</t>
  </si>
  <si>
    <t>MAGU2501048</t>
  </si>
  <si>
    <t>M1040989</t>
  </si>
  <si>
    <t>TRHU3546669</t>
  </si>
  <si>
    <t>M1042810</t>
  </si>
  <si>
    <t>ECMU2675910</t>
  </si>
  <si>
    <t>M1040878</t>
  </si>
  <si>
    <t>DH-20250317-1</t>
  </si>
  <si>
    <t>DH-20250317-2</t>
  </si>
  <si>
    <t>DH-20250317-3</t>
  </si>
  <si>
    <t>16/05/2025</t>
  </si>
  <si>
    <t>19/05/2025</t>
  </si>
  <si>
    <t>21/05/2025</t>
  </si>
  <si>
    <t>27/05/2025</t>
  </si>
  <si>
    <t>EGHU3258183
EITU0322891</t>
  </si>
  <si>
    <t>WHLU0706385</t>
  </si>
  <si>
    <t>WHLU0573235</t>
  </si>
  <si>
    <t>307393533700/B11
307393540000/E62</t>
  </si>
  <si>
    <t>SỐ HĐ</t>
  </si>
  <si>
    <t xml:space="preserve"> JS-250410-1</t>
  </si>
  <si>
    <t>JS-250410-2B</t>
  </si>
  <si>
    <t>JS-250410-2A</t>
  </si>
  <si>
    <t xml:space="preserve"> JS-250410-3</t>
  </si>
  <si>
    <t>JS-250429-1</t>
  </si>
  <si>
    <t>KGN-25051095</t>
  </si>
  <si>
    <t>307393432750/E62
307393420740/B11</t>
  </si>
  <si>
    <t>KGN-25051116</t>
  </si>
  <si>
    <t>KGN-25051117</t>
  </si>
  <si>
    <t>KGN-25051118</t>
  </si>
  <si>
    <t>039FX40976</t>
  </si>
  <si>
    <t>6H 23/05/2025</t>
  </si>
  <si>
    <t>KGN-25051147</t>
  </si>
  <si>
    <t>SL-LD.35.2025</t>
  </si>
  <si>
    <t>SL-LD.36.2025</t>
  </si>
  <si>
    <t>SL-LD.37.2025</t>
  </si>
  <si>
    <t>Phí Tham vấn giá</t>
  </si>
  <si>
    <t>HWCLI2501488
(SAWASDEE ALTAIR 2505S)</t>
  </si>
  <si>
    <t>1 PK/ 100 KGS/ 0.35 CBM</t>
  </si>
  <si>
    <t>16/05/2025
17/05/2025
18/05/2025</t>
  </si>
  <si>
    <t>SGN2643692</t>
  </si>
  <si>
    <t>15H 24/05/2025</t>
  </si>
  <si>
    <t>20/05/2025</t>
  </si>
  <si>
    <t>KGN-25051175</t>
  </si>
  <si>
    <t>CMAU6827768</t>
  </si>
  <si>
    <t>MO937961</t>
  </si>
  <si>
    <t xml:space="preserve">DEM: 30/05/2025 </t>
  </si>
  <si>
    <t>DEM: 27/05/2025</t>
  </si>
  <si>
    <t>SHHCM25087852</t>
  </si>
  <si>
    <t>KGN-25051358</t>
  </si>
  <si>
    <t>DLNV-20250519</t>
  </si>
  <si>
    <t>FTAU2122230
SLPU2004200
SNBU2300475</t>
  </si>
  <si>
    <t>2 PL/ 880 KGM/ 3.8 CBM</t>
  </si>
  <si>
    <t>KGN-25051397</t>
  </si>
  <si>
    <t>21/05/2025
PHÚ HỮU</t>
  </si>
  <si>
    <t>TẤM ĐÁ NHÂN TẠO</t>
  </si>
  <si>
    <t>ICD NHƠN TRẠCH</t>
  </si>
  <si>
    <t>JJCNSSGY501298</t>
  </si>
  <si>
    <t>XL-NV250515</t>
  </si>
  <si>
    <t>TWCU2241333
TWCU2221131
DFSU1944056</t>
  </si>
  <si>
    <t>SGNFD7298800</t>
  </si>
  <si>
    <t>WLL2505/1606</t>
  </si>
  <si>
    <t>14H 23/05/25</t>
  </si>
  <si>
    <t>KGN-25051464</t>
  </si>
  <si>
    <t>NSASGNG208508</t>
  </si>
  <si>
    <t>BEAU2877275/SITF561876</t>
  </si>
  <si>
    <t>SITU2707319
SITU2753000</t>
  </si>
  <si>
    <t>WHSU5101601</t>
  </si>
  <si>
    <t>JJCNSSGY501253</t>
  </si>
  <si>
    <t>CAAU2541322
TWCU2161053</t>
  </si>
  <si>
    <t>BY20250514</t>
  </si>
  <si>
    <t>22/05/2025</t>
  </si>
  <si>
    <t>SD2510SSG6915</t>
  </si>
  <si>
    <t>GAOU2064176</t>
  </si>
  <si>
    <t>23/05/2025</t>
  </si>
  <si>
    <t>Phụ phí thu hàng nặng</t>
  </si>
  <si>
    <r>
      <t xml:space="preserve">KHAI TK CÁT LÁI
</t>
    </r>
    <r>
      <rPr>
        <b/>
        <sz val="10"/>
        <color rgb="FFFF0000"/>
        <rFont val="Times New Roman"/>
        <family val="1"/>
      </rPr>
      <t>THAM VẤN GIÁ</t>
    </r>
    <r>
      <rPr>
        <sz val="10"/>
        <color rgb="FFFF0000"/>
        <rFont val="Times New Roman"/>
        <family val="1"/>
      </rPr>
      <t xml:space="preserve">
3TR CHI KIỂM HÓA (Đã trả)</t>
    </r>
  </si>
  <si>
    <t>00000067</t>
  </si>
  <si>
    <t>SL-VA.15/2025</t>
  </si>
  <si>
    <t>307412119730/B11
307412799101/E62</t>
  </si>
  <si>
    <t>PHÍ TK XUẤT TC T5.25</t>
  </si>
  <si>
    <r>
      <t>THÁNG 06/2025</t>
    </r>
    <r>
      <rPr>
        <b/>
        <sz val="10"/>
        <color rgb="FFFF0000"/>
        <rFont val="Times New Roman"/>
        <family val="1"/>
      </rPr>
      <t xml:space="preserve"> (SERVICE DAY TỪ NGÀY 01/06/25)</t>
    </r>
  </si>
  <si>
    <t>KGN-25051548</t>
  </si>
  <si>
    <t>KGN-25051570</t>
  </si>
  <si>
    <t>KGN-25050542</t>
  </si>
  <si>
    <t>KGN-25041428-BS1</t>
  </si>
  <si>
    <t>SE250517</t>
  </si>
  <si>
    <t>9 PP/ 4,239.5 KGM/ 11.410 CBM</t>
  </si>
  <si>
    <t>SE250516</t>
  </si>
  <si>
    <t>9 PP/ 4,039.5 KGM/ 10.970 CBM</t>
  </si>
  <si>
    <t>12H30 22/05/2025</t>
  </si>
  <si>
    <t>04/06/2025</t>
  </si>
  <si>
    <t>SGN2715342</t>
  </si>
  <si>
    <t>PTNCLP2550003</t>
  </si>
  <si>
    <t>MÁY MÓC
CƯỚC SOTRANS
XE 5T</t>
  </si>
  <si>
    <t>SL-CU.07.2025</t>
  </si>
  <si>
    <r>
      <t xml:space="preserve">THÁNG 05/2025 </t>
    </r>
    <r>
      <rPr>
        <b/>
        <sz val="10"/>
        <color rgb="FFFF0000"/>
        <rFont val="Times New Roman"/>
        <family val="1"/>
      </rPr>
      <t>(SERVICE DAY TỪ NGÀY 20/04/25)</t>
    </r>
  </si>
  <si>
    <r>
      <t xml:space="preserve">THÁNG 06/2025 </t>
    </r>
    <r>
      <rPr>
        <b/>
        <sz val="10"/>
        <color rgb="FFFF0000"/>
        <rFont val="Times New Roman"/>
        <family val="1"/>
      </rPr>
      <t>(SERVICE DAY TỪ NGÀY 23/04/25)</t>
    </r>
  </si>
  <si>
    <t>6418817300</t>
  </si>
  <si>
    <t>SI 17H 26/05/2025</t>
  </si>
  <si>
    <t>KGN-25051606</t>
  </si>
  <si>
    <t>KGN-25051607</t>
  </si>
  <si>
    <t>39 RO/ 1077.27 KGM/ 4 CBM</t>
  </si>
  <si>
    <t>KGN-25051608</t>
  </si>
  <si>
    <t>307418540500/B11
307418542340/E62</t>
  </si>
  <si>
    <t>307418561020/B11
307418565220.E62</t>
  </si>
  <si>
    <t>24/05/2025</t>
  </si>
  <si>
    <t>XL-NV2503</t>
  </si>
  <si>
    <t>MRKU7259960
MRKU6542888</t>
  </si>
  <si>
    <t>DEM: 06/06/2025</t>
  </si>
  <si>
    <t>2 XE 5T</t>
  </si>
  <si>
    <t>DLNV-20250523</t>
  </si>
  <si>
    <t>CMAU3451390</t>
  </si>
  <si>
    <t>R9452270</t>
  </si>
  <si>
    <t>JJCSHSGB500591
(MILD ORCHID 2520S)</t>
  </si>
  <si>
    <t>26/05/2025</t>
  </si>
  <si>
    <t>TWCU8139714
UETU2922614</t>
  </si>
  <si>
    <t>VN61796AH</t>
  </si>
  <si>
    <t>KGN-25051710</t>
  </si>
  <si>
    <t>KGN-25051711</t>
  </si>
  <si>
    <t>TTTCLT151875V</t>
  </si>
  <si>
    <t xml:space="preserve">10:00 28/05/25 </t>
  </si>
  <si>
    <t xml:space="preserve">CAT LAI </t>
  </si>
  <si>
    <t>02:30 28/05/2025</t>
  </si>
  <si>
    <t>08H 26/05/2025</t>
  </si>
  <si>
    <t>KGN-25051787</t>
  </si>
  <si>
    <t>KGN-25051788</t>
  </si>
  <si>
    <t>KGN-25051789</t>
  </si>
  <si>
    <t xml:space="preserve">039FX42850 </t>
  </si>
  <si>
    <t>SG2506621</t>
  </si>
  <si>
    <t xml:space="preserve">	17:00 31/05/2025</t>
  </si>
  <si>
    <t>SP-ITC</t>
  </si>
  <si>
    <t>14h 01/06/2025
CY: 09 02/06/2025</t>
  </si>
  <si>
    <t>THÁNG 6/2025</t>
  </si>
  <si>
    <t>039FX40975</t>
  </si>
  <si>
    <t>KGN-25051874</t>
  </si>
  <si>
    <t>DH-20250312-1</t>
  </si>
  <si>
    <t>TLLU8395285</t>
  </si>
  <si>
    <t>DH-20250312-2</t>
  </si>
  <si>
    <t>CSLU1366532</t>
  </si>
  <si>
    <t>DH-20250312-3</t>
  </si>
  <si>
    <t>DH-20250312-4</t>
  </si>
  <si>
    <t>BSIU2673040</t>
  </si>
  <si>
    <t>DH-20250312-5</t>
  </si>
  <si>
    <t>CBHU4262000</t>
  </si>
  <si>
    <t>DH-20250312-6</t>
  </si>
  <si>
    <t>DH-20250306</t>
  </si>
  <si>
    <t>5 PK/ 5374.91 KGM/ 4.81 CBM</t>
  </si>
  <si>
    <t>19:00 27/05/2025</t>
  </si>
  <si>
    <t xml:space="preserve">SI,VGM: 13H 29/05/2025
11H 30/05/2025  </t>
  </si>
  <si>
    <t>KGN-25051942</t>
  </si>
  <si>
    <t>KGN-25051945</t>
  </si>
  <si>
    <t>KGN-25051947</t>
  </si>
  <si>
    <t>KGN-25051948</t>
  </si>
  <si>
    <t>SNLFNSILF42206</t>
  </si>
  <si>
    <t>29/05/2025</t>
  </si>
  <si>
    <t>307420596250
307420592420
307420594410</t>
  </si>
  <si>
    <t>KGN-25051955</t>
  </si>
  <si>
    <t>KGN-25051956</t>
  </si>
  <si>
    <t>28/05/2025</t>
  </si>
  <si>
    <t>12:00 30/05/2025
18H 31/05/2025</t>
  </si>
  <si>
    <t>DFSU1219213</t>
  </si>
  <si>
    <t>TGHU0130399</t>
  </si>
  <si>
    <t>KGN-25052052</t>
  </si>
  <si>
    <t>1067058829/618-43900485</t>
  </si>
  <si>
    <t>KHAI TK CÁT LÁI
THAM VẤN GIÁ - ĐĂNG KÝ SỞ XÂY DỰNG
GRAB 260K</t>
  </si>
  <si>
    <r>
      <t xml:space="preserve">KHAI TK CÁT LÁI
ĐK SỞ XÂY DỰNG
THAM VẤN GIÁ
</t>
    </r>
    <r>
      <rPr>
        <b/>
        <sz val="10"/>
        <color rgb="FFFF0000"/>
        <rFont val="Times New Roman"/>
        <family val="1"/>
      </rPr>
      <t>CHI MIỄN KIỂM 1TR</t>
    </r>
    <r>
      <rPr>
        <b/>
        <sz val="10"/>
        <rFont val="Times New Roman"/>
        <family val="1"/>
      </rPr>
      <t xml:space="preserve">
GRAB 246K</t>
    </r>
  </si>
  <si>
    <r>
      <rPr>
        <b/>
        <sz val="10"/>
        <rFont val="Times New Roman"/>
        <family val="1"/>
      </rPr>
      <t xml:space="preserve">KHAI TK CÁT LÁI
ĐK SỞ XÂY DỰNG
</t>
    </r>
    <r>
      <rPr>
        <b/>
        <sz val="10"/>
        <color rgb="FFFF0000"/>
        <rFont val="Times New Roman"/>
        <family val="1"/>
      </rPr>
      <t>CHI MIỄN KIỂM 1TR
GRAB 246K</t>
    </r>
  </si>
  <si>
    <t>xe 8t</t>
  </si>
  <si>
    <t>WHSU5910458</t>
  </si>
  <si>
    <t>307433018010/E62
307433017200/B11</t>
  </si>
  <si>
    <t>HLBU2217880</t>
  </si>
  <si>
    <t>107217237260/H11
107208039150/E31
107216751460/A12</t>
  </si>
  <si>
    <t>DEM: 08/06/2025</t>
  </si>
  <si>
    <t>BEAU4322110
TCLU8963880
TCNU2327894
YMMU6448978
BMOU6195350</t>
  </si>
  <si>
    <t>KGN-25052137</t>
  </si>
  <si>
    <t>EBKG12781762</t>
  </si>
  <si>
    <t>22H 02/06/2025</t>
  </si>
  <si>
    <t>TÍNH PHÍ ĐỔI CONT</t>
  </si>
  <si>
    <t>PHÚC LONG</t>
  </si>
  <si>
    <t>SSGN25206113</t>
  </si>
  <si>
    <t>1 PP/154.5 KGM/0.871 CBM
1100*1100*715</t>
  </si>
  <si>
    <t>WHSU0296389</t>
  </si>
  <si>
    <t>30/05/2025</t>
  </si>
  <si>
    <t>TEMU7870034
TRLU9761754</t>
  </si>
  <si>
    <t>PG01P-20250523</t>
  </si>
  <si>
    <t>DFSU2876676</t>
  </si>
  <si>
    <t>FX38865996</t>
  </si>
  <si>
    <t>HI250504-1P-1</t>
  </si>
  <si>
    <t>TRHU3573941</t>
  </si>
  <si>
    <t>FX38865813</t>
  </si>
  <si>
    <t>HI250504-1P-2</t>
  </si>
  <si>
    <t>SCSC</t>
  </si>
  <si>
    <t>307440758350/B11</t>
  </si>
  <si>
    <t>31/05/2025</t>
  </si>
  <si>
    <t>KGN-25052368</t>
  </si>
  <si>
    <t>BEAU2734572</t>
  </si>
  <si>
    <t>KGN-25052410</t>
  </si>
  <si>
    <t>KGN-25052423</t>
  </si>
  <si>
    <t>1 PP/ 2.3 KGM. 0.082 CBM</t>
  </si>
  <si>
    <t>CỘNG PHÍ BOT</t>
  </si>
  <si>
    <t>XL-HD250601</t>
  </si>
  <si>
    <t>EGLV147500623060</t>
  </si>
  <si>
    <t>EGHU3575608
EITU0551938
EMCU6180674</t>
  </si>
  <si>
    <r>
      <t>THÁNG 6/2025 (</t>
    </r>
    <r>
      <rPr>
        <b/>
        <sz val="10"/>
        <color rgb="FFFF0000"/>
        <rFont val="Times New Roman"/>
        <family val="1"/>
      </rPr>
      <t>SERVICE DAY TỪ NGÀY 01/6</t>
    </r>
    <r>
      <rPr>
        <b/>
        <sz val="10"/>
        <rFont val="Times New Roman"/>
        <family val="1"/>
      </rPr>
      <t>)</t>
    </r>
  </si>
  <si>
    <t>02/06/2025</t>
  </si>
  <si>
    <t>039FX47411</t>
  </si>
  <si>
    <t>18H 06/06/2025</t>
  </si>
  <si>
    <t>039FX47909</t>
  </si>
  <si>
    <t>6H 06/06/2025</t>
  </si>
  <si>
    <t>SL-CJ.07/2025</t>
  </si>
  <si>
    <t>SL-CJ.08/2025</t>
  </si>
  <si>
    <t>SL-CU.08.2025</t>
  </si>
  <si>
    <t>SL-LD.38.2025</t>
  </si>
  <si>
    <t>SL-LD.39.2025</t>
  </si>
  <si>
    <t>SL-LD.40.2025</t>
  </si>
  <si>
    <t>YMJAN490397618</t>
  </si>
  <si>
    <t>SGNFD3157500</t>
  </si>
  <si>
    <t xml:space="preserve">SI: 10H 03/06/2025  
15H 04/06/2025  </t>
  </si>
  <si>
    <t xml:space="preserve"> ICD TAY NAM</t>
  </si>
  <si>
    <t>HWNBCLI2500032
(XIN MING ZHOU 108 2506S)</t>
  </si>
  <si>
    <t>03/06/2025</t>
  </si>
  <si>
    <t>1 PK/ 510 KGS/ 0.6 CBM</t>
  </si>
  <si>
    <t>KGN-25060084</t>
  </si>
  <si>
    <r>
      <t xml:space="preserve">THÁNG 06/2025 </t>
    </r>
    <r>
      <rPr>
        <b/>
        <sz val="10"/>
        <color rgb="FFFF0000"/>
        <rFont val="Times New Roman"/>
        <family val="1"/>
      </rPr>
      <t>(SERVICE DAY TỪ NGÀY 3/6/25)</t>
    </r>
  </si>
  <si>
    <t>KGN-25060098</t>
  </si>
  <si>
    <t>908</t>
  </si>
  <si>
    <t xml:space="preserve">SI,VGM: 14H 05/06/2025  13H 07/06/2025  </t>
  </si>
  <si>
    <t>NSASGNG211976</t>
  </si>
  <si>
    <t>BEAU2700124
UETU2775004</t>
  </si>
  <si>
    <t>JS-250429-2</t>
  </si>
  <si>
    <t>KGN-25060191</t>
  </si>
  <si>
    <t>05/06/2025</t>
  </si>
  <si>
    <t>09/06/2025</t>
  </si>
  <si>
    <t>NSASGNG213155</t>
  </si>
  <si>
    <t>WHSU0001446</t>
  </si>
  <si>
    <t>01:00 11/06/2025</t>
  </si>
  <si>
    <t>Phí phát sinh TVG 1tr</t>
  </si>
  <si>
    <t>SITSGNGW432819</t>
  </si>
  <si>
    <t>TLLU6075826</t>
  </si>
  <si>
    <t>WHSU6411448</t>
  </si>
  <si>
    <t>05/06/2025
PHU HUU</t>
  </si>
  <si>
    <t>307457561740/B11
307457574120/E62</t>
  </si>
  <si>
    <t>COAU7259812980
(BAL PEACE 034S)</t>
  </si>
  <si>
    <t>10/06/2025</t>
  </si>
  <si>
    <t>OOLU0780943
CSLU2390343
CSNU1513585
DFSU1665956
CSNU1485436
TLLU3185007
CSNU1988019
TRHU3161939
FCIU5482414
CSLU1986153
OOLU1822508
DFSU1351092</t>
  </si>
  <si>
    <t>SEGU6834057
TCNU3659065</t>
  </si>
  <si>
    <t>KGN-25060338</t>
  </si>
  <si>
    <t>SL-DE.022025</t>
  </si>
  <si>
    <t>KGN-25060339</t>
  </si>
  <si>
    <t>Phí phát sinh TVG 6tr</t>
  </si>
  <si>
    <t>BỔ SUNG PHÍ CO</t>
  </si>
  <si>
    <r>
      <t xml:space="preserve">4H 14/06/2025
</t>
    </r>
    <r>
      <rPr>
        <sz val="10"/>
        <color rgb="FFFF0000"/>
        <rFont val="Times New Roman"/>
        <family val="1"/>
      </rPr>
      <t>SI: 8H-16H 12/06/2025</t>
    </r>
  </si>
  <si>
    <t>DEM: 18/06/2025</t>
  </si>
  <si>
    <t>PHƯỚC AN -&gt; CÁT LÁI</t>
  </si>
  <si>
    <t>06/06/2025</t>
  </si>
  <si>
    <t>KGN-25060362</t>
  </si>
  <si>
    <t>KGN-25060363</t>
  </si>
  <si>
    <t>KGN-25060364</t>
  </si>
  <si>
    <t>KGN-25060365</t>
  </si>
  <si>
    <t>KGN-25060366</t>
  </si>
  <si>
    <t>MO2523SSGT401</t>
  </si>
  <si>
    <t>FTAU1251417
CAAU2156922</t>
  </si>
  <si>
    <t>SNBU2282387
SNBU2458100
SNBU2458202</t>
  </si>
  <si>
    <t>XL-NV250529</t>
  </si>
  <si>
    <t>XL-HD250606</t>
  </si>
  <si>
    <t>039FX47415</t>
  </si>
  <si>
    <t>6H 13/06/2025</t>
  </si>
  <si>
    <t xml:space="preserve">039FX50267 </t>
  </si>
  <si>
    <t>80570</t>
  </si>
  <si>
    <t>07/06/2025</t>
  </si>
  <si>
    <t xml:space="preserve"> CONG TY TNHH VACPRO VIETNAM </t>
  </si>
  <si>
    <t>945</t>
  </si>
  <si>
    <t>09/06/2026</t>
  </si>
  <si>
    <t>LEVA-20250609-1</t>
  </si>
  <si>
    <t>MSKU7857747</t>
  </si>
  <si>
    <t>ML-VN0145729</t>
  </si>
  <si>
    <t>LEVA-20250609-2</t>
  </si>
  <si>
    <t>MRSU8031318</t>
  </si>
  <si>
    <t>ML-VN0118316</t>
  </si>
  <si>
    <t>1067277574</t>
  </si>
  <si>
    <t>1 PP/ 3 KGM. 0.072 CBM</t>
  </si>
  <si>
    <t>BỔ SUNG CHI HỘ LPHQ</t>
  </si>
  <si>
    <t>10671172961
10677471642</t>
  </si>
  <si>
    <t>09/11/2024
03/12/2024</t>
  </si>
  <si>
    <t>KGN-25060461</t>
  </si>
  <si>
    <t>KGN-25060464</t>
  </si>
  <si>
    <t>11/06/2025</t>
  </si>
  <si>
    <t>13/06/2025</t>
  </si>
  <si>
    <t>KGN-25060494</t>
  </si>
  <si>
    <t>OSOSYD25060001</t>
  </si>
  <si>
    <t>CÁT LÁI KHO 01</t>
  </si>
  <si>
    <t>10H 13/06/2025</t>
  </si>
  <si>
    <t>DLNV-20250611</t>
  </si>
  <si>
    <t>WHSU2847705</t>
  </si>
  <si>
    <t>ICD PHƯỚC LONG 3</t>
  </si>
  <si>
    <t>SỐ XE</t>
  </si>
  <si>
    <t>SL-CU.09/2025</t>
  </si>
  <si>
    <t>BIỂN SỐ XE</t>
  </si>
  <si>
    <t>50H29647</t>
  </si>
  <si>
    <t>50H12451</t>
  </si>
  <si>
    <t>50H17748</t>
  </si>
  <si>
    <t>2 PK/ 1791 KGM / 4.61 CBM</t>
  </si>
  <si>
    <t>51C78329</t>
  </si>
  <si>
    <t>51C78547</t>
  </si>
  <si>
    <t>50H35760</t>
  </si>
  <si>
    <t>50E14277
50H02728</t>
  </si>
  <si>
    <t>KGN-25060725</t>
  </si>
  <si>
    <t>KGN-25060726</t>
  </si>
  <si>
    <t>KGN-25060727</t>
  </si>
  <si>
    <t>108214</t>
  </si>
  <si>
    <t>THEO DÕI HÀNG XUẤT TẠI CHỖ - SONG LONG</t>
  </si>
  <si>
    <t>50H58361</t>
  </si>
  <si>
    <t>60C35324</t>
  </si>
  <si>
    <t>15/06/2025</t>
  </si>
  <si>
    <t>51C23338</t>
  </si>
  <si>
    <t>PHÍ NEO XE 500k</t>
  </si>
  <si>
    <t>SKYU3694016</t>
  </si>
  <si>
    <t>OOLKLW2976</t>
  </si>
  <si>
    <t>OOLKLW2984</t>
  </si>
  <si>
    <t>OOLKLW2972</t>
  </si>
  <si>
    <t>OOLKLW3072</t>
  </si>
  <si>
    <t>SKYU3694443</t>
  </si>
  <si>
    <t>12/06/2025</t>
  </si>
  <si>
    <t>XL-NV2504</t>
  </si>
  <si>
    <t>EGSU3745420
EGSU3747188
EMCU6397340
EMCU6417940</t>
  </si>
  <si>
    <t xml:space="preserve">EGLV147500652842 </t>
  </si>
  <si>
    <t>SKYU3694510</t>
  </si>
  <si>
    <t>SKYU3694398</t>
  </si>
  <si>
    <t>50H05655</t>
  </si>
  <si>
    <t>SL-LD.41.2025</t>
  </si>
  <si>
    <t>SL-LD.42.2025</t>
  </si>
  <si>
    <t>SL-LD.43.2025</t>
  </si>
  <si>
    <t>SL-LD.44.2025</t>
  </si>
  <si>
    <t>TIIU2283115
SITU2591614</t>
  </si>
  <si>
    <t>JS-250429-3</t>
  </si>
  <si>
    <t>KGN-25060854</t>
  </si>
  <si>
    <t>JJCSHSGB500730
(MILD ORCHID 2523S)</t>
  </si>
  <si>
    <t>06:00 14/06/2025</t>
  </si>
  <si>
    <t>FTAU1971130</t>
  </si>
  <si>
    <t>51C62954
50H75526
50H75526</t>
  </si>
  <si>
    <t>ĐI XE MÁY 350k
NHẮC KT GHI PHÍ DỊCH VỤ TK</t>
  </si>
  <si>
    <t>KGN-25060872</t>
  </si>
  <si>
    <t>KP-20250612-1</t>
  </si>
  <si>
    <t>KP-20250612-2</t>
  </si>
  <si>
    <t>KP-20250612-3</t>
  </si>
  <si>
    <t>KP-20250612-4</t>
  </si>
  <si>
    <t>KGN-25060873</t>
  </si>
  <si>
    <t>KGN-25060874</t>
  </si>
  <si>
    <t>13/06/2025
14/06/2025</t>
  </si>
  <si>
    <t>WHSU6431130</t>
  </si>
  <si>
    <t>19/06/2025</t>
  </si>
  <si>
    <t>TAN CANG HIEP PHUOC</t>
  </si>
  <si>
    <r>
      <t xml:space="preserve">FUJIAN SEALINKE
</t>
    </r>
    <r>
      <rPr>
        <sz val="10"/>
        <color rgb="FFFF0000"/>
        <rFont val="Times New Roman"/>
        <family val="1"/>
      </rPr>
      <t>khai báo hóa chất</t>
    </r>
  </si>
  <si>
    <t>039FX53063</t>
  </si>
  <si>
    <t>SI: 10H 20/06/2025
CY: 11H 21/06/2025</t>
  </si>
  <si>
    <t>SG2507714</t>
  </si>
  <si>
    <t>'11H 19/06/2025</t>
  </si>
  <si>
    <t>SGNFJ5069600</t>
  </si>
  <si>
    <t>ICD TAY NAM</t>
  </si>
  <si>
    <t>KGN-25060926</t>
  </si>
  <si>
    <t>307480739660/B11
307480752850/E62</t>
  </si>
  <si>
    <t>LY-LHY19/21-25</t>
  </si>
  <si>
    <t>00000169</t>
  </si>
  <si>
    <t>KGN-25060948</t>
  </si>
  <si>
    <t>SGNFF7221304</t>
  </si>
  <si>
    <t xml:space="preserve">SI,VGM: 9H 18/06/2025  
8H 20/06/2025  </t>
  </si>
  <si>
    <t xml:space="preserve">SI,VGM: 11H 19/06/2025  9H 21/06/2025  </t>
  </si>
  <si>
    <t>81067</t>
  </si>
  <si>
    <t>NHỰA POLYESTE</t>
  </si>
  <si>
    <t>KGN-25061028</t>
  </si>
  <si>
    <t>63H05554
63H05554
63H05554
70C10230</t>
  </si>
  <si>
    <t>50H29647
50H05655</t>
  </si>
  <si>
    <t>12/06/2025
13/06/2025</t>
  </si>
  <si>
    <t>KGN-25061049</t>
  </si>
  <si>
    <t>18/06/2025</t>
  </si>
  <si>
    <t>16/06/2025</t>
  </si>
  <si>
    <t>17/06/2025</t>
  </si>
  <si>
    <t>51C23338
51C23338</t>
  </si>
  <si>
    <t>50H45712</t>
  </si>
  <si>
    <t>51D09945
50H25696
50H53705
50H53705
50LD19472
51D09945
50H14405
51D09945
50H61112
50H14405
50H24342
50H61112</t>
  </si>
  <si>
    <t>50H05655
50H29647</t>
  </si>
  <si>
    <t>GCXU5261360
ONEU5410405</t>
  </si>
  <si>
    <t>KGN-25061165</t>
  </si>
  <si>
    <t>EGLV147500684158</t>
  </si>
  <si>
    <t>EGSU3738777
EGSU3749848</t>
  </si>
  <si>
    <t>BY20250608</t>
  </si>
  <si>
    <t>50H23338</t>
  </si>
  <si>
    <t>TCLU4532592</t>
  </si>
  <si>
    <t>54350</t>
  </si>
  <si>
    <t>23/06/2025</t>
  </si>
  <si>
    <t>KHAI TK CÁT LÁI
ĐK SỞ XÂY DỰNG
GRAB 234k</t>
  </si>
  <si>
    <t>51C78366</t>
  </si>
  <si>
    <t>KGN-25061293</t>
  </si>
  <si>
    <t>63H05554
63H05554
51C62954</t>
  </si>
  <si>
    <t>KGN-25051397-BS1</t>
  </si>
  <si>
    <t>KGN-25051787-BS1</t>
  </si>
  <si>
    <t>KGN-25051788-BS1</t>
  </si>
  <si>
    <t>KGN-25051710-BS1</t>
  </si>
  <si>
    <t>KGN-25051711-BS1</t>
  </si>
  <si>
    <t>C/O B</t>
  </si>
  <si>
    <r>
      <t xml:space="preserve">XE 3T5, </t>
    </r>
    <r>
      <rPr>
        <b/>
        <sz val="12"/>
        <color rgb="FFFF0000"/>
        <rFont val="Times New Roman"/>
        <family val="1"/>
      </rPr>
      <t>C/O B</t>
    </r>
  </si>
  <si>
    <t>C/O EUR</t>
  </si>
  <si>
    <t>GAOU2548490</t>
  </si>
  <si>
    <t>039FX51861</t>
  </si>
  <si>
    <t>CCL/YKJ/2025/SI2506137</t>
  </si>
  <si>
    <t xml:space="preserve">37 CTNS </t>
  </si>
  <si>
    <t>251</t>
  </si>
  <si>
    <t>SL-VA.17/2025</t>
  </si>
  <si>
    <t>2175</t>
  </si>
  <si>
    <t>02/07/2025</t>
  </si>
  <si>
    <t>đã settle nâng hạ</t>
  </si>
  <si>
    <r>
      <t xml:space="preserve">BSUNG PHÍ CHI HO C.O
</t>
    </r>
    <r>
      <rPr>
        <b/>
        <sz val="10"/>
        <color rgb="FFFF0000"/>
        <rFont val="Times New Roman"/>
        <family val="1"/>
      </rPr>
      <t>đã settle</t>
    </r>
  </si>
  <si>
    <t>50E15635</t>
  </si>
  <si>
    <t>50E15635
51C94961</t>
  </si>
  <si>
    <t>SL-VA.16/2025</t>
  </si>
  <si>
    <t>JJCSHSGB500814
(MILD CONCERTO 2525S)</t>
  </si>
  <si>
    <t>25/06/2025</t>
  </si>
  <si>
    <t>NOSNB25CL73830
(XIN MING ZHOU 108 2507S)</t>
  </si>
  <si>
    <t>16:00 19/06/2025</t>
  </si>
  <si>
    <t xml:space="preserve">20/06/2025 </t>
  </si>
  <si>
    <t>50H05655
50H15635</t>
  </si>
  <si>
    <t>MÁY MÓC
Tính phí neo xe</t>
  </si>
  <si>
    <t>WHSU6290367
WHSU5833080</t>
  </si>
  <si>
    <t xml:space="preserve">SI,VGM: 13H 19/06/2025  01H 22/06/2025  </t>
  </si>
  <si>
    <t>KGN-25061445</t>
  </si>
  <si>
    <t>KGN-25061446</t>
  </si>
  <si>
    <t>TWCU2213922
UETU2922147</t>
  </si>
  <si>
    <t>KGN-25061447</t>
  </si>
  <si>
    <t>50H17748
50H29647
51C23338
51C70406
50H05655</t>
  </si>
  <si>
    <t>20/06/2025</t>
  </si>
  <si>
    <t>WHSU6785772</t>
  </si>
  <si>
    <t>KGN-25061529</t>
  </si>
  <si>
    <t>PHÍ DEM/DET/CƯỢC</t>
  </si>
  <si>
    <r>
      <t>THÁNG 07/2025</t>
    </r>
    <r>
      <rPr>
        <b/>
        <sz val="10"/>
        <color rgb="FFFF0000"/>
        <rFont val="Times New Roman"/>
        <family val="1"/>
      </rPr>
      <t xml:space="preserve"> (SERVICE DAY TỪ NGÀY 01/07/25)</t>
    </r>
  </si>
  <si>
    <t>PHÍ TK XUẤT TC T6.25</t>
  </si>
  <si>
    <t>16 TK</t>
  </si>
  <si>
    <t>307500582560/B11
307500629130/E62</t>
  </si>
  <si>
    <t>039FX53067</t>
  </si>
  <si>
    <t>SI: 16H 26/06/2025
5H 27/06/2025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</si>
  <si>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3/7/25)</t>
    </r>
  </si>
  <si>
    <t>00000087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</si>
  <si>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23/04/25)</t>
    </r>
  </si>
  <si>
    <t>KGN-25061559</t>
  </si>
  <si>
    <t>A78FX26086</t>
  </si>
  <si>
    <t>IAAU2734456
IAAU2872033
IAAU2957465</t>
  </si>
  <si>
    <t>72395.300</t>
  </si>
  <si>
    <t>24/06/2025</t>
  </si>
  <si>
    <t>KGN-25061576</t>
  </si>
  <si>
    <t>KGN-25050871-BS1</t>
  </si>
  <si>
    <r>
      <t xml:space="preserve">KHAI TK CÁT LÁI
</t>
    </r>
    <r>
      <rPr>
        <b/>
        <sz val="10"/>
        <color rgb="FFFF0000"/>
        <rFont val="Times New Roman"/>
        <family val="1"/>
      </rPr>
      <t>THAM VẤN GIÁ</t>
    </r>
  </si>
  <si>
    <r>
      <rPr>
        <sz val="10"/>
        <color rgb="FFFF0000"/>
        <rFont val="Times New Roman"/>
        <family val="1"/>
      </rPr>
      <t>KHAI TK CÁT LÁI</t>
    </r>
    <r>
      <rPr>
        <b/>
        <sz val="10"/>
        <color rgb="FFFF0000"/>
        <rFont val="Times New Roman"/>
        <family val="1"/>
      </rPr>
      <t xml:space="preserve">
THAM VẤN GIÁ</t>
    </r>
  </si>
  <si>
    <t xml:space="preserve">KHAI TK CÁT LÁI </t>
  </si>
  <si>
    <t>SGNFF0163800</t>
  </si>
  <si>
    <t>SGNFJ4121800</t>
  </si>
  <si>
    <t>235500984553</t>
  </si>
  <si>
    <t xml:space="preserve">SI,VGM: 11H 29/06/2025 
1H 01/07/2025  </t>
  </si>
  <si>
    <t>THÁNG 7/2025</t>
  </si>
  <si>
    <r>
      <t>THÁNG 7/2025 (</t>
    </r>
    <r>
      <rPr>
        <b/>
        <sz val="10"/>
        <color rgb="FFFF0000"/>
        <rFont val="Times New Roman"/>
        <family val="1"/>
      </rPr>
      <t>SERVICE DAY TỪ NGÀY 01/7</t>
    </r>
    <r>
      <rPr>
        <b/>
        <sz val="10"/>
        <rFont val="Times New Roman"/>
        <family val="1"/>
      </rPr>
      <t>)</t>
    </r>
  </si>
  <si>
    <t>253684102</t>
  </si>
  <si>
    <t>SUDU7554981</t>
  </si>
  <si>
    <t>KGN-25061813</t>
  </si>
  <si>
    <t>đã settle</t>
  </si>
  <si>
    <r>
      <rPr>
        <b/>
        <sz val="10"/>
        <rFont val="Times New Roman"/>
        <family val="1"/>
      </rPr>
      <t>PHÍ HUN TRÙNG 2TR - XE 5T</t>
    </r>
    <r>
      <rPr>
        <b/>
        <sz val="10"/>
        <color rgb="FFFF0000"/>
        <rFont val="Times New Roman"/>
        <family val="1"/>
      </rPr>
      <t xml:space="preserve">
</t>
    </r>
    <r>
      <rPr>
        <b/>
        <sz val="10"/>
        <rFont val="Times New Roman"/>
        <family val="1"/>
      </rPr>
      <t>PHÍ NEO XE 700K</t>
    </r>
    <r>
      <rPr>
        <b/>
        <sz val="10"/>
        <color rgb="FFFF0000"/>
        <rFont val="Times New Roman"/>
        <family val="1"/>
      </rPr>
      <t xml:space="preserve">
đã settle</t>
    </r>
  </si>
  <si>
    <r>
      <rPr>
        <b/>
        <sz val="10"/>
        <rFont val="Times New Roman"/>
        <family val="1"/>
      </rPr>
      <t>CẤN TRỪ PHÍ ĐỔI CONT 4,920,00 + LCL 1,153,600 = 6,037,600</t>
    </r>
    <r>
      <rPr>
        <b/>
        <sz val="10"/>
        <color rgb="FFFF0000"/>
        <rFont val="Times New Roman"/>
        <family val="1"/>
      </rPr>
      <t xml:space="preserve">
đã settle</t>
    </r>
  </si>
  <si>
    <t>50H25696
51C62954</t>
  </si>
  <si>
    <t>XL-NV250617</t>
  </si>
  <si>
    <t>GCXU2296091</t>
  </si>
  <si>
    <t>VN61846AH</t>
  </si>
  <si>
    <t>DH-20250320</t>
  </si>
  <si>
    <t>16H 25/06/2025
SI: 14H 24/06/2025</t>
  </si>
  <si>
    <t>CONG TY TNHH NEW WIDE (VIET NAM)</t>
  </si>
  <si>
    <t>33</t>
  </si>
  <si>
    <t>VSNW250623</t>
  </si>
  <si>
    <t>667</t>
  </si>
  <si>
    <t>50H24342
50H24342</t>
  </si>
  <si>
    <t xml:space="preserve">SI, VGM: 10H 26/06/2025  23H 28/06/2025  </t>
  </si>
  <si>
    <t>KGN-25061928</t>
  </si>
  <si>
    <t>PTNCLP2560003</t>
  </si>
  <si>
    <t>27/06/2025</t>
  </si>
  <si>
    <t>HWNBCLI2500501
(TS KAOHSIUNG 2503S)</t>
  </si>
  <si>
    <t>26/06/2025</t>
  </si>
  <si>
    <t>THEO DÕI HÀNG HÓA TẠM ỨNG, THANH TOÁN, ĐIỀU XE  - VIỆT STAR</t>
  </si>
  <si>
    <t>MST: 3703167689</t>
  </si>
  <si>
    <t>JS25062001</t>
  </si>
  <si>
    <t>24/6/2025</t>
  </si>
  <si>
    <t>EGLV143580713670</t>
  </si>
  <si>
    <t>GAOU6266880</t>
  </si>
  <si>
    <t>U25061213</t>
  </si>
  <si>
    <t>27/6/2025</t>
  </si>
  <si>
    <t>OHOC25060314</t>
  </si>
  <si>
    <t>EMCU8888030</t>
  </si>
  <si>
    <t>JS25061701</t>
  </si>
  <si>
    <t>THEO DÕI HÀNG XUẤT TẠI CHỖ - VIỆT STAR</t>
  </si>
  <si>
    <t>25/6/2025</t>
  </si>
  <si>
    <t>VTNW250625</t>
  </si>
  <si>
    <t>CONG TY TNHH BAIKAI INDUSTRY VIET NAM</t>
  </si>
  <si>
    <t>00002362
TKX: 30751166404</t>
  </si>
  <si>
    <t>WHSU5932210</t>
  </si>
  <si>
    <t>HWNBCLI2500504
(SITC HAODE 2512S)</t>
  </si>
  <si>
    <t>28/06/2025</t>
  </si>
  <si>
    <t>TRHU4876557</t>
  </si>
  <si>
    <t>KGN-25062218</t>
  </si>
  <si>
    <t>SL-VA.18/2025</t>
  </si>
  <si>
    <r>
      <t xml:space="preserve">THÁNG 07/2025 </t>
    </r>
    <r>
      <rPr>
        <b/>
        <sz val="10"/>
        <color rgb="FFFF0000"/>
        <rFont val="Times New Roman"/>
        <family val="1"/>
      </rPr>
      <t>(SERVICE DAY TỪ NGÀY 23/07/25)</t>
    </r>
  </si>
  <si>
    <t>51C23338
50H29647</t>
  </si>
  <si>
    <t>WHSU0011193
WHSU2455896</t>
  </si>
  <si>
    <t>039FX50268</t>
  </si>
  <si>
    <t>00:00 30/06/2025</t>
  </si>
  <si>
    <t>50H02072
50H02072</t>
  </si>
  <si>
    <t>KGN-25062329</t>
  </si>
  <si>
    <t>KGN-25062360</t>
  </si>
  <si>
    <t>KGN-25062361</t>
  </si>
  <si>
    <t>KGN-25062387</t>
  </si>
  <si>
    <t>KGN-25062413</t>
  </si>
  <si>
    <t>09/07/2025</t>
  </si>
  <si>
    <t>50E15635
51C17748
50H05655</t>
  </si>
  <si>
    <t>VTNW250626</t>
  </si>
  <si>
    <t>8</t>
  </si>
  <si>
    <t>35</t>
  </si>
  <si>
    <t>295</t>
  </si>
  <si>
    <t>107301079541</t>
  </si>
  <si>
    <t>307520548440/B11
307520582850/E62</t>
  </si>
  <si>
    <t>107303806850/A12
107303801361/E31</t>
  </si>
  <si>
    <t>SEGU5245767</t>
  </si>
  <si>
    <t>039FX59559</t>
  </si>
  <si>
    <t>9h 07/07/2025</t>
  </si>
  <si>
    <t>30/06/2025</t>
  </si>
  <si>
    <t>EGHU9311990</t>
  </si>
  <si>
    <t>36</t>
  </si>
  <si>
    <t>VTSS250628</t>
  </si>
  <si>
    <t>SUE’S INTERNATIONAL CORP</t>
  </si>
  <si>
    <t>VTNW250630</t>
  </si>
  <si>
    <t>KGN-25050837-BS1</t>
  </si>
  <si>
    <t>KGN-25051942-BS1</t>
  </si>
  <si>
    <t>KGN-25062587</t>
  </si>
  <si>
    <t>039FX61400</t>
  </si>
  <si>
    <t>6H 08/07/2025</t>
  </si>
  <si>
    <t>KGN-25062668</t>
  </si>
  <si>
    <t>KGN-25062589</t>
  </si>
  <si>
    <t>XL-NY250621</t>
  </si>
  <si>
    <t>06/07/2025</t>
  </si>
  <si>
    <t>JS25062301</t>
  </si>
  <si>
    <t>OHOC25060395</t>
  </si>
  <si>
    <t>OOCU1147893</t>
  </si>
  <si>
    <t>107312340700</t>
  </si>
  <si>
    <t>01/07/2025</t>
  </si>
  <si>
    <t>039FX58473</t>
  </si>
  <si>
    <t>WHSU2402812</t>
  </si>
  <si>
    <t>03/07/2025</t>
  </si>
  <si>
    <t>dc: Khu phố Ông Đông, Phường Tân Hiệp, Thành Phố Hồ Chí Minh</t>
  </si>
  <si>
    <t>Địa chỉ : Lô CN 18, Đường số 4, KCN Sóng Thần 3, Phường Bình Dương, Thành Phố Hồ Chí Minh, Việt Nam.</t>
  </si>
  <si>
    <t xml:space="preserve">Địa chỉ: Lô E5-1 (khu B4), Đường D9, Khu công nghiệp Rạch Bắp, Phường Tây Nam, Thành phố Hồ Chí Minh, Việt Nam </t>
  </si>
  <si>
    <t>Địa chỉ : Lô G1, G2 (khu B2) đường D9, Khu công Nghiệp Rạch Bắp, Phường Tây Nam, Tp Hồ Chí Minh</t>
  </si>
  <si>
    <t>30/06/2025
PHÚ HỮU</t>
  </si>
  <si>
    <t>WHSU0189966</t>
  </si>
  <si>
    <t>T213481</t>
  </si>
  <si>
    <t>DH-20230426-5</t>
  </si>
  <si>
    <t>WHSU2436833</t>
  </si>
  <si>
    <t>T213475</t>
  </si>
  <si>
    <t>DH-20230426-6</t>
  </si>
  <si>
    <t>WHSU2477977</t>
  </si>
  <si>
    <t>T213447</t>
  </si>
  <si>
    <t>DH-20230426-7</t>
  </si>
  <si>
    <t>WHSU2134284</t>
  </si>
  <si>
    <t>07/07/2025</t>
  </si>
  <si>
    <t>T213449</t>
  </si>
  <si>
    <t>DH-20230426-8</t>
  </si>
  <si>
    <t>WHSU2270824</t>
  </si>
  <si>
    <t>WHLU0531076</t>
  </si>
  <si>
    <t>WHLU0549835</t>
  </si>
  <si>
    <t>23:59 07/07/2025</t>
  </si>
  <si>
    <t>T231126</t>
  </si>
  <si>
    <t>DH-20230426- 1</t>
  </si>
  <si>
    <t>T231122</t>
  </si>
  <si>
    <t>DH-20230426-2</t>
  </si>
  <si>
    <t>WHA1524213</t>
  </si>
  <si>
    <t>DH-20230426-3</t>
  </si>
  <si>
    <t>WHA1524244</t>
  </si>
  <si>
    <t>DH-20230426-4</t>
  </si>
  <si>
    <t>50H89361</t>
  </si>
  <si>
    <t>50H54155</t>
  </si>
  <si>
    <t>12840</t>
  </si>
  <si>
    <t>THEO DÕI CHUYỂN KHO  - VIỆT STAR</t>
  </si>
  <si>
    <t>NGÀY CHUYỂN KHO</t>
  </si>
  <si>
    <t>ĐỊA ĐIỂM NHẬN</t>
  </si>
  <si>
    <t>ĐỊA ĐIỂM GIAO</t>
  </si>
  <si>
    <t>Số cont</t>
  </si>
  <si>
    <t>Số xe</t>
  </si>
  <si>
    <t>Trọng lượng</t>
  </si>
  <si>
    <t>Công ty TNHH sản xuất sợi Nam Việt - Tân Uyên</t>
  </si>
  <si>
    <t>TRLU5851567
WHLU5436343</t>
  </si>
  <si>
    <t>61C25646
50H02556</t>
  </si>
  <si>
    <t>Kho Việt Stars - Bàu Bàng</t>
  </si>
  <si>
    <t>SL-DE.03025</t>
  </si>
  <si>
    <t>SL-CJ.09/2025</t>
  </si>
  <si>
    <t>KGN-25070193</t>
  </si>
  <si>
    <t>KGN-25070194</t>
  </si>
  <si>
    <t>339IN25048809</t>
  </si>
  <si>
    <t>EBKG13196152</t>
  </si>
  <si>
    <t>SI,VGM: 8H 08/07/2025  
10H 10/07/2025  
CY: 00:00 10/07/2025</t>
  </si>
  <si>
    <t>08/07/2025</t>
  </si>
  <si>
    <t>WHSU2648025</t>
  </si>
  <si>
    <t>51C78116</t>
  </si>
  <si>
    <t>107325810910</t>
  </si>
  <si>
    <t>04/07/2025</t>
  </si>
  <si>
    <t>107322987660</t>
  </si>
  <si>
    <t>039FX55150</t>
  </si>
  <si>
    <t>SG2508481</t>
  </si>
  <si>
    <t>WHSU2428376</t>
  </si>
  <si>
    <t>307544643360/B11
307544648300/E62</t>
  </si>
  <si>
    <t>60C18029</t>
  </si>
  <si>
    <t>50H54376</t>
  </si>
  <si>
    <t>CULVNAS2527079</t>
  </si>
  <si>
    <t>05/07/2025</t>
  </si>
  <si>
    <t>SL-VA.19/2025</t>
  </si>
  <si>
    <t>SL-CU.10/2025</t>
  </si>
  <si>
    <t>SL-CU.11/2025</t>
  </si>
  <si>
    <t>KGN-25070302</t>
  </si>
  <si>
    <t>VTNW250705</t>
  </si>
  <si>
    <t xml:space="preserve">039FX59560 </t>
  </si>
  <si>
    <t>11/07/2025</t>
  </si>
  <si>
    <t>PHƯỚC LONG 3</t>
  </si>
  <si>
    <t>DC: Lô A - 14E-CN, Khu công nghiệp Bàu Bàng, Xã Bàu Bàng, Thành phố Hồ Chí Minh, Việt Nam</t>
  </si>
  <si>
    <t>SL-LD.45.2025</t>
  </si>
  <si>
    <t>SL-LD.46.2025</t>
  </si>
  <si>
    <t>SL-LD.47.2025</t>
  </si>
  <si>
    <t>SL-LD.48.2025</t>
  </si>
  <si>
    <t>PSSHA257037</t>
  </si>
  <si>
    <t>JS25070101</t>
  </si>
  <si>
    <t>107330155330</t>
  </si>
  <si>
    <t>TCNU1142730</t>
  </si>
  <si>
    <t>50E13964</t>
  </si>
  <si>
    <t>SHHCM25125951</t>
  </si>
  <si>
    <t>CÁT LÁI KHO 2</t>
  </si>
  <si>
    <t>KGN-25070374</t>
  </si>
  <si>
    <t>SUZHOU</t>
  </si>
  <si>
    <t>APXOE-25061756</t>
  </si>
  <si>
    <t>KGN-25070379</t>
  </si>
  <si>
    <t>9H 13/07/2025</t>
  </si>
  <si>
    <t>256475705</t>
  </si>
  <si>
    <t>39</t>
  </si>
  <si>
    <t>VTNW250707</t>
  </si>
  <si>
    <t>40</t>
  </si>
  <si>
    <t>37</t>
  </si>
  <si>
    <t xml:space="preserve">50H35760 </t>
  </si>
  <si>
    <t>VTNW250708</t>
  </si>
  <si>
    <t>EBKG13481236</t>
  </si>
  <si>
    <t>41</t>
  </si>
  <si>
    <t>7 CT/ 168 KGM/ 0.545 CBM</t>
  </si>
  <si>
    <t>14 CT/ 410 KGM/ 1.313 CBM</t>
  </si>
  <si>
    <t xml:space="preserve">CƯỢC CONT 2TR
</t>
  </si>
  <si>
    <t>MSBU8303665</t>
  </si>
  <si>
    <t>307559713220
307559690010</t>
  </si>
  <si>
    <t>50H01568</t>
  </si>
  <si>
    <t>KGN-25070568</t>
  </si>
  <si>
    <t>KGN-25070569</t>
  </si>
  <si>
    <t>KGN-25070570</t>
  </si>
  <si>
    <t>10/07/2025</t>
  </si>
  <si>
    <t>VTNW250710</t>
  </si>
  <si>
    <t>VTNW250710-1</t>
  </si>
  <si>
    <t>PSSHA257055</t>
  </si>
  <si>
    <t>JS25070701</t>
  </si>
  <si>
    <t xml:space="preserve">EGSU9366471 </t>
  </si>
  <si>
    <t>U25070313</t>
  </si>
  <si>
    <r>
      <t xml:space="preserve">EGLV143580716075
</t>
    </r>
    <r>
      <rPr>
        <sz val="10"/>
        <rFont val="Times New Roman"/>
        <family val="1"/>
      </rPr>
      <t>(EVER OUTWIT 0068 034S</t>
    </r>
    <r>
      <rPr>
        <b/>
        <sz val="10"/>
        <rFont val="Times New Roman"/>
        <family val="1"/>
      </rPr>
      <t>)</t>
    </r>
  </si>
  <si>
    <t>YMJAW490480310</t>
  </si>
  <si>
    <t>TRHU2290171</t>
  </si>
  <si>
    <t>FX34978116</t>
  </si>
  <si>
    <t>DH- 20250312-1-1</t>
  </si>
  <si>
    <t>18:00 13/07/2025</t>
  </si>
  <si>
    <t>107341543960</t>
  </si>
  <si>
    <t>ITOCHU</t>
  </si>
  <si>
    <t>ITCSHB022807</t>
  </si>
  <si>
    <t>5 PL/ 3384.820 KGM/ 11 CBM</t>
  </si>
  <si>
    <t>13/07/2025</t>
  </si>
  <si>
    <t>KGN-25070694</t>
  </si>
  <si>
    <t>XL-HD20250709</t>
  </si>
  <si>
    <t>KGN-25062413-BS1</t>
  </si>
  <si>
    <t>WHLU0697468</t>
  </si>
  <si>
    <t>KGN-25070773</t>
  </si>
  <si>
    <t>12/07/2025</t>
  </si>
  <si>
    <t>51D65135</t>
  </si>
  <si>
    <t>YMLU8783117</t>
  </si>
  <si>
    <t>YMAU411007</t>
  </si>
  <si>
    <t xml:space="preserve">KCN NHƠN TRẠCH II, NHƠN TRẠCH, ĐỒNG NAI </t>
  </si>
  <si>
    <t xml:space="preserve">SI,VGM : 15H 10/07/2025  20H 12/07/2025  
CY: 06:00 12/07/2025	</t>
  </si>
  <si>
    <t>CCL/HNK/2025/SI2507050</t>
  </si>
  <si>
    <t>163 CTNS</t>
  </si>
  <si>
    <t>307568288700</t>
  </si>
  <si>
    <t>19h 14/07/2025</t>
  </si>
  <si>
    <t>ZIMUHCM80553552</t>
  </si>
  <si>
    <t>SI: 10H 12/07/2025
16H 14/07/2025</t>
  </si>
  <si>
    <t>235501139997</t>
  </si>
  <si>
    <t xml:space="preserve">SI,VGM:  10H 17/07/2025  4H 19/07/2025  </t>
  </si>
  <si>
    <t>POVT000038</t>
  </si>
  <si>
    <t>BMOU1072244
FTAU1175153
SEGU1584084</t>
  </si>
  <si>
    <t>Đồng Nai</t>
  </si>
  <si>
    <t>Hạ cảng đồng nai + 500k</t>
  </si>
  <si>
    <t>14/07/2025</t>
  </si>
  <si>
    <t>KGN-25070828</t>
  </si>
  <si>
    <t>KGN-25070829</t>
  </si>
  <si>
    <t>VTNW250712</t>
  </si>
  <si>
    <t>EISU9911836</t>
  </si>
  <si>
    <t>61E03452</t>
  </si>
  <si>
    <t>KGN-25070841</t>
  </si>
  <si>
    <t>BỘT ĐÁ THẠCH ANH</t>
  </si>
  <si>
    <t>79736</t>
  </si>
  <si>
    <t>KGN-25070842</t>
  </si>
  <si>
    <t>KGN-25070843</t>
  </si>
  <si>
    <t>KGN-25070844</t>
  </si>
  <si>
    <t>KGN-25070845</t>
  </si>
  <si>
    <t>KGN-25070846</t>
  </si>
  <si>
    <t>KGN-25070847</t>
  </si>
  <si>
    <t>4 CT/ 108 KGM/ 0.391 CBM</t>
  </si>
  <si>
    <t>CULVNAS2528522</t>
  </si>
  <si>
    <t>50H24401</t>
  </si>
  <si>
    <t>ZCSU6783990</t>
  </si>
  <si>
    <t>Khấu trừ 500k</t>
  </si>
  <si>
    <t>Khấu trừ 433.230</t>
  </si>
  <si>
    <t>15h 14/07/2025</t>
  </si>
  <si>
    <t>039FX61399</t>
  </si>
  <si>
    <t>17h 19/07/2025</t>
  </si>
  <si>
    <t>307572493230</t>
  </si>
  <si>
    <t>EMCU8706222</t>
  </si>
  <si>
    <t>CKSU2203082</t>
  </si>
  <si>
    <t>22h 17/07/2025</t>
  </si>
  <si>
    <t>50H02072</t>
  </si>
  <si>
    <t>50H54511
51D60867</t>
  </si>
  <si>
    <t>KCN TÂY NINH, TÂY NINH</t>
  </si>
  <si>
    <t>15/07/2025</t>
  </si>
  <si>
    <t>MSKU5980449
MSKU7766652</t>
  </si>
  <si>
    <t>17/07/2025</t>
  </si>
  <si>
    <t>XL-NV2505</t>
  </si>
  <si>
    <t>KGN-25070925</t>
  </si>
  <si>
    <t>KGN-25070926</t>
  </si>
  <si>
    <t>KGN-25070928</t>
  </si>
  <si>
    <t>VTNW250714-1</t>
  </si>
  <si>
    <t>VTNW250714-2</t>
  </si>
  <si>
    <t>00002580
TKX: 307563395110</t>
  </si>
  <si>
    <t>16/07/2025</t>
  </si>
  <si>
    <t>WHLU5567180</t>
  </si>
  <si>
    <t>61H20016</t>
  </si>
  <si>
    <t>CCL/MCG/2025/SI2507094</t>
  </si>
  <si>
    <t xml:space="preserve">100 CTNS </t>
  </si>
  <si>
    <t>MICHIGAN HD</t>
  </si>
  <si>
    <t>VTNW250715_1</t>
  </si>
  <si>
    <t>YMJAW490481307</t>
  </si>
  <si>
    <t>50E15635
50H05655
50H17748</t>
  </si>
  <si>
    <t>25/07/2025</t>
  </si>
  <si>
    <t>HCM-SBK-25071049</t>
  </si>
  <si>
    <t>95 CT/ 3025.4 KGM/ 9.38 CBM</t>
  </si>
  <si>
    <t>Cut off 19/07/2025</t>
  </si>
  <si>
    <t>CÁT LÁI KHO 5</t>
  </si>
  <si>
    <t>NOSZP25CL00377</t>
  </si>
  <si>
    <t>SEGU3535860</t>
  </si>
  <si>
    <t>U25070414</t>
  </si>
  <si>
    <t>18/07/2025</t>
  </si>
  <si>
    <t>50H03585</t>
  </si>
  <si>
    <t>KGN-25071291</t>
  </si>
  <si>
    <t>VTNW250715</t>
  </si>
  <si>
    <t>WHSU0173933
WHSU0068959</t>
  </si>
  <si>
    <t>50F03585</t>
  </si>
  <si>
    <t>307586307510</t>
  </si>
  <si>
    <t>TEMU0729235</t>
  </si>
  <si>
    <t>YMAU331841</t>
  </si>
  <si>
    <t>CF20250718-1</t>
  </si>
  <si>
    <t>CF20250718-2</t>
  </si>
  <si>
    <t>TEMU0232090</t>
  </si>
  <si>
    <t>YMAU331852</t>
  </si>
  <si>
    <t>YMLU3443644</t>
  </si>
  <si>
    <t>YMAU331890</t>
  </si>
  <si>
    <t>CF20250718-3</t>
  </si>
  <si>
    <t>50H-54376</t>
  </si>
  <si>
    <t>8H 22/07/2025</t>
  </si>
  <si>
    <t>NHƠN TRẠCH</t>
  </si>
  <si>
    <t>20/07/2025</t>
  </si>
  <si>
    <t xml:space="preserve">SHAZLS215200 </t>
  </si>
  <si>
    <t>KGN-25071412</t>
  </si>
  <si>
    <t>VTNW250718</t>
  </si>
  <si>
    <t>CƯỢC CONT 1TR</t>
  </si>
  <si>
    <t>VTJS250716</t>
  </si>
  <si>
    <t>KGN-25071448</t>
  </si>
  <si>
    <t>KGN-25071449</t>
  </si>
  <si>
    <t>VTNW250719</t>
  </si>
  <si>
    <t>Jiangsu Niupai</t>
  </si>
  <si>
    <t>BUYU4102408</t>
  </si>
  <si>
    <t>KGN-25071559</t>
  </si>
  <si>
    <t>107365960110</t>
  </si>
  <si>
    <t>107370317940</t>
  </si>
  <si>
    <t>KNQ SOTRANS</t>
  </si>
  <si>
    <t>VSKH250715</t>
  </si>
  <si>
    <t>21/07/2025</t>
  </si>
  <si>
    <t>KNQ SOTRANS
CHỈ MỞ TK + CƯỚC KNQ</t>
  </si>
  <si>
    <t>23/07/2025</t>
  </si>
  <si>
    <t>VTNW250721</t>
  </si>
  <si>
    <t>1 PK/ 200 KGM/ 2.66 CBM</t>
  </si>
  <si>
    <t>6 PP/ 2750 KGM/ 11 CBM</t>
  </si>
  <si>
    <t>24/07/2025</t>
  </si>
  <si>
    <t>KGN-25071589</t>
  </si>
  <si>
    <t>KGN-25071590</t>
  </si>
  <si>
    <t>122500035013599</t>
  </si>
  <si>
    <t>KGN-25071591</t>
  </si>
  <si>
    <t>KGN-25071593</t>
  </si>
  <si>
    <t xml:space="preserve">SI,VGM: 10H 25/07/2025  
17H 26/07/2025 </t>
  </si>
  <si>
    <t xml:space="preserve">SI,VGM: 15H 28/07/2025  
8AM 30/07/2025 </t>
  </si>
  <si>
    <t>22/07/2025</t>
  </si>
  <si>
    <t>50H17748
50E15685</t>
  </si>
  <si>
    <t>VTNW250722</t>
  </si>
  <si>
    <t>10/08/2025</t>
  </si>
  <si>
    <t>52</t>
  </si>
  <si>
    <t>JS25072001</t>
  </si>
  <si>
    <t>FTAU1659820
FTAU1660400</t>
  </si>
  <si>
    <t>26/07/2025</t>
  </si>
  <si>
    <t>KGN-25071872</t>
  </si>
  <si>
    <t>KGN-25071873</t>
  </si>
  <si>
    <t>KGN-25071874</t>
  </si>
  <si>
    <t>SEGU3483637 &amp; NBYU0168552</t>
  </si>
  <si>
    <t>CCL/MCG/2025/SI2507143</t>
  </si>
  <si>
    <t>DC: Lô B6_D_CN, đường N13, Khu công nghiệp Bàu Bàng, Xã Bàu Bàng, Thành Phố Hồ Chí Minh</t>
  </si>
  <si>
    <t>XL-HC250716</t>
  </si>
  <si>
    <t>107376084210</t>
  </si>
  <si>
    <t>HLBU3657098</t>
  </si>
  <si>
    <t>PSSHA257448</t>
  </si>
  <si>
    <t>107381814150</t>
  </si>
  <si>
    <t>50H87514</t>
  </si>
  <si>
    <t>VTSS250723</t>
  </si>
  <si>
    <t>HUGE ROCK TEXTILE CO.,LTD</t>
  </si>
  <si>
    <t>VTHR250724</t>
  </si>
  <si>
    <t>VTNW250724</t>
  </si>
  <si>
    <t>VTNW250724-1</t>
  </si>
  <si>
    <t>53</t>
  </si>
  <si>
    <t>357 CTNS</t>
  </si>
  <si>
    <t>244 CTNS</t>
  </si>
  <si>
    <t>YARKIN VIET NAM</t>
  </si>
  <si>
    <t>CCL/YKJ/2025/SI2507144</t>
  </si>
  <si>
    <t>039FX69778</t>
  </si>
  <si>
    <t>21H 02/08/2025</t>
  </si>
  <si>
    <r>
      <t xml:space="preserve">THÁNG 08/2025 </t>
    </r>
    <r>
      <rPr>
        <b/>
        <sz val="10"/>
        <color rgb="FFFF0000"/>
        <rFont val="Times New Roman"/>
        <family val="1"/>
      </rPr>
      <t>(SERVICE DAY TỪ NGÀY 23/08/25)</t>
    </r>
  </si>
  <si>
    <t>KGN-25072034</t>
  </si>
  <si>
    <r>
      <t>THÁNG 8/2025 (</t>
    </r>
    <r>
      <rPr>
        <b/>
        <sz val="10"/>
        <color rgb="FFFF0000"/>
        <rFont val="Times New Roman"/>
        <family val="1"/>
      </rPr>
      <t>SERVICE DAY TỪ NGÀY 01/8</t>
    </r>
    <r>
      <rPr>
        <b/>
        <sz val="10"/>
        <rFont val="Times New Roman"/>
        <family val="1"/>
      </rPr>
      <t>)</t>
    </r>
  </si>
  <si>
    <t>28/07/2025</t>
  </si>
  <si>
    <t>THÁNG 8/2025</t>
  </si>
  <si>
    <t>MRKU0419731</t>
  </si>
  <si>
    <t>51C76340</t>
  </si>
  <si>
    <t>54</t>
  </si>
  <si>
    <t>KGN-25072015</t>
  </si>
  <si>
    <t>KGN-25072016</t>
  </si>
  <si>
    <t>JS25072102</t>
  </si>
  <si>
    <t>00002745
TKX: 307602439230</t>
  </si>
  <si>
    <t>29/07/2025</t>
  </si>
  <si>
    <t>KGN-25072098</t>
  </si>
  <si>
    <t>OHOC25070403</t>
  </si>
  <si>
    <t>235501206180</t>
  </si>
  <si>
    <t>SI: 9H 30/07/2025
10AM 31/07/2025</t>
  </si>
  <si>
    <t>JS25072101</t>
  </si>
  <si>
    <t>30/07/2025</t>
  </si>
  <si>
    <t>HANGZHOU JISHENG NEW MATERIALS</t>
  </si>
  <si>
    <t xml:space="preserve">ZHEJIANG RECYCLE NEW MATERIAL INSTITUTE </t>
  </si>
  <si>
    <t>HANGZHOU JISHENG NEW MATERIAL</t>
  </si>
  <si>
    <r>
      <t xml:space="preserve">HUZHOU ZHONGYUE CHEMICAL FIBER
</t>
    </r>
    <r>
      <rPr>
        <b/>
        <sz val="8"/>
        <color rgb="FFFF0000"/>
        <rFont val="Times New Roman"/>
        <family val="1"/>
      </rPr>
      <t>(TBCPG: 8.05%)</t>
    </r>
  </si>
  <si>
    <t>ZHEJIANG RECYCLE NEW MATERIA</t>
  </si>
  <si>
    <t>11/08/2025</t>
  </si>
  <si>
    <t>Phụ thi phí BOT</t>
  </si>
  <si>
    <t>EITU0321555</t>
  </si>
  <si>
    <t>55</t>
  </si>
  <si>
    <t>VTNW250729</t>
  </si>
  <si>
    <t>350</t>
  </si>
  <si>
    <t>600</t>
  </si>
  <si>
    <t>KAM HING PIECE WORK LIMITED</t>
  </si>
  <si>
    <t>FFAU1071249</t>
  </si>
  <si>
    <t>Phụ phí 500k</t>
  </si>
  <si>
    <t>KGN-25072213</t>
  </si>
  <si>
    <t>VSKH250729</t>
  </si>
  <si>
    <t>50H05655
50H54376</t>
  </si>
  <si>
    <t>107393372440</t>
  </si>
  <si>
    <t>257336092</t>
  </si>
  <si>
    <t>9H 05/08/2025</t>
  </si>
  <si>
    <t>KHAI TK CASRT LÁI
ĐK SỞ XÂY DỰNG
PHÍ GRAB 491K</t>
  </si>
  <si>
    <t>KGN-25072385</t>
  </si>
  <si>
    <t>KGN-25072386</t>
  </si>
  <si>
    <t>KGN-25072387</t>
  </si>
  <si>
    <t>KGN-25072388</t>
  </si>
  <si>
    <t>ETD: 06/08/2025
CY: 04/08/2025</t>
  </si>
  <si>
    <t>13/08/2025</t>
  </si>
  <si>
    <r>
      <rPr>
        <b/>
        <sz val="10"/>
        <color rgb="FFFF0000"/>
        <rFont val="Times New Roman"/>
        <family val="1"/>
      </rPr>
      <t xml:space="preserve">WAN HAI </t>
    </r>
    <r>
      <rPr>
        <b/>
        <sz val="10"/>
        <rFont val="Times New Roman"/>
        <family val="1"/>
      </rPr>
      <t xml:space="preserve">
HCM - KEELUNG</t>
    </r>
  </si>
  <si>
    <t>039FX72395</t>
  </si>
  <si>
    <t>ETD: 08/08/2025
CY: 06/08/2025</t>
  </si>
  <si>
    <t>VTNW250801</t>
  </si>
  <si>
    <t>01/08/2025</t>
  </si>
  <si>
    <t>56</t>
  </si>
  <si>
    <t>130</t>
  </si>
  <si>
    <t>VTNW250801-1</t>
  </si>
  <si>
    <t>150</t>
  </si>
  <si>
    <t xml:space="preserve">51C75929 </t>
  </si>
  <si>
    <r>
      <rPr>
        <b/>
        <sz val="10"/>
        <color rgb="FFFF0000"/>
        <rFont val="Times New Roman"/>
        <family val="1"/>
      </rPr>
      <t>EMC</t>
    </r>
    <r>
      <rPr>
        <b/>
        <sz val="10"/>
        <rFont val="Times New Roman"/>
        <family val="1"/>
      </rPr>
      <t xml:space="preserve"> 
HCM - KAOSIUNG</t>
    </r>
  </si>
  <si>
    <t>235501261776</t>
  </si>
  <si>
    <t>VST25070014</t>
  </si>
  <si>
    <t>SGNFM0514601</t>
  </si>
  <si>
    <t xml:space="preserve">SI,VGM:  8H  05/08/2025  
1H 07/08/2025   </t>
  </si>
  <si>
    <t>51D62522</t>
  </si>
  <si>
    <t>BSUNG PHÍ HẠ</t>
  </si>
  <si>
    <t>57</t>
  </si>
  <si>
    <t>307629128830</t>
  </si>
  <si>
    <t>02/08/2025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</si>
  <si>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</t>
    </r>
  </si>
  <si>
    <t>CONT: WHSU6250852
SEAL: WHA1541482</t>
  </si>
  <si>
    <t>KGN-25080087</t>
  </si>
  <si>
    <t>KGN-25080094</t>
  </si>
  <si>
    <t>KGN-25080095</t>
  </si>
  <si>
    <t>WHSU2924606</t>
  </si>
  <si>
    <t>JJCNSSGY501898</t>
  </si>
  <si>
    <t>09/08/2025</t>
  </si>
  <si>
    <t>MSKU7792841</t>
  </si>
  <si>
    <t>MSKU7709544</t>
  </si>
  <si>
    <t>ML-VN1081038</t>
  </si>
  <si>
    <t>CF20250718-5</t>
  </si>
  <si>
    <t>CF20250718-4</t>
  </si>
  <si>
    <t>ML-VN1078487</t>
  </si>
  <si>
    <t>Cont No.: TXGU5739711
Seal No.: EMCSPW3394</t>
  </si>
  <si>
    <t>VTJS250804</t>
  </si>
  <si>
    <t>51D64813</t>
  </si>
  <si>
    <t>04/08/2025</t>
  </si>
  <si>
    <t>307635295240</t>
  </si>
  <si>
    <t>KGN-25080308</t>
  </si>
  <si>
    <t>KGN-25080324</t>
  </si>
  <si>
    <t>KGN-25080326</t>
  </si>
  <si>
    <t>257780015</t>
  </si>
  <si>
    <t>04H 10/08/2025</t>
  </si>
  <si>
    <t>MAERSK</t>
  </si>
  <si>
    <t>SITSGOSW447475</t>
  </si>
  <si>
    <t>58</t>
  </si>
  <si>
    <t>05/08/2025</t>
  </si>
  <si>
    <t>98</t>
  </si>
  <si>
    <t>VN01052807</t>
  </si>
  <si>
    <t>ETD:  09/08/2025
CY: 12H 07/08/2025
SI: 16H 06/08/2025</t>
  </si>
  <si>
    <r>
      <rPr>
        <b/>
        <sz val="10"/>
        <color rgb="FFFF0000"/>
        <rFont val="Times New Roman"/>
        <family val="1"/>
      </rPr>
      <t>KMTC</t>
    </r>
    <r>
      <rPr>
        <b/>
        <sz val="10"/>
        <rFont val="Times New Roman"/>
        <family val="1"/>
      </rPr>
      <t xml:space="preserve">
HCM - BANGKOK</t>
    </r>
  </si>
  <si>
    <t>12H 12/08/2025</t>
  </si>
  <si>
    <t>KGN-25080388</t>
  </si>
  <si>
    <t>TWCU2161670
TWCU2195161</t>
  </si>
  <si>
    <t>MRKU7973560</t>
  </si>
  <si>
    <t>257540853</t>
  </si>
  <si>
    <t>TCKU6078579
EGHU9572020</t>
  </si>
  <si>
    <t>OHOC25070568</t>
  </si>
  <si>
    <t>U25072311</t>
  </si>
  <si>
    <r>
      <t xml:space="preserve">EGLV143580716202
</t>
    </r>
    <r>
      <rPr>
        <sz val="10"/>
        <rFont val="Times New Roman"/>
        <family val="1"/>
      </rPr>
      <t>(EVER OUTDO 0071-047S)</t>
    </r>
  </si>
  <si>
    <t>KGN-25080434</t>
  </si>
  <si>
    <t>Cont No: SEGU1303572
Seal No: KM B784703</t>
  </si>
  <si>
    <t>307643689200
307643691850</t>
  </si>
  <si>
    <t>VET250806
VET250806-1</t>
  </si>
  <si>
    <t>51D64847</t>
  </si>
  <si>
    <t>VTNW250805</t>
  </si>
  <si>
    <t>06/08/2025</t>
  </si>
  <si>
    <t>SNLFNSVLF43216</t>
  </si>
  <si>
    <t>235501293279</t>
  </si>
  <si>
    <t>CY: 22H 11/08/2025
SI: 17H 11/08/2025</t>
  </si>
  <si>
    <t>TGHU1640273</t>
  </si>
  <si>
    <t>CONG TY TNHH BILLION INDUSTRIAL VIET NAM</t>
  </si>
  <si>
    <t>07/08/2025</t>
  </si>
  <si>
    <t>00007531
TKX: 307645948430</t>
  </si>
  <si>
    <t>157</t>
  </si>
  <si>
    <t>595</t>
  </si>
  <si>
    <t>107421401140</t>
  </si>
  <si>
    <t>PSSHA258017</t>
  </si>
  <si>
    <t>ETA: 08/08/2025</t>
  </si>
  <si>
    <t>BỔ SUNG PHÍ DV + CH C/O</t>
  </si>
  <si>
    <t>039FX74764</t>
  </si>
  <si>
    <t>ZIMUHCM80561533</t>
  </si>
  <si>
    <t>08/08/2025</t>
  </si>
  <si>
    <t>YMJAI490557957</t>
  </si>
  <si>
    <r>
      <rPr>
        <b/>
        <sz val="10"/>
        <color rgb="FFFF0000"/>
        <rFont val="Times New Roman"/>
        <family val="1"/>
      </rPr>
      <t xml:space="preserve">YANGMING </t>
    </r>
    <r>
      <rPr>
        <b/>
        <sz val="10"/>
        <rFont val="Times New Roman"/>
        <family val="1"/>
      </rPr>
      <t xml:space="preserve">
HCM - KAOSIUNG</t>
    </r>
  </si>
  <si>
    <t>CY: 22H 11/08/2025</t>
  </si>
  <si>
    <t xml:space="preserve">CONT: TXGU7229661
SEAL: EMCSPY7194 </t>
  </si>
  <si>
    <t>307651045610</t>
  </si>
  <si>
    <t>FFAU3964214</t>
  </si>
  <si>
    <t>SEKU1575805
BEAU2702786</t>
  </si>
  <si>
    <t>307654366960/E62
307654415040/B11</t>
  </si>
  <si>
    <t>107417643100</t>
  </si>
  <si>
    <t>VTNW250807</t>
  </si>
  <si>
    <t>59</t>
  </si>
  <si>
    <t>00002900
TKX: 307640067510</t>
  </si>
  <si>
    <t>PHÍ BẢO HIỂM</t>
  </si>
  <si>
    <t>50H24423</t>
  </si>
  <si>
    <t>51C78156</t>
  </si>
  <si>
    <t>SITSGOSW447979</t>
  </si>
  <si>
    <t>06H 15/08/2025</t>
  </si>
  <si>
    <t>307654967450</t>
  </si>
  <si>
    <t>09/8/2025</t>
  </si>
  <si>
    <t>KGN-25080779</t>
  </si>
  <si>
    <t>CONT: TLLU3584579
SEAL: YMAU329615</t>
  </si>
  <si>
    <t>KGN-25080780</t>
  </si>
  <si>
    <t>KGN-25080781</t>
  </si>
  <si>
    <t>KGN-25080782</t>
  </si>
  <si>
    <t>JS25080101</t>
  </si>
  <si>
    <t>VET250808</t>
  </si>
  <si>
    <t>VTJS250809</t>
  </si>
  <si>
    <t>KGN-25080785</t>
  </si>
  <si>
    <t>KGN-25080787</t>
  </si>
  <si>
    <t>JS25080401</t>
  </si>
  <si>
    <t>22/08/2025</t>
  </si>
  <si>
    <t>23/08/2025</t>
  </si>
  <si>
    <t xml:space="preserve">22h 14/08/2025 </t>
  </si>
  <si>
    <t>KGN-25080840</t>
  </si>
  <si>
    <t>EBKG13803057</t>
  </si>
  <si>
    <t>22:00 18/08/2025</t>
  </si>
  <si>
    <t>60</t>
  </si>
  <si>
    <t>VTNW250811</t>
  </si>
  <si>
    <t>687</t>
  </si>
  <si>
    <t xml:space="preserve">KGN-25080911 </t>
  </si>
  <si>
    <t>Lệ phí hải quan T1-4-5-6</t>
  </si>
  <si>
    <t>15/08/2025</t>
  </si>
  <si>
    <t>12/08/2025</t>
  </si>
  <si>
    <t>50H25399</t>
  </si>
  <si>
    <t>107434091220</t>
  </si>
  <si>
    <t xml:space="preserve">SI,VGM: 10H 15/08/2025  
16H 16/08/2025   </t>
  </si>
  <si>
    <t>FT01P</t>
  </si>
  <si>
    <t>TCKU1252203</t>
  </si>
  <si>
    <t>A4251343267</t>
  </si>
  <si>
    <t>50H91510</t>
  </si>
  <si>
    <t>01H 17/08/2025</t>
  </si>
  <si>
    <t>21/08/2025</t>
  </si>
  <si>
    <t>BY20250729</t>
  </si>
  <si>
    <t>BEAU2693703</t>
  </si>
  <si>
    <t>51C76342</t>
  </si>
  <si>
    <t>KHAI TK CÁT LÁI
ĐK SỞ XÂY DỰNG
Phí grab 231k</t>
  </si>
  <si>
    <t>107419761740/E62
107419858822/A12</t>
  </si>
  <si>
    <t>KGN-25081105</t>
  </si>
  <si>
    <t>KGN-25081106</t>
  </si>
  <si>
    <t>KGN-25081107</t>
  </si>
  <si>
    <t>KGN-25081108</t>
  </si>
  <si>
    <t>XL-NV250807</t>
  </si>
  <si>
    <t>SNBU2259833</t>
  </si>
  <si>
    <t>27,020</t>
  </si>
  <si>
    <t>YMJAW490486900</t>
  </si>
  <si>
    <t>PHUOC LONG 3</t>
  </si>
  <si>
    <t>14/08/2025</t>
  </si>
  <si>
    <t>KGN-25081206</t>
  </si>
  <si>
    <t>KGN-25081211</t>
  </si>
  <si>
    <t>50H17748
50H91877</t>
  </si>
  <si>
    <t>50H83365
50H74085</t>
  </si>
  <si>
    <t>16h 14/08/2025</t>
  </si>
  <si>
    <t>51D44643</t>
  </si>
  <si>
    <t>KGN-25070828-BS1</t>
  </si>
  <si>
    <t>KGN-25072213-BS1</t>
  </si>
  <si>
    <t>51C46577</t>
  </si>
  <si>
    <t>TCLU8123611</t>
  </si>
  <si>
    <t>KGN-25081277</t>
  </si>
  <si>
    <t>WHSU5805154</t>
  </si>
  <si>
    <t>WHLT240584</t>
  </si>
  <si>
    <t>POVT000038-2</t>
  </si>
  <si>
    <t>1TR PHÍ HỦY XE -&gt; PHÍ LẤY CONT XA HIỆP PHƯỚC</t>
  </si>
  <si>
    <t>27/08/2025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</si>
  <si>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
LÀM 2 C/O FORM AJ</t>
    </r>
  </si>
  <si>
    <t>6 PK/ 161 KGM/ 0.633 CBM</t>
  </si>
  <si>
    <t>KGN-25081323</t>
  </si>
  <si>
    <t>8H 19/08/2025</t>
  </si>
  <si>
    <t>6</t>
  </si>
  <si>
    <t>VTSS250815</t>
  </si>
  <si>
    <t>00000279</t>
  </si>
  <si>
    <t>LD-SC-LG28-25</t>
  </si>
  <si>
    <t>039FX77977</t>
  </si>
  <si>
    <t>MSMU4701047</t>
  </si>
  <si>
    <t>TCLU9826650</t>
  </si>
  <si>
    <t>FX40402987</t>
  </si>
  <si>
    <t>KJ020405P
KJ020405P-1</t>
  </si>
  <si>
    <t>307674252450/H21
307674262400/B11</t>
  </si>
  <si>
    <t>50H02728</t>
  </si>
  <si>
    <t>KGN-25081449</t>
  </si>
  <si>
    <t>KGN-25081450</t>
  </si>
  <si>
    <t>Cấn trừ 350k chưa VAT phí hun trùng T1</t>
  </si>
  <si>
    <t>Cấn trừ 300k chưa VAT phí hun trùng T1</t>
  </si>
  <si>
    <t>16/08/2025</t>
  </si>
  <si>
    <t>18/08/2025</t>
  </si>
  <si>
    <t>COAU7261581870</t>
  </si>
  <si>
    <t>OOCU8691511</t>
  </si>
  <si>
    <t>SNLFNSVLF43318</t>
  </si>
  <si>
    <t>SNBU2362604
SNBU2257893</t>
  </si>
  <si>
    <t>54396</t>
  </si>
  <si>
    <t>20/08/2025</t>
  </si>
  <si>
    <t>U25080212</t>
  </si>
  <si>
    <t>50H26346</t>
  </si>
  <si>
    <t>CONT: TIIU4723384
SEAL: WHLT217897</t>
  </si>
  <si>
    <t>VTJS250818</t>
  </si>
  <si>
    <t xml:space="preserve">12:00 20/08/2025	</t>
  </si>
  <si>
    <t>FTAU1008921</t>
  </si>
  <si>
    <t>CF20250718-6</t>
  </si>
  <si>
    <t>YMAU415706</t>
  </si>
  <si>
    <t xml:space="preserve">50E15635 </t>
  </si>
  <si>
    <t>027F676221</t>
  </si>
  <si>
    <t>307677499640</t>
  </si>
  <si>
    <r>
      <t xml:space="preserve">JIANGSU HENGKE ADVANCED MATERIAL
</t>
    </r>
    <r>
      <rPr>
        <b/>
        <sz val="8"/>
        <color rgb="FFFF0000"/>
        <rFont val="Times New Roman"/>
        <family val="1"/>
      </rPr>
      <t>(TCBPG: 11.45%)</t>
    </r>
  </si>
  <si>
    <t>SNLFNSVLF43510</t>
  </si>
  <si>
    <t>WHLU5621819
WHSU6820045</t>
  </si>
  <si>
    <t>VTSS250818</t>
  </si>
  <si>
    <t>107450198700</t>
  </si>
  <si>
    <t>039FX75296</t>
  </si>
  <si>
    <t>6H 22/08/2025</t>
  </si>
  <si>
    <t>19/08/2025</t>
  </si>
  <si>
    <t>KGN-25081692</t>
  </si>
  <si>
    <t>2764349590B</t>
  </si>
  <si>
    <t>KGN-25081693</t>
  </si>
  <si>
    <t>KGN-25081694</t>
  </si>
  <si>
    <t>XL-HD250812</t>
  </si>
  <si>
    <t>HKEXP2508008A</t>
  </si>
  <si>
    <t>2 xe 8T</t>
  </si>
  <si>
    <t>STHCM2508008</t>
  </si>
  <si>
    <t>STHCM2508046</t>
  </si>
  <si>
    <t>STHCM2508079</t>
  </si>
  <si>
    <t>STHCM2508136</t>
  </si>
  <si>
    <t>235501358800</t>
  </si>
  <si>
    <t>SI: 11H 25/08/2025
CY: 12H 25/08/2025</t>
  </si>
  <si>
    <t>123040062311</t>
  </si>
  <si>
    <t>WHSU0011193</t>
  </si>
  <si>
    <t>KGN-25081754</t>
  </si>
  <si>
    <t>ICHIMURA</t>
  </si>
  <si>
    <t xml:space="preserve">SI,VGM: 10H 22/08/2025  
CY: 15H 22/08/2025   </t>
  </si>
  <si>
    <t>51C76393</t>
  </si>
  <si>
    <t>50H34920
50H58640</t>
  </si>
  <si>
    <t xml:space="preserve">19/08/2025 </t>
  </si>
  <si>
    <t>3374,56</t>
  </si>
  <si>
    <t>21 PK/ 3374,56 KGM/ 21.16 CBM</t>
  </si>
  <si>
    <t>16H 22/08/2025</t>
  </si>
  <si>
    <t>00003132
TKX: 307681938820</t>
  </si>
  <si>
    <t>KGN-25081833</t>
  </si>
  <si>
    <t>DLNV-20250820</t>
  </si>
  <si>
    <t>WHSU2753144</t>
  </si>
  <si>
    <t>TẠM NHẬP</t>
  </si>
  <si>
    <t>OOCU1002288</t>
  </si>
  <si>
    <t>COAU7261767670</t>
  </si>
  <si>
    <t>KGN-25081855</t>
  </si>
  <si>
    <t xml:space="preserve">SUZHOU SHENGZHENGXIN </t>
  </si>
  <si>
    <t>RCEP
VJ</t>
  </si>
  <si>
    <t>KGN-25081858</t>
  </si>
  <si>
    <t>ASSNLFSHVL0252548</t>
  </si>
  <si>
    <t>KGN-25081898</t>
  </si>
  <si>
    <t>SNBU2441175</t>
  </si>
  <si>
    <t>50H34793</t>
  </si>
  <si>
    <r>
      <rPr>
        <b/>
        <sz val="10"/>
        <rFont val="Times New Roman"/>
        <family val="1"/>
      </rPr>
      <t>CƯỚC SOTRANS</t>
    </r>
    <r>
      <rPr>
        <b/>
        <sz val="10"/>
        <color rgb="FFFF0000"/>
        <rFont val="Times New Roman"/>
        <family val="1"/>
      </rPr>
      <t xml:space="preserve">
CÓ BẢO HIỂM
C/O FORM B</t>
    </r>
  </si>
  <si>
    <t>TOYOSHIMA&amp;CO</t>
  </si>
  <si>
    <t>VTNW250821</t>
  </si>
  <si>
    <t>854</t>
  </si>
  <si>
    <t>61</t>
  </si>
  <si>
    <t>307693771730
307693773020</t>
  </si>
  <si>
    <t>CAIU4217824</t>
  </si>
  <si>
    <t>EGSU9350264
EITU1688191
TXGU5995945</t>
  </si>
  <si>
    <t>24/08/2025</t>
  </si>
  <si>
    <r>
      <t xml:space="preserve">EGLV143580716679
</t>
    </r>
    <r>
      <rPr>
        <sz val="10"/>
        <rFont val="Times New Roman"/>
        <family val="1"/>
      </rPr>
      <t>(EVER OPUS 0073-058S)</t>
    </r>
  </si>
  <si>
    <r>
      <t xml:space="preserve">EGLV143580716598
</t>
    </r>
    <r>
      <rPr>
        <sz val="10"/>
        <rFont val="Times New Roman"/>
        <family val="1"/>
      </rPr>
      <t>(EVER OPUS 0073-058S)</t>
    </r>
  </si>
  <si>
    <t>EMCU8535860</t>
  </si>
  <si>
    <t>JS25081101</t>
  </si>
  <si>
    <t>OHOC25080170</t>
  </si>
  <si>
    <t>KMTU9315347</t>
  </si>
  <si>
    <t>00003139
TKX: 307683965320</t>
  </si>
  <si>
    <r>
      <t xml:space="preserve">TONGXIANG ZHONGWEI CHEMICAL FIBER
</t>
    </r>
    <r>
      <rPr>
        <b/>
        <sz val="10"/>
        <color rgb="FFFF0000"/>
        <rFont val="Times New Roman"/>
        <family val="1"/>
      </rPr>
      <t>(TCBPG: 10.85%)</t>
    </r>
  </si>
  <si>
    <t>U25081211</t>
  </si>
  <si>
    <t>JS2508130</t>
  </si>
  <si>
    <t>25/08/2025</t>
  </si>
  <si>
    <t>OHOC25080155</t>
  </si>
  <si>
    <t>U25080911</t>
  </si>
  <si>
    <t>107466317930</t>
  </si>
  <si>
    <t>61H13547
61H13547</t>
  </si>
  <si>
    <t>107466908250</t>
  </si>
  <si>
    <t>KGN-25082066</t>
  </si>
  <si>
    <t>KGN-25082068</t>
  </si>
  <si>
    <t>02/09/2025</t>
  </si>
  <si>
    <t>LN-LHN27-25</t>
  </si>
  <si>
    <t>00000286</t>
  </si>
  <si>
    <t>00000287</t>
  </si>
  <si>
    <t>LY-LHY26/28-25</t>
  </si>
  <si>
    <t>CONT: GAOU6309240
SEAL: EMCSPU8934</t>
  </si>
  <si>
    <t>VET250823</t>
  </si>
  <si>
    <t>SGN2508041</t>
  </si>
  <si>
    <t>14H 25/08/2025</t>
  </si>
  <si>
    <t>HCM - TAIPEI</t>
  </si>
  <si>
    <t>307700048850</t>
  </si>
  <si>
    <t>50H91044</t>
  </si>
  <si>
    <t>KGN-25082148</t>
  </si>
  <si>
    <t>307696995341</t>
  </si>
  <si>
    <t>BMOU6472095</t>
  </si>
  <si>
    <t>TSHGSGN25000108</t>
  </si>
  <si>
    <t>SI: 19H 27/08/2025
CY: 19H 28/08/2025</t>
  </si>
  <si>
    <r>
      <rPr>
        <b/>
        <sz val="10"/>
        <color rgb="FFFF0000"/>
        <rFont val="Times New Roman"/>
        <family val="1"/>
      </rPr>
      <t>KB LINE</t>
    </r>
    <r>
      <rPr>
        <b/>
        <sz val="10"/>
        <rFont val="Times New Roman"/>
        <family val="1"/>
      </rPr>
      <t xml:space="preserve">
HCM - CHATTOGRAM</t>
    </r>
  </si>
  <si>
    <t>28/08/2025</t>
  </si>
  <si>
    <t>26/08/2025</t>
  </si>
  <si>
    <t>CƯỚC SOTRANS
CÓ BẢO HIỂM
KIỂM HÓA</t>
  </si>
  <si>
    <r>
      <t xml:space="preserve">THÁNG 09/2025 </t>
    </r>
    <r>
      <rPr>
        <b/>
        <sz val="10"/>
        <color rgb="FFFF0000"/>
        <rFont val="Times New Roman"/>
        <family val="1"/>
      </rPr>
      <t>(SERVICE DAY TỪ NGÀY 23/08/25)</t>
    </r>
  </si>
  <si>
    <t>06/09/2025</t>
  </si>
  <si>
    <t>027F681680</t>
  </si>
  <si>
    <t>TCKU7314175
WHSU6257585</t>
  </si>
  <si>
    <t>VTGS250826</t>
  </si>
  <si>
    <t>BY20250816</t>
  </si>
  <si>
    <t>SNBU2366596
FTAU2040419</t>
  </si>
  <si>
    <t>54560</t>
  </si>
  <si>
    <t>KGN-25082409</t>
  </si>
  <si>
    <t>KGN-25082410</t>
  </si>
  <si>
    <t>13h 27/08/2025</t>
  </si>
  <si>
    <t>ZIMUHCM80563072</t>
  </si>
  <si>
    <t>ZIMUHCM80565766</t>
  </si>
  <si>
    <t xml:space="preserve">SI,VGM: 09H 29/08/2025  
CY: 2H 03/09/2025   </t>
  </si>
  <si>
    <t xml:space="preserve">SI,VGM: 10H 29/08/2025  
CY: 16H 01/09/2025  </t>
  </si>
  <si>
    <t>PSSHA258428</t>
  </si>
  <si>
    <t>KGN-25082515</t>
  </si>
  <si>
    <t>VTNW250827</t>
  </si>
  <si>
    <t>62</t>
  </si>
  <si>
    <t>01/09/2025</t>
  </si>
  <si>
    <t>THÁNG 9/2025</t>
  </si>
  <si>
    <t>KGN-25082632</t>
  </si>
  <si>
    <t>KGN-25082630</t>
  </si>
  <si>
    <t>KGN-25082633</t>
  </si>
  <si>
    <t>TAWU4166676
TAWU4160976
'TAWU4028888
TAWU4105032</t>
  </si>
  <si>
    <t>50E15635
51C23619
'50H29647
50H17748</t>
  </si>
  <si>
    <t>26/08/2025
'27/08/2025</t>
  </si>
  <si>
    <t>307704551840
307709198330</t>
  </si>
  <si>
    <t>039FX81589</t>
  </si>
  <si>
    <t>10/09/2025</t>
  </si>
  <si>
    <r>
      <t>THÁNG 9/2025 (</t>
    </r>
    <r>
      <rPr>
        <b/>
        <sz val="10"/>
        <color rgb="FFFF0000"/>
        <rFont val="Times New Roman"/>
        <family val="1"/>
      </rPr>
      <t>SERVICE DAY TỪ NGÀY 01/8</t>
    </r>
    <r>
      <rPr>
        <b/>
        <sz val="10"/>
        <rFont val="Times New Roman"/>
        <family val="1"/>
      </rPr>
      <t>)</t>
    </r>
  </si>
  <si>
    <t>29/08/2025</t>
  </si>
  <si>
    <t>107481856640</t>
  </si>
  <si>
    <t>Địa chỉ : Nhà xưởng A-17A2-CN-A,A-17A2-CN-B,Đường NX3,KCN Bàu Bàng,Xã Bàu Bàng,Thành phố Hồ Chí Minh, Việt Nam</t>
  </si>
  <si>
    <t>UNIVERSAL STAR CORPARATION CO.,LTD</t>
  </si>
  <si>
    <t>VTUS250828</t>
  </si>
  <si>
    <t>STHCM2508305</t>
  </si>
  <si>
    <t>STHCM2508137</t>
  </si>
  <si>
    <t>STHCM2508225</t>
  </si>
  <si>
    <t>Hạ rỗng cảng đồng nai</t>
  </si>
  <si>
    <t>TCNU8779551</t>
  </si>
  <si>
    <t xml:space="preserve"> FSCU8219503</t>
  </si>
  <si>
    <t>EMCU8340051
TIIU5875205
TRHU5640822</t>
  </si>
  <si>
    <r>
      <t xml:space="preserve">EGLV143580716822
</t>
    </r>
    <r>
      <rPr>
        <sz val="10"/>
        <rFont val="Times New Roman"/>
        <family val="1"/>
      </rPr>
      <t>(EVER OWN 0074-051S)</t>
    </r>
  </si>
  <si>
    <t>388 KGM</t>
  </si>
  <si>
    <t>VTNW250829</t>
  </si>
  <si>
    <t>107483558120</t>
  </si>
  <si>
    <t>30/08/2025</t>
  </si>
  <si>
    <t>30/09/2025</t>
  </si>
  <si>
    <t>CƯỚC SOTRANS
ĐÃ XUẤT HD DỊCH VỤ</t>
  </si>
  <si>
    <t>KGN-25090009</t>
  </si>
  <si>
    <t>KGN-25090010</t>
  </si>
  <si>
    <t>KGN-25090011</t>
  </si>
  <si>
    <t>YMJAI490560714</t>
  </si>
  <si>
    <t>CY: 12H 08/09/2025</t>
  </si>
  <si>
    <t>03/09/2025</t>
  </si>
  <si>
    <t>HKEXP2508008B</t>
  </si>
  <si>
    <t>50H54376
50H17748</t>
  </si>
  <si>
    <t>VTNW250903</t>
  </si>
  <si>
    <t>KGN-25090128</t>
  </si>
  <si>
    <t>17:00 06/09/2025</t>
  </si>
  <si>
    <t>04/09/2025</t>
  </si>
  <si>
    <t>107492516020</t>
  </si>
  <si>
    <t>EGLV147501235136</t>
  </si>
  <si>
    <t>EGSU3302802
EGSU3587290
EGSU3685527
EMCU6306150</t>
  </si>
  <si>
    <t>CULVSHK2545634</t>
  </si>
  <si>
    <t>FTAU1175298</t>
  </si>
  <si>
    <t>27020</t>
  </si>
  <si>
    <t>XL-NV250828</t>
  </si>
  <si>
    <t>64</t>
  </si>
  <si>
    <t>63</t>
  </si>
  <si>
    <t>VTSS250904</t>
  </si>
  <si>
    <t>107494170600</t>
  </si>
  <si>
    <t>05/09/2025</t>
  </si>
  <si>
    <t>BY20250825</t>
  </si>
  <si>
    <t>KHAI TK CÁT LÁI
ĐK SỞ XÂY DỰNG
Phí grab 255k</t>
  </si>
  <si>
    <t>ASCKCOSHA4109323</t>
  </si>
  <si>
    <t>CKSU4022442</t>
  </si>
  <si>
    <t>KGN-25090277</t>
  </si>
  <si>
    <t>CONT: YMLU8867558
SEAL: YMAU433778</t>
  </si>
  <si>
    <t>307734437310</t>
  </si>
  <si>
    <t>CƯỚC SOTRANS
CÓ BẢO HIỂM</t>
  </si>
  <si>
    <t>MST: 3702679349</t>
  </si>
  <si>
    <t>DC: Số 675 đường Lai Hưng 56, Tổ 20, ấp Lai Khê,Phường Bến Cát, Thành phố Hồ Chí Minh, Việt Nam</t>
  </si>
  <si>
    <t>PSSHA259020</t>
  </si>
  <si>
    <t>NBOZ98972700</t>
  </si>
  <si>
    <t>JS25090301</t>
  </si>
  <si>
    <t>JS25082501</t>
  </si>
  <si>
    <t>65</t>
  </si>
  <si>
    <t>VTNW250905</t>
  </si>
  <si>
    <t>51C23619
50E15635
50H17748</t>
  </si>
  <si>
    <t>FCIU6232446
WHSU2441151</t>
  </si>
  <si>
    <t>PHÍ SỬA TỜ KHAI</t>
  </si>
  <si>
    <t>PHÍ NEO XE 1TR</t>
  </si>
  <si>
    <t>KGN-25090364</t>
  </si>
  <si>
    <t>KGN-25090365</t>
  </si>
  <si>
    <t>KGN-25090366</t>
  </si>
  <si>
    <t>KGN-25090368</t>
  </si>
  <si>
    <t>08/09/2025</t>
  </si>
  <si>
    <t>KGN-25090369</t>
  </si>
  <si>
    <t>KGN-25090370</t>
  </si>
  <si>
    <t>KGN-25081449-BS1</t>
  </si>
  <si>
    <t>KGN-25081833-BS1</t>
  </si>
  <si>
    <t>KGN-25081105-BS1</t>
  </si>
  <si>
    <t>107505303510</t>
  </si>
  <si>
    <t>CCL/HNK/2025/SI2509041</t>
  </si>
  <si>
    <t>125 CTNS</t>
  </si>
  <si>
    <t>SGNFU4569500</t>
  </si>
  <si>
    <t xml:space="preserve">SI,VGM: 10H 10/09/2025  
CY: 23H 11/09/2025  </t>
  </si>
  <si>
    <t>09/09/2025</t>
  </si>
  <si>
    <t>OHOC25080433</t>
  </si>
  <si>
    <t>U25081811</t>
  </si>
  <si>
    <t>039FX85728B</t>
  </si>
  <si>
    <t>45 PK/ 8063.76 KGM/ 45.04 CBM</t>
  </si>
  <si>
    <t>11H 11/09/2025</t>
  </si>
  <si>
    <t>KMTCSHAO499968</t>
  </si>
  <si>
    <t>BEAU4934749</t>
  </si>
  <si>
    <r>
      <t xml:space="preserve">JIANGSU GUOWANG HIGH-TECHNIQUE FIBER
</t>
    </r>
    <r>
      <rPr>
        <b/>
        <sz val="8"/>
        <color rgb="FFFF0000"/>
        <rFont val="Times New Roman"/>
        <family val="1"/>
      </rPr>
      <t>(TCBPG: 12.39%)</t>
    </r>
  </si>
  <si>
    <t>GWI-VNVS-250801</t>
  </si>
  <si>
    <t>VET250905</t>
  </si>
  <si>
    <t xml:space="preserve">PSSHA259032 </t>
  </si>
  <si>
    <t>JS25090501</t>
  </si>
  <si>
    <t>107508752740</t>
  </si>
  <si>
    <t>KGN-25090527</t>
  </si>
  <si>
    <t>KGN-25090528</t>
  </si>
  <si>
    <t>51D16472</t>
  </si>
  <si>
    <t>027F686109</t>
  </si>
  <si>
    <t>107511654240</t>
  </si>
  <si>
    <t>TRHU2196611</t>
  </si>
  <si>
    <t>17/09/2025</t>
  </si>
  <si>
    <t>TÁI XUẤT</t>
  </si>
  <si>
    <t>039FX84443</t>
  </si>
  <si>
    <t>YMJAI490561756</t>
  </si>
  <si>
    <t>20:00 14/09/2025</t>
  </si>
  <si>
    <t>10/09/2025
11/09/2025</t>
  </si>
  <si>
    <t>PSSHA259040</t>
  </si>
  <si>
    <t>CÁT LÁI KHO 3</t>
  </si>
  <si>
    <t>KGN-25090712</t>
  </si>
  <si>
    <t>51D10144
51D11392
50H34920
50F02247</t>
  </si>
  <si>
    <t>RU2520SSGT417</t>
  </si>
  <si>
    <t>KGN-25090717</t>
  </si>
  <si>
    <t>DLNV-20250910</t>
  </si>
  <si>
    <t>107260</t>
  </si>
  <si>
    <t>YMJAI490561804</t>
  </si>
  <si>
    <t>VTNW250910</t>
  </si>
  <si>
    <t>VTNW250911</t>
  </si>
  <si>
    <t>11/09/2025</t>
  </si>
  <si>
    <t>107514506740</t>
  </si>
  <si>
    <t>JS25090802</t>
  </si>
  <si>
    <t>12/09/2025</t>
  </si>
  <si>
    <t>50H54376
50E15635
50E15635</t>
  </si>
  <si>
    <t>KGN-25090852</t>
  </si>
  <si>
    <t>KGN-25090853</t>
  </si>
  <si>
    <t>107521094330</t>
  </si>
  <si>
    <t>WHLU5799930
WHSU5706824</t>
  </si>
  <si>
    <t>HKEXP2508008C</t>
  </si>
  <si>
    <t>HMMU4143838
HMMU4143843
HMMU4237990</t>
  </si>
  <si>
    <t>U25082012</t>
  </si>
  <si>
    <t>Cont: YMMU7226281
Seal: YMAU433614</t>
  </si>
  <si>
    <t>50H44996
51C62954
50H44996
50H25696</t>
  </si>
  <si>
    <t>15/09/2025</t>
  </si>
  <si>
    <t xml:space="preserve">SI, VGM: 15H 15/09/2025  CY: 18H 17/09/2025  </t>
  </si>
  <si>
    <t>ICD DONG NAI</t>
  </si>
  <si>
    <t>307755247460</t>
  </si>
  <si>
    <t>VET250912</t>
  </si>
  <si>
    <t>CƯỢC CONT TRHU5640822 - 2TR7</t>
  </si>
  <si>
    <t>CƯỚC SOTRANS
CÓ BẢO HIỂM
CO FORM B</t>
  </si>
  <si>
    <r>
      <t xml:space="preserve">PHÍ SỬA TỜ KHAI
</t>
    </r>
    <r>
      <rPr>
        <b/>
        <sz val="10"/>
        <rFont val="Times New Roman"/>
        <family val="1"/>
      </rPr>
      <t>CO FORM B</t>
    </r>
  </si>
  <si>
    <t xml:space="preserve">CƯỚC SOTRANS
CÓ BẢO HIỂM
</t>
  </si>
  <si>
    <r>
      <rPr>
        <b/>
        <sz val="10"/>
        <color rgb="FFFF0000"/>
        <rFont val="Times New Roman"/>
        <family val="1"/>
      </rPr>
      <t>YM LINE</t>
    </r>
    <r>
      <rPr>
        <b/>
        <sz val="10"/>
        <rFont val="Times New Roman"/>
        <family val="1"/>
      </rPr>
      <t xml:space="preserve">
HCM - KAOHSIUNG </t>
    </r>
    <r>
      <rPr>
        <b/>
        <sz val="10"/>
        <color theme="5" tint="-0.249977111117893"/>
        <rFont val="Times New Roman"/>
        <family val="1"/>
      </rPr>
      <t>(EVEREST)</t>
    </r>
  </si>
  <si>
    <r>
      <rPr>
        <b/>
        <sz val="10"/>
        <color rgb="FFFF0000"/>
        <rFont val="Times New Roman"/>
        <family val="1"/>
      </rPr>
      <t>YM LINE</t>
    </r>
    <r>
      <rPr>
        <b/>
        <sz val="10"/>
        <rFont val="Times New Roman"/>
        <family val="1"/>
      </rPr>
      <t xml:space="preserve">
HCM - KAOHSIUNG (</t>
    </r>
    <r>
      <rPr>
        <b/>
        <sz val="10"/>
        <color theme="5" tint="-0.249977111117893"/>
        <rFont val="Times New Roman"/>
        <family val="1"/>
      </rPr>
      <t>JI SUNG</t>
    </r>
    <r>
      <rPr>
        <b/>
        <sz val="10"/>
        <rFont val="Times New Roman"/>
        <family val="1"/>
      </rPr>
      <t>)</t>
    </r>
  </si>
  <si>
    <t>51D03663</t>
  </si>
  <si>
    <t>24/09/2025</t>
  </si>
  <si>
    <t>66</t>
  </si>
  <si>
    <t>68</t>
  </si>
  <si>
    <t>107523784430</t>
  </si>
  <si>
    <t>Cont: YMMU7034648
Seal: YMAU435198</t>
  </si>
  <si>
    <t>307755356660</t>
  </si>
  <si>
    <t>VTJS250912</t>
  </si>
  <si>
    <t>1069310617</t>
  </si>
  <si>
    <t>KGN-25090931</t>
  </si>
  <si>
    <t>KGN-25090932</t>
  </si>
  <si>
    <t>KGN-25090933</t>
  </si>
  <si>
    <t>KGN-25090934</t>
  </si>
  <si>
    <t>72 PK/ 1787.6 KGM/ 7.5 CBM</t>
  </si>
  <si>
    <t>KGN-25090935</t>
  </si>
  <si>
    <t>VTNW250913</t>
  </si>
  <si>
    <t>KGN-25090936</t>
  </si>
  <si>
    <t>65 KGM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</si>
  <si>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5" tint="0.39997558519241921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(EVEREST)</t>
    </r>
  </si>
  <si>
    <t>13/09/2025</t>
  </si>
  <si>
    <t>69</t>
  </si>
  <si>
    <t>12 PK/ 225 KGM/1.06 CBM</t>
  </si>
  <si>
    <t>9 PK/ 238 KGM/ 0.767 CBM</t>
  </si>
  <si>
    <t>11 PK/ 228 KGM/  1.042 CBM</t>
  </si>
  <si>
    <t>Đã settle nâng hạ</t>
  </si>
  <si>
    <t>Đã settle</t>
  </si>
  <si>
    <t>đã settle phí nâng</t>
  </si>
  <si>
    <t>KGN-25081323-BS1</t>
  </si>
  <si>
    <t>KGN-25080781-BS1</t>
  </si>
  <si>
    <t>KGN-25080785-BS1</t>
  </si>
  <si>
    <t>KGN-25082148-BS1</t>
  </si>
  <si>
    <t>KGN-25082149-BS1</t>
  </si>
  <si>
    <t>16/09/2025</t>
  </si>
  <si>
    <t>SITU2594697
SITU2486115</t>
  </si>
  <si>
    <t>46,280</t>
  </si>
  <si>
    <t xml:space="preserve">FUJIAN SEALINKE </t>
  </si>
  <si>
    <t>TẤM ĐÁ THẠCH ANH</t>
  </si>
  <si>
    <t>FANU1508163</t>
  </si>
  <si>
    <t>107528875310</t>
  </si>
  <si>
    <t>OHOC25090138</t>
  </si>
  <si>
    <t>VTNW250916</t>
  </si>
  <si>
    <t>16/9/2025</t>
  </si>
  <si>
    <t>WHSU2593299</t>
  </si>
  <si>
    <t>6H 19/09/2025</t>
  </si>
  <si>
    <t>XL-NV2506</t>
  </si>
  <si>
    <t>18/09/2025</t>
  </si>
  <si>
    <t>20/09/2025</t>
  </si>
  <si>
    <t>KGN-25091379</t>
  </si>
  <si>
    <t>KGN-25091381</t>
  </si>
  <si>
    <t>KGN-25091382</t>
  </si>
  <si>
    <t>70</t>
  </si>
  <si>
    <t>KGN-25091383</t>
  </si>
  <si>
    <t>HIỆP PHƯỚC</t>
  </si>
  <si>
    <t>KHAI TK CÁT LÁI
ĐK SỞ XÂY DỰNG
Phí grab 223k
cấn trừ 900k phí phụ thu hàng nặng</t>
  </si>
  <si>
    <t>027F693279</t>
  </si>
  <si>
    <t>22/09/2025</t>
  </si>
  <si>
    <t xml:space="preserve">BỔ SUNG PHÍ DV + CH C/O </t>
  </si>
  <si>
    <t>KGN-25091427</t>
  </si>
  <si>
    <t>51C09042
51C93075</t>
  </si>
  <si>
    <t>107532978230</t>
  </si>
  <si>
    <t>KGN-25091481</t>
  </si>
  <si>
    <t>WHSU6330032
WHSU6932343</t>
  </si>
  <si>
    <t>HKEXP2508008D</t>
  </si>
  <si>
    <t>JS25090803</t>
  </si>
  <si>
    <t>FFAU7248394</t>
  </si>
  <si>
    <t>OHOC25090166</t>
  </si>
  <si>
    <t>PSSHA259078</t>
  </si>
  <si>
    <t>039FA10007</t>
  </si>
  <si>
    <t>039FA09799</t>
  </si>
  <si>
    <t xml:space="preserve">SI,VGM: 10H 25/09/2025  
CY: 1H 28/09/2025  </t>
  </si>
  <si>
    <t>YMJAI490562865</t>
  </si>
  <si>
    <t>19/09/2025</t>
  </si>
  <si>
    <t>JS25091503</t>
  </si>
  <si>
    <t>107544051160</t>
  </si>
  <si>
    <t>107543858330</t>
  </si>
  <si>
    <t>KGN-25091575</t>
  </si>
  <si>
    <t>KGN-25091579</t>
  </si>
  <si>
    <t>KGN-25091580</t>
  </si>
  <si>
    <t>STHCM2509029</t>
  </si>
  <si>
    <t>STHCM2509127</t>
  </si>
  <si>
    <t>STHCM2509135</t>
  </si>
  <si>
    <t>23/09/2025</t>
  </si>
  <si>
    <t>50E15635
50H17748
50H05655</t>
  </si>
  <si>
    <t>KHAI BÁO HÓA CHẤT
TC HIỆP PHƯỚC</t>
  </si>
  <si>
    <t>VTNW250922</t>
  </si>
  <si>
    <t>BMOU6027700</t>
  </si>
  <si>
    <t>JS25090902</t>
  </si>
  <si>
    <t>107549877260</t>
  </si>
  <si>
    <t xml:space="preserve">SI,VGM: 8H 22/09/2025  
CY: 11H 26/09/2025  </t>
  </si>
  <si>
    <t>26/09/2025</t>
  </si>
  <si>
    <t>WHSU6406694</t>
  </si>
  <si>
    <t>3KLNGO250437</t>
  </si>
  <si>
    <t>10h 26/09/2025</t>
  </si>
  <si>
    <t>71</t>
  </si>
  <si>
    <t>VSKH250922</t>
  </si>
  <si>
    <t>EBKG14299037</t>
  </si>
  <si>
    <t>22H 25/09/2025</t>
  </si>
  <si>
    <t>THÁNG 10/2025</t>
  </si>
  <si>
    <t>21H 02/10/2025</t>
  </si>
  <si>
    <t>KGN-25091764</t>
  </si>
  <si>
    <t xml:space="preserve">THEO DÕI HÀNG HÓA TẠM ỨNG, THANH TOÁN, ĐIỀU XE  </t>
  </si>
  <si>
    <t>Phí tư vấn - kiểm tra mã HS</t>
  </si>
  <si>
    <t>KGN-25091767</t>
  </si>
  <si>
    <t>50H35760
50H91044</t>
  </si>
  <si>
    <t>KGN-25091796</t>
  </si>
  <si>
    <t>50H05655
50H05655</t>
  </si>
  <si>
    <t>87 RO/ 2900 KGM/ 9 CBM</t>
  </si>
  <si>
    <t>3 PK/ 14.4 KGM/ 0.646 CBM</t>
  </si>
  <si>
    <t>KGN-25091805</t>
  </si>
  <si>
    <t>25/09/2025</t>
  </si>
  <si>
    <t>06/10/2025</t>
  </si>
  <si>
    <t>COAU7262211510</t>
  </si>
  <si>
    <t>PSSHA259422</t>
  </si>
  <si>
    <t>27/09/2025</t>
  </si>
  <si>
    <t>039FX85434</t>
  </si>
  <si>
    <t>GLDU3954493</t>
  </si>
  <si>
    <t>FX38882958</t>
  </si>
  <si>
    <t>DH-20241126C</t>
  </si>
  <si>
    <t>KGN-25091859</t>
  </si>
  <si>
    <t>KGN-25081106-BS1</t>
  </si>
  <si>
    <t>OHOC25090422</t>
  </si>
  <si>
    <t>BEAU5557260
FFAU2440953
FCIU9555864</t>
  </si>
  <si>
    <t>CY: 22h 27/09/2025</t>
  </si>
  <si>
    <t>51D16879</t>
  </si>
  <si>
    <t>WHSU0321990</t>
  </si>
  <si>
    <t>51C66803</t>
  </si>
  <si>
    <t>KGN-25091943</t>
  </si>
  <si>
    <r>
      <t>THÁNG 10/2025 (</t>
    </r>
    <r>
      <rPr>
        <b/>
        <sz val="10"/>
        <color rgb="FFFF0000"/>
        <rFont val="Times New Roman"/>
        <family val="1"/>
      </rPr>
      <t>SERVICE DAY TỪ NGÀY 01/10</t>
    </r>
    <r>
      <rPr>
        <b/>
        <sz val="10"/>
        <rFont val="Times New Roman"/>
        <family val="1"/>
      </rPr>
      <t>)</t>
    </r>
  </si>
  <si>
    <t>039FX84442</t>
  </si>
  <si>
    <t>WHSU2068006
WHSU2101383</t>
  </si>
  <si>
    <t>50H87892
50H87892</t>
  </si>
  <si>
    <t>RCEP
AJ</t>
  </si>
  <si>
    <t>307801805160/B11
307801817800/E62</t>
  </si>
  <si>
    <t>KGN-25092067</t>
  </si>
  <si>
    <t>CONT: YMMU6501814
SEAL: YMAU417903</t>
  </si>
  <si>
    <t>50H20148</t>
  </si>
  <si>
    <t>50H43362</t>
  </si>
  <si>
    <t>307800596740</t>
  </si>
  <si>
    <t>VTSS250926</t>
  </si>
  <si>
    <t>339IN25078930</t>
  </si>
  <si>
    <t>29/09/2025</t>
  </si>
  <si>
    <t xml:space="preserve">SI,VGM: 10H 01/10/2025  
CY: 15H 01/10/2025 </t>
  </si>
  <si>
    <t>A59FX11792</t>
  </si>
  <si>
    <t>CY: 12:00 03/10/2025
Hạ 0H 30/09/2025</t>
  </si>
  <si>
    <t>22H 30/09/2025</t>
  </si>
  <si>
    <t>72</t>
  </si>
  <si>
    <t>VTNW250926</t>
  </si>
  <si>
    <t>00003375
TKX: 307732986650</t>
  </si>
  <si>
    <t>00003683
PXK: 307787183560</t>
  </si>
  <si>
    <t>205 9978 4495</t>
  </si>
  <si>
    <t>DH-20250814 SP</t>
  </si>
  <si>
    <t xml:space="preserve">50H54155 </t>
  </si>
  <si>
    <t>KGN-25092208</t>
  </si>
  <si>
    <t>VTJS250926</t>
  </si>
  <si>
    <t>KGN-25092216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</si>
  <si>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(JI SUNG)</t>
    </r>
  </si>
  <si>
    <t>YMJAI490564042</t>
  </si>
  <si>
    <t>CY: '12H 01/10/2025
HẠ: 0H 28/9/25</t>
  </si>
  <si>
    <t>WHSU2471027
WHLU0542569</t>
  </si>
  <si>
    <t>KGN-25092305</t>
  </si>
  <si>
    <t>107560530010</t>
  </si>
  <si>
    <t>26 CT/680 KGM/2.276 CBM</t>
  </si>
  <si>
    <t>JS25092202</t>
  </si>
  <si>
    <t>KGN-25092327</t>
  </si>
  <si>
    <t>VTNW250927</t>
  </si>
  <si>
    <r>
      <t xml:space="preserve">THÁNG 10/2025 </t>
    </r>
    <r>
      <rPr>
        <b/>
        <sz val="10"/>
        <color rgb="FFFF0000"/>
        <rFont val="Times New Roman"/>
        <family val="1"/>
      </rPr>
      <t>(SERVICE DAY TỪ NGÀY 23/10/25)</t>
    </r>
  </si>
  <si>
    <t>CƯỚC CONT 500K</t>
  </si>
  <si>
    <r>
      <t xml:space="preserve">CƯỚC SOTRANS
CÓ BẢO HIỂM
</t>
    </r>
    <r>
      <rPr>
        <b/>
        <sz val="10"/>
        <color rgb="FFFF0000"/>
        <rFont val="Times New Roman"/>
        <family val="1"/>
      </rPr>
      <t>PHÍ HẠ SỚM</t>
    </r>
  </si>
  <si>
    <t>04/10/2025</t>
  </si>
  <si>
    <t>09/10/2025</t>
  </si>
  <si>
    <t>EGLV147501285575</t>
  </si>
  <si>
    <t>DRYU2688343
EGSU2175679
EGSU3172252
EITU0535536</t>
  </si>
  <si>
    <t>108407</t>
  </si>
  <si>
    <t>MEDU7535012</t>
  </si>
  <si>
    <t>73</t>
  </si>
  <si>
    <t>29/9/2025</t>
  </si>
  <si>
    <t>EGLV147501337923</t>
  </si>
  <si>
    <t>51C23619</t>
  </si>
  <si>
    <t>PSSHA259446</t>
  </si>
  <si>
    <t>XL-HD250915</t>
  </si>
  <si>
    <t>107570933960</t>
  </si>
  <si>
    <t>107571855160</t>
  </si>
  <si>
    <t xml:space="preserve">50H91044 </t>
  </si>
  <si>
    <t>SEGU4597547</t>
  </si>
  <si>
    <r>
      <t xml:space="preserve">YM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</si>
  <si>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t>CY: '18H 02/10/2025
HẠ: 0H 28/9/25</t>
  </si>
  <si>
    <t>107573505540</t>
  </si>
  <si>
    <t>U25090911</t>
  </si>
  <si>
    <t>JS25092201</t>
  </si>
  <si>
    <t>BSUNG DEBIT CƯỚC + CHI HỘ BẢO HIỂM</t>
  </si>
  <si>
    <t>VTJS250930</t>
  </si>
  <si>
    <t>KGN-25092734</t>
  </si>
  <si>
    <t>Lệ phí hải quan T7-8</t>
  </si>
  <si>
    <t>KGN-25092736</t>
  </si>
  <si>
    <t>CONT: YMMU7207620
SEAL: YMAU417806</t>
  </si>
  <si>
    <t>YMJAI490563318</t>
  </si>
  <si>
    <t>307813607900</t>
  </si>
  <si>
    <t xml:space="preserve">51D40042 </t>
  </si>
  <si>
    <t>BSUNG PHÍ SỬA ĐƠN GIÁ 1TR/1TK</t>
  </si>
  <si>
    <t>KGN-25092847</t>
  </si>
  <si>
    <t>02/10/2025</t>
  </si>
  <si>
    <t>BSUNG PHÍ C/O</t>
  </si>
  <si>
    <t>PSSHA259463</t>
  </si>
  <si>
    <t>51C78366
51C78366</t>
  </si>
  <si>
    <t>01/10/2025</t>
  </si>
  <si>
    <t xml:space="preserve"> 51C92793</t>
  </si>
  <si>
    <t>CONT: BSIU9930514
SEAL: YMAU418649</t>
  </si>
  <si>
    <t>YMJAW490489750</t>
  </si>
  <si>
    <t>01h 10/10/2025
SI: 11H 09/10/2025</t>
  </si>
  <si>
    <t>307818434400</t>
  </si>
  <si>
    <t>HK HARMONY</t>
  </si>
  <si>
    <t>OTIMES</t>
  </si>
  <si>
    <t>74</t>
  </si>
  <si>
    <t>VTNW251001</t>
  </si>
  <si>
    <t>882</t>
  </si>
  <si>
    <t>KGN-25100109</t>
  </si>
  <si>
    <t>KGN-25100110</t>
  </si>
  <si>
    <t>KGN-25100111</t>
  </si>
  <si>
    <t>IAAU2777653
IAAU2721058</t>
  </si>
  <si>
    <t>KGN-25100158</t>
  </si>
  <si>
    <t>JS25092501</t>
  </si>
  <si>
    <t>28/09/2025</t>
  </si>
  <si>
    <t>107581394210</t>
  </si>
  <si>
    <t>8811238440</t>
  </si>
  <si>
    <t>Cát Lái Giang Nam</t>
  </si>
  <si>
    <t>03/10/2025</t>
  </si>
  <si>
    <t>PHÍ CHI HỘ TIỀN MẶT</t>
  </si>
  <si>
    <t>VTNW251002</t>
  </si>
  <si>
    <t>134</t>
  </si>
  <si>
    <t>EBKG14311641</t>
  </si>
  <si>
    <t>039FA10028</t>
  </si>
  <si>
    <t>SGN2890855</t>
  </si>
  <si>
    <t>A59FX12223</t>
  </si>
  <si>
    <t>CY: 15H 10/10/2025</t>
  </si>
  <si>
    <t>75</t>
  </si>
  <si>
    <t xml:space="preserve">SI,VGM: 10H 07/10/2025  
11H 10/10/2025  </t>
  </si>
  <si>
    <t xml:space="preserve">SI,VGM: 14H 07/10/2025  
01H 10/10/2025  </t>
  </si>
  <si>
    <t xml:space="preserve">SI, VGM: 11H 03/10/2025  CY: 16H 05/10/2025  </t>
  </si>
  <si>
    <t>SỬA TK 200K</t>
  </si>
  <si>
    <t>5 KIỆN / 3907 KGM/ 8.13 CBM</t>
  </si>
  <si>
    <t>JS25092801</t>
  </si>
  <si>
    <t>9 KIỆN / 229 KGM/ 0.778 CBM</t>
  </si>
  <si>
    <t>MSMU6271027</t>
  </si>
  <si>
    <t>TRHU1787311</t>
  </si>
  <si>
    <t>OOLKVA9499</t>
  </si>
  <si>
    <t>18H 05/10/2025</t>
  </si>
  <si>
    <t>51D05147</t>
  </si>
  <si>
    <t>KGN-25100234</t>
  </si>
  <si>
    <t>TLXMHCJU25110052</t>
  </si>
  <si>
    <t>FCIU6405198</t>
  </si>
  <si>
    <t>CƯỢC CONT 600K (marine)</t>
  </si>
  <si>
    <t>107585607840</t>
  </si>
  <si>
    <t>VTNW251003</t>
  </si>
  <si>
    <t>KGN-25100248</t>
  </si>
  <si>
    <t>KGN-25100249</t>
  </si>
  <si>
    <t>KGN-25100252</t>
  </si>
  <si>
    <t>KGN-25100253</t>
  </si>
  <si>
    <t>KGN-25100254</t>
  </si>
  <si>
    <t>07/10/2025</t>
  </si>
  <si>
    <t>EGSU3607632
EITU0132021
EMCU6154130</t>
  </si>
  <si>
    <t>BY20250916</t>
  </si>
  <si>
    <t>KGN-25100345</t>
  </si>
  <si>
    <t>76</t>
  </si>
  <si>
    <t>08/10/2025</t>
  </si>
  <si>
    <t>14/10/2025</t>
  </si>
  <si>
    <t>CHI HỘ PHẠT CHẬM NỘP</t>
  </si>
  <si>
    <t>1069829067</t>
  </si>
  <si>
    <t>05/10/2025</t>
  </si>
  <si>
    <t>NBOZPGY39600</t>
  </si>
  <si>
    <t>TEMU1673423</t>
  </si>
  <si>
    <t>SHAOXING EAST ASIA IMP.&amp;EXP.CO.,LTD.</t>
  </si>
  <si>
    <t>1 PK/ 3.6 KGM/0.016 CBM</t>
  </si>
  <si>
    <t>50H43362
50E14061</t>
  </si>
  <si>
    <t>STHCM2509376</t>
  </si>
  <si>
    <t>STHCM2510008</t>
  </si>
  <si>
    <t>IAAU2828339</t>
  </si>
  <si>
    <t>307834739720/B11
307834746350/E62</t>
  </si>
  <si>
    <t>50E32218</t>
  </si>
  <si>
    <t>DLNV-20251007</t>
  </si>
  <si>
    <t>YMMU6259681</t>
  </si>
  <si>
    <t>11/10/2025</t>
  </si>
  <si>
    <t>08-09/10/2025</t>
  </si>
  <si>
    <t>50H65144</t>
  </si>
  <si>
    <t>KHAI TK CÁT LÁI
ĐK SỞ XÂY DỰNG
Phí grab 468k</t>
  </si>
  <si>
    <t>TEMU2750381</t>
  </si>
  <si>
    <t>50C26311</t>
  </si>
  <si>
    <t>KGN-25100558</t>
  </si>
  <si>
    <t>KGN-25100559</t>
  </si>
  <si>
    <t>KGN-25100560</t>
  </si>
  <si>
    <t>KGN-25100561</t>
  </si>
  <si>
    <t>KGN-25100562</t>
  </si>
  <si>
    <t>WHSU2504394</t>
  </si>
  <si>
    <t>77</t>
  </si>
  <si>
    <t>00009070
TKX: 307830901510</t>
  </si>
  <si>
    <t>VTNW251006</t>
  </si>
  <si>
    <t>400</t>
  </si>
  <si>
    <t>00003894
TKX: 307828713160</t>
  </si>
  <si>
    <t>229</t>
  </si>
  <si>
    <t>GIAO KHO NHƠN TRẠCH - ĐỒNG NAI
HÀNG AIR TRÊN 1T</t>
  </si>
  <si>
    <t>56 CTNS</t>
  </si>
  <si>
    <t>CCL/HNK/2025/SI2510057</t>
  </si>
  <si>
    <t>KGN-25100611</t>
  </si>
  <si>
    <t>KGN-25100620</t>
  </si>
  <si>
    <t>A59FX12915</t>
  </si>
  <si>
    <t>YDI-RI-02</t>
  </si>
  <si>
    <t>COAU7262751810</t>
  </si>
  <si>
    <t>TEMU6362276
CSNU8693977
OOCU9129670</t>
  </si>
  <si>
    <t>U25091911</t>
  </si>
  <si>
    <t>NCC</t>
  </si>
  <si>
    <t>SNLFSHVLMF07781</t>
  </si>
  <si>
    <t>TXGU8833064</t>
  </si>
  <si>
    <t>ETD: 10/10/2025
ETA: 12/10/2025</t>
  </si>
  <si>
    <t>SGNFV4539300</t>
  </si>
  <si>
    <t>CY: 07H 16/10/2025</t>
  </si>
  <si>
    <t>10/10/2025</t>
  </si>
  <si>
    <t>PSSHA25A022</t>
  </si>
  <si>
    <t>10 PK/ 358 KGM/ 1.02 CBM</t>
  </si>
  <si>
    <t>KGN-25092216-BS1</t>
  </si>
  <si>
    <t>IAAU2806788</t>
  </si>
  <si>
    <t>039FX97105</t>
  </si>
  <si>
    <t xml:space="preserve">SI, VGM: 13H 14/10/2025  1H 19/10/2025  </t>
  </si>
  <si>
    <t>13/10/2025</t>
  </si>
  <si>
    <t>107604587310</t>
  </si>
  <si>
    <t>VSKH251010</t>
  </si>
  <si>
    <t>200</t>
  </si>
  <si>
    <t>00009250
TKX: 307848862440</t>
  </si>
  <si>
    <t>192</t>
  </si>
  <si>
    <t>VTNW251013</t>
  </si>
  <si>
    <t>213</t>
  </si>
  <si>
    <t>51D09750
51D09750
50H17748</t>
  </si>
  <si>
    <t>SNLFSKVLN9E254</t>
  </si>
  <si>
    <t>Công ty TNHH Lessohome</t>
  </si>
  <si>
    <t>15/10/2025</t>
  </si>
  <si>
    <t>6432048621</t>
  </si>
  <si>
    <t>SI: 10H 15/10/2025
CY: 4H 16/10/2025</t>
  </si>
  <si>
    <t>78</t>
  </si>
  <si>
    <t>EGHU3849191
EGSU3161026
GAOU2395240</t>
  </si>
  <si>
    <t>EGLV147501411805</t>
  </si>
  <si>
    <t>ONEU2086720</t>
  </si>
  <si>
    <t>VN60172AO</t>
  </si>
  <si>
    <t xml:space="preserve"> GM01P-2</t>
  </si>
  <si>
    <t>GCXU2591163</t>
  </si>
  <si>
    <t>VN60174AO</t>
  </si>
  <si>
    <t xml:space="preserve"> GM01P-3</t>
  </si>
  <si>
    <t>50H91877</t>
  </si>
  <si>
    <t>KGN-25101160</t>
  </si>
  <si>
    <t>XL-HC251001</t>
  </si>
  <si>
    <t>81060</t>
  </si>
  <si>
    <t>12/10/2025</t>
  </si>
  <si>
    <t>WHSU2674908</t>
  </si>
  <si>
    <t>OHOC25100047</t>
  </si>
  <si>
    <t>18/10/2025</t>
  </si>
  <si>
    <t>KGN-25101215</t>
  </si>
  <si>
    <t>KGN-25101216</t>
  </si>
  <si>
    <t>KGN-25101217</t>
  </si>
  <si>
    <t>KGN-25101218</t>
  </si>
  <si>
    <t>VTNW251014</t>
  </si>
  <si>
    <t>10</t>
  </si>
  <si>
    <t>SGNFZ4511400</t>
  </si>
  <si>
    <t>SI: 10H 21/10/2025
CY: 22H 21/10/2025</t>
  </si>
  <si>
    <t>XL-HC251003</t>
  </si>
  <si>
    <t>81085</t>
  </si>
  <si>
    <t>KGN-25101233</t>
  </si>
  <si>
    <t>Cảng Đồng Nai</t>
  </si>
  <si>
    <t>TLLU3548268</t>
  </si>
  <si>
    <t>31307459</t>
  </si>
  <si>
    <t>TLLU2718478</t>
  </si>
  <si>
    <t>31307410</t>
  </si>
  <si>
    <t>DH-20250508-1</t>
  </si>
  <si>
    <t>DH-20250508-2</t>
  </si>
  <si>
    <t>79</t>
  </si>
  <si>
    <t>VTNW251015</t>
  </si>
  <si>
    <t>368</t>
  </si>
  <si>
    <t>80</t>
  </si>
  <si>
    <t>17/10/2025</t>
  </si>
  <si>
    <t>JS25100901</t>
  </si>
  <si>
    <t>JS25101501</t>
  </si>
  <si>
    <t>16/10/2025</t>
  </si>
  <si>
    <t>KGN-25101443</t>
  </si>
  <si>
    <t>KGN-25101444</t>
  </si>
  <si>
    <t>KGN-25101445</t>
  </si>
  <si>
    <t>A59FX12914</t>
  </si>
  <si>
    <t>9H 25/10/2025</t>
  </si>
  <si>
    <t>MO2541SSGT397</t>
  </si>
  <si>
    <t>147501412585</t>
  </si>
  <si>
    <t>SEGU3507256
SITU2664264</t>
  </si>
  <si>
    <t>PHỤ PHÍ HẠ XA ĐỒNG NAI</t>
  </si>
  <si>
    <t>51C23619
51C69298
51D41113
50H29647</t>
  </si>
  <si>
    <t>20/10/2025</t>
  </si>
  <si>
    <t>JS25101001</t>
  </si>
  <si>
    <t>PHÍ BOT 260K</t>
  </si>
  <si>
    <t>KGN-25101470</t>
  </si>
  <si>
    <t>KGN-25101471</t>
  </si>
  <si>
    <t>PHÍ TK CHI SỬA HS 500K</t>
  </si>
  <si>
    <t>21/10/2025</t>
  </si>
  <si>
    <t>30/10/2025</t>
  </si>
  <si>
    <t>SNLFNSVLF44307</t>
  </si>
  <si>
    <t>SNBU2457171</t>
  </si>
  <si>
    <t xml:space="preserve">A33FX99445 </t>
  </si>
  <si>
    <t>IAAU2829206
IAAU2942608</t>
  </si>
  <si>
    <t>978-23071031</t>
  </si>
  <si>
    <t>18-20/10/2025</t>
  </si>
  <si>
    <t>OHOC25100052</t>
  </si>
  <si>
    <t>OHOC25100049</t>
  </si>
  <si>
    <t>TEMU7903890</t>
  </si>
  <si>
    <t>BMOU6350327</t>
  </si>
  <si>
    <t>XL-HD251005</t>
  </si>
  <si>
    <t>54017.13</t>
  </si>
  <si>
    <t>XL-NV2507</t>
  </si>
  <si>
    <t>VTNW251017</t>
  </si>
  <si>
    <t>VTNW251018</t>
  </si>
  <si>
    <t>82</t>
  </si>
  <si>
    <t>178</t>
  </si>
  <si>
    <t>81</t>
  </si>
  <si>
    <t>20-21/10/2025</t>
  </si>
  <si>
    <t>JS25100903</t>
  </si>
  <si>
    <t>51D07794</t>
  </si>
  <si>
    <t xml:space="preserve">50H45712 </t>
  </si>
  <si>
    <t>KHAI BÁO HÓA CHẤT</t>
  </si>
  <si>
    <t>KGN-25101607</t>
  </si>
  <si>
    <t>KGN-25101608</t>
  </si>
  <si>
    <t>KGN-25101673</t>
  </si>
  <si>
    <t>15:30 20/10/2025</t>
  </si>
  <si>
    <t>KKTU7724171</t>
  </si>
  <si>
    <t>GESU1251427</t>
  </si>
  <si>
    <t>KP-20251020-2</t>
  </si>
  <si>
    <t>KP-20251020-1</t>
  </si>
  <si>
    <t>KP-20251020-3</t>
  </si>
  <si>
    <t>NYKU3672250</t>
  </si>
  <si>
    <t>EBKG14564096</t>
  </si>
  <si>
    <t>VSKH251020</t>
  </si>
  <si>
    <t>210</t>
  </si>
  <si>
    <t>YMJAI490566636</t>
  </si>
  <si>
    <t>KGN-25101817</t>
  </si>
  <si>
    <t>KGN-25101818</t>
  </si>
  <si>
    <t>KGN-25101819</t>
  </si>
  <si>
    <t>BY20251012</t>
  </si>
  <si>
    <t>KGN-25101820</t>
  </si>
  <si>
    <t>KGN-25101821</t>
  </si>
  <si>
    <t>CONT: TCNU4720241
SEAL: YMAU948671</t>
  </si>
  <si>
    <t>BSUNG PHÍ SỬA CHỬA 500K</t>
  </si>
  <si>
    <t>22H 20/10/2025</t>
  </si>
  <si>
    <t>17:30 20/10/2025</t>
  </si>
  <si>
    <t>51C23619
51C62954
50H54376</t>
  </si>
  <si>
    <t>50E15635
50H17748
50H17748</t>
  </si>
  <si>
    <t>22/10/2025</t>
  </si>
  <si>
    <t>2:00 22/10/2025</t>
  </si>
  <si>
    <t>SGN/OSA/3680444</t>
  </si>
  <si>
    <t>51C92949</t>
  </si>
  <si>
    <t>51D10146
50H12451
51D40042</t>
  </si>
  <si>
    <t>03/11/2025</t>
  </si>
  <si>
    <t>KMTU9348361</t>
  </si>
  <si>
    <t>51C78547
51C78547</t>
  </si>
  <si>
    <t>YMJAI490566914</t>
  </si>
  <si>
    <t>SI: 17H 24/10/2025
CY: 14H 26/10/2025</t>
  </si>
  <si>
    <t>IAAU2893946
IAAU2909451</t>
  </si>
  <si>
    <t xml:space="preserve">SI,VGM: 14H 24/10/2025  
15H 25/10/2025  </t>
  </si>
  <si>
    <t>23/10/2025</t>
  </si>
  <si>
    <t>50H05655
50H17748</t>
  </si>
  <si>
    <t>9 RO/ 180 KGM/ 1 CBM</t>
  </si>
  <si>
    <t>KGN-25101931</t>
  </si>
  <si>
    <t>KGN-25101932</t>
  </si>
  <si>
    <t>KGN-25101933</t>
  </si>
  <si>
    <t>ECU WORLDWIDE</t>
  </si>
  <si>
    <t>15H 24/10/2025</t>
  </si>
  <si>
    <t>04/11/2025</t>
  </si>
  <si>
    <t>VET251023</t>
  </si>
  <si>
    <t>16 PK/ 398 KGM/1.52 CBM</t>
  </si>
  <si>
    <t>AJ
RCEP</t>
  </si>
  <si>
    <t>51D62774</t>
  </si>
  <si>
    <t>TEMU0865268
SNBU2437935
SNBU2298444</t>
  </si>
  <si>
    <t>CONT: BMOU5711960
SEAL: YMAU435787</t>
  </si>
  <si>
    <t>CONT: SEGU6527370 
SEAL: YMAU435734</t>
  </si>
  <si>
    <t>24/10/2025</t>
  </si>
  <si>
    <t>VTNW251023</t>
  </si>
  <si>
    <t>26</t>
  </si>
  <si>
    <t>83</t>
  </si>
  <si>
    <t>TGBU2249087</t>
  </si>
  <si>
    <t>BSUNG C/O FORM B</t>
  </si>
  <si>
    <t>KGN-25091805-BS1</t>
  </si>
  <si>
    <t>KGN-25082515-BS1</t>
  </si>
  <si>
    <t>KGN-25090365-BS1</t>
  </si>
  <si>
    <t>KGN-25090932-BS1</t>
  </si>
  <si>
    <t>25/10/2025</t>
  </si>
  <si>
    <t>BSUNG PHÍ SỬA CHỬA</t>
  </si>
  <si>
    <t>KGN-25102090</t>
  </si>
  <si>
    <t>50H45707</t>
  </si>
  <si>
    <t>00004216
TKX: 307874261830</t>
  </si>
  <si>
    <t>390</t>
  </si>
  <si>
    <t>039FA10954</t>
  </si>
  <si>
    <t>SGNFAJ451400</t>
  </si>
  <si>
    <t>SI,VGM: 10H 28/10/2025  
08H 31/10/2025</t>
  </si>
  <si>
    <t>SGNFAK388700</t>
  </si>
  <si>
    <t>PSSHA25A086</t>
  </si>
  <si>
    <t>5 PK/ 144 KGM/ 0.511 CBM</t>
  </si>
  <si>
    <t>JS25102101</t>
  </si>
  <si>
    <r>
      <rPr>
        <b/>
        <sz val="10"/>
        <color rgb="FFFF0000"/>
        <rFont val="Times New Roman"/>
        <family val="1"/>
      </rPr>
      <t>ONE LINE</t>
    </r>
    <r>
      <rPr>
        <sz val="10"/>
        <color rgb="FFFF0000"/>
        <rFont val="Times New Roman"/>
        <family val="1"/>
      </rPr>
      <t xml:space="preserve">
</t>
    </r>
    <r>
      <rPr>
        <sz val="10"/>
        <rFont val="Times New Roman"/>
        <family val="1"/>
      </rPr>
      <t>HCM - CHITTAGONG</t>
    </r>
  </si>
  <si>
    <t>ITCSHB023401</t>
  </si>
  <si>
    <t>TWCU2140174</t>
  </si>
  <si>
    <t>KGN-25102112</t>
  </si>
  <si>
    <t>26/10/2025</t>
  </si>
  <si>
    <t>YMJAI490567413</t>
  </si>
  <si>
    <t>CY: '12H 29/10/2025</t>
  </si>
  <si>
    <t>VSKH251027</t>
  </si>
  <si>
    <t>50D04323</t>
  </si>
  <si>
    <t>27/10/2025</t>
  </si>
  <si>
    <t>BSIU8165494</t>
  </si>
  <si>
    <t>NGÀY GIAO</t>
  </si>
  <si>
    <t>10:00 01/11/2025</t>
  </si>
  <si>
    <t>28/10/2025</t>
  </si>
  <si>
    <t>27012</t>
  </si>
  <si>
    <t>84</t>
  </si>
  <si>
    <t>51C23619
50H29647</t>
  </si>
  <si>
    <t>5</t>
  </si>
  <si>
    <t>SNLFNSVLF44413</t>
  </si>
  <si>
    <t>EGSU2390270
EGSU2381812</t>
  </si>
  <si>
    <t>SNLFNSVLF44408</t>
  </si>
  <si>
    <t>FTAU2031588
SNBU2349644
UETU3026438
SNBU2378658</t>
  </si>
  <si>
    <t>SNBU2338697</t>
  </si>
  <si>
    <t>SNLFNSVLF44501</t>
  </si>
  <si>
    <t>SNBU2275217
SNCU2928927
SNBU2335363
SNBU2257620
FTAU2046016</t>
  </si>
  <si>
    <t>SNLFSKVLF4E524</t>
  </si>
  <si>
    <t>UETU3014822</t>
  </si>
  <si>
    <t>EGSU3614020
TRHU3709220
EGHU3803816</t>
  </si>
  <si>
    <t>OCGU2000640
EGHU3678381
EGSU2005625</t>
  </si>
  <si>
    <t>OCGU2077580
EITU0498598
EITU0441930</t>
  </si>
  <si>
    <t>EGHU3496793</t>
  </si>
  <si>
    <r>
      <rPr>
        <b/>
        <sz val="12"/>
        <color theme="1"/>
        <rFont val="Times New Roman"/>
        <family val="1"/>
      </rPr>
      <t>COAU7262665210</t>
    </r>
    <r>
      <rPr>
        <sz val="12"/>
        <color theme="1"/>
        <rFont val="Times New Roman"/>
        <family val="1"/>
      </rPr>
      <t xml:space="preserve">
(YANTIAN I 106W)</t>
    </r>
  </si>
  <si>
    <t>WHLU4277247
WHSU4022200</t>
  </si>
  <si>
    <r>
      <t>THÁNG 11/2025 (</t>
    </r>
    <r>
      <rPr>
        <b/>
        <sz val="10"/>
        <color rgb="FFFF0000"/>
        <rFont val="Times New Roman"/>
        <family val="1"/>
      </rPr>
      <t>SERVICE DAY TỪ NGÀY 01/11</t>
    </r>
    <r>
      <rPr>
        <b/>
        <sz val="10"/>
        <rFont val="Times New Roman"/>
        <family val="1"/>
      </rPr>
      <t>)</t>
    </r>
  </si>
  <si>
    <t>KGN-25102342</t>
  </si>
  <si>
    <t>KGN-25090717-BS1</t>
  </si>
  <si>
    <t>KGN-25102361</t>
  </si>
  <si>
    <t>KGN-25102371</t>
  </si>
  <si>
    <r>
      <t xml:space="preserve">EMC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</si>
  <si>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t>SI: 11H 04/11/2025
CY: 22H 03/11/2025</t>
  </si>
  <si>
    <t>50H17748
50H17748</t>
  </si>
  <si>
    <t>51D04323</t>
  </si>
  <si>
    <t>'VET251028</t>
  </si>
  <si>
    <t>SI: 16H 03/11/2025
CY: 22H 04/11/2025</t>
  </si>
  <si>
    <t>NYKU3572539</t>
  </si>
  <si>
    <t xml:space="preserve">SI,VGM: 9H 28/10/2025  
12H 29/10/2025  </t>
  </si>
  <si>
    <t>KGN-25102384</t>
  </si>
  <si>
    <t>VN19298AK</t>
  </si>
  <si>
    <t>VN73797AJ</t>
  </si>
  <si>
    <t>VN73752AJ</t>
  </si>
  <si>
    <t>THÁNG 11/2025</t>
  </si>
  <si>
    <t>CONT: YMMU7094694 
SEAL: YMAU991321</t>
  </si>
  <si>
    <t>KHAI TK CÁT LÁI
ĐK SỞ XÂY DỰNG
Phí grab 234k
PHÍ HẢI QUAN KIỂM HÓA 2TR5</t>
  </si>
  <si>
    <t>XL-ZS251010</t>
  </si>
  <si>
    <t>27620</t>
  </si>
  <si>
    <t>29/10/2025</t>
  </si>
  <si>
    <t>XL-HC251014</t>
  </si>
  <si>
    <t>81074</t>
  </si>
  <si>
    <t>EGLV147501508982</t>
  </si>
  <si>
    <t>EGLV147501412551</t>
  </si>
  <si>
    <t>81110</t>
  </si>
  <si>
    <t>XL-HD251017</t>
  </si>
  <si>
    <t xml:space="preserve">29/10/2025 </t>
  </si>
  <si>
    <t>31/10/2025</t>
  </si>
  <si>
    <t>SITGSHSGQQ23267</t>
  </si>
  <si>
    <t>SITU2832202</t>
  </si>
  <si>
    <t>16:59 31/10/2025</t>
  </si>
  <si>
    <t>PRUTEX</t>
  </si>
  <si>
    <t>KGN-25102448</t>
  </si>
  <si>
    <t>SITSGNGW462495</t>
  </si>
  <si>
    <t>17H 08/11/2025</t>
  </si>
  <si>
    <t>EGLV147501412542</t>
  </si>
  <si>
    <t>BY2025101201</t>
  </si>
  <si>
    <t>81410</t>
  </si>
  <si>
    <t>01/11/2025</t>
  </si>
  <si>
    <t>KHAI TK CÁT LÁI
ĐK SỞ XÂY DỰNG
Phí grab 247k</t>
  </si>
  <si>
    <t>A59FX15720</t>
  </si>
  <si>
    <t>PHÍ NEO 2 XE</t>
  </si>
  <si>
    <t>STHCM2510349</t>
  </si>
  <si>
    <t>4</t>
  </si>
  <si>
    <t>MEDU6718512</t>
  </si>
  <si>
    <t>FX40462600</t>
  </si>
  <si>
    <t>DFSU1518894</t>
  </si>
  <si>
    <t>FX40462591</t>
  </si>
  <si>
    <t>AXIU2207781</t>
  </si>
  <si>
    <t>FX40462592</t>
  </si>
  <si>
    <t>TCLU2737042</t>
  </si>
  <si>
    <t>FX40462593</t>
  </si>
  <si>
    <t>DH-20250912-1</t>
  </si>
  <si>
    <t>DH-20250912-2</t>
  </si>
  <si>
    <t>DH-20250912-3</t>
  </si>
  <si>
    <t>DH-20250912-4</t>
  </si>
  <si>
    <t>STHCM2510268</t>
  </si>
  <si>
    <t>KGN-25102552</t>
  </si>
  <si>
    <t>51D10587</t>
  </si>
  <si>
    <t>VTGS251029</t>
  </si>
  <si>
    <t>50H90392</t>
  </si>
  <si>
    <t>VTSS251029</t>
  </si>
  <si>
    <t>ZIMUHCM80583540</t>
  </si>
  <si>
    <t>22H 01/11/2025</t>
  </si>
  <si>
    <t>KGN-25102581</t>
  </si>
  <si>
    <t>KGN-25102582</t>
  </si>
  <si>
    <t>KGN-25102583</t>
  </si>
  <si>
    <t>KGN-25090527-BS1</t>
  </si>
  <si>
    <t>STHCM2510306</t>
  </si>
  <si>
    <t>63H05554
50H29647
50H54376</t>
  </si>
  <si>
    <r>
      <t xml:space="preserve">THÁNG 11/2025 </t>
    </r>
    <r>
      <rPr>
        <b/>
        <sz val="10"/>
        <color rgb="FFFF0000"/>
        <rFont val="Times New Roman"/>
        <family val="1"/>
      </rPr>
      <t>(SERVICE DAY TỪ NGÀY 23/11/25)</t>
    </r>
  </si>
  <si>
    <t>MUA CONT/SEAL 500K
SỬA TK 1TR (SỬA XUẤT XỨ)</t>
  </si>
  <si>
    <t>HẠ CẢNG ĐỒNG NAI</t>
  </si>
  <si>
    <t>KGN-25102747</t>
  </si>
  <si>
    <t>JINSUBAO</t>
  </si>
  <si>
    <t>VET251031</t>
  </si>
  <si>
    <t>50H54383
50E14061
50H90050</t>
  </si>
  <si>
    <t>50H76894</t>
  </si>
  <si>
    <t xml:space="preserve">50H43504 </t>
  </si>
  <si>
    <t>CONT: TXGU7248445
SEAL: EMCSTL6944</t>
  </si>
  <si>
    <t>STHCM2510398</t>
  </si>
  <si>
    <t>KGN-25102897</t>
  </si>
  <si>
    <t>51D09750
50E15635
51D09750</t>
  </si>
  <si>
    <t>00000405</t>
  </si>
  <si>
    <t>LY-LHY30/31/33-25</t>
  </si>
  <si>
    <t>KGN-25102900</t>
  </si>
  <si>
    <t>51D40042</t>
  </si>
  <si>
    <t>HQ-20253110</t>
  </si>
  <si>
    <t>SEGU5682936</t>
  </si>
  <si>
    <t>A4251331348</t>
  </si>
  <si>
    <t>KGN-25102929</t>
  </si>
  <si>
    <t>SGNM74309400</t>
  </si>
  <si>
    <t>SI,VGM: 10H 04/11/2025 
7H 05/11/2025</t>
  </si>
  <si>
    <t>HCM-SBK-25101083</t>
  </si>
  <si>
    <t xml:space="preserve">11H 05/11/2025 </t>
  </si>
  <si>
    <t>HCM-SBK-25101084</t>
  </si>
  <si>
    <t>10H 06/11/2025</t>
  </si>
  <si>
    <t>CL KHO 1</t>
  </si>
  <si>
    <t>19 PK/597.26 KGM/1.75 CBM</t>
  </si>
  <si>
    <t>14 PK/333.6 KGM/1.22 CBM</t>
  </si>
  <si>
    <t>14/11/2025</t>
  </si>
  <si>
    <t>VTNW251101</t>
  </si>
  <si>
    <t>85</t>
  </si>
  <si>
    <t>JS25102501</t>
  </si>
  <si>
    <t>OHOC25100385</t>
  </si>
  <si>
    <t>05/11/2025</t>
  </si>
  <si>
    <r>
      <rPr>
        <b/>
        <sz val="10"/>
        <rFont val="Times New Roman"/>
        <family val="1"/>
      </rPr>
      <t>HCM - TAICHUNG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  <r>
      <rPr>
        <sz val="10"/>
        <color rgb="FFFF0000"/>
        <rFont val="Times New Roman"/>
        <family val="1"/>
      </rPr>
      <t xml:space="preserve">
CSNEE: TUNG DA SHEN</t>
    </r>
  </si>
  <si>
    <r>
      <rPr>
        <b/>
        <sz val="10"/>
        <rFont val="Times New Roman"/>
        <family val="1"/>
      </rPr>
      <t>HCM - KAOHISUNG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  <r>
      <rPr>
        <sz val="10"/>
        <color rgb="FFFF0000"/>
        <rFont val="Times New Roman"/>
        <family val="1"/>
      </rPr>
      <t xml:space="preserve">
CSNEE: EVEREST</t>
    </r>
  </si>
  <si>
    <t>VTJS251103-1</t>
  </si>
  <si>
    <t>VTJS251103</t>
  </si>
  <si>
    <t>BSUNG</t>
  </si>
  <si>
    <t>CƯỚC GATHER SHINE</t>
  </si>
  <si>
    <t>HCM - CHITTAGONG</t>
  </si>
  <si>
    <t>CƯỚC - GATHER SHINE
LCC - VIET STAR</t>
  </si>
  <si>
    <t>6780 USD</t>
  </si>
  <si>
    <t>CONT: ONEU5205210
SEAL: VN45189AP</t>
  </si>
  <si>
    <t>VSKH251103</t>
  </si>
  <si>
    <t>MEDU5428479
MSNU3337000
MSDU1461497
MSBU3041304</t>
  </si>
  <si>
    <t>HMMU4052131
KOCU4960407</t>
  </si>
  <si>
    <t>50H54376
50H05655</t>
  </si>
  <si>
    <t>TRHU3709220 - CƯỢC 1TR</t>
  </si>
  <si>
    <t>CHƯA TÍNH CƯỚC</t>
  </si>
  <si>
    <t>3h 06/11/2025</t>
  </si>
  <si>
    <t>235501812942</t>
  </si>
  <si>
    <t>03/11/025</t>
  </si>
  <si>
    <t>CONT: BEAU5291930
SEAL: VN63858AO</t>
  </si>
  <si>
    <t>VET251104</t>
  </si>
  <si>
    <t>KGN-25110140</t>
  </si>
  <si>
    <t>CONT: EGHU9794115
SEAL: EMCSTK8904</t>
  </si>
  <si>
    <t>CONT: BSIU9677160
SEAL: VN65696AO</t>
  </si>
  <si>
    <t>CONT: GCXU5511201
SEAL: VN65693AO</t>
  </si>
  <si>
    <t>CONT: ONEU0982959
SEAL: VN65698AO</t>
  </si>
  <si>
    <t>CONT: NYKU5122021
SEAL: VN29423AO</t>
  </si>
  <si>
    <t>STHCM2511017</t>
  </si>
  <si>
    <t>PSSHA25B010</t>
  </si>
  <si>
    <t>JS25110101</t>
  </si>
  <si>
    <t>XL-ZS251023</t>
  </si>
  <si>
    <t>108159</t>
  </si>
  <si>
    <t>XL-HD251020</t>
  </si>
  <si>
    <t>Lệ phí hải quan T9</t>
  </si>
  <si>
    <t>KGN-25110290</t>
  </si>
  <si>
    <t>TTTLAX155579V</t>
  </si>
  <si>
    <t>1 PK/ 1,780 KGM/ 1.81 CBM</t>
  </si>
  <si>
    <t>86</t>
  </si>
  <si>
    <t>VTNW251104</t>
  </si>
  <si>
    <t>334</t>
  </si>
  <si>
    <t>D251101006
TKX: 307920317740</t>
  </si>
  <si>
    <t>107</t>
  </si>
  <si>
    <t>OHOC25100386A</t>
  </si>
  <si>
    <t>09/11/2025</t>
  </si>
  <si>
    <t>JS25102502</t>
  </si>
  <si>
    <t>CAAU6656253</t>
  </si>
  <si>
    <t>OHOC25100386</t>
  </si>
  <si>
    <t>JS25102503</t>
  </si>
  <si>
    <r>
      <rPr>
        <sz val="10"/>
        <color rgb="FFFF0000"/>
        <rFont val="Times New Roman"/>
        <family val="1"/>
      </rPr>
      <t>SI: 10H 10/11/2025</t>
    </r>
    <r>
      <rPr>
        <sz val="10"/>
        <color rgb="FF000000"/>
        <rFont val="Times New Roman"/>
        <family val="1"/>
      </rPr>
      <t xml:space="preserve">
12:00 12/11/2025</t>
    </r>
  </si>
  <si>
    <t>10H 17/11/2025</t>
  </si>
  <si>
    <t>YMAU969661</t>
  </si>
  <si>
    <t>KGN-25110440</t>
  </si>
  <si>
    <t>KGN-25110441</t>
  </si>
  <si>
    <t>06/11/2025</t>
  </si>
  <si>
    <t>KGN-25110450</t>
  </si>
  <si>
    <t>KGN-25110451</t>
  </si>
  <si>
    <t>KGN-25110452</t>
  </si>
  <si>
    <t>KGN-25110453</t>
  </si>
  <si>
    <t>49 CT/ 1579 KGM/ 5.085 CBM</t>
  </si>
  <si>
    <t>18/11/2025</t>
  </si>
  <si>
    <t>STHCM2511033</t>
  </si>
  <si>
    <t>STHCM2511031</t>
  </si>
  <si>
    <t>STHCM2511025</t>
  </si>
  <si>
    <t>07/11/2025</t>
  </si>
  <si>
    <r>
      <t xml:space="preserve">CƯỢC 1TR5
</t>
    </r>
    <r>
      <rPr>
        <b/>
        <sz val="10"/>
        <color rgb="FFFF0000"/>
        <rFont val="Times New Roman"/>
        <family val="1"/>
      </rPr>
      <t>HẠ CẢNG ĐỒNG NAI</t>
    </r>
  </si>
  <si>
    <t>8/11/2025</t>
  </si>
  <si>
    <t>KGN-25110548</t>
  </si>
  <si>
    <t>KGN-25110549</t>
  </si>
  <si>
    <t>KGN-25110550</t>
  </si>
  <si>
    <t>307935032220
307935052260</t>
  </si>
  <si>
    <t>IAAU2825577</t>
  </si>
  <si>
    <t>SI: 12H 11/11/2025
CY: 18H 12/11/2025</t>
  </si>
  <si>
    <t>YMJAW490492965</t>
  </si>
  <si>
    <r>
      <t xml:space="preserve">KHAI TK CÁT LÁI
ĐK SỞ XÂY DỰNG
Phí grab 100k
</t>
    </r>
    <r>
      <rPr>
        <b/>
        <sz val="10"/>
        <color rgb="FFFF0000"/>
        <rFont val="Times New Roman"/>
        <family val="1"/>
      </rPr>
      <t>PHÍ HẢI QUAN KIỂM HÓA 9TR</t>
    </r>
  </si>
  <si>
    <t>19/11/2025</t>
  </si>
  <si>
    <t>HPCU2968692</t>
  </si>
  <si>
    <t>15H 9/11/2025</t>
  </si>
  <si>
    <t>JI SUNG INTERNATIONAL CO.LTD</t>
  </si>
  <si>
    <t>XL-NV251031</t>
  </si>
  <si>
    <t>08/11/2025
10/11/2025</t>
  </si>
  <si>
    <t>SITU9111240</t>
  </si>
  <si>
    <t>XL-HD251030</t>
  </si>
  <si>
    <t>134620</t>
  </si>
  <si>
    <t>08/11/2025</t>
  </si>
  <si>
    <t>50H77131</t>
  </si>
  <si>
    <t>ETA: 18/11/2025</t>
  </si>
  <si>
    <t>COAU7263615460</t>
  </si>
  <si>
    <t>CSLU1358265</t>
  </si>
  <si>
    <t>KGN-25110640</t>
  </si>
  <si>
    <t>10/11/2025</t>
  </si>
  <si>
    <t>FFAU1320315</t>
  </si>
  <si>
    <t>87</t>
  </si>
  <si>
    <t>VTNW251107</t>
  </si>
  <si>
    <t>97</t>
  </si>
  <si>
    <t>XL-HD251104</t>
  </si>
  <si>
    <t>108180</t>
  </si>
  <si>
    <t>KGN-25110658</t>
  </si>
  <si>
    <t>KGN-25110659</t>
  </si>
  <si>
    <t>CÁT LÁI GIANG NAM</t>
  </si>
  <si>
    <t>00004507
TKX: 307926592760</t>
  </si>
  <si>
    <t>MEDUKH953789</t>
  </si>
  <si>
    <t>PHI HUN TRUNG 1TR5 CH VAT</t>
  </si>
  <si>
    <t>TCLU2634569</t>
  </si>
  <si>
    <t>FX34994761</t>
  </si>
  <si>
    <t>DH-20250910</t>
  </si>
  <si>
    <t>11/11/2025</t>
  </si>
  <si>
    <t>50H05655
50E32047
50E32047</t>
  </si>
  <si>
    <t>73804535904</t>
  </si>
  <si>
    <t>2 CT/ 33 KGM/ 0.2 CBM</t>
  </si>
  <si>
    <t>KGN-25110745</t>
  </si>
  <si>
    <t>KGN-25110746</t>
  </si>
  <si>
    <t>JS25110401</t>
  </si>
  <si>
    <t>KGN-25110751</t>
  </si>
  <si>
    <t>23/11/2025</t>
  </si>
  <si>
    <t>JD2528SSGT414</t>
  </si>
  <si>
    <t>FTAU2344849
BEAU2902064</t>
  </si>
  <si>
    <t>XL-NV2508</t>
  </si>
  <si>
    <t>039FA115233</t>
  </si>
  <si>
    <t xml:space="preserve">SI,VGM: 10H 13/11/2025  
1H 15/11/2025  </t>
  </si>
  <si>
    <t>KGN-25110814</t>
  </si>
  <si>
    <t>KGN-25110821</t>
  </si>
  <si>
    <t>12/11/2025</t>
  </si>
  <si>
    <t>SEGU4443768</t>
  </si>
  <si>
    <t>DLNV-20251111</t>
  </si>
  <si>
    <t>YMAU985472</t>
  </si>
  <si>
    <t>50D19472</t>
  </si>
  <si>
    <t>177IETETS09371UWS</t>
  </si>
  <si>
    <t>TGBU4620807</t>
  </si>
  <si>
    <t>SUZHOU JUNHUI TEXTILE</t>
  </si>
  <si>
    <t>EGLV147501671182</t>
  </si>
  <si>
    <t>54630</t>
  </si>
  <si>
    <t>KGN-25110863</t>
  </si>
  <si>
    <t>JHI-VTMI-2510006</t>
  </si>
  <si>
    <t>16/11/2025</t>
  </si>
  <si>
    <t>88</t>
  </si>
  <si>
    <t>VTNW251111</t>
  </si>
  <si>
    <t>12/11/2025
13/11/2025</t>
  </si>
  <si>
    <t>OHOC25100481</t>
  </si>
  <si>
    <t>IAAU1762480</t>
  </si>
  <si>
    <t>13/11/2025</t>
  </si>
  <si>
    <t>VSKH251111</t>
  </si>
  <si>
    <t>KHAI TK CÁT LÁI
ĐK SỞ XÂY DỰNG
Phí grab 250k</t>
  </si>
  <si>
    <t>50H25696</t>
  </si>
  <si>
    <t>51D41113</t>
  </si>
  <si>
    <t>JS25110201</t>
  </si>
  <si>
    <t>WHSU2739953</t>
  </si>
  <si>
    <t>13/11/2025
14/11/2025</t>
  </si>
  <si>
    <t>24/11/2025</t>
  </si>
  <si>
    <t>PSSHA25B065</t>
  </si>
  <si>
    <t>8 PK/ 266 KGM/ 0.801 CBM</t>
  </si>
  <si>
    <t>JS25110702</t>
  </si>
  <si>
    <t>ASHA25110119</t>
  </si>
  <si>
    <t>JS25110602</t>
  </si>
  <si>
    <t>KGN-25111155</t>
  </si>
  <si>
    <t>KGN-25111156</t>
  </si>
  <si>
    <t>15/11/2025</t>
  </si>
  <si>
    <t>VTNW251113</t>
  </si>
  <si>
    <t>HIEP PHUOC</t>
  </si>
  <si>
    <t xml:space="preserve">SI,VGM: 11H 17/11/2025  
19H 19/11/2025  </t>
  </si>
  <si>
    <t>122</t>
  </si>
  <si>
    <t>89</t>
  </si>
  <si>
    <t>RE2510001</t>
  </si>
  <si>
    <t>50H05655
50H54376
51C23619
50E15635
63H05554</t>
  </si>
  <si>
    <t xml:space="preserve">51D07794
50E32047
50H91877
63H05554 </t>
  </si>
  <si>
    <t>COAU7263867300</t>
  </si>
  <si>
    <t>OOCU8492802</t>
  </si>
  <si>
    <t>OHOC25100452</t>
  </si>
  <si>
    <t>KGN-25111235</t>
  </si>
  <si>
    <t>KGN-25111236</t>
  </si>
  <si>
    <t>KGN-25111237</t>
  </si>
  <si>
    <t>KGN-25111238</t>
  </si>
  <si>
    <t>KGN-25111239</t>
  </si>
  <si>
    <t>ZHEJIANG RECYCLE NEW MATERIAL</t>
  </si>
  <si>
    <t>00004737
TKX: 307956920960</t>
  </si>
  <si>
    <t>50H51044</t>
  </si>
  <si>
    <t>U25110311</t>
  </si>
  <si>
    <t>17/11/2025</t>
  </si>
  <si>
    <t>KGN-25111297</t>
  </si>
  <si>
    <t>SGN2959268</t>
  </si>
  <si>
    <t>SNLFNSVLF44602</t>
  </si>
  <si>
    <t>SNBU2259520
SLPU2007597</t>
  </si>
  <si>
    <t>SNLFNSVLF44601</t>
  </si>
  <si>
    <t>SNBU2345799</t>
  </si>
  <si>
    <t>22/11/2025</t>
  </si>
  <si>
    <t>JS25110701</t>
  </si>
  <si>
    <t xml:space="preserve">PSSHA25B401 </t>
  </si>
  <si>
    <t xml:space="preserve">PSSHA25B083  </t>
  </si>
  <si>
    <t>YMJAI490569757</t>
  </si>
  <si>
    <t>12H 19/11/2025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</si>
  <si>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(EVERSET)</t>
    </r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</si>
  <si>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theme="7" tint="0.59999389629810485"/>
        <rFont val="Times New Roman"/>
        <family val="1"/>
      </rPr>
      <t xml:space="preserve"> </t>
    </r>
    <r>
      <rPr>
        <b/>
        <sz val="10"/>
        <color theme="5"/>
        <rFont val="Times New Roman"/>
        <family val="1"/>
      </rPr>
      <t>(KUN TSUAN)</t>
    </r>
  </si>
  <si>
    <t>2 PK/ 53 KGM/ 0.183 CBM</t>
  </si>
  <si>
    <t>90</t>
  </si>
  <si>
    <t>VTNW251117</t>
  </si>
  <si>
    <t>MATU2786933</t>
  </si>
  <si>
    <t>YMJAI490569768</t>
  </si>
  <si>
    <t>AWSXMLCL25110130</t>
  </si>
  <si>
    <t xml:space="preserve">LITCHI INTERNATIONAL </t>
  </si>
  <si>
    <t>KGN-25111381</t>
  </si>
  <si>
    <t>95 CT/ 3297.40 KGS/ 9.046 CBM</t>
  </si>
  <si>
    <t>KGN-25111385</t>
  </si>
  <si>
    <t>KGN-25111386</t>
  </si>
  <si>
    <t>20/11/2025</t>
  </si>
  <si>
    <t>EBKG14882138</t>
  </si>
  <si>
    <t>A59FX17043</t>
  </si>
  <si>
    <t>A59FX18003</t>
  </si>
  <si>
    <t>KGN-25101818-BS1</t>
  </si>
  <si>
    <t>21/11/2025</t>
  </si>
  <si>
    <t>4 PK/ 134 KGM/ 0.396 CBM</t>
  </si>
  <si>
    <t>JS25111201</t>
  </si>
  <si>
    <t>JS25111401</t>
  </si>
  <si>
    <t>KGN-25111453</t>
  </si>
  <si>
    <t>KGN-25111454</t>
  </si>
  <si>
    <t>KGN-25102552-BS1</t>
  </si>
  <si>
    <t>KGN-25102361-BS1</t>
  </si>
  <si>
    <t>KGN-25102897-BS1</t>
  </si>
  <si>
    <t>50H05655
50H17748
50H54376
50H17748</t>
  </si>
  <si>
    <t>OHOC25110116</t>
  </si>
  <si>
    <t>CONT: TCNU2842976
SEAL: YMAU417579</t>
  </si>
  <si>
    <t>PHỤ THU LẤY XA - AN SƠN 300K</t>
  </si>
  <si>
    <t>TIIU6035539</t>
  </si>
  <si>
    <t>XL-SY251106-1</t>
  </si>
  <si>
    <t>20630</t>
  </si>
  <si>
    <t>XL-HC251106</t>
  </si>
  <si>
    <t>HPCU5038386</t>
  </si>
  <si>
    <t>CMAU0632922</t>
  </si>
  <si>
    <t>M0912374</t>
  </si>
  <si>
    <t>DH-20251004-1</t>
  </si>
  <si>
    <t>TCLU3968370</t>
  </si>
  <si>
    <t>M0912379</t>
  </si>
  <si>
    <t>DH-20251004-2</t>
  </si>
  <si>
    <t>VSKT251118</t>
  </si>
  <si>
    <t>KGN-25111683</t>
  </si>
  <si>
    <t>039FY13425</t>
  </si>
  <si>
    <t>22h 29/11/2025</t>
  </si>
  <si>
    <t>21/06/2025</t>
  </si>
  <si>
    <t>122500034128768</t>
  </si>
  <si>
    <t>BSUNG PHÍ CO FORM D</t>
  </si>
  <si>
    <t>KGN-25111696</t>
  </si>
  <si>
    <t>KGN-25111719</t>
  </si>
  <si>
    <t>50H17748
50H05655</t>
  </si>
  <si>
    <t>TCKU6862045</t>
  </si>
  <si>
    <t>02/11/2025</t>
  </si>
  <si>
    <r>
      <t xml:space="preserve">SI: </t>
    </r>
    <r>
      <rPr>
        <sz val="10"/>
        <color rgb="FFFF0000"/>
        <rFont val="Times New Roman"/>
        <family val="1"/>
      </rPr>
      <t>16H 20/11/2025</t>
    </r>
    <r>
      <rPr>
        <sz val="10"/>
        <rFont val="Times New Roman"/>
        <family val="1"/>
      </rPr>
      <t xml:space="preserve">
12H 21/11/2025</t>
    </r>
  </si>
  <si>
    <t>18:00 23/11/2025</t>
  </si>
  <si>
    <t>CONT: FFAU1255539
SEAL: YMAU417408</t>
  </si>
  <si>
    <t>VET251120</t>
  </si>
  <si>
    <t>CAIU2359373</t>
  </si>
  <si>
    <t>UETU6581310</t>
  </si>
  <si>
    <t>M0940978</t>
  </si>
  <si>
    <t>M1004931</t>
  </si>
  <si>
    <t>50H90050</t>
  </si>
  <si>
    <t>KGN-25111931</t>
  </si>
  <si>
    <t>KGN-25111932</t>
  </si>
  <si>
    <t>KGN-25111933</t>
  </si>
  <si>
    <t>KGN-25111934</t>
  </si>
  <si>
    <t>KGN-25111936</t>
  </si>
  <si>
    <t>KGN-25111937</t>
  </si>
  <si>
    <t>KGN-25111938</t>
  </si>
  <si>
    <t>KGN-25102339
KGN-25102339-BS1</t>
  </si>
  <si>
    <t>VTNW251120</t>
  </si>
  <si>
    <t>DH-20251004-3</t>
  </si>
  <si>
    <t>DH-20251004-5</t>
  </si>
  <si>
    <t>51C94707</t>
  </si>
  <si>
    <t>17:00 29/11/2025</t>
  </si>
  <si>
    <t>SGN/OSA/3722834</t>
  </si>
  <si>
    <t>SGN2951824</t>
  </si>
  <si>
    <t>UETU5451544</t>
  </si>
  <si>
    <t>JS25111001</t>
  </si>
  <si>
    <t>ITCSHB023586</t>
  </si>
  <si>
    <t>TWCU2231021</t>
  </si>
  <si>
    <t>CMAU3023241</t>
  </si>
  <si>
    <t>DH-20251004-4</t>
  </si>
  <si>
    <t>KGN-25112216</t>
  </si>
  <si>
    <t>04/12/2025</t>
  </si>
  <si>
    <t>KÉO CONT VỀ</t>
  </si>
  <si>
    <t>YMJAI490570509</t>
  </si>
  <si>
    <t>HỦY TK 200K MP
CHI HỦY 4TR
2 LẦN CƯỚC VC
3TR TẠM THU</t>
  </si>
  <si>
    <t>297</t>
  </si>
  <si>
    <t xml:space="preserve">50H35760 
50H54155 </t>
  </si>
  <si>
    <t>50H86961</t>
  </si>
  <si>
    <t>ETA: 26/11/2025</t>
  </si>
  <si>
    <t>CÔNG TY TNHH NỘI THẤT BLUELAKE VIỆT NAM</t>
  </si>
  <si>
    <t>MST: 0315856193</t>
  </si>
  <si>
    <t>DC: Số 20 đường số 13, KDC Hiệp Thành 3, Phường Phú Lợi, Thành phố Hồ Chí Minh, Việt Nam</t>
  </si>
  <si>
    <t>KHO ĐÓNG HÀNG</t>
  </si>
  <si>
    <t>YMJAE490401151</t>
  </si>
  <si>
    <t>YMJAE490401152</t>
  </si>
  <si>
    <r>
      <rPr>
        <sz val="12"/>
        <color rgb="FFFF0000"/>
        <rFont val="Times New Roman"/>
        <family val="1"/>
      </rPr>
      <t>SI: 09h 25/11/25</t>
    </r>
    <r>
      <rPr>
        <sz val="12"/>
        <rFont val="Times New Roman"/>
        <family val="1"/>
      </rPr>
      <t xml:space="preserve">
CY: 01h 26/11/25</t>
    </r>
  </si>
  <si>
    <t>SGNFBP629400</t>
  </si>
  <si>
    <t>CY: 19H 04/12/2025</t>
  </si>
  <si>
    <t>Số inv</t>
  </si>
  <si>
    <t>DH-20250922-1</t>
  </si>
  <si>
    <t>STHCM2511215</t>
  </si>
  <si>
    <t>IAAU2931877</t>
  </si>
  <si>
    <t>13 RO/ 350 KGM/2 CBM</t>
  </si>
  <si>
    <t>10H 26/11/2025</t>
  </si>
  <si>
    <t>DH-20250829&amp;1021</t>
  </si>
  <si>
    <t>DH-20250922-2</t>
  </si>
  <si>
    <t>VTNW251124</t>
  </si>
  <si>
    <t>KGN-25112396</t>
  </si>
  <si>
    <t>KGN-25112397</t>
  </si>
  <si>
    <t>KGN-25112398</t>
  </si>
  <si>
    <t>05/12/2025</t>
  </si>
  <si>
    <t>CONT: YMMU6834667</t>
  </si>
  <si>
    <t>VTSS251125</t>
  </si>
  <si>
    <t>EBKG14761088</t>
  </si>
  <si>
    <t>26/11/2025</t>
  </si>
  <si>
    <t>25/11/2025</t>
  </si>
  <si>
    <t>CONT 1: TCNU6683189
CONT 2: YMMU6809540</t>
  </si>
  <si>
    <t>50H17748
51c23619</t>
  </si>
  <si>
    <t>OHOC25110268</t>
  </si>
  <si>
    <t>AXEU6026339</t>
  </si>
  <si>
    <t>92</t>
  </si>
  <si>
    <t>OHOC25110269</t>
  </si>
  <si>
    <t>JS25112101</t>
  </si>
  <si>
    <t>JS25111801</t>
  </si>
  <si>
    <t>27/11/2025</t>
  </si>
  <si>
    <t>28/11/2025</t>
  </si>
  <si>
    <t>CULVNA2546237</t>
  </si>
  <si>
    <t>30/11/2025</t>
  </si>
  <si>
    <t>12H 29/11/2025</t>
  </si>
  <si>
    <t>300 PHÍ THANH TOÁN CHẬM</t>
  </si>
  <si>
    <r>
      <t>THÁNG 12/2025 (</t>
    </r>
    <r>
      <rPr>
        <b/>
        <sz val="10"/>
        <color rgb="FFFF0000"/>
        <rFont val="Times New Roman"/>
        <family val="1"/>
      </rPr>
      <t>SERVICE DAY TỪ NGÀY 01/12</t>
    </r>
    <r>
      <rPr>
        <b/>
        <sz val="10"/>
        <rFont val="Times New Roman"/>
        <family val="1"/>
      </rPr>
      <t>)</t>
    </r>
  </si>
  <si>
    <t>TGBU4252670</t>
  </si>
  <si>
    <t>FX40391758</t>
  </si>
  <si>
    <t>KS-G202504</t>
  </si>
  <si>
    <t>KGN-25112566</t>
  </si>
  <si>
    <t>KGN-25112568</t>
  </si>
  <si>
    <t>KGN-25112570</t>
  </si>
  <si>
    <t>SHASGN25N63982</t>
  </si>
  <si>
    <t>JS25111701</t>
  </si>
  <si>
    <t>EGLV142503386149</t>
  </si>
  <si>
    <t>THÁNG 12/2025</t>
  </si>
  <si>
    <t>FYCU7152060</t>
  </si>
  <si>
    <t>WHLT202280</t>
  </si>
  <si>
    <t>DH-20231124-1</t>
  </si>
  <si>
    <t>DH-20231124-2</t>
  </si>
  <si>
    <t>DH-20231124-3</t>
  </si>
  <si>
    <t>WHLU0672520</t>
  </si>
  <si>
    <t>WHLW831961</t>
  </si>
  <si>
    <t>FCIU6220553</t>
  </si>
  <si>
    <t>WHLT202274</t>
  </si>
  <si>
    <t>3</t>
  </si>
  <si>
    <t>SGNFBL413500</t>
  </si>
  <si>
    <t xml:space="preserve">SI,VGM: 10H 28/11/2025 
CY:19H 29/11/2025 </t>
  </si>
  <si>
    <t xml:space="preserve">SI,VGM: 10H 29/11/2025 
CY: 15H 03/12/2025 </t>
  </si>
  <si>
    <t xml:space="preserve">SI,VGM: 11H 29/11/2025  
CY: 23PM 02/12/2025  </t>
  </si>
  <si>
    <t>02/12/2025</t>
  </si>
  <si>
    <t>PSSHA25B448</t>
  </si>
  <si>
    <t>JS25112401</t>
  </si>
  <si>
    <t>LY-LHY37-25</t>
  </si>
  <si>
    <t>KGN-25112713</t>
  </si>
  <si>
    <t>KGN-25112717</t>
  </si>
  <si>
    <t>ICD TÂY NAM</t>
  </si>
  <si>
    <t>01/12/2025</t>
  </si>
  <si>
    <t>KGN-25112776</t>
  </si>
  <si>
    <t>KGN-25112777</t>
  </si>
  <si>
    <t>PHÍ HUN TRÙNG</t>
  </si>
  <si>
    <t>VIỆT CHÂU</t>
  </si>
  <si>
    <t>NOVA STONE</t>
  </si>
  <si>
    <t>PHÍ VẬN CHUYỂN</t>
  </si>
  <si>
    <t>PHÍ THỦ TỤC HẢI QUAN</t>
  </si>
  <si>
    <t>CONT: NYKU3702340</t>
  </si>
  <si>
    <t>CONT 45: CAIU5818711</t>
  </si>
  <si>
    <t>GOSUXIA8526287</t>
  </si>
  <si>
    <t>TRHU2711537</t>
  </si>
  <si>
    <t>29/11/2025</t>
  </si>
  <si>
    <t>KGN-25112874</t>
  </si>
  <si>
    <t>DELA TEKSTIL</t>
  </si>
  <si>
    <t>SPITC</t>
  </si>
  <si>
    <t>51C76393
51C76393</t>
  </si>
  <si>
    <t>VTNW251128</t>
  </si>
  <si>
    <t>235</t>
  </si>
  <si>
    <t>93</t>
  </si>
  <si>
    <r>
      <t xml:space="preserve">THÁNG 12/2025 </t>
    </r>
    <r>
      <rPr>
        <b/>
        <sz val="10"/>
        <color rgb="FFFF0000"/>
        <rFont val="Times New Roman"/>
        <family val="1"/>
      </rPr>
      <t>(SERVICE DAY TỪ NGÀY 23/11/25)</t>
    </r>
  </si>
  <si>
    <t>D251125041
TKX: 307995491810</t>
  </si>
  <si>
    <r>
      <t>107751287010</t>
    </r>
    <r>
      <rPr>
        <b/>
        <sz val="10"/>
        <color rgb="FF0070C0"/>
        <rFont val="Times New Roman"/>
        <family val="1"/>
      </rPr>
      <t>/E31</t>
    </r>
  </si>
  <si>
    <t>ECMU8095592</t>
  </si>
  <si>
    <t>BEAU4602050</t>
  </si>
  <si>
    <t>TLLU4816600</t>
  </si>
  <si>
    <t>C/O, KHÔNG HUN TRÙNG</t>
  </si>
  <si>
    <t>HUN TRÙNG</t>
  </si>
  <si>
    <t>ZIMUHCM80593008</t>
  </si>
  <si>
    <t>04:00 02/12/2025</t>
  </si>
  <si>
    <t>KGN-25112908</t>
  </si>
  <si>
    <t>61 CT/ 2183 KGM/ 6.09 CBM</t>
  </si>
  <si>
    <t>KGN-25112909</t>
  </si>
  <si>
    <t>308008581660
308008760640</t>
  </si>
  <si>
    <t>IAAU2809750
IAAU2836930</t>
  </si>
  <si>
    <t>KGN-25112914</t>
  </si>
  <si>
    <t>51C78256</t>
  </si>
  <si>
    <t xml:space="preserve">50E45352 </t>
  </si>
  <si>
    <t>SGNFBN060500</t>
  </si>
  <si>
    <t>SGNFBB277500</t>
  </si>
  <si>
    <t xml:space="preserve"> ICD PHUOC LONG 3</t>
  </si>
  <si>
    <t xml:space="preserve">SHASGN25N64359 </t>
  </si>
  <si>
    <t>KGN-25112873</t>
  </si>
  <si>
    <t>CONT: YMMU6189033
SEAL: YMAU984998</t>
  </si>
  <si>
    <t xml:space="preserve">PSSHA25B460 </t>
  </si>
  <si>
    <t>03/12/2025</t>
  </si>
  <si>
    <t>TCNU4418720</t>
  </si>
  <si>
    <t>CONT: SEGU6179510
SEAL: YMAU984991</t>
  </si>
  <si>
    <t>VET251021</t>
  </si>
  <si>
    <t>CẤN TRỪ PHÍ DET 798,729</t>
  </si>
  <si>
    <t>BY20251021</t>
  </si>
  <si>
    <t>A4251361845</t>
  </si>
  <si>
    <t>KJ060705P</t>
  </si>
  <si>
    <t>SNBU8337661</t>
  </si>
  <si>
    <t>TGBU6885087</t>
  </si>
  <si>
    <t>TRHU6052675</t>
  </si>
  <si>
    <t>U25111811</t>
  </si>
  <si>
    <t>JS25112402</t>
  </si>
  <si>
    <t>YMJAI490570511</t>
  </si>
  <si>
    <t>51C22751</t>
  </si>
  <si>
    <t>VSKT251201</t>
  </si>
  <si>
    <t>VET251201</t>
  </si>
  <si>
    <t>12:00 03/12/2025</t>
  </si>
  <si>
    <t xml:space="preserve">1H 04/12/2025 </t>
  </si>
  <si>
    <t>TCLU2959327</t>
  </si>
  <si>
    <t>NYKU9832910</t>
  </si>
  <si>
    <t>CÙNG HĐ NÂNG VỚI LÔ I490570511</t>
  </si>
  <si>
    <t>CÙNG HĐ NÂNG VỚI LÔ I490570509</t>
  </si>
  <si>
    <t>5 CT/ 114 KGM/0.337 CBM</t>
  </si>
  <si>
    <t>KGN-25120202</t>
  </si>
  <si>
    <t>XL-HD251123</t>
  </si>
  <si>
    <t>135,416</t>
  </si>
  <si>
    <t>CƯỢC CONT 10TR - SOTRANS CƯỢC</t>
  </si>
  <si>
    <t xml:space="preserve">15H 03/12/2025  </t>
  </si>
  <si>
    <t>VTNW251202</t>
  </si>
  <si>
    <t>VTNW251202-1</t>
  </si>
  <si>
    <t>51C78481</t>
  </si>
  <si>
    <t>EGLV143553196384</t>
  </si>
  <si>
    <t>EITU9477488</t>
  </si>
  <si>
    <t>YMJAI490571701</t>
  </si>
  <si>
    <r>
      <t>107748970600</t>
    </r>
    <r>
      <rPr>
        <b/>
        <sz val="10"/>
        <color rgb="FF0070C0"/>
        <rFont val="Times New Roman"/>
        <family val="1"/>
      </rPr>
      <t>/E31</t>
    </r>
  </si>
  <si>
    <r>
      <t>107756781530</t>
    </r>
    <r>
      <rPr>
        <b/>
        <sz val="10"/>
        <color rgb="FF0070C0"/>
        <rFont val="Times New Roman"/>
        <family val="1"/>
      </rPr>
      <t>/E31</t>
    </r>
  </si>
  <si>
    <t>LẤY CONT CẢNG BÌNH DƯƠNG</t>
  </si>
  <si>
    <t>KGN-25120307</t>
  </si>
  <si>
    <t>KGN-25120308</t>
  </si>
  <si>
    <t>KGN-25120309</t>
  </si>
  <si>
    <t>KGN-25110451-BS1</t>
  </si>
  <si>
    <t>KGN-25110452-BS1</t>
  </si>
  <si>
    <t>51C76528</t>
  </si>
  <si>
    <t>A59FX19878</t>
  </si>
  <si>
    <t>CẤN TRỪ 300K PHÍ TK THÊM</t>
  </si>
  <si>
    <t>15C31889</t>
  </si>
  <si>
    <t>YMJAI490571702</t>
  </si>
  <si>
    <t>JS25112403</t>
  </si>
  <si>
    <t>KGN-25120415</t>
  </si>
  <si>
    <t>KGN-25120416</t>
  </si>
  <si>
    <t>KGN-25120417</t>
  </si>
  <si>
    <t>BMOU1080065
CAIU3489411
FTAU1657108
SEGU1900243
SEGU3540911</t>
  </si>
  <si>
    <t>04-05/12/2025</t>
  </si>
  <si>
    <t>KGN-25120418</t>
  </si>
  <si>
    <t>KGN-25120419</t>
  </si>
  <si>
    <t>KGN-25120420</t>
  </si>
  <si>
    <t>STHCM2512007</t>
  </si>
  <si>
    <t>STHCM2512008</t>
  </si>
  <si>
    <t>NƠI LẤY/TRẢ RỖNG</t>
  </si>
  <si>
    <t>NƠI LẤY/HẠ RỖNG</t>
  </si>
  <si>
    <t>NƠI LẤY RỖNG</t>
  </si>
  <si>
    <t>NƠI TRẢ RỖNG</t>
  </si>
  <si>
    <t>KGN-25120421</t>
  </si>
  <si>
    <t>KGN-25120422</t>
  </si>
  <si>
    <t>KGN-25120423</t>
  </si>
  <si>
    <t>NAM KHÁNH DEPOT</t>
  </si>
  <si>
    <t>KGN-25120426</t>
  </si>
  <si>
    <t>D251201016
TKX: 308016101800</t>
  </si>
  <si>
    <t>TC HIỆP LỰC</t>
  </si>
  <si>
    <t>PSSHA25C016</t>
  </si>
  <si>
    <t>IAAU2947507</t>
  </si>
  <si>
    <t>17H 06/12/2025</t>
  </si>
  <si>
    <t>51C75987</t>
  </si>
  <si>
    <t>KGN-25120457</t>
  </si>
  <si>
    <t>50E15635
50H60701
50H16615
51D10031
50H91877</t>
  </si>
  <si>
    <t>08/12/2025</t>
  </si>
  <si>
    <t>4 CT/ 91 KGM/ 0.367 CBM</t>
  </si>
  <si>
    <t>SGN2959117</t>
  </si>
  <si>
    <t>SI,VGM:11H59 10/12/2025 
CY: 02H 11/12/2025 
INV: V250328</t>
  </si>
  <si>
    <r>
      <t xml:space="preserve">50H45693
</t>
    </r>
    <r>
      <rPr>
        <sz val="10"/>
        <color rgb="FFFF0000"/>
        <rFont val="Times New Roman"/>
        <family val="1"/>
      </rPr>
      <t>BẢO LONG</t>
    </r>
  </si>
  <si>
    <r>
      <t xml:space="preserve">50H45291
</t>
    </r>
    <r>
      <rPr>
        <sz val="10"/>
        <color rgb="FFFF0000"/>
        <rFont val="Times New Roman"/>
        <family val="1"/>
      </rPr>
      <t>BẢO LONG</t>
    </r>
  </si>
  <si>
    <t>50H45692
BẢO LONG</t>
  </si>
  <si>
    <t>50H45693
BẢO LONG</t>
  </si>
  <si>
    <t>EBKG15054648</t>
  </si>
  <si>
    <t>SI: 8H 08/12/2025
CY: 00:00 10/12/2025</t>
  </si>
  <si>
    <r>
      <rPr>
        <sz val="10"/>
        <rFont val="Times New Roman"/>
        <family val="1"/>
      </rPr>
      <t xml:space="preserve">CMAU8984133
CMAU3300921
</t>
    </r>
    <r>
      <rPr>
        <sz val="10"/>
        <color rgb="FFFF0000"/>
        <rFont val="Times New Roman"/>
        <family val="1"/>
      </rPr>
      <t>CMAU6324193</t>
    </r>
    <r>
      <rPr>
        <sz val="10"/>
        <rFont val="Times New Roman"/>
        <family val="1"/>
      </rPr>
      <t xml:space="preserve">
TCLU4887606
</t>
    </r>
    <r>
      <rPr>
        <sz val="10"/>
        <color rgb="FFFF0000"/>
        <rFont val="Times New Roman"/>
        <family val="1"/>
      </rPr>
      <t>TCLU8906047</t>
    </r>
    <r>
      <rPr>
        <sz val="10"/>
        <rFont val="Times New Roman"/>
        <family val="1"/>
      </rPr>
      <t xml:space="preserve">
CMAU6751678
TRHU7147986
CMAU3308820</t>
    </r>
  </si>
  <si>
    <r>
      <t xml:space="preserve">51D62774
51C78164
</t>
    </r>
    <r>
      <rPr>
        <sz val="10"/>
        <color rgb="FFFF0000"/>
        <rFont val="Times New Roman"/>
        <family val="1"/>
      </rPr>
      <t>51C76522</t>
    </r>
    <r>
      <rPr>
        <sz val="10"/>
        <rFont val="Times New Roman"/>
        <family val="1"/>
      </rPr>
      <t xml:space="preserve">
51C78570
</t>
    </r>
    <r>
      <rPr>
        <sz val="10"/>
        <color rgb="FFFF0000"/>
        <rFont val="Times New Roman"/>
        <family val="1"/>
      </rPr>
      <t>51C76528</t>
    </r>
    <r>
      <rPr>
        <sz val="10"/>
        <rFont val="Times New Roman"/>
        <family val="1"/>
      </rPr>
      <t xml:space="preserve">
51C76105
51C78256
51C76508</t>
    </r>
  </si>
  <si>
    <t>06/12/2025</t>
  </si>
  <si>
    <t>COAU7264124616</t>
  </si>
  <si>
    <t>XL-NV251126</t>
  </si>
  <si>
    <t>13/12/2025</t>
  </si>
  <si>
    <t>18690.5</t>
  </si>
  <si>
    <t>BSIU2877465</t>
  </si>
  <si>
    <t>HÀNG MÁY MÓC CŨ
NEO XE 6 CONT 1 NGÀY - 2 CONT 2 NGÀY
GIÁM ĐỊNH DQSD + ĐỒNG BỘ</t>
  </si>
  <si>
    <r>
      <t>107778560740</t>
    </r>
    <r>
      <rPr>
        <b/>
        <sz val="10"/>
        <color rgb="FF0070C0"/>
        <rFont val="Times New Roman"/>
        <family val="1"/>
      </rPr>
      <t>/E31</t>
    </r>
  </si>
  <si>
    <t>HÀNG NỘI ĐỊA</t>
  </si>
  <si>
    <t>NỘI ĐỊA CHỈ TÍNH PHÍ VC</t>
  </si>
  <si>
    <t>KGN-25120848</t>
  </si>
  <si>
    <t>TGBU3170454</t>
  </si>
  <si>
    <t>U25111911</t>
  </si>
  <si>
    <t>VTNW251205</t>
  </si>
  <si>
    <t xml:space="preserve"> VTSS251205</t>
  </si>
  <si>
    <t>00005023
TKX: 308015663710</t>
  </si>
  <si>
    <t>MSOU2524401</t>
  </si>
  <si>
    <t>Suoi Tien Long Thanh My Depot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</si>
  <si>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(EVERSET)</t>
    </r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</si>
  <si>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(JI SUNG)</t>
    </r>
  </si>
  <si>
    <t>SI: 9H 11/10/2025
CY: 0H 12/12/2025
Hạ: 0H 10/12/2025</t>
  </si>
  <si>
    <t>11/12/2025</t>
  </si>
  <si>
    <t>10-11/12/2025</t>
  </si>
  <si>
    <t>JS25120201</t>
  </si>
  <si>
    <t>KGN-25121016</t>
  </si>
  <si>
    <t>KGN-25121018</t>
  </si>
  <si>
    <t>TIIU4582244
TIIU5768845</t>
  </si>
  <si>
    <t>10/12/2025</t>
  </si>
  <si>
    <t>09/12/2025</t>
  </si>
  <si>
    <t>LY-LHY32/35-25</t>
  </si>
  <si>
    <t>WD2524SSGT451</t>
  </si>
  <si>
    <t>17/12/2025</t>
  </si>
  <si>
    <t>ZIMUHCM80596065</t>
  </si>
  <si>
    <t>VTNW251209</t>
  </si>
  <si>
    <t>CONT: YMMU6963957
SEAL: YMAU419152</t>
  </si>
  <si>
    <t>CY: 0H 14/12/2025</t>
  </si>
  <si>
    <t>SITGTCSGH02792</t>
  </si>
  <si>
    <t>BEAU6443404
FFAU1653830</t>
  </si>
  <si>
    <t>GWI-VNVS-251201</t>
  </si>
  <si>
    <t>UETU5880370</t>
  </si>
  <si>
    <t>SITGTCSGH02791</t>
  </si>
  <si>
    <t>GSI-VNVS-251201</t>
  </si>
  <si>
    <r>
      <t xml:space="preserve">GUOWANG HIGH-TECH FIBER(SUQIAN)
</t>
    </r>
    <r>
      <rPr>
        <b/>
        <sz val="8"/>
        <color rgb="FFFF0000"/>
        <rFont val="Times New Roman"/>
        <family val="1"/>
      </rPr>
      <t>(TCBPG: 12.39%)</t>
    </r>
  </si>
  <si>
    <t>STHCM2512106</t>
  </si>
  <si>
    <t>VET251210-KD
VET251210-SXXK</t>
  </si>
  <si>
    <t>50H28544
50H29647</t>
  </si>
  <si>
    <r>
      <t>308041542820</t>
    </r>
    <r>
      <rPr>
        <b/>
        <sz val="10"/>
        <color rgb="FF0070C0"/>
        <rFont val="Times New Roman"/>
        <family val="1"/>
      </rPr>
      <t>/B11</t>
    </r>
    <r>
      <rPr>
        <b/>
        <sz val="10"/>
        <color rgb="FFFF0000"/>
        <rFont val="Times New Roman"/>
        <family val="1"/>
      </rPr>
      <t xml:space="preserve">
308041558812</t>
    </r>
    <r>
      <rPr>
        <b/>
        <sz val="10"/>
        <color rgb="FF0070C0"/>
        <rFont val="Times New Roman"/>
        <family val="1"/>
      </rPr>
      <t>/E62</t>
    </r>
  </si>
  <si>
    <t>CONT: TCNU3919630
SEAL: YMAU419183</t>
  </si>
  <si>
    <t>BMOU2702456</t>
  </si>
  <si>
    <t>A4251353120</t>
  </si>
  <si>
    <t>DH-20231124-4</t>
  </si>
  <si>
    <t>TRHU3604467</t>
  </si>
  <si>
    <t>A4251353119</t>
  </si>
  <si>
    <t>DH-20231124-5</t>
  </si>
  <si>
    <t>15/12/2025</t>
  </si>
  <si>
    <t>Cảng bình dương</t>
  </si>
  <si>
    <t>STHCM2512116</t>
  </si>
  <si>
    <t>VTJS251211</t>
  </si>
  <si>
    <t>SI: 10H 11/12/2025
CY: 01H 13/12/2025</t>
  </si>
  <si>
    <t>14/12/2025</t>
  </si>
  <si>
    <t>OHOC25120082</t>
  </si>
  <si>
    <t>JS25120401</t>
  </si>
  <si>
    <t>A12</t>
  </si>
  <si>
    <t>50E39534</t>
  </si>
  <si>
    <t>HCM-SBK-25121038</t>
  </si>
  <si>
    <t>CÁT LÁI KHO 1</t>
  </si>
  <si>
    <t>51D64603</t>
  </si>
  <si>
    <t>VTNW251212</t>
  </si>
  <si>
    <t>83 CT/ 2,235.9 KGM/ 8.304 CBM</t>
  </si>
  <si>
    <t>PSSHA25C070</t>
  </si>
  <si>
    <t>3 CT/ 85 KGM/0.259 CBM</t>
  </si>
  <si>
    <t>JS25121102</t>
  </si>
  <si>
    <t>48 CT/ 1610.88 KGM/ 4.57 CBM</t>
  </si>
  <si>
    <t>OOLU0169446</t>
  </si>
  <si>
    <t>31299522</t>
  </si>
  <si>
    <t>SOLOG THỦ ĐỨC</t>
  </si>
  <si>
    <t>DH-20250926-1</t>
  </si>
  <si>
    <t>TEMU4816765</t>
  </si>
  <si>
    <t>DH-20250926-2</t>
  </si>
  <si>
    <t>DH-20250926-3</t>
  </si>
  <si>
    <t>DH-20250926-4</t>
  </si>
  <si>
    <t>DH-20250926-5</t>
  </si>
  <si>
    <t>UETU2536740</t>
  </si>
  <si>
    <t>CSNU1745894</t>
  </si>
  <si>
    <t>CBHU6463690</t>
  </si>
  <si>
    <t>KGN-25121341</t>
  </si>
  <si>
    <t>KGN-25121342</t>
  </si>
  <si>
    <t>KGN-25121344</t>
  </si>
  <si>
    <t>KGN-25121345</t>
  </si>
  <si>
    <t>KGN-25121346</t>
  </si>
  <si>
    <t>KGN-25121347</t>
  </si>
  <si>
    <t>KGN-25121348</t>
  </si>
  <si>
    <t>KGN-25121349</t>
  </si>
  <si>
    <t>KGN-25121350</t>
  </si>
  <si>
    <t>KGN-25121351</t>
  </si>
  <si>
    <t>KGN-25121352</t>
  </si>
  <si>
    <t>KGN-25121353</t>
  </si>
  <si>
    <t>KGN-25121354</t>
  </si>
  <si>
    <t>A59FX19733</t>
  </si>
  <si>
    <t>18/12/2025
T5</t>
  </si>
  <si>
    <t>CHECK LẠI TG HẠ EPORT</t>
  </si>
  <si>
    <t>SITSGNGW469982</t>
  </si>
  <si>
    <t>18H 21/12/2025</t>
  </si>
  <si>
    <t>13H59 23/12/2025
HẠ: 20/12/2025</t>
  </si>
  <si>
    <t>16/12/2025</t>
  </si>
  <si>
    <t>CÔNG TY TNHH VIỆT STAR SPECIAL FIBER</t>
  </si>
  <si>
    <t>50E45352</t>
  </si>
  <si>
    <t>VTJS251212</t>
  </si>
  <si>
    <t>PSSHA25C060</t>
  </si>
  <si>
    <t>3 CT/ 58 KGM/ 0.215 CBM</t>
  </si>
  <si>
    <t>MEDUYM111223</t>
  </si>
  <si>
    <t>BMOU1613101
CAAU2124210
TEMU4403756
MSBU3060393
MSNU2135978
MSMU3244368</t>
  </si>
  <si>
    <t>XL-HD251210</t>
  </si>
  <si>
    <t>162171</t>
  </si>
  <si>
    <t>19/12/2025
T6</t>
  </si>
  <si>
    <t>BÁO XE LÊN ĐÓNG SỚM 6H 
KÉO VỀ BÃI CHỜ HẠ TRƯỚC 9H</t>
  </si>
  <si>
    <t>TC HIỆP PHƯỚC</t>
  </si>
  <si>
    <t>BSUNG DEBIT CƯỚC</t>
  </si>
  <si>
    <t>50H45291
BẢO LONG</t>
  </si>
  <si>
    <t>OHOC25120046</t>
  </si>
  <si>
    <t>47 CT/ 1,042 KGM/ 4 CBM</t>
  </si>
  <si>
    <t>CAT LAI KHO 3</t>
  </si>
  <si>
    <t>JIAXING SKYTIME</t>
  </si>
  <si>
    <t>KGN-25121570</t>
  </si>
  <si>
    <t>100</t>
  </si>
  <si>
    <t>VTNW251215</t>
  </si>
  <si>
    <t>50H25277</t>
  </si>
  <si>
    <t>JS25121001</t>
  </si>
  <si>
    <t>KHAI TK CÁT LÁI
ĐK SỞ XÂY DỰNG
Phí grab 260k
CHI CHUYỂN BÃI KIỂM NHANH 200K</t>
  </si>
  <si>
    <t>EBKG15211712</t>
  </si>
  <si>
    <t>YMJAI490573230</t>
  </si>
  <si>
    <t>22/12/2025
T2</t>
  </si>
  <si>
    <r>
      <t xml:space="preserve">YML LINE
</t>
    </r>
    <r>
      <rPr>
        <b/>
        <sz val="10"/>
        <rFont val="Times New Roman"/>
        <family val="1"/>
      </rPr>
      <t>HCM - KAOHSIUNG</t>
    </r>
    <r>
      <rPr>
        <b/>
        <sz val="10"/>
        <color rgb="FFFF0000"/>
        <rFont val="Times New Roman"/>
        <family val="1"/>
      </rPr>
      <t xml:space="preserve"> </t>
    </r>
  </si>
  <si>
    <t>18/12/2025</t>
  </si>
  <si>
    <t>BEAU2691001
SITU2565071</t>
  </si>
  <si>
    <t>SITC GIANG NAM</t>
  </si>
  <si>
    <t>22/12/2025</t>
  </si>
  <si>
    <t>SI: 16H 22/12/2025
CY: 10H 23/12/2025
Hạ: 0h 20/12/2025</t>
  </si>
  <si>
    <t>HÀNG LCL TRÊN 1T</t>
  </si>
  <si>
    <t>PHỤ THU HẠ TC HIỆP PHƯỚC</t>
  </si>
  <si>
    <t>PHỤ PHÍ KIỂM HÓA
TỜ KHAI THÊM</t>
  </si>
  <si>
    <r>
      <rPr>
        <b/>
        <sz val="10"/>
        <color rgb="FFFF0000"/>
        <rFont val="Times New Roman"/>
        <family val="1"/>
      </rPr>
      <t>SOTRANS</t>
    </r>
    <r>
      <rPr>
        <b/>
        <sz val="10"/>
        <rFont val="Times New Roman"/>
        <family val="1"/>
      </rPr>
      <t xml:space="preserve">
HCM - KAOHSIUNG</t>
    </r>
    <r>
      <rPr>
        <sz val="10"/>
        <color rgb="FFFF0000"/>
        <rFont val="Times New Roman"/>
        <family val="1"/>
      </rPr>
      <t xml:space="preserve"> </t>
    </r>
    <r>
      <rPr>
        <b/>
        <sz val="10"/>
        <color theme="5" tint="-0.249977111117893"/>
        <rFont val="Times New Roman"/>
        <family val="1"/>
      </rPr>
      <t>(JI SUNG)</t>
    </r>
  </si>
  <si>
    <t>STHCM2512160</t>
  </si>
  <si>
    <t>18/12/2025
19/12/2025</t>
  </si>
  <si>
    <t>20/12/2025</t>
  </si>
  <si>
    <r>
      <rPr>
        <b/>
        <sz val="10"/>
        <color rgb="FFFF0000"/>
        <rFont val="Times New Roman"/>
        <family val="1"/>
      </rPr>
      <t>CƯỢC MARINE 2TR</t>
    </r>
    <r>
      <rPr>
        <b/>
        <sz val="10"/>
        <rFont val="Times New Roman"/>
        <family val="1"/>
      </rPr>
      <t xml:space="preserve">
DEPOT ĐÃ THU PHÍ RỬA CONT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</si>
</sst>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#########"/>
    <numFmt numFmtId="165" formatCode="dd/mm/yyyy"/>
    <numFmt numFmtId="166" formatCode="###,###,###,##0.0#####"/>
    <numFmt numFmtId="167" formatCode="_(* #,##0_);_(* \(#,##0\);_(* &quot;-&quot;??_);_(@_)"/>
    <numFmt numFmtId="168" formatCode="###,###,###,##0.######"/>
    <numFmt numFmtId="169" formatCode="dd\/mm\/yyyy"/>
    <numFmt numFmtId="170" formatCode="dd/mm/yyyy;@"/>
    <numFmt numFmtId="171" formatCode="_-* #,##0\ _₫_-;\-* #,##0\ _₫_-;_-* &quot;-&quot;??\ _₫_-;_-@_-"/>
    <numFmt numFmtId="172" formatCode="0;[Red]0"/>
    <numFmt numFmtId="173" formatCode="0.0"/>
    <numFmt numFmtId="174" formatCode="dd/mm/yy;@"/>
    <numFmt numFmtId="175" formatCode="0_);[Red]\(0\)"/>
    <numFmt numFmtId="176" formatCode="00000"/>
    <numFmt numFmtId="177" formatCode="yyyy\-mm\-dd;@"/>
    <numFmt numFmtId="178" formatCode="_-* #,##0.00_-;\-* #,##0.00_-;_-* &quot;-&quot;??_-;_-@_-"/>
    <numFmt numFmtId="179" formatCode="d/m/yyyy;@"/>
    <numFmt numFmtId="180" formatCode="dd\.mm\.yyyy;@"/>
    <numFmt numFmtId="181" formatCode="d/mm/yyyy;@"/>
    <numFmt numFmtId="182" formatCode="_(* #,##0.0_);_(* \(#,##0.0\);_(* &quot;-&quot;??_);_(@_)"/>
    <numFmt numFmtId="183" formatCode="_-&quot;$&quot;* #,##0.00_-;\-&quot;$&quot;* #,##0.00_-;_-&quot;$&quot;* &quot;-&quot;??_-;_-@_-"/>
    <numFmt numFmtId="184" formatCode="_ * #,##0.00_ ;_ * \-#,##0.00_ ;_ * &quot;-&quot;??_ ;_ @_ "/>
    <numFmt numFmtId="185" formatCode="[$-409]d/mmm;@"/>
    <numFmt numFmtId="186" formatCode="_(* #,##0.000_);_(* \(#,##0.000\);_(* &quot;-&quot;??_);_(@_)"/>
    <numFmt numFmtId="187" formatCode="d/m/yy;@"/>
    <numFmt numFmtId="188" formatCode="_(&quot;$&quot;* #,##0_);_(&quot;$&quot;* \(#,##0\);_(&quot;$&quot;* &quot;-&quot;??_);_(@_)"/>
    <numFmt numFmtId="189" formatCode="_-* #,##0.00\ _₫_-;\-* #,##0.00\ _₫_-;_-* &quot;-&quot;??\ _₫_-;_-@_-"/>
    <numFmt numFmtId="190" formatCode="###0;[Red]###0"/>
    <numFmt numFmtId="191" formatCode="[$-1010000]d/m/yy;@"/>
    <numFmt numFmtId="192" formatCode="0.0000"/>
    <numFmt numFmtId="193" formatCode="#,##0.0"/>
  </numFmts>
  <fonts count="2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0"/>
      <color rgb="FF212529"/>
      <name val="Roboto"/>
    </font>
    <font>
      <b/>
      <sz val="10"/>
      <color rgb="FF212529"/>
      <name val="Roboto"/>
    </font>
    <font>
      <b/>
      <sz val="10"/>
      <color rgb="FF000000"/>
      <name val="Times New Roman"/>
      <family val="1"/>
    </font>
    <font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1"/>
      <name val="Times New Roman"/>
      <family val="1"/>
    </font>
    <font>
      <b/>
      <sz val="10"/>
      <color theme="8" tint="-0.499984740745262"/>
      <name val="Times New Roman"/>
      <family val="1"/>
    </font>
    <font>
      <b/>
      <sz val="10"/>
      <color indexed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b/>
      <sz val="14"/>
      <color indexed="12"/>
      <name val="Times New Roman"/>
      <family val="1"/>
    </font>
    <font>
      <b/>
      <sz val="12"/>
      <color rgb="FF0070C0"/>
      <name val="Times New Roman"/>
      <family val="1"/>
    </font>
    <font>
      <sz val="12"/>
      <color theme="1" tint="4.9989318521683403E-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theme="1" tint="4.9989318521683403E-2"/>
      <name val="Times New Roman"/>
      <family val="1"/>
    </font>
    <font>
      <b/>
      <sz val="11"/>
      <color indexed="12"/>
      <name val="Times New Roman"/>
      <family val="1"/>
    </font>
    <font>
      <sz val="11"/>
      <color rgb="FF000000"/>
      <name val="Arial"/>
      <family val="2"/>
    </font>
    <font>
      <b/>
      <sz val="14"/>
      <color rgb="FF0000FF"/>
      <name val="Times New Roman"/>
      <family val="1"/>
    </font>
    <font>
      <b/>
      <sz val="12"/>
      <color rgb="FF0000FF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ArialUnicodeMS"/>
    </font>
    <font>
      <sz val="11"/>
      <color rgb="FF333333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sz val="12"/>
      <name val="新細明體"/>
      <charset val="134"/>
    </font>
    <font>
      <sz val="11"/>
      <color indexed="10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新細明體"/>
      <charset val="134"/>
    </font>
    <font>
      <sz val="11"/>
      <color indexed="9"/>
      <name val="Times New Roman"/>
      <family val="1"/>
    </font>
    <font>
      <sz val="12"/>
      <color indexed="9"/>
      <name val="新細明體"/>
      <charset val="134"/>
    </font>
    <font>
      <sz val="11"/>
      <color indexed="20"/>
      <name val="Times New Roman"/>
      <family val="1"/>
    </font>
    <font>
      <b/>
      <sz val="11"/>
      <color indexed="52"/>
      <name val="Times New Roman"/>
      <family val="1"/>
    </font>
    <font>
      <b/>
      <sz val="11"/>
      <color indexed="9"/>
      <name val="Times New Roman"/>
      <family val="1"/>
    </font>
    <font>
      <i/>
      <sz val="11"/>
      <color indexed="23"/>
      <name val="Times New Roman"/>
      <family val="1"/>
    </font>
    <font>
      <sz val="11"/>
      <color indexed="17"/>
      <name val="Times New Roman"/>
      <family val="1"/>
    </font>
    <font>
      <b/>
      <sz val="15"/>
      <color indexed="56"/>
      <name val="Times New Roman"/>
      <family val="1"/>
    </font>
    <font>
      <b/>
      <sz val="13"/>
      <color indexed="56"/>
      <name val="Times New Roman"/>
      <family val="1"/>
    </font>
    <font>
      <b/>
      <sz val="11"/>
      <color indexed="56"/>
      <name val="Times New Roman"/>
      <family val="1"/>
    </font>
    <font>
      <sz val="11"/>
      <color indexed="62"/>
      <name val="Times New Roman"/>
      <family val="1"/>
    </font>
    <font>
      <sz val="11"/>
      <color indexed="52"/>
      <name val="Times New Roman"/>
      <family val="1"/>
    </font>
    <font>
      <sz val="11"/>
      <color indexed="60"/>
      <name val="Times New Roman"/>
      <family val="1"/>
    </font>
    <font>
      <sz val="12"/>
      <name val="新細明體"/>
      <charset val="136"/>
    </font>
    <font>
      <sz val="10"/>
      <name val="微軟正黑體"/>
      <charset val="136"/>
    </font>
    <font>
      <b/>
      <sz val="11"/>
      <color indexed="63"/>
      <name val="Times New Roman"/>
      <family val="1"/>
    </font>
    <font>
      <b/>
      <sz val="18"/>
      <color indexed="56"/>
      <name val="Cambria"/>
      <family val="1"/>
    </font>
    <font>
      <sz val="12"/>
      <color theme="1"/>
      <name val="Calibri"/>
      <family val="2"/>
      <scheme val="minor"/>
    </font>
    <font>
      <sz val="12"/>
      <color indexed="20"/>
      <name val="新細明體"/>
      <charset val="134"/>
    </font>
    <font>
      <sz val="12"/>
      <color indexed="20"/>
      <name val="新細明體"/>
      <charset val="136"/>
    </font>
    <font>
      <sz val="12"/>
      <color indexed="20"/>
      <name val="Calibri"/>
      <family val="2"/>
    </font>
    <font>
      <sz val="12"/>
      <color indexed="17"/>
      <name val="新細明體"/>
      <charset val="134"/>
    </font>
    <font>
      <sz val="12"/>
      <color indexed="17"/>
      <name val="新細明體"/>
      <charset val="136"/>
    </font>
    <font>
      <sz val="12"/>
      <color indexed="17"/>
      <name val="Calibri"/>
      <family val="2"/>
    </font>
    <font>
      <b/>
      <sz val="15"/>
      <color indexed="56"/>
      <name val="新細明體"/>
      <charset val="134"/>
    </font>
    <font>
      <b/>
      <sz val="15"/>
      <color indexed="56"/>
      <name val="新細明體"/>
      <charset val="136"/>
    </font>
    <font>
      <b/>
      <sz val="15"/>
      <color indexed="56"/>
      <name val="Calibri"/>
      <family val="2"/>
    </font>
    <font>
      <b/>
      <sz val="18"/>
      <color indexed="56"/>
      <name val="新細明體"/>
      <charset val="134"/>
    </font>
    <font>
      <b/>
      <sz val="18"/>
      <color indexed="56"/>
      <name val="新細明體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ourier New"/>
      <family val="3"/>
    </font>
    <font>
      <sz val="10"/>
      <color indexed="8"/>
      <name val="Arial"/>
      <family val="2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9"/>
      <color rgb="FF000000"/>
      <name val="Times-New-Roman"/>
    </font>
    <font>
      <sz val="9"/>
      <color rgb="FF000000"/>
      <name val="Times-New-Roman-Bold"/>
    </font>
    <font>
      <sz val="11"/>
      <color theme="1"/>
      <name val="Calibri"/>
      <family val="2"/>
      <scheme val="minor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sz val="12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sz val="11"/>
      <color indexed="60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2"/>
      <color indexed="9"/>
      <name val="新細明體"/>
      <charset val="134"/>
    </font>
    <font>
      <b/>
      <sz val="12"/>
      <color indexed="8"/>
      <name val="新細明體"/>
      <charset val="134"/>
    </font>
    <font>
      <sz val="10"/>
      <name val="MS Sans Serif"/>
      <charset val="134"/>
    </font>
    <font>
      <sz val="12"/>
      <color indexed="62"/>
      <name val="新細明體"/>
      <charset val="134"/>
    </font>
    <font>
      <b/>
      <sz val="12"/>
      <color indexed="63"/>
      <name val="新細明體"/>
      <charset val="134"/>
    </font>
    <font>
      <sz val="11"/>
      <color indexed="8"/>
      <name val="Tahoma"/>
      <family val="2"/>
    </font>
    <font>
      <i/>
      <sz val="12"/>
      <color indexed="23"/>
      <name val="新細明體"/>
      <charset val="134"/>
    </font>
    <font>
      <sz val="12"/>
      <color indexed="60"/>
      <name val="新細明體"/>
      <charset val="134"/>
    </font>
    <font>
      <b/>
      <sz val="12"/>
      <color indexed="52"/>
      <name val="新細明體"/>
      <charset val="134"/>
    </font>
    <font>
      <b/>
      <sz val="13"/>
      <color indexed="56"/>
      <name val="新細明體"/>
      <charset val="134"/>
    </font>
    <font>
      <b/>
      <sz val="11"/>
      <color indexed="56"/>
      <name val="新細明體"/>
      <charset val="134"/>
    </font>
    <font>
      <sz val="12"/>
      <color indexed="10"/>
      <name val="新細明體"/>
      <charset val="134"/>
    </font>
    <font>
      <sz val="12"/>
      <color indexed="52"/>
      <name val="新細明體"/>
      <charset val="134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D0D0D"/>
      <name val="Times New Roman"/>
      <family val="1"/>
    </font>
    <font>
      <sz val="10"/>
      <color rgb="FF000000"/>
      <name val="TimesNewRomanBold"/>
    </font>
    <font>
      <sz val="10"/>
      <color rgb="FFFF0000"/>
      <name val="TimesNewRomanBold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新細明體"/>
      <family val="1"/>
    </font>
    <font>
      <sz val="12"/>
      <color indexed="8"/>
      <name val="新細明體"/>
      <family val="1"/>
    </font>
    <font>
      <sz val="12"/>
      <color indexed="9"/>
      <name val="新細明體"/>
      <family val="1"/>
    </font>
    <font>
      <sz val="12"/>
      <color indexed="17"/>
      <name val="新細明體"/>
      <family val="1"/>
    </font>
    <font>
      <b/>
      <sz val="18"/>
      <color indexed="56"/>
      <name val="新細明體"/>
      <family val="1"/>
    </font>
    <font>
      <sz val="12"/>
      <color indexed="20"/>
      <name val="新細明體"/>
      <family val="1"/>
    </font>
    <font>
      <b/>
      <sz val="15"/>
      <color indexed="56"/>
      <name val="新細明體"/>
      <family val="1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i/>
      <sz val="12"/>
      <color rgb="FF7F7F7F"/>
      <name val="新細明體"/>
      <family val="1"/>
    </font>
    <font>
      <sz val="10"/>
      <name val="Arial"/>
      <family val="2"/>
    </font>
    <font>
      <sz val="16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rgb="FF0000FF"/>
      <name val="Times New Roman"/>
      <family val="1"/>
    </font>
    <font>
      <sz val="10"/>
      <name val="Courier New"/>
      <family val="3"/>
    </font>
    <font>
      <sz val="11"/>
      <color theme="1"/>
      <name val="Calibri"/>
      <family val="2"/>
      <charset val="163"/>
      <scheme val="minor"/>
    </font>
    <font>
      <sz val="10"/>
      <name val=".VnArial"/>
      <family val="2"/>
    </font>
    <font>
      <sz val="11"/>
      <name val="돋움체"/>
      <family val="3"/>
      <charset val="129"/>
    </font>
    <font>
      <sz val="9"/>
      <name val="宋体"/>
    </font>
    <font>
      <sz val="11"/>
      <color rgb="FF000000"/>
      <name val="Calibri"/>
      <family val="2"/>
      <scheme val="minor"/>
    </font>
    <font>
      <sz val="12"/>
      <name val="VNI-Times"/>
    </font>
    <font>
      <sz val="10"/>
      <name val="宋体"/>
      <charset val="134"/>
    </font>
    <font>
      <sz val="8"/>
      <name val="Courier New"/>
      <family val="3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宋体"/>
      <family val="3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</font>
    <font>
      <sz val="10"/>
      <name val="Arial"/>
      <family val="2"/>
    </font>
    <font>
      <b/>
      <sz val="11"/>
      <name val="等线"/>
      <family val="4"/>
      <charset val="134"/>
    </font>
    <font>
      <b/>
      <sz val="9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b/>
      <sz val="10"/>
      <name val="等线"/>
      <family val="4"/>
      <charset val="134"/>
    </font>
    <font>
      <b/>
      <sz val="10"/>
      <name val="等线"/>
      <charset val="134"/>
    </font>
    <font>
      <sz val="8"/>
      <name val="Courier New"/>
      <family val="3"/>
    </font>
    <font>
      <sz val="11"/>
      <color theme="1"/>
      <name val="Calibri"/>
      <family val="2"/>
      <scheme val="minor"/>
    </font>
    <font>
      <sz val="12"/>
      <color indexed="12"/>
      <name val="Times New Roman"/>
      <family val="1"/>
    </font>
    <font>
      <sz val="10"/>
      <color indexed="8"/>
      <name val="Arial"/>
      <family val="2"/>
    </font>
    <font>
      <sz val="8"/>
      <name val="Courier New"/>
      <family val="3"/>
    </font>
    <font>
      <b/>
      <sz val="9"/>
      <color rgb="FFFF0000"/>
      <name val="Times New Roman"/>
      <family val="1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name val="Courier New"/>
      <family val="3"/>
    </font>
    <font>
      <sz val="10"/>
      <color indexed="8"/>
      <name val="Arial"/>
      <family val="2"/>
    </font>
    <font>
      <b/>
      <sz val="8"/>
      <color rgb="FFFF0000"/>
      <name val="Courier New"/>
      <family val="3"/>
    </font>
    <font>
      <sz val="10"/>
      <name val="Arial"/>
      <family val="2"/>
    </font>
    <font>
      <sz val="12"/>
      <name val="宋体"/>
      <charset val="136"/>
    </font>
    <font>
      <u/>
      <sz val="12"/>
      <color indexed="12"/>
      <name val="宋体"/>
      <charset val="136"/>
    </font>
    <font>
      <b/>
      <sz val="10"/>
      <color theme="5" tint="-0.249977111117893"/>
      <name val="Times New Roman"/>
      <family val="1"/>
    </font>
    <font>
      <b/>
      <sz val="10"/>
      <color theme="5" tint="0.39997558519241921"/>
      <name val="Times New Roman"/>
      <family val="1"/>
    </font>
    <font>
      <sz val="8"/>
      <name val="Courier New"/>
      <family val="3"/>
    </font>
    <font>
      <b/>
      <sz val="10"/>
      <color theme="7" tint="0.59999389629810485"/>
      <name val="Times New Roman"/>
      <family val="1"/>
    </font>
    <font>
      <b/>
      <sz val="10"/>
      <color theme="5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2"/>
      <name val="Courier New"/>
      <family val="3"/>
    </font>
    <font>
      <b/>
      <sz val="10"/>
      <color rgb="FF0070C0"/>
      <name val="Times New Roman"/>
      <family val="1"/>
    </font>
    <font>
      <b/>
      <sz val="8"/>
      <name val="Courier New"/>
      <family val="3"/>
    </font>
  </fonts>
  <fills count="8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4F5F8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6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rgb="FF92D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38788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0"/>
    <xf numFmtId="0" fontId="50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55" fillId="0" borderId="0"/>
    <xf numFmtId="0" fontId="57" fillId="0" borderId="0"/>
    <xf numFmtId="178" fontId="57" fillId="0" borderId="0" applyFont="0" applyFill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9" fillId="24" borderId="0" applyNumberFormat="0" applyBorder="0" applyAlignment="0" applyProtection="0"/>
    <xf numFmtId="0" fontId="59" fillId="25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25" borderId="0" applyNumberFormat="0" applyBorder="0" applyAlignment="0" applyProtection="0"/>
    <xf numFmtId="0" fontId="59" fillId="30" borderId="0" applyNumberFormat="0" applyBorder="0" applyAlignment="0" applyProtection="0"/>
    <xf numFmtId="0" fontId="59" fillId="33" borderId="0" applyNumberFormat="0" applyBorder="0" applyAlignment="0" applyProtection="0"/>
    <xf numFmtId="0" fontId="60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/>
    <xf numFmtId="0" fontId="61" fillId="31" borderId="0" applyNumberFormat="0" applyBorder="0" applyAlignment="0" applyProtection="0"/>
    <xf numFmtId="0" fontId="61" fillId="32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2" fillId="40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45" borderId="0" applyNumberFormat="0" applyBorder="0" applyAlignment="0" applyProtection="0"/>
    <xf numFmtId="0" fontId="63" fillId="23" borderId="0" applyNumberFormat="0" applyBorder="0" applyAlignment="0" applyProtection="0"/>
    <xf numFmtId="0" fontId="64" fillId="46" borderId="44" applyNumberFormat="0" applyAlignment="0" applyProtection="0"/>
    <xf numFmtId="0" fontId="65" fillId="47" borderId="45" applyNumberFormat="0" applyAlignment="0" applyProtection="0"/>
    <xf numFmtId="0" fontId="66" fillId="0" borderId="0" applyNumberFormat="0" applyFill="0" applyBorder="0" applyAlignment="0" applyProtection="0"/>
    <xf numFmtId="0" fontId="67" fillId="24" borderId="0" applyNumberFormat="0" applyBorder="0" applyAlignment="0" applyProtection="0"/>
    <xf numFmtId="0" fontId="68" fillId="0" borderId="46" applyNumberFormat="0" applyFill="0" applyAlignment="0" applyProtection="0"/>
    <xf numFmtId="0" fontId="69" fillId="0" borderId="47" applyNumberFormat="0" applyFill="0" applyAlignment="0" applyProtection="0"/>
    <xf numFmtId="0" fontId="70" fillId="0" borderId="48" applyNumberFormat="0" applyFill="0" applyAlignment="0" applyProtection="0"/>
    <xf numFmtId="0" fontId="70" fillId="0" borderId="0" applyNumberFormat="0" applyFill="0" applyBorder="0" applyAlignment="0" applyProtection="0"/>
    <xf numFmtId="0" fontId="71" fillId="27" borderId="44" applyNumberFormat="0" applyAlignment="0" applyProtection="0"/>
    <xf numFmtId="0" fontId="72" fillId="0" borderId="49" applyNumberFormat="0" applyFill="0" applyAlignment="0" applyProtection="0"/>
    <xf numFmtId="0" fontId="73" fillId="48" borderId="0" applyNumberFormat="0" applyBorder="0" applyAlignment="0" applyProtection="0"/>
    <xf numFmtId="0" fontId="1" fillId="0" borderId="0"/>
    <xf numFmtId="0" fontId="74" fillId="0" borderId="0"/>
    <xf numFmtId="0" fontId="75" fillId="0" borderId="0"/>
    <xf numFmtId="0" fontId="1" fillId="0" borderId="0"/>
    <xf numFmtId="0" fontId="74" fillId="0" borderId="0"/>
    <xf numFmtId="0" fontId="7" fillId="0" borderId="0"/>
    <xf numFmtId="0" fontId="75" fillId="49" borderId="50" applyNumberFormat="0" applyAlignment="0" applyProtection="0"/>
    <xf numFmtId="0" fontId="76" fillId="46" borderId="51" applyNumberFormat="0" applyAlignment="0" applyProtection="0"/>
    <xf numFmtId="0" fontId="77" fillId="0" borderId="0" applyNumberFormat="0" applyFill="0" applyBorder="0" applyAlignment="0" applyProtection="0"/>
    <xf numFmtId="0" fontId="52" fillId="0" borderId="52" applyNumberFormat="0" applyFill="0" applyAlignment="0" applyProtection="0"/>
    <xf numFmtId="0" fontId="58" fillId="0" borderId="0" applyNumberFormat="0" applyFill="0" applyBorder="0" applyAlignment="0" applyProtection="0"/>
    <xf numFmtId="0" fontId="7" fillId="0" borderId="0"/>
    <xf numFmtId="0" fontId="1" fillId="0" borderId="0"/>
    <xf numFmtId="0" fontId="78" fillId="0" borderId="0">
      <alignment vertical="center"/>
    </xf>
    <xf numFmtId="0" fontId="78" fillId="0" borderId="0">
      <alignment vertical="center"/>
    </xf>
    <xf numFmtId="0" fontId="57" fillId="50" borderId="50" applyNumberFormat="0" applyFont="0" applyAlignment="0" applyProtection="0">
      <alignment vertical="center"/>
    </xf>
    <xf numFmtId="0" fontId="57" fillId="50" borderId="50" applyNumberFormat="0" applyFont="0" applyAlignment="0" applyProtection="0">
      <alignment vertical="center"/>
    </xf>
    <xf numFmtId="0" fontId="74" fillId="50" borderId="50" applyNumberFormat="0" applyFont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>
      <alignment vertical="center"/>
    </xf>
    <xf numFmtId="178" fontId="57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>
      <alignment vertical="center"/>
    </xf>
    <xf numFmtId="178" fontId="74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57" fillId="0" borderId="0" applyFont="0" applyFill="0" applyBorder="0" applyAlignment="0" applyProtection="0"/>
    <xf numFmtId="178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81" fillId="29" borderId="0" applyNumberFormat="0" applyBorder="0" applyAlignment="0" applyProtection="0"/>
    <xf numFmtId="0" fontId="79" fillId="23" borderId="0" applyNumberFormat="0" applyBorder="0" applyAlignment="0" applyProtection="0"/>
    <xf numFmtId="0" fontId="80" fillId="23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2" fillId="24" borderId="0" applyNumberFormat="0" applyBorder="0" applyAlignment="0" applyProtection="0"/>
    <xf numFmtId="0" fontId="83" fillId="24" borderId="0" applyNumberFormat="0" applyBorder="0" applyAlignment="0" applyProtection="0"/>
    <xf numFmtId="0" fontId="85" fillId="0" borderId="46" applyNumberFormat="0" applyFill="0" applyAlignment="0" applyProtection="0">
      <alignment vertical="center"/>
    </xf>
    <xf numFmtId="0" fontId="85" fillId="0" borderId="46" applyNumberFormat="0" applyFill="0" applyAlignment="0" applyProtection="0"/>
    <xf numFmtId="0" fontId="86" fillId="0" borderId="46" applyNumberFormat="0" applyFill="0" applyAlignment="0" applyProtection="0"/>
    <xf numFmtId="0" fontId="85" fillId="0" borderId="46" applyNumberFormat="0" applyFill="0" applyAlignment="0" applyProtection="0"/>
    <xf numFmtId="0" fontId="86" fillId="0" borderId="46" applyNumberFormat="0" applyFill="0" applyAlignment="0" applyProtection="0"/>
    <xf numFmtId="0" fontId="87" fillId="0" borderId="46" applyNumberFormat="0" applyFill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/>
    <xf numFmtId="0" fontId="91" fillId="0" borderId="0"/>
    <xf numFmtId="178" fontId="91" fillId="0" borderId="0" applyFont="0" applyFill="0" applyBorder="0" applyAlignment="0" applyProtection="0"/>
    <xf numFmtId="0" fontId="92" fillId="0" borderId="0"/>
    <xf numFmtId="0" fontId="93" fillId="0" borderId="0"/>
    <xf numFmtId="0" fontId="95" fillId="0" borderId="0"/>
    <xf numFmtId="0" fontId="96" fillId="0" borderId="0">
      <alignment vertical="center"/>
    </xf>
    <xf numFmtId="0" fontId="96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00" fillId="0" borderId="0"/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 applyNumberFormat="0" applyFont="0" applyFill="0" applyBorder="0" applyAlignment="0">
      <alignment horizontal="center"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4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62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43" fontId="108" fillId="0" borderId="0" applyFon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20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21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43" fontId="122" fillId="0" borderId="0"/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43" fontId="7" fillId="0" borderId="0"/>
    <xf numFmtId="0" fontId="101" fillId="55" borderId="0" applyNumberFormat="0" applyBorder="0" applyAlignment="0" applyProtection="0">
      <alignment vertical="center"/>
    </xf>
    <xf numFmtId="43" fontId="122" fillId="0" borderId="0"/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0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25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25" fillId="0" borderId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8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25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5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1" fillId="3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1" fillId="35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43" fontId="108" fillId="0" borderId="0" applyFon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23" fillId="58" borderId="44" applyNumberFormat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5" fillId="6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43" fontId="122" fillId="0" borderId="0" applyFont="0" applyFill="0" applyBorder="0" applyAlignment="0" applyProtection="0"/>
    <xf numFmtId="0" fontId="57" fillId="0" borderId="0">
      <alignment vertical="center"/>
    </xf>
    <xf numFmtId="0" fontId="103" fillId="53" borderId="45" applyNumberFormat="0" applyAlignment="0" applyProtection="0">
      <alignment vertical="center"/>
    </xf>
    <xf numFmtId="0" fontId="127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79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82" fillId="51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14" fillId="0" borderId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25" fillId="0" borderId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57" fillId="0" borderId="0">
      <alignment vertical="center"/>
    </xf>
    <xf numFmtId="0" fontId="108" fillId="0" borderId="0">
      <alignment vertical="center"/>
    </xf>
    <xf numFmtId="0" fontId="1" fillId="0" borderId="0"/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8" fillId="0" borderId="0">
      <alignment vertical="center"/>
    </xf>
    <xf numFmtId="0" fontId="114" fillId="0" borderId="0">
      <alignment vertical="center"/>
    </xf>
    <xf numFmtId="0" fontId="57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2" fillId="0" borderId="52" applyNumberFormat="0" applyFill="0" applyAlignment="0" applyProtection="0">
      <alignment vertical="center"/>
    </xf>
    <xf numFmtId="0" fontId="114" fillId="0" borderId="0">
      <alignment vertical="center"/>
    </xf>
    <xf numFmtId="0" fontId="112" fillId="0" borderId="52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54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05" fillId="6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02" fillId="0" borderId="48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8" fillId="50" borderId="50" applyNumberFormat="0" applyFon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7" fillId="0" borderId="46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3" fillId="53" borderId="45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5" fillId="56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8" fillId="0" borderId="49" applyNumberFormat="0" applyFill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09" fillId="57" borderId="51" applyNumberFormat="0" applyAlignment="0" applyProtection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1" fillId="0" borderId="47" applyNumberFormat="0" applyFill="0" applyAlignment="0" applyProtection="0">
      <alignment vertical="center"/>
    </xf>
    <xf numFmtId="0" fontId="7" fillId="0" borderId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6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59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62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63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5" fillId="56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7" fillId="0" borderId="4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1" fillId="0" borderId="47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29" fillId="0" borderId="47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30" fillId="0" borderId="4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103" fillId="53" borderId="4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12" fillId="0" borderId="52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08" fillId="50" borderId="50" applyNumberFormat="0" applyFon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28" fillId="57" borderId="44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0" fontId="113" fillId="57" borderId="44" applyNumberFormat="0" applyAlignment="0" applyProtection="0">
      <alignment vertical="center"/>
    </xf>
    <xf numFmtId="183" fontId="108" fillId="0" borderId="0" applyFont="0" applyFill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59" borderId="0" applyNumberFormat="0" applyBorder="0" applyAlignment="0" applyProtection="0">
      <alignment vertical="center"/>
    </xf>
    <xf numFmtId="0" fontId="62" fillId="62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2" fillId="63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124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10" fillId="58" borderId="44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09" fillId="57" borderId="51" applyNumberFormat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15" fillId="60" borderId="0" applyNumberFormat="0" applyBorder="0" applyAlignment="0" applyProtection="0">
      <alignment vertical="center"/>
    </xf>
    <xf numFmtId="0" fontId="132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18" fillId="0" borderId="49" applyNumberFormat="0" applyFill="0" applyAlignment="0" applyProtection="0">
      <alignment vertical="center"/>
    </xf>
    <xf numFmtId="0" fontId="133" fillId="0" borderId="0" applyNumberFormat="0" applyFont="0" applyFill="0" applyBorder="0" applyAlignment="0" applyProtection="0"/>
    <xf numFmtId="178" fontId="1" fillId="0" borderId="0" applyFont="0" applyFill="0" applyBorder="0" applyAlignment="0" applyProtection="0"/>
    <xf numFmtId="185" fontId="1" fillId="0" borderId="0"/>
    <xf numFmtId="184" fontId="1" fillId="0" borderId="0" applyFont="0" applyFill="0" applyBorder="0" applyAlignment="0" applyProtection="0">
      <alignment vertical="center"/>
    </xf>
    <xf numFmtId="185" fontId="57" fillId="0" borderId="0"/>
    <xf numFmtId="178" fontId="7" fillId="0" borderId="0"/>
    <xf numFmtId="185" fontId="1" fillId="0" borderId="0"/>
    <xf numFmtId="178" fontId="7" fillId="0" borderId="0"/>
    <xf numFmtId="0" fontId="139" fillId="0" borderId="0"/>
    <xf numFmtId="0" fontId="140" fillId="0" borderId="0"/>
    <xf numFmtId="0" fontId="141" fillId="0" borderId="0"/>
    <xf numFmtId="0" fontId="142" fillId="0" borderId="0" applyNumberFormat="0" applyFont="0" applyFill="0" applyBorder="0" applyAlignment="0" applyProtection="0"/>
    <xf numFmtId="0" fontId="144" fillId="0" borderId="0"/>
    <xf numFmtId="178" fontId="7" fillId="0" borderId="0" applyFont="0" applyFill="0" applyBorder="0" applyAlignment="0" applyProtection="0"/>
    <xf numFmtId="0" fontId="145" fillId="0" borderId="0"/>
    <xf numFmtId="0" fontId="146" fillId="0" borderId="0"/>
    <xf numFmtId="0" fontId="153" fillId="0" borderId="46" applyNumberFormat="0" applyFill="0" applyAlignment="0" applyProtection="0"/>
    <xf numFmtId="0" fontId="64" fillId="46" borderId="62" applyNumberFormat="0" applyAlignment="0" applyProtection="0"/>
    <xf numFmtId="0" fontId="156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71" fillId="27" borderId="62" applyNumberFormat="0" applyAlignment="0" applyProtection="0"/>
    <xf numFmtId="0" fontId="157" fillId="0" borderId="46" applyNumberFormat="0" applyFill="0" applyAlignment="0" applyProtection="0"/>
    <xf numFmtId="0" fontId="157" fillId="0" borderId="46" applyNumberFormat="0" applyFill="0" applyAlignment="0" applyProtection="0"/>
    <xf numFmtId="0" fontId="153" fillId="0" borderId="46" applyNumberFormat="0" applyFill="0" applyAlignment="0" applyProtection="0"/>
    <xf numFmtId="0" fontId="153" fillId="0" borderId="46" applyNumberFormat="0" applyFill="0" applyAlignment="0" applyProtection="0">
      <alignment vertical="center"/>
    </xf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84" fillId="68" borderId="0" applyNumberFormat="0" applyBorder="0" applyAlignment="0" applyProtection="0"/>
    <xf numFmtId="0" fontId="75" fillId="49" borderId="63" applyNumberFormat="0" applyAlignment="0" applyProtection="0"/>
    <xf numFmtId="0" fontId="76" fillId="46" borderId="64" applyNumberFormat="0" applyAlignment="0" applyProtection="0"/>
    <xf numFmtId="0" fontId="84" fillId="68" borderId="0" applyNumberFormat="0" applyBorder="0" applyAlignment="0" applyProtection="0"/>
    <xf numFmtId="0" fontId="52" fillId="0" borderId="65" applyNumberFormat="0" applyFill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57" fillId="50" borderId="63" applyNumberFormat="0" applyFont="0" applyAlignment="0" applyProtection="0">
      <alignment vertical="center"/>
    </xf>
    <xf numFmtId="0" fontId="57" fillId="50" borderId="63" applyNumberFormat="0" applyFont="0" applyAlignment="0" applyProtection="0">
      <alignment vertical="center"/>
    </xf>
    <xf numFmtId="0" fontId="74" fillId="50" borderId="63" applyNumberFormat="0" applyFont="0" applyAlignment="0" applyProtection="0">
      <alignment vertical="center"/>
    </xf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84" fillId="68" borderId="0" applyNumberFormat="0" applyBorder="0" applyAlignment="0" applyProtection="0"/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155" fillId="24" borderId="0" applyNumberFormat="0" applyBorder="0" applyAlignment="0" applyProtection="0"/>
    <xf numFmtId="0" fontId="150" fillId="24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81" fillId="67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0" fontId="154" fillId="23" borderId="0" applyNumberFormat="0" applyBorder="0" applyAlignment="0" applyProtection="0"/>
    <xf numFmtId="0" fontId="152" fillId="23" borderId="0" applyNumberFormat="0" applyBorder="0" applyAlignment="0" applyProtection="0"/>
    <xf numFmtId="178" fontId="91" fillId="0" borderId="0" applyFont="0" applyFill="0" applyBorder="0" applyAlignment="0" applyProtection="0"/>
    <xf numFmtId="178" fontId="147" fillId="0" borderId="0" applyFont="0" applyFill="0" applyBorder="0" applyAlignment="0" applyProtection="0"/>
    <xf numFmtId="178" fontId="147" fillId="0" borderId="0" applyFont="0" applyFill="0" applyBorder="0" applyAlignment="0" applyProtection="0"/>
    <xf numFmtId="178" fontId="9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9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0" fontId="91" fillId="66" borderId="63" applyNumberFormat="0" applyFont="0" applyAlignment="0" applyProtection="0">
      <alignment vertical="center"/>
    </xf>
    <xf numFmtId="0" fontId="147" fillId="50" borderId="63" applyNumberFormat="0" applyFont="0" applyAlignment="0" applyProtection="0">
      <alignment vertical="center"/>
    </xf>
    <xf numFmtId="0" fontId="147" fillId="50" borderId="63" applyNumberFormat="0" applyFont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178" fontId="147" fillId="0" borderId="0" applyFont="0" applyFill="0" applyBorder="0" applyAlignment="0" applyProtection="0"/>
    <xf numFmtId="0" fontId="149" fillId="41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48" fillId="35" borderId="0" applyNumberFormat="0" applyBorder="0" applyAlignment="0" applyProtection="0">
      <alignment vertical="center"/>
    </xf>
    <xf numFmtId="0" fontId="148" fillId="34" borderId="0" applyNumberFormat="0" applyBorder="0" applyAlignment="0" applyProtection="0">
      <alignment vertical="center"/>
    </xf>
    <xf numFmtId="0" fontId="148" fillId="29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7" fillId="0" borderId="0"/>
    <xf numFmtId="0" fontId="84" fillId="68" borderId="0" applyNumberFormat="0" applyBorder="0" applyAlignment="0" applyProtection="0"/>
    <xf numFmtId="0" fontId="159" fillId="0" borderId="0"/>
    <xf numFmtId="0" fontId="161" fillId="0" borderId="0"/>
    <xf numFmtId="0" fontId="162" fillId="0" borderId="0"/>
    <xf numFmtId="0" fontId="163" fillId="0" borderId="0"/>
    <xf numFmtId="0" fontId="167" fillId="0" borderId="0"/>
    <xf numFmtId="0" fontId="91" fillId="0" borderId="0"/>
    <xf numFmtId="0" fontId="168" fillId="0" borderId="0"/>
    <xf numFmtId="0" fontId="169" fillId="0" borderId="0" applyFont="0" applyAlignment="0">
      <alignment vertical="center"/>
    </xf>
    <xf numFmtId="0" fontId="91" fillId="0" borderId="0"/>
    <xf numFmtId="9" fontId="91" fillId="0" borderId="0" applyFont="0" applyFill="0" applyBorder="0" applyAlignment="0" applyProtection="0"/>
    <xf numFmtId="178" fontId="91" fillId="0" borderId="0" applyFont="0" applyFill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0" fontId="166" fillId="0" borderId="0"/>
    <xf numFmtId="0" fontId="7" fillId="0" borderId="0"/>
    <xf numFmtId="189" fontId="166" fillId="0" borderId="0" applyFont="0" applyFill="0" applyBorder="0" applyAlignment="0" applyProtection="0"/>
    <xf numFmtId="0" fontId="170" fillId="0" borderId="0"/>
    <xf numFmtId="0" fontId="7" fillId="0" borderId="0"/>
    <xf numFmtId="43" fontId="7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71" fillId="0" borderId="0"/>
    <xf numFmtId="43" fontId="7" fillId="0" borderId="0" applyFont="0" applyFill="0" applyBorder="0" applyAlignment="0" applyProtection="0"/>
    <xf numFmtId="0" fontId="172" fillId="0" borderId="0"/>
    <xf numFmtId="44" fontId="1" fillId="0" borderId="0" applyFont="0" applyFill="0" applyBorder="0" applyAlignment="0" applyProtection="0"/>
    <xf numFmtId="0" fontId="174" fillId="0" borderId="0" applyNumberFormat="0" applyFont="0" applyFill="0" applyBorder="0" applyAlignment="0" applyProtection="0"/>
    <xf numFmtId="0" fontId="175" fillId="0" borderId="0"/>
    <xf numFmtId="0" fontId="176" fillId="0" borderId="0"/>
    <xf numFmtId="0" fontId="17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5" fontId="17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0" borderId="0">
      <alignment vertical="center"/>
    </xf>
    <xf numFmtId="43" fontId="1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1" fillId="0" borderId="0" applyNumberFormat="0" applyFill="0" applyBorder="0" applyAlignment="0" applyProtection="0">
      <alignment vertical="center"/>
    </xf>
    <xf numFmtId="0" fontId="179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0" fillId="0" borderId="0">
      <alignment vertical="center"/>
    </xf>
    <xf numFmtId="0" fontId="182" fillId="0" borderId="0">
      <alignment vertical="center"/>
    </xf>
    <xf numFmtId="184" fontId="182" fillId="0" borderId="0" applyFont="0" applyFill="0" applyBorder="0" applyAlignment="0" applyProtection="0">
      <alignment vertical="center"/>
    </xf>
    <xf numFmtId="191" fontId="1" fillId="0" borderId="0"/>
    <xf numFmtId="191" fontId="5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78" fillId="0" borderId="0">
      <alignment vertical="center"/>
    </xf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185" fontId="1" fillId="0" borderId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6" fillId="0" borderId="0"/>
    <xf numFmtId="0" fontId="183" fillId="0" borderId="0"/>
    <xf numFmtId="0" fontId="1" fillId="0" borderId="0">
      <alignment vertical="center"/>
    </xf>
    <xf numFmtId="0" fontId="184" fillId="0" borderId="0">
      <alignment vertical="center"/>
    </xf>
    <xf numFmtId="184" fontId="184" fillId="0" borderId="0" applyFont="0" applyFill="0" applyBorder="0" applyAlignment="0" applyProtection="0">
      <alignment vertical="center"/>
    </xf>
    <xf numFmtId="0" fontId="114" fillId="0" borderId="0"/>
    <xf numFmtId="0" fontId="184" fillId="0" borderId="0">
      <alignment vertical="center"/>
    </xf>
    <xf numFmtId="0" fontId="186" fillId="0" borderId="0">
      <alignment vertical="center"/>
    </xf>
    <xf numFmtId="0" fontId="186" fillId="0" borderId="0"/>
    <xf numFmtId="43" fontId="185" fillId="0" borderId="0" applyFont="0" applyFill="0" applyBorder="0" applyAlignment="0" applyProtection="0"/>
    <xf numFmtId="0" fontId="114" fillId="0" borderId="0">
      <alignment vertical="center"/>
    </xf>
    <xf numFmtId="0" fontId="187" fillId="0" borderId="0"/>
    <xf numFmtId="0" fontId="1" fillId="0" borderId="0">
      <alignment vertical="center"/>
    </xf>
    <xf numFmtId="0" fontId="1" fillId="0" borderId="0">
      <alignment vertical="center"/>
    </xf>
    <xf numFmtId="0" fontId="64" fillId="46" borderId="133" applyNumberFormat="0" applyAlignment="0" applyProtection="0"/>
    <xf numFmtId="0" fontId="71" fillId="27" borderId="133" applyNumberFormat="0" applyAlignment="0" applyProtection="0"/>
    <xf numFmtId="0" fontId="75" fillId="49" borderId="134" applyNumberFormat="0" applyAlignment="0" applyProtection="0"/>
    <xf numFmtId="0" fontId="76" fillId="46" borderId="135" applyNumberFormat="0" applyAlignment="0" applyProtection="0"/>
    <xf numFmtId="0" fontId="52" fillId="0" borderId="136" applyNumberFormat="0" applyFill="0" applyAlignment="0" applyProtection="0"/>
    <xf numFmtId="0" fontId="57" fillId="50" borderId="134" applyNumberFormat="0" applyFont="0" applyAlignment="0" applyProtection="0">
      <alignment vertical="center"/>
    </xf>
    <xf numFmtId="0" fontId="57" fillId="50" borderId="134" applyNumberFormat="0" applyFont="0" applyAlignment="0" applyProtection="0">
      <alignment vertical="center"/>
    </xf>
    <xf numFmtId="0" fontId="74" fillId="50" borderId="134" applyNumberFormat="0" applyFont="0" applyAlignment="0" applyProtection="0">
      <alignment vertical="center"/>
    </xf>
    <xf numFmtId="0" fontId="91" fillId="0" borderId="0"/>
    <xf numFmtId="0" fontId="190" fillId="0" borderId="0"/>
    <xf numFmtId="0" fontId="147" fillId="50" borderId="134" applyNumberFormat="0" applyFont="0" applyAlignment="0" applyProtection="0">
      <alignment vertical="center"/>
    </xf>
    <xf numFmtId="0" fontId="147" fillId="50" borderId="134" applyNumberFormat="0" applyFont="0" applyAlignment="0" applyProtection="0">
      <alignment vertical="center"/>
    </xf>
    <xf numFmtId="0" fontId="91" fillId="66" borderId="134" applyNumberFormat="0" applyFont="0" applyAlignment="0" applyProtection="0">
      <alignment vertical="center"/>
    </xf>
    <xf numFmtId="0" fontId="195" fillId="0" borderId="0">
      <alignment vertical="center"/>
    </xf>
    <xf numFmtId="0" fontId="197" fillId="0" borderId="0"/>
    <xf numFmtId="0" fontId="203" fillId="0" borderId="0"/>
    <xf numFmtId="0" fontId="205" fillId="0" borderId="0"/>
    <xf numFmtId="0" fontId="206" fillId="0" borderId="0"/>
    <xf numFmtId="184" fontId="206" fillId="0" borderId="0" applyFont="0" applyFill="0" applyBorder="0" applyAlignment="0" applyProtection="0"/>
    <xf numFmtId="0" fontId="207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Alignment="0" applyProtection="0">
      <alignment vertical="center"/>
    </xf>
  </cellStyleXfs>
  <cellXfs count="4175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/>
    <xf numFmtId="3" fontId="2" fillId="0" borderId="0" xfId="1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left"/>
    </xf>
    <xf numFmtId="3" fontId="8" fillId="0" borderId="0" xfId="0" applyNumberFormat="1" applyFont="1"/>
    <xf numFmtId="0" fontId="2" fillId="0" borderId="0" xfId="0" quotePrefix="1" applyFont="1" applyAlignment="1">
      <alignment horizontal="left"/>
    </xf>
    <xf numFmtId="49" fontId="2" fillId="0" borderId="0" xfId="2" quotePrefix="1" applyNumberFormat="1" applyFont="1"/>
    <xf numFmtId="165" fontId="2" fillId="0" borderId="0" xfId="2" applyNumberFormat="1" applyFont="1" applyAlignment="1">
      <alignment horizontal="left"/>
    </xf>
    <xf numFmtId="49" fontId="2" fillId="0" borderId="0" xfId="2" quotePrefix="1" applyNumberFormat="1" applyFont="1" applyAlignment="1">
      <alignment horizontal="center"/>
    </xf>
    <xf numFmtId="49" fontId="2" fillId="0" borderId="0" xfId="2" applyNumberFormat="1" applyFont="1"/>
    <xf numFmtId="168" fontId="2" fillId="0" borderId="0" xfId="2" applyNumberFormat="1" applyFont="1" applyAlignment="1">
      <alignment horizontal="center"/>
    </xf>
    <xf numFmtId="49" fontId="2" fillId="0" borderId="0" xfId="2" applyNumberFormat="1" applyFont="1" applyAlignment="1">
      <alignment horizontal="center"/>
    </xf>
    <xf numFmtId="165" fontId="2" fillId="0" borderId="0" xfId="2" applyNumberFormat="1" applyFont="1"/>
    <xf numFmtId="3" fontId="9" fillId="0" borderId="0" xfId="0" applyNumberFormat="1" applyFont="1"/>
    <xf numFmtId="164" fontId="2" fillId="0" borderId="0" xfId="6" quotePrefix="1" applyNumberFormat="1" applyFont="1"/>
    <xf numFmtId="4" fontId="2" fillId="0" borderId="0" xfId="0" applyNumberFormat="1" applyFont="1" applyAlignment="1">
      <alignment horizontal="left"/>
    </xf>
    <xf numFmtId="0" fontId="10" fillId="0" borderId="7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65" fontId="10" fillId="0" borderId="7" xfId="0" applyNumberFormat="1" applyFont="1" applyBorder="1" applyAlignment="1">
      <alignment horizontal="center"/>
    </xf>
    <xf numFmtId="166" fontId="10" fillId="0" borderId="7" xfId="0" applyNumberFormat="1" applyFont="1" applyBorder="1" applyAlignment="1">
      <alignment horizontal="center"/>
    </xf>
    <xf numFmtId="166" fontId="10" fillId="4" borderId="7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6" fontId="3" fillId="0" borderId="7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165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166" fontId="3" fillId="0" borderId="7" xfId="0" applyNumberFormat="1" applyFont="1" applyBorder="1" applyAlignment="1">
      <alignment horizontal="right"/>
    </xf>
    <xf numFmtId="0" fontId="3" fillId="0" borderId="7" xfId="0" applyFont="1" applyBorder="1" applyAlignment="1">
      <alignment horizontal="left"/>
    </xf>
    <xf numFmtId="165" fontId="2" fillId="0" borderId="7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165" fontId="2" fillId="0" borderId="11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0" fontId="3" fillId="0" borderId="11" xfId="0" applyFont="1" applyBorder="1" applyAlignment="1">
      <alignment horizontal="left"/>
    </xf>
    <xf numFmtId="165" fontId="2" fillId="0" borderId="11" xfId="0" applyNumberFormat="1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2" fillId="0" borderId="3" xfId="2" quotePrefix="1" applyNumberFormat="1" applyFont="1" applyBorder="1"/>
    <xf numFmtId="166" fontId="2" fillId="0" borderId="3" xfId="0" applyNumberFormat="1" applyFont="1" applyBorder="1" applyAlignment="1">
      <alignment horizontal="right"/>
    </xf>
    <xf numFmtId="168" fontId="2" fillId="0" borderId="3" xfId="2" applyNumberFormat="1" applyFont="1" applyBorder="1" applyAlignment="1">
      <alignment horizontal="center"/>
    </xf>
    <xf numFmtId="49" fontId="2" fillId="0" borderId="2" xfId="2" quotePrefix="1" applyNumberFormat="1" applyFont="1" applyBorder="1"/>
    <xf numFmtId="165" fontId="2" fillId="0" borderId="3" xfId="0" applyNumberFormat="1" applyFont="1" applyBorder="1" applyAlignment="1">
      <alignment horizontal="center"/>
    </xf>
    <xf numFmtId="49" fontId="2" fillId="0" borderId="3" xfId="2" applyNumberFormat="1" applyFont="1" applyBorder="1"/>
    <xf numFmtId="166" fontId="3" fillId="0" borderId="3" xfId="0" applyNumberFormat="1" applyFont="1" applyBorder="1" applyAlignment="1">
      <alignment horizontal="right"/>
    </xf>
    <xf numFmtId="166" fontId="3" fillId="0" borderId="4" xfId="0" applyNumberFormat="1" applyFont="1" applyBorder="1" applyAlignment="1">
      <alignment horizontal="right"/>
    </xf>
    <xf numFmtId="166" fontId="3" fillId="0" borderId="8" xfId="0" applyNumberFormat="1" applyFont="1" applyBorder="1" applyAlignment="1">
      <alignment horizontal="right"/>
    </xf>
    <xf numFmtId="49" fontId="2" fillId="0" borderId="3" xfId="2" applyNumberFormat="1" applyFont="1" applyBorder="1" applyAlignment="1">
      <alignment horizontal="center"/>
    </xf>
    <xf numFmtId="49" fontId="2" fillId="0" borderId="3" xfId="2" quotePrefix="1" applyNumberFormat="1" applyFont="1" applyBorder="1" applyAlignment="1">
      <alignment horizontal="center"/>
    </xf>
    <xf numFmtId="165" fontId="2" fillId="0" borderId="3" xfId="2" applyNumberFormat="1" applyFont="1" applyBorder="1" applyAlignment="1">
      <alignment horizontal="left"/>
    </xf>
    <xf numFmtId="165" fontId="2" fillId="0" borderId="3" xfId="2" applyNumberFormat="1" applyFont="1" applyBorder="1"/>
    <xf numFmtId="0" fontId="2" fillId="0" borderId="5" xfId="0" applyFont="1" applyBorder="1" applyAlignment="1">
      <alignment horizontal="center"/>
    </xf>
    <xf numFmtId="49" fontId="2" fillId="0" borderId="1" xfId="2" quotePrefix="1" applyNumberFormat="1" applyFont="1" applyBorder="1"/>
    <xf numFmtId="168" fontId="2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49" fontId="2" fillId="0" borderId="1" xfId="2" applyNumberFormat="1" applyFont="1" applyBorder="1"/>
    <xf numFmtId="166" fontId="2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49" fontId="2" fillId="0" borderId="1" xfId="2" applyNumberFormat="1" applyFont="1" applyBorder="1" applyAlignment="1">
      <alignment horizontal="center"/>
    </xf>
    <xf numFmtId="49" fontId="2" fillId="0" borderId="1" xfId="2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2" fillId="0" borderId="1" xfId="2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2" fillId="0" borderId="1" xfId="2" applyNumberFormat="1" applyFont="1" applyBorder="1"/>
    <xf numFmtId="165" fontId="2" fillId="0" borderId="1" xfId="3" applyNumberFormat="1" applyFont="1" applyBorder="1" applyAlignment="1">
      <alignment horizontal="left"/>
    </xf>
    <xf numFmtId="49" fontId="2" fillId="0" borderId="1" xfId="3" quotePrefix="1" applyNumberFormat="1" applyFont="1" applyBorder="1"/>
    <xf numFmtId="49" fontId="2" fillId="0" borderId="1" xfId="3" applyNumberFormat="1" applyFont="1" applyBorder="1"/>
    <xf numFmtId="168" fontId="2" fillId="0" borderId="1" xfId="3" applyNumberFormat="1" applyFont="1" applyBorder="1" applyAlignment="1">
      <alignment horizontal="center"/>
    </xf>
    <xf numFmtId="49" fontId="2" fillId="0" borderId="1" xfId="3" applyNumberFormat="1" applyFont="1" applyBorder="1" applyAlignment="1">
      <alignment horizontal="center"/>
    </xf>
    <xf numFmtId="49" fontId="2" fillId="0" borderId="1" xfId="3" quotePrefix="1" applyNumberFormat="1" applyFont="1" applyBorder="1" applyAlignment="1">
      <alignment horizontal="center"/>
    </xf>
    <xf numFmtId="165" fontId="2" fillId="0" borderId="1" xfId="3" applyNumberFormat="1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49" fontId="2" fillId="0" borderId="3" xfId="3" quotePrefix="1" applyNumberFormat="1" applyFont="1" applyBorder="1"/>
    <xf numFmtId="0" fontId="2" fillId="0" borderId="3" xfId="0" applyFont="1" applyBorder="1" applyAlignment="1">
      <alignment horizontal="left"/>
    </xf>
    <xf numFmtId="165" fontId="2" fillId="0" borderId="3" xfId="3" applyNumberFormat="1" applyFont="1" applyBorder="1" applyAlignment="1">
      <alignment horizontal="left"/>
    </xf>
    <xf numFmtId="49" fontId="2" fillId="0" borderId="3" xfId="3" applyNumberFormat="1" applyFont="1" applyBorder="1"/>
    <xf numFmtId="168" fontId="2" fillId="0" borderId="3" xfId="3" applyNumberFormat="1" applyFont="1" applyBorder="1" applyAlignment="1">
      <alignment horizontal="center"/>
    </xf>
    <xf numFmtId="49" fontId="2" fillId="0" borderId="3" xfId="3" applyNumberFormat="1" applyFont="1" applyBorder="1" applyAlignment="1">
      <alignment horizontal="center"/>
    </xf>
    <xf numFmtId="49" fontId="2" fillId="0" borderId="3" xfId="3" quotePrefix="1" applyNumberFormat="1" applyFont="1" applyBorder="1" applyAlignment="1">
      <alignment horizontal="center"/>
    </xf>
    <xf numFmtId="165" fontId="2" fillId="0" borderId="3" xfId="3" applyNumberFormat="1" applyFont="1" applyBorder="1"/>
    <xf numFmtId="49" fontId="2" fillId="0" borderId="6" xfId="3" applyNumberFormat="1" applyFont="1" applyBorder="1"/>
    <xf numFmtId="169" fontId="2" fillId="0" borderId="1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167" fontId="12" fillId="0" borderId="0" xfId="1" quotePrefix="1" applyNumberFormat="1" applyFont="1" applyFill="1" applyBorder="1" applyAlignment="1">
      <alignment horizontal="center"/>
    </xf>
    <xf numFmtId="3" fontId="12" fillId="0" borderId="0" xfId="1" applyNumberFormat="1" applyFont="1" applyFill="1" applyBorder="1" applyAlignment="1">
      <alignment horizontal="right"/>
    </xf>
    <xf numFmtId="3" fontId="12" fillId="0" borderId="0" xfId="1" applyNumberFormat="1" applyFont="1" applyFill="1" applyBorder="1" applyAlignment="1"/>
    <xf numFmtId="0" fontId="13" fillId="0" borderId="0" xfId="0" applyFont="1"/>
    <xf numFmtId="164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7" fontId="2" fillId="0" borderId="1" xfId="1" applyNumberFormat="1" applyFont="1" applyFill="1" applyBorder="1" applyAlignment="1"/>
    <xf numFmtId="167" fontId="12" fillId="0" borderId="1" xfId="1" applyNumberFormat="1" applyFont="1" applyFill="1" applyBorder="1" applyAlignment="1"/>
    <xf numFmtId="167" fontId="12" fillId="0" borderId="0" xfId="1" applyNumberFormat="1" applyFont="1" applyFill="1" applyBorder="1" applyAlignment="1"/>
    <xf numFmtId="167" fontId="2" fillId="0" borderId="0" xfId="1" applyNumberFormat="1" applyFont="1" applyFill="1" applyBorder="1" applyAlignment="1"/>
    <xf numFmtId="167" fontId="2" fillId="0" borderId="1" xfId="1" applyNumberFormat="1" applyFont="1" applyFill="1" applyBorder="1" applyAlignment="1">
      <alignment horizontal="center"/>
    </xf>
    <xf numFmtId="167" fontId="2" fillId="0" borderId="0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11" fillId="2" borderId="1" xfId="0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/>
    </xf>
    <xf numFmtId="3" fontId="12" fillId="5" borderId="7" xfId="1" applyNumberFormat="1" applyFont="1" applyFill="1" applyBorder="1" applyAlignment="1"/>
    <xf numFmtId="0" fontId="2" fillId="2" borderId="7" xfId="0" applyFont="1" applyFill="1" applyBorder="1" applyAlignment="1">
      <alignment horizontal="left"/>
    </xf>
    <xf numFmtId="165" fontId="2" fillId="2" borderId="7" xfId="0" applyNumberFormat="1" applyFont="1" applyFill="1" applyBorder="1" applyAlignment="1">
      <alignment horizontal="center"/>
    </xf>
    <xf numFmtId="164" fontId="11" fillId="5" borderId="1" xfId="0" applyNumberFormat="1" applyFont="1" applyFill="1" applyBorder="1" applyAlignment="1">
      <alignment horizontal="left"/>
    </xf>
    <xf numFmtId="3" fontId="12" fillId="5" borderId="11" xfId="1" applyNumberFormat="1" applyFont="1" applyFill="1" applyBorder="1" applyAlignment="1"/>
    <xf numFmtId="0" fontId="2" fillId="2" borderId="11" xfId="0" applyFont="1" applyFill="1" applyBorder="1" applyAlignment="1">
      <alignment horizontal="left"/>
    </xf>
    <xf numFmtId="165" fontId="2" fillId="2" borderId="11" xfId="0" applyNumberFormat="1" applyFont="1" applyFill="1" applyBorder="1" applyAlignment="1">
      <alignment horizontal="center"/>
    </xf>
    <xf numFmtId="3" fontId="2" fillId="2" borderId="3" xfId="2" applyNumberFormat="1" applyFont="1" applyFill="1" applyBorder="1" applyAlignment="1">
      <alignment horizontal="center" wrapText="1"/>
    </xf>
    <xf numFmtId="3" fontId="12" fillId="5" borderId="7" xfId="1" applyNumberFormat="1" applyFont="1" applyFill="1" applyBorder="1" applyAlignment="1">
      <alignment horizontal="right"/>
    </xf>
    <xf numFmtId="3" fontId="2" fillId="5" borderId="7" xfId="1" applyNumberFormat="1" applyFont="1" applyFill="1" applyBorder="1" applyAlignment="1">
      <alignment horizontal="center"/>
    </xf>
    <xf numFmtId="49" fontId="2" fillId="2" borderId="3" xfId="2" quotePrefix="1" applyNumberFormat="1" applyFont="1" applyFill="1" applyBorder="1"/>
    <xf numFmtId="3" fontId="2" fillId="2" borderId="1" xfId="2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165" fontId="2" fillId="2" borderId="1" xfId="3" applyNumberFormat="1" applyFont="1" applyFill="1" applyBorder="1" applyAlignment="1">
      <alignment horizontal="left"/>
    </xf>
    <xf numFmtId="4" fontId="2" fillId="2" borderId="1" xfId="0" applyNumberFormat="1" applyFont="1" applyFill="1" applyBorder="1" applyAlignment="1">
      <alignment horizontal="left" wrapText="1"/>
    </xf>
    <xf numFmtId="49" fontId="2" fillId="2" borderId="1" xfId="3" quotePrefix="1" applyNumberFormat="1" applyFont="1" applyFill="1" applyBorder="1"/>
    <xf numFmtId="0" fontId="2" fillId="2" borderId="1" xfId="0" applyFont="1" applyFill="1" applyBorder="1" applyAlignment="1">
      <alignment horizontal="left"/>
    </xf>
    <xf numFmtId="164" fontId="11" fillId="2" borderId="1" xfId="0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5" fontId="2" fillId="2" borderId="3" xfId="0" applyNumberFormat="1" applyFont="1" applyFill="1" applyBorder="1" applyAlignment="1">
      <alignment horizontal="center"/>
    </xf>
    <xf numFmtId="49" fontId="2" fillId="2" borderId="1" xfId="3" quotePrefix="1" applyNumberFormat="1" applyFont="1" applyFill="1" applyBorder="1" applyAlignment="1">
      <alignment wrapText="1"/>
    </xf>
    <xf numFmtId="0" fontId="2" fillId="2" borderId="1" xfId="0" quotePrefix="1" applyFont="1" applyFill="1" applyBorder="1" applyAlignment="1">
      <alignment horizontal="left"/>
    </xf>
    <xf numFmtId="49" fontId="2" fillId="2" borderId="1" xfId="2" quotePrefix="1" applyNumberFormat="1" applyFont="1" applyFill="1" applyBorder="1" applyAlignment="1">
      <alignment wrapText="1"/>
    </xf>
    <xf numFmtId="3" fontId="2" fillId="5" borderId="1" xfId="1" applyNumberFormat="1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/>
    </xf>
    <xf numFmtId="167" fontId="12" fillId="5" borderId="13" xfId="1" quotePrefix="1" applyNumberFormat="1" applyFont="1" applyFill="1" applyBorder="1" applyAlignment="1">
      <alignment horizontal="center"/>
    </xf>
    <xf numFmtId="3" fontId="12" fillId="5" borderId="13" xfId="1" applyNumberFormat="1" applyFont="1" applyFill="1" applyBorder="1" applyAlignment="1">
      <alignment horizontal="right"/>
    </xf>
    <xf numFmtId="3" fontId="12" fillId="5" borderId="14" xfId="1" applyNumberFormat="1" applyFont="1" applyFill="1" applyBorder="1" applyAlignment="1">
      <alignment horizontal="right"/>
    </xf>
    <xf numFmtId="3" fontId="2" fillId="5" borderId="14" xfId="1" applyNumberFormat="1" applyFont="1" applyFill="1" applyBorder="1" applyAlignment="1">
      <alignment horizontal="center"/>
    </xf>
    <xf numFmtId="3" fontId="12" fillId="5" borderId="1" xfId="1" applyNumberFormat="1" applyFont="1" applyFill="1" applyBorder="1" applyAlignment="1"/>
    <xf numFmtId="164" fontId="12" fillId="2" borderId="1" xfId="0" applyNumberFormat="1" applyFont="1" applyFill="1" applyBorder="1" applyAlignment="1">
      <alignment horizontal="center"/>
    </xf>
    <xf numFmtId="4" fontId="2" fillId="2" borderId="7" xfId="0" applyNumberFormat="1" applyFont="1" applyFill="1" applyBorder="1" applyAlignment="1">
      <alignment horizontal="center" wrapText="1"/>
    </xf>
    <xf numFmtId="4" fontId="2" fillId="2" borderId="11" xfId="0" applyNumberFormat="1" applyFont="1" applyFill="1" applyBorder="1" applyAlignment="1">
      <alignment horizontal="center" wrapText="1"/>
    </xf>
    <xf numFmtId="4" fontId="2" fillId="2" borderId="1" xfId="0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 applyAlignment="1">
      <alignment horizontal="center"/>
    </xf>
    <xf numFmtId="49" fontId="2" fillId="2" borderId="1" xfId="3" quotePrefix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 wrapText="1"/>
    </xf>
    <xf numFmtId="49" fontId="2" fillId="2" borderId="1" xfId="3" quotePrefix="1" applyNumberFormat="1" applyFont="1" applyFill="1" applyBorder="1" applyAlignment="1">
      <alignment horizontal="center" wrapText="1"/>
    </xf>
    <xf numFmtId="49" fontId="2" fillId="2" borderId="1" xfId="2" quotePrefix="1" applyNumberFormat="1" applyFont="1" applyFill="1" applyBorder="1" applyAlignment="1">
      <alignment horizontal="center" wrapText="1"/>
    </xf>
    <xf numFmtId="49" fontId="2" fillId="2" borderId="3" xfId="2" quotePrefix="1" applyNumberFormat="1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9" fontId="2" fillId="2" borderId="3" xfId="2" quotePrefix="1" applyNumberFormat="1" applyFont="1" applyFill="1" applyBorder="1" applyAlignment="1">
      <alignment horizontal="center" vertical="center"/>
    </xf>
    <xf numFmtId="49" fontId="2" fillId="2" borderId="1" xfId="3" quotePrefix="1" applyNumberFormat="1" applyFont="1" applyFill="1" applyBorder="1" applyAlignment="1">
      <alignment horizontal="center" vertical="center"/>
    </xf>
    <xf numFmtId="49" fontId="2" fillId="2" borderId="3" xfId="3" quotePrefix="1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 applyProtection="1">
      <alignment horizontal="center" vertical="center" shrinkToFit="1"/>
      <protection locked="0"/>
    </xf>
    <xf numFmtId="164" fontId="5" fillId="0" borderId="1" xfId="0" applyNumberFormat="1" applyFont="1" applyBorder="1" applyAlignment="1">
      <alignment horizontal="center"/>
    </xf>
    <xf numFmtId="3" fontId="14" fillId="2" borderId="15" xfId="1" applyNumberFormat="1" applyFont="1" applyFill="1" applyBorder="1" applyAlignment="1">
      <alignment horizontal="right"/>
    </xf>
    <xf numFmtId="3" fontId="14" fillId="2" borderId="16" xfId="1" applyNumberFormat="1" applyFont="1" applyFill="1" applyBorder="1" applyAlignment="1">
      <alignment horizontal="right"/>
    </xf>
    <xf numFmtId="3" fontId="2" fillId="2" borderId="16" xfId="1" applyNumberFormat="1" applyFont="1" applyFill="1" applyBorder="1" applyAlignment="1">
      <alignment horizontal="center"/>
    </xf>
    <xf numFmtId="3" fontId="14" fillId="2" borderId="1" xfId="1" applyNumberFormat="1" applyFont="1" applyFill="1" applyBorder="1" applyAlignment="1"/>
    <xf numFmtId="170" fontId="16" fillId="6" borderId="1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7" xfId="0" applyFont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17" fillId="7" borderId="7" xfId="0" applyFont="1" applyFill="1" applyBorder="1" applyAlignment="1">
      <alignment horizontal="center"/>
    </xf>
    <xf numFmtId="170" fontId="2" fillId="6" borderId="1" xfId="0" applyNumberFormat="1" applyFont="1" applyFill="1" applyBorder="1" applyAlignment="1" applyProtection="1">
      <alignment horizontal="center" vertical="center" shrinkToFit="1"/>
      <protection locked="0"/>
    </xf>
    <xf numFmtId="49" fontId="18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" fontId="2" fillId="0" borderId="7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5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vertical="center" wrapText="1"/>
    </xf>
    <xf numFmtId="170" fontId="26" fillId="2" borderId="1" xfId="0" applyNumberFormat="1" applyFont="1" applyFill="1" applyBorder="1" applyAlignment="1">
      <alignment vertical="center" wrapText="1"/>
    </xf>
    <xf numFmtId="0" fontId="28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center" vertical="center" wrapText="1"/>
    </xf>
    <xf numFmtId="170" fontId="25" fillId="2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center" wrapText="1"/>
    </xf>
    <xf numFmtId="49" fontId="30" fillId="2" borderId="1" xfId="0" applyNumberFormat="1" applyFont="1" applyFill="1" applyBorder="1" applyAlignment="1">
      <alignment vertical="center" wrapText="1"/>
    </xf>
    <xf numFmtId="43" fontId="27" fillId="2" borderId="1" xfId="1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14" fontId="23" fillId="8" borderId="1" xfId="0" applyNumberFormat="1" applyFont="1" applyFill="1" applyBorder="1" applyAlignment="1">
      <alignment horizontal="center" vertical="center" wrapText="1"/>
    </xf>
    <xf numFmtId="171" fontId="23" fillId="8" borderId="1" xfId="1" applyNumberFormat="1" applyFont="1" applyFill="1" applyBorder="1" applyAlignment="1">
      <alignment vertical="center" wrapText="1"/>
    </xf>
    <xf numFmtId="171" fontId="23" fillId="8" borderId="1" xfId="1" applyNumberFormat="1" applyFont="1" applyFill="1" applyBorder="1" applyAlignment="1">
      <alignment horizontal="center" vertical="center" wrapText="1"/>
    </xf>
    <xf numFmtId="170" fontId="20" fillId="8" borderId="1" xfId="0" applyNumberFormat="1" applyFont="1" applyFill="1" applyBorder="1" applyAlignment="1">
      <alignment horizontal="center" vertical="center" wrapText="1"/>
    </xf>
    <xf numFmtId="170" fontId="23" fillId="8" borderId="1" xfId="0" applyNumberFormat="1" applyFont="1" applyFill="1" applyBorder="1" applyAlignment="1">
      <alignment horizontal="center" vertical="center" wrapText="1"/>
    </xf>
    <xf numFmtId="167" fontId="31" fillId="8" borderId="1" xfId="1" applyNumberFormat="1" applyFont="1" applyFill="1" applyBorder="1" applyAlignment="1">
      <alignment horizontal="center" vertical="center"/>
    </xf>
    <xf numFmtId="171" fontId="31" fillId="8" borderId="1" xfId="1" applyNumberFormat="1" applyFont="1" applyFill="1" applyBorder="1" applyAlignment="1">
      <alignment horizontal="center" vertical="center" wrapText="1"/>
    </xf>
    <xf numFmtId="167" fontId="31" fillId="8" borderId="1" xfId="1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3" fontId="31" fillId="8" borderId="1" xfId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72" fontId="32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167" fontId="33" fillId="2" borderId="1" xfId="1" applyNumberFormat="1" applyFont="1" applyFill="1" applyBorder="1" applyAlignment="1" applyProtection="1">
      <alignment horizontal="center" vertical="center" shrinkToFit="1"/>
      <protection locked="0"/>
    </xf>
    <xf numFmtId="167" fontId="24" fillId="2" borderId="1" xfId="1" applyNumberFormat="1" applyFont="1" applyFill="1" applyBorder="1" applyAlignment="1" applyProtection="1">
      <alignment horizontal="center" vertical="center" shrinkToFit="1"/>
      <protection locked="0"/>
    </xf>
    <xf numFmtId="171" fontId="34" fillId="2" borderId="1" xfId="1" applyNumberFormat="1" applyFont="1" applyFill="1" applyBorder="1" applyAlignment="1" applyProtection="1">
      <alignment horizontal="left" vertical="center" shrinkToFit="1"/>
      <protection locked="0"/>
    </xf>
    <xf numFmtId="49" fontId="34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2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9" fillId="2" borderId="1" xfId="0" quotePrefix="1" applyNumberFormat="1" applyFont="1" applyFill="1" applyBorder="1" applyAlignment="1" applyProtection="1">
      <alignment horizontal="center" vertical="center" wrapText="1"/>
      <protection locked="0"/>
    </xf>
    <xf numFmtId="167" fontId="21" fillId="2" borderId="1" xfId="1" applyNumberFormat="1" applyFont="1" applyFill="1" applyBorder="1" applyAlignment="1">
      <alignment horizontal="center" vertical="center" wrapText="1"/>
    </xf>
    <xf numFmtId="49" fontId="3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19" fillId="2" borderId="1" xfId="0" applyFont="1" applyFill="1" applyBorder="1" applyAlignment="1">
      <alignment horizontal="center" vertical="center" wrapText="1"/>
    </xf>
    <xf numFmtId="43" fontId="21" fillId="2" borderId="1" xfId="1" quotePrefix="1" applyFont="1" applyFill="1" applyBorder="1" applyAlignment="1">
      <alignment vertical="center"/>
    </xf>
    <xf numFmtId="43" fontId="21" fillId="2" borderId="1" xfId="1" applyFont="1" applyFill="1" applyBorder="1" applyAlignment="1">
      <alignment vertical="center"/>
    </xf>
    <xf numFmtId="0" fontId="22" fillId="2" borderId="1" xfId="0" applyFont="1" applyFill="1" applyBorder="1" applyAlignment="1">
      <alignment vertical="center"/>
    </xf>
    <xf numFmtId="171" fontId="19" fillId="2" borderId="1" xfId="1" applyNumberFormat="1" applyFont="1" applyFill="1" applyBorder="1" applyAlignment="1">
      <alignment vertical="center"/>
    </xf>
    <xf numFmtId="0" fontId="23" fillId="2" borderId="1" xfId="0" applyFont="1" applyFill="1" applyBorder="1" applyAlignment="1">
      <alignment horizontal="center"/>
    </xf>
    <xf numFmtId="169" fontId="21" fillId="2" borderId="1" xfId="0" applyNumberFormat="1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vertical="center"/>
    </xf>
    <xf numFmtId="167" fontId="21" fillId="2" borderId="1" xfId="1" applyNumberFormat="1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171" fontId="21" fillId="2" borderId="1" xfId="1" applyNumberFormat="1" applyFont="1" applyFill="1" applyBorder="1" applyAlignment="1">
      <alignment horizontal="left" vertical="center" indent="1"/>
    </xf>
    <xf numFmtId="167" fontId="23" fillId="2" borderId="1" xfId="1" applyNumberFormat="1" applyFont="1" applyFill="1" applyBorder="1" applyAlignment="1">
      <alignment vertical="center"/>
    </xf>
    <xf numFmtId="49" fontId="24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 wrapText="1"/>
    </xf>
    <xf numFmtId="170" fontId="21" fillId="2" borderId="1" xfId="0" applyNumberFormat="1" applyFont="1" applyFill="1" applyBorder="1" applyAlignment="1">
      <alignment horizontal="center" vertical="center"/>
    </xf>
    <xf numFmtId="2" fontId="21" fillId="2" borderId="1" xfId="1" applyNumberFormat="1" applyFont="1" applyFill="1" applyBorder="1" applyAlignment="1">
      <alignment vertical="center"/>
    </xf>
    <xf numFmtId="173" fontId="21" fillId="2" borderId="1" xfId="1" applyNumberFormat="1" applyFont="1" applyFill="1" applyBorder="1" applyAlignment="1">
      <alignment horizontal="center" vertical="center"/>
    </xf>
    <xf numFmtId="170" fontId="20" fillId="2" borderId="1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14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71" fontId="21" fillId="2" borderId="0" xfId="1" applyNumberFormat="1" applyFont="1" applyFill="1" applyBorder="1" applyAlignment="1">
      <alignment vertical="center"/>
    </xf>
    <xf numFmtId="171" fontId="21" fillId="2" borderId="0" xfId="1" applyNumberFormat="1" applyFont="1" applyFill="1" applyBorder="1" applyAlignment="1">
      <alignment horizontal="center" vertical="center"/>
    </xf>
    <xf numFmtId="170" fontId="20" fillId="2" borderId="0" xfId="0" applyNumberFormat="1" applyFont="1" applyFill="1" applyAlignment="1">
      <alignment horizontal="center" vertical="center"/>
    </xf>
    <xf numFmtId="170" fontId="21" fillId="2" borderId="0" xfId="0" applyNumberFormat="1" applyFont="1" applyFill="1" applyAlignment="1">
      <alignment horizontal="center" vertical="center"/>
    </xf>
    <xf numFmtId="167" fontId="21" fillId="2" borderId="0" xfId="1" applyNumberFormat="1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171" fontId="21" fillId="2" borderId="0" xfId="1" applyNumberFormat="1" applyFont="1" applyFill="1" applyBorder="1" applyAlignment="1">
      <alignment horizontal="left" vertical="center" indent="1"/>
    </xf>
    <xf numFmtId="167" fontId="23" fillId="2" borderId="0" xfId="1" applyNumberFormat="1" applyFont="1" applyFill="1" applyBorder="1" applyAlignment="1">
      <alignment vertical="center"/>
    </xf>
    <xf numFmtId="49" fontId="24" fillId="2" borderId="0" xfId="0" applyNumberFormat="1" applyFont="1" applyFill="1" applyAlignment="1">
      <alignment horizontal="center" vertical="center"/>
    </xf>
    <xf numFmtId="43" fontId="21" fillId="2" borderId="0" xfId="1" applyFont="1" applyFill="1" applyBorder="1" applyAlignment="1">
      <alignment vertical="center"/>
    </xf>
    <xf numFmtId="167" fontId="21" fillId="2" borderId="1" xfId="1" applyNumberFormat="1" applyFont="1" applyFill="1" applyBorder="1" applyAlignment="1">
      <alignment horizontal="center" vertical="center"/>
    </xf>
    <xf numFmtId="167" fontId="21" fillId="2" borderId="1" xfId="1" applyNumberFormat="1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vertical="center" wrapText="1"/>
    </xf>
    <xf numFmtId="170" fontId="2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49" fontId="24" fillId="2" borderId="1" xfId="0" applyNumberFormat="1" applyFont="1" applyFill="1" applyBorder="1" applyAlignment="1">
      <alignment vertical="center" wrapText="1"/>
    </xf>
    <xf numFmtId="43" fontId="19" fillId="2" borderId="1" xfId="1" applyFont="1" applyFill="1" applyBorder="1" applyAlignment="1">
      <alignment vertical="center" wrapText="1"/>
    </xf>
    <xf numFmtId="167" fontId="21" fillId="10" borderId="1" xfId="1" applyNumberFormat="1" applyFont="1" applyFill="1" applyBorder="1" applyAlignment="1">
      <alignment horizontal="center" vertical="center"/>
    </xf>
    <xf numFmtId="49" fontId="36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67" fontId="21" fillId="0" borderId="1" xfId="1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21" fillId="0" borderId="18" xfId="0" applyFont="1" applyBorder="1" applyAlignment="1">
      <alignment horizontal="center"/>
    </xf>
    <xf numFmtId="0" fontId="4" fillId="0" borderId="0" xfId="0" applyFont="1"/>
    <xf numFmtId="167" fontId="2" fillId="5" borderId="7" xfId="1" applyNumberFormat="1" applyFont="1" applyFill="1" applyBorder="1" applyAlignment="1">
      <alignment horizontal="right"/>
    </xf>
    <xf numFmtId="174" fontId="12" fillId="5" borderId="10" xfId="1" quotePrefix="1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 wrapText="1"/>
    </xf>
    <xf numFmtId="3" fontId="12" fillId="11" borderId="7" xfId="1" applyNumberFormat="1" applyFont="1" applyFill="1" applyBorder="1" applyAlignment="1">
      <alignment horizontal="right"/>
    </xf>
    <xf numFmtId="3" fontId="2" fillId="11" borderId="7" xfId="1" applyNumberFormat="1" applyFont="1" applyFill="1" applyBorder="1" applyAlignment="1">
      <alignment horizontal="center"/>
    </xf>
    <xf numFmtId="3" fontId="14" fillId="3" borderId="1" xfId="1" applyNumberFormat="1" applyFont="1" applyFill="1" applyBorder="1" applyAlignment="1"/>
    <xf numFmtId="49" fontId="2" fillId="3" borderId="1" xfId="3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1" fontId="2" fillId="3" borderId="7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  <xf numFmtId="0" fontId="2" fillId="3" borderId="7" xfId="0" applyFont="1" applyFill="1" applyBorder="1" applyAlignment="1">
      <alignment horizontal="center"/>
    </xf>
    <xf numFmtId="165" fontId="2" fillId="3" borderId="1" xfId="3" applyNumberFormat="1" applyFont="1" applyFill="1" applyBorder="1" applyAlignment="1">
      <alignment horizontal="left"/>
    </xf>
    <xf numFmtId="49" fontId="2" fillId="3" borderId="1" xfId="3" quotePrefix="1" applyNumberFormat="1" applyFont="1" applyFill="1" applyBorder="1"/>
    <xf numFmtId="0" fontId="2" fillId="3" borderId="1" xfId="0" applyFont="1" applyFill="1" applyBorder="1" applyAlignment="1">
      <alignment horizontal="right"/>
    </xf>
    <xf numFmtId="49" fontId="2" fillId="3" borderId="1" xfId="3" applyNumberFormat="1" applyFont="1" applyFill="1" applyBorder="1"/>
    <xf numFmtId="168" fontId="2" fillId="3" borderId="1" xfId="3" applyNumberFormat="1" applyFont="1" applyFill="1" applyBorder="1" applyAlignment="1">
      <alignment horizontal="center"/>
    </xf>
    <xf numFmtId="49" fontId="2" fillId="3" borderId="1" xfId="3" applyNumberFormat="1" applyFont="1" applyFill="1" applyBorder="1" applyAlignment="1">
      <alignment horizontal="center"/>
    </xf>
    <xf numFmtId="49" fontId="2" fillId="3" borderId="1" xfId="3" quotePrefix="1" applyNumberFormat="1" applyFont="1" applyFill="1" applyBorder="1" applyAlignment="1">
      <alignment horizontal="center"/>
    </xf>
    <xf numFmtId="0" fontId="35" fillId="2" borderId="18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" vertical="center"/>
    </xf>
    <xf numFmtId="0" fontId="35" fillId="2" borderId="18" xfId="0" quotePrefix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49" fontId="1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3" borderId="7" xfId="0" applyFont="1" applyFill="1" applyBorder="1" applyAlignment="1">
      <alignment horizontal="center"/>
    </xf>
    <xf numFmtId="165" fontId="6" fillId="2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10" fillId="0" borderId="7" xfId="0" applyNumberFormat="1" applyFont="1" applyBorder="1" applyAlignment="1">
      <alignment horizontal="center" vertical="center" wrapText="1"/>
    </xf>
    <xf numFmtId="167" fontId="21" fillId="10" borderId="1" xfId="1" applyNumberFormat="1" applyFont="1" applyFill="1" applyBorder="1" applyAlignment="1">
      <alignment vertical="center"/>
    </xf>
    <xf numFmtId="171" fontId="21" fillId="12" borderId="1" xfId="1" applyNumberFormat="1" applyFont="1" applyFill="1" applyBorder="1" applyAlignment="1">
      <alignment vertical="center"/>
    </xf>
    <xf numFmtId="0" fontId="2" fillId="0" borderId="22" xfId="0" applyFont="1" applyBorder="1" applyAlignment="1">
      <alignment horizontal="center"/>
    </xf>
    <xf numFmtId="3" fontId="2" fillId="2" borderId="18" xfId="2" applyNumberFormat="1" applyFont="1" applyFill="1" applyBorder="1" applyAlignment="1">
      <alignment horizontal="center" wrapText="1"/>
    </xf>
    <xf numFmtId="3" fontId="12" fillId="5" borderId="22" xfId="1" applyNumberFormat="1" applyFont="1" applyFill="1" applyBorder="1" applyAlignment="1"/>
    <xf numFmtId="49" fontId="2" fillId="2" borderId="18" xfId="2" quotePrefix="1" applyNumberFormat="1" applyFont="1" applyFill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5" fontId="2" fillId="0" borderId="18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4" fontId="2" fillId="2" borderId="18" xfId="0" applyNumberFormat="1" applyFont="1" applyFill="1" applyBorder="1" applyAlignment="1">
      <alignment horizontal="left" wrapText="1"/>
    </xf>
    <xf numFmtId="49" fontId="2" fillId="2" borderId="18" xfId="3" quotePrefix="1" applyNumberFormat="1" applyFont="1" applyFill="1" applyBorder="1" applyAlignment="1">
      <alignment horizontal="center"/>
    </xf>
    <xf numFmtId="49" fontId="2" fillId="0" borderId="18" xfId="3" quotePrefix="1" applyNumberFormat="1" applyFont="1" applyBorder="1"/>
    <xf numFmtId="165" fontId="2" fillId="2" borderId="18" xfId="0" applyNumberFormat="1" applyFont="1" applyFill="1" applyBorder="1" applyAlignment="1">
      <alignment horizontal="center"/>
    </xf>
    <xf numFmtId="49" fontId="2" fillId="2" borderId="18" xfId="2" quotePrefix="1" applyNumberFormat="1" applyFont="1" applyFill="1" applyBorder="1" applyAlignment="1">
      <alignment wrapText="1"/>
    </xf>
    <xf numFmtId="0" fontId="2" fillId="2" borderId="18" xfId="0" quotePrefix="1" applyFont="1" applyFill="1" applyBorder="1" applyAlignment="1">
      <alignment horizontal="left"/>
    </xf>
    <xf numFmtId="3" fontId="12" fillId="5" borderId="18" xfId="1" applyNumberFormat="1" applyFont="1" applyFill="1" applyBorder="1" applyAlignment="1"/>
    <xf numFmtId="167" fontId="21" fillId="13" borderId="1" xfId="1" applyNumberFormat="1" applyFont="1" applyFill="1" applyBorder="1" applyAlignment="1">
      <alignment vertical="center"/>
    </xf>
    <xf numFmtId="171" fontId="21" fillId="14" borderId="1" xfId="1" applyNumberFormat="1" applyFont="1" applyFill="1" applyBorder="1" applyAlignment="1">
      <alignment horizontal="left" vertical="center" indent="1"/>
    </xf>
    <xf numFmtId="167" fontId="23" fillId="15" borderId="1" xfId="1" applyNumberFormat="1" applyFont="1" applyFill="1" applyBorder="1" applyAlignment="1">
      <alignment vertical="center"/>
    </xf>
    <xf numFmtId="171" fontId="21" fillId="2" borderId="1" xfId="0" applyNumberFormat="1" applyFont="1" applyFill="1" applyBorder="1" applyAlignment="1">
      <alignment vertical="center"/>
    </xf>
    <xf numFmtId="171" fontId="21" fillId="16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horizontal="left" wrapText="1"/>
    </xf>
    <xf numFmtId="0" fontId="2" fillId="3" borderId="0" xfId="0" applyFont="1" applyFill="1" applyAlignment="1">
      <alignment vertical="center"/>
    </xf>
    <xf numFmtId="167" fontId="21" fillId="17" borderId="1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167" fontId="43" fillId="0" borderId="1" xfId="1" applyNumberFormat="1" applyFont="1" applyFill="1" applyBorder="1" applyAlignment="1">
      <alignment vertical="center" shrinkToFit="1"/>
    </xf>
    <xf numFmtId="167" fontId="42" fillId="2" borderId="1" xfId="1" applyNumberFormat="1" applyFont="1" applyFill="1" applyBorder="1" applyAlignment="1">
      <alignment horizontal="right" vertical="center" wrapText="1"/>
    </xf>
    <xf numFmtId="167" fontId="42" fillId="2" borderId="1" xfId="1" applyNumberFormat="1" applyFont="1" applyFill="1" applyBorder="1" applyAlignment="1">
      <alignment horizontal="center" vertical="center" wrapText="1"/>
    </xf>
    <xf numFmtId="175" fontId="42" fillId="2" borderId="1" xfId="0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167" fontId="20" fillId="3" borderId="1" xfId="0" applyNumberFormat="1" applyFont="1" applyFill="1" applyBorder="1" applyAlignment="1">
      <alignment vertical="center"/>
    </xf>
    <xf numFmtId="171" fontId="20" fillId="3" borderId="1" xfId="0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" fillId="3" borderId="0" xfId="0" applyFont="1" applyFill="1"/>
    <xf numFmtId="167" fontId="20" fillId="3" borderId="1" xfId="0" applyNumberFormat="1" applyFont="1" applyFill="1" applyBorder="1"/>
    <xf numFmtId="0" fontId="20" fillId="3" borderId="1" xfId="0" applyFont="1" applyFill="1" applyBorder="1"/>
    <xf numFmtId="171" fontId="20" fillId="3" borderId="1" xfId="0" applyNumberFormat="1" applyFont="1" applyFill="1" applyBorder="1"/>
    <xf numFmtId="14" fontId="14" fillId="2" borderId="3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4" fontId="21" fillId="2" borderId="1" xfId="0" applyNumberFormat="1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 shrinkToFit="1"/>
    </xf>
    <xf numFmtId="14" fontId="26" fillId="2" borderId="1" xfId="0" quotePrefix="1" applyNumberFormat="1" applyFont="1" applyFill="1" applyBorder="1" applyAlignment="1">
      <alignment horizontal="center" vertical="center" shrinkToFit="1"/>
    </xf>
    <xf numFmtId="1" fontId="30" fillId="2" borderId="24" xfId="0" applyNumberFormat="1" applyFont="1" applyFill="1" applyBorder="1" applyAlignment="1">
      <alignment horizontal="center" vertical="center" shrinkToFit="1"/>
    </xf>
    <xf numFmtId="0" fontId="14" fillId="0" borderId="0" xfId="0" applyFont="1" applyAlignment="1">
      <alignment vertical="center" wrapText="1"/>
    </xf>
    <xf numFmtId="0" fontId="24" fillId="9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0" fillId="3" borderId="6" xfId="0" applyFont="1" applyFill="1" applyBorder="1" applyAlignment="1">
      <alignment vertical="center" wrapText="1"/>
    </xf>
    <xf numFmtId="167" fontId="21" fillId="12" borderId="1" xfId="1" applyNumberFormat="1" applyFont="1" applyFill="1" applyBorder="1" applyAlignment="1">
      <alignment vertical="center"/>
    </xf>
    <xf numFmtId="171" fontId="22" fillId="3" borderId="1" xfId="1" applyNumberFormat="1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171" fontId="21" fillId="3" borderId="1" xfId="1" applyNumberFormat="1" applyFont="1" applyFill="1" applyBorder="1" applyAlignment="1">
      <alignment horizontal="center" vertical="center"/>
    </xf>
    <xf numFmtId="171" fontId="21" fillId="7" borderId="1" xfId="1" applyNumberFormat="1" applyFont="1" applyFill="1" applyBorder="1" applyAlignment="1">
      <alignment horizontal="center" vertical="center"/>
    </xf>
    <xf numFmtId="169" fontId="21" fillId="2" borderId="1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18" fillId="6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4" fontId="22" fillId="0" borderId="1" xfId="0" applyNumberFormat="1" applyFont="1" applyBorder="1" applyAlignment="1">
      <alignment horizontal="center" vertical="center"/>
    </xf>
    <xf numFmtId="49" fontId="12" fillId="5" borderId="13" xfId="1" quotePrefix="1" applyNumberFormat="1" applyFont="1" applyFill="1" applyBorder="1" applyAlignment="1">
      <alignment horizontal="center"/>
    </xf>
    <xf numFmtId="49" fontId="12" fillId="5" borderId="10" xfId="1" quotePrefix="1" applyNumberFormat="1" applyFont="1" applyFill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65" fontId="2" fillId="0" borderId="1" xfId="0" quotePrefix="1" applyNumberFormat="1" applyFont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0" fontId="46" fillId="2" borderId="1" xfId="0" quotePrefix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7" fillId="2" borderId="1" xfId="0" quotePrefix="1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/>
    </xf>
    <xf numFmtId="1" fontId="30" fillId="2" borderId="18" xfId="0" applyNumberFormat="1" applyFont="1" applyFill="1" applyBorder="1" applyAlignment="1">
      <alignment horizontal="center" vertical="center" shrinkToFit="1"/>
    </xf>
    <xf numFmtId="169" fontId="21" fillId="2" borderId="18" xfId="0" quotePrefix="1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171" fontId="21" fillId="2" borderId="18" xfId="1" applyNumberFormat="1" applyFont="1" applyFill="1" applyBorder="1" applyAlignment="1">
      <alignment horizontal="center" vertical="center"/>
    </xf>
    <xf numFmtId="2" fontId="21" fillId="2" borderId="18" xfId="1" applyNumberFormat="1" applyFont="1" applyFill="1" applyBorder="1" applyAlignment="1">
      <alignment vertical="center"/>
    </xf>
    <xf numFmtId="173" fontId="21" fillId="2" borderId="18" xfId="1" applyNumberFormat="1" applyFont="1" applyFill="1" applyBorder="1" applyAlignment="1">
      <alignment horizontal="center" vertical="center"/>
    </xf>
    <xf numFmtId="169" fontId="21" fillId="2" borderId="18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 wrapText="1"/>
    </xf>
    <xf numFmtId="170" fontId="21" fillId="2" borderId="18" xfId="0" applyNumberFormat="1" applyFont="1" applyFill="1" applyBorder="1" applyAlignment="1">
      <alignment horizontal="center" vertical="center"/>
    </xf>
    <xf numFmtId="167" fontId="21" fillId="2" borderId="18" xfId="1" applyNumberFormat="1" applyFont="1" applyFill="1" applyBorder="1" applyAlignment="1">
      <alignment vertical="center"/>
    </xf>
    <xf numFmtId="171" fontId="21" fillId="2" borderId="18" xfId="1" applyNumberFormat="1" applyFont="1" applyFill="1" applyBorder="1" applyAlignment="1">
      <alignment vertical="center"/>
    </xf>
    <xf numFmtId="167" fontId="43" fillId="0" borderId="18" xfId="1" applyNumberFormat="1" applyFont="1" applyFill="1" applyBorder="1" applyAlignment="1">
      <alignment vertical="center" shrinkToFit="1"/>
    </xf>
    <xf numFmtId="167" fontId="21" fillId="13" borderId="18" xfId="1" applyNumberFormat="1" applyFont="1" applyFill="1" applyBorder="1" applyAlignment="1">
      <alignment vertical="center"/>
    </xf>
    <xf numFmtId="171" fontId="21" fillId="2" borderId="18" xfId="0" applyNumberFormat="1" applyFont="1" applyFill="1" applyBorder="1" applyAlignment="1">
      <alignment vertical="center"/>
    </xf>
    <xf numFmtId="171" fontId="21" fillId="14" borderId="18" xfId="1" applyNumberFormat="1" applyFont="1" applyFill="1" applyBorder="1" applyAlignment="1">
      <alignment horizontal="left" vertical="center" indent="1"/>
    </xf>
    <xf numFmtId="167" fontId="23" fillId="15" borderId="18" xfId="1" applyNumberFormat="1" applyFont="1" applyFill="1" applyBorder="1" applyAlignment="1">
      <alignment vertical="center"/>
    </xf>
    <xf numFmtId="43" fontId="21" fillId="2" borderId="18" xfId="1" applyFont="1" applyFill="1" applyBorder="1" applyAlignment="1">
      <alignment vertical="center"/>
    </xf>
    <xf numFmtId="0" fontId="21" fillId="2" borderId="18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23" fillId="2" borderId="24" xfId="0" applyFont="1" applyFill="1" applyBorder="1" applyAlignment="1">
      <alignment horizontal="center" vertical="center"/>
    </xf>
    <xf numFmtId="169" fontId="21" fillId="2" borderId="24" xfId="0" applyNumberFormat="1" applyFont="1" applyFill="1" applyBorder="1" applyAlignment="1">
      <alignment horizontal="center" vertical="center"/>
    </xf>
    <xf numFmtId="2" fontId="21" fillId="2" borderId="24" xfId="1" applyNumberFormat="1" applyFont="1" applyFill="1" applyBorder="1" applyAlignment="1">
      <alignment vertical="center"/>
    </xf>
    <xf numFmtId="173" fontId="21" fillId="2" borderId="24" xfId="1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 wrapText="1"/>
    </xf>
    <xf numFmtId="170" fontId="21" fillId="2" borderId="24" xfId="0" applyNumberFormat="1" applyFont="1" applyFill="1" applyBorder="1" applyAlignment="1">
      <alignment horizontal="center" vertical="center"/>
    </xf>
    <xf numFmtId="167" fontId="21" fillId="2" borderId="24" xfId="1" applyNumberFormat="1" applyFont="1" applyFill="1" applyBorder="1" applyAlignment="1">
      <alignment vertical="center"/>
    </xf>
    <xf numFmtId="171" fontId="21" fillId="2" borderId="24" xfId="1" applyNumberFormat="1" applyFont="1" applyFill="1" applyBorder="1" applyAlignment="1">
      <alignment vertical="center"/>
    </xf>
    <xf numFmtId="0" fontId="21" fillId="2" borderId="24" xfId="0" applyFont="1" applyFill="1" applyBorder="1" applyAlignment="1">
      <alignment vertical="center"/>
    </xf>
    <xf numFmtId="43" fontId="21" fillId="2" borderId="24" xfId="1" applyFont="1" applyFill="1" applyBorder="1" applyAlignment="1">
      <alignment vertical="center"/>
    </xf>
    <xf numFmtId="0" fontId="19" fillId="2" borderId="24" xfId="0" applyFont="1" applyFill="1" applyBorder="1" applyAlignment="1">
      <alignment vertical="center"/>
    </xf>
    <xf numFmtId="0" fontId="22" fillId="2" borderId="24" xfId="0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center" vertical="center"/>
    </xf>
    <xf numFmtId="0" fontId="47" fillId="2" borderId="1" xfId="0" quotePrefix="1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171" fontId="21" fillId="0" borderId="1" xfId="1" applyNumberFormat="1" applyFont="1" applyFill="1" applyBorder="1" applyAlignment="1">
      <alignment horizontal="center" vertical="center"/>
    </xf>
    <xf numFmtId="167" fontId="22" fillId="2" borderId="24" xfId="1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21" fillId="3" borderId="24" xfId="0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horizontal="center" vertical="center"/>
    </xf>
    <xf numFmtId="0" fontId="21" fillId="2" borderId="1" xfId="0" quotePrefix="1" applyFont="1" applyFill="1" applyBorder="1" applyAlignment="1">
      <alignment horizontal="center"/>
    </xf>
    <xf numFmtId="3" fontId="19" fillId="2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164" fontId="5" fillId="0" borderId="1" xfId="0" quotePrefix="1" applyNumberFormat="1" applyFont="1" applyBorder="1" applyAlignment="1">
      <alignment horizontal="left"/>
    </xf>
    <xf numFmtId="164" fontId="11" fillId="2" borderId="18" xfId="0" applyNumberFormat="1" applyFont="1" applyFill="1" applyBorder="1" applyAlignment="1">
      <alignment horizontal="center"/>
    </xf>
    <xf numFmtId="3" fontId="2" fillId="2" borderId="23" xfId="0" applyNumberFormat="1" applyFont="1" applyFill="1" applyBorder="1" applyAlignment="1">
      <alignment horizontal="center"/>
    </xf>
    <xf numFmtId="4" fontId="2" fillId="2" borderId="24" xfId="0" applyNumberFormat="1" applyFont="1" applyFill="1" applyBorder="1" applyAlignment="1">
      <alignment horizontal="center" wrapText="1"/>
    </xf>
    <xf numFmtId="0" fontId="2" fillId="0" borderId="20" xfId="0" applyFont="1" applyBorder="1" applyAlignment="1">
      <alignment horizontal="center" vertical="center"/>
    </xf>
    <xf numFmtId="165" fontId="2" fillId="0" borderId="24" xfId="0" quotePrefix="1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 vertical="center"/>
    </xf>
    <xf numFmtId="167" fontId="22" fillId="9" borderId="1" xfId="1" applyNumberFormat="1" applyFont="1" applyFill="1" applyBorder="1" applyAlignment="1">
      <alignment vertical="center"/>
    </xf>
    <xf numFmtId="167" fontId="41" fillId="9" borderId="1" xfId="1" applyNumberFormat="1" applyFont="1" applyFill="1" applyBorder="1" applyAlignment="1">
      <alignment vertical="center"/>
    </xf>
    <xf numFmtId="0" fontId="50" fillId="18" borderId="33" xfId="8" applyFill="1" applyBorder="1" applyAlignment="1">
      <alignment vertical="center"/>
    </xf>
    <xf numFmtId="176" fontId="24" fillId="2" borderId="1" xfId="0" applyNumberFormat="1" applyFont="1" applyFill="1" applyBorder="1" applyAlignment="1">
      <alignment vertical="center" wrapText="1"/>
    </xf>
    <xf numFmtId="176" fontId="23" fillId="8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176" fontId="15" fillId="2" borderId="1" xfId="0" quotePrefix="1" applyNumberFormat="1" applyFont="1" applyFill="1" applyBorder="1" applyAlignment="1" applyProtection="1">
      <alignment horizontal="center" vertical="center" shrinkToFit="1"/>
      <protection locked="0"/>
    </xf>
    <xf numFmtId="176" fontId="24" fillId="3" borderId="1" xfId="0" applyNumberFormat="1" applyFont="1" applyFill="1" applyBorder="1" applyAlignment="1">
      <alignment horizontal="center" vertical="center" wrapText="1"/>
    </xf>
    <xf numFmtId="176" fontId="15" fillId="3" borderId="1" xfId="0" quotePrefix="1" applyNumberFormat="1" applyFont="1" applyFill="1" applyBorder="1" applyAlignment="1" applyProtection="1">
      <alignment horizontal="center" vertical="center" shrinkToFit="1"/>
      <protection locked="0"/>
    </xf>
    <xf numFmtId="176" fontId="15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76" fontId="44" fillId="2" borderId="1" xfId="0" quotePrefix="1" applyNumberFormat="1" applyFont="1" applyFill="1" applyBorder="1" applyAlignment="1" applyProtection="1">
      <alignment horizontal="center" vertical="center" wrapText="1" shrinkToFit="1"/>
      <protection locked="0"/>
    </xf>
    <xf numFmtId="176" fontId="23" fillId="2" borderId="1" xfId="0" applyNumberFormat="1" applyFont="1" applyFill="1" applyBorder="1" applyAlignment="1">
      <alignment horizontal="center" vertical="center" wrapText="1"/>
    </xf>
    <xf numFmtId="176" fontId="47" fillId="2" borderId="1" xfId="0" quotePrefix="1" applyNumberFormat="1" applyFont="1" applyFill="1" applyBorder="1" applyAlignment="1">
      <alignment horizontal="center" vertical="center"/>
    </xf>
    <xf numFmtId="176" fontId="23" fillId="2" borderId="1" xfId="0" quotePrefix="1" applyNumberFormat="1" applyFont="1" applyFill="1" applyBorder="1" applyAlignment="1">
      <alignment horizontal="center" vertical="center"/>
    </xf>
    <xf numFmtId="176" fontId="23" fillId="2" borderId="1" xfId="0" applyNumberFormat="1" applyFont="1" applyFill="1" applyBorder="1" applyAlignment="1">
      <alignment horizontal="center" vertical="center"/>
    </xf>
    <xf numFmtId="176" fontId="23" fillId="2" borderId="0" xfId="0" applyNumberFormat="1" applyFont="1" applyFill="1" applyAlignment="1">
      <alignment horizontal="center" vertical="center"/>
    </xf>
    <xf numFmtId="176" fontId="47" fillId="14" borderId="1" xfId="0" quotePrefix="1" applyNumberFormat="1" applyFont="1" applyFill="1" applyBorder="1" applyAlignment="1">
      <alignment horizontal="center" vertical="center"/>
    </xf>
    <xf numFmtId="176" fontId="23" fillId="14" borderId="1" xfId="0" quotePrefix="1" applyNumberFormat="1" applyFont="1" applyFill="1" applyBorder="1" applyAlignment="1">
      <alignment horizontal="center" vertical="center"/>
    </xf>
    <xf numFmtId="176" fontId="47" fillId="14" borderId="1" xfId="0" applyNumberFormat="1" applyFont="1" applyFill="1" applyBorder="1" applyAlignment="1">
      <alignment horizontal="center" vertical="center"/>
    </xf>
    <xf numFmtId="167" fontId="22" fillId="19" borderId="24" xfId="1" applyNumberFormat="1" applyFont="1" applyFill="1" applyBorder="1" applyAlignment="1">
      <alignment horizontal="center" vertical="center"/>
    </xf>
    <xf numFmtId="176" fontId="23" fillId="9" borderId="1" xfId="0" quotePrefix="1" applyNumberFormat="1" applyFont="1" applyFill="1" applyBorder="1" applyAlignment="1">
      <alignment horizontal="center" vertical="center"/>
    </xf>
    <xf numFmtId="176" fontId="47" fillId="9" borderId="1" xfId="0" quotePrefix="1" applyNumberFormat="1" applyFont="1" applyFill="1" applyBorder="1" applyAlignment="1">
      <alignment horizontal="center" vertical="center"/>
    </xf>
    <xf numFmtId="176" fontId="47" fillId="2" borderId="1" xfId="0" applyNumberFormat="1" applyFont="1" applyFill="1" applyBorder="1" applyAlignment="1">
      <alignment horizontal="center" vertical="center"/>
    </xf>
    <xf numFmtId="1" fontId="21" fillId="2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9" fontId="2" fillId="0" borderId="1" xfId="2" quotePrefix="1" applyNumberFormat="1" applyFont="1" applyBorder="1" applyAlignment="1">
      <alignment vertical="center"/>
    </xf>
    <xf numFmtId="164" fontId="3" fillId="3" borderId="19" xfId="0" applyNumberFormat="1" applyFont="1" applyFill="1" applyBorder="1"/>
    <xf numFmtId="167" fontId="51" fillId="5" borderId="10" xfId="1" quotePrefix="1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3" fillId="0" borderId="5" xfId="0" applyFont="1" applyBorder="1" applyAlignment="1">
      <alignment horizontal="center"/>
    </xf>
    <xf numFmtId="0" fontId="10" fillId="8" borderId="7" xfId="0" applyFont="1" applyFill="1" applyBorder="1" applyAlignment="1">
      <alignment horizontal="center" vertical="center" wrapText="1"/>
    </xf>
    <xf numFmtId="167" fontId="52" fillId="20" borderId="18" xfId="1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left"/>
    </xf>
    <xf numFmtId="167" fontId="21" fillId="3" borderId="1" xfId="1" applyNumberFormat="1" applyFont="1" applyFill="1" applyBorder="1" applyAlignment="1">
      <alignment vertical="center"/>
    </xf>
    <xf numFmtId="171" fontId="21" fillId="3" borderId="1" xfId="1" applyNumberFormat="1" applyFont="1" applyFill="1" applyBorder="1" applyAlignment="1">
      <alignment vertical="center"/>
    </xf>
    <xf numFmtId="171" fontId="21" fillId="3" borderId="1" xfId="1" applyNumberFormat="1" applyFont="1" applyFill="1" applyBorder="1" applyAlignment="1">
      <alignment horizontal="left" vertical="center" indent="1"/>
    </xf>
    <xf numFmtId="171" fontId="21" fillId="3" borderId="1" xfId="0" applyNumberFormat="1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167" fontId="23" fillId="3" borderId="1" xfId="1" applyNumberFormat="1" applyFont="1" applyFill="1" applyBorder="1" applyAlignment="1">
      <alignment vertical="center"/>
    </xf>
    <xf numFmtId="49" fontId="24" fillId="3" borderId="1" xfId="0" applyNumberFormat="1" applyFont="1" applyFill="1" applyBorder="1" applyAlignment="1">
      <alignment horizontal="center" vertical="center"/>
    </xf>
    <xf numFmtId="165" fontId="2" fillId="3" borderId="18" xfId="0" applyNumberFormat="1" applyFont="1" applyFill="1" applyBorder="1" applyAlignment="1">
      <alignment horizontal="center"/>
    </xf>
    <xf numFmtId="0" fontId="53" fillId="0" borderId="1" xfId="0" applyFont="1" applyBorder="1" applyAlignment="1">
      <alignment horizontal="center"/>
    </xf>
    <xf numFmtId="167" fontId="12" fillId="5" borderId="20" xfId="1" quotePrefix="1" applyNumberFormat="1" applyFont="1" applyFill="1" applyBorder="1" applyAlignment="1">
      <alignment horizontal="center" vertical="center"/>
    </xf>
    <xf numFmtId="49" fontId="3" fillId="0" borderId="1" xfId="2" quotePrefix="1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173" fontId="21" fillId="2" borderId="1" xfId="1" applyNumberFormat="1" applyFont="1" applyFill="1" applyBorder="1" applyAlignment="1">
      <alignment horizontal="center" vertical="center" wrapText="1"/>
    </xf>
    <xf numFmtId="167" fontId="21" fillId="3" borderId="1" xfId="1" applyNumberFormat="1" applyFont="1" applyFill="1" applyBorder="1" applyAlignment="1">
      <alignment horizontal="left" vertical="center" indent="1"/>
    </xf>
    <xf numFmtId="167" fontId="2" fillId="3" borderId="0" xfId="0" applyNumberFormat="1" applyFont="1" applyFill="1" applyAlignment="1">
      <alignment vertical="center"/>
    </xf>
    <xf numFmtId="167" fontId="2" fillId="5" borderId="37" xfId="1" applyNumberFormat="1" applyFont="1" applyFill="1" applyBorder="1" applyAlignment="1">
      <alignment vertical="center"/>
    </xf>
    <xf numFmtId="167" fontId="2" fillId="5" borderId="38" xfId="1" applyNumberFormat="1" applyFont="1" applyFill="1" applyBorder="1" applyAlignment="1">
      <alignment vertical="center"/>
    </xf>
    <xf numFmtId="176" fontId="3" fillId="0" borderId="0" xfId="0" applyNumberFormat="1" applyFont="1" applyAlignment="1">
      <alignment horizontal="left"/>
    </xf>
    <xf numFmtId="176" fontId="10" fillId="0" borderId="1" xfId="0" applyNumberFormat="1" applyFont="1" applyBorder="1" applyAlignment="1">
      <alignment horizontal="center"/>
    </xf>
    <xf numFmtId="176" fontId="5" fillId="0" borderId="1" xfId="0" quotePrefix="1" applyNumberFormat="1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176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7" fontId="21" fillId="2" borderId="6" xfId="1" applyNumberFormat="1" applyFont="1" applyFill="1" applyBorder="1" applyAlignment="1">
      <alignment vertical="center"/>
    </xf>
    <xf numFmtId="4" fontId="2" fillId="2" borderId="24" xfId="0" applyNumberFormat="1" applyFont="1" applyFill="1" applyBorder="1" applyAlignment="1">
      <alignment horizontal="left" wrapText="1"/>
    </xf>
    <xf numFmtId="49" fontId="6" fillId="2" borderId="1" xfId="2" quotePrefix="1" applyNumberFormat="1" applyFont="1" applyFill="1" applyBorder="1" applyAlignment="1">
      <alignment wrapText="1"/>
    </xf>
    <xf numFmtId="176" fontId="24" fillId="2" borderId="1" xfId="0" applyNumberFormat="1" applyFont="1" applyFill="1" applyBorder="1" applyAlignment="1">
      <alignment horizontal="center" vertical="center"/>
    </xf>
    <xf numFmtId="49" fontId="2" fillId="0" borderId="18" xfId="2" quotePrefix="1" applyNumberFormat="1" applyFont="1" applyBorder="1"/>
    <xf numFmtId="49" fontId="24" fillId="2" borderId="18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/>
    </xf>
    <xf numFmtId="167" fontId="12" fillId="5" borderId="20" xfId="1" quotePrefix="1" applyNumberFormat="1" applyFont="1" applyFill="1" applyBorder="1" applyAlignment="1">
      <alignment horizontal="center"/>
    </xf>
    <xf numFmtId="49" fontId="24" fillId="2" borderId="1" xfId="0" applyNumberFormat="1" applyFont="1" applyFill="1" applyBorder="1" applyAlignment="1">
      <alignment horizontal="center" vertical="center" wrapText="1"/>
    </xf>
    <xf numFmtId="167" fontId="12" fillId="5" borderId="1" xfId="1" quotePrefix="1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left"/>
    </xf>
    <xf numFmtId="0" fontId="22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 wrapText="1"/>
    </xf>
    <xf numFmtId="176" fontId="23" fillId="3" borderId="1" xfId="0" applyNumberFormat="1" applyFont="1" applyFill="1" applyBorder="1" applyAlignment="1">
      <alignment horizontal="center" vertical="center"/>
    </xf>
    <xf numFmtId="176" fontId="47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4" fontId="5" fillId="2" borderId="18" xfId="0" applyNumberFormat="1" applyFont="1" applyFill="1" applyBorder="1" applyAlignment="1">
      <alignment horizontal="left" wrapText="1"/>
    </xf>
    <xf numFmtId="0" fontId="3" fillId="3" borderId="39" xfId="0" applyFon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171" fontId="21" fillId="10" borderId="1" xfId="1" applyNumberFormat="1" applyFont="1" applyFill="1" applyBorder="1" applyAlignment="1">
      <alignment vertical="center"/>
    </xf>
    <xf numFmtId="173" fontId="35" fillId="2" borderId="1" xfId="1" applyNumberFormat="1" applyFont="1" applyFill="1" applyBorder="1" applyAlignment="1">
      <alignment horizontal="center" vertical="center"/>
    </xf>
    <xf numFmtId="49" fontId="5" fillId="21" borderId="1" xfId="0" applyNumberFormat="1" applyFont="1" applyFill="1" applyBorder="1" applyAlignment="1">
      <alignment vertical="center"/>
    </xf>
    <xf numFmtId="177" fontId="2" fillId="0" borderId="0" xfId="0" applyNumberFormat="1" applyFont="1" applyAlignment="1">
      <alignment horizontal="center"/>
    </xf>
    <xf numFmtId="177" fontId="10" fillId="0" borderId="1" xfId="0" applyNumberFormat="1" applyFont="1" applyBorder="1" applyAlignment="1">
      <alignment horizontal="center"/>
    </xf>
    <xf numFmtId="177" fontId="2" fillId="2" borderId="1" xfId="0" quotePrefix="1" applyNumberFormat="1" applyFont="1" applyFill="1" applyBorder="1" applyAlignment="1">
      <alignment horizontal="center"/>
    </xf>
    <xf numFmtId="177" fontId="2" fillId="0" borderId="1" xfId="0" applyNumberFormat="1" applyFont="1" applyBorder="1" applyAlignment="1">
      <alignment horizontal="center"/>
    </xf>
    <xf numFmtId="177" fontId="2" fillId="0" borderId="1" xfId="0" quotePrefix="1" applyNumberFormat="1" applyFont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173" fontId="14" fillId="2" borderId="1" xfId="1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/>
    </xf>
    <xf numFmtId="167" fontId="23" fillId="0" borderId="1" xfId="1" applyNumberFormat="1" applyFont="1" applyFill="1" applyBorder="1" applyAlignment="1">
      <alignment vertical="center"/>
    </xf>
    <xf numFmtId="176" fontId="23" fillId="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76" fontId="2" fillId="0" borderId="0" xfId="0" applyNumberFormat="1" applyFont="1" applyAlignment="1">
      <alignment horizontal="left"/>
    </xf>
    <xf numFmtId="176" fontId="4" fillId="0" borderId="0" xfId="0" applyNumberFormat="1" applyFont="1" applyAlignment="1">
      <alignment horizontal="center"/>
    </xf>
    <xf numFmtId="176" fontId="10" fillId="0" borderId="7" xfId="0" applyNumberFormat="1" applyFont="1" applyBorder="1" applyAlignment="1">
      <alignment horizontal="center"/>
    </xf>
    <xf numFmtId="176" fontId="2" fillId="3" borderId="0" xfId="0" applyNumberFormat="1" applyFont="1" applyFill="1" applyAlignment="1">
      <alignment vertical="center"/>
    </xf>
    <xf numFmtId="176" fontId="2" fillId="2" borderId="7" xfId="0" quotePrefix="1" applyNumberFormat="1" applyFont="1" applyFill="1" applyBorder="1" applyAlignment="1">
      <alignment horizontal="center"/>
    </xf>
    <xf numFmtId="176" fontId="2" fillId="2" borderId="11" xfId="0" quotePrefix="1" applyNumberFormat="1" applyFont="1" applyFill="1" applyBorder="1" applyAlignment="1">
      <alignment horizontal="center"/>
    </xf>
    <xf numFmtId="176" fontId="2" fillId="2" borderId="1" xfId="2" quotePrefix="1" applyNumberFormat="1" applyFont="1" applyFill="1" applyBorder="1" applyAlignment="1">
      <alignment horizontal="center"/>
    </xf>
    <xf numFmtId="176" fontId="2" fillId="2" borderId="1" xfId="3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left"/>
    </xf>
    <xf numFmtId="176" fontId="2" fillId="2" borderId="18" xfId="0" quotePrefix="1" applyNumberFormat="1" applyFont="1" applyFill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2" fillId="0" borderId="1" xfId="0" quotePrefix="1" applyNumberFormat="1" applyFont="1" applyBorder="1" applyAlignment="1">
      <alignment horizontal="left"/>
    </xf>
    <xf numFmtId="176" fontId="2" fillId="2" borderId="18" xfId="2" quotePrefix="1" applyNumberFormat="1" applyFont="1" applyFill="1" applyBorder="1" applyAlignment="1">
      <alignment horizontal="center"/>
    </xf>
    <xf numFmtId="167" fontId="12" fillId="5" borderId="13" xfId="1" quotePrefix="1" applyNumberFormat="1" applyFont="1" applyFill="1" applyBorder="1" applyAlignment="1">
      <alignment horizontal="right"/>
    </xf>
    <xf numFmtId="0" fontId="3" fillId="0" borderId="42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20" fillId="9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left"/>
    </xf>
    <xf numFmtId="49" fontId="10" fillId="0" borderId="7" xfId="0" applyNumberFormat="1" applyFont="1" applyBorder="1" applyAlignment="1">
      <alignment horizontal="center"/>
    </xf>
    <xf numFmtId="49" fontId="2" fillId="3" borderId="0" xfId="0" applyNumberFormat="1" applyFont="1" applyFill="1" applyAlignment="1">
      <alignment vertical="center"/>
    </xf>
    <xf numFmtId="49" fontId="2" fillId="2" borderId="1" xfId="0" quotePrefix="1" applyNumberFormat="1" applyFont="1" applyFill="1" applyBorder="1" applyAlignment="1">
      <alignment horizontal="center"/>
    </xf>
    <xf numFmtId="49" fontId="2" fillId="2" borderId="1" xfId="0" quotePrefix="1" applyNumberFormat="1" applyFont="1" applyFill="1" applyBorder="1" applyAlignment="1">
      <alignment horizontal="left"/>
    </xf>
    <xf numFmtId="49" fontId="2" fillId="2" borderId="18" xfId="0" quotePrefix="1" applyNumberFormat="1" applyFont="1" applyFill="1" applyBorder="1" applyAlignment="1">
      <alignment horizontal="left"/>
    </xf>
    <xf numFmtId="49" fontId="6" fillId="3" borderId="1" xfId="2" quotePrefix="1" applyNumberFormat="1" applyFont="1" applyFill="1" applyBorder="1"/>
    <xf numFmtId="176" fontId="31" fillId="0" borderId="1" xfId="0" applyNumberFormat="1" applyFont="1" applyBorder="1" applyAlignment="1">
      <alignment horizontal="center"/>
    </xf>
    <xf numFmtId="167" fontId="12" fillId="5" borderId="43" xfId="1" quotePrefix="1" applyNumberFormat="1" applyFont="1" applyFill="1" applyBorder="1" applyAlignment="1">
      <alignment horizontal="center"/>
    </xf>
    <xf numFmtId="167" fontId="20" fillId="3" borderId="0" xfId="1" applyNumberFormat="1" applyFont="1" applyFill="1" applyAlignment="1">
      <alignment vertical="center"/>
    </xf>
    <xf numFmtId="49" fontId="56" fillId="0" borderId="1" xfId="5" applyNumberFormat="1" applyFont="1" applyBorder="1" applyAlignment="1">
      <alignment vertical="center"/>
    </xf>
    <xf numFmtId="49" fontId="2" fillId="2" borderId="24" xfId="2" quotePrefix="1" applyNumberFormat="1" applyFont="1" applyFill="1" applyBorder="1" applyAlignment="1">
      <alignment wrapText="1"/>
    </xf>
    <xf numFmtId="49" fontId="2" fillId="0" borderId="24" xfId="2" quotePrefix="1" applyNumberFormat="1" applyFont="1" applyBorder="1" applyAlignment="1">
      <alignment vertical="center"/>
    </xf>
    <xf numFmtId="49" fontId="56" fillId="0" borderId="1" xfId="182" applyNumberFormat="1" applyFont="1" applyBorder="1" applyAlignment="1">
      <alignment vertical="center"/>
    </xf>
    <xf numFmtId="3" fontId="2" fillId="2" borderId="5" xfId="0" applyNumberFormat="1" applyFont="1" applyFill="1" applyBorder="1" applyAlignment="1">
      <alignment horizontal="center"/>
    </xf>
    <xf numFmtId="43" fontId="12" fillId="5" borderId="1" xfId="1" quotePrefix="1" applyFont="1" applyFill="1" applyBorder="1" applyAlignment="1">
      <alignment horizontal="right"/>
    </xf>
    <xf numFmtId="0" fontId="2" fillId="0" borderId="1" xfId="11" applyNumberFormat="1" applyFont="1" applyFill="1" applyBorder="1" applyAlignment="1">
      <alignment horizontal="right" vertical="center"/>
    </xf>
    <xf numFmtId="4" fontId="2" fillId="0" borderId="1" xfId="184" applyNumberFormat="1" applyFont="1" applyBorder="1" applyAlignment="1">
      <alignment horizontal="right" vertical="center" wrapText="1" shrinkToFit="1"/>
    </xf>
    <xf numFmtId="2" fontId="21" fillId="2" borderId="1" xfId="1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wrapText="1"/>
    </xf>
    <xf numFmtId="11" fontId="21" fillId="2" borderId="1" xfId="0" applyNumberFormat="1" applyFont="1" applyFill="1" applyBorder="1" applyAlignment="1">
      <alignment horizontal="center" vertical="center" wrapText="1"/>
    </xf>
    <xf numFmtId="167" fontId="2" fillId="3" borderId="0" xfId="0" applyNumberFormat="1" applyFont="1" applyFill="1"/>
    <xf numFmtId="14" fontId="2" fillId="0" borderId="1" xfId="0" applyNumberFormat="1" applyFont="1" applyBorder="1" applyAlignment="1">
      <alignment horizontal="center"/>
    </xf>
    <xf numFmtId="49" fontId="94" fillId="0" borderId="1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49" fontId="2" fillId="0" borderId="1" xfId="2" quotePrefix="1" applyNumberFormat="1" applyFont="1" applyBorder="1" applyAlignment="1">
      <alignment horizontal="center" vertical="center"/>
    </xf>
    <xf numFmtId="179" fontId="2" fillId="0" borderId="1" xfId="0" quotePrefix="1" applyNumberFormat="1" applyFont="1" applyBorder="1" applyAlignment="1">
      <alignment horizontal="center"/>
    </xf>
    <xf numFmtId="167" fontId="3" fillId="3" borderId="0" xfId="1" applyNumberFormat="1" applyFont="1" applyFill="1" applyAlignment="1">
      <alignment vertical="center"/>
    </xf>
    <xf numFmtId="179" fontId="2" fillId="0" borderId="1" xfId="0" quotePrefix="1" applyNumberFormat="1" applyFont="1" applyBorder="1" applyAlignment="1">
      <alignment horizontal="left"/>
    </xf>
    <xf numFmtId="180" fontId="26" fillId="2" borderId="1" xfId="0" applyNumberFormat="1" applyFont="1" applyFill="1" applyBorder="1" applyAlignment="1">
      <alignment vertical="center" wrapText="1"/>
    </xf>
    <xf numFmtId="180" fontId="23" fillId="8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/>
    </xf>
    <xf numFmtId="180" fontId="21" fillId="2" borderId="1" xfId="0" applyNumberFormat="1" applyFont="1" applyFill="1" applyBorder="1" applyAlignment="1">
      <alignment horizontal="center" vertical="center"/>
    </xf>
    <xf numFmtId="180" fontId="21" fillId="2" borderId="1" xfId="0" quotePrefix="1" applyNumberFormat="1" applyFont="1" applyFill="1" applyBorder="1" applyAlignment="1">
      <alignment horizontal="center" vertical="center"/>
    </xf>
    <xf numFmtId="180" fontId="21" fillId="2" borderId="0" xfId="0" applyNumberFormat="1" applyFont="1" applyFill="1" applyAlignment="1">
      <alignment horizontal="center" vertical="center"/>
    </xf>
    <xf numFmtId="0" fontId="2" fillId="0" borderId="1" xfId="0" applyNumberFormat="1" applyFont="1" applyBorder="1" applyAlignment="1">
      <alignment horizontal="center"/>
    </xf>
    <xf numFmtId="167" fontId="22" fillId="3" borderId="24" xfId="1" applyNumberFormat="1" applyFont="1" applyFill="1" applyBorder="1" applyAlignment="1">
      <alignment horizontal="center" vertical="center"/>
    </xf>
    <xf numFmtId="176" fontId="20" fillId="14" borderId="1" xfId="0" applyNumberFormat="1" applyFont="1" applyFill="1" applyBorder="1" applyAlignment="1">
      <alignment horizontal="center" vertical="center"/>
    </xf>
    <xf numFmtId="176" fontId="23" fillId="14" borderId="1" xfId="0" applyNumberFormat="1" applyFont="1" applyFill="1" applyBorder="1" applyAlignment="1">
      <alignment horizontal="center" vertical="center"/>
    </xf>
    <xf numFmtId="167" fontId="19" fillId="9" borderId="1" xfId="1" applyNumberFormat="1" applyFont="1" applyFill="1" applyBorder="1" applyAlignment="1">
      <alignment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7" fontId="24" fillId="3" borderId="24" xfId="1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181" fontId="21" fillId="2" borderId="1" xfId="0" applyNumberFormat="1" applyFont="1" applyFill="1" applyBorder="1" applyAlignment="1">
      <alignment horizontal="center" vertical="center"/>
    </xf>
    <xf numFmtId="176" fontId="47" fillId="9" borderId="1" xfId="0" applyNumberFormat="1" applyFont="1" applyFill="1" applyBorder="1" applyAlignment="1">
      <alignment horizontal="center" vertical="center"/>
    </xf>
    <xf numFmtId="167" fontId="2" fillId="3" borderId="0" xfId="1" applyNumberFormat="1" applyFont="1" applyFill="1"/>
    <xf numFmtId="0" fontId="3" fillId="3" borderId="1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 wrapText="1"/>
    </xf>
    <xf numFmtId="167" fontId="24" fillId="2" borderId="24" xfId="1" applyNumberFormat="1" applyFont="1" applyFill="1" applyBorder="1" applyAlignment="1">
      <alignment horizontal="center" vertical="center"/>
    </xf>
    <xf numFmtId="0" fontId="21" fillId="2" borderId="1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164" fontId="10" fillId="0" borderId="6" xfId="0" applyNumberFormat="1" applyFont="1" applyBorder="1" applyAlignment="1">
      <alignment horizontal="center"/>
    </xf>
    <xf numFmtId="164" fontId="5" fillId="2" borderId="6" xfId="0" quotePrefix="1" applyNumberFormat="1" applyFont="1" applyFill="1" applyBorder="1" applyAlignment="1">
      <alignment horizontal="left" wrapText="1"/>
    </xf>
    <xf numFmtId="164" fontId="5" fillId="3" borderId="6" xfId="0" quotePrefix="1" applyNumberFormat="1" applyFont="1" applyFill="1" applyBorder="1" applyAlignment="1">
      <alignment horizontal="left" wrapText="1"/>
    </xf>
    <xf numFmtId="164" fontId="5" fillId="0" borderId="6" xfId="0" quotePrefix="1" applyNumberFormat="1" applyFont="1" applyBorder="1" applyAlignment="1">
      <alignment horizontal="left" wrapText="1"/>
    </xf>
    <xf numFmtId="164" fontId="3" fillId="2" borderId="6" xfId="0" applyNumberFormat="1" applyFont="1" applyFill="1" applyBorder="1" applyAlignment="1">
      <alignment horizontal="left" wrapText="1"/>
    </xf>
    <xf numFmtId="164" fontId="3" fillId="2" borderId="6" xfId="0" applyNumberFormat="1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/>
    </xf>
    <xf numFmtId="164" fontId="5" fillId="2" borderId="6" xfId="0" applyNumberFormat="1" applyFont="1" applyFill="1" applyBorder="1" applyAlignment="1">
      <alignment horizontal="left" wrapText="1"/>
    </xf>
    <xf numFmtId="164" fontId="5" fillId="0" borderId="6" xfId="0" applyNumberFormat="1" applyFont="1" applyBorder="1" applyAlignment="1">
      <alignment horizontal="left" wrapText="1"/>
    </xf>
    <xf numFmtId="164" fontId="5" fillId="0" borderId="53" xfId="0" applyNumberFormat="1" applyFont="1" applyBorder="1" applyAlignment="1">
      <alignment horizontal="left" wrapText="1"/>
    </xf>
    <xf numFmtId="164" fontId="3" fillId="0" borderId="53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/>
    </xf>
    <xf numFmtId="164" fontId="3" fillId="0" borderId="6" xfId="0" applyNumberFormat="1" applyFont="1" applyBorder="1" applyAlignment="1">
      <alignment horizontal="left" wrapText="1"/>
    </xf>
    <xf numFmtId="176" fontId="31" fillId="2" borderId="6" xfId="0" quotePrefix="1" applyNumberFormat="1" applyFont="1" applyFill="1" applyBorder="1" applyAlignment="1">
      <alignment horizontal="left" vertical="center" wrapText="1"/>
    </xf>
    <xf numFmtId="164" fontId="5" fillId="0" borderId="53" xfId="0" applyNumberFormat="1" applyFont="1" applyBorder="1" applyAlignment="1">
      <alignment horizontal="left"/>
    </xf>
    <xf numFmtId="164" fontId="3" fillId="3" borderId="6" xfId="0" applyNumberFormat="1" applyFont="1" applyFill="1" applyBorder="1" applyAlignment="1">
      <alignment horizontal="left" wrapText="1"/>
    </xf>
    <xf numFmtId="164" fontId="5" fillId="3" borderId="6" xfId="0" applyNumberFormat="1" applyFont="1" applyFill="1" applyBorder="1" applyAlignment="1">
      <alignment horizontal="left" wrapText="1"/>
    </xf>
    <xf numFmtId="164" fontId="3" fillId="2" borderId="1" xfId="0" applyNumberFormat="1" applyFont="1" applyFill="1" applyBorder="1"/>
    <xf numFmtId="0" fontId="10" fillId="0" borderId="1" xfId="0" applyFont="1" applyBorder="1" applyAlignment="1">
      <alignment horizontal="center" vertical="center" wrapText="1"/>
    </xf>
    <xf numFmtId="49" fontId="56" fillId="0" borderId="1" xfId="0" applyNumberFormat="1" applyFont="1" applyBorder="1" applyAlignment="1">
      <alignment vertical="center"/>
    </xf>
    <xf numFmtId="16" fontId="2" fillId="0" borderId="1" xfId="0" quotePrefix="1" applyNumberFormat="1" applyFont="1" applyBorder="1" applyAlignment="1">
      <alignment horizontal="center"/>
    </xf>
    <xf numFmtId="181" fontId="21" fillId="2" borderId="1" xfId="0" quotePrefix="1" applyNumberFormat="1" applyFont="1" applyFill="1" applyBorder="1" applyAlignment="1">
      <alignment horizontal="center" vertical="center"/>
    </xf>
    <xf numFmtId="43" fontId="12" fillId="5" borderId="13" xfId="1" quotePrefix="1" applyNumberFormat="1" applyFont="1" applyFill="1" applyBorder="1" applyAlignment="1">
      <alignment horizontal="center"/>
    </xf>
    <xf numFmtId="43" fontId="20" fillId="2" borderId="1" xfId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0" fontId="3" fillId="3" borderId="2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5" fillId="3" borderId="18" xfId="0" applyNumberFormat="1" applyFont="1" applyFill="1" applyBorder="1" applyAlignment="1">
      <alignment horizontal="center" wrapText="1"/>
    </xf>
    <xf numFmtId="176" fontId="5" fillId="3" borderId="24" xfId="0" applyNumberFormat="1" applyFont="1" applyFill="1" applyBorder="1" applyAlignment="1">
      <alignment horizontal="center" wrapText="1"/>
    </xf>
    <xf numFmtId="164" fontId="3" fillId="3" borderId="0" xfId="0" applyNumberFormat="1" applyFont="1" applyFill="1" applyBorder="1"/>
    <xf numFmtId="164" fontId="5" fillId="3" borderId="0" xfId="0" applyNumberFormat="1" applyFont="1" applyFill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174" fontId="12" fillId="5" borderId="8" xfId="1" quotePrefix="1" applyNumberFormat="1" applyFont="1" applyFill="1" applyBorder="1" applyAlignment="1">
      <alignment horizontal="center"/>
    </xf>
    <xf numFmtId="167" fontId="12" fillId="5" borderId="8" xfId="1" quotePrefix="1" applyNumberFormat="1" applyFont="1" applyFill="1" applyBorder="1" applyAlignment="1">
      <alignment horizontal="center"/>
    </xf>
    <xf numFmtId="49" fontId="12" fillId="5" borderId="20" xfId="1" quotePrefix="1" applyNumberFormat="1" applyFont="1" applyFill="1" applyBorder="1" applyAlignment="1">
      <alignment horizontal="center"/>
    </xf>
    <xf numFmtId="182" fontId="12" fillId="5" borderId="13" xfId="1" quotePrefix="1" applyNumberFormat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left"/>
    </xf>
    <xf numFmtId="2" fontId="21" fillId="2" borderId="1" xfId="1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49" fontId="2" fillId="0" borderId="1" xfId="2" quotePrefix="1" applyNumberFormat="1" applyFont="1" applyFill="1" applyBorder="1" applyAlignment="1">
      <alignment vertical="center"/>
    </xf>
    <xf numFmtId="164" fontId="5" fillId="3" borderId="0" xfId="0" applyNumberFormat="1" applyFont="1" applyFill="1" applyAlignment="1">
      <alignment horizontal="left"/>
    </xf>
    <xf numFmtId="167" fontId="2" fillId="5" borderId="7" xfId="1" quotePrefix="1" applyNumberFormat="1" applyFont="1" applyFill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14" fontId="2" fillId="0" borderId="18" xfId="0" applyNumberFormat="1" applyFont="1" applyBorder="1" applyAlignment="1">
      <alignment horizontal="center"/>
    </xf>
    <xf numFmtId="49" fontId="2" fillId="0" borderId="18" xfId="2" quotePrefix="1" applyNumberFormat="1" applyFont="1" applyBorder="1" applyAlignment="1">
      <alignment vertical="center"/>
    </xf>
    <xf numFmtId="0" fontId="2" fillId="0" borderId="20" xfId="0" applyFont="1" applyBorder="1" applyAlignment="1">
      <alignment horizontal="center"/>
    </xf>
    <xf numFmtId="0" fontId="2" fillId="0" borderId="24" xfId="0" quotePrefix="1" applyFont="1" applyFill="1" applyBorder="1" applyAlignment="1">
      <alignment horizontal="center"/>
    </xf>
    <xf numFmtId="164" fontId="6" fillId="0" borderId="24" xfId="0" applyNumberFormat="1" applyFont="1" applyBorder="1" applyAlignment="1">
      <alignment horizontal="center"/>
    </xf>
    <xf numFmtId="164" fontId="11" fillId="2" borderId="24" xfId="0" applyNumberFormat="1" applyFont="1" applyFill="1" applyBorder="1" applyAlignment="1">
      <alignment horizontal="center"/>
    </xf>
    <xf numFmtId="167" fontId="21" fillId="13" borderId="24" xfId="1" applyNumberFormat="1" applyFont="1" applyFill="1" applyBorder="1" applyAlignment="1">
      <alignment vertical="center"/>
    </xf>
    <xf numFmtId="171" fontId="21" fillId="16" borderId="24" xfId="0" applyNumberFormat="1" applyFont="1" applyFill="1" applyBorder="1" applyAlignment="1">
      <alignment vertical="center"/>
    </xf>
    <xf numFmtId="171" fontId="21" fillId="14" borderId="24" xfId="1" applyNumberFormat="1" applyFont="1" applyFill="1" applyBorder="1" applyAlignment="1">
      <alignment horizontal="left" vertical="center" indent="1"/>
    </xf>
    <xf numFmtId="167" fontId="23" fillId="15" borderId="24" xfId="1" applyNumberFormat="1" applyFont="1" applyFill="1" applyBorder="1" applyAlignment="1">
      <alignment vertical="center"/>
    </xf>
    <xf numFmtId="0" fontId="2" fillId="0" borderId="1" xfId="0" applyFont="1" applyBorder="1"/>
    <xf numFmtId="3" fontId="98" fillId="0" borderId="1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165" fontId="2" fillId="0" borderId="18" xfId="0" quotePrefix="1" applyNumberFormat="1" applyFont="1" applyBorder="1" applyAlignment="1">
      <alignment horizontal="center"/>
    </xf>
    <xf numFmtId="177" fontId="21" fillId="2" borderId="1" xfId="1" quotePrefix="1" applyNumberFormat="1" applyFont="1" applyFill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/>
    </xf>
    <xf numFmtId="169" fontId="21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/>
    <xf numFmtId="0" fontId="135" fillId="0" borderId="1" xfId="0" applyFont="1" applyBorder="1" applyAlignment="1">
      <alignment horizontal="center"/>
    </xf>
    <xf numFmtId="0" fontId="135" fillId="0" borderId="0" xfId="0" applyFont="1" applyAlignment="1">
      <alignment horizontal="center"/>
    </xf>
    <xf numFmtId="0" fontId="135" fillId="0" borderId="0" xfId="0" applyFont="1" applyBorder="1" applyAlignment="1">
      <alignment horizontal="center"/>
    </xf>
    <xf numFmtId="0" fontId="0" fillId="0" borderId="0" xfId="0" applyBorder="1"/>
    <xf numFmtId="0" fontId="134" fillId="0" borderId="0" xfId="0" applyFont="1" applyBorder="1"/>
    <xf numFmtId="0" fontId="134" fillId="3" borderId="0" xfId="0" applyFont="1" applyFill="1"/>
    <xf numFmtId="0" fontId="0" fillId="3" borderId="0" xfId="0" applyFill="1"/>
    <xf numFmtId="0" fontId="0" fillId="0" borderId="1" xfId="0" quotePrefix="1" applyBorder="1" applyAlignment="1">
      <alignment wrapText="1"/>
    </xf>
    <xf numFmtId="0" fontId="0" fillId="0" borderId="1" xfId="0" quotePrefix="1" applyBorder="1"/>
    <xf numFmtId="0" fontId="0" fillId="7" borderId="1" xfId="0" applyFill="1" applyBorder="1"/>
    <xf numFmtId="14" fontId="0" fillId="0" borderId="1" xfId="0" quotePrefix="1" applyNumberFormat="1" applyBorder="1"/>
    <xf numFmtId="165" fontId="2" fillId="0" borderId="24" xfId="0" quotePrefix="1" applyNumberFormat="1" applyFont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/>
    </xf>
    <xf numFmtId="40" fontId="19" fillId="0" borderId="1" xfId="12" applyNumberFormat="1" applyFont="1" applyFill="1" applyBorder="1" applyAlignment="1">
      <alignment horizontal="center" vertical="center" shrinkToFit="1"/>
    </xf>
    <xf numFmtId="0" fontId="20" fillId="9" borderId="20" xfId="0" applyFont="1" applyFill="1" applyBorder="1" applyAlignment="1">
      <alignment vertical="center" wrapText="1"/>
    </xf>
    <xf numFmtId="0" fontId="20" fillId="9" borderId="0" xfId="0" applyFont="1" applyFill="1" applyBorder="1" applyAlignment="1">
      <alignment vertical="center" wrapText="1"/>
    </xf>
    <xf numFmtId="176" fontId="21" fillId="2" borderId="1" xfId="0" applyNumberFormat="1" applyFont="1" applyFill="1" applyBorder="1" applyAlignment="1">
      <alignment horizontal="center" vertical="center"/>
    </xf>
    <xf numFmtId="167" fontId="3" fillId="2" borderId="1" xfId="1" applyNumberFormat="1" applyFont="1" applyFill="1" applyBorder="1" applyAlignment="1">
      <alignment horizontal="right" vertical="center"/>
    </xf>
    <xf numFmtId="49" fontId="12" fillId="5" borderId="1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center"/>
    </xf>
    <xf numFmtId="164" fontId="136" fillId="2" borderId="1" xfId="0" applyNumberFormat="1" applyFont="1" applyFill="1" applyBorder="1" applyAlignment="1">
      <alignment horizontal="center"/>
    </xf>
    <xf numFmtId="164" fontId="3" fillId="0" borderId="6" xfId="0" quotePrefix="1" applyNumberFormat="1" applyFont="1" applyFill="1" applyBorder="1" applyAlignment="1">
      <alignment horizontal="left" wrapText="1"/>
    </xf>
    <xf numFmtId="0" fontId="20" fillId="2" borderId="1" xfId="0" applyFont="1" applyFill="1" applyBorder="1" applyAlignment="1">
      <alignment horizontal="center" vertical="center" shrinkToFit="1"/>
    </xf>
    <xf numFmtId="0" fontId="21" fillId="9" borderId="1" xfId="0" applyFont="1" applyFill="1" applyBorder="1" applyAlignment="1">
      <alignment horizontal="center" vertical="center"/>
    </xf>
    <xf numFmtId="0" fontId="138" fillId="0" borderId="56" xfId="0" applyFont="1" applyBorder="1" applyAlignment="1">
      <alignment horizontal="center"/>
    </xf>
    <xf numFmtId="176" fontId="6" fillId="2" borderId="1" xfId="0" quotePrefix="1" applyNumberFormat="1" applyFont="1" applyFill="1" applyBorder="1" applyAlignment="1">
      <alignment horizontal="left"/>
    </xf>
    <xf numFmtId="49" fontId="5" fillId="3" borderId="1" xfId="2" quotePrefix="1" applyNumberFormat="1" applyFont="1" applyFill="1" applyBorder="1" applyAlignment="1">
      <alignment horizontal="center"/>
    </xf>
    <xf numFmtId="167" fontId="19" fillId="10" borderId="1" xfId="1" applyNumberFormat="1" applyFont="1" applyFill="1" applyBorder="1" applyAlignment="1">
      <alignment horizontal="center" vertical="center"/>
    </xf>
    <xf numFmtId="164" fontId="5" fillId="0" borderId="6" xfId="0" applyNumberFormat="1" applyFont="1" applyFill="1" applyBorder="1" applyAlignment="1">
      <alignment horizontal="left" wrapText="1"/>
    </xf>
    <xf numFmtId="164" fontId="3" fillId="0" borderId="6" xfId="0" applyNumberFormat="1" applyFont="1" applyFill="1" applyBorder="1" applyAlignment="1">
      <alignment horizontal="left" wrapText="1"/>
    </xf>
    <xf numFmtId="164" fontId="5" fillId="0" borderId="53" xfId="0" quotePrefix="1" applyNumberFormat="1" applyFont="1" applyFill="1" applyBorder="1" applyAlignment="1">
      <alignment horizontal="left" wrapText="1"/>
    </xf>
    <xf numFmtId="164" fontId="5" fillId="0" borderId="55" xfId="0" quotePrefix="1" applyNumberFormat="1" applyFont="1" applyFill="1" applyBorder="1" applyAlignment="1">
      <alignment horizontal="left" wrapText="1"/>
    </xf>
    <xf numFmtId="164" fontId="3" fillId="3" borderId="1" xfId="0" quotePrefix="1" applyNumberFormat="1" applyFont="1" applyFill="1" applyBorder="1" applyAlignment="1">
      <alignment horizontal="left" wrapText="1"/>
    </xf>
    <xf numFmtId="167" fontId="2" fillId="5" borderId="7" xfId="1" quotePrefix="1" applyNumberFormat="1" applyFont="1" applyFill="1" applyBorder="1" applyAlignment="1">
      <alignment horizontal="right" shrinkToFit="1"/>
    </xf>
    <xf numFmtId="49" fontId="5" fillId="3" borderId="1" xfId="2" quotePrefix="1" applyNumberFormat="1" applyFont="1" applyFill="1" applyBorder="1" applyAlignment="1">
      <alignment horizontal="center" vertical="center"/>
    </xf>
    <xf numFmtId="176" fontId="47" fillId="0" borderId="1" xfId="0" quotePrefix="1" applyNumberFormat="1" applyFont="1" applyFill="1" applyBorder="1" applyAlignment="1">
      <alignment horizontal="center" vertical="center"/>
    </xf>
    <xf numFmtId="176" fontId="23" fillId="0" borderId="1" xfId="0" quotePrefix="1" applyNumberFormat="1" applyFont="1" applyFill="1" applyBorder="1" applyAlignment="1">
      <alignment horizontal="center" vertical="center" wrapText="1"/>
    </xf>
    <xf numFmtId="176" fontId="47" fillId="0" borderId="1" xfId="0" applyNumberFormat="1" applyFont="1" applyFill="1" applyBorder="1" applyAlignment="1">
      <alignment horizontal="center" vertical="center"/>
    </xf>
    <xf numFmtId="49" fontId="56" fillId="0" borderId="0" xfId="38401" applyNumberFormat="1" applyFont="1" applyBorder="1" applyAlignment="1">
      <alignment vertical="center"/>
    </xf>
    <xf numFmtId="3" fontId="2" fillId="2" borderId="8" xfId="0" applyNumberFormat="1" applyFont="1" applyFill="1" applyBorder="1" applyAlignment="1">
      <alignment horizontal="center"/>
    </xf>
    <xf numFmtId="167" fontId="2" fillId="5" borderId="7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49" fontId="2" fillId="0" borderId="1" xfId="38402" applyNumberFormat="1" applyFont="1" applyBorder="1" applyAlignment="1">
      <alignment horizontal="center" vertical="center"/>
    </xf>
    <xf numFmtId="3" fontId="12" fillId="5" borderId="58" xfId="1" applyNumberFormat="1" applyFont="1" applyFill="1" applyBorder="1" applyAlignment="1"/>
    <xf numFmtId="0" fontId="2" fillId="2" borderId="58" xfId="0" quotePrefix="1" applyFont="1" applyFill="1" applyBorder="1" applyAlignment="1">
      <alignment horizontal="left"/>
    </xf>
    <xf numFmtId="49" fontId="2" fillId="0" borderId="1" xfId="7" applyNumberFormat="1" applyFont="1" applyBorder="1" applyAlignment="1">
      <alignment vertical="top" wrapText="1"/>
    </xf>
    <xf numFmtId="49" fontId="2" fillId="0" borderId="1" xfId="7" applyNumberFormat="1" applyFont="1" applyBorder="1" applyAlignment="1">
      <alignment horizontal="center" vertical="top" wrapText="1"/>
    </xf>
    <xf numFmtId="0" fontId="1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3" fillId="0" borderId="0" xfId="0" applyFont="1"/>
    <xf numFmtId="167" fontId="14" fillId="2" borderId="0" xfId="1" applyNumberFormat="1" applyFont="1" applyFill="1" applyBorder="1" applyAlignment="1">
      <alignment vertical="center"/>
    </xf>
    <xf numFmtId="171" fontId="14" fillId="2" borderId="0" xfId="1" applyNumberFormat="1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171" fontId="14" fillId="2" borderId="0" xfId="1" applyNumberFormat="1" applyFont="1" applyFill="1" applyBorder="1" applyAlignment="1">
      <alignment horizontal="left" vertical="center" indent="1"/>
    </xf>
    <xf numFmtId="167" fontId="31" fillId="2" borderId="0" xfId="1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2" fillId="0" borderId="0" xfId="7" applyNumberFormat="1" applyFont="1" applyBorder="1" applyAlignment="1">
      <alignment vertical="top" wrapText="1"/>
    </xf>
    <xf numFmtId="167" fontId="14" fillId="2" borderId="1" xfId="1" applyNumberFormat="1" applyFont="1" applyFill="1" applyBorder="1" applyAlignment="1">
      <alignment vertical="center"/>
    </xf>
    <xf numFmtId="171" fontId="14" fillId="2" borderId="1" xfId="1" applyNumberFormat="1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71" fontId="14" fillId="2" borderId="1" xfId="1" applyNumberFormat="1" applyFont="1" applyFill="1" applyBorder="1" applyAlignment="1">
      <alignment horizontal="left" vertical="center" indent="1"/>
    </xf>
    <xf numFmtId="167" fontId="31" fillId="2" borderId="1" xfId="1" applyNumberFormat="1" applyFont="1" applyFill="1" applyBorder="1" applyAlignment="1">
      <alignment vertical="center"/>
    </xf>
    <xf numFmtId="49" fontId="3" fillId="3" borderId="1" xfId="2" quotePrefix="1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7" fontId="3" fillId="2" borderId="24" xfId="1" applyNumberFormat="1" applyFont="1" applyFill="1" applyBorder="1" applyAlignment="1">
      <alignment horizontal="right" vertical="center"/>
    </xf>
    <xf numFmtId="0" fontId="3" fillId="0" borderId="1" xfId="0" applyNumberFormat="1" applyFont="1" applyBorder="1" applyAlignment="1">
      <alignment horizontal="right"/>
    </xf>
    <xf numFmtId="186" fontId="12" fillId="5" borderId="13" xfId="1" quotePrefix="1" applyNumberFormat="1" applyFont="1" applyFill="1" applyBorder="1" applyAlignment="1">
      <alignment horizontal="center"/>
    </xf>
    <xf numFmtId="164" fontId="3" fillId="0" borderId="6" xfId="0" quotePrefix="1" applyNumberFormat="1" applyFont="1" applyBorder="1" applyAlignment="1">
      <alignment horizontal="left" wrapText="1"/>
    </xf>
    <xf numFmtId="0" fontId="51" fillId="65" borderId="1" xfId="0" applyFont="1" applyFill="1" applyBorder="1" applyAlignment="1">
      <alignment vertical="center"/>
    </xf>
    <xf numFmtId="164" fontId="5" fillId="0" borderId="1" xfId="0" quotePrefix="1" applyNumberFormat="1" applyFont="1" applyBorder="1" applyAlignment="1">
      <alignment horizontal="center"/>
    </xf>
    <xf numFmtId="3" fontId="98" fillId="0" borderId="1" xfId="0" applyNumberFormat="1" applyFont="1" applyBorder="1" applyAlignment="1">
      <alignment wrapText="1"/>
    </xf>
    <xf numFmtId="176" fontId="23" fillId="2" borderId="1" xfId="0" quotePrefix="1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left"/>
    </xf>
    <xf numFmtId="0" fontId="21" fillId="2" borderId="56" xfId="0" applyFont="1" applyFill="1" applyBorder="1" applyAlignment="1">
      <alignment horizontal="center" vertical="center"/>
    </xf>
    <xf numFmtId="167" fontId="2" fillId="5" borderId="7" xfId="1" quotePrefix="1" applyNumberFormat="1" applyFont="1" applyFill="1" applyBorder="1" applyAlignment="1">
      <alignment horizontal="right" wrapText="1" shrinkToFit="1"/>
    </xf>
    <xf numFmtId="0" fontId="21" fillId="2" borderId="1" xfId="0" quotePrefix="1" applyFont="1" applyFill="1" applyBorder="1" applyAlignment="1">
      <alignment vertical="center"/>
    </xf>
    <xf numFmtId="169" fontId="21" fillId="2" borderId="58" xfId="0" applyNumberFormat="1" applyFont="1" applyFill="1" applyBorder="1" applyAlignment="1">
      <alignment horizontal="left" vertical="center"/>
    </xf>
    <xf numFmtId="0" fontId="21" fillId="2" borderId="58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167" fontId="21" fillId="9" borderId="1" xfId="1" applyNumberFormat="1" applyFont="1" applyFill="1" applyBorder="1" applyAlignment="1">
      <alignment horizontal="right" vertical="center"/>
    </xf>
    <xf numFmtId="167" fontId="21" fillId="0" borderId="1" xfId="1" applyNumberFormat="1" applyFont="1" applyFill="1" applyBorder="1" applyAlignment="1">
      <alignment vertical="center"/>
    </xf>
    <xf numFmtId="3" fontId="12" fillId="11" borderId="1" xfId="1" applyNumberFormat="1" applyFont="1" applyFill="1" applyBorder="1" applyAlignment="1"/>
    <xf numFmtId="0" fontId="20" fillId="2" borderId="0" xfId="0" quotePrefix="1" applyFont="1" applyFill="1" applyAlignment="1">
      <alignment horizontal="center" vertical="center"/>
    </xf>
    <xf numFmtId="173" fontId="21" fillId="3" borderId="1" xfId="1" applyNumberFormat="1" applyFont="1" applyFill="1" applyBorder="1" applyAlignment="1">
      <alignment horizontal="center" vertical="center"/>
    </xf>
    <xf numFmtId="49" fontId="2" fillId="0" borderId="1" xfId="2" quotePrefix="1" applyNumberFormat="1" applyFont="1" applyBorder="1" applyAlignment="1"/>
    <xf numFmtId="0" fontId="3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left" vertical="center"/>
    </xf>
    <xf numFmtId="49" fontId="24" fillId="2" borderId="1" xfId="0" applyNumberFormat="1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left"/>
    </xf>
    <xf numFmtId="171" fontId="21" fillId="12" borderId="1" xfId="1" applyNumberFormat="1" applyFont="1" applyFill="1" applyBorder="1" applyAlignment="1">
      <alignment horizontal="center" vertical="center"/>
    </xf>
    <xf numFmtId="187" fontId="2" fillId="5" borderId="7" xfId="1" quotePrefix="1" applyNumberFormat="1" applyFont="1" applyFill="1" applyBorder="1" applyAlignment="1">
      <alignment horizontal="right" vertical="center" shrinkToFit="1"/>
    </xf>
    <xf numFmtId="49" fontId="2" fillId="2" borderId="24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64" fontId="5" fillId="2" borderId="58" xfId="0" applyNumberFormat="1" applyFont="1" applyFill="1" applyBorder="1" applyAlignment="1">
      <alignment horizontal="left" wrapText="1"/>
    </xf>
    <xf numFmtId="165" fontId="2" fillId="0" borderId="58" xfId="0" applyNumberFormat="1" applyFont="1" applyBorder="1" applyAlignment="1">
      <alignment horizontal="center"/>
    </xf>
    <xf numFmtId="164" fontId="6" fillId="0" borderId="58" xfId="0" applyNumberFormat="1" applyFont="1" applyBorder="1" applyAlignment="1">
      <alignment horizontal="center"/>
    </xf>
    <xf numFmtId="164" fontId="11" fillId="2" borderId="58" xfId="0" applyNumberFormat="1" applyFont="1" applyFill="1" applyBorder="1" applyAlignment="1">
      <alignment horizontal="center"/>
    </xf>
    <xf numFmtId="49" fontId="2" fillId="2" borderId="58" xfId="2" quotePrefix="1" applyNumberFormat="1" applyFont="1" applyFill="1" applyBorder="1" applyAlignment="1">
      <alignment horizontal="center" wrapText="1"/>
    </xf>
    <xf numFmtId="49" fontId="2" fillId="0" borderId="58" xfId="2" quotePrefix="1" applyNumberFormat="1" applyFont="1" applyBorder="1"/>
    <xf numFmtId="164" fontId="3" fillId="0" borderId="24" xfId="0" applyNumberFormat="1" applyFont="1" applyBorder="1" applyAlignment="1">
      <alignment horizontal="left"/>
    </xf>
    <xf numFmtId="49" fontId="5" fillId="3" borderId="24" xfId="2" quotePrefix="1" applyNumberFormat="1" applyFont="1" applyFill="1" applyBorder="1" applyAlignment="1">
      <alignment horizontal="center"/>
    </xf>
    <xf numFmtId="164" fontId="5" fillId="0" borderId="58" xfId="0" quotePrefix="1" applyNumberFormat="1" applyFont="1" applyBorder="1" applyAlignment="1">
      <alignment horizontal="center"/>
    </xf>
    <xf numFmtId="167" fontId="3" fillId="2" borderId="58" xfId="1" applyNumberFormat="1" applyFont="1" applyFill="1" applyBorder="1" applyAlignment="1">
      <alignment horizontal="right" vertical="center"/>
    </xf>
    <xf numFmtId="49" fontId="2" fillId="0" borderId="58" xfId="2" quotePrefix="1" applyNumberFormat="1" applyFont="1" applyBorder="1" applyAlignment="1">
      <alignment horizontal="center"/>
    </xf>
    <xf numFmtId="167" fontId="21" fillId="2" borderId="58" xfId="1" applyNumberFormat="1" applyFont="1" applyFill="1" applyBorder="1" applyAlignment="1">
      <alignment vertical="center"/>
    </xf>
    <xf numFmtId="171" fontId="21" fillId="2" borderId="58" xfId="1" applyNumberFormat="1" applyFont="1" applyFill="1" applyBorder="1" applyAlignment="1">
      <alignment vertical="center"/>
    </xf>
    <xf numFmtId="0" fontId="20" fillId="2" borderId="58" xfId="0" applyFont="1" applyFill="1" applyBorder="1" applyAlignment="1">
      <alignment horizontal="center" vertical="center"/>
    </xf>
    <xf numFmtId="49" fontId="24" fillId="2" borderId="58" xfId="0" applyNumberFormat="1" applyFont="1" applyFill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/>
    </xf>
    <xf numFmtId="3" fontId="12" fillId="5" borderId="24" xfId="1" applyNumberFormat="1" applyFont="1" applyFill="1" applyBorder="1" applyAlignment="1"/>
    <xf numFmtId="0" fontId="2" fillId="2" borderId="24" xfId="0" quotePrefix="1" applyFont="1" applyFill="1" applyBorder="1" applyAlignment="1">
      <alignment horizontal="left"/>
    </xf>
    <xf numFmtId="49" fontId="24" fillId="2" borderId="24" xfId="0" applyNumberFormat="1" applyFont="1" applyFill="1" applyBorder="1" applyAlignment="1">
      <alignment horizontal="center" vertical="center"/>
    </xf>
    <xf numFmtId="0" fontId="2" fillId="5" borderId="23" xfId="1" quotePrefix="1" applyNumberFormat="1" applyFont="1" applyFill="1" applyBorder="1" applyAlignment="1">
      <alignment horizontal="center" vertical="center"/>
    </xf>
    <xf numFmtId="165" fontId="3" fillId="0" borderId="1" xfId="0" quotePrefix="1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171" fontId="31" fillId="8" borderId="59" xfId="1" applyNumberFormat="1" applyFont="1" applyFill="1" applyBorder="1" applyAlignment="1">
      <alignment horizontal="center" vertical="center" wrapText="1"/>
    </xf>
    <xf numFmtId="0" fontId="19" fillId="2" borderId="59" xfId="0" applyFont="1" applyFill="1" applyBorder="1" applyAlignment="1">
      <alignment vertical="center" wrapText="1"/>
    </xf>
    <xf numFmtId="171" fontId="21" fillId="12" borderId="59" xfId="1" applyNumberFormat="1" applyFont="1" applyFill="1" applyBorder="1" applyAlignment="1">
      <alignment vertical="center"/>
    </xf>
    <xf numFmtId="171" fontId="21" fillId="2" borderId="59" xfId="1" applyNumberFormat="1" applyFont="1" applyFill="1" applyBorder="1" applyAlignment="1">
      <alignment vertical="center"/>
    </xf>
    <xf numFmtId="171" fontId="19" fillId="2" borderId="59" xfId="1" applyNumberFormat="1" applyFont="1" applyFill="1" applyBorder="1" applyAlignment="1">
      <alignment vertical="center"/>
    </xf>
    <xf numFmtId="171" fontId="21" fillId="12" borderId="59" xfId="1" applyNumberFormat="1" applyFont="1" applyFill="1" applyBorder="1" applyAlignment="1">
      <alignment horizontal="center" vertical="center"/>
    </xf>
    <xf numFmtId="167" fontId="19" fillId="10" borderId="1" xfId="1" applyNumberFormat="1" applyFont="1" applyFill="1" applyBorder="1" applyAlignment="1">
      <alignment vertical="center"/>
    </xf>
    <xf numFmtId="167" fontId="12" fillId="5" borderId="13" xfId="1" quotePrefix="1" applyNumberFormat="1" applyFont="1" applyFill="1" applyBorder="1" applyAlignment="1">
      <alignment horizontal="center" wrapText="1"/>
    </xf>
    <xf numFmtId="174" fontId="2" fillId="0" borderId="1" xfId="0" quotePrefix="1" applyNumberFormat="1" applyFont="1" applyBorder="1" applyAlignment="1">
      <alignment horizontal="center"/>
    </xf>
    <xf numFmtId="49" fontId="3" fillId="3" borderId="1" xfId="2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wrapText="1"/>
    </xf>
    <xf numFmtId="3" fontId="2" fillId="2" borderId="59" xfId="2" applyNumberFormat="1" applyFont="1" applyFill="1" applyBorder="1" applyAlignment="1">
      <alignment horizontal="center" wrapText="1"/>
    </xf>
    <xf numFmtId="3" fontId="2" fillId="2" borderId="60" xfId="2" applyNumberFormat="1" applyFont="1" applyFill="1" applyBorder="1" applyAlignment="1">
      <alignment horizontal="center" wrapText="1"/>
    </xf>
    <xf numFmtId="3" fontId="14" fillId="2" borderId="59" xfId="2" applyNumberFormat="1" applyFont="1" applyFill="1" applyBorder="1" applyAlignment="1">
      <alignment horizontal="center" wrapText="1"/>
    </xf>
    <xf numFmtId="4" fontId="2" fillId="2" borderId="0" xfId="0" applyNumberFormat="1" applyFont="1" applyFill="1" applyBorder="1" applyAlignment="1">
      <alignment horizontal="center" wrapText="1"/>
    </xf>
    <xf numFmtId="4" fontId="2" fillId="2" borderId="59" xfId="0" applyNumberFormat="1" applyFont="1" applyFill="1" applyBorder="1" applyAlignment="1">
      <alignment horizontal="center" wrapText="1"/>
    </xf>
    <xf numFmtId="49" fontId="2" fillId="2" borderId="59" xfId="3" quotePrefix="1" applyNumberFormat="1" applyFont="1" applyFill="1" applyBorder="1" applyAlignment="1">
      <alignment horizontal="center" wrapText="1"/>
    </xf>
    <xf numFmtId="49" fontId="2" fillId="2" borderId="0" xfId="2" quotePrefix="1" applyNumberFormat="1" applyFont="1" applyFill="1" applyBorder="1" applyAlignment="1">
      <alignment wrapText="1"/>
    </xf>
    <xf numFmtId="49" fontId="2" fillId="2" borderId="59" xfId="2" quotePrefix="1" applyNumberFormat="1" applyFont="1" applyFill="1" applyBorder="1"/>
    <xf numFmtId="49" fontId="2" fillId="2" borderId="59" xfId="2" quotePrefix="1" applyNumberFormat="1" applyFont="1" applyFill="1" applyBorder="1" applyAlignment="1">
      <alignment wrapText="1"/>
    </xf>
    <xf numFmtId="49" fontId="2" fillId="2" borderId="59" xfId="2" quotePrefix="1" applyNumberFormat="1" applyFont="1" applyFill="1" applyBorder="1" applyAlignment="1">
      <alignment horizontal="center" wrapText="1"/>
    </xf>
    <xf numFmtId="49" fontId="2" fillId="2" borderId="0" xfId="2" quotePrefix="1" applyNumberFormat="1" applyFont="1" applyFill="1" applyBorder="1" applyAlignment="1">
      <alignment horizontal="center" wrapText="1"/>
    </xf>
    <xf numFmtId="164" fontId="10" fillId="0" borderId="7" xfId="0" applyNumberFormat="1" applyFont="1" applyBorder="1" applyAlignment="1">
      <alignment horizontal="center" wrapText="1"/>
    </xf>
    <xf numFmtId="164" fontId="2" fillId="0" borderId="59" xfId="0" applyNumberFormat="1" applyFont="1" applyBorder="1" applyAlignment="1">
      <alignment horizontal="right"/>
    </xf>
    <xf numFmtId="0" fontId="3" fillId="3" borderId="8" xfId="0" applyFont="1" applyFill="1" applyBorder="1" applyAlignment="1">
      <alignment horizontal="center"/>
    </xf>
    <xf numFmtId="49" fontId="2" fillId="0" borderId="57" xfId="2" quotePrefix="1" applyNumberFormat="1" applyFont="1" applyBorder="1"/>
    <xf numFmtId="49" fontId="2" fillId="0" borderId="53" xfId="2" quotePrefix="1" applyNumberFormat="1" applyFont="1" applyBorder="1"/>
    <xf numFmtId="0" fontId="2" fillId="2" borderId="59" xfId="0" quotePrefix="1" applyFont="1" applyFill="1" applyBorder="1" applyAlignment="1">
      <alignment horizontal="left" wrapText="1"/>
    </xf>
    <xf numFmtId="3" fontId="2" fillId="2" borderId="61" xfId="2" applyNumberFormat="1" applyFont="1" applyFill="1" applyBorder="1" applyAlignment="1">
      <alignment horizontal="center" wrapText="1"/>
    </xf>
    <xf numFmtId="0" fontId="3" fillId="3" borderId="59" xfId="0" applyFont="1" applyFill="1" applyBorder="1" applyAlignment="1">
      <alignment horizontal="center"/>
    </xf>
    <xf numFmtId="167" fontId="12" fillId="5" borderId="59" xfId="1" quotePrefix="1" applyNumberFormat="1" applyFont="1" applyFill="1" applyBorder="1" applyAlignment="1">
      <alignment horizontal="center"/>
    </xf>
    <xf numFmtId="0" fontId="3" fillId="0" borderId="59" xfId="0" applyFont="1" applyBorder="1" applyAlignment="1">
      <alignment horizontal="left"/>
    </xf>
    <xf numFmtId="0" fontId="2" fillId="0" borderId="61" xfId="0" applyFont="1" applyBorder="1" applyAlignment="1">
      <alignment horizontal="center"/>
    </xf>
    <xf numFmtId="164" fontId="5" fillId="0" borderId="60" xfId="0" applyNumberFormat="1" applyFont="1" applyBorder="1" applyAlignment="1">
      <alignment horizontal="center" vertical="center"/>
    </xf>
    <xf numFmtId="165" fontId="2" fillId="0" borderId="60" xfId="0" applyNumberFormat="1" applyFont="1" applyBorder="1" applyAlignment="1">
      <alignment horizontal="center" vertical="center"/>
    </xf>
    <xf numFmtId="164" fontId="6" fillId="0" borderId="60" xfId="0" applyNumberFormat="1" applyFont="1" applyBorder="1" applyAlignment="1">
      <alignment horizontal="center" vertical="center"/>
    </xf>
    <xf numFmtId="164" fontId="11" fillId="2" borderId="60" xfId="0" applyNumberFormat="1" applyFont="1" applyFill="1" applyBorder="1" applyAlignment="1">
      <alignment horizontal="center" vertical="center"/>
    </xf>
    <xf numFmtId="0" fontId="3" fillId="0" borderId="60" xfId="0" applyFont="1" applyBorder="1" applyAlignment="1">
      <alignment horizontal="left"/>
    </xf>
    <xf numFmtId="3" fontId="12" fillId="5" borderId="61" xfId="1" applyNumberFormat="1" applyFont="1" applyFill="1" applyBorder="1" applyAlignment="1"/>
    <xf numFmtId="167" fontId="21" fillId="2" borderId="60" xfId="1" applyNumberFormat="1" applyFont="1" applyFill="1" applyBorder="1" applyAlignment="1">
      <alignment vertical="center"/>
    </xf>
    <xf numFmtId="167" fontId="21" fillId="10" borderId="60" xfId="1" applyNumberFormat="1" applyFont="1" applyFill="1" applyBorder="1" applyAlignment="1">
      <alignment vertical="center"/>
    </xf>
    <xf numFmtId="167" fontId="21" fillId="9" borderId="60" xfId="1" applyNumberFormat="1" applyFont="1" applyFill="1" applyBorder="1" applyAlignment="1">
      <alignment vertical="center"/>
    </xf>
    <xf numFmtId="171" fontId="21" fillId="2" borderId="60" xfId="1" applyNumberFormat="1" applyFont="1" applyFill="1" applyBorder="1" applyAlignment="1">
      <alignment vertical="center"/>
    </xf>
    <xf numFmtId="167" fontId="21" fillId="13" borderId="60" xfId="1" applyNumberFormat="1" applyFont="1" applyFill="1" applyBorder="1" applyAlignment="1">
      <alignment vertical="center"/>
    </xf>
    <xf numFmtId="171" fontId="21" fillId="16" borderId="60" xfId="0" applyNumberFormat="1" applyFont="1" applyFill="1" applyBorder="1" applyAlignment="1">
      <alignment vertical="center"/>
    </xf>
    <xf numFmtId="0" fontId="20" fillId="2" borderId="60" xfId="0" applyFont="1" applyFill="1" applyBorder="1" applyAlignment="1">
      <alignment horizontal="center" vertical="center"/>
    </xf>
    <xf numFmtId="171" fontId="21" fillId="14" borderId="60" xfId="1" applyNumberFormat="1" applyFont="1" applyFill="1" applyBorder="1" applyAlignment="1">
      <alignment horizontal="left" vertical="center" indent="1"/>
    </xf>
    <xf numFmtId="167" fontId="23" fillId="15" borderId="60" xfId="1" applyNumberFormat="1" applyFont="1" applyFill="1" applyBorder="1" applyAlignment="1">
      <alignment vertical="center"/>
    </xf>
    <xf numFmtId="165" fontId="2" fillId="2" borderId="60" xfId="0" applyNumberFormat="1" applyFont="1" applyFill="1" applyBorder="1" applyAlignment="1">
      <alignment horizontal="center"/>
    </xf>
    <xf numFmtId="167" fontId="20" fillId="3" borderId="24" xfId="0" applyNumberFormat="1" applyFont="1" applyFill="1" applyBorder="1" applyAlignment="1">
      <alignment vertical="center"/>
    </xf>
    <xf numFmtId="0" fontId="20" fillId="3" borderId="24" xfId="0" applyFont="1" applyFill="1" applyBorder="1" applyAlignment="1">
      <alignment vertical="center"/>
    </xf>
    <xf numFmtId="0" fontId="2" fillId="0" borderId="59" xfId="0" applyFont="1" applyBorder="1" applyAlignment="1">
      <alignment horizontal="center"/>
    </xf>
    <xf numFmtId="167" fontId="2" fillId="5" borderId="59" xfId="1" applyNumberFormat="1" applyFont="1" applyFill="1" applyBorder="1" applyAlignment="1">
      <alignment horizontal="right"/>
    </xf>
    <xf numFmtId="164" fontId="5" fillId="0" borderId="59" xfId="0" applyNumberFormat="1" applyFont="1" applyBorder="1" applyAlignment="1">
      <alignment horizontal="left" wrapText="1"/>
    </xf>
    <xf numFmtId="165" fontId="2" fillId="0" borderId="59" xfId="0" applyNumberFormat="1" applyFont="1" applyBorder="1" applyAlignment="1">
      <alignment horizontal="center"/>
    </xf>
    <xf numFmtId="164" fontId="6" fillId="0" borderId="59" xfId="0" applyNumberFormat="1" applyFont="1" applyBorder="1" applyAlignment="1">
      <alignment horizontal="center"/>
    </xf>
    <xf numFmtId="164" fontId="11" fillId="2" borderId="59" xfId="0" applyNumberFormat="1" applyFont="1" applyFill="1" applyBorder="1" applyAlignment="1">
      <alignment horizontal="center"/>
    </xf>
    <xf numFmtId="3" fontId="2" fillId="2" borderId="59" xfId="0" applyNumberFormat="1" applyFont="1" applyFill="1" applyBorder="1" applyAlignment="1">
      <alignment horizontal="center"/>
    </xf>
    <xf numFmtId="3" fontId="12" fillId="5" borderId="59" xfId="1" applyNumberFormat="1" applyFont="1" applyFill="1" applyBorder="1" applyAlignment="1"/>
    <xf numFmtId="167" fontId="21" fillId="2" borderId="59" xfId="1" applyNumberFormat="1" applyFont="1" applyFill="1" applyBorder="1" applyAlignment="1">
      <alignment vertical="center"/>
    </xf>
    <xf numFmtId="167" fontId="21" fillId="10" borderId="59" xfId="1" applyNumberFormat="1" applyFont="1" applyFill="1" applyBorder="1" applyAlignment="1">
      <alignment vertical="center"/>
    </xf>
    <xf numFmtId="167" fontId="21" fillId="13" borderId="59" xfId="1" applyNumberFormat="1" applyFont="1" applyFill="1" applyBorder="1" applyAlignment="1">
      <alignment vertical="center"/>
    </xf>
    <xf numFmtId="171" fontId="21" fillId="16" borderId="59" xfId="0" applyNumberFormat="1" applyFont="1" applyFill="1" applyBorder="1" applyAlignment="1">
      <alignment vertical="center"/>
    </xf>
    <xf numFmtId="0" fontId="20" fillId="2" borderId="59" xfId="0" applyFont="1" applyFill="1" applyBorder="1" applyAlignment="1">
      <alignment horizontal="center" vertical="center"/>
    </xf>
    <xf numFmtId="171" fontId="21" fillId="14" borderId="59" xfId="1" applyNumberFormat="1" applyFont="1" applyFill="1" applyBorder="1" applyAlignment="1">
      <alignment horizontal="left" vertical="center" indent="1"/>
    </xf>
    <xf numFmtId="167" fontId="23" fillId="15" borderId="59" xfId="1" applyNumberFormat="1" applyFont="1" applyFill="1" applyBorder="1" applyAlignment="1">
      <alignment vertical="center"/>
    </xf>
    <xf numFmtId="49" fontId="24" fillId="2" borderId="59" xfId="0" applyNumberFormat="1" applyFont="1" applyFill="1" applyBorder="1" applyAlignment="1">
      <alignment horizontal="center" vertical="center"/>
    </xf>
    <xf numFmtId="165" fontId="2" fillId="2" borderId="59" xfId="3" applyNumberFormat="1" applyFont="1" applyFill="1" applyBorder="1" applyAlignment="1">
      <alignment horizontal="left"/>
    </xf>
    <xf numFmtId="0" fontId="2" fillId="0" borderId="59" xfId="0" applyFont="1" applyBorder="1"/>
    <xf numFmtId="167" fontId="20" fillId="3" borderId="34" xfId="0" applyNumberFormat="1" applyFont="1" applyFill="1" applyBorder="1" applyAlignment="1">
      <alignment vertical="center"/>
    </xf>
    <xf numFmtId="0" fontId="20" fillId="3" borderId="34" xfId="0" applyFont="1" applyFill="1" applyBorder="1" applyAlignment="1">
      <alignment vertical="center"/>
    </xf>
    <xf numFmtId="167" fontId="2" fillId="5" borderId="23" xfId="1" applyNumberFormat="1" applyFont="1" applyFill="1" applyBorder="1" applyAlignment="1">
      <alignment horizontal="right"/>
    </xf>
    <xf numFmtId="164" fontId="5" fillId="0" borderId="24" xfId="0" applyNumberFormat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3" fontId="12" fillId="5" borderId="20" xfId="1" applyNumberFormat="1" applyFont="1" applyFill="1" applyBorder="1" applyAlignment="1"/>
    <xf numFmtId="167" fontId="21" fillId="10" borderId="24" xfId="1" applyNumberFormat="1" applyFont="1" applyFill="1" applyBorder="1" applyAlignment="1">
      <alignment vertical="center"/>
    </xf>
    <xf numFmtId="167" fontId="21" fillId="9" borderId="24" xfId="1" applyNumberFormat="1" applyFont="1" applyFill="1" applyBorder="1" applyAlignment="1">
      <alignment vertical="center"/>
    </xf>
    <xf numFmtId="167" fontId="21" fillId="12" borderId="24" xfId="1" applyNumberFormat="1" applyFont="1" applyFill="1" applyBorder="1" applyAlignment="1">
      <alignment vertical="center"/>
    </xf>
    <xf numFmtId="164" fontId="5" fillId="0" borderId="59" xfId="0" applyNumberFormat="1" applyFont="1" applyBorder="1" applyAlignment="1">
      <alignment horizontal="center" vertical="center"/>
    </xf>
    <xf numFmtId="165" fontId="2" fillId="0" borderId="59" xfId="0" applyNumberFormat="1" applyFont="1" applyBorder="1" applyAlignment="1">
      <alignment horizontal="center" vertical="center"/>
    </xf>
    <xf numFmtId="164" fontId="6" fillId="0" borderId="59" xfId="0" applyNumberFormat="1" applyFont="1" applyBorder="1" applyAlignment="1">
      <alignment horizontal="center" vertical="center"/>
    </xf>
    <xf numFmtId="164" fontId="11" fillId="2" borderId="59" xfId="0" applyNumberFormat="1" applyFont="1" applyFill="1" applyBorder="1" applyAlignment="1">
      <alignment horizontal="center" vertical="center"/>
    </xf>
    <xf numFmtId="3" fontId="2" fillId="2" borderId="59" xfId="0" applyNumberFormat="1" applyFont="1" applyFill="1" applyBorder="1" applyAlignment="1">
      <alignment horizontal="center" vertical="center"/>
    </xf>
    <xf numFmtId="167" fontId="21" fillId="9" borderId="59" xfId="1" applyNumberFormat="1" applyFont="1" applyFill="1" applyBorder="1" applyAlignment="1">
      <alignment vertical="center"/>
    </xf>
    <xf numFmtId="165" fontId="3" fillId="7" borderId="59" xfId="0" applyNumberFormat="1" applyFont="1" applyFill="1" applyBorder="1" applyAlignment="1">
      <alignment horizontal="center" vertical="center"/>
    </xf>
    <xf numFmtId="165" fontId="2" fillId="0" borderId="60" xfId="0" applyNumberFormat="1" applyFont="1" applyBorder="1" applyAlignment="1">
      <alignment horizontal="center"/>
    </xf>
    <xf numFmtId="164" fontId="6" fillId="0" borderId="60" xfId="0" applyNumberFormat="1" applyFont="1" applyBorder="1" applyAlignment="1">
      <alignment horizontal="center"/>
    </xf>
    <xf numFmtId="164" fontId="11" fillId="2" borderId="60" xfId="0" applyNumberFormat="1" applyFont="1" applyFill="1" applyBorder="1" applyAlignment="1">
      <alignment horizontal="center"/>
    </xf>
    <xf numFmtId="4" fontId="2" fillId="2" borderId="60" xfId="0" applyNumberFormat="1" applyFont="1" applyFill="1" applyBorder="1" applyAlignment="1">
      <alignment horizontal="center" wrapText="1"/>
    </xf>
    <xf numFmtId="171" fontId="21" fillId="12" borderId="60" xfId="1" applyNumberFormat="1" applyFont="1" applyFill="1" applyBorder="1" applyAlignment="1">
      <alignment vertical="center"/>
    </xf>
    <xf numFmtId="49" fontId="24" fillId="2" borderId="60" xfId="0" applyNumberFormat="1" applyFont="1" applyFill="1" applyBorder="1" applyAlignment="1">
      <alignment horizontal="center" vertical="center"/>
    </xf>
    <xf numFmtId="49" fontId="2" fillId="0" borderId="59" xfId="3" quotePrefix="1" applyNumberFormat="1" applyFont="1" applyBorder="1"/>
    <xf numFmtId="0" fontId="3" fillId="3" borderId="34" xfId="0" applyFont="1" applyFill="1" applyBorder="1" applyAlignment="1">
      <alignment horizontal="center" vertical="center"/>
    </xf>
    <xf numFmtId="164" fontId="5" fillId="3" borderId="59" xfId="0" applyNumberFormat="1" applyFont="1" applyFill="1" applyBorder="1" applyAlignment="1">
      <alignment horizontal="center" vertical="center"/>
    </xf>
    <xf numFmtId="165" fontId="3" fillId="2" borderId="59" xfId="0" applyNumberFormat="1" applyFont="1" applyFill="1" applyBorder="1" applyAlignment="1">
      <alignment horizontal="center" vertical="center"/>
    </xf>
    <xf numFmtId="165" fontId="2" fillId="3" borderId="24" xfId="0" applyNumberFormat="1" applyFont="1" applyFill="1" applyBorder="1" applyAlignment="1">
      <alignment horizontal="center"/>
    </xf>
    <xf numFmtId="4" fontId="2" fillId="2" borderId="59" xfId="0" applyNumberFormat="1" applyFont="1" applyFill="1" applyBorder="1" applyAlignment="1">
      <alignment horizontal="left" wrapText="1"/>
    </xf>
    <xf numFmtId="165" fontId="2" fillId="3" borderId="34" xfId="0" applyNumberFormat="1" applyFont="1" applyFill="1" applyBorder="1" applyAlignment="1">
      <alignment horizontal="center"/>
    </xf>
    <xf numFmtId="164" fontId="3" fillId="2" borderId="59" xfId="0" applyNumberFormat="1" applyFont="1" applyFill="1" applyBorder="1" applyAlignment="1">
      <alignment horizontal="left"/>
    </xf>
    <xf numFmtId="169" fontId="2" fillId="0" borderId="59" xfId="0" applyNumberFormat="1" applyFont="1" applyBorder="1" applyAlignment="1">
      <alignment horizontal="center"/>
    </xf>
    <xf numFmtId="49" fontId="3" fillId="0" borderId="59" xfId="2" quotePrefix="1" applyNumberFormat="1" applyFont="1" applyBorder="1" applyAlignment="1">
      <alignment horizontal="center"/>
    </xf>
    <xf numFmtId="164" fontId="3" fillId="0" borderId="59" xfId="0" applyNumberFormat="1" applyFont="1" applyBorder="1" applyAlignment="1">
      <alignment horizontal="left"/>
    </xf>
    <xf numFmtId="164" fontId="3" fillId="2" borderId="60" xfId="0" applyNumberFormat="1" applyFont="1" applyFill="1" applyBorder="1" applyAlignment="1">
      <alignment horizontal="left"/>
    </xf>
    <xf numFmtId="49" fontId="2" fillId="2" borderId="60" xfId="2" quotePrefix="1" applyNumberFormat="1" applyFont="1" applyFill="1" applyBorder="1" applyAlignment="1">
      <alignment wrapText="1"/>
    </xf>
    <xf numFmtId="3" fontId="12" fillId="5" borderId="61" xfId="1" applyNumberFormat="1" applyFont="1" applyFill="1" applyBorder="1" applyAlignment="1">
      <alignment horizontal="center"/>
    </xf>
    <xf numFmtId="3" fontId="12" fillId="5" borderId="59" xfId="1" applyNumberFormat="1" applyFont="1" applyFill="1" applyBorder="1" applyAlignment="1">
      <alignment horizontal="center"/>
    </xf>
    <xf numFmtId="176" fontId="3" fillId="2" borderId="59" xfId="0" applyNumberFormat="1" applyFont="1" applyFill="1" applyBorder="1" applyAlignment="1">
      <alignment horizontal="left"/>
    </xf>
    <xf numFmtId="3" fontId="6" fillId="5" borderId="59" xfId="1" applyNumberFormat="1" applyFont="1" applyFill="1" applyBorder="1" applyAlignment="1">
      <alignment horizontal="center"/>
    </xf>
    <xf numFmtId="164" fontId="5" fillId="2" borderId="59" xfId="0" applyNumberFormat="1" applyFont="1" applyFill="1" applyBorder="1" applyAlignment="1">
      <alignment horizontal="left" wrapText="1"/>
    </xf>
    <xf numFmtId="164" fontId="12" fillId="5" borderId="59" xfId="0" applyNumberFormat="1" applyFont="1" applyFill="1" applyBorder="1" applyAlignment="1">
      <alignment horizontal="center"/>
    </xf>
    <xf numFmtId="49" fontId="2" fillId="0" borderId="59" xfId="2" quotePrefix="1" applyNumberFormat="1" applyFont="1" applyBorder="1"/>
    <xf numFmtId="164" fontId="3" fillId="0" borderId="34" xfId="0" applyNumberFormat="1" applyFont="1" applyBorder="1" applyAlignment="1">
      <alignment horizontal="left"/>
    </xf>
    <xf numFmtId="167" fontId="23" fillId="0" borderId="59" xfId="1" applyNumberFormat="1" applyFont="1" applyFill="1" applyBorder="1" applyAlignment="1">
      <alignment vertical="center"/>
    </xf>
    <xf numFmtId="165" fontId="2" fillId="0" borderId="34" xfId="0" applyNumberFormat="1" applyFont="1" applyBorder="1" applyAlignment="1">
      <alignment horizontal="center"/>
    </xf>
    <xf numFmtId="164" fontId="6" fillId="0" borderId="34" xfId="0" applyNumberFormat="1" applyFont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49" fontId="2" fillId="2" borderId="34" xfId="2" quotePrefix="1" applyNumberFormat="1" applyFont="1" applyFill="1" applyBorder="1" applyAlignment="1">
      <alignment wrapText="1"/>
    </xf>
    <xf numFmtId="3" fontId="12" fillId="5" borderId="34" xfId="1" applyNumberFormat="1" applyFont="1" applyFill="1" applyBorder="1" applyAlignment="1"/>
    <xf numFmtId="0" fontId="2" fillId="2" borderId="34" xfId="0" quotePrefix="1" applyFont="1" applyFill="1" applyBorder="1" applyAlignment="1">
      <alignment horizontal="left"/>
    </xf>
    <xf numFmtId="167" fontId="21" fillId="10" borderId="34" xfId="1" applyNumberFormat="1" applyFont="1" applyFill="1" applyBorder="1" applyAlignment="1">
      <alignment vertical="center"/>
    </xf>
    <xf numFmtId="167" fontId="21" fillId="2" borderId="34" xfId="1" applyNumberFormat="1" applyFont="1" applyFill="1" applyBorder="1" applyAlignment="1">
      <alignment vertical="center"/>
    </xf>
    <xf numFmtId="171" fontId="21" fillId="12" borderId="34" xfId="1" applyNumberFormat="1" applyFont="1" applyFill="1" applyBorder="1" applyAlignment="1">
      <alignment vertical="center"/>
    </xf>
    <xf numFmtId="167" fontId="21" fillId="13" borderId="34" xfId="1" applyNumberFormat="1" applyFont="1" applyFill="1" applyBorder="1" applyAlignment="1">
      <alignment vertical="center"/>
    </xf>
    <xf numFmtId="171" fontId="21" fillId="16" borderId="34" xfId="0" applyNumberFormat="1" applyFont="1" applyFill="1" applyBorder="1" applyAlignment="1">
      <alignment vertical="center"/>
    </xf>
    <xf numFmtId="0" fontId="20" fillId="2" borderId="34" xfId="0" applyFont="1" applyFill="1" applyBorder="1" applyAlignment="1">
      <alignment horizontal="center" vertical="center"/>
    </xf>
    <xf numFmtId="171" fontId="21" fillId="14" borderId="34" xfId="1" applyNumberFormat="1" applyFont="1" applyFill="1" applyBorder="1" applyAlignment="1">
      <alignment horizontal="left" vertical="center" indent="1"/>
    </xf>
    <xf numFmtId="167" fontId="23" fillId="15" borderId="34" xfId="1" applyNumberFormat="1" applyFont="1" applyFill="1" applyBorder="1" applyAlignment="1">
      <alignment vertical="center"/>
    </xf>
    <xf numFmtId="167" fontId="23" fillId="0" borderId="34" xfId="1" applyNumberFormat="1" applyFont="1" applyFill="1" applyBorder="1" applyAlignment="1">
      <alignment vertical="center"/>
    </xf>
    <xf numFmtId="164" fontId="12" fillId="2" borderId="59" xfId="0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vertical="center"/>
    </xf>
    <xf numFmtId="167" fontId="2" fillId="3" borderId="59" xfId="0" applyNumberFormat="1" applyFont="1" applyFill="1" applyBorder="1" applyAlignment="1">
      <alignment vertical="center"/>
    </xf>
    <xf numFmtId="167" fontId="20" fillId="3" borderId="59" xfId="0" applyNumberFormat="1" applyFont="1" applyFill="1" applyBorder="1" applyAlignment="1">
      <alignment vertical="center"/>
    </xf>
    <xf numFmtId="0" fontId="20" fillId="3" borderId="59" xfId="0" applyFont="1" applyFill="1" applyBorder="1" applyAlignment="1">
      <alignment vertical="center"/>
    </xf>
    <xf numFmtId="165" fontId="2" fillId="3" borderId="59" xfId="0" applyNumberFormat="1" applyFont="1" applyFill="1" applyBorder="1" applyAlignment="1">
      <alignment horizontal="center"/>
    </xf>
    <xf numFmtId="164" fontId="5" fillId="2" borderId="34" xfId="0" applyNumberFormat="1" applyFont="1" applyFill="1" applyBorder="1" applyAlignment="1">
      <alignment horizontal="left" wrapText="1"/>
    </xf>
    <xf numFmtId="49" fontId="2" fillId="0" borderId="24" xfId="2" quotePrefix="1" applyNumberFormat="1" applyFont="1" applyBorder="1"/>
    <xf numFmtId="164" fontId="12" fillId="2" borderId="34" xfId="0" applyNumberFormat="1" applyFont="1" applyFill="1" applyBorder="1" applyAlignment="1">
      <alignment horizontal="center"/>
    </xf>
    <xf numFmtId="49" fontId="2" fillId="0" borderId="34" xfId="2" quotePrefix="1" applyNumberFormat="1" applyFont="1" applyBorder="1"/>
    <xf numFmtId="171" fontId="21" fillId="2" borderId="34" xfId="1" applyNumberFormat="1" applyFont="1" applyFill="1" applyBorder="1" applyAlignment="1">
      <alignment vertical="center"/>
    </xf>
    <xf numFmtId="43" fontId="12" fillId="5" borderId="1" xfId="1" quotePrefix="1" applyNumberFormat="1" applyFont="1" applyFill="1" applyBorder="1" applyAlignment="1">
      <alignment horizontal="center"/>
    </xf>
    <xf numFmtId="167" fontId="12" fillId="5" borderId="1" xfId="1" quotePrefix="1" applyNumberFormat="1" applyFont="1" applyFill="1" applyBorder="1" applyAlignment="1">
      <alignment horizontal="center" wrapText="1"/>
    </xf>
    <xf numFmtId="167" fontId="12" fillId="5" borderId="43" xfId="1" quotePrefix="1" applyNumberFormat="1" applyFont="1" applyFill="1" applyBorder="1" applyAlignment="1">
      <alignment horizontal="center" wrapText="1"/>
    </xf>
    <xf numFmtId="187" fontId="2" fillId="5" borderId="7" xfId="1" quotePrefix="1" applyNumberFormat="1" applyFont="1" applyFill="1" applyBorder="1" applyAlignment="1">
      <alignment horizontal="right" wrapText="1" shrinkToFit="1"/>
    </xf>
    <xf numFmtId="0" fontId="20" fillId="2" borderId="24" xfId="0" applyFont="1" applyFill="1" applyBorder="1" applyAlignment="1">
      <alignment horizontal="center" vertical="center"/>
    </xf>
    <xf numFmtId="164" fontId="136" fillId="2" borderId="60" xfId="0" applyNumberFormat="1" applyFont="1" applyFill="1" applyBorder="1" applyAlignment="1">
      <alignment horizontal="center"/>
    </xf>
    <xf numFmtId="49" fontId="2" fillId="0" borderId="60" xfId="2" quotePrefix="1" applyNumberFormat="1" applyFont="1" applyBorder="1" applyAlignment="1">
      <alignment vertical="center"/>
    </xf>
    <xf numFmtId="3" fontId="12" fillId="5" borderId="60" xfId="1" applyNumberFormat="1" applyFont="1" applyFill="1" applyBorder="1" applyAlignment="1"/>
    <xf numFmtId="0" fontId="2" fillId="0" borderId="24" xfId="0" quotePrefix="1" applyFont="1" applyBorder="1" applyAlignment="1">
      <alignment horizontal="center"/>
    </xf>
    <xf numFmtId="43" fontId="12" fillId="5" borderId="43" xfId="1" quotePrefix="1" applyNumberFormat="1" applyFont="1" applyFill="1" applyBorder="1" applyAlignment="1">
      <alignment horizontal="center"/>
    </xf>
    <xf numFmtId="164" fontId="2" fillId="0" borderId="59" xfId="0" applyNumberFormat="1" applyFont="1" applyBorder="1" applyAlignment="1">
      <alignment horizontal="center"/>
    </xf>
    <xf numFmtId="0" fontId="2" fillId="0" borderId="59" xfId="0" applyFont="1" applyBorder="1" applyAlignment="1">
      <alignment horizontal="left"/>
    </xf>
    <xf numFmtId="171" fontId="21" fillId="2" borderId="59" xfId="1" applyNumberFormat="1" applyFont="1" applyFill="1" applyBorder="1" applyAlignment="1">
      <alignment horizontal="left" vertical="center" indent="1"/>
    </xf>
    <xf numFmtId="164" fontId="136" fillId="2" borderId="59" xfId="0" applyNumberFormat="1" applyFont="1" applyFill="1" applyBorder="1" applyAlignment="1">
      <alignment horizontal="center"/>
    </xf>
    <xf numFmtId="49" fontId="2" fillId="0" borderId="59" xfId="2" quotePrefix="1" applyNumberFormat="1" applyFont="1" applyBorder="1" applyAlignment="1">
      <alignment vertical="center"/>
    </xf>
    <xf numFmtId="165" fontId="2" fillId="3" borderId="0" xfId="0" applyNumberFormat="1" applyFont="1" applyFill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87" fontId="2" fillId="0" borderId="7" xfId="1" quotePrefix="1" applyNumberFormat="1" applyFont="1" applyFill="1" applyBorder="1" applyAlignment="1">
      <alignment horizontal="right" vertical="center" shrinkToFit="1"/>
    </xf>
    <xf numFmtId="164" fontId="3" fillId="0" borderId="60" xfId="0" applyNumberFormat="1" applyFont="1" applyBorder="1" applyAlignment="1">
      <alignment horizontal="left"/>
    </xf>
    <xf numFmtId="49" fontId="2" fillId="2" borderId="60" xfId="2" quotePrefix="1" applyNumberFormat="1" applyFont="1" applyFill="1" applyBorder="1" applyAlignment="1">
      <alignment horizontal="center" wrapText="1"/>
    </xf>
    <xf numFmtId="49" fontId="2" fillId="0" borderId="60" xfId="2" quotePrefix="1" applyNumberFormat="1" applyFont="1" applyBorder="1"/>
    <xf numFmtId="171" fontId="21" fillId="12" borderId="60" xfId="1" applyNumberFormat="1" applyFont="1" applyFill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49" fontId="2" fillId="2" borderId="24" xfId="2" quotePrefix="1" applyNumberFormat="1" applyFont="1" applyFill="1" applyBorder="1" applyAlignment="1">
      <alignment horizontal="center" wrapText="1"/>
    </xf>
    <xf numFmtId="0" fontId="24" fillId="2" borderId="60" xfId="0" applyFont="1" applyFill="1" applyBorder="1" applyAlignment="1">
      <alignment horizontal="center" vertical="center"/>
    </xf>
    <xf numFmtId="164" fontId="2" fillId="0" borderId="59" xfId="0" quotePrefix="1" applyNumberFormat="1" applyFont="1" applyBorder="1" applyAlignment="1">
      <alignment horizontal="center"/>
    </xf>
    <xf numFmtId="165" fontId="2" fillId="0" borderId="60" xfId="0" quotePrefix="1" applyNumberFormat="1" applyFont="1" applyBorder="1" applyAlignment="1">
      <alignment horizontal="center"/>
    </xf>
    <xf numFmtId="0" fontId="2" fillId="0" borderId="60" xfId="0" quotePrefix="1" applyFont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59" xfId="0" quotePrefix="1" applyFont="1" applyFill="1" applyBorder="1" applyAlignment="1">
      <alignment horizontal="center"/>
    </xf>
    <xf numFmtId="171" fontId="24" fillId="14" borderId="1" xfId="1" applyNumberFormat="1" applyFont="1" applyFill="1" applyBorder="1" applyAlignment="1">
      <alignment horizontal="left" vertical="center" indent="1"/>
    </xf>
    <xf numFmtId="164" fontId="5" fillId="0" borderId="60" xfId="0" applyNumberFormat="1" applyFont="1" applyBorder="1" applyAlignment="1">
      <alignment horizontal="left"/>
    </xf>
    <xf numFmtId="187" fontId="2" fillId="0" borderId="7" xfId="1" quotePrefix="1" applyNumberFormat="1" applyFont="1" applyFill="1" applyBorder="1" applyAlignment="1">
      <alignment horizontal="right" shrinkToFit="1"/>
    </xf>
    <xf numFmtId="0" fontId="24" fillId="2" borderId="24" xfId="0" applyFont="1" applyFill="1" applyBorder="1" applyAlignment="1">
      <alignment horizontal="center" vertical="center"/>
    </xf>
    <xf numFmtId="167" fontId="21" fillId="0" borderId="59" xfId="1" applyNumberFormat="1" applyFont="1" applyFill="1" applyBorder="1" applyAlignment="1">
      <alignment vertical="center"/>
    </xf>
    <xf numFmtId="171" fontId="21" fillId="0" borderId="59" xfId="1" applyNumberFormat="1" applyFont="1" applyFill="1" applyBorder="1" applyAlignment="1">
      <alignment vertical="center"/>
    </xf>
    <xf numFmtId="171" fontId="21" fillId="0" borderId="59" xfId="1" applyNumberFormat="1" applyFont="1" applyFill="1" applyBorder="1" applyAlignment="1">
      <alignment horizontal="left" vertical="center" indent="1"/>
    </xf>
    <xf numFmtId="0" fontId="20" fillId="0" borderId="59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left"/>
    </xf>
    <xf numFmtId="165" fontId="2" fillId="0" borderId="59" xfId="0" applyNumberFormat="1" applyFont="1" applyFill="1" applyBorder="1" applyAlignment="1">
      <alignment horizontal="center"/>
    </xf>
    <xf numFmtId="0" fontId="2" fillId="0" borderId="59" xfId="0" applyFont="1" applyFill="1" applyBorder="1"/>
    <xf numFmtId="0" fontId="2" fillId="0" borderId="59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43" fontId="12" fillId="5" borderId="60" xfId="1" quotePrefix="1" applyNumberFormat="1" applyFont="1" applyFill="1" applyBorder="1" applyAlignment="1">
      <alignment horizontal="center"/>
    </xf>
    <xf numFmtId="167" fontId="21" fillId="3" borderId="34" xfId="1" applyNumberFormat="1" applyFont="1" applyFill="1" applyBorder="1" applyAlignment="1">
      <alignment vertical="center"/>
    </xf>
    <xf numFmtId="167" fontId="21" fillId="3" borderId="34" xfId="1" applyNumberFormat="1" applyFont="1" applyFill="1" applyBorder="1" applyAlignment="1">
      <alignment horizontal="left" vertical="center" indent="1"/>
    </xf>
    <xf numFmtId="171" fontId="21" fillId="3" borderId="34" xfId="1" applyNumberFormat="1" applyFont="1" applyFill="1" applyBorder="1" applyAlignment="1">
      <alignment vertical="center"/>
    </xf>
    <xf numFmtId="171" fontId="21" fillId="3" borderId="34" xfId="1" applyNumberFormat="1" applyFont="1" applyFill="1" applyBorder="1" applyAlignment="1">
      <alignment horizontal="left" vertical="center" indent="1"/>
    </xf>
    <xf numFmtId="171" fontId="21" fillId="3" borderId="34" xfId="0" applyNumberFormat="1" applyFont="1" applyFill="1" applyBorder="1" applyAlignment="1">
      <alignment vertical="center"/>
    </xf>
    <xf numFmtId="0" fontId="20" fillId="3" borderId="34" xfId="0" applyFont="1" applyFill="1" applyBorder="1" applyAlignment="1">
      <alignment horizontal="center" vertical="center"/>
    </xf>
    <xf numFmtId="167" fontId="2" fillId="5" borderId="43" xfId="1" quotePrefix="1" applyNumberFormat="1" applyFont="1" applyFill="1" applyBorder="1" applyAlignment="1">
      <alignment horizontal="center"/>
    </xf>
    <xf numFmtId="164" fontId="3" fillId="0" borderId="53" xfId="0" applyNumberFormat="1" applyFont="1" applyBorder="1" applyAlignment="1">
      <alignment horizontal="left" wrapText="1"/>
    </xf>
    <xf numFmtId="187" fontId="2" fillId="5" borderId="23" xfId="1" quotePrefix="1" applyNumberFormat="1" applyFont="1" applyFill="1" applyBorder="1" applyAlignment="1">
      <alignment horizontal="right" wrapText="1" shrinkToFit="1"/>
    </xf>
    <xf numFmtId="187" fontId="2" fillId="5" borderId="7" xfId="1" quotePrefix="1" applyNumberFormat="1" applyFont="1" applyFill="1" applyBorder="1" applyAlignment="1">
      <alignment horizontal="right" shrinkToFit="1"/>
    </xf>
    <xf numFmtId="174" fontId="2" fillId="0" borderId="0" xfId="0" quotePrefix="1" applyNumberFormat="1" applyFont="1" applyAlignment="1">
      <alignment horizontal="center"/>
    </xf>
    <xf numFmtId="3" fontId="5" fillId="3" borderId="1" xfId="1" applyNumberFormat="1" applyFont="1" applyFill="1" applyBorder="1" applyAlignment="1">
      <alignment horizontal="center"/>
    </xf>
    <xf numFmtId="165" fontId="2" fillId="0" borderId="59" xfId="0" quotePrefix="1" applyNumberFormat="1" applyFont="1" applyBorder="1" applyAlignment="1">
      <alignment horizontal="center"/>
    </xf>
    <xf numFmtId="49" fontId="2" fillId="0" borderId="59" xfId="2" quotePrefix="1" applyNumberFormat="1" applyFont="1" applyBorder="1" applyAlignment="1">
      <alignment horizontal="center" vertical="center"/>
    </xf>
    <xf numFmtId="164" fontId="5" fillId="0" borderId="60" xfId="0" applyNumberFormat="1" applyFont="1" applyBorder="1" applyAlignment="1">
      <alignment horizontal="center"/>
    </xf>
    <xf numFmtId="167" fontId="3" fillId="2" borderId="60" xfId="1" applyNumberFormat="1" applyFont="1" applyFill="1" applyBorder="1" applyAlignment="1">
      <alignment horizontal="right" vertical="center"/>
    </xf>
    <xf numFmtId="49" fontId="2" fillId="0" borderId="60" xfId="2" quotePrefix="1" applyNumberFormat="1" applyFont="1" applyBorder="1" applyAlignment="1">
      <alignment horizontal="center"/>
    </xf>
    <xf numFmtId="0" fontId="2" fillId="0" borderId="59" xfId="0" applyFont="1" applyFill="1" applyBorder="1" applyAlignment="1">
      <alignment horizontal="center"/>
    </xf>
    <xf numFmtId="0" fontId="42" fillId="0" borderId="59" xfId="0" applyFont="1" applyFill="1" applyBorder="1" applyAlignment="1">
      <alignment horizontal="center"/>
    </xf>
    <xf numFmtId="174" fontId="2" fillId="0" borderId="60" xfId="0" quotePrefix="1" applyNumberFormat="1" applyFont="1" applyBorder="1" applyAlignment="1">
      <alignment horizontal="center"/>
    </xf>
    <xf numFmtId="0" fontId="7" fillId="0" borderId="59" xfId="38405" applyFont="1" applyBorder="1" applyAlignment="1">
      <alignment vertical="center"/>
    </xf>
    <xf numFmtId="0" fontId="2" fillId="0" borderId="59" xfId="0" quotePrefix="1" applyFont="1" applyFill="1" applyBorder="1" applyAlignment="1">
      <alignment vertical="center"/>
    </xf>
    <xf numFmtId="3" fontId="5" fillId="2" borderId="7" xfId="0" applyNumberFormat="1" applyFont="1" applyFill="1" applyBorder="1" applyAlignment="1">
      <alignment horizontal="center"/>
    </xf>
    <xf numFmtId="3" fontId="2" fillId="2" borderId="56" xfId="0" applyNumberFormat="1" applyFont="1" applyFill="1" applyBorder="1" applyAlignment="1">
      <alignment horizontal="center"/>
    </xf>
    <xf numFmtId="3" fontId="2" fillId="2" borderId="54" xfId="0" applyNumberFormat="1" applyFont="1" applyFill="1" applyBorder="1" applyAlignment="1">
      <alignment horizontal="center"/>
    </xf>
    <xf numFmtId="3" fontId="5" fillId="2" borderId="54" xfId="0" applyNumberFormat="1" applyFont="1" applyFill="1" applyBorder="1" applyAlignment="1">
      <alignment horizontal="center"/>
    </xf>
    <xf numFmtId="164" fontId="3" fillId="2" borderId="0" xfId="0" applyNumberFormat="1" applyFont="1" applyFill="1" applyBorder="1"/>
    <xf numFmtId="0" fontId="6" fillId="0" borderId="59" xfId="0" applyFont="1" applyFill="1" applyBorder="1" applyAlignment="1">
      <alignment horizontal="center" vertical="center"/>
    </xf>
    <xf numFmtId="167" fontId="0" fillId="0" borderId="59" xfId="0" applyNumberFormat="1" applyFont="1" applyFill="1" applyBorder="1" applyAlignment="1">
      <alignment vertical="center"/>
    </xf>
    <xf numFmtId="49" fontId="12" fillId="5" borderId="59" xfId="1" quotePrefix="1" applyNumberFormat="1" applyFont="1" applyFill="1" applyBorder="1" applyAlignment="1">
      <alignment horizontal="center"/>
    </xf>
    <xf numFmtId="2" fontId="19" fillId="2" borderId="1" xfId="1" quotePrefix="1" applyNumberFormat="1" applyFont="1" applyFill="1" applyBorder="1" applyAlignment="1">
      <alignment horizontal="center" vertical="center"/>
    </xf>
    <xf numFmtId="167" fontId="2" fillId="5" borderId="59" xfId="1" applyNumberFormat="1" applyFont="1" applyFill="1" applyBorder="1" applyAlignment="1">
      <alignment horizontal="center" vertical="center"/>
    </xf>
    <xf numFmtId="167" fontId="6" fillId="11" borderId="10" xfId="1" quotePrefix="1" applyNumberFormat="1" applyFont="1" applyFill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vertical="center"/>
    </xf>
    <xf numFmtId="174" fontId="2" fillId="0" borderId="59" xfId="0" quotePrefix="1" applyNumberFormat="1" applyFont="1" applyBorder="1" applyAlignment="1">
      <alignment horizontal="center"/>
    </xf>
    <xf numFmtId="0" fontId="24" fillId="2" borderId="59" xfId="0" applyFont="1" applyFill="1" applyBorder="1" applyAlignment="1">
      <alignment horizontal="center" vertical="center"/>
    </xf>
    <xf numFmtId="171" fontId="21" fillId="2" borderId="59" xfId="0" applyNumberFormat="1" applyFont="1" applyFill="1" applyBorder="1" applyAlignment="1">
      <alignment vertical="center"/>
    </xf>
    <xf numFmtId="167" fontId="23" fillId="2" borderId="59" xfId="1" applyNumberFormat="1" applyFont="1" applyFill="1" applyBorder="1" applyAlignment="1">
      <alignment vertical="center"/>
    </xf>
    <xf numFmtId="173" fontId="24" fillId="2" borderId="1" xfId="1" applyNumberFormat="1" applyFont="1" applyFill="1" applyBorder="1" applyAlignment="1">
      <alignment horizontal="center" vertical="center"/>
    </xf>
    <xf numFmtId="171" fontId="21" fillId="2" borderId="59" xfId="1" applyNumberFormat="1" applyFont="1" applyFill="1" applyBorder="1" applyAlignment="1">
      <alignment horizontal="center" vertical="center"/>
    </xf>
    <xf numFmtId="164" fontId="5" fillId="0" borderId="55" xfId="0" applyNumberFormat="1" applyFont="1" applyBorder="1" applyAlignment="1">
      <alignment horizontal="left" wrapText="1"/>
    </xf>
    <xf numFmtId="14" fontId="2" fillId="0" borderId="24" xfId="0" applyNumberFormat="1" applyFont="1" applyBorder="1" applyAlignment="1">
      <alignment horizontal="center"/>
    </xf>
    <xf numFmtId="187" fontId="2" fillId="0" borderId="7" xfId="1" quotePrefix="1" applyNumberFormat="1" applyFont="1" applyFill="1" applyBorder="1" applyAlignment="1">
      <alignment horizontal="right" wrapText="1" shrinkToFit="1"/>
    </xf>
    <xf numFmtId="165" fontId="2" fillId="0" borderId="59" xfId="0" quotePrefix="1" applyNumberFormat="1" applyFont="1" applyBorder="1" applyAlignment="1">
      <alignment horizontal="center" wrapText="1"/>
    </xf>
    <xf numFmtId="176" fontId="2" fillId="0" borderId="24" xfId="0" applyNumberFormat="1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49" fontId="56" fillId="0" borderId="59" xfId="0" applyNumberFormat="1" applyFont="1" applyBorder="1" applyAlignment="1">
      <alignment vertical="center"/>
    </xf>
    <xf numFmtId="49" fontId="56" fillId="0" borderId="60" xfId="0" applyNumberFormat="1" applyFont="1" applyBorder="1" applyAlignment="1">
      <alignment vertical="center"/>
    </xf>
    <xf numFmtId="0" fontId="2" fillId="0" borderId="59" xfId="0" quotePrefix="1" applyFont="1" applyFill="1" applyBorder="1" applyAlignment="1">
      <alignment horizontal="right" wrapText="1"/>
    </xf>
    <xf numFmtId="0" fontId="2" fillId="0" borderId="59" xfId="0" quotePrefix="1" applyFont="1" applyFill="1" applyBorder="1" applyAlignment="1">
      <alignment horizontal="right"/>
    </xf>
    <xf numFmtId="0" fontId="24" fillId="0" borderId="1" xfId="0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center" vertical="center"/>
    </xf>
    <xf numFmtId="0" fontId="3" fillId="0" borderId="59" xfId="0" quotePrefix="1" applyFont="1" applyFill="1" applyBorder="1" applyAlignment="1">
      <alignment horizontal="left" vertical="center"/>
    </xf>
    <xf numFmtId="0" fontId="2" fillId="0" borderId="59" xfId="0" quotePrefix="1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vertical="center" wrapText="1"/>
    </xf>
    <xf numFmtId="0" fontId="42" fillId="0" borderId="59" xfId="0" quotePrefix="1" applyFont="1" applyFill="1" applyBorder="1" applyAlignment="1">
      <alignment horizontal="center" vertical="center"/>
    </xf>
    <xf numFmtId="43" fontId="12" fillId="5" borderId="59" xfId="1" quotePrefix="1" applyNumberFormat="1" applyFont="1" applyFill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/>
    </xf>
    <xf numFmtId="176" fontId="23" fillId="2" borderId="67" xfId="0" applyNumberFormat="1" applyFont="1" applyFill="1" applyBorder="1" applyAlignment="1">
      <alignment horizontal="center" vertical="center"/>
    </xf>
    <xf numFmtId="0" fontId="23" fillId="2" borderId="67" xfId="0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/>
    </xf>
    <xf numFmtId="173" fontId="21" fillId="2" borderId="67" xfId="1" applyNumberFormat="1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 wrapText="1"/>
    </xf>
    <xf numFmtId="2" fontId="21" fillId="2" borderId="67" xfId="1" applyNumberFormat="1" applyFont="1" applyFill="1" applyBorder="1" applyAlignment="1">
      <alignment vertical="center"/>
    </xf>
    <xf numFmtId="167" fontId="21" fillId="2" borderId="67" xfId="1" applyNumberFormat="1" applyFont="1" applyFill="1" applyBorder="1" applyAlignment="1">
      <alignment vertical="center"/>
    </xf>
    <xf numFmtId="171" fontId="21" fillId="2" borderId="67" xfId="1" applyNumberFormat="1" applyFont="1" applyFill="1" applyBorder="1" applyAlignment="1">
      <alignment vertical="center"/>
    </xf>
    <xf numFmtId="0" fontId="21" fillId="2" borderId="67" xfId="0" applyFont="1" applyFill="1" applyBorder="1" applyAlignment="1">
      <alignment vertical="center"/>
    </xf>
    <xf numFmtId="0" fontId="20" fillId="2" borderId="67" xfId="0" applyFont="1" applyFill="1" applyBorder="1" applyAlignment="1">
      <alignment horizontal="center" vertical="center"/>
    </xf>
    <xf numFmtId="49" fontId="24" fillId="2" borderId="67" xfId="0" applyNumberFormat="1" applyFont="1" applyFill="1" applyBorder="1" applyAlignment="1">
      <alignment horizontal="center" vertical="center"/>
    </xf>
    <xf numFmtId="43" fontId="21" fillId="2" borderId="67" xfId="1" applyFont="1" applyFill="1" applyBorder="1" applyAlignment="1">
      <alignment vertical="center"/>
    </xf>
    <xf numFmtId="0" fontId="19" fillId="2" borderId="67" xfId="0" applyFont="1" applyFill="1" applyBorder="1" applyAlignment="1">
      <alignment vertical="center"/>
    </xf>
    <xf numFmtId="164" fontId="6" fillId="0" borderId="68" xfId="0" applyNumberFormat="1" applyFont="1" applyBorder="1" applyAlignment="1">
      <alignment horizontal="center"/>
    </xf>
    <xf numFmtId="49" fontId="2" fillId="2" borderId="66" xfId="2" quotePrefix="1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3" fontId="12" fillId="5" borderId="3" xfId="1" applyNumberFormat="1" applyFont="1" applyFill="1" applyBorder="1" applyAlignment="1"/>
    <xf numFmtId="0" fontId="2" fillId="2" borderId="3" xfId="0" quotePrefix="1" applyFont="1" applyFill="1" applyBorder="1" applyAlignment="1">
      <alignment horizontal="left"/>
    </xf>
    <xf numFmtId="167" fontId="21" fillId="2" borderId="3" xfId="1" applyNumberFormat="1" applyFont="1" applyFill="1" applyBorder="1" applyAlignment="1">
      <alignment vertical="center"/>
    </xf>
    <xf numFmtId="171" fontId="21" fillId="2" borderId="3" xfId="1" applyNumberFormat="1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/>
    </xf>
    <xf numFmtId="3" fontId="12" fillId="11" borderId="24" xfId="1" applyNumberFormat="1" applyFont="1" applyFill="1" applyBorder="1" applyAlignment="1"/>
    <xf numFmtId="0" fontId="2" fillId="3" borderId="24" xfId="0" quotePrefix="1" applyFont="1" applyFill="1" applyBorder="1" applyAlignment="1">
      <alignment horizontal="left"/>
    </xf>
    <xf numFmtId="167" fontId="21" fillId="3" borderId="24" xfId="1" applyNumberFormat="1" applyFont="1" applyFill="1" applyBorder="1" applyAlignment="1">
      <alignment vertical="center"/>
    </xf>
    <xf numFmtId="171" fontId="21" fillId="3" borderId="24" xfId="0" applyNumberFormat="1" applyFont="1" applyFill="1" applyBorder="1" applyAlignment="1">
      <alignment vertical="center"/>
    </xf>
    <xf numFmtId="0" fontId="20" fillId="3" borderId="24" xfId="0" applyFont="1" applyFill="1" applyBorder="1" applyAlignment="1">
      <alignment horizontal="center" vertical="center"/>
    </xf>
    <xf numFmtId="171" fontId="21" fillId="3" borderId="24" xfId="1" applyNumberFormat="1" applyFont="1" applyFill="1" applyBorder="1" applyAlignment="1">
      <alignment horizontal="left" vertical="center" indent="1"/>
    </xf>
    <xf numFmtId="167" fontId="23" fillId="3" borderId="24" xfId="1" applyNumberFormat="1" applyFont="1" applyFill="1" applyBorder="1" applyAlignment="1">
      <alignment vertical="center"/>
    </xf>
    <xf numFmtId="165" fontId="2" fillId="0" borderId="66" xfId="0" applyNumberFormat="1" applyFont="1" applyBorder="1" applyAlignment="1">
      <alignment horizontal="center"/>
    </xf>
    <xf numFmtId="49" fontId="12" fillId="5" borderId="66" xfId="1" quotePrefix="1" applyNumberFormat="1" applyFont="1" applyFill="1" applyBorder="1" applyAlignment="1">
      <alignment horizontal="center"/>
    </xf>
    <xf numFmtId="167" fontId="3" fillId="2" borderId="66" xfId="1" applyNumberFormat="1" applyFont="1" applyFill="1" applyBorder="1" applyAlignment="1">
      <alignment horizontal="right" vertical="center"/>
    </xf>
    <xf numFmtId="49" fontId="2" fillId="0" borderId="66" xfId="2" quotePrefix="1" applyNumberFormat="1" applyFont="1" applyBorder="1" applyAlignment="1">
      <alignment horizontal="center"/>
    </xf>
    <xf numFmtId="164" fontId="6" fillId="0" borderId="66" xfId="0" applyNumberFormat="1" applyFont="1" applyBorder="1" applyAlignment="1">
      <alignment horizontal="center"/>
    </xf>
    <xf numFmtId="164" fontId="11" fillId="2" borderId="66" xfId="0" applyNumberFormat="1" applyFont="1" applyFill="1" applyBorder="1" applyAlignment="1">
      <alignment horizontal="center"/>
    </xf>
    <xf numFmtId="0" fontId="51" fillId="0" borderId="67" xfId="3" applyFont="1" applyBorder="1" applyAlignment="1">
      <alignment vertical="center" wrapText="1"/>
    </xf>
    <xf numFmtId="0" fontId="51" fillId="0" borderId="67" xfId="3" applyFont="1" applyBorder="1" applyAlignment="1">
      <alignment vertical="center"/>
    </xf>
    <xf numFmtId="0" fontId="2" fillId="0" borderId="68" xfId="0" applyFont="1" applyBorder="1" applyAlignment="1">
      <alignment horizontal="center"/>
    </xf>
    <xf numFmtId="165" fontId="2" fillId="0" borderId="68" xfId="0" applyNumberFormat="1" applyFont="1" applyBorder="1" applyAlignment="1">
      <alignment horizontal="center"/>
    </xf>
    <xf numFmtId="0" fontId="2" fillId="0" borderId="68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4" fillId="2" borderId="67" xfId="0" applyFont="1" applyFill="1" applyBorder="1" applyAlignment="1">
      <alignment horizontal="center" vertical="center"/>
    </xf>
    <xf numFmtId="164" fontId="6" fillId="0" borderId="67" xfId="0" applyNumberFormat="1" applyFont="1" applyBorder="1" applyAlignment="1">
      <alignment horizontal="center"/>
    </xf>
    <xf numFmtId="164" fontId="11" fillId="2" borderId="67" xfId="0" applyNumberFormat="1" applyFont="1" applyFill="1" applyBorder="1" applyAlignment="1">
      <alignment horizontal="center"/>
    </xf>
    <xf numFmtId="165" fontId="2" fillId="0" borderId="67" xfId="0" applyNumberFormat="1" applyFont="1" applyBorder="1" applyAlignment="1">
      <alignment horizontal="center"/>
    </xf>
    <xf numFmtId="49" fontId="2" fillId="2" borderId="67" xfId="2" quotePrefix="1" applyNumberFormat="1" applyFont="1" applyFill="1" applyBorder="1" applyAlignment="1">
      <alignment horizontal="center" wrapText="1"/>
    </xf>
    <xf numFmtId="167" fontId="3" fillId="2" borderId="67" xfId="1" applyNumberFormat="1" applyFont="1" applyFill="1" applyBorder="1" applyAlignment="1">
      <alignment horizontal="right" vertical="center"/>
    </xf>
    <xf numFmtId="167" fontId="21" fillId="2" borderId="68" xfId="1" applyNumberFormat="1" applyFont="1" applyFill="1" applyBorder="1" applyAlignment="1">
      <alignment vertical="center"/>
    </xf>
    <xf numFmtId="171" fontId="21" fillId="2" borderId="68" xfId="1" applyNumberFormat="1" applyFont="1" applyFill="1" applyBorder="1" applyAlignment="1">
      <alignment vertical="center"/>
    </xf>
    <xf numFmtId="0" fontId="20" fillId="2" borderId="68" xfId="0" applyFont="1" applyFill="1" applyBorder="1" applyAlignment="1">
      <alignment horizontal="center" vertical="center"/>
    </xf>
    <xf numFmtId="49" fontId="24" fillId="2" borderId="68" xfId="0" applyNumberFormat="1" applyFont="1" applyFill="1" applyBorder="1" applyAlignment="1">
      <alignment horizontal="center" vertical="center"/>
    </xf>
    <xf numFmtId="0" fontId="2" fillId="0" borderId="68" xfId="0" applyFont="1" applyBorder="1"/>
    <xf numFmtId="0" fontId="2" fillId="0" borderId="67" xfId="0" applyFont="1" applyBorder="1" applyAlignment="1">
      <alignment horizontal="center"/>
    </xf>
    <xf numFmtId="0" fontId="2" fillId="0" borderId="67" xfId="0" applyFont="1" applyBorder="1" applyAlignment="1">
      <alignment horizontal="left"/>
    </xf>
    <xf numFmtId="164" fontId="2" fillId="0" borderId="67" xfId="0" applyNumberFormat="1" applyFont="1" applyBorder="1" applyAlignment="1">
      <alignment horizontal="center"/>
    </xf>
    <xf numFmtId="0" fontId="2" fillId="0" borderId="67" xfId="0" applyFont="1" applyBorder="1"/>
    <xf numFmtId="164" fontId="5" fillId="0" borderId="67" xfId="0" applyNumberFormat="1" applyFont="1" applyBorder="1" applyAlignment="1">
      <alignment horizontal="center"/>
    </xf>
    <xf numFmtId="0" fontId="2" fillId="0" borderId="68" xfId="0" applyNumberFormat="1" applyFont="1" applyBorder="1" applyAlignment="1">
      <alignment horizontal="center"/>
    </xf>
    <xf numFmtId="167" fontId="21" fillId="0" borderId="1" xfId="1" applyNumberFormat="1" applyFont="1" applyFill="1" applyBorder="1" applyAlignment="1">
      <alignment horizontal="right" vertical="center"/>
    </xf>
    <xf numFmtId="171" fontId="2" fillId="3" borderId="0" xfId="0" applyNumberFormat="1" applyFont="1" applyFill="1" applyAlignment="1">
      <alignment vertical="center"/>
    </xf>
    <xf numFmtId="167" fontId="21" fillId="10" borderId="1" xfId="1" applyNumberFormat="1" applyFont="1" applyFill="1" applyBorder="1" applyAlignment="1">
      <alignment horizontal="right" vertical="center"/>
    </xf>
    <xf numFmtId="2" fontId="21" fillId="2" borderId="1" xfId="0" applyNumberFormat="1" applyFont="1" applyFill="1" applyBorder="1" applyAlignment="1">
      <alignment horizontal="center" vertical="center"/>
    </xf>
    <xf numFmtId="171" fontId="23" fillId="3" borderId="34" xfId="1" applyNumberFormat="1" applyFont="1" applyFill="1" applyBorder="1" applyAlignment="1">
      <alignment horizontal="left" vertical="center" indent="1"/>
    </xf>
    <xf numFmtId="43" fontId="21" fillId="13" borderId="1" xfId="1" applyNumberFormat="1" applyFont="1" applyFill="1" applyBorder="1" applyAlignment="1">
      <alignment vertical="center"/>
    </xf>
    <xf numFmtId="167" fontId="2" fillId="5" borderId="67" xfId="1" applyNumberFormat="1" applyFont="1" applyFill="1" applyBorder="1" applyAlignment="1">
      <alignment horizontal="center" vertical="center"/>
    </xf>
    <xf numFmtId="164" fontId="2" fillId="0" borderId="67" xfId="0" quotePrefix="1" applyNumberFormat="1" applyFont="1" applyBorder="1" applyAlignment="1">
      <alignment horizontal="center"/>
    </xf>
    <xf numFmtId="49" fontId="12" fillId="5" borderId="67" xfId="1" quotePrefix="1" applyNumberFormat="1" applyFont="1" applyFill="1" applyBorder="1" applyAlignment="1">
      <alignment horizontal="center"/>
    </xf>
    <xf numFmtId="49" fontId="2" fillId="0" borderId="67" xfId="2" quotePrefix="1" applyNumberFormat="1" applyFont="1" applyBorder="1" applyAlignment="1">
      <alignment horizontal="center"/>
    </xf>
    <xf numFmtId="164" fontId="136" fillId="2" borderId="67" xfId="0" applyNumberFormat="1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/>
    </xf>
    <xf numFmtId="164" fontId="2" fillId="0" borderId="67" xfId="0" applyNumberFormat="1" applyFont="1" applyBorder="1" applyAlignment="1">
      <alignment horizontal="center" wrapText="1"/>
    </xf>
    <xf numFmtId="2" fontId="2" fillId="0" borderId="1" xfId="0" quotePrefix="1" applyNumberFormat="1" applyFont="1" applyBorder="1" applyAlignment="1">
      <alignment horizontal="center"/>
    </xf>
    <xf numFmtId="167" fontId="19" fillId="2" borderId="0" xfId="0" applyNumberFormat="1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167" fontId="2" fillId="5" borderId="23" xfId="1" applyNumberFormat="1" applyFont="1" applyFill="1" applyBorder="1" applyAlignment="1">
      <alignment horizontal="center" vertical="center"/>
    </xf>
    <xf numFmtId="169" fontId="21" fillId="2" borderId="1" xfId="0" applyNumberFormat="1" applyFont="1" applyFill="1" applyBorder="1" applyAlignment="1">
      <alignment horizontal="center" vertical="center" wrapText="1"/>
    </xf>
    <xf numFmtId="180" fontId="12" fillId="5" borderId="43" xfId="1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0" fontId="3" fillId="3" borderId="67" xfId="0" applyFont="1" applyFill="1" applyBorder="1" applyAlignment="1">
      <alignment horizontal="center" vertical="center"/>
    </xf>
    <xf numFmtId="167" fontId="6" fillId="11" borderId="67" xfId="1" applyNumberFormat="1" applyFont="1" applyFill="1" applyBorder="1" applyAlignment="1">
      <alignment horizontal="center"/>
    </xf>
    <xf numFmtId="164" fontId="5" fillId="2" borderId="68" xfId="0" applyNumberFormat="1" applyFont="1" applyFill="1" applyBorder="1" applyAlignment="1">
      <alignment horizontal="left" wrapText="1"/>
    </xf>
    <xf numFmtId="164" fontId="11" fillId="2" borderId="68" xfId="0" applyNumberFormat="1" applyFont="1" applyFill="1" applyBorder="1" applyAlignment="1">
      <alignment horizontal="center"/>
    </xf>
    <xf numFmtId="3" fontId="2" fillId="2" borderId="68" xfId="0" applyNumberFormat="1" applyFont="1" applyFill="1" applyBorder="1" applyAlignment="1">
      <alignment horizontal="center"/>
    </xf>
    <xf numFmtId="49" fontId="2" fillId="2" borderId="68" xfId="2" quotePrefix="1" applyNumberFormat="1" applyFont="1" applyFill="1" applyBorder="1" applyAlignment="1">
      <alignment horizontal="center" wrapText="1"/>
    </xf>
    <xf numFmtId="49" fontId="2" fillId="0" borderId="68" xfId="2" quotePrefix="1" applyNumberFormat="1" applyFont="1" applyBorder="1"/>
    <xf numFmtId="0" fontId="3" fillId="3" borderId="0" xfId="0" applyFont="1" applyFill="1" applyBorder="1" applyAlignment="1">
      <alignment horizontal="center"/>
    </xf>
    <xf numFmtId="167" fontId="10" fillId="5" borderId="43" xfId="1" quotePrefix="1" applyNumberFormat="1" applyFont="1" applyFill="1" applyBorder="1" applyAlignment="1">
      <alignment horizontal="center"/>
    </xf>
    <xf numFmtId="49" fontId="2" fillId="0" borderId="67" xfId="2" quotePrefix="1" applyNumberFormat="1" applyFont="1" applyBorder="1" applyAlignment="1">
      <alignment vertical="center"/>
    </xf>
    <xf numFmtId="3" fontId="12" fillId="5" borderId="67" xfId="1" applyNumberFormat="1" applyFont="1" applyFill="1" applyBorder="1" applyAlignment="1"/>
    <xf numFmtId="171" fontId="21" fillId="16" borderId="67" xfId="0" applyNumberFormat="1" applyFont="1" applyFill="1" applyBorder="1" applyAlignment="1">
      <alignment vertical="center"/>
    </xf>
    <xf numFmtId="14" fontId="2" fillId="0" borderId="67" xfId="0" quotePrefix="1" applyNumberFormat="1" applyFont="1" applyBorder="1" applyAlignment="1">
      <alignment horizontal="center"/>
    </xf>
    <xf numFmtId="43" fontId="12" fillId="5" borderId="10" xfId="1" quotePrefix="1" applyNumberFormat="1" applyFont="1" applyFill="1" applyBorder="1" applyAlignment="1">
      <alignment horizontal="center"/>
    </xf>
    <xf numFmtId="40" fontId="20" fillId="0" borderId="24" xfId="12" applyNumberFormat="1" applyFont="1" applyFill="1" applyBorder="1" applyAlignment="1">
      <alignment horizontal="center" vertical="center" shrinkToFit="1"/>
    </xf>
    <xf numFmtId="3" fontId="2" fillId="2" borderId="67" xfId="0" applyNumberFormat="1" applyFont="1" applyFill="1" applyBorder="1" applyAlignment="1">
      <alignment horizontal="center"/>
    </xf>
    <xf numFmtId="43" fontId="12" fillId="5" borderId="67" xfId="1" quotePrefix="1" applyNumberFormat="1" applyFont="1" applyFill="1" applyBorder="1" applyAlignment="1">
      <alignment horizontal="center"/>
    </xf>
    <xf numFmtId="167" fontId="21" fillId="0" borderId="67" xfId="1" applyNumberFormat="1" applyFont="1" applyFill="1" applyBorder="1" applyAlignment="1">
      <alignment vertical="center"/>
    </xf>
    <xf numFmtId="167" fontId="160" fillId="2" borderId="70" xfId="24485" quotePrefix="1" applyNumberFormat="1" applyFont="1" applyFill="1" applyBorder="1" applyAlignment="1" applyProtection="1">
      <alignment horizontal="center" vertical="center" shrinkToFit="1"/>
      <protection locked="0"/>
    </xf>
    <xf numFmtId="188" fontId="3" fillId="0" borderId="1" xfId="0" applyNumberFormat="1" applyFont="1" applyBorder="1" applyAlignment="1">
      <alignment horizontal="left"/>
    </xf>
    <xf numFmtId="165" fontId="2" fillId="0" borderId="24" xfId="0" applyNumberFormat="1" applyFont="1" applyBorder="1" applyAlignment="1">
      <alignment horizontal="center"/>
    </xf>
    <xf numFmtId="0" fontId="3" fillId="3" borderId="67" xfId="0" applyFont="1" applyFill="1" applyBorder="1" applyAlignment="1">
      <alignment horizontal="center" vertical="center"/>
    </xf>
    <xf numFmtId="0" fontId="2" fillId="2" borderId="67" xfId="0" quotePrefix="1" applyFont="1" applyFill="1" applyBorder="1" applyAlignment="1">
      <alignment horizontal="left"/>
    </xf>
    <xf numFmtId="167" fontId="2" fillId="5" borderId="68" xfId="1" applyNumberFormat="1" applyFont="1" applyFill="1" applyBorder="1" applyAlignment="1">
      <alignment horizontal="center" vertical="center"/>
    </xf>
    <xf numFmtId="164" fontId="3" fillId="0" borderId="68" xfId="0" applyNumberFormat="1" applyFont="1" applyBorder="1" applyAlignment="1">
      <alignment horizontal="left"/>
    </xf>
    <xf numFmtId="49" fontId="2" fillId="2" borderId="68" xfId="2" quotePrefix="1" applyNumberFormat="1" applyFont="1" applyFill="1" applyBorder="1" applyAlignment="1">
      <alignment wrapText="1"/>
    </xf>
    <xf numFmtId="167" fontId="3" fillId="2" borderId="68" xfId="1" applyNumberFormat="1" applyFont="1" applyFill="1" applyBorder="1" applyAlignment="1">
      <alignment horizontal="right" vertical="center"/>
    </xf>
    <xf numFmtId="167" fontId="14" fillId="2" borderId="24" xfId="1" applyNumberFormat="1" applyFont="1" applyFill="1" applyBorder="1" applyAlignment="1">
      <alignment vertical="center"/>
    </xf>
    <xf numFmtId="171" fontId="14" fillId="2" borderId="24" xfId="1" applyNumberFormat="1" applyFont="1" applyFill="1" applyBorder="1" applyAlignment="1">
      <alignment vertical="center"/>
    </xf>
    <xf numFmtId="0" fontId="14" fillId="2" borderId="24" xfId="0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171" fontId="14" fillId="2" borderId="24" xfId="1" applyNumberFormat="1" applyFont="1" applyFill="1" applyBorder="1" applyAlignment="1">
      <alignment horizontal="left" vertical="center" indent="1"/>
    </xf>
    <xf numFmtId="167" fontId="31" fillId="2" borderId="24" xfId="1" applyNumberFormat="1" applyFont="1" applyFill="1" applyBorder="1" applyAlignment="1">
      <alignment vertical="center"/>
    </xf>
    <xf numFmtId="49" fontId="5" fillId="2" borderId="24" xfId="0" applyNumberFormat="1" applyFont="1" applyFill="1" applyBorder="1" applyAlignment="1">
      <alignment horizontal="center" vertical="center"/>
    </xf>
    <xf numFmtId="167" fontId="14" fillId="2" borderId="67" xfId="1" applyNumberFormat="1" applyFont="1" applyFill="1" applyBorder="1" applyAlignment="1">
      <alignment vertical="center"/>
    </xf>
    <xf numFmtId="171" fontId="14" fillId="2" borderId="67" xfId="1" applyNumberFormat="1" applyFont="1" applyFill="1" applyBorder="1" applyAlignment="1">
      <alignment vertical="center"/>
    </xf>
    <xf numFmtId="167" fontId="14" fillId="3" borderId="67" xfId="1" applyNumberFormat="1" applyFont="1" applyFill="1" applyBorder="1" applyAlignment="1">
      <alignment vertical="center"/>
    </xf>
    <xf numFmtId="171" fontId="14" fillId="3" borderId="67" xfId="0" applyNumberFormat="1" applyFont="1" applyFill="1" applyBorder="1" applyAlignment="1">
      <alignment vertical="center"/>
    </xf>
    <xf numFmtId="171" fontId="14" fillId="3" borderId="67" xfId="1" applyNumberFormat="1" applyFont="1" applyFill="1" applyBorder="1" applyAlignment="1">
      <alignment horizontal="left" vertical="center" indent="1"/>
    </xf>
    <xf numFmtId="167" fontId="31" fillId="3" borderId="67" xfId="1" applyNumberFormat="1" applyFont="1" applyFill="1" applyBorder="1" applyAlignment="1">
      <alignment vertical="center"/>
    </xf>
    <xf numFmtId="49" fontId="5" fillId="2" borderId="67" xfId="0" applyNumberFormat="1" applyFont="1" applyFill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/>
    </xf>
    <xf numFmtId="165" fontId="10" fillId="0" borderId="68" xfId="0" applyNumberFormat="1" applyFont="1" applyBorder="1" applyAlignment="1">
      <alignment horizontal="center"/>
    </xf>
    <xf numFmtId="167" fontId="31" fillId="8" borderId="68" xfId="1" applyNumberFormat="1" applyFont="1" applyFill="1" applyBorder="1" applyAlignment="1">
      <alignment horizontal="center" vertical="center"/>
    </xf>
    <xf numFmtId="171" fontId="31" fillId="8" borderId="68" xfId="1" applyNumberFormat="1" applyFont="1" applyFill="1" applyBorder="1" applyAlignment="1">
      <alignment horizontal="center" vertical="center" wrapText="1"/>
    </xf>
    <xf numFmtId="167" fontId="31" fillId="8" borderId="68" xfId="1" applyNumberFormat="1" applyFont="1" applyFill="1" applyBorder="1" applyAlignment="1">
      <alignment horizontal="center" vertical="center" wrapText="1"/>
    </xf>
    <xf numFmtId="0" fontId="31" fillId="8" borderId="68" xfId="0" applyFont="1" applyFill="1" applyBorder="1" applyAlignment="1">
      <alignment horizontal="center" vertical="center" wrapText="1"/>
    </xf>
    <xf numFmtId="0" fontId="3" fillId="8" borderId="68" xfId="0" applyFont="1" applyFill="1" applyBorder="1" applyAlignment="1">
      <alignment horizontal="center" vertical="center" wrapText="1"/>
    </xf>
    <xf numFmtId="49" fontId="5" fillId="8" borderId="68" xfId="0" applyNumberFormat="1" applyFont="1" applyFill="1" applyBorder="1" applyAlignment="1">
      <alignment horizontal="center" vertical="center" wrapText="1"/>
    </xf>
    <xf numFmtId="165" fontId="2" fillId="0" borderId="34" xfId="0" quotePrefix="1" applyNumberFormat="1" applyFont="1" applyBorder="1" applyAlignment="1">
      <alignment horizontal="center"/>
    </xf>
    <xf numFmtId="49" fontId="2" fillId="0" borderId="34" xfId="38402" applyNumberFormat="1" applyFont="1" applyBorder="1" applyAlignment="1">
      <alignment horizontal="center" vertical="center"/>
    </xf>
    <xf numFmtId="49" fontId="2" fillId="0" borderId="34" xfId="7" applyNumberFormat="1" applyFont="1" applyBorder="1" applyAlignment="1">
      <alignment horizontal="center" vertical="top" wrapText="1"/>
    </xf>
    <xf numFmtId="49" fontId="2" fillId="0" borderId="34" xfId="7" applyNumberFormat="1" applyFont="1" applyBorder="1" applyAlignment="1">
      <alignment vertical="top" wrapText="1"/>
    </xf>
    <xf numFmtId="49" fontId="2" fillId="2" borderId="34" xfId="2" quotePrefix="1" applyNumberFormat="1" applyFont="1" applyFill="1" applyBorder="1" applyAlignment="1">
      <alignment horizontal="center" wrapText="1"/>
    </xf>
    <xf numFmtId="167" fontId="14" fillId="2" borderId="34" xfId="1" applyNumberFormat="1" applyFont="1" applyFill="1" applyBorder="1" applyAlignment="1">
      <alignment vertical="center"/>
    </xf>
    <xf numFmtId="171" fontId="14" fillId="2" borderId="34" xfId="1" applyNumberFormat="1" applyFont="1" applyFill="1" applyBorder="1" applyAlignment="1">
      <alignment vertical="center"/>
    </xf>
    <xf numFmtId="0" fontId="14" fillId="2" borderId="34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center" vertical="center"/>
    </xf>
    <xf numFmtId="171" fontId="14" fillId="2" borderId="34" xfId="1" applyNumberFormat="1" applyFont="1" applyFill="1" applyBorder="1" applyAlignment="1">
      <alignment horizontal="left" vertical="center" indent="1"/>
    </xf>
    <xf numFmtId="167" fontId="31" fillId="2" borderId="34" xfId="1" applyNumberFormat="1" applyFont="1" applyFill="1" applyBorder="1" applyAlignment="1">
      <alignment vertical="center"/>
    </xf>
    <xf numFmtId="49" fontId="5" fillId="2" borderId="34" xfId="0" applyNumberFormat="1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80" fontId="21" fillId="2" borderId="67" xfId="0" applyNumberFormat="1" applyFont="1" applyFill="1" applyBorder="1" applyAlignment="1">
      <alignment horizontal="center" vertical="center"/>
    </xf>
    <xf numFmtId="0" fontId="24" fillId="2" borderId="67" xfId="0" applyFont="1" applyFill="1" applyBorder="1" applyAlignment="1">
      <alignment vertical="center" wrapText="1"/>
    </xf>
    <xf numFmtId="0" fontId="3" fillId="8" borderId="67" xfId="0" applyFont="1" applyFill="1" applyBorder="1" applyAlignment="1">
      <alignment horizontal="center" vertical="center" wrapText="1"/>
    </xf>
    <xf numFmtId="0" fontId="20" fillId="2" borderId="67" xfId="0" applyFont="1" applyFill="1" applyBorder="1" applyAlignment="1">
      <alignment horizontal="center" vertical="center" wrapText="1"/>
    </xf>
    <xf numFmtId="49" fontId="94" fillId="0" borderId="67" xfId="0" applyNumberFormat="1" applyFont="1" applyBorder="1" applyAlignment="1">
      <alignment vertical="center"/>
    </xf>
    <xf numFmtId="0" fontId="20" fillId="2" borderId="67" xfId="0" applyFont="1" applyFill="1" applyBorder="1" applyAlignment="1">
      <alignment horizontal="left" vertical="center"/>
    </xf>
    <xf numFmtId="0" fontId="3" fillId="0" borderId="67" xfId="0" applyFont="1" applyBorder="1" applyAlignment="1">
      <alignment horizontal="left"/>
    </xf>
    <xf numFmtId="49" fontId="56" fillId="0" borderId="67" xfId="0" applyNumberFormat="1" applyFont="1" applyBorder="1" applyAlignment="1">
      <alignment vertical="center"/>
    </xf>
    <xf numFmtId="167" fontId="2" fillId="10" borderId="67" xfId="0" applyNumberFormat="1" applyFont="1" applyFill="1" applyBorder="1" applyAlignment="1"/>
    <xf numFmtId="0" fontId="2" fillId="0" borderId="71" xfId="0" applyFont="1" applyBorder="1" applyAlignment="1">
      <alignment horizontal="center"/>
    </xf>
    <xf numFmtId="49" fontId="56" fillId="0" borderId="0" xfId="0" applyNumberFormat="1" applyFont="1" applyBorder="1" applyAlignment="1">
      <alignment vertical="center" wrapText="1"/>
    </xf>
    <xf numFmtId="2" fontId="24" fillId="2" borderId="1" xfId="0" applyNumberFormat="1" applyFont="1" applyFill="1" applyBorder="1" applyAlignment="1">
      <alignment horizontal="center" vertical="center"/>
    </xf>
    <xf numFmtId="167" fontId="160" fillId="2" borderId="67" xfId="24485" quotePrefix="1" applyNumberFormat="1" applyFont="1" applyFill="1" applyBorder="1" applyAlignment="1" applyProtection="1">
      <alignment horizontal="center" vertical="center" shrinkToFit="1"/>
      <protection locked="0"/>
    </xf>
    <xf numFmtId="0" fontId="2" fillId="0" borderId="56" xfId="0" applyFont="1" applyBorder="1" applyAlignment="1">
      <alignment horizontal="center"/>
    </xf>
    <xf numFmtId="167" fontId="2" fillId="5" borderId="72" xfId="1" applyNumberFormat="1" applyFont="1" applyFill="1" applyBorder="1" applyAlignment="1">
      <alignment horizontal="center" vertical="center"/>
    </xf>
    <xf numFmtId="167" fontId="21" fillId="12" borderId="67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64" fontId="5" fillId="0" borderId="6" xfId="0" applyNumberFormat="1" applyFont="1" applyBorder="1" applyAlignment="1">
      <alignment horizontal="left"/>
    </xf>
    <xf numFmtId="1" fontId="21" fillId="2" borderId="1" xfId="0" applyNumberFormat="1" applyFont="1" applyFill="1" applyBorder="1" applyAlignment="1">
      <alignment horizontal="center" vertical="center"/>
    </xf>
    <xf numFmtId="14" fontId="24" fillId="2" borderId="67" xfId="0" applyNumberFormat="1" applyFont="1" applyFill="1" applyBorder="1" applyAlignment="1">
      <alignment horizontal="center" vertical="center"/>
    </xf>
    <xf numFmtId="40" fontId="2" fillId="0" borderId="67" xfId="38492" applyNumberFormat="1" applyFont="1" applyFill="1" applyBorder="1" applyAlignment="1">
      <alignment horizontal="left" shrinkToFit="1"/>
    </xf>
    <xf numFmtId="169" fontId="19" fillId="2" borderId="1" xfId="0" applyNumberFormat="1" applyFont="1" applyFill="1" applyBorder="1" applyAlignment="1">
      <alignment horizontal="center" vertical="center" wrapText="1"/>
    </xf>
    <xf numFmtId="173" fontId="24" fillId="2" borderId="1" xfId="1" applyNumberFormat="1" applyFont="1" applyFill="1" applyBorder="1" applyAlignment="1">
      <alignment horizontal="center" vertical="center" wrapText="1"/>
    </xf>
    <xf numFmtId="49" fontId="56" fillId="0" borderId="73" xfId="0" applyNumberFormat="1" applyFont="1" applyBorder="1" applyAlignment="1">
      <alignment vertical="center"/>
    </xf>
    <xf numFmtId="0" fontId="21" fillId="2" borderId="73" xfId="0" applyFont="1" applyFill="1" applyBorder="1" applyAlignment="1">
      <alignment horizontal="center"/>
    </xf>
    <xf numFmtId="0" fontId="23" fillId="2" borderId="73" xfId="0" applyFont="1" applyFill="1" applyBorder="1" applyAlignment="1">
      <alignment horizontal="center"/>
    </xf>
    <xf numFmtId="2" fontId="21" fillId="2" borderId="73" xfId="1" quotePrefix="1" applyNumberFormat="1" applyFont="1" applyFill="1" applyBorder="1" applyAlignment="1">
      <alignment horizontal="center" vertical="center"/>
    </xf>
    <xf numFmtId="167" fontId="160" fillId="2" borderId="34" xfId="24485" quotePrefix="1" applyNumberFormat="1" applyFont="1" applyFill="1" applyBorder="1" applyAlignment="1" applyProtection="1">
      <alignment horizontal="center" vertical="center" shrinkToFit="1"/>
      <protection locked="0"/>
    </xf>
    <xf numFmtId="2" fontId="24" fillId="2" borderId="73" xfId="0" applyNumberFormat="1" applyFont="1" applyFill="1" applyBorder="1" applyAlignment="1">
      <alignment horizontal="center" vertical="center"/>
    </xf>
    <xf numFmtId="0" fontId="23" fillId="2" borderId="73" xfId="0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/>
    </xf>
    <xf numFmtId="173" fontId="21" fillId="2" borderId="73" xfId="1" applyNumberFormat="1" applyFont="1" applyFill="1" applyBorder="1" applyAlignment="1">
      <alignment horizontal="center" vertical="center"/>
    </xf>
    <xf numFmtId="0" fontId="21" fillId="2" borderId="73" xfId="0" applyFont="1" applyFill="1" applyBorder="1" applyAlignment="1">
      <alignment horizontal="center" vertical="center" wrapText="1"/>
    </xf>
    <xf numFmtId="169" fontId="21" fillId="2" borderId="73" xfId="0" applyNumberFormat="1" applyFont="1" applyFill="1" applyBorder="1" applyAlignment="1">
      <alignment horizontal="center" vertical="center" wrapText="1"/>
    </xf>
    <xf numFmtId="167" fontId="21" fillId="2" borderId="73" xfId="1" applyNumberFormat="1" applyFont="1" applyFill="1" applyBorder="1" applyAlignment="1">
      <alignment vertical="center"/>
    </xf>
    <xf numFmtId="171" fontId="21" fillId="2" borderId="73" xfId="1" applyNumberFormat="1" applyFont="1" applyFill="1" applyBorder="1" applyAlignment="1">
      <alignment vertical="center"/>
    </xf>
    <xf numFmtId="167" fontId="21" fillId="13" borderId="73" xfId="1" applyNumberFormat="1" applyFont="1" applyFill="1" applyBorder="1" applyAlignment="1">
      <alignment vertical="center"/>
    </xf>
    <xf numFmtId="167" fontId="21" fillId="17" borderId="73" xfId="0" applyNumberFormat="1" applyFont="1" applyFill="1" applyBorder="1" applyAlignment="1">
      <alignment vertical="center"/>
    </xf>
    <xf numFmtId="0" fontId="20" fillId="2" borderId="73" xfId="0" applyFont="1" applyFill="1" applyBorder="1" applyAlignment="1">
      <alignment horizontal="center" vertical="center"/>
    </xf>
    <xf numFmtId="167" fontId="23" fillId="2" borderId="73" xfId="1" applyNumberFormat="1" applyFont="1" applyFill="1" applyBorder="1" applyAlignment="1">
      <alignment vertical="center"/>
    </xf>
    <xf numFmtId="43" fontId="21" fillId="2" borderId="73" xfId="1" applyFont="1" applyFill="1" applyBorder="1" applyAlignment="1">
      <alignment vertical="center"/>
    </xf>
    <xf numFmtId="0" fontId="21" fillId="2" borderId="73" xfId="0" applyFont="1" applyFill="1" applyBorder="1" applyAlignment="1">
      <alignment vertical="center"/>
    </xf>
    <xf numFmtId="0" fontId="19" fillId="2" borderId="73" xfId="0" applyFont="1" applyFill="1" applyBorder="1" applyAlignment="1">
      <alignment vertical="center"/>
    </xf>
    <xf numFmtId="176" fontId="20" fillId="0" borderId="73" xfId="0" applyNumberFormat="1" applyFont="1" applyFill="1" applyBorder="1" applyAlignment="1">
      <alignment horizontal="center" vertical="center"/>
    </xf>
    <xf numFmtId="167" fontId="21" fillId="0" borderId="73" xfId="1" applyNumberFormat="1" applyFont="1" applyFill="1" applyBorder="1" applyAlignment="1">
      <alignment horizontal="right" vertical="center"/>
    </xf>
    <xf numFmtId="14" fontId="21" fillId="2" borderId="1" xfId="1" quotePrefix="1" applyNumberFormat="1" applyFont="1" applyFill="1" applyBorder="1" applyAlignment="1">
      <alignment horizontal="center" vertical="center"/>
    </xf>
    <xf numFmtId="164" fontId="6" fillId="0" borderId="73" xfId="0" applyNumberFormat="1" applyFont="1" applyBorder="1" applyAlignment="1">
      <alignment horizontal="center"/>
    </xf>
    <xf numFmtId="164" fontId="11" fillId="2" borderId="73" xfId="0" applyNumberFormat="1" applyFont="1" applyFill="1" applyBorder="1" applyAlignment="1">
      <alignment horizontal="center"/>
    </xf>
    <xf numFmtId="0" fontId="24" fillId="2" borderId="73" xfId="0" applyFont="1" applyFill="1" applyBorder="1" applyAlignment="1">
      <alignment horizontal="center" vertical="center"/>
    </xf>
    <xf numFmtId="14" fontId="2" fillId="0" borderId="73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49" fontId="2" fillId="0" borderId="1" xfId="2" quotePrefix="1" applyNumberFormat="1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3" fontId="12" fillId="5" borderId="1" xfId="1" applyNumberFormat="1" applyFont="1" applyFill="1" applyBorder="1" applyAlignment="1">
      <alignment wrapText="1"/>
    </xf>
    <xf numFmtId="165" fontId="2" fillId="0" borderId="73" xfId="0" quotePrefix="1" applyNumberFormat="1" applyFont="1" applyBorder="1" applyAlignment="1">
      <alignment horizontal="center"/>
    </xf>
    <xf numFmtId="2" fontId="24" fillId="0" borderId="1" xfId="0" applyNumberFormat="1" applyFont="1" applyFill="1" applyBorder="1" applyAlignment="1">
      <alignment horizontal="center" vertical="center"/>
    </xf>
    <xf numFmtId="2" fontId="2" fillId="5" borderId="7" xfId="1" quotePrefix="1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49" fontId="2" fillId="0" borderId="73" xfId="2" quotePrefix="1" applyNumberFormat="1" applyFont="1" applyBorder="1" applyAlignment="1">
      <alignment horizontal="center"/>
    </xf>
    <xf numFmtId="176" fontId="23" fillId="2" borderId="73" xfId="0" applyNumberFormat="1" applyFont="1" applyFill="1" applyBorder="1" applyAlignment="1">
      <alignment horizontal="center" vertical="center"/>
    </xf>
    <xf numFmtId="2" fontId="21" fillId="2" borderId="73" xfId="1" applyNumberFormat="1" applyFont="1" applyFill="1" applyBorder="1" applyAlignment="1">
      <alignment vertical="center"/>
    </xf>
    <xf numFmtId="0" fontId="7" fillId="0" borderId="73" xfId="0" applyFont="1" applyBorder="1" applyAlignment="1">
      <alignment vertical="center"/>
    </xf>
    <xf numFmtId="0" fontId="51" fillId="65" borderId="76" xfId="0" applyFont="1" applyFill="1" applyBorder="1" applyAlignment="1">
      <alignment horizontal="center" vertical="center" wrapText="1"/>
    </xf>
    <xf numFmtId="0" fontId="21" fillId="2" borderId="74" xfId="0" applyFont="1" applyFill="1" applyBorder="1" applyAlignment="1">
      <alignment horizontal="center" vertical="center" wrapText="1"/>
    </xf>
    <xf numFmtId="0" fontId="51" fillId="65" borderId="73" xfId="0" applyFont="1" applyFill="1" applyBorder="1" applyAlignment="1">
      <alignment horizontal="center" vertical="center" wrapText="1"/>
    </xf>
    <xf numFmtId="181" fontId="21" fillId="2" borderId="73" xfId="0" quotePrefix="1" applyNumberFormat="1" applyFont="1" applyFill="1" applyBorder="1" applyAlignment="1">
      <alignment horizontal="center" vertical="center"/>
    </xf>
    <xf numFmtId="173" fontId="22" fillId="2" borderId="1" xfId="1" applyNumberFormat="1" applyFont="1" applyFill="1" applyBorder="1" applyAlignment="1">
      <alignment horizontal="center" vertical="center"/>
    </xf>
    <xf numFmtId="49" fontId="2" fillId="0" borderId="59" xfId="0" applyNumberFormat="1" applyFont="1" applyBorder="1" applyAlignment="1">
      <alignment horizontal="left" vertical="center"/>
    </xf>
    <xf numFmtId="176" fontId="2" fillId="3" borderId="0" xfId="0" applyNumberFormat="1" applyFont="1" applyFill="1" applyAlignment="1">
      <alignment horizontal="left" vertical="center"/>
    </xf>
    <xf numFmtId="176" fontId="2" fillId="0" borderId="73" xfId="0" applyNumberFormat="1" applyFont="1" applyBorder="1" applyAlignment="1">
      <alignment horizontal="left"/>
    </xf>
    <xf numFmtId="0" fontId="3" fillId="0" borderId="73" xfId="0" applyFont="1" applyBorder="1" applyAlignment="1">
      <alignment horizontal="left"/>
    </xf>
    <xf numFmtId="0" fontId="19" fillId="65" borderId="73" xfId="0" applyFont="1" applyFill="1" applyBorder="1" applyAlignment="1">
      <alignment horizontal="center" vertical="center" wrapText="1"/>
    </xf>
    <xf numFmtId="0" fontId="3" fillId="3" borderId="59" xfId="0" applyFont="1" applyFill="1" applyBorder="1" applyAlignment="1">
      <alignment horizontal="center" vertical="center"/>
    </xf>
    <xf numFmtId="167" fontId="21" fillId="9" borderId="1" xfId="1" quotePrefix="1" applyNumberFormat="1" applyFont="1" applyFill="1" applyBorder="1" applyAlignment="1">
      <alignment horizontal="right" vertical="center"/>
    </xf>
    <xf numFmtId="164" fontId="5" fillId="0" borderId="74" xfId="0" applyNumberFormat="1" applyFont="1" applyFill="1" applyBorder="1" applyAlignment="1">
      <alignment horizontal="left" wrapText="1"/>
    </xf>
    <xf numFmtId="170" fontId="19" fillId="2" borderId="1" xfId="0" applyNumberFormat="1" applyFont="1" applyFill="1" applyBorder="1" applyAlignment="1">
      <alignment horizontal="center" vertical="center" wrapText="1"/>
    </xf>
    <xf numFmtId="173" fontId="21" fillId="2" borderId="1" xfId="0" applyNumberFormat="1" applyFont="1" applyFill="1" applyBorder="1" applyAlignment="1">
      <alignment horizontal="center" vertical="center"/>
    </xf>
    <xf numFmtId="164" fontId="2" fillId="0" borderId="73" xfId="0" applyNumberFormat="1" applyFont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2" fillId="0" borderId="77" xfId="0" applyFont="1" applyBorder="1" applyAlignment="1">
      <alignment horizontal="center"/>
    </xf>
    <xf numFmtId="167" fontId="2" fillId="3" borderId="77" xfId="0" applyNumberFormat="1" applyFont="1" applyFill="1" applyBorder="1"/>
    <xf numFmtId="164" fontId="5" fillId="0" borderId="73" xfId="0" applyNumberFormat="1" applyFont="1" applyBorder="1" applyAlignment="1">
      <alignment horizontal="left" wrapText="1"/>
    </xf>
    <xf numFmtId="165" fontId="2" fillId="0" borderId="1" xfId="0" quotePrefix="1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4" fontId="2" fillId="0" borderId="73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vertical="center" wrapText="1"/>
    </xf>
    <xf numFmtId="164" fontId="2" fillId="0" borderId="75" xfId="0" applyNumberFormat="1" applyFont="1" applyBorder="1" applyAlignment="1">
      <alignment horizontal="center"/>
    </xf>
    <xf numFmtId="49" fontId="2" fillId="0" borderId="75" xfId="2" quotePrefix="1" applyNumberFormat="1" applyFont="1" applyBorder="1" applyAlignment="1">
      <alignment horizontal="center"/>
    </xf>
    <xf numFmtId="49" fontId="2" fillId="0" borderId="75" xfId="2" quotePrefix="1" applyNumberFormat="1" applyFont="1" applyBorder="1" applyAlignment="1"/>
    <xf numFmtId="3" fontId="2" fillId="2" borderId="0" xfId="0" applyNumberFormat="1" applyFont="1" applyFill="1" applyBorder="1" applyAlignment="1">
      <alignment horizontal="center"/>
    </xf>
    <xf numFmtId="164" fontId="3" fillId="0" borderId="73" xfId="0" applyNumberFormat="1" applyFont="1" applyBorder="1" applyAlignment="1">
      <alignment horizontal="center"/>
    </xf>
    <xf numFmtId="0" fontId="2" fillId="0" borderId="73" xfId="0" applyFont="1" applyBorder="1" applyAlignment="1">
      <alignment horizontal="left"/>
    </xf>
    <xf numFmtId="0" fontId="2" fillId="0" borderId="73" xfId="0" applyFont="1" applyBorder="1" applyAlignment="1">
      <alignment horizontal="center"/>
    </xf>
    <xf numFmtId="165" fontId="2" fillId="0" borderId="73" xfId="0" quotePrefix="1" applyNumberFormat="1" applyFont="1" applyBorder="1" applyAlignment="1">
      <alignment horizontal="right" wrapText="1"/>
    </xf>
    <xf numFmtId="0" fontId="3" fillId="3" borderId="0" xfId="0" applyFont="1" applyFill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4" fontId="3" fillId="0" borderId="19" xfId="0" applyNumberFormat="1" applyFont="1" applyFill="1" applyBorder="1"/>
    <xf numFmtId="164" fontId="2" fillId="0" borderId="0" xfId="0" applyNumberFormat="1" applyFont="1" applyFill="1" applyAlignment="1">
      <alignment horizontal="right"/>
    </xf>
    <xf numFmtId="167" fontId="14" fillId="0" borderId="73" xfId="1" applyNumberFormat="1" applyFont="1" applyFill="1" applyBorder="1" applyAlignment="1">
      <alignment vertical="center"/>
    </xf>
    <xf numFmtId="164" fontId="136" fillId="2" borderId="24" xfId="0" applyNumberFormat="1" applyFont="1" applyFill="1" applyBorder="1" applyAlignment="1">
      <alignment horizontal="center"/>
    </xf>
    <xf numFmtId="0" fontId="3" fillId="9" borderId="0" xfId="0" applyFont="1" applyFill="1" applyBorder="1" applyAlignment="1">
      <alignment vertical="center"/>
    </xf>
    <xf numFmtId="167" fontId="2" fillId="5" borderId="73" xfId="1" applyNumberFormat="1" applyFont="1" applyFill="1" applyBorder="1" applyAlignment="1">
      <alignment horizontal="center" vertical="center"/>
    </xf>
    <xf numFmtId="164" fontId="3" fillId="0" borderId="73" xfId="0" applyNumberFormat="1" applyFont="1" applyBorder="1" applyAlignment="1">
      <alignment horizontal="left"/>
    </xf>
    <xf numFmtId="165" fontId="2" fillId="0" borderId="73" xfId="0" applyNumberFormat="1" applyFont="1" applyBorder="1" applyAlignment="1">
      <alignment horizontal="center"/>
    </xf>
    <xf numFmtId="3" fontId="2" fillId="2" borderId="14" xfId="0" applyNumberFormat="1" applyFont="1" applyFill="1" applyBorder="1" applyAlignment="1">
      <alignment horizontal="center"/>
    </xf>
    <xf numFmtId="49" fontId="2" fillId="0" borderId="73" xfId="2" quotePrefix="1" applyNumberFormat="1" applyFont="1" applyBorder="1"/>
    <xf numFmtId="167" fontId="14" fillId="2" borderId="73" xfId="1" applyNumberFormat="1" applyFont="1" applyFill="1" applyBorder="1" applyAlignment="1">
      <alignment vertical="center"/>
    </xf>
    <xf numFmtId="171" fontId="14" fillId="2" borderId="73" xfId="1" applyNumberFormat="1" applyFont="1" applyFill="1" applyBorder="1" applyAlignment="1">
      <alignment vertical="center"/>
    </xf>
    <xf numFmtId="0" fontId="3" fillId="2" borderId="73" xfId="0" applyFont="1" applyFill="1" applyBorder="1" applyAlignment="1">
      <alignment horizontal="center" vertical="center"/>
    </xf>
    <xf numFmtId="171" fontId="14" fillId="2" borderId="73" xfId="1" applyNumberFormat="1" applyFont="1" applyFill="1" applyBorder="1" applyAlignment="1">
      <alignment horizontal="left" vertical="center" indent="1"/>
    </xf>
    <xf numFmtId="167" fontId="31" fillId="2" borderId="73" xfId="1" applyNumberFormat="1" applyFont="1" applyFill="1" applyBorder="1" applyAlignment="1">
      <alignment vertical="center"/>
    </xf>
    <xf numFmtId="49" fontId="5" fillId="2" borderId="73" xfId="0" applyNumberFormat="1" applyFont="1" applyFill="1" applyBorder="1" applyAlignment="1">
      <alignment horizontal="center" vertical="center"/>
    </xf>
    <xf numFmtId="3" fontId="2" fillId="2" borderId="73" xfId="0" applyNumberFormat="1" applyFont="1" applyFill="1" applyBorder="1" applyAlignment="1">
      <alignment horizontal="center"/>
    </xf>
    <xf numFmtId="43" fontId="12" fillId="5" borderId="73" xfId="1" quotePrefix="1" applyNumberFormat="1" applyFont="1" applyFill="1" applyBorder="1" applyAlignment="1">
      <alignment horizontal="center"/>
    </xf>
    <xf numFmtId="49" fontId="5" fillId="3" borderId="73" xfId="2" quotePrefix="1" applyNumberFormat="1" applyFont="1" applyFill="1" applyBorder="1" applyAlignment="1">
      <alignment horizontal="center"/>
    </xf>
    <xf numFmtId="164" fontId="164" fillId="0" borderId="24" xfId="0" applyNumberFormat="1" applyFont="1" applyBorder="1" applyAlignment="1">
      <alignment horizontal="center"/>
    </xf>
    <xf numFmtId="167" fontId="14" fillId="13" borderId="24" xfId="1" applyNumberFormat="1" applyFont="1" applyFill="1" applyBorder="1" applyAlignment="1">
      <alignment vertical="center"/>
    </xf>
    <xf numFmtId="0" fontId="2" fillId="2" borderId="73" xfId="0" applyFont="1" applyFill="1" applyBorder="1" applyAlignment="1">
      <alignment vertical="center" wrapText="1"/>
    </xf>
    <xf numFmtId="171" fontId="14" fillId="0" borderId="24" xfId="1" applyNumberFormat="1" applyFont="1" applyFill="1" applyBorder="1" applyAlignment="1">
      <alignment vertical="center"/>
    </xf>
    <xf numFmtId="171" fontId="14" fillId="0" borderId="1" xfId="1" applyNumberFormat="1" applyFont="1" applyFill="1" applyBorder="1" applyAlignment="1">
      <alignment vertical="center"/>
    </xf>
    <xf numFmtId="167" fontId="12" fillId="0" borderId="75" xfId="1" quotePrefix="1" applyNumberFormat="1" applyFont="1" applyFill="1" applyBorder="1" applyAlignment="1">
      <alignment horizontal="center" vertical="center"/>
    </xf>
    <xf numFmtId="171" fontId="14" fillId="0" borderId="73" xfId="1" applyNumberFormat="1" applyFont="1" applyFill="1" applyBorder="1" applyAlignment="1">
      <alignment vertical="center"/>
    </xf>
    <xf numFmtId="171" fontId="14" fillId="70" borderId="24" xfId="1" applyNumberFormat="1" applyFont="1" applyFill="1" applyBorder="1" applyAlignment="1">
      <alignment horizontal="left" vertical="center" indent="1"/>
    </xf>
    <xf numFmtId="171" fontId="14" fillId="70" borderId="1" xfId="1" applyNumberFormat="1" applyFont="1" applyFill="1" applyBorder="1" applyAlignment="1">
      <alignment horizontal="left" vertical="center" indent="1"/>
    </xf>
    <xf numFmtId="49" fontId="5" fillId="70" borderId="73" xfId="0" applyNumberFormat="1" applyFont="1" applyFill="1" applyBorder="1" applyAlignment="1">
      <alignment horizontal="center" vertical="center"/>
    </xf>
    <xf numFmtId="167" fontId="31" fillId="8" borderId="75" xfId="1" applyNumberFormat="1" applyFont="1" applyFill="1" applyBorder="1" applyAlignment="1">
      <alignment horizontal="center" vertical="center"/>
    </xf>
    <xf numFmtId="167" fontId="31" fillId="8" borderId="75" xfId="1" applyNumberFormat="1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 vertical="center" wrapText="1"/>
    </xf>
    <xf numFmtId="164" fontId="10" fillId="0" borderId="75" xfId="0" applyNumberFormat="1" applyFont="1" applyBorder="1" applyAlignment="1">
      <alignment horizontal="center" vertical="center"/>
    </xf>
    <xf numFmtId="165" fontId="10" fillId="0" borderId="75" xfId="0" applyNumberFormat="1" applyFont="1" applyBorder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 wrapText="1"/>
    </xf>
    <xf numFmtId="171" fontId="31" fillId="8" borderId="75" xfId="1" applyNumberFormat="1" applyFont="1" applyFill="1" applyBorder="1" applyAlignment="1">
      <alignment horizontal="center" vertical="center" wrapText="1"/>
    </xf>
    <xf numFmtId="0" fontId="3" fillId="8" borderId="75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vertical="center"/>
    </xf>
    <xf numFmtId="167" fontId="21" fillId="3" borderId="73" xfId="1" applyNumberFormat="1" applyFont="1" applyFill="1" applyBorder="1" applyAlignment="1">
      <alignment vertical="center"/>
    </xf>
    <xf numFmtId="167" fontId="21" fillId="3" borderId="73" xfId="1" applyNumberFormat="1" applyFont="1" applyFill="1" applyBorder="1" applyAlignment="1">
      <alignment horizontal="left" vertical="center" indent="1"/>
    </xf>
    <xf numFmtId="171" fontId="21" fillId="3" borderId="73" xfId="1" applyNumberFormat="1" applyFont="1" applyFill="1" applyBorder="1" applyAlignment="1">
      <alignment vertical="center"/>
    </xf>
    <xf numFmtId="171" fontId="21" fillId="3" borderId="73" xfId="1" applyNumberFormat="1" applyFont="1" applyFill="1" applyBorder="1" applyAlignment="1">
      <alignment horizontal="left" vertical="center" indent="1"/>
    </xf>
    <xf numFmtId="0" fontId="20" fillId="3" borderId="73" xfId="0" applyFont="1" applyFill="1" applyBorder="1" applyAlignment="1">
      <alignment horizontal="center" vertical="center"/>
    </xf>
    <xf numFmtId="171" fontId="23" fillId="3" borderId="73" xfId="1" applyNumberFormat="1" applyFont="1" applyFill="1" applyBorder="1" applyAlignment="1">
      <alignment horizontal="left" vertical="center" indent="1"/>
    </xf>
    <xf numFmtId="49" fontId="5" fillId="2" borderId="77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vertical="center"/>
    </xf>
    <xf numFmtId="165" fontId="10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9" fontId="5" fillId="8" borderId="73" xfId="0" applyNumberFormat="1" applyFont="1" applyFill="1" applyBorder="1" applyAlignment="1">
      <alignment horizontal="center" vertical="center" wrapText="1"/>
    </xf>
    <xf numFmtId="167" fontId="2" fillId="5" borderId="73" xfId="1" applyNumberFormat="1" applyFont="1" applyFill="1" applyBorder="1" applyAlignment="1">
      <alignment horizontal="right"/>
    </xf>
    <xf numFmtId="49" fontId="2" fillId="0" borderId="75" xfId="2" quotePrefix="1" applyNumberFormat="1" applyFont="1" applyBorder="1"/>
    <xf numFmtId="0" fontId="3" fillId="2" borderId="0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/>
    </xf>
    <xf numFmtId="3" fontId="2" fillId="0" borderId="23" xfId="0" applyNumberFormat="1" applyFont="1" applyFill="1" applyBorder="1" applyAlignment="1">
      <alignment horizontal="center"/>
    </xf>
    <xf numFmtId="167" fontId="14" fillId="0" borderId="24" xfId="1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horizontal="center"/>
    </xf>
    <xf numFmtId="167" fontId="14" fillId="0" borderId="1" xfId="1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67" fontId="12" fillId="0" borderId="73" xfId="1" quotePrefix="1" applyNumberFormat="1" applyFont="1" applyFill="1" applyBorder="1" applyAlignment="1">
      <alignment horizontal="center" vertical="center"/>
    </xf>
    <xf numFmtId="167" fontId="12" fillId="0" borderId="34" xfId="1" quotePrefix="1" applyNumberFormat="1" applyFont="1" applyFill="1" applyBorder="1" applyAlignment="1">
      <alignment horizontal="center" vertical="center"/>
    </xf>
    <xf numFmtId="165" fontId="2" fillId="0" borderId="24" xfId="0" quotePrefix="1" applyNumberFormat="1" applyFont="1" applyFill="1" applyBorder="1" applyAlignment="1">
      <alignment horizontal="center"/>
    </xf>
    <xf numFmtId="3" fontId="2" fillId="0" borderId="73" xfId="0" applyNumberFormat="1" applyFont="1" applyFill="1" applyBorder="1" applyAlignment="1">
      <alignment horizontal="center"/>
    </xf>
    <xf numFmtId="0" fontId="2" fillId="0" borderId="73" xfId="0" quotePrefix="1" applyFont="1" applyFill="1" applyBorder="1" applyAlignment="1">
      <alignment horizontal="center"/>
    </xf>
    <xf numFmtId="49" fontId="2" fillId="0" borderId="73" xfId="2" quotePrefix="1" applyNumberFormat="1" applyFont="1" applyBorder="1" applyAlignment="1"/>
    <xf numFmtId="3" fontId="2" fillId="2" borderId="8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49" fontId="2" fillId="2" borderId="1" xfId="2" quotePrefix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7" fontId="12" fillId="5" borderId="13" xfId="1" quotePrefix="1" applyNumberFormat="1" applyFont="1" applyFill="1" applyBorder="1" applyAlignment="1">
      <alignment horizontal="center" vertical="center"/>
    </xf>
    <xf numFmtId="0" fontId="2" fillId="2" borderId="24" xfId="0" quotePrefix="1" applyFont="1" applyFill="1" applyBorder="1" applyAlignment="1">
      <alignment horizontal="center" wrapText="1"/>
    </xf>
    <xf numFmtId="165" fontId="2" fillId="0" borderId="73" xfId="0" quotePrefix="1" applyNumberFormat="1" applyFont="1" applyFill="1" applyBorder="1" applyAlignment="1">
      <alignment horizontal="center"/>
    </xf>
    <xf numFmtId="164" fontId="10" fillId="0" borderId="8" xfId="0" applyNumberFormat="1" applyFont="1" applyBorder="1" applyAlignment="1">
      <alignment horizontal="center" vertical="center" wrapText="1"/>
    </xf>
    <xf numFmtId="165" fontId="3" fillId="0" borderId="73" xfId="0" applyNumberFormat="1" applyFont="1" applyBorder="1" applyAlignment="1">
      <alignment horizontal="center" vertical="center"/>
    </xf>
    <xf numFmtId="164" fontId="3" fillId="0" borderId="73" xfId="0" applyNumberFormat="1" applyFont="1" applyFill="1" applyBorder="1" applyAlignment="1">
      <alignment horizontal="center" wrapText="1"/>
    </xf>
    <xf numFmtId="0" fontId="2" fillId="0" borderId="82" xfId="0" applyFont="1" applyFill="1" applyBorder="1" applyAlignment="1">
      <alignment horizontal="center" wrapText="1"/>
    </xf>
    <xf numFmtId="164" fontId="164" fillId="0" borderId="0" xfId="0" applyNumberFormat="1" applyFont="1" applyAlignment="1">
      <alignment horizontal="center"/>
    </xf>
    <xf numFmtId="164" fontId="164" fillId="3" borderId="0" xfId="0" applyNumberFormat="1" applyFont="1" applyFill="1" applyAlignment="1">
      <alignment horizontal="center"/>
    </xf>
    <xf numFmtId="164" fontId="164" fillId="0" borderId="1" xfId="0" applyNumberFormat="1" applyFont="1" applyBorder="1" applyAlignment="1">
      <alignment horizontal="center"/>
    </xf>
    <xf numFmtId="164" fontId="3" fillId="0" borderId="75" xfId="0" applyNumberFormat="1" applyFont="1" applyBorder="1" applyAlignment="1">
      <alignment horizontal="center" vertical="center"/>
    </xf>
    <xf numFmtId="167" fontId="14" fillId="2" borderId="75" xfId="1" applyNumberFormat="1" applyFont="1" applyFill="1" applyBorder="1" applyAlignment="1">
      <alignment vertical="center"/>
    </xf>
    <xf numFmtId="171" fontId="14" fillId="2" borderId="75" xfId="1" applyNumberFormat="1" applyFont="1" applyFill="1" applyBorder="1" applyAlignment="1">
      <alignment vertical="center"/>
    </xf>
    <xf numFmtId="0" fontId="3" fillId="2" borderId="75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164" fontId="164" fillId="0" borderId="75" xfId="0" applyNumberFormat="1" applyFont="1" applyBorder="1" applyAlignment="1">
      <alignment horizontal="center"/>
    </xf>
    <xf numFmtId="164" fontId="136" fillId="2" borderId="75" xfId="0" applyNumberFormat="1" applyFont="1" applyFill="1" applyBorder="1" applyAlignment="1">
      <alignment horizontal="center"/>
    </xf>
    <xf numFmtId="0" fontId="10" fillId="0" borderId="67" xfId="0" applyFont="1" applyBorder="1" applyAlignment="1">
      <alignment horizontal="center"/>
    </xf>
    <xf numFmtId="167" fontId="12" fillId="5" borderId="61" xfId="1" quotePrefix="1" applyNumberFormat="1" applyFont="1" applyFill="1" applyBorder="1" applyAlignment="1">
      <alignment horizontal="center"/>
    </xf>
    <xf numFmtId="167" fontId="12" fillId="5" borderId="73" xfId="1" quotePrefix="1" applyNumberFormat="1" applyFont="1" applyFill="1" applyBorder="1" applyAlignment="1">
      <alignment horizontal="center" wrapText="1"/>
    </xf>
    <xf numFmtId="167" fontId="12" fillId="5" borderId="75" xfId="1" quotePrefix="1" applyNumberFormat="1" applyFont="1" applyFill="1" applyBorder="1" applyAlignment="1">
      <alignment horizontal="center"/>
    </xf>
    <xf numFmtId="167" fontId="12" fillId="5" borderId="73" xfId="1" quotePrefix="1" applyNumberFormat="1" applyFont="1" applyFill="1" applyBorder="1" applyAlignment="1">
      <alignment horizontal="center"/>
    </xf>
    <xf numFmtId="165" fontId="2" fillId="0" borderId="73" xfId="0" quotePrefix="1" applyNumberFormat="1" applyFont="1" applyBorder="1" applyAlignment="1">
      <alignment horizontal="right"/>
    </xf>
    <xf numFmtId="0" fontId="2" fillId="0" borderId="73" xfId="0" applyFont="1" applyBorder="1" applyAlignment="1">
      <alignment horizontal="left" wrapText="1"/>
    </xf>
    <xf numFmtId="167" fontId="21" fillId="3" borderId="83" xfId="1" applyNumberFormat="1" applyFont="1" applyFill="1" applyBorder="1" applyAlignment="1">
      <alignment vertical="center"/>
    </xf>
    <xf numFmtId="0" fontId="2" fillId="2" borderId="83" xfId="0" quotePrefix="1" applyFont="1" applyFill="1" applyBorder="1" applyAlignment="1">
      <alignment horizontal="left"/>
    </xf>
    <xf numFmtId="167" fontId="12" fillId="5" borderId="83" xfId="1" quotePrefix="1" applyNumberFormat="1" applyFont="1" applyFill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center" wrapText="1"/>
    </xf>
    <xf numFmtId="0" fontId="2" fillId="2" borderId="83" xfId="0" quotePrefix="1" applyFont="1" applyFill="1" applyBorder="1" applyAlignment="1">
      <alignment horizontal="left" wrapText="1"/>
    </xf>
    <xf numFmtId="164" fontId="136" fillId="0" borderId="73" xfId="0" applyNumberFormat="1" applyFont="1" applyFill="1" applyBorder="1" applyAlignment="1">
      <alignment horizontal="center"/>
    </xf>
    <xf numFmtId="167" fontId="12" fillId="0" borderId="73" xfId="1" quotePrefix="1" applyNumberFormat="1" applyFont="1" applyFill="1" applyBorder="1" applyAlignment="1">
      <alignment horizontal="center"/>
    </xf>
    <xf numFmtId="167" fontId="12" fillId="0" borderId="67" xfId="1" quotePrefix="1" applyNumberFormat="1" applyFont="1" applyFill="1" applyBorder="1" applyAlignment="1">
      <alignment horizontal="center"/>
    </xf>
    <xf numFmtId="49" fontId="2" fillId="0" borderId="73" xfId="0" applyNumberFormat="1" applyFont="1" applyFill="1" applyBorder="1" applyAlignment="1">
      <alignment horizontal="center"/>
    </xf>
    <xf numFmtId="49" fontId="165" fillId="0" borderId="73" xfId="0" applyNumberFormat="1" applyFont="1" applyFill="1" applyBorder="1" applyAlignment="1"/>
    <xf numFmtId="167" fontId="14" fillId="0" borderId="73" xfId="1" applyNumberFormat="1" applyFont="1" applyFill="1" applyBorder="1" applyAlignment="1"/>
    <xf numFmtId="167" fontId="14" fillId="0" borderId="1" xfId="1" applyNumberFormat="1" applyFont="1" applyFill="1" applyBorder="1" applyAlignment="1"/>
    <xf numFmtId="167" fontId="14" fillId="0" borderId="24" xfId="1" applyNumberFormat="1" applyFont="1" applyFill="1" applyBorder="1" applyAlignment="1"/>
    <xf numFmtId="167" fontId="14" fillId="13" borderId="24" xfId="1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171" fontId="14" fillId="70" borderId="1" xfId="1" applyNumberFormat="1" applyFont="1" applyFill="1" applyBorder="1" applyAlignment="1">
      <alignment horizontal="left"/>
    </xf>
    <xf numFmtId="167" fontId="23" fillId="8" borderId="24" xfId="1" applyNumberFormat="1" applyFont="1" applyFill="1" applyBorder="1" applyAlignment="1"/>
    <xf numFmtId="167" fontId="12" fillId="0" borderId="73" xfId="1" quotePrefix="1" applyNumberFormat="1" applyFont="1" applyFill="1" applyBorder="1" applyAlignment="1">
      <alignment horizontal="center" wrapText="1"/>
    </xf>
    <xf numFmtId="49" fontId="2" fillId="0" borderId="73" xfId="0" quotePrefix="1" applyNumberFormat="1" applyFont="1" applyFill="1" applyBorder="1" applyAlignment="1">
      <alignment horizontal="center"/>
    </xf>
    <xf numFmtId="49" fontId="2" fillId="0" borderId="73" xfId="0" applyNumberFormat="1" applyFont="1" applyFill="1" applyBorder="1" applyAlignment="1">
      <alignment horizontal="center" wrapText="1"/>
    </xf>
    <xf numFmtId="0" fontId="3" fillId="0" borderId="24" xfId="0" applyFont="1" applyFill="1" applyBorder="1" applyAlignment="1">
      <alignment horizontal="center"/>
    </xf>
    <xf numFmtId="164" fontId="6" fillId="0" borderId="83" xfId="0" applyNumberFormat="1" applyFont="1" applyBorder="1" applyAlignment="1">
      <alignment horizontal="center"/>
    </xf>
    <xf numFmtId="167" fontId="12" fillId="0" borderId="83" xfId="1" quotePrefix="1" applyNumberFormat="1" applyFont="1" applyFill="1" applyBorder="1" applyAlignment="1">
      <alignment horizontal="center" wrapText="1"/>
    </xf>
    <xf numFmtId="49" fontId="56" fillId="0" borderId="83" xfId="0" applyNumberFormat="1" applyFont="1" applyBorder="1" applyAlignment="1">
      <alignment vertical="center"/>
    </xf>
    <xf numFmtId="49" fontId="56" fillId="0" borderId="83" xfId="5" applyNumberFormat="1" applyFont="1" applyBorder="1" applyAlignment="1">
      <alignment vertical="center"/>
    </xf>
    <xf numFmtId="2" fontId="21" fillId="0" borderId="1" xfId="1" quotePrefix="1" applyNumberFormat="1" applyFont="1" applyFill="1" applyBorder="1" applyAlignment="1">
      <alignment horizontal="center" vertical="center"/>
    </xf>
    <xf numFmtId="164" fontId="2" fillId="0" borderId="73" xfId="0" applyNumberFormat="1" applyFont="1" applyBorder="1" applyAlignment="1">
      <alignment horizontal="center" vertical="center" wrapText="1"/>
    </xf>
    <xf numFmtId="167" fontId="2" fillId="0" borderId="73" xfId="1" quotePrefix="1" applyNumberFormat="1" applyFont="1" applyFill="1" applyBorder="1" applyAlignment="1">
      <alignment horizontal="center"/>
    </xf>
    <xf numFmtId="164" fontId="3" fillId="0" borderId="73" xfId="0" applyNumberFormat="1" applyFont="1" applyFill="1" applyBorder="1" applyAlignment="1">
      <alignment horizontal="center"/>
    </xf>
    <xf numFmtId="164" fontId="164" fillId="0" borderId="83" xfId="0" applyNumberFormat="1" applyFont="1" applyBorder="1" applyAlignment="1">
      <alignment horizontal="center"/>
    </xf>
    <xf numFmtId="167" fontId="14" fillId="2" borderId="83" xfId="1" applyNumberFormat="1" applyFont="1" applyFill="1" applyBorder="1" applyAlignment="1">
      <alignment vertical="center"/>
    </xf>
    <xf numFmtId="171" fontId="14" fillId="0" borderId="83" xfId="1" applyNumberFormat="1" applyFont="1" applyFill="1" applyBorder="1" applyAlignment="1">
      <alignment vertical="center"/>
    </xf>
    <xf numFmtId="0" fontId="3" fillId="2" borderId="83" xfId="0" applyFont="1" applyFill="1" applyBorder="1" applyAlignment="1">
      <alignment horizontal="center" vertical="center"/>
    </xf>
    <xf numFmtId="49" fontId="2" fillId="0" borderId="43" xfId="2" quotePrefix="1" applyNumberFormat="1" applyFont="1" applyBorder="1" applyAlignment="1">
      <alignment horizontal="center"/>
    </xf>
    <xf numFmtId="3" fontId="6" fillId="2" borderId="83" xfId="0" applyNumberFormat="1" applyFont="1" applyFill="1" applyBorder="1" applyAlignment="1">
      <alignment vertical="center"/>
    </xf>
    <xf numFmtId="164" fontId="3" fillId="0" borderId="73" xfId="0" applyNumberFormat="1" applyFont="1" applyBorder="1" applyAlignment="1">
      <alignment horizontal="left" wrapText="1"/>
    </xf>
    <xf numFmtId="164" fontId="2" fillId="0" borderId="73" xfId="0" quotePrefix="1" applyNumberFormat="1" applyFont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wrapText="1"/>
    </xf>
    <xf numFmtId="167" fontId="2" fillId="0" borderId="73" xfId="0" applyNumberFormat="1" applyFont="1" applyBorder="1" applyAlignment="1">
      <alignment horizontal="right"/>
    </xf>
    <xf numFmtId="49" fontId="12" fillId="5" borderId="83" xfId="1" quotePrefix="1" applyNumberFormat="1" applyFont="1" applyFill="1" applyBorder="1" applyAlignment="1">
      <alignment horizontal="center"/>
    </xf>
    <xf numFmtId="49" fontId="2" fillId="2" borderId="83" xfId="2" quotePrefix="1" applyNumberFormat="1" applyFont="1" applyFill="1" applyBorder="1" applyAlignment="1">
      <alignment horizontal="center" vertical="center" wrapText="1"/>
    </xf>
    <xf numFmtId="3" fontId="2" fillId="2" borderId="83" xfId="0" applyNumberFormat="1" applyFont="1" applyFill="1" applyBorder="1" applyAlignment="1">
      <alignment horizontal="center"/>
    </xf>
    <xf numFmtId="3" fontId="2" fillId="2" borderId="83" xfId="0" applyNumberFormat="1" applyFont="1" applyFill="1" applyBorder="1" applyAlignment="1">
      <alignment horizontal="center" vertical="center"/>
    </xf>
    <xf numFmtId="2" fontId="2" fillId="0" borderId="73" xfId="0" quotePrefix="1" applyNumberFormat="1" applyFont="1" applyBorder="1" applyAlignment="1">
      <alignment horizontal="right"/>
    </xf>
    <xf numFmtId="164" fontId="3" fillId="0" borderId="55" xfId="0" applyNumberFormat="1" applyFont="1" applyBorder="1" applyAlignment="1">
      <alignment horizontal="left" wrapText="1"/>
    </xf>
    <xf numFmtId="3" fontId="2" fillId="2" borderId="95" xfId="0" applyNumberFormat="1" applyFont="1" applyFill="1" applyBorder="1" applyAlignment="1">
      <alignment horizontal="center"/>
    </xf>
    <xf numFmtId="3" fontId="2" fillId="2" borderId="94" xfId="0" applyNumberFormat="1" applyFont="1" applyFill="1" applyBorder="1" applyAlignment="1">
      <alignment horizontal="center"/>
    </xf>
    <xf numFmtId="167" fontId="2" fillId="0" borderId="91" xfId="1" quotePrefix="1" applyNumberFormat="1" applyFont="1" applyFill="1" applyBorder="1" applyAlignment="1">
      <alignment horizontal="center" vertical="center" wrapText="1"/>
    </xf>
    <xf numFmtId="167" fontId="12" fillId="5" borderId="83" xfId="1" quotePrefix="1" applyNumberFormat="1" applyFont="1" applyFill="1" applyBorder="1" applyAlignment="1">
      <alignment vertical="center"/>
    </xf>
    <xf numFmtId="164" fontId="3" fillId="0" borderId="24" xfId="0" applyNumberFormat="1" applyFont="1" applyBorder="1" applyAlignment="1">
      <alignment horizontal="center"/>
    </xf>
    <xf numFmtId="186" fontId="12" fillId="5" borderId="43" xfId="1" quotePrefix="1" applyNumberFormat="1" applyFont="1" applyFill="1" applyBorder="1" applyAlignment="1">
      <alignment horizontal="center"/>
    </xf>
    <xf numFmtId="167" fontId="2" fillId="0" borderId="73" xfId="1" quotePrefix="1" applyNumberFormat="1" applyFont="1" applyFill="1" applyBorder="1" applyAlignment="1">
      <alignment horizontal="center" wrapText="1"/>
    </xf>
    <xf numFmtId="0" fontId="2" fillId="0" borderId="73" xfId="0" applyFont="1" applyFill="1" applyBorder="1" applyAlignment="1">
      <alignment horizontal="center" wrapText="1"/>
    </xf>
    <xf numFmtId="0" fontId="2" fillId="0" borderId="1" xfId="0" quotePrefix="1" applyFont="1" applyFill="1" applyBorder="1" applyAlignment="1">
      <alignment horizontal="center" wrapText="1"/>
    </xf>
    <xf numFmtId="2" fontId="19" fillId="0" borderId="1" xfId="1" quotePrefix="1" applyNumberFormat="1" applyFont="1" applyFill="1" applyBorder="1" applyAlignment="1">
      <alignment horizontal="center" vertical="center"/>
    </xf>
    <xf numFmtId="165" fontId="2" fillId="0" borderId="75" xfId="0" quotePrefix="1" applyNumberFormat="1" applyFont="1" applyBorder="1" applyAlignment="1">
      <alignment horizontal="center"/>
    </xf>
    <xf numFmtId="167" fontId="12" fillId="5" borderId="43" xfId="1" quotePrefix="1" applyNumberFormat="1" applyFont="1" applyFill="1" applyBorder="1" applyAlignment="1">
      <alignment horizontal="center" vertical="center"/>
    </xf>
    <xf numFmtId="0" fontId="2" fillId="0" borderId="77" xfId="0" applyFont="1" applyFill="1" applyBorder="1" applyAlignment="1">
      <alignment horizontal="center" wrapText="1"/>
    </xf>
    <xf numFmtId="164" fontId="5" fillId="0" borderId="75" xfId="0" applyNumberFormat="1" applyFont="1" applyBorder="1" applyAlignment="1">
      <alignment horizontal="center"/>
    </xf>
    <xf numFmtId="164" fontId="5" fillId="0" borderId="73" xfId="0" applyNumberFormat="1" applyFont="1" applyBorder="1" applyAlignment="1">
      <alignment horizontal="center"/>
    </xf>
    <xf numFmtId="164" fontId="5" fillId="0" borderId="73" xfId="0" applyNumberFormat="1" applyFont="1" applyFill="1" applyBorder="1" applyAlignment="1">
      <alignment horizontal="center"/>
    </xf>
    <xf numFmtId="164" fontId="5" fillId="0" borderId="24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wrapText="1"/>
    </xf>
    <xf numFmtId="1" fontId="2" fillId="0" borderId="83" xfId="0" applyNumberFormat="1" applyFont="1" applyBorder="1" applyAlignment="1">
      <alignment horizontal="center" vertical="center"/>
    </xf>
    <xf numFmtId="1" fontId="12" fillId="5" borderId="83" xfId="1" quotePrefix="1" applyNumberFormat="1" applyFont="1" applyFill="1" applyBorder="1" applyAlignment="1">
      <alignment horizontal="center" vertical="center" wrapText="1"/>
    </xf>
    <xf numFmtId="1" fontId="12" fillId="5" borderId="83" xfId="1" quotePrefix="1" applyNumberFormat="1" applyFont="1" applyFill="1" applyBorder="1" applyAlignment="1">
      <alignment horizontal="center" vertical="center"/>
    </xf>
    <xf numFmtId="1" fontId="12" fillId="5" borderId="83" xfId="1" quotePrefix="1" applyNumberFormat="1" applyFont="1" applyFill="1" applyBorder="1" applyAlignment="1">
      <alignment vertical="center"/>
    </xf>
    <xf numFmtId="1" fontId="12" fillId="5" borderId="43" xfId="1" quotePrefix="1" applyNumberFormat="1" applyFont="1" applyFill="1" applyBorder="1" applyAlignment="1">
      <alignment horizontal="center" vertical="center"/>
    </xf>
    <xf numFmtId="1" fontId="3" fillId="0" borderId="83" xfId="0" applyNumberFormat="1" applyFont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/>
    </xf>
    <xf numFmtId="49" fontId="2" fillId="0" borderId="24" xfId="2" quotePrefix="1" applyNumberFormat="1" applyFont="1" applyBorder="1" applyAlignment="1">
      <alignment horizontal="center"/>
    </xf>
    <xf numFmtId="164" fontId="3" fillId="0" borderId="73" xfId="0" applyNumberFormat="1" applyFont="1" applyFill="1" applyBorder="1" applyAlignment="1">
      <alignment horizontal="left"/>
    </xf>
    <xf numFmtId="164" fontId="164" fillId="0" borderId="73" xfId="0" applyNumberFormat="1" applyFont="1" applyFill="1" applyBorder="1" applyAlignment="1">
      <alignment horizontal="left"/>
    </xf>
    <xf numFmtId="164" fontId="164" fillId="0" borderId="73" xfId="0" applyNumberFormat="1" applyFont="1" applyFill="1" applyBorder="1" applyAlignment="1">
      <alignment horizontal="left" wrapText="1"/>
    </xf>
    <xf numFmtId="0" fontId="12" fillId="0" borderId="67" xfId="3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165" fontId="2" fillId="0" borderId="32" xfId="0" applyNumberFormat="1" applyFont="1" applyBorder="1" applyAlignment="1">
      <alignment horizontal="center"/>
    </xf>
    <xf numFmtId="165" fontId="2" fillId="0" borderId="32" xfId="0" applyNumberFormat="1" applyFont="1" applyFill="1" applyBorder="1" applyAlignment="1">
      <alignment horizontal="center"/>
    </xf>
    <xf numFmtId="167" fontId="2" fillId="5" borderId="83" xfId="1" applyNumberFormat="1" applyFont="1" applyFill="1" applyBorder="1" applyAlignment="1">
      <alignment horizontal="center" vertical="center"/>
    </xf>
    <xf numFmtId="165" fontId="2" fillId="0" borderId="83" xfId="0" applyNumberFormat="1" applyFont="1" applyBorder="1" applyAlignment="1">
      <alignment horizontal="center"/>
    </xf>
    <xf numFmtId="164" fontId="136" fillId="2" borderId="83" xfId="0" applyNumberFormat="1" applyFont="1" applyFill="1" applyBorder="1" applyAlignment="1">
      <alignment horizontal="center"/>
    </xf>
    <xf numFmtId="167" fontId="3" fillId="2" borderId="83" xfId="1" applyNumberFormat="1" applyFont="1" applyFill="1" applyBorder="1" applyAlignment="1">
      <alignment horizontal="right" vertical="center"/>
    </xf>
    <xf numFmtId="167" fontId="12" fillId="5" borderId="83" xfId="1" quotePrefix="1" applyNumberFormat="1" applyFont="1" applyFill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0" fontId="3" fillId="0" borderId="83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vertical="center"/>
    </xf>
    <xf numFmtId="167" fontId="12" fillId="5" borderId="73" xfId="1" quotePrefix="1" applyNumberFormat="1" applyFont="1" applyFill="1" applyBorder="1" applyAlignment="1">
      <alignment vertical="center" wrapText="1"/>
    </xf>
    <xf numFmtId="165" fontId="2" fillId="0" borderId="73" xfId="0" applyNumberFormat="1" applyFont="1" applyBorder="1" applyAlignment="1">
      <alignment horizontal="left" vertical="center"/>
    </xf>
    <xf numFmtId="167" fontId="12" fillId="5" borderId="73" xfId="1" quotePrefix="1" applyNumberFormat="1" applyFont="1" applyFill="1" applyBorder="1" applyAlignment="1">
      <alignment horizontal="left" vertical="center" wrapText="1"/>
    </xf>
    <xf numFmtId="167" fontId="12" fillId="5" borderId="73" xfId="1" quotePrefix="1" applyNumberFormat="1" applyFont="1" applyFill="1" applyBorder="1" applyAlignment="1">
      <alignment horizontal="left" vertical="center"/>
    </xf>
    <xf numFmtId="0" fontId="5" fillId="0" borderId="83" xfId="0" applyFont="1" applyFill="1" applyBorder="1" applyAlignment="1">
      <alignment horizontal="center" vertical="center" wrapText="1"/>
    </xf>
    <xf numFmtId="165" fontId="2" fillId="0" borderId="73" xfId="0" applyNumberFormat="1" applyFont="1" applyFill="1" applyBorder="1" applyAlignment="1">
      <alignment horizontal="center"/>
    </xf>
    <xf numFmtId="167" fontId="2" fillId="0" borderId="7" xfId="1" applyNumberFormat="1" applyFont="1" applyFill="1" applyBorder="1" applyAlignment="1">
      <alignment horizontal="center" vertical="center"/>
    </xf>
    <xf numFmtId="0" fontId="2" fillId="0" borderId="73" xfId="0" applyFont="1" applyFill="1" applyBorder="1" applyAlignment="1">
      <alignment horizontal="left" vertical="center"/>
    </xf>
    <xf numFmtId="0" fontId="2" fillId="0" borderId="83" xfId="0" applyFont="1" applyFill="1" applyBorder="1" applyAlignment="1">
      <alignment horizontal="center" vertical="center" wrapText="1"/>
    </xf>
    <xf numFmtId="164" fontId="5" fillId="0" borderId="83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71" fontId="14" fillId="10" borderId="73" xfId="1" applyNumberFormat="1" applyFont="1" applyFill="1" applyBorder="1" applyAlignment="1">
      <alignment vertical="center"/>
    </xf>
    <xf numFmtId="171" fontId="14" fillId="12" borderId="24" xfId="1" applyNumberFormat="1" applyFont="1" applyFill="1" applyBorder="1" applyAlignment="1"/>
    <xf numFmtId="171" fontId="14" fillId="12" borderId="73" xfId="1" applyNumberFormat="1" applyFont="1" applyFill="1" applyBorder="1" applyAlignment="1">
      <alignment vertical="center"/>
    </xf>
    <xf numFmtId="167" fontId="12" fillId="0" borderId="24" xfId="1" quotePrefix="1" applyNumberFormat="1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5" fillId="0" borderId="83" xfId="0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/>
    </xf>
    <xf numFmtId="167" fontId="2" fillId="0" borderId="7" xfId="1" quotePrefix="1" applyNumberFormat="1" applyFont="1" applyFill="1" applyBorder="1" applyAlignment="1">
      <alignment horizontal="center"/>
    </xf>
    <xf numFmtId="167" fontId="14" fillId="9" borderId="73" xfId="1" applyNumberFormat="1" applyFont="1" applyFill="1" applyBorder="1" applyAlignment="1"/>
    <xf numFmtId="167" fontId="5" fillId="0" borderId="83" xfId="1" quotePrefix="1" applyNumberFormat="1" applyFont="1" applyFill="1" applyBorder="1" applyAlignment="1">
      <alignment horizontal="center"/>
    </xf>
    <xf numFmtId="164" fontId="164" fillId="0" borderId="73" xfId="0" applyNumberFormat="1" applyFont="1" applyFill="1" applyBorder="1" applyAlignment="1">
      <alignment horizontal="center"/>
    </xf>
    <xf numFmtId="164" fontId="164" fillId="0" borderId="24" xfId="0" applyNumberFormat="1" applyFont="1" applyFill="1" applyBorder="1" applyAlignment="1">
      <alignment horizontal="center"/>
    </xf>
    <xf numFmtId="164" fontId="164" fillId="0" borderId="1" xfId="0" applyNumberFormat="1" applyFont="1" applyFill="1" applyBorder="1" applyAlignment="1">
      <alignment horizontal="center"/>
    </xf>
    <xf numFmtId="49" fontId="2" fillId="5" borderId="43" xfId="1" quotePrefix="1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41" fontId="2" fillId="0" borderId="0" xfId="0" applyNumberFormat="1" applyFont="1" applyFill="1" applyBorder="1" applyAlignment="1">
      <alignment horizontal="left"/>
    </xf>
    <xf numFmtId="41" fontId="2" fillId="0" borderId="0" xfId="0" applyNumberFormat="1" applyFont="1" applyFill="1" applyBorder="1" applyAlignment="1">
      <alignment horizontal="center"/>
    </xf>
    <xf numFmtId="41" fontId="2" fillId="0" borderId="0" xfId="0" applyNumberFormat="1" applyFont="1" applyFill="1" applyBorder="1"/>
    <xf numFmtId="164" fontId="164" fillId="15" borderId="75" xfId="0" applyNumberFormat="1" applyFont="1" applyFill="1" applyBorder="1" applyAlignment="1">
      <alignment horizontal="center" wrapText="1"/>
    </xf>
    <xf numFmtId="0" fontId="2" fillId="0" borderId="102" xfId="0" applyFont="1" applyFill="1" applyBorder="1" applyAlignment="1">
      <alignment horizontal="left"/>
    </xf>
    <xf numFmtId="0" fontId="2" fillId="0" borderId="103" xfId="0" applyFont="1" applyFill="1" applyBorder="1" applyAlignment="1">
      <alignment horizontal="left"/>
    </xf>
    <xf numFmtId="165" fontId="2" fillId="0" borderId="103" xfId="0" applyNumberFormat="1" applyFont="1" applyFill="1" applyBorder="1" applyAlignment="1">
      <alignment horizontal="center"/>
    </xf>
    <xf numFmtId="41" fontId="2" fillId="0" borderId="99" xfId="0" applyNumberFormat="1" applyFont="1" applyFill="1" applyBorder="1" applyAlignment="1">
      <alignment horizontal="center"/>
    </xf>
    <xf numFmtId="41" fontId="2" fillId="0" borderId="98" xfId="0" applyNumberFormat="1" applyFont="1" applyFill="1" applyBorder="1" applyAlignment="1">
      <alignment horizontal="center"/>
    </xf>
    <xf numFmtId="41" fontId="3" fillId="3" borderId="0" xfId="38525" applyNumberFormat="1" applyFont="1" applyFill="1" applyBorder="1" applyAlignment="1">
      <alignment horizontal="center"/>
    </xf>
    <xf numFmtId="41" fontId="3" fillId="3" borderId="0" xfId="38525" applyNumberFormat="1" applyFont="1" applyFill="1" applyBorder="1" applyAlignment="1">
      <alignment horizontal="center" wrapText="1"/>
    </xf>
    <xf numFmtId="167" fontId="3" fillId="3" borderId="0" xfId="1" applyNumberFormat="1" applyFont="1" applyFill="1" applyBorder="1"/>
    <xf numFmtId="167" fontId="14" fillId="10" borderId="73" xfId="1" applyNumberFormat="1" applyFont="1" applyFill="1" applyBorder="1" applyAlignment="1"/>
    <xf numFmtId="165" fontId="2" fillId="0" borderId="83" xfId="0" quotePrefix="1" applyNumberFormat="1" applyFont="1" applyBorder="1" applyAlignment="1">
      <alignment horizontal="center"/>
    </xf>
    <xf numFmtId="0" fontId="3" fillId="3" borderId="104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167" fontId="12" fillId="0" borderId="34" xfId="1" quotePrefix="1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wrapText="1"/>
    </xf>
    <xf numFmtId="0" fontId="2" fillId="0" borderId="105" xfId="0" applyFont="1" applyBorder="1" applyAlignment="1">
      <alignment horizontal="center"/>
    </xf>
    <xf numFmtId="167" fontId="14" fillId="72" borderId="24" xfId="1" applyNumberFormat="1" applyFont="1" applyFill="1" applyBorder="1" applyAlignment="1">
      <alignment vertical="center"/>
    </xf>
    <xf numFmtId="167" fontId="2" fillId="72" borderId="24" xfId="1" applyNumberFormat="1" applyFont="1" applyFill="1" applyBorder="1" applyAlignment="1">
      <alignment vertical="center"/>
    </xf>
    <xf numFmtId="167" fontId="2" fillId="0" borderId="7" xfId="1" applyNumberFormat="1" applyFont="1" applyFill="1" applyBorder="1" applyAlignment="1">
      <alignment horizontal="center"/>
    </xf>
    <xf numFmtId="187" fontId="2" fillId="0" borderId="7" xfId="1" quotePrefix="1" applyNumberFormat="1" applyFont="1" applyFill="1" applyBorder="1" applyAlignment="1">
      <alignment horizontal="right" vertical="center" wrapText="1" shrinkToFit="1"/>
    </xf>
    <xf numFmtId="165" fontId="2" fillId="0" borderId="24" xfId="0" applyNumberFormat="1" applyFont="1" applyBorder="1" applyAlignment="1">
      <alignment horizontal="center"/>
    </xf>
    <xf numFmtId="0" fontId="2" fillId="2" borderId="83" xfId="0" applyFont="1" applyFill="1" applyBorder="1" applyAlignment="1">
      <alignment vertical="center" wrapText="1"/>
    </xf>
    <xf numFmtId="171" fontId="21" fillId="3" borderId="83" xfId="1" applyNumberFormat="1" applyFont="1" applyFill="1" applyBorder="1" applyAlignment="1">
      <alignment vertical="center"/>
    </xf>
    <xf numFmtId="171" fontId="14" fillId="70" borderId="83" xfId="1" applyNumberFormat="1" applyFont="1" applyFill="1" applyBorder="1" applyAlignment="1">
      <alignment horizontal="left"/>
    </xf>
    <xf numFmtId="171" fontId="14" fillId="70" borderId="24" xfId="1" applyNumberFormat="1" applyFont="1" applyFill="1" applyBorder="1" applyAlignment="1">
      <alignment horizontal="left"/>
    </xf>
    <xf numFmtId="171" fontId="14" fillId="2" borderId="83" xfId="1" applyNumberFormat="1" applyFont="1" applyFill="1" applyBorder="1" applyAlignment="1">
      <alignment vertical="center"/>
    </xf>
    <xf numFmtId="164" fontId="5" fillId="0" borderId="0" xfId="0" applyNumberFormat="1" applyFont="1" applyAlignment="1">
      <alignment horizontal="left"/>
    </xf>
    <xf numFmtId="49" fontId="56" fillId="0" borderId="83" xfId="0" applyNumberFormat="1" applyFont="1" applyBorder="1" applyAlignment="1">
      <alignment vertical="top" wrapText="1"/>
    </xf>
    <xf numFmtId="165" fontId="2" fillId="0" borderId="83" xfId="0" applyNumberFormat="1" applyFont="1" applyFill="1" applyBorder="1" applyAlignment="1">
      <alignment horizontal="center"/>
    </xf>
    <xf numFmtId="165" fontId="2" fillId="0" borderId="106" xfId="0" applyNumberFormat="1" applyFont="1" applyFill="1" applyBorder="1" applyAlignment="1">
      <alignment horizontal="center"/>
    </xf>
    <xf numFmtId="164" fontId="164" fillId="0" borderId="107" xfId="0" applyNumberFormat="1" applyFont="1" applyBorder="1" applyAlignment="1">
      <alignment horizontal="center" wrapText="1"/>
    </xf>
    <xf numFmtId="167" fontId="14" fillId="2" borderId="96" xfId="1" applyNumberFormat="1" applyFont="1" applyFill="1" applyBorder="1" applyAlignment="1">
      <alignment vertical="center"/>
    </xf>
    <xf numFmtId="167" fontId="14" fillId="2" borderId="93" xfId="1" applyNumberFormat="1" applyFont="1" applyFill="1" applyBorder="1" applyAlignment="1">
      <alignment vertical="center"/>
    </xf>
    <xf numFmtId="167" fontId="14" fillId="72" borderId="107" xfId="1" applyNumberFormat="1" applyFont="1" applyFill="1" applyBorder="1" applyAlignment="1">
      <alignment vertical="center"/>
    </xf>
    <xf numFmtId="167" fontId="14" fillId="2" borderId="107" xfId="1" applyNumberFormat="1" applyFont="1" applyFill="1" applyBorder="1" applyAlignment="1">
      <alignment vertical="center"/>
    </xf>
    <xf numFmtId="167" fontId="14" fillId="2" borderId="43" xfId="1" applyNumberFormat="1" applyFont="1" applyFill="1" applyBorder="1" applyAlignment="1">
      <alignment vertical="center"/>
    </xf>
    <xf numFmtId="167" fontId="14" fillId="10" borderId="55" xfId="1" applyNumberFormat="1" applyFont="1" applyFill="1" applyBorder="1" applyAlignment="1">
      <alignment vertical="center"/>
    </xf>
    <xf numFmtId="167" fontId="14" fillId="72" borderId="108" xfId="1" applyNumberFormat="1" applyFont="1" applyFill="1" applyBorder="1" applyAlignment="1">
      <alignment vertical="center"/>
    </xf>
    <xf numFmtId="167" fontId="14" fillId="2" borderId="61" xfId="1" applyNumberFormat="1" applyFont="1" applyFill="1" applyBorder="1" applyAlignment="1">
      <alignment vertical="center"/>
    </xf>
    <xf numFmtId="167" fontId="14" fillId="2" borderId="53" xfId="1" applyNumberFormat="1" applyFont="1" applyFill="1" applyBorder="1" applyAlignment="1">
      <alignment vertical="center"/>
    </xf>
    <xf numFmtId="167" fontId="14" fillId="10" borderId="93" xfId="1" applyNumberFormat="1" applyFont="1" applyFill="1" applyBorder="1" applyAlignment="1">
      <alignment vertical="center"/>
    </xf>
    <xf numFmtId="167" fontId="14" fillId="10" borderId="53" xfId="1" applyNumberFormat="1" applyFont="1" applyFill="1" applyBorder="1" applyAlignment="1">
      <alignment vertical="center"/>
    </xf>
    <xf numFmtId="167" fontId="14" fillId="2" borderId="21" xfId="1" applyNumberFormat="1" applyFont="1" applyFill="1" applyBorder="1" applyAlignment="1">
      <alignment vertical="center"/>
    </xf>
    <xf numFmtId="167" fontId="14" fillId="10" borderId="34" xfId="1" applyNumberFormat="1" applyFont="1" applyFill="1" applyBorder="1" applyAlignment="1">
      <alignment vertical="center"/>
    </xf>
    <xf numFmtId="167" fontId="12" fillId="0" borderId="24" xfId="1" quotePrefix="1" applyNumberFormat="1" applyFont="1" applyFill="1" applyBorder="1" applyAlignment="1">
      <alignment horizontal="center" wrapText="1"/>
    </xf>
    <xf numFmtId="49" fontId="56" fillId="0" borderId="107" xfId="0" applyNumberFormat="1" applyFont="1" applyBorder="1" applyAlignment="1">
      <alignment vertical="center"/>
    </xf>
    <xf numFmtId="43" fontId="2" fillId="0" borderId="0" xfId="1" applyFont="1" applyAlignment="1">
      <alignment horizontal="center"/>
    </xf>
    <xf numFmtId="164" fontId="2" fillId="0" borderId="73" xfId="0" applyNumberFormat="1" applyFont="1" applyBorder="1" applyAlignment="1">
      <alignment horizontal="center" wrapText="1"/>
    </xf>
    <xf numFmtId="164" fontId="5" fillId="0" borderId="73" xfId="0" applyNumberFormat="1" applyFont="1" applyBorder="1" applyAlignment="1">
      <alignment horizontal="center" wrapText="1"/>
    </xf>
    <xf numFmtId="49" fontId="12" fillId="0" borderId="43" xfId="1" quotePrefix="1" applyNumberFormat="1" applyFont="1" applyFill="1" applyBorder="1" applyAlignment="1">
      <alignment horizontal="center"/>
    </xf>
    <xf numFmtId="164" fontId="10" fillId="0" borderId="75" xfId="0" applyNumberFormat="1" applyFont="1" applyBorder="1" applyAlignment="1">
      <alignment horizontal="center" vertical="center" wrapText="1"/>
    </xf>
    <xf numFmtId="49" fontId="173" fillId="0" borderId="107" xfId="0" applyNumberFormat="1" applyFont="1" applyBorder="1" applyAlignment="1">
      <alignment vertical="center"/>
    </xf>
    <xf numFmtId="0" fontId="12" fillId="0" borderId="67" xfId="3" applyFont="1" applyBorder="1" applyAlignment="1">
      <alignment horizontal="center" wrapText="1"/>
    </xf>
    <xf numFmtId="1" fontId="14" fillId="2" borderId="1" xfId="1" applyNumberFormat="1" applyFont="1" applyFill="1" applyBorder="1" applyAlignment="1">
      <alignment vertical="center"/>
    </xf>
    <xf numFmtId="49" fontId="2" fillId="0" borderId="73" xfId="2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2" fillId="0" borderId="1" xfId="2" quotePrefix="1" applyNumberFormat="1" applyFont="1" applyBorder="1" applyAlignment="1">
      <alignment vertical="center" wrapText="1"/>
    </xf>
    <xf numFmtId="164" fontId="2" fillId="0" borderId="83" xfId="0" applyNumberFormat="1" applyFont="1" applyBorder="1" applyAlignment="1">
      <alignment horizontal="center"/>
    </xf>
    <xf numFmtId="49" fontId="56" fillId="0" borderId="107" xfId="0" applyNumberFormat="1" applyFont="1" applyBorder="1" applyAlignment="1">
      <alignment vertical="top" wrapText="1"/>
    </xf>
    <xf numFmtId="0" fontId="12" fillId="5" borderId="13" xfId="1" quotePrefix="1" applyNumberFormat="1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 vertical="center"/>
    </xf>
    <xf numFmtId="167" fontId="2" fillId="0" borderId="7" xfId="1" applyNumberFormat="1" applyFont="1" applyFill="1" applyBorder="1" applyAlignment="1">
      <alignment horizontal="center" wrapText="1"/>
    </xf>
    <xf numFmtId="187" fontId="2" fillId="5" borderId="23" xfId="1" quotePrefix="1" applyNumberFormat="1" applyFont="1" applyFill="1" applyBorder="1" applyAlignment="1">
      <alignment horizontal="right" vertical="center" shrinkToFit="1"/>
    </xf>
    <xf numFmtId="174" fontId="2" fillId="0" borderId="24" xfId="0" applyNumberFormat="1" applyFont="1" applyBorder="1" applyAlignment="1">
      <alignment horizontal="center"/>
    </xf>
    <xf numFmtId="187" fontId="2" fillId="5" borderId="107" xfId="1" quotePrefix="1" applyNumberFormat="1" applyFont="1" applyFill="1" applyBorder="1" applyAlignment="1">
      <alignment vertical="center" shrinkToFi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/>
    </xf>
    <xf numFmtId="1" fontId="2" fillId="0" borderId="1" xfId="2" quotePrefix="1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49" fontId="2" fillId="0" borderId="108" xfId="2" quotePrefix="1" applyNumberFormat="1" applyFont="1" applyBorder="1"/>
    <xf numFmtId="3" fontId="12" fillId="5" borderId="108" xfId="1" applyNumberFormat="1" applyFont="1" applyFill="1" applyBorder="1" applyAlignment="1"/>
    <xf numFmtId="0" fontId="2" fillId="2" borderId="108" xfId="0" quotePrefix="1" applyFont="1" applyFill="1" applyBorder="1" applyAlignment="1">
      <alignment horizontal="left"/>
    </xf>
    <xf numFmtId="167" fontId="21" fillId="2" borderId="108" xfId="1" applyNumberFormat="1" applyFont="1" applyFill="1" applyBorder="1" applyAlignment="1">
      <alignment vertical="center"/>
    </xf>
    <xf numFmtId="171" fontId="21" fillId="2" borderId="108" xfId="1" applyNumberFormat="1" applyFont="1" applyFill="1" applyBorder="1" applyAlignment="1">
      <alignment vertical="center"/>
    </xf>
    <xf numFmtId="0" fontId="20" fillId="2" borderId="108" xfId="0" applyFont="1" applyFill="1" applyBorder="1" applyAlignment="1">
      <alignment horizontal="center" vertical="center"/>
    </xf>
    <xf numFmtId="49" fontId="24" fillId="2" borderId="108" xfId="0" applyNumberFormat="1" applyFont="1" applyFill="1" applyBorder="1" applyAlignment="1">
      <alignment horizontal="center" vertical="center"/>
    </xf>
    <xf numFmtId="49" fontId="56" fillId="0" borderId="107" xfId="0" applyNumberFormat="1" applyFont="1" applyBorder="1" applyAlignment="1">
      <alignment vertical="top"/>
    </xf>
    <xf numFmtId="167" fontId="21" fillId="19" borderId="1" xfId="1" applyNumberFormat="1" applyFont="1" applyFill="1" applyBorder="1" applyAlignment="1">
      <alignment vertical="center"/>
    </xf>
    <xf numFmtId="0" fontId="2" fillId="0" borderId="107" xfId="0" applyFont="1" applyBorder="1" applyAlignment="1">
      <alignment horizontal="center"/>
    </xf>
    <xf numFmtId="14" fontId="2" fillId="0" borderId="107" xfId="0" applyNumberFormat="1" applyFont="1" applyBorder="1" applyAlignment="1">
      <alignment horizontal="center"/>
    </xf>
    <xf numFmtId="164" fontId="11" fillId="2" borderId="107" xfId="0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vertical="center"/>
    </xf>
    <xf numFmtId="167" fontId="21" fillId="2" borderId="107" xfId="1" applyNumberFormat="1" applyFont="1" applyFill="1" applyBorder="1" applyAlignment="1">
      <alignment vertical="center"/>
    </xf>
    <xf numFmtId="171" fontId="21" fillId="2" borderId="107" xfId="1" applyNumberFormat="1" applyFont="1" applyFill="1" applyBorder="1" applyAlignment="1">
      <alignment vertical="center"/>
    </xf>
    <xf numFmtId="3" fontId="12" fillId="5" borderId="107" xfId="1" applyNumberFormat="1" applyFont="1" applyFill="1" applyBorder="1" applyAlignment="1"/>
    <xf numFmtId="49" fontId="24" fillId="2" borderId="107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3" fontId="21" fillId="2" borderId="1" xfId="0" applyNumberFormat="1" applyFont="1" applyFill="1" applyBorder="1" applyAlignment="1">
      <alignment horizontal="center" vertical="center"/>
    </xf>
    <xf numFmtId="49" fontId="5" fillId="3" borderId="1" xfId="2" quotePrefix="1" applyNumberFormat="1" applyFont="1" applyFill="1" applyBorder="1" applyAlignment="1"/>
    <xf numFmtId="170" fontId="19" fillId="2" borderId="1" xfId="0" applyNumberFormat="1" applyFont="1" applyFill="1" applyBorder="1" applyAlignment="1">
      <alignment horizontal="center" vertical="center"/>
    </xf>
    <xf numFmtId="0" fontId="2" fillId="0" borderId="109" xfId="0" applyFont="1" applyBorder="1" applyAlignment="1">
      <alignment horizontal="center"/>
    </xf>
    <xf numFmtId="49" fontId="2" fillId="2" borderId="107" xfId="2" quotePrefix="1" applyNumberFormat="1" applyFont="1" applyFill="1" applyBorder="1" applyAlignment="1">
      <alignment horizontal="center" wrapText="1"/>
    </xf>
    <xf numFmtId="0" fontId="2" fillId="2" borderId="107" xfId="0" quotePrefix="1" applyFont="1" applyFill="1" applyBorder="1" applyAlignment="1">
      <alignment horizontal="left"/>
    </xf>
    <xf numFmtId="0" fontId="20" fillId="2" borderId="107" xfId="0" applyFont="1" applyFill="1" applyBorder="1" applyAlignment="1">
      <alignment horizontal="center" vertical="center"/>
    </xf>
    <xf numFmtId="2" fontId="19" fillId="2" borderId="1" xfId="1" quotePrefix="1" applyNumberFormat="1" applyFont="1" applyFill="1" applyBorder="1" applyAlignment="1">
      <alignment horizontal="center" vertical="center" wrapText="1"/>
    </xf>
    <xf numFmtId="165" fontId="2" fillId="0" borderId="107" xfId="0" quotePrefix="1" applyNumberFormat="1" applyFont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 wrapText="1"/>
    </xf>
    <xf numFmtId="167" fontId="2" fillId="5" borderId="78" xfId="1" quotePrefix="1" applyNumberFormat="1" applyFont="1" applyFill="1" applyBorder="1" applyAlignment="1">
      <alignment horizontal="center" vertical="center"/>
    </xf>
    <xf numFmtId="1" fontId="12" fillId="5" borderId="43" xfId="1" quotePrefix="1" applyNumberFormat="1" applyFont="1" applyFill="1" applyBorder="1" applyAlignment="1">
      <alignment horizontal="center"/>
    </xf>
    <xf numFmtId="167" fontId="3" fillId="2" borderId="73" xfId="1" applyNumberFormat="1" applyFont="1" applyFill="1" applyBorder="1" applyAlignment="1">
      <alignment horizontal="right"/>
    </xf>
    <xf numFmtId="167" fontId="14" fillId="2" borderId="1" xfId="1" applyNumberFormat="1" applyFont="1" applyFill="1" applyBorder="1" applyAlignment="1"/>
    <xf numFmtId="167" fontId="14" fillId="2" borderId="24" xfId="1" applyNumberFormat="1" applyFont="1" applyFill="1" applyBorder="1" applyAlignment="1"/>
    <xf numFmtId="167" fontId="31" fillId="8" borderId="24" xfId="1" applyNumberFormat="1" applyFont="1" applyFill="1" applyBorder="1" applyAlignment="1"/>
    <xf numFmtId="49" fontId="5" fillId="70" borderId="73" xfId="0" applyNumberFormat="1" applyFont="1" applyFill="1" applyBorder="1" applyAlignment="1">
      <alignment horizontal="center"/>
    </xf>
    <xf numFmtId="41" fontId="2" fillId="0" borderId="98" xfId="0" applyNumberFormat="1" applyFont="1" applyFill="1" applyBorder="1" applyAlignment="1"/>
    <xf numFmtId="0" fontId="20" fillId="7" borderId="1" xfId="0" applyFont="1" applyFill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167" fontId="12" fillId="5" borderId="107" xfId="1" quotePrefix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171" fontId="21" fillId="0" borderId="1" xfId="1" applyNumberFormat="1" applyFont="1" applyFill="1" applyBorder="1" applyAlignment="1">
      <alignment horizontal="left" vertical="center" indent="1"/>
    </xf>
    <xf numFmtId="164" fontId="3" fillId="0" borderId="83" xfId="0" applyNumberFormat="1" applyFont="1" applyBorder="1" applyAlignment="1">
      <alignment horizontal="center"/>
    </xf>
    <xf numFmtId="164" fontId="3" fillId="0" borderId="83" xfId="0" applyNumberFormat="1" applyFont="1" applyBorder="1" applyAlignment="1">
      <alignment horizontal="center" wrapText="1"/>
    </xf>
    <xf numFmtId="164" fontId="3" fillId="0" borderId="24" xfId="0" applyNumberFormat="1" applyFont="1" applyBorder="1" applyAlignment="1">
      <alignment horizontal="center" wrapText="1"/>
    </xf>
    <xf numFmtId="0" fontId="5" fillId="3" borderId="3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wrapText="1"/>
    </xf>
    <xf numFmtId="49" fontId="2" fillId="0" borderId="43" xfId="2" quotePrefix="1" applyNumberFormat="1" applyFont="1" applyBorder="1" applyAlignment="1">
      <alignment horizontal="center" vertical="center"/>
    </xf>
    <xf numFmtId="49" fontId="2" fillId="0" borderId="0" xfId="2" quotePrefix="1" applyNumberFormat="1" applyFont="1" applyBorder="1" applyAlignment="1">
      <alignment vertical="center"/>
    </xf>
    <xf numFmtId="0" fontId="3" fillId="0" borderId="96" xfId="0" applyFont="1" applyBorder="1" applyAlignment="1">
      <alignment horizontal="center"/>
    </xf>
    <xf numFmtId="49" fontId="2" fillId="0" borderId="107" xfId="2" quotePrefix="1" applyNumberFormat="1" applyFont="1" applyFill="1" applyBorder="1" applyAlignment="1">
      <alignment vertical="center"/>
    </xf>
    <xf numFmtId="49" fontId="2" fillId="0" borderId="108" xfId="2" quotePrefix="1" applyNumberFormat="1" applyFont="1" applyBorder="1" applyAlignment="1">
      <alignment vertical="center"/>
    </xf>
    <xf numFmtId="14" fontId="3" fillId="0" borderId="107" xfId="0" applyNumberFormat="1" applyFont="1" applyBorder="1" applyAlignment="1">
      <alignment horizontal="left"/>
    </xf>
    <xf numFmtId="49" fontId="2" fillId="0" borderId="107" xfId="7" applyNumberFormat="1" applyFont="1" applyBorder="1" applyAlignment="1">
      <alignment vertical="top" wrapText="1"/>
    </xf>
    <xf numFmtId="49" fontId="2" fillId="0" borderId="107" xfId="2" quotePrefix="1" applyNumberFormat="1" applyFont="1" applyBorder="1" applyAlignment="1"/>
    <xf numFmtId="0" fontId="2" fillId="0" borderId="107" xfId="0" quotePrefix="1" applyFont="1" applyFill="1" applyBorder="1" applyAlignment="1">
      <alignment vertical="center"/>
    </xf>
    <xf numFmtId="0" fontId="2" fillId="0" borderId="107" xfId="0" applyFont="1" applyBorder="1" applyAlignment="1">
      <alignment horizontal="left"/>
    </xf>
    <xf numFmtId="0" fontId="2" fillId="0" borderId="107" xfId="0" applyFont="1" applyFill="1" applyBorder="1" applyAlignment="1">
      <alignment vertical="center" wrapText="1"/>
    </xf>
    <xf numFmtId="40" fontId="2" fillId="0" borderId="107" xfId="38492" applyNumberFormat="1" applyFont="1" applyFill="1" applyBorder="1" applyAlignment="1">
      <alignment horizontal="left" shrinkToFit="1"/>
    </xf>
    <xf numFmtId="49" fontId="2" fillId="0" borderId="107" xfId="2" quotePrefix="1" applyNumberFormat="1" applyFont="1" applyBorder="1" applyAlignment="1">
      <alignment wrapText="1"/>
    </xf>
    <xf numFmtId="49" fontId="2" fillId="0" borderId="108" xfId="2" quotePrefix="1" applyNumberFormat="1" applyFont="1" applyBorder="1" applyAlignment="1"/>
    <xf numFmtId="0" fontId="2" fillId="0" borderId="107" xfId="0" applyFont="1" applyBorder="1" applyAlignment="1">
      <alignment horizontal="left" wrapText="1"/>
    </xf>
    <xf numFmtId="49" fontId="2" fillId="0" borderId="107" xfId="2" quotePrefix="1" applyNumberFormat="1" applyFont="1" applyBorder="1" applyAlignment="1">
      <alignment vertical="center" wrapText="1"/>
    </xf>
    <xf numFmtId="167" fontId="31" fillId="8" borderId="107" xfId="1" applyNumberFormat="1" applyFont="1" applyFill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vertical="center" wrapText="1"/>
    </xf>
    <xf numFmtId="167" fontId="2" fillId="5" borderId="7" xfId="1" quotePrefix="1" applyNumberFormat="1" applyFont="1" applyFill="1" applyBorder="1" applyAlignment="1">
      <alignment horizontal="center" vertical="center" wrapText="1"/>
    </xf>
    <xf numFmtId="164" fontId="164" fillId="0" borderId="73" xfId="0" applyNumberFormat="1" applyFont="1" applyFill="1" applyBorder="1" applyAlignment="1">
      <alignment horizontal="center" wrapText="1"/>
    </xf>
    <xf numFmtId="167" fontId="21" fillId="72" borderId="24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2" fillId="0" borderId="83" xfId="2" quotePrefix="1" applyNumberFormat="1" applyFont="1" applyBorder="1" applyAlignment="1">
      <alignment horizontal="center" vertical="center"/>
    </xf>
    <xf numFmtId="49" fontId="2" fillId="0" borderId="20" xfId="2" quotePrefix="1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2" fillId="2" borderId="1" xfId="0" quotePrefix="1" applyFont="1" applyFill="1" applyBorder="1" applyAlignment="1">
      <alignment horizontal="center" wrapText="1"/>
    </xf>
    <xf numFmtId="0" fontId="2" fillId="2" borderId="73" xfId="0" quotePrefix="1" applyFont="1" applyFill="1" applyBorder="1" applyAlignment="1">
      <alignment horizontal="center"/>
    </xf>
    <xf numFmtId="49" fontId="2" fillId="0" borderId="20" xfId="2" quotePrefix="1" applyNumberFormat="1" applyFont="1" applyBorder="1" applyAlignment="1">
      <alignment horizontal="center"/>
    </xf>
    <xf numFmtId="176" fontId="19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176" fontId="3" fillId="3" borderId="19" xfId="0" applyNumberFormat="1" applyFont="1" applyFill="1" applyBorder="1" applyAlignment="1">
      <alignment horizontal="center"/>
    </xf>
    <xf numFmtId="176" fontId="2" fillId="2" borderId="18" xfId="0" quotePrefix="1" applyNumberFormat="1" applyFont="1" applyFill="1" applyBorder="1" applyAlignment="1">
      <alignment horizontal="center"/>
    </xf>
    <xf numFmtId="176" fontId="2" fillId="2" borderId="1" xfId="0" quotePrefix="1" applyNumberFormat="1" applyFont="1" applyFill="1" applyBorder="1" applyAlignment="1">
      <alignment horizontal="center" wrapText="1"/>
    </xf>
    <xf numFmtId="176" fontId="2" fillId="0" borderId="1" xfId="0" quotePrefix="1" applyNumberFormat="1" applyFont="1" applyBorder="1" applyAlignment="1">
      <alignment horizontal="center"/>
    </xf>
    <xf numFmtId="4" fontId="2" fillId="0" borderId="1" xfId="1" applyNumberFormat="1" applyFont="1" applyBorder="1" applyAlignment="1">
      <alignment horizontal="center" vertical="center" wrapText="1" shrinkToFit="1"/>
    </xf>
    <xf numFmtId="0" fontId="99" fillId="0" borderId="1" xfId="0" applyFont="1" applyBorder="1" applyAlignment="1">
      <alignment horizontal="center" vertical="center" wrapText="1"/>
    </xf>
    <xf numFmtId="176" fontId="2" fillId="2" borderId="24" xfId="0" quotePrefix="1" applyNumberFormat="1" applyFont="1" applyFill="1" applyBorder="1" applyAlignment="1">
      <alignment horizontal="center"/>
    </xf>
    <xf numFmtId="0" fontId="137" fillId="0" borderId="56" xfId="0" applyFont="1" applyBorder="1" applyAlignment="1">
      <alignment horizontal="center"/>
    </xf>
    <xf numFmtId="0" fontId="137" fillId="0" borderId="0" xfId="0" applyFont="1" applyAlignment="1">
      <alignment horizontal="center"/>
    </xf>
    <xf numFmtId="176" fontId="2" fillId="0" borderId="59" xfId="0" applyNumberFormat="1" applyFont="1" applyBorder="1" applyAlignment="1">
      <alignment horizontal="center"/>
    </xf>
    <xf numFmtId="176" fontId="2" fillId="2" borderId="60" xfId="0" quotePrefix="1" applyNumberFormat="1" applyFont="1" applyFill="1" applyBorder="1" applyAlignment="1">
      <alignment horizontal="center"/>
    </xf>
    <xf numFmtId="176" fontId="2" fillId="2" borderId="59" xfId="0" quotePrefix="1" applyNumberFormat="1" applyFont="1" applyFill="1" applyBorder="1" applyAlignment="1">
      <alignment horizontal="center"/>
    </xf>
    <xf numFmtId="0" fontId="137" fillId="0" borderId="59" xfId="0" applyFont="1" applyBorder="1" applyAlignment="1">
      <alignment horizontal="center"/>
    </xf>
    <xf numFmtId="176" fontId="2" fillId="0" borderId="24" xfId="0" applyNumberFormat="1" applyFont="1" applyBorder="1" applyAlignment="1">
      <alignment horizontal="center"/>
    </xf>
    <xf numFmtId="176" fontId="2" fillId="0" borderId="68" xfId="0" applyNumberFormat="1" applyFont="1" applyBorder="1" applyAlignment="1">
      <alignment horizontal="center"/>
    </xf>
    <xf numFmtId="176" fontId="2" fillId="0" borderId="67" xfId="0" applyNumberFormat="1" applyFont="1" applyBorder="1" applyAlignment="1">
      <alignment horizontal="center"/>
    </xf>
    <xf numFmtId="49" fontId="2" fillId="2" borderId="73" xfId="2" quotePrefix="1" applyNumberFormat="1" applyFont="1" applyFill="1" applyBorder="1" applyAlignment="1">
      <alignment horizontal="center" wrapText="1"/>
    </xf>
    <xf numFmtId="176" fontId="2" fillId="2" borderId="75" xfId="0" quotePrefix="1" applyNumberFormat="1" applyFont="1" applyFill="1" applyBorder="1" applyAlignment="1">
      <alignment horizontal="center"/>
    </xf>
    <xf numFmtId="176" fontId="2" fillId="2" borderId="73" xfId="0" quotePrefix="1" applyNumberFormat="1" applyFont="1" applyFill="1" applyBorder="1" applyAlignment="1">
      <alignment horizontal="center"/>
    </xf>
    <xf numFmtId="176" fontId="2" fillId="0" borderId="73" xfId="0" applyNumberFormat="1" applyFont="1" applyBorder="1" applyAlignment="1">
      <alignment horizontal="center"/>
    </xf>
    <xf numFmtId="176" fontId="2" fillId="2" borderId="107" xfId="0" quotePrefix="1" applyNumberFormat="1" applyFont="1" applyFill="1" applyBorder="1" applyAlignment="1">
      <alignment horizontal="center"/>
    </xf>
    <xf numFmtId="0" fontId="137" fillId="0" borderId="107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71" fontId="14" fillId="0" borderId="24" xfId="1" applyNumberFormat="1" applyFont="1" applyFill="1" applyBorder="1" applyAlignment="1"/>
    <xf numFmtId="171" fontId="14" fillId="0" borderId="1" xfId="1" applyNumberFormat="1" applyFont="1" applyFill="1" applyBorder="1" applyAlignment="1">
      <alignment horizontal="left"/>
    </xf>
    <xf numFmtId="171" fontId="14" fillId="0" borderId="83" xfId="1" applyNumberFormat="1" applyFont="1" applyFill="1" applyBorder="1" applyAlignment="1">
      <alignment horizontal="left"/>
    </xf>
    <xf numFmtId="0" fontId="2" fillId="0" borderId="1" xfId="0" quotePrefix="1" applyFont="1" applyBorder="1" applyAlignment="1">
      <alignment horizontal="center" wrapText="1"/>
    </xf>
    <xf numFmtId="0" fontId="5" fillId="0" borderId="83" xfId="0" applyFont="1" applyFill="1" applyBorder="1" applyAlignment="1">
      <alignment horizontal="center"/>
    </xf>
    <xf numFmtId="165" fontId="2" fillId="0" borderId="107" xfId="0" applyNumberFormat="1" applyFont="1" applyFill="1" applyBorder="1" applyAlignment="1">
      <alignment horizontal="center"/>
    </xf>
    <xf numFmtId="171" fontId="14" fillId="10" borderId="24" xfId="1" applyNumberFormat="1" applyFont="1" applyFill="1" applyBorder="1" applyAlignment="1"/>
    <xf numFmtId="171" fontId="21" fillId="14" borderId="96" xfId="1" applyNumberFormat="1" applyFont="1" applyFill="1" applyBorder="1" applyAlignment="1">
      <alignment horizontal="left" vertical="center" indent="1"/>
    </xf>
    <xf numFmtId="49" fontId="24" fillId="2" borderId="93" xfId="0" applyNumberFormat="1" applyFont="1" applyFill="1" applyBorder="1" applyAlignment="1">
      <alignment horizontal="center" vertical="center"/>
    </xf>
    <xf numFmtId="49" fontId="56" fillId="0" borderId="93" xfId="0" applyNumberFormat="1" applyFont="1" applyBorder="1" applyAlignment="1">
      <alignment vertical="center"/>
    </xf>
    <xf numFmtId="49" fontId="56" fillId="0" borderId="53" xfId="0" applyNumberFormat="1" applyFont="1" applyBorder="1" applyAlignment="1">
      <alignment vertical="center"/>
    </xf>
    <xf numFmtId="167" fontId="23" fillId="15" borderId="107" xfId="1" applyNumberFormat="1" applyFont="1" applyFill="1" applyBorder="1" applyAlignment="1">
      <alignment vertical="center"/>
    </xf>
    <xf numFmtId="167" fontId="3" fillId="3" borderId="107" xfId="1" applyNumberFormat="1" applyFont="1" applyFill="1" applyBorder="1" applyAlignment="1">
      <alignment vertical="center"/>
    </xf>
    <xf numFmtId="165" fontId="2" fillId="0" borderId="93" xfId="0" applyNumberFormat="1" applyFont="1" applyBorder="1" applyAlignment="1">
      <alignment horizontal="center"/>
    </xf>
    <xf numFmtId="165" fontId="2" fillId="0" borderId="55" xfId="0" applyNumberFormat="1" applyFont="1" applyBorder="1" applyAlignment="1">
      <alignment horizontal="center"/>
    </xf>
    <xf numFmtId="165" fontId="2" fillId="0" borderId="21" xfId="0" applyNumberFormat="1" applyFont="1" applyBorder="1" applyAlignment="1">
      <alignment horizontal="center"/>
    </xf>
    <xf numFmtId="0" fontId="2" fillId="3" borderId="107" xfId="0" applyFont="1" applyFill="1" applyBorder="1" applyAlignment="1">
      <alignment vertical="center"/>
    </xf>
    <xf numFmtId="167" fontId="14" fillId="2" borderId="73" xfId="1" applyNumberFormat="1" applyFont="1" applyFill="1" applyBorder="1" applyAlignment="1"/>
    <xf numFmtId="171" fontId="14" fillId="0" borderId="73" xfId="1" applyNumberFormat="1" applyFont="1" applyFill="1" applyBorder="1" applyAlignment="1"/>
    <xf numFmtId="2" fontId="2" fillId="0" borderId="43" xfId="2" quotePrefix="1" applyNumberFormat="1" applyFont="1" applyBorder="1" applyAlignment="1">
      <alignment horizontal="center"/>
    </xf>
    <xf numFmtId="167" fontId="2" fillId="5" borderId="78" xfId="1" quotePrefix="1" applyNumberFormat="1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 wrapText="1"/>
    </xf>
    <xf numFmtId="164" fontId="5" fillId="3" borderId="6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left"/>
    </xf>
    <xf numFmtId="173" fontId="2" fillId="3" borderId="0" xfId="0" applyNumberFormat="1" applyFont="1" applyFill="1" applyAlignment="1">
      <alignment vertical="center"/>
    </xf>
    <xf numFmtId="171" fontId="6" fillId="0" borderId="24" xfId="1" applyNumberFormat="1" applyFont="1" applyFill="1" applyBorder="1" applyAlignment="1"/>
    <xf numFmtId="176" fontId="2" fillId="0" borderId="107" xfId="0" applyNumberFormat="1" applyFont="1" applyBorder="1" applyAlignment="1">
      <alignment horizontal="left"/>
    </xf>
    <xf numFmtId="167" fontId="2" fillId="5" borderId="73" xfId="1" quotePrefix="1" applyNumberFormat="1" applyFont="1" applyFill="1" applyBorder="1" applyAlignment="1">
      <alignment horizontal="center"/>
    </xf>
    <xf numFmtId="49" fontId="6" fillId="3" borderId="1" xfId="2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4" fontId="5" fillId="2" borderId="73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0" borderId="108" xfId="0" applyNumberFormat="1" applyFont="1" applyBorder="1" applyAlignment="1">
      <alignment horizontal="center"/>
    </xf>
    <xf numFmtId="165" fontId="2" fillId="0" borderId="108" xfId="0" applyNumberFormat="1" applyFont="1" applyBorder="1" applyAlignment="1">
      <alignment horizontal="center"/>
    </xf>
    <xf numFmtId="164" fontId="6" fillId="0" borderId="108" xfId="0" applyNumberFormat="1" applyFont="1" applyBorder="1" applyAlignment="1">
      <alignment horizontal="center"/>
    </xf>
    <xf numFmtId="164" fontId="11" fillId="2" borderId="108" xfId="0" applyNumberFormat="1" applyFont="1" applyFill="1" applyBorder="1" applyAlignment="1">
      <alignment horizontal="center"/>
    </xf>
    <xf numFmtId="49" fontId="2" fillId="2" borderId="108" xfId="2" quotePrefix="1" applyNumberFormat="1" applyFont="1" applyFill="1" applyBorder="1" applyAlignment="1">
      <alignment horizontal="center" wrapText="1"/>
    </xf>
    <xf numFmtId="49" fontId="2" fillId="0" borderId="108" xfId="2" quotePrefix="1" applyNumberFormat="1" applyFont="1" applyBorder="1" applyAlignment="1">
      <alignment horizontal="center"/>
    </xf>
    <xf numFmtId="167" fontId="2" fillId="5" borderId="107" xfId="1" quotePrefix="1" applyNumberFormat="1" applyFont="1" applyFill="1" applyBorder="1" applyAlignment="1">
      <alignment horizontal="center" wrapText="1"/>
    </xf>
    <xf numFmtId="167" fontId="12" fillId="5" borderId="93" xfId="1" quotePrefix="1" applyNumberFormat="1" applyFont="1" applyFill="1" applyBorder="1" applyAlignment="1">
      <alignment horizontal="center"/>
    </xf>
    <xf numFmtId="171" fontId="14" fillId="10" borderId="24" xfId="1" applyNumberFormat="1" applyFont="1" applyFill="1" applyBorder="1" applyAlignment="1">
      <alignment horizontal="center"/>
    </xf>
    <xf numFmtId="167" fontId="2" fillId="5" borderId="23" xfId="1" quotePrefix="1" applyNumberFormat="1" applyFont="1" applyFill="1" applyBorder="1" applyAlignment="1">
      <alignment horizontal="center" wrapText="1"/>
    </xf>
    <xf numFmtId="167" fontId="14" fillId="10" borderId="1" xfId="1" applyNumberFormat="1" applyFont="1" applyFill="1" applyBorder="1" applyAlignment="1"/>
    <xf numFmtId="171" fontId="14" fillId="0" borderId="1" xfId="1" applyNumberFormat="1" applyFont="1" applyFill="1" applyBorder="1" applyAlignment="1"/>
    <xf numFmtId="167" fontId="2" fillId="5" borderId="107" xfId="1" applyNumberFormat="1" applyFont="1" applyFill="1" applyBorder="1" applyAlignment="1">
      <alignment horizontal="center" vertical="center"/>
    </xf>
    <xf numFmtId="0" fontId="2" fillId="0" borderId="107" xfId="0" applyFont="1" applyFill="1" applyBorder="1" applyAlignment="1">
      <alignment horizontal="center"/>
    </xf>
    <xf numFmtId="171" fontId="14" fillId="12" borderId="24" xfId="1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167" fontId="2" fillId="5" borderId="43" xfId="1" quotePrefix="1" applyNumberFormat="1" applyFont="1" applyFill="1" applyBorder="1" applyAlignment="1">
      <alignment horizontal="center" wrapText="1"/>
    </xf>
    <xf numFmtId="0" fontId="2" fillId="0" borderId="107" xfId="0" applyFont="1" applyFill="1" applyBorder="1" applyAlignment="1">
      <alignment horizontal="center" vertical="center"/>
    </xf>
    <xf numFmtId="0" fontId="2" fillId="0" borderId="107" xfId="0" applyFont="1" applyFill="1" applyBorder="1" applyAlignment="1">
      <alignment vertical="center"/>
    </xf>
    <xf numFmtId="0" fontId="3" fillId="0" borderId="107" xfId="0" applyFont="1" applyFill="1" applyBorder="1" applyAlignment="1">
      <alignment horizontal="center" vertical="center"/>
    </xf>
    <xf numFmtId="3" fontId="2" fillId="2" borderId="107" xfId="0" applyNumberFormat="1" applyFont="1" applyFill="1" applyBorder="1" applyAlignment="1">
      <alignment horizontal="center"/>
    </xf>
    <xf numFmtId="1" fontId="12" fillId="5" borderId="13" xfId="1" quotePrefix="1" applyNumberFormat="1" applyFont="1" applyFill="1" applyBorder="1" applyAlignment="1">
      <alignment horizontal="center"/>
    </xf>
    <xf numFmtId="167" fontId="2" fillId="5" borderId="24" xfId="1" quotePrefix="1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/>
    </xf>
    <xf numFmtId="176" fontId="2" fillId="3" borderId="110" xfId="0" applyNumberFormat="1" applyFont="1" applyFill="1" applyBorder="1" applyAlignment="1">
      <alignment horizontal="left" vertical="center"/>
    </xf>
    <xf numFmtId="49" fontId="2" fillId="0" borderId="43" xfId="2" quotePrefix="1" applyNumberFormat="1" applyFont="1" applyBorder="1" applyAlignment="1">
      <alignment horizontal="center" wrapText="1"/>
    </xf>
    <xf numFmtId="176" fontId="2" fillId="2" borderId="108" xfId="0" quotePrefix="1" applyNumberFormat="1" applyFont="1" applyFill="1" applyBorder="1" applyAlignment="1">
      <alignment horizontal="center"/>
    </xf>
    <xf numFmtId="167" fontId="2" fillId="5" borderId="24" xfId="1" quotePrefix="1" applyNumberFormat="1" applyFont="1" applyFill="1" applyBorder="1" applyAlignment="1">
      <alignment horizontal="center"/>
    </xf>
    <xf numFmtId="167" fontId="2" fillId="5" borderId="24" xfId="1" applyNumberFormat="1" applyFont="1" applyFill="1" applyBorder="1" applyAlignment="1">
      <alignment horizontal="center" vertical="center" wrapText="1"/>
    </xf>
    <xf numFmtId="171" fontId="14" fillId="70" borderId="107" xfId="1" applyNumberFormat="1" applyFont="1" applyFill="1" applyBorder="1" applyAlignment="1">
      <alignment horizontal="left" vertical="center" indent="1"/>
    </xf>
    <xf numFmtId="49" fontId="12" fillId="5" borderId="43" xfId="1" quotePrefix="1" applyNumberFormat="1" applyFont="1" applyFill="1" applyBorder="1" applyAlignment="1">
      <alignment horizontal="center" vertical="center"/>
    </xf>
    <xf numFmtId="165" fontId="2" fillId="0" borderId="24" xfId="0" applyNumberFormat="1" applyFont="1" applyFill="1" applyBorder="1" applyAlignment="1">
      <alignment horizontal="center" vertical="center"/>
    </xf>
    <xf numFmtId="171" fontId="14" fillId="70" borderId="24" xfId="1" applyNumberFormat="1" applyFont="1" applyFill="1" applyBorder="1" applyAlignment="1">
      <alignment horizontal="left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10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 vertical="center" indent="1"/>
    </xf>
    <xf numFmtId="167" fontId="14" fillId="10" borderId="107" xfId="1" applyNumberFormat="1" applyFont="1" applyFill="1" applyBorder="1" applyAlignment="1">
      <alignment vertical="center"/>
    </xf>
    <xf numFmtId="167" fontId="14" fillId="13" borderId="107" xfId="1" applyNumberFormat="1" applyFont="1" applyFill="1" applyBorder="1" applyAlignment="1">
      <alignment vertical="center"/>
    </xf>
    <xf numFmtId="0" fontId="3" fillId="2" borderId="107" xfId="0" applyFont="1" applyFill="1" applyBorder="1" applyAlignment="1">
      <alignment horizontal="center" vertical="center"/>
    </xf>
    <xf numFmtId="167" fontId="2" fillId="5" borderId="24" xfId="1" applyNumberFormat="1" applyFont="1" applyFill="1" applyBorder="1" applyAlignment="1">
      <alignment horizontal="center" wrapText="1"/>
    </xf>
    <xf numFmtId="167" fontId="14" fillId="0" borderId="107" xfId="1" applyNumberFormat="1" applyFont="1" applyFill="1" applyBorder="1" applyAlignment="1">
      <alignment vertical="center"/>
    </xf>
    <xf numFmtId="176" fontId="5" fillId="2" borderId="108" xfId="0" quotePrefix="1" applyNumberFormat="1" applyFont="1" applyFill="1" applyBorder="1" applyAlignment="1">
      <alignment horizontal="center"/>
    </xf>
    <xf numFmtId="1" fontId="2" fillId="0" borderId="43" xfId="2" quotePrefix="1" applyNumberFormat="1" applyFont="1" applyBorder="1" applyAlignment="1">
      <alignment horizontal="center"/>
    </xf>
    <xf numFmtId="41" fontId="3" fillId="3" borderId="100" xfId="38525" applyNumberFormat="1" applyFont="1" applyFill="1" applyBorder="1" applyAlignment="1">
      <alignment horizontal="center"/>
    </xf>
    <xf numFmtId="41" fontId="3" fillId="3" borderId="101" xfId="38525" applyNumberFormat="1" applyFont="1" applyFill="1" applyBorder="1" applyAlignment="1">
      <alignment horizontal="center" wrapText="1"/>
    </xf>
    <xf numFmtId="41" fontId="3" fillId="3" borderId="101" xfId="38525" applyNumberFormat="1" applyFont="1" applyFill="1" applyBorder="1" applyAlignment="1">
      <alignment horizontal="center"/>
    </xf>
    <xf numFmtId="164" fontId="3" fillId="3" borderId="19" xfId="0" applyNumberFormat="1" applyFont="1" applyFill="1" applyBorder="1" applyAlignment="1">
      <alignment horizontal="center"/>
    </xf>
    <xf numFmtId="49" fontId="2" fillId="2" borderId="18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/>
    </xf>
    <xf numFmtId="49" fontId="2" fillId="2" borderId="75" xfId="2" quotePrefix="1" applyNumberFormat="1" applyFont="1" applyFill="1" applyBorder="1" applyAlignment="1">
      <alignment horizontal="center" wrapText="1"/>
    </xf>
    <xf numFmtId="167" fontId="2" fillId="3" borderId="110" xfId="0" applyNumberFormat="1" applyFont="1" applyFill="1" applyBorder="1" applyAlignment="1">
      <alignment vertical="center"/>
    </xf>
    <xf numFmtId="167" fontId="6" fillId="2" borderId="73" xfId="1" applyNumberFormat="1" applyFont="1" applyFill="1" applyBorder="1" applyAlignment="1">
      <alignment wrapText="1"/>
    </xf>
    <xf numFmtId="167" fontId="6" fillId="5" borderId="13" xfId="1" quotePrefix="1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10" fillId="0" borderId="7" xfId="0" applyNumberFormat="1" applyFont="1" applyBorder="1" applyAlignment="1">
      <alignment horizontal="center" vertical="center" wrapText="1"/>
    </xf>
    <xf numFmtId="2" fontId="2" fillId="0" borderId="73" xfId="2" quotePrefix="1" applyNumberFormat="1" applyFont="1" applyBorder="1" applyAlignment="1">
      <alignment horizontal="center"/>
    </xf>
    <xf numFmtId="2" fontId="2" fillId="0" borderId="24" xfId="2" quotePrefix="1" applyNumberFormat="1" applyFont="1" applyBorder="1" applyAlignment="1">
      <alignment horizontal="center"/>
    </xf>
    <xf numFmtId="2" fontId="2" fillId="0" borderId="1" xfId="2" quotePrefix="1" applyNumberFormat="1" applyFont="1" applyBorder="1" applyAlignment="1">
      <alignment horizontal="center"/>
    </xf>
    <xf numFmtId="2" fontId="2" fillId="0" borderId="75" xfId="2" quotePrefix="1" applyNumberFormat="1" applyFont="1" applyBorder="1" applyAlignment="1">
      <alignment horizontal="center"/>
    </xf>
    <xf numFmtId="2" fontId="2" fillId="2" borderId="83" xfId="0" applyNumberFormat="1" applyFont="1" applyFill="1" applyBorder="1" applyAlignment="1">
      <alignment horizontal="center" vertical="center"/>
    </xf>
    <xf numFmtId="2" fontId="2" fillId="0" borderId="83" xfId="2" quotePrefix="1" applyNumberFormat="1" applyFont="1" applyBorder="1" applyAlignment="1">
      <alignment horizontal="center"/>
    </xf>
    <xf numFmtId="2" fontId="2" fillId="0" borderId="107" xfId="56" quotePrefix="1" applyNumberFormat="1" applyFont="1" applyBorder="1" applyAlignment="1">
      <alignment horizontal="center"/>
    </xf>
    <xf numFmtId="2" fontId="3" fillId="0" borderId="107" xfId="0" applyNumberFormat="1" applyFont="1" applyFill="1" applyBorder="1" applyAlignment="1">
      <alignment horizontal="center" vertical="center"/>
    </xf>
    <xf numFmtId="2" fontId="3" fillId="0" borderId="108" xfId="0" applyNumberFormat="1" applyFont="1" applyFill="1" applyBorder="1" applyAlignment="1">
      <alignment horizontal="center" vertical="center"/>
    </xf>
    <xf numFmtId="2" fontId="2" fillId="0" borderId="43" xfId="2" quotePrefix="1" applyNumberFormat="1" applyFont="1" applyBorder="1" applyAlignment="1">
      <alignment horizontal="center" vertical="center"/>
    </xf>
    <xf numFmtId="176" fontId="2" fillId="2" borderId="107" xfId="0" quotePrefix="1" applyNumberFormat="1" applyFont="1" applyFill="1" applyBorder="1" applyAlignment="1">
      <alignment horizontal="center" wrapText="1"/>
    </xf>
    <xf numFmtId="165" fontId="2" fillId="0" borderId="111" xfId="0" applyNumberFormat="1" applyFont="1" applyBorder="1" applyAlignment="1">
      <alignment horizontal="center" vertical="center"/>
    </xf>
    <xf numFmtId="0" fontId="2" fillId="0" borderId="111" xfId="0" applyFont="1" applyFill="1" applyBorder="1" applyAlignment="1">
      <alignment horizontal="center" vertical="center"/>
    </xf>
    <xf numFmtId="2" fontId="2" fillId="0" borderId="111" xfId="2" quotePrefix="1" applyNumberFormat="1" applyFont="1" applyBorder="1" applyAlignment="1">
      <alignment horizontal="center" vertical="center"/>
    </xf>
    <xf numFmtId="1" fontId="12" fillId="5" borderId="114" xfId="1" quotePrefix="1" applyNumberFormat="1" applyFont="1" applyFill="1" applyBorder="1" applyAlignment="1">
      <alignment horizontal="center" vertical="center"/>
    </xf>
    <xf numFmtId="165" fontId="2" fillId="0" borderId="111" xfId="0" quotePrefix="1" applyNumberFormat="1" applyFont="1" applyBorder="1" applyAlignment="1">
      <alignment horizontal="center" vertical="center"/>
    </xf>
    <xf numFmtId="2" fontId="2" fillId="0" borderId="113" xfId="2" quotePrefix="1" applyNumberFormat="1" applyFont="1" applyBorder="1" applyAlignment="1">
      <alignment horizontal="center" vertical="center"/>
    </xf>
    <xf numFmtId="49" fontId="2" fillId="0" borderId="113" xfId="2" quotePrefix="1" applyNumberFormat="1" applyFont="1" applyBorder="1" applyAlignment="1">
      <alignment horizontal="center" vertical="center"/>
    </xf>
    <xf numFmtId="1" fontId="12" fillId="5" borderId="113" xfId="1" quotePrefix="1" applyNumberFormat="1" applyFont="1" applyFill="1" applyBorder="1" applyAlignment="1">
      <alignment horizontal="center" vertical="center"/>
    </xf>
    <xf numFmtId="49" fontId="12" fillId="5" borderId="113" xfId="1" quotePrefix="1" applyNumberFormat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165" fontId="2" fillId="0" borderId="111" xfId="0" quotePrefix="1" applyNumberFormat="1" applyFont="1" applyBorder="1" applyAlignment="1">
      <alignment horizontal="center"/>
    </xf>
    <xf numFmtId="164" fontId="136" fillId="2" borderId="111" xfId="0" applyNumberFormat="1" applyFont="1" applyFill="1" applyBorder="1" applyAlignment="1">
      <alignment horizontal="center"/>
    </xf>
    <xf numFmtId="0" fontId="2" fillId="0" borderId="113" xfId="0" applyFont="1" applyBorder="1" applyAlignment="1">
      <alignment horizontal="center"/>
    </xf>
    <xf numFmtId="167" fontId="2" fillId="5" borderId="117" xfId="1" quotePrefix="1" applyNumberFormat="1" applyFont="1" applyFill="1" applyBorder="1" applyAlignment="1">
      <alignment horizontal="center" vertical="center" wrapText="1"/>
    </xf>
    <xf numFmtId="165" fontId="2" fillId="0" borderId="112" xfId="0" quotePrefix="1" applyNumberFormat="1" applyFont="1" applyBorder="1" applyAlignment="1">
      <alignment horizontal="center"/>
    </xf>
    <xf numFmtId="49" fontId="5" fillId="0" borderId="113" xfId="2" quotePrefix="1" applyNumberFormat="1" applyFont="1" applyBorder="1" applyAlignment="1">
      <alignment horizontal="center" wrapText="1"/>
    </xf>
    <xf numFmtId="164" fontId="136" fillId="2" borderId="112" xfId="0" applyNumberFormat="1" applyFont="1" applyFill="1" applyBorder="1" applyAlignment="1">
      <alignment horizontal="center"/>
    </xf>
    <xf numFmtId="3" fontId="2" fillId="2" borderId="117" xfId="0" applyNumberFormat="1" applyFont="1" applyFill="1" applyBorder="1" applyAlignment="1">
      <alignment horizontal="center"/>
    </xf>
    <xf numFmtId="49" fontId="2" fillId="0" borderId="113" xfId="2" quotePrefix="1" applyNumberFormat="1" applyFont="1" applyBorder="1" applyAlignment="1">
      <alignment horizontal="center"/>
    </xf>
    <xf numFmtId="2" fontId="2" fillId="0" borderId="113" xfId="2" quotePrefix="1" applyNumberFormat="1" applyFont="1" applyBorder="1" applyAlignment="1">
      <alignment horizontal="center"/>
    </xf>
    <xf numFmtId="49" fontId="2" fillId="0" borderId="113" xfId="2" quotePrefix="1" applyNumberFormat="1" applyFont="1" applyBorder="1" applyAlignment="1">
      <alignment horizontal="center" wrapText="1"/>
    </xf>
    <xf numFmtId="167" fontId="2" fillId="5" borderId="111" xfId="1" quotePrefix="1" applyNumberFormat="1" applyFont="1" applyFill="1" applyBorder="1" applyAlignment="1">
      <alignment horizontal="center" vertical="center"/>
    </xf>
    <xf numFmtId="164" fontId="5" fillId="0" borderId="111" xfId="0" applyNumberFormat="1" applyFont="1" applyBorder="1" applyAlignment="1">
      <alignment horizontal="center"/>
    </xf>
    <xf numFmtId="3" fontId="2" fillId="2" borderId="111" xfId="0" applyNumberFormat="1" applyFont="1" applyFill="1" applyBorder="1" applyAlignment="1">
      <alignment horizontal="center" vertical="center"/>
    </xf>
    <xf numFmtId="3" fontId="2" fillId="2" borderId="111" xfId="0" applyNumberFormat="1" applyFont="1" applyFill="1" applyBorder="1" applyAlignment="1">
      <alignment horizontal="center"/>
    </xf>
    <xf numFmtId="2" fontId="2" fillId="0" borderId="111" xfId="1" quotePrefix="1" applyNumberFormat="1" applyFont="1" applyBorder="1" applyAlignment="1">
      <alignment horizontal="center"/>
    </xf>
    <xf numFmtId="167" fontId="12" fillId="5" borderId="111" xfId="1" quotePrefix="1" applyNumberFormat="1" applyFont="1" applyFill="1" applyBorder="1" applyAlignment="1">
      <alignment horizontal="center"/>
    </xf>
    <xf numFmtId="49" fontId="2" fillId="2" borderId="111" xfId="2" quotePrefix="1" applyNumberFormat="1" applyFont="1" applyFill="1" applyBorder="1" applyAlignment="1">
      <alignment horizontal="center" wrapText="1"/>
    </xf>
    <xf numFmtId="165" fontId="2" fillId="0" borderId="107" xfId="0" applyNumberFormat="1" applyFont="1" applyBorder="1" applyAlignment="1">
      <alignment horizontal="center"/>
    </xf>
    <xf numFmtId="165" fontId="2" fillId="0" borderId="111" xfId="0" applyNumberFormat="1" applyFont="1" applyBorder="1" applyAlignment="1">
      <alignment horizontal="center"/>
    </xf>
    <xf numFmtId="167" fontId="14" fillId="12" borderId="107" xfId="1" applyNumberFormat="1" applyFont="1" applyFill="1" applyBorder="1" applyAlignment="1">
      <alignment vertical="center"/>
    </xf>
    <xf numFmtId="49" fontId="12" fillId="5" borderId="119" xfId="1" quotePrefix="1" applyNumberFormat="1" applyFont="1" applyFill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2" fillId="0" borderId="73" xfId="0" applyNumberFormat="1" applyFont="1" applyBorder="1" applyAlignment="1">
      <alignment horizontal="center" vertical="center"/>
    </xf>
    <xf numFmtId="49" fontId="2" fillId="0" borderId="83" xfId="0" applyNumberFormat="1" applyFont="1" applyBorder="1" applyAlignment="1">
      <alignment horizontal="center" vertical="center"/>
    </xf>
    <xf numFmtId="0" fontId="12" fillId="0" borderId="83" xfId="3" applyFont="1" applyBorder="1" applyAlignment="1">
      <alignment horizontal="center" vertical="center"/>
    </xf>
    <xf numFmtId="49" fontId="12" fillId="0" borderId="83" xfId="1" quotePrefix="1" applyNumberFormat="1" applyFont="1" applyFill="1" applyBorder="1" applyAlignment="1">
      <alignment horizontal="center"/>
    </xf>
    <xf numFmtId="49" fontId="2" fillId="0" borderId="111" xfId="1" quotePrefix="1" applyNumberFormat="1" applyFont="1" applyFill="1" applyBorder="1" applyAlignment="1">
      <alignment horizontal="center"/>
    </xf>
    <xf numFmtId="49" fontId="2" fillId="0" borderId="112" xfId="1" quotePrefix="1" applyNumberFormat="1" applyFont="1" applyFill="1" applyBorder="1" applyAlignment="1">
      <alignment horizontal="center"/>
    </xf>
    <xf numFmtId="165" fontId="2" fillId="0" borderId="0" xfId="0" applyNumberFormat="1" applyFont="1" applyAlignment="1"/>
    <xf numFmtId="164" fontId="3" fillId="0" borderId="19" xfId="0" applyNumberFormat="1" applyFont="1" applyFill="1" applyBorder="1" applyAlignment="1"/>
    <xf numFmtId="49" fontId="2" fillId="0" borderId="73" xfId="0" applyNumberFormat="1" applyFont="1" applyFill="1" applyBorder="1" applyAlignment="1">
      <alignment wrapText="1"/>
    </xf>
    <xf numFmtId="49" fontId="2" fillId="0" borderId="24" xfId="0" applyNumberFormat="1" applyFont="1" applyFill="1" applyBorder="1" applyAlignment="1">
      <alignment vertical="center"/>
    </xf>
    <xf numFmtId="49" fontId="2" fillId="0" borderId="73" xfId="0" applyNumberFormat="1" applyFont="1" applyFill="1" applyBorder="1" applyAlignment="1">
      <alignment vertical="center"/>
    </xf>
    <xf numFmtId="49" fontId="2" fillId="0" borderId="43" xfId="1" quotePrefix="1" applyNumberFormat="1" applyFont="1" applyFill="1" applyBorder="1" applyAlignment="1"/>
    <xf numFmtId="49" fontId="2" fillId="0" borderId="67" xfId="3" applyNumberFormat="1" applyFont="1" applyFill="1" applyBorder="1" applyAlignment="1">
      <alignment vertical="center"/>
    </xf>
    <xf numFmtId="49" fontId="2" fillId="0" borderId="83" xfId="0" applyNumberFormat="1" applyFont="1" applyFill="1" applyBorder="1" applyAlignment="1"/>
    <xf numFmtId="49" fontId="2" fillId="0" borderId="83" xfId="1" quotePrefix="1" applyNumberFormat="1" applyFont="1" applyFill="1" applyBorder="1" applyAlignment="1"/>
    <xf numFmtId="49" fontId="2" fillId="0" borderId="83" xfId="0" applyNumberFormat="1" applyFont="1" applyFill="1" applyBorder="1" applyAlignment="1">
      <alignment vertical="center"/>
    </xf>
    <xf numFmtId="49" fontId="12" fillId="5" borderId="83" xfId="1" quotePrefix="1" applyNumberFormat="1" applyFont="1" applyFill="1" applyBorder="1" applyAlignment="1"/>
    <xf numFmtId="49" fontId="12" fillId="5" borderId="43" xfId="1" quotePrefix="1" applyNumberFormat="1" applyFont="1" applyFill="1" applyBorder="1" applyAlignment="1"/>
    <xf numFmtId="0" fontId="3" fillId="0" borderId="107" xfId="0" applyFont="1" applyFill="1" applyBorder="1" applyAlignment="1">
      <alignment vertical="center"/>
    </xf>
    <xf numFmtId="0" fontId="3" fillId="0" borderId="34" xfId="0" applyFont="1" applyFill="1" applyBorder="1" applyAlignment="1">
      <alignment vertical="center"/>
    </xf>
    <xf numFmtId="49" fontId="2" fillId="0" borderId="111" xfId="1" quotePrefix="1" applyNumberFormat="1" applyFont="1" applyFill="1" applyBorder="1" applyAlignment="1"/>
    <xf numFmtId="49" fontId="2" fillId="0" borderId="112" xfId="1" quotePrefix="1" applyNumberFormat="1" applyFont="1" applyFill="1" applyBorder="1" applyAlignment="1"/>
    <xf numFmtId="49" fontId="12" fillId="5" borderId="43" xfId="1" quotePrefix="1" applyNumberFormat="1" applyFont="1" applyFill="1" applyBorder="1" applyAlignment="1">
      <alignment vertical="center"/>
    </xf>
    <xf numFmtId="49" fontId="12" fillId="5" borderId="113" xfId="1" quotePrefix="1" applyNumberFormat="1" applyFont="1" applyFill="1" applyBorder="1" applyAlignment="1">
      <alignment vertical="center"/>
    </xf>
    <xf numFmtId="49" fontId="12" fillId="5" borderId="119" xfId="1" quotePrefix="1" applyNumberFormat="1" applyFont="1" applyFill="1" applyBorder="1" applyAlignment="1">
      <alignment vertical="center"/>
    </xf>
    <xf numFmtId="49" fontId="12" fillId="5" borderId="114" xfId="1" quotePrefix="1" applyNumberFormat="1" applyFont="1" applyFill="1" applyBorder="1" applyAlignment="1">
      <alignment vertical="center"/>
    </xf>
    <xf numFmtId="167" fontId="2" fillId="2" borderId="73" xfId="1" quotePrefix="1" applyNumberFormat="1" applyFont="1" applyFill="1" applyBorder="1" applyAlignment="1">
      <alignment horizontal="right"/>
    </xf>
    <xf numFmtId="167" fontId="14" fillId="71" borderId="1" xfId="1" applyNumberFormat="1" applyFont="1" applyFill="1" applyBorder="1" applyAlignment="1"/>
    <xf numFmtId="171" fontId="14" fillId="2" borderId="1" xfId="1" applyNumberFormat="1" applyFont="1" applyFill="1" applyBorder="1" applyAlignment="1"/>
    <xf numFmtId="171" fontId="21" fillId="12" borderId="73" xfId="1" applyNumberFormat="1" applyFont="1" applyFill="1" applyBorder="1" applyAlignment="1"/>
    <xf numFmtId="167" fontId="2" fillId="5" borderId="7" xfId="1" applyNumberFormat="1" applyFont="1" applyFill="1" applyBorder="1" applyAlignment="1">
      <alignment horizontal="center"/>
    </xf>
    <xf numFmtId="167" fontId="14" fillId="2" borderId="32" xfId="1" applyNumberFormat="1" applyFont="1" applyFill="1" applyBorder="1" applyAlignment="1"/>
    <xf numFmtId="171" fontId="14" fillId="2" borderId="32" xfId="1" applyNumberFormat="1" applyFont="1" applyFill="1" applyBorder="1" applyAlignment="1"/>
    <xf numFmtId="0" fontId="3" fillId="2" borderId="32" xfId="0" applyFont="1" applyFill="1" applyBorder="1" applyAlignment="1">
      <alignment horizontal="center"/>
    </xf>
    <xf numFmtId="171" fontId="14" fillId="2" borderId="32" xfId="1" applyNumberFormat="1" applyFont="1" applyFill="1" applyBorder="1" applyAlignment="1">
      <alignment horizontal="left"/>
    </xf>
    <xf numFmtId="167" fontId="31" fillId="2" borderId="32" xfId="1" applyNumberFormat="1" applyFont="1" applyFill="1" applyBorder="1" applyAlignment="1"/>
    <xf numFmtId="49" fontId="5" fillId="2" borderId="32" xfId="0" applyNumberFormat="1" applyFont="1" applyFill="1" applyBorder="1" applyAlignment="1">
      <alignment horizontal="center"/>
    </xf>
    <xf numFmtId="0" fontId="2" fillId="0" borderId="32" xfId="0" applyFont="1" applyFill="1" applyBorder="1" applyAlignment="1"/>
    <xf numFmtId="164" fontId="3" fillId="2" borderId="0" xfId="0" applyNumberFormat="1" applyFont="1" applyFill="1" applyAlignment="1"/>
    <xf numFmtId="0" fontId="14" fillId="2" borderId="24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5" fillId="2" borderId="24" xfId="0" applyFont="1" applyFill="1" applyBorder="1" applyAlignment="1">
      <alignment wrapText="1"/>
    </xf>
    <xf numFmtId="49" fontId="5" fillId="2" borderId="43" xfId="0" applyNumberFormat="1" applyFont="1" applyFill="1" applyBorder="1" applyAlignment="1">
      <alignment wrapText="1"/>
    </xf>
    <xf numFmtId="0" fontId="3" fillId="9" borderId="0" xfId="0" applyFont="1" applyFill="1" applyBorder="1" applyAlignment="1">
      <alignment horizontal="center"/>
    </xf>
    <xf numFmtId="0" fontId="3" fillId="9" borderId="0" xfId="0" applyFont="1" applyFill="1" applyBorder="1" applyAlignment="1"/>
    <xf numFmtId="0" fontId="3" fillId="0" borderId="0" xfId="0" applyFont="1" applyFill="1" applyBorder="1" applyAlignment="1"/>
    <xf numFmtId="164" fontId="3" fillId="3" borderId="19" xfId="0" applyNumberFormat="1" applyFont="1" applyFill="1" applyBorder="1" applyAlignment="1"/>
    <xf numFmtId="164" fontId="3" fillId="0" borderId="0" xfId="0" applyNumberFormat="1" applyFont="1" applyFill="1" applyBorder="1" applyAlignment="1"/>
    <xf numFmtId="167" fontId="14" fillId="2" borderId="0" xfId="1" applyNumberFormat="1" applyFont="1" applyFill="1" applyBorder="1" applyAlignment="1"/>
    <xf numFmtId="171" fontId="14" fillId="2" borderId="0" xfId="1" applyNumberFormat="1" applyFont="1" applyFill="1" applyBorder="1" applyAlignment="1"/>
    <xf numFmtId="0" fontId="3" fillId="2" borderId="0" xfId="0" applyFont="1" applyFill="1" applyAlignment="1">
      <alignment horizontal="center"/>
    </xf>
    <xf numFmtId="171" fontId="14" fillId="2" borderId="1" xfId="1" applyNumberFormat="1" applyFont="1" applyFill="1" applyBorder="1" applyAlignment="1">
      <alignment horizontal="left"/>
    </xf>
    <xf numFmtId="167" fontId="31" fillId="2" borderId="0" xfId="1" applyNumberFormat="1" applyFont="1" applyFill="1" applyBorder="1" applyAlignment="1"/>
    <xf numFmtId="49" fontId="5" fillId="2" borderId="0" xfId="0" applyNumberFormat="1" applyFont="1" applyFill="1" applyAlignment="1">
      <alignment horizontal="center"/>
    </xf>
    <xf numFmtId="167" fontId="3" fillId="3" borderId="101" xfId="1" applyNumberFormat="1" applyFont="1" applyFill="1" applyBorder="1" applyAlignment="1"/>
    <xf numFmtId="0" fontId="2" fillId="3" borderId="73" xfId="0" applyFont="1" applyFill="1" applyBorder="1" applyAlignment="1"/>
    <xf numFmtId="167" fontId="21" fillId="3" borderId="73" xfId="1" applyNumberFormat="1" applyFont="1" applyFill="1" applyBorder="1" applyAlignment="1">
      <alignment horizontal="center"/>
    </xf>
    <xf numFmtId="167" fontId="21" fillId="3" borderId="83" xfId="1" applyNumberFormat="1" applyFont="1" applyFill="1" applyBorder="1" applyAlignment="1"/>
    <xf numFmtId="167" fontId="21" fillId="3" borderId="73" xfId="1" applyNumberFormat="1" applyFont="1" applyFill="1" applyBorder="1" applyAlignment="1">
      <alignment horizontal="left"/>
    </xf>
    <xf numFmtId="167" fontId="21" fillId="3" borderId="73" xfId="1" applyNumberFormat="1" applyFont="1" applyFill="1" applyBorder="1" applyAlignment="1"/>
    <xf numFmtId="171" fontId="21" fillId="3" borderId="73" xfId="1" applyNumberFormat="1" applyFont="1" applyFill="1" applyBorder="1" applyAlignment="1"/>
    <xf numFmtId="171" fontId="21" fillId="3" borderId="73" xfId="1" applyNumberFormat="1" applyFont="1" applyFill="1" applyBorder="1" applyAlignment="1">
      <alignment horizontal="left"/>
    </xf>
    <xf numFmtId="0" fontId="20" fillId="3" borderId="73" xfId="0" applyFont="1" applyFill="1" applyBorder="1" applyAlignment="1">
      <alignment horizontal="center"/>
    </xf>
    <xf numFmtId="171" fontId="23" fillId="3" borderId="73" xfId="1" applyNumberFormat="1" applyFont="1" applyFill="1" applyBorder="1" applyAlignment="1">
      <alignment horizontal="left"/>
    </xf>
    <xf numFmtId="0" fontId="2" fillId="0" borderId="103" xfId="0" applyFont="1" applyFill="1" applyBorder="1" applyAlignment="1"/>
    <xf numFmtId="167" fontId="12" fillId="69" borderId="75" xfId="1" quotePrefix="1" applyNumberFormat="1" applyFont="1" applyFill="1" applyBorder="1" applyAlignment="1">
      <alignment horizontal="center"/>
    </xf>
    <xf numFmtId="167" fontId="12" fillId="0" borderId="75" xfId="1" quotePrefix="1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1" fontId="2" fillId="0" borderId="0" xfId="0" applyNumberFormat="1" applyFont="1" applyFill="1" applyBorder="1" applyAlignment="1"/>
    <xf numFmtId="190" fontId="42" fillId="0" borderId="83" xfId="38524" applyNumberFormat="1" applyFont="1" applyBorder="1" applyAlignment="1" applyProtection="1">
      <alignment horizontal="center"/>
      <protection locked="0"/>
    </xf>
    <xf numFmtId="167" fontId="2" fillId="2" borderId="73" xfId="1" applyNumberFormat="1" applyFont="1" applyFill="1" applyBorder="1" applyAlignment="1">
      <alignment horizontal="right" wrapText="1"/>
    </xf>
    <xf numFmtId="167" fontId="2" fillId="2" borderId="24" xfId="1" applyNumberFormat="1" applyFont="1" applyFill="1" applyBorder="1" applyAlignment="1">
      <alignment horizontal="right"/>
    </xf>
    <xf numFmtId="0" fontId="3" fillId="2" borderId="24" xfId="0" applyFont="1" applyFill="1" applyBorder="1" applyAlignment="1">
      <alignment horizontal="center"/>
    </xf>
    <xf numFmtId="167" fontId="2" fillId="2" borderId="73" xfId="1" applyNumberFormat="1" applyFont="1" applyFill="1" applyBorder="1" applyAlignment="1">
      <alignment horizontal="right"/>
    </xf>
    <xf numFmtId="171" fontId="14" fillId="2" borderId="73" xfId="1" applyNumberFormat="1" applyFont="1" applyFill="1" applyBorder="1" applyAlignment="1"/>
    <xf numFmtId="49" fontId="2" fillId="0" borderId="43" xfId="2" quotePrefix="1" applyNumberFormat="1" applyFont="1" applyBorder="1" applyAlignment="1"/>
    <xf numFmtId="167" fontId="31" fillId="2" borderId="1" xfId="1" applyNumberFormat="1" applyFont="1" applyFill="1" applyBorder="1" applyAlignment="1"/>
    <xf numFmtId="49" fontId="5" fillId="2" borderId="73" xfId="0" applyNumberFormat="1" applyFont="1" applyFill="1" applyBorder="1" applyAlignment="1">
      <alignment horizontal="center"/>
    </xf>
    <xf numFmtId="49" fontId="2" fillId="0" borderId="20" xfId="2" quotePrefix="1" applyNumberFormat="1" applyFont="1" applyBorder="1" applyAlignment="1"/>
    <xf numFmtId="0" fontId="3" fillId="2" borderId="73" xfId="0" applyFont="1" applyFill="1" applyBorder="1" applyAlignment="1">
      <alignment horizontal="center"/>
    </xf>
    <xf numFmtId="171" fontId="14" fillId="2" borderId="73" xfId="1" applyNumberFormat="1" applyFont="1" applyFill="1" applyBorder="1" applyAlignment="1">
      <alignment horizontal="left"/>
    </xf>
    <xf numFmtId="167" fontId="31" fillId="2" borderId="73" xfId="1" applyNumberFormat="1" applyFont="1" applyFill="1" applyBorder="1" applyAlignment="1"/>
    <xf numFmtId="0" fontId="3" fillId="2" borderId="0" xfId="0" applyFont="1" applyFill="1" applyBorder="1" applyAlignment="1">
      <alignment horizontal="center"/>
    </xf>
    <xf numFmtId="171" fontId="14" fillId="2" borderId="0" xfId="1" applyNumberFormat="1" applyFont="1" applyFill="1" applyBorder="1" applyAlignment="1">
      <alignment horizontal="left"/>
    </xf>
    <xf numFmtId="49" fontId="5" fillId="2" borderId="0" xfId="0" applyNumberFormat="1" applyFont="1" applyFill="1" applyBorder="1" applyAlignment="1">
      <alignment horizontal="center"/>
    </xf>
    <xf numFmtId="0" fontId="2" fillId="0" borderId="83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2" borderId="18" xfId="0" quotePrefix="1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164" fontId="2" fillId="0" borderId="107" xfId="0" applyNumberFormat="1" applyFont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164" fontId="136" fillId="2" borderId="79" xfId="0" applyNumberFormat="1" applyFont="1" applyFill="1" applyBorder="1" applyAlignment="1">
      <alignment horizontal="center" vertical="center"/>
    </xf>
    <xf numFmtId="49" fontId="2" fillId="0" borderId="75" xfId="2" quotePrefix="1" applyNumberFormat="1" applyFont="1" applyFill="1" applyBorder="1" applyAlignment="1">
      <alignment horizontal="center" vertical="center"/>
    </xf>
    <xf numFmtId="167" fontId="2" fillId="2" borderId="75" xfId="1" applyNumberFormat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vertical="center" wrapText="1"/>
    </xf>
    <xf numFmtId="49" fontId="5" fillId="0" borderId="43" xfId="2" quotePrefix="1" applyNumberFormat="1" applyFont="1" applyBorder="1" applyAlignment="1">
      <alignment horizontal="center"/>
    </xf>
    <xf numFmtId="176" fontId="5" fillId="2" borderId="107" xfId="0" quotePrefix="1" applyNumberFormat="1" applyFont="1" applyFill="1" applyBorder="1" applyAlignment="1">
      <alignment horizontal="center" wrapText="1"/>
    </xf>
    <xf numFmtId="0" fontId="5" fillId="3" borderId="0" xfId="0" applyFont="1" applyFill="1" applyAlignment="1"/>
    <xf numFmtId="0" fontId="5" fillId="3" borderId="0" xfId="0" applyFont="1" applyFill="1" applyAlignment="1">
      <alignment horizontal="center"/>
    </xf>
    <xf numFmtId="167" fontId="14" fillId="3" borderId="73" xfId="1" applyNumberFormat="1" applyFont="1" applyFill="1" applyBorder="1" applyAlignment="1">
      <alignment vertical="center"/>
    </xf>
    <xf numFmtId="167" fontId="14" fillId="3" borderId="73" xfId="1" applyNumberFormat="1" applyFont="1" applyFill="1" applyBorder="1" applyAlignment="1">
      <alignment horizontal="left" vertical="center" indent="1"/>
    </xf>
    <xf numFmtId="171" fontId="14" fillId="3" borderId="73" xfId="1" applyNumberFormat="1" applyFont="1" applyFill="1" applyBorder="1" applyAlignment="1">
      <alignment vertical="center"/>
    </xf>
    <xf numFmtId="171" fontId="14" fillId="3" borderId="73" xfId="1" applyNumberFormat="1" applyFont="1" applyFill="1" applyBorder="1" applyAlignment="1">
      <alignment horizontal="left" vertical="center" indent="1"/>
    </xf>
    <xf numFmtId="0" fontId="3" fillId="3" borderId="73" xfId="0" applyFont="1" applyFill="1" applyBorder="1" applyAlignment="1">
      <alignment horizontal="center" vertical="center"/>
    </xf>
    <xf numFmtId="171" fontId="31" fillId="3" borderId="73" xfId="1" applyNumberFormat="1" applyFont="1" applyFill="1" applyBorder="1" applyAlignment="1">
      <alignment horizontal="left" vertical="center" indent="1"/>
    </xf>
    <xf numFmtId="167" fontId="14" fillId="0" borderId="83" xfId="1" applyNumberFormat="1" applyFont="1" applyFill="1" applyBorder="1" applyAlignment="1">
      <alignment vertical="center"/>
    </xf>
    <xf numFmtId="167" fontId="14" fillId="0" borderId="83" xfId="1" applyNumberFormat="1" applyFont="1" applyFill="1" applyBorder="1" applyAlignment="1">
      <alignment horizontal="left" vertical="center" indent="1"/>
    </xf>
    <xf numFmtId="167" fontId="14" fillId="0" borderId="108" xfId="1" applyNumberFormat="1" applyFont="1" applyFill="1" applyBorder="1" applyAlignment="1">
      <alignment vertical="center"/>
    </xf>
    <xf numFmtId="167" fontId="31" fillId="15" borderId="24" xfId="1" applyNumberFormat="1" applyFont="1" applyFill="1" applyBorder="1" applyAlignment="1">
      <alignment vertical="center"/>
    </xf>
    <xf numFmtId="2" fontId="31" fillId="0" borderId="83" xfId="38396" applyNumberFormat="1" applyFont="1" applyFill="1" applyBorder="1" applyAlignment="1">
      <alignment vertical="center" shrinkToFit="1"/>
    </xf>
    <xf numFmtId="2" fontId="31" fillId="0" borderId="83" xfId="38396" applyNumberFormat="1" applyFont="1" applyFill="1" applyBorder="1" applyAlignment="1">
      <alignment horizontal="center" vertical="center" shrinkToFit="1"/>
    </xf>
    <xf numFmtId="167" fontId="14" fillId="0" borderId="107" xfId="1" applyNumberFormat="1" applyFont="1" applyFill="1" applyBorder="1" applyAlignment="1">
      <alignment horizontal="left" vertical="center" indent="1"/>
    </xf>
    <xf numFmtId="171" fontId="14" fillId="0" borderId="107" xfId="1" applyNumberFormat="1" applyFont="1" applyFill="1" applyBorder="1" applyAlignment="1">
      <alignment vertical="center"/>
    </xf>
    <xf numFmtId="167" fontId="14" fillId="0" borderId="34" xfId="1" applyNumberFormat="1" applyFont="1" applyFill="1" applyBorder="1" applyAlignment="1">
      <alignment vertical="center"/>
    </xf>
    <xf numFmtId="167" fontId="14" fillId="0" borderId="34" xfId="1" applyNumberFormat="1" applyFont="1" applyFill="1" applyBorder="1" applyAlignment="1">
      <alignment horizontal="left" vertical="center" indent="1"/>
    </xf>
    <xf numFmtId="171" fontId="14" fillId="0" borderId="34" xfId="1" applyNumberFormat="1" applyFont="1" applyFill="1" applyBorder="1" applyAlignment="1">
      <alignment vertical="center"/>
    </xf>
    <xf numFmtId="167" fontId="31" fillId="15" borderId="34" xfId="1" applyNumberFormat="1" applyFont="1" applyFill="1" applyBorder="1" applyAlignment="1">
      <alignment vertical="center"/>
    </xf>
    <xf numFmtId="49" fontId="2" fillId="0" borderId="111" xfId="0" applyNumberFormat="1" applyFont="1" applyBorder="1" applyAlignment="1">
      <alignment vertical="top" wrapText="1"/>
    </xf>
    <xf numFmtId="49" fontId="6" fillId="0" borderId="111" xfId="0" applyNumberFormat="1" applyFont="1" applyBorder="1" applyAlignment="1">
      <alignment vertical="top" wrapText="1"/>
    </xf>
    <xf numFmtId="49" fontId="6" fillId="0" borderId="107" xfId="0" applyNumberFormat="1" applyFont="1" applyBorder="1" applyAlignment="1">
      <alignment vertical="top" wrapText="1"/>
    </xf>
    <xf numFmtId="49" fontId="2" fillId="0" borderId="107" xfId="0" applyNumberFormat="1" applyFont="1" applyBorder="1" applyAlignment="1">
      <alignment vertical="top" wrapText="1"/>
    </xf>
    <xf numFmtId="167" fontId="31" fillId="15" borderId="107" xfId="1" applyNumberFormat="1" applyFont="1" applyFill="1" applyBorder="1" applyAlignment="1">
      <alignment vertical="center"/>
    </xf>
    <xf numFmtId="49" fontId="2" fillId="0" borderId="112" xfId="0" applyNumberFormat="1" applyFont="1" applyBorder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2" fontId="2" fillId="0" borderId="107" xfId="2" quotePrefix="1" applyNumberFormat="1" applyFont="1" applyBorder="1" applyAlignment="1">
      <alignment horizontal="center"/>
    </xf>
    <xf numFmtId="2" fontId="2" fillId="0" borderId="111" xfId="2" quotePrefix="1" applyNumberFormat="1" applyFont="1" applyBorder="1" applyAlignment="1">
      <alignment horizontal="center"/>
    </xf>
    <xf numFmtId="167" fontId="12" fillId="5" borderId="121" xfId="1" quotePrefix="1" applyNumberFormat="1" applyFont="1" applyFill="1" applyBorder="1" applyAlignment="1">
      <alignment horizontal="center" vertical="center"/>
    </xf>
    <xf numFmtId="49" fontId="12" fillId="5" borderId="113" xfId="1" quotePrefix="1" applyNumberFormat="1" applyFont="1" applyFill="1" applyBorder="1" applyAlignment="1"/>
    <xf numFmtId="49" fontId="12" fillId="5" borderId="113" xfId="1" quotePrefix="1" applyNumberFormat="1" applyFont="1" applyFill="1" applyBorder="1" applyAlignment="1">
      <alignment horizontal="center"/>
    </xf>
    <xf numFmtId="165" fontId="2" fillId="0" borderId="24" xfId="0" applyNumberFormat="1" applyFont="1" applyBorder="1" applyAlignment="1">
      <alignment horizontal="center" vertical="center"/>
    </xf>
    <xf numFmtId="167" fontId="2" fillId="5" borderId="7" xfId="1" applyNumberFormat="1" applyFont="1" applyFill="1" applyBorder="1" applyAlignment="1">
      <alignment horizontal="center" wrapText="1"/>
    </xf>
    <xf numFmtId="171" fontId="21" fillId="10" borderId="59" xfId="1" applyNumberFormat="1" applyFont="1" applyFill="1" applyBorder="1" applyAlignment="1">
      <alignment vertical="center"/>
    </xf>
    <xf numFmtId="187" fontId="2" fillId="5" borderId="72" xfId="1" quotePrefix="1" applyNumberFormat="1" applyFont="1" applyFill="1" applyBorder="1" applyAlignment="1">
      <alignment horizontal="center" wrapText="1" shrinkToFit="1"/>
    </xf>
    <xf numFmtId="187" fontId="2" fillId="5" borderId="7" xfId="1" quotePrefix="1" applyNumberFormat="1" applyFont="1" applyFill="1" applyBorder="1" applyAlignment="1">
      <alignment horizontal="center" wrapText="1" shrinkToFit="1"/>
    </xf>
    <xf numFmtId="187" fontId="2" fillId="5" borderId="7" xfId="1" quotePrefix="1" applyNumberFormat="1" applyFont="1" applyFill="1" applyBorder="1" applyAlignment="1">
      <alignment horizontal="center" shrinkToFit="1"/>
    </xf>
    <xf numFmtId="49" fontId="12" fillId="5" borderId="114" xfId="1" quotePrefix="1" applyNumberFormat="1" applyFont="1" applyFill="1" applyBorder="1" applyAlignment="1">
      <alignment horizontal="center" vertical="center"/>
    </xf>
    <xf numFmtId="0" fontId="3" fillId="3" borderId="83" xfId="0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4" fontId="3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2" fillId="0" borderId="111" xfId="0" applyFont="1" applyBorder="1" applyAlignment="1">
      <alignment horizontal="center"/>
    </xf>
    <xf numFmtId="167" fontId="2" fillId="5" borderId="111" xfId="1" applyNumberFormat="1" applyFont="1" applyFill="1" applyBorder="1" applyAlignment="1">
      <alignment horizontal="center" vertical="center"/>
    </xf>
    <xf numFmtId="164" fontId="3" fillId="0" borderId="111" xfId="0" applyNumberFormat="1" applyFont="1" applyBorder="1" applyAlignment="1">
      <alignment horizontal="center"/>
    </xf>
    <xf numFmtId="3" fontId="2" fillId="2" borderId="123" xfId="0" applyNumberFormat="1" applyFont="1" applyFill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wrapText="1"/>
    </xf>
    <xf numFmtId="49" fontId="2" fillId="2" borderId="112" xfId="2" quotePrefix="1" applyNumberFormat="1" applyFont="1" applyFill="1" applyBorder="1" applyAlignment="1">
      <alignment horizontal="center" wrapText="1"/>
    </xf>
    <xf numFmtId="167" fontId="3" fillId="2" borderId="112" xfId="1" applyNumberFormat="1" applyFont="1" applyFill="1" applyBorder="1" applyAlignment="1">
      <alignment horizontal="right" vertical="center"/>
    </xf>
    <xf numFmtId="0" fontId="2" fillId="2" borderId="111" xfId="0" quotePrefix="1" applyFont="1" applyFill="1" applyBorder="1" applyAlignment="1">
      <alignment horizontal="center"/>
    </xf>
    <xf numFmtId="0" fontId="14" fillId="0" borderId="111" xfId="7" applyFont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/>
    </xf>
    <xf numFmtId="1" fontId="12" fillId="5" borderId="111" xfId="1" quotePrefix="1" applyNumberFormat="1" applyFont="1" applyFill="1" applyBorder="1" applyAlignment="1">
      <alignment horizontal="center" vertical="center"/>
    </xf>
    <xf numFmtId="0" fontId="14" fillId="0" borderId="111" xfId="7" applyFont="1" applyBorder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167" fontId="21" fillId="3" borderId="73" xfId="1" applyNumberFormat="1" applyFont="1" applyFill="1" applyBorder="1" applyAlignment="1">
      <alignment horizontal="center" vertical="center"/>
    </xf>
    <xf numFmtId="0" fontId="2" fillId="2" borderId="73" xfId="0" quotePrefix="1" applyFont="1" applyFill="1" applyBorder="1" applyAlignment="1">
      <alignment horizontal="center" wrapText="1"/>
    </xf>
    <xf numFmtId="0" fontId="2" fillId="2" borderId="112" xfId="0" quotePrefix="1" applyFont="1" applyFill="1" applyBorder="1" applyAlignment="1">
      <alignment horizontal="center" wrapText="1"/>
    </xf>
    <xf numFmtId="164" fontId="164" fillId="3" borderId="11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left"/>
    </xf>
    <xf numFmtId="167" fontId="12" fillId="5" borderId="113" xfId="1" quotePrefix="1" applyNumberFormat="1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41" fontId="2" fillId="0" borderId="0" xfId="0" applyNumberFormat="1" applyFont="1" applyFill="1" applyBorder="1" applyAlignment="1">
      <alignment horizontal="center" vertical="center"/>
    </xf>
    <xf numFmtId="41" fontId="2" fillId="0" borderId="0" xfId="0" applyNumberFormat="1" applyFont="1" applyFill="1" applyBorder="1" applyAlignment="1">
      <alignment vertical="center"/>
    </xf>
    <xf numFmtId="164" fontId="3" fillId="0" borderId="1" xfId="0" applyNumberFormat="1" applyFont="1" applyFill="1" applyBorder="1" applyAlignment="1">
      <alignment horizontal="center"/>
    </xf>
    <xf numFmtId="3" fontId="2" fillId="2" borderId="123" xfId="0" applyNumberFormat="1" applyFont="1" applyFill="1" applyBorder="1" applyAlignment="1">
      <alignment horizontal="center" vertical="center"/>
    </xf>
    <xf numFmtId="0" fontId="2" fillId="2" borderId="111" xfId="0" quotePrefix="1" applyFont="1" applyFill="1" applyBorder="1" applyAlignment="1">
      <alignment horizontal="left"/>
    </xf>
    <xf numFmtId="164" fontId="136" fillId="2" borderId="112" xfId="0" applyNumberFormat="1" applyFont="1" applyFill="1" applyBorder="1" applyAlignment="1">
      <alignment horizontal="center" vertical="center"/>
    </xf>
    <xf numFmtId="3" fontId="2" fillId="2" borderId="117" xfId="0" applyNumberFormat="1" applyFont="1" applyFill="1" applyBorder="1" applyAlignment="1">
      <alignment horizontal="center" vertical="center"/>
    </xf>
    <xf numFmtId="2" fontId="2" fillId="0" borderId="112" xfId="2" quotePrefix="1" applyNumberFormat="1" applyFont="1" applyBorder="1" applyAlignment="1">
      <alignment horizontal="center"/>
    </xf>
    <xf numFmtId="0" fontId="2" fillId="2" borderId="112" xfId="0" quotePrefix="1" applyFont="1" applyFill="1" applyBorder="1" applyAlignment="1">
      <alignment horizontal="left"/>
    </xf>
    <xf numFmtId="0" fontId="2" fillId="0" borderId="125" xfId="0" applyFont="1" applyFill="1" applyBorder="1" applyAlignment="1">
      <alignment horizontal="center" vertical="center"/>
    </xf>
    <xf numFmtId="164" fontId="136" fillId="2" borderId="125" xfId="0" applyNumberFormat="1" applyFont="1" applyFill="1" applyBorder="1" applyAlignment="1">
      <alignment horizontal="center" vertical="center"/>
    </xf>
    <xf numFmtId="3" fontId="2" fillId="2" borderId="126" xfId="0" applyNumberFormat="1" applyFont="1" applyFill="1" applyBorder="1" applyAlignment="1">
      <alignment horizontal="center" vertical="center"/>
    </xf>
    <xf numFmtId="2" fontId="2" fillId="0" borderId="125" xfId="2" quotePrefix="1" applyNumberFormat="1" applyFont="1" applyBorder="1" applyAlignment="1">
      <alignment horizontal="center" vertical="center"/>
    </xf>
    <xf numFmtId="49" fontId="2" fillId="0" borderId="127" xfId="2" quotePrefix="1" applyNumberFormat="1" applyFont="1" applyBorder="1" applyAlignment="1">
      <alignment horizontal="center" vertical="center"/>
    </xf>
    <xf numFmtId="167" fontId="12" fillId="5" borderId="127" xfId="1" quotePrefix="1" applyNumberFormat="1" applyFont="1" applyFill="1" applyBorder="1" applyAlignment="1">
      <alignment horizontal="center" vertical="center"/>
    </xf>
    <xf numFmtId="1" fontId="12" fillId="5" borderId="127" xfId="1" quotePrefix="1" applyNumberFormat="1" applyFont="1" applyFill="1" applyBorder="1" applyAlignment="1">
      <alignment horizontal="center" vertical="center"/>
    </xf>
    <xf numFmtId="49" fontId="2" fillId="2" borderId="125" xfId="2" quotePrefix="1" applyNumberFormat="1" applyFont="1" applyFill="1" applyBorder="1" applyAlignment="1">
      <alignment horizontal="center" vertical="center" wrapText="1"/>
    </xf>
    <xf numFmtId="167" fontId="12" fillId="5" borderId="125" xfId="1" quotePrefix="1" applyNumberFormat="1" applyFont="1" applyFill="1" applyBorder="1" applyAlignment="1">
      <alignment horizontal="center" vertical="center"/>
    </xf>
    <xf numFmtId="0" fontId="2" fillId="2" borderId="125" xfId="0" quotePrefix="1" applyFont="1" applyFill="1" applyBorder="1" applyAlignment="1">
      <alignment horizontal="left" vertical="center"/>
    </xf>
    <xf numFmtId="164" fontId="164" fillId="0" borderId="111" xfId="0" applyNumberFormat="1" applyFont="1" applyFill="1" applyBorder="1" applyAlignment="1">
      <alignment horizontal="center"/>
    </xf>
    <xf numFmtId="164" fontId="164" fillId="0" borderId="112" xfId="0" applyNumberFormat="1" applyFont="1" applyFill="1" applyBorder="1" applyAlignment="1">
      <alignment horizontal="center" wrapText="1"/>
    </xf>
    <xf numFmtId="164" fontId="164" fillId="0" borderId="24" xfId="0" applyNumberFormat="1" applyFont="1" applyFill="1" applyBorder="1" applyAlignment="1">
      <alignment horizontal="center" vertical="center"/>
    </xf>
    <xf numFmtId="164" fontId="164" fillId="0" borderId="111" xfId="0" applyNumberFormat="1" applyFont="1" applyFill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/>
    </xf>
    <xf numFmtId="0" fontId="14" fillId="0" borderId="24" xfId="7" applyFont="1" applyBorder="1" applyAlignment="1">
      <alignment vertical="center" wrapText="1"/>
    </xf>
    <xf numFmtId="0" fontId="14" fillId="0" borderId="24" xfId="7" applyFont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Fill="1" applyBorder="1" applyAlignment="1">
      <alignment horizontal="center"/>
    </xf>
    <xf numFmtId="165" fontId="2" fillId="0" borderId="125" xfId="0" quotePrefix="1" applyNumberFormat="1" applyFont="1" applyBorder="1" applyAlignment="1">
      <alignment horizontal="center"/>
    </xf>
    <xf numFmtId="164" fontId="5" fillId="0" borderId="125" xfId="0" applyNumberFormat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171" fontId="14" fillId="73" borderId="1" xfId="1" applyNumberFormat="1" applyFont="1" applyFill="1" applyBorder="1" applyAlignment="1">
      <alignment horizontal="left" vertical="center" indent="1"/>
    </xf>
    <xf numFmtId="3" fontId="2" fillId="2" borderId="24" xfId="0" applyNumberFormat="1" applyFont="1" applyFill="1" applyBorder="1" applyAlignment="1">
      <alignment horizontal="center"/>
    </xf>
    <xf numFmtId="3" fontId="2" fillId="2" borderId="127" xfId="0" applyNumberFormat="1" applyFont="1" applyFill="1" applyBorder="1" applyAlignment="1">
      <alignment horizontal="center" vertical="center"/>
    </xf>
    <xf numFmtId="3" fontId="2" fillId="2" borderId="125" xfId="0" applyNumberFormat="1" applyFont="1" applyFill="1" applyBorder="1" applyAlignment="1">
      <alignment horizontal="center"/>
    </xf>
    <xf numFmtId="167" fontId="2" fillId="5" borderId="126" xfId="1" applyNumberFormat="1" applyFont="1" applyFill="1" applyBorder="1" applyAlignment="1">
      <alignment horizontal="center" vertical="center" wrapText="1"/>
    </xf>
    <xf numFmtId="167" fontId="2" fillId="5" borderId="116" xfId="1" applyNumberFormat="1" applyFont="1" applyFill="1" applyBorder="1" applyAlignment="1">
      <alignment horizontal="center" vertical="center" wrapText="1"/>
    </xf>
    <xf numFmtId="164" fontId="5" fillId="0" borderId="112" xfId="0" applyNumberFormat="1" applyFont="1" applyFill="1" applyBorder="1" applyAlignment="1">
      <alignment horizontal="center" wrapText="1"/>
    </xf>
    <xf numFmtId="3" fontId="12" fillId="5" borderId="130" xfId="1" applyNumberFormat="1" applyFont="1" applyFill="1" applyBorder="1" applyAlignment="1"/>
    <xf numFmtId="167" fontId="2" fillId="5" borderId="107" xfId="1" applyNumberFormat="1" applyFont="1" applyFill="1" applyBorder="1" applyAlignment="1">
      <alignment horizontal="right"/>
    </xf>
    <xf numFmtId="164" fontId="3" fillId="0" borderId="107" xfId="0" applyNumberFormat="1" applyFont="1" applyBorder="1" applyAlignment="1">
      <alignment horizontal="left"/>
    </xf>
    <xf numFmtId="49" fontId="12" fillId="5" borderId="107" xfId="1" quotePrefix="1" applyNumberFormat="1" applyFont="1" applyFill="1" applyBorder="1" applyAlignment="1">
      <alignment horizontal="center"/>
    </xf>
    <xf numFmtId="49" fontId="2" fillId="2" borderId="107" xfId="2" quotePrefix="1" applyNumberFormat="1" applyFont="1" applyFill="1" applyBorder="1" applyAlignment="1">
      <alignment wrapText="1"/>
    </xf>
    <xf numFmtId="164" fontId="3" fillId="0" borderId="107" xfId="0" applyNumberFormat="1" applyFont="1" applyBorder="1" applyAlignment="1">
      <alignment horizontal="center"/>
    </xf>
    <xf numFmtId="164" fontId="2" fillId="0" borderId="107" xfId="0" applyNumberFormat="1" applyFont="1" applyBorder="1" applyAlignment="1">
      <alignment horizontal="right"/>
    </xf>
    <xf numFmtId="0" fontId="3" fillId="0" borderId="107" xfId="0" applyFont="1" applyBorder="1" applyAlignment="1">
      <alignment horizontal="left"/>
    </xf>
    <xf numFmtId="171" fontId="14" fillId="74" borderId="1" xfId="1" applyNumberFormat="1" applyFont="1" applyFill="1" applyBorder="1" applyAlignment="1">
      <alignment horizontal="left"/>
    </xf>
    <xf numFmtId="0" fontId="21" fillId="0" borderId="107" xfId="0" applyFont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167" fontId="20" fillId="3" borderId="107" xfId="0" applyNumberFormat="1" applyFont="1" applyFill="1" applyBorder="1" applyAlignment="1">
      <alignment vertical="center"/>
    </xf>
    <xf numFmtId="0" fontId="20" fillId="3" borderId="107" xfId="0" applyFont="1" applyFill="1" applyBorder="1" applyAlignment="1">
      <alignment vertical="center"/>
    </xf>
    <xf numFmtId="0" fontId="19" fillId="0" borderId="107" xfId="0" applyFont="1" applyFill="1" applyBorder="1" applyAlignment="1">
      <alignment vertical="center"/>
    </xf>
    <xf numFmtId="49" fontId="22" fillId="0" borderId="107" xfId="0" applyNumberFormat="1" applyFont="1" applyFill="1" applyBorder="1" applyAlignment="1">
      <alignment horizontal="center" vertical="center"/>
    </xf>
    <xf numFmtId="43" fontId="2" fillId="0" borderId="0" xfId="1" applyFont="1" applyFill="1" applyAlignment="1">
      <alignment horizontal="center"/>
    </xf>
    <xf numFmtId="0" fontId="2" fillId="0" borderId="0" xfId="0" applyFont="1" applyFill="1"/>
    <xf numFmtId="171" fontId="21" fillId="12" borderId="24" xfId="1" applyNumberFormat="1" applyFont="1" applyFill="1" applyBorder="1" applyAlignment="1">
      <alignment vertical="center"/>
    </xf>
    <xf numFmtId="0" fontId="3" fillId="3" borderId="107" xfId="0" applyFont="1" applyFill="1" applyBorder="1" applyAlignment="1">
      <alignment horizontal="center" vertical="center"/>
    </xf>
    <xf numFmtId="0" fontId="2" fillId="3" borderId="107" xfId="0" applyFont="1" applyFill="1" applyBorder="1" applyAlignment="1">
      <alignment horizontal="left" vertical="center"/>
    </xf>
    <xf numFmtId="167" fontId="2" fillId="3" borderId="107" xfId="0" applyNumberFormat="1" applyFont="1" applyFill="1" applyBorder="1" applyAlignment="1">
      <alignment vertical="center"/>
    </xf>
    <xf numFmtId="171" fontId="2" fillId="3" borderId="107" xfId="0" applyNumberFormat="1" applyFont="1" applyFill="1" applyBorder="1" applyAlignment="1">
      <alignment vertical="center"/>
    </xf>
    <xf numFmtId="0" fontId="2" fillId="0" borderId="107" xfId="0" applyFont="1" applyFill="1" applyBorder="1" applyAlignment="1">
      <alignment horizontal="left" vertical="center"/>
    </xf>
    <xf numFmtId="167" fontId="2" fillId="0" borderId="107" xfId="0" applyNumberFormat="1" applyFont="1" applyFill="1" applyBorder="1" applyAlignment="1">
      <alignment vertical="center"/>
    </xf>
    <xf numFmtId="171" fontId="2" fillId="0" borderId="107" xfId="0" applyNumberFormat="1" applyFont="1" applyFill="1" applyBorder="1" applyAlignment="1">
      <alignment vertical="center"/>
    </xf>
    <xf numFmtId="0" fontId="2" fillId="0" borderId="107" xfId="0" quotePrefix="1" applyFont="1" applyFill="1" applyBorder="1" applyAlignment="1">
      <alignment horizontal="center" vertical="center"/>
    </xf>
    <xf numFmtId="174" fontId="2" fillId="0" borderId="24" xfId="0" quotePrefix="1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176" fontId="23" fillId="0" borderId="1" xfId="0" applyNumberFormat="1" applyFont="1" applyFill="1" applyBorder="1" applyAlignment="1">
      <alignment horizontal="center" vertical="center"/>
    </xf>
    <xf numFmtId="164" fontId="3" fillId="0" borderId="24" xfId="0" applyNumberFormat="1" applyFont="1" applyFill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7" fontId="2" fillId="0" borderId="7" xfId="1" quotePrefix="1" applyNumberFormat="1" applyFont="1" applyFill="1" applyBorder="1" applyAlignment="1">
      <alignment horizontal="center" vertical="center" wrapText="1"/>
    </xf>
    <xf numFmtId="164" fontId="6" fillId="0" borderId="24" xfId="0" applyNumberFormat="1" applyFont="1" applyFill="1" applyBorder="1" applyAlignment="1">
      <alignment horizontal="center"/>
    </xf>
    <xf numFmtId="187" fontId="2" fillId="5" borderId="23" xfId="1" quotePrefix="1" applyNumberFormat="1" applyFont="1" applyFill="1" applyBorder="1" applyAlignment="1">
      <alignment horizontal="right" shrinkToFit="1"/>
    </xf>
    <xf numFmtId="167" fontId="12" fillId="5" borderId="107" xfId="1" quotePrefix="1" applyNumberFormat="1" applyFont="1" applyFill="1" applyBorder="1" applyAlignment="1">
      <alignment horizontal="center" vertical="center"/>
    </xf>
    <xf numFmtId="192" fontId="2" fillId="0" borderId="1" xfId="2" quotePrefix="1" applyNumberFormat="1" applyFont="1" applyBorder="1" applyAlignment="1">
      <alignment horizontal="center"/>
    </xf>
    <xf numFmtId="49" fontId="20" fillId="0" borderId="0" xfId="0" applyNumberFormat="1" applyFont="1" applyBorder="1" applyAlignment="1">
      <alignment vertical="center" wrapText="1"/>
    </xf>
    <xf numFmtId="167" fontId="12" fillId="5" borderId="43" xfId="1" quotePrefix="1" applyNumberFormat="1" applyFont="1" applyFill="1" applyBorder="1" applyAlignment="1">
      <alignment horizontal="right"/>
    </xf>
    <xf numFmtId="164" fontId="6" fillId="0" borderId="107" xfId="0" applyNumberFormat="1" applyFont="1" applyFill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0" fillId="9" borderId="0" xfId="0" applyFont="1" applyFill="1" applyBorder="1" applyAlignment="1">
      <alignment horizontal="center" vertical="center" wrapText="1"/>
    </xf>
    <xf numFmtId="49" fontId="2" fillId="2" borderId="75" xfId="2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9" fontId="56" fillId="0" borderId="107" xfId="0" applyNumberFormat="1" applyFont="1" applyBorder="1" applyAlignment="1"/>
    <xf numFmtId="49" fontId="56" fillId="0" borderId="24" xfId="0" applyNumberFormat="1" applyFont="1" applyBorder="1" applyAlignment="1"/>
    <xf numFmtId="167" fontId="5" fillId="5" borderId="13" xfId="1" quotePrefix="1" applyNumberFormat="1" applyFont="1" applyFill="1" applyBorder="1" applyAlignment="1">
      <alignment horizontal="center"/>
    </xf>
    <xf numFmtId="49" fontId="2" fillId="2" borderId="107" xfId="2" quotePrefix="1" applyNumberFormat="1" applyFont="1" applyFill="1" applyBorder="1" applyAlignment="1">
      <alignment horizontal="left"/>
    </xf>
    <xf numFmtId="49" fontId="2" fillId="2" borderId="107" xfId="3" quotePrefix="1" applyNumberFormat="1" applyFont="1" applyFill="1" applyBorder="1" applyAlignment="1">
      <alignment horizontal="left"/>
    </xf>
    <xf numFmtId="0" fontId="2" fillId="2" borderId="75" xfId="0" quotePrefix="1" applyFont="1" applyFill="1" applyBorder="1" applyAlignment="1">
      <alignment horizontal="left"/>
    </xf>
    <xf numFmtId="0" fontId="2" fillId="2" borderId="107" xfId="0" quotePrefix="1" applyFont="1" applyFill="1" applyBorder="1" applyAlignment="1">
      <alignment horizontal="left" wrapText="1"/>
    </xf>
    <xf numFmtId="0" fontId="2" fillId="3" borderId="107" xfId="0" quotePrefix="1" applyFont="1" applyFill="1" applyBorder="1" applyAlignment="1">
      <alignment horizontal="left"/>
    </xf>
    <xf numFmtId="49" fontId="2" fillId="2" borderId="61" xfId="2" quotePrefix="1" applyNumberFormat="1" applyFont="1" applyFill="1" applyBorder="1" applyAlignment="1">
      <alignment horizontal="left"/>
    </xf>
    <xf numFmtId="49" fontId="2" fillId="2" borderId="131" xfId="2" quotePrefix="1" applyNumberFormat="1" applyFont="1" applyFill="1" applyBorder="1" applyAlignment="1">
      <alignment horizontal="left"/>
    </xf>
    <xf numFmtId="49" fontId="2" fillId="2" borderId="43" xfId="3" quotePrefix="1" applyNumberFormat="1" applyFont="1" applyFill="1" applyBorder="1" applyAlignment="1">
      <alignment horizontal="left"/>
    </xf>
    <xf numFmtId="49" fontId="2" fillId="2" borderId="61" xfId="3" quotePrefix="1" applyNumberFormat="1" applyFont="1" applyFill="1" applyBorder="1" applyAlignment="1">
      <alignment horizontal="left"/>
    </xf>
    <xf numFmtId="49" fontId="2" fillId="2" borderId="131" xfId="3" quotePrefix="1" applyNumberFormat="1" applyFont="1" applyFill="1" applyBorder="1" applyAlignment="1">
      <alignment horizontal="left"/>
    </xf>
    <xf numFmtId="0" fontId="2" fillId="2" borderId="131" xfId="0" quotePrefix="1" applyFont="1" applyFill="1" applyBorder="1" applyAlignment="1">
      <alignment horizontal="left"/>
    </xf>
    <xf numFmtId="0" fontId="2" fillId="2" borderId="61" xfId="0" quotePrefix="1" applyFont="1" applyFill="1" applyBorder="1" applyAlignment="1">
      <alignment horizontal="left"/>
    </xf>
    <xf numFmtId="0" fontId="2" fillId="2" borderId="20" xfId="0" quotePrefix="1" applyFont="1" applyFill="1" applyBorder="1" applyAlignment="1">
      <alignment horizontal="left"/>
    </xf>
    <xf numFmtId="0" fontId="2" fillId="3" borderId="131" xfId="0" applyFont="1" applyFill="1" applyBorder="1" applyAlignment="1">
      <alignment horizontal="left" vertical="center"/>
    </xf>
    <xf numFmtId="0" fontId="2" fillId="2" borderId="43" xfId="0" quotePrefix="1" applyFont="1" applyFill="1" applyBorder="1" applyAlignment="1">
      <alignment horizontal="left"/>
    </xf>
    <xf numFmtId="0" fontId="2" fillId="2" borderId="131" xfId="0" quotePrefix="1" applyFont="1" applyFill="1" applyBorder="1" applyAlignment="1">
      <alignment horizontal="left" wrapText="1"/>
    </xf>
    <xf numFmtId="0" fontId="2" fillId="3" borderId="131" xfId="0" quotePrefix="1" applyFont="1" applyFill="1" applyBorder="1" applyAlignment="1">
      <alignment horizontal="left"/>
    </xf>
    <xf numFmtId="0" fontId="2" fillId="0" borderId="131" xfId="0" applyFont="1" applyBorder="1" applyAlignment="1">
      <alignment horizontal="left" wrapText="1"/>
    </xf>
    <xf numFmtId="0" fontId="2" fillId="2" borderId="61" xfId="0" quotePrefix="1" applyFont="1" applyFill="1" applyBorder="1" applyAlignment="1">
      <alignment horizontal="left" wrapText="1"/>
    </xf>
    <xf numFmtId="0" fontId="2" fillId="0" borderId="131" xfId="0" applyFont="1" applyFill="1" applyBorder="1" applyAlignment="1">
      <alignment horizontal="left" vertical="center"/>
    </xf>
    <xf numFmtId="0" fontId="2" fillId="2" borderId="43" xfId="0" quotePrefix="1" applyFont="1" applyFill="1" applyBorder="1" applyAlignment="1">
      <alignment horizontal="left" wrapText="1"/>
    </xf>
    <xf numFmtId="0" fontId="21" fillId="2" borderId="130" xfId="0" applyFont="1" applyFill="1" applyBorder="1" applyAlignment="1">
      <alignment vertical="center" wrapText="1"/>
    </xf>
    <xf numFmtId="167" fontId="31" fillId="8" borderId="130" xfId="1" applyNumberFormat="1" applyFont="1" applyFill="1" applyBorder="1" applyAlignment="1">
      <alignment horizontal="center" vertical="center"/>
    </xf>
    <xf numFmtId="167" fontId="21" fillId="2" borderId="130" xfId="1" applyNumberFormat="1" applyFont="1" applyFill="1" applyBorder="1" applyAlignment="1">
      <alignment vertical="center"/>
    </xf>
    <xf numFmtId="167" fontId="21" fillId="2" borderId="53" xfId="1" applyNumberFormat="1" applyFont="1" applyFill="1" applyBorder="1" applyAlignment="1">
      <alignment vertical="center"/>
    </xf>
    <xf numFmtId="167" fontId="21" fillId="2" borderId="55" xfId="1" applyNumberFormat="1" applyFont="1" applyFill="1" applyBorder="1" applyAlignment="1">
      <alignment vertical="center"/>
    </xf>
    <xf numFmtId="167" fontId="21" fillId="10" borderId="130" xfId="1" applyNumberFormat="1" applyFont="1" applyFill="1" applyBorder="1" applyAlignment="1">
      <alignment vertical="center"/>
    </xf>
    <xf numFmtId="167" fontId="21" fillId="10" borderId="53" xfId="1" applyNumberFormat="1" applyFont="1" applyFill="1" applyBorder="1" applyAlignment="1">
      <alignment vertical="center"/>
    </xf>
    <xf numFmtId="167" fontId="21" fillId="10" borderId="21" xfId="1" applyNumberFormat="1" applyFont="1" applyFill="1" applyBorder="1" applyAlignment="1">
      <alignment vertical="center"/>
    </xf>
    <xf numFmtId="0" fontId="2" fillId="3" borderId="130" xfId="0" applyFont="1" applyFill="1" applyBorder="1" applyAlignment="1">
      <alignment vertical="center"/>
    </xf>
    <xf numFmtId="167" fontId="21" fillId="2" borderId="21" xfId="1" applyNumberFormat="1" applyFont="1" applyFill="1" applyBorder="1" applyAlignment="1">
      <alignment vertical="center"/>
    </xf>
    <xf numFmtId="167" fontId="21" fillId="9" borderId="130" xfId="1" applyNumberFormat="1" applyFont="1" applyFill="1" applyBorder="1" applyAlignment="1">
      <alignment vertical="center"/>
    </xf>
    <xf numFmtId="167" fontId="143" fillId="0" borderId="130" xfId="0" applyNumberFormat="1" applyFont="1" applyFill="1" applyBorder="1" applyAlignment="1">
      <alignment vertical="center"/>
    </xf>
    <xf numFmtId="167" fontId="2" fillId="3" borderId="130" xfId="0" applyNumberFormat="1" applyFont="1" applyFill="1" applyBorder="1" applyAlignment="1">
      <alignment vertical="center"/>
    </xf>
    <xf numFmtId="167" fontId="2" fillId="0" borderId="130" xfId="0" applyNumberFormat="1" applyFont="1" applyFill="1" applyBorder="1" applyAlignment="1">
      <alignment vertical="center"/>
    </xf>
    <xf numFmtId="0" fontId="2" fillId="2" borderId="107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3" fillId="0" borderId="75" xfId="0" applyNumberFormat="1" applyFont="1" applyBorder="1" applyAlignment="1">
      <alignment horizontal="left"/>
    </xf>
    <xf numFmtId="174" fontId="2" fillId="0" borderId="75" xfId="0" applyNumberFormat="1" applyFont="1" applyBorder="1" applyAlignment="1">
      <alignment horizontal="center"/>
    </xf>
    <xf numFmtId="164" fontId="6" fillId="0" borderId="75" xfId="0" applyNumberFormat="1" applyFont="1" applyBorder="1" applyAlignment="1">
      <alignment horizontal="center"/>
    </xf>
    <xf numFmtId="164" fontId="11" fillId="2" borderId="75" xfId="0" applyNumberFormat="1" applyFont="1" applyFill="1" applyBorder="1" applyAlignment="1">
      <alignment horizontal="center"/>
    </xf>
    <xf numFmtId="3" fontId="12" fillId="5" borderId="75" xfId="1" applyNumberFormat="1" applyFont="1" applyFill="1" applyBorder="1" applyAlignment="1"/>
    <xf numFmtId="167" fontId="21" fillId="2" borderId="75" xfId="1" applyNumberFormat="1" applyFont="1" applyFill="1" applyBorder="1" applyAlignment="1">
      <alignment vertical="center"/>
    </xf>
    <xf numFmtId="171" fontId="21" fillId="2" borderId="75" xfId="1" applyNumberFormat="1" applyFont="1" applyFill="1" applyBorder="1" applyAlignment="1">
      <alignment vertical="center"/>
    </xf>
    <xf numFmtId="0" fontId="21" fillId="2" borderId="75" xfId="0" applyFont="1" applyFill="1" applyBorder="1" applyAlignment="1">
      <alignment vertical="center"/>
    </xf>
    <xf numFmtId="0" fontId="20" fillId="2" borderId="75" xfId="0" applyFont="1" applyFill="1" applyBorder="1" applyAlignment="1">
      <alignment horizontal="center" vertical="center"/>
    </xf>
    <xf numFmtId="171" fontId="21" fillId="2" borderId="75" xfId="1" applyNumberFormat="1" applyFont="1" applyFill="1" applyBorder="1" applyAlignment="1">
      <alignment horizontal="left" vertical="center" indent="1"/>
    </xf>
    <xf numFmtId="167" fontId="23" fillId="2" borderId="75" xfId="1" applyNumberFormat="1" applyFont="1" applyFill="1" applyBorder="1" applyAlignment="1">
      <alignment vertical="center"/>
    </xf>
    <xf numFmtId="49" fontId="24" fillId="2" borderId="75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67" fontId="2" fillId="5" borderId="0" xfId="1" quotePrefix="1" applyNumberFormat="1" applyFont="1" applyFill="1" applyBorder="1" applyAlignment="1">
      <alignment horizontal="right" shrinkToFit="1"/>
    </xf>
    <xf numFmtId="164" fontId="3" fillId="0" borderId="0" xfId="0" applyNumberFormat="1" applyFont="1" applyBorder="1" applyAlignment="1">
      <alignment horizontal="left"/>
    </xf>
    <xf numFmtId="164" fontId="2" fillId="0" borderId="0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0" fontId="21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horizontal="center" vertical="center"/>
    </xf>
    <xf numFmtId="49" fontId="24" fillId="2" borderId="0" xfId="0" applyNumberFormat="1" applyFont="1" applyFill="1" applyBorder="1" applyAlignment="1">
      <alignment horizontal="center" vertical="center"/>
    </xf>
    <xf numFmtId="0" fontId="6" fillId="2" borderId="107" xfId="0" quotePrefix="1" applyFont="1" applyFill="1" applyBorder="1" applyAlignment="1">
      <alignment horizontal="left" wrapText="1"/>
    </xf>
    <xf numFmtId="0" fontId="3" fillId="0" borderId="131" xfId="0" applyFont="1" applyBorder="1" applyAlignment="1">
      <alignment horizontal="center"/>
    </xf>
    <xf numFmtId="49" fontId="2" fillId="0" borderId="75" xfId="2" quotePrefix="1" applyNumberFormat="1" applyFont="1" applyBorder="1" applyAlignment="1">
      <alignment vertical="center"/>
    </xf>
    <xf numFmtId="49" fontId="6" fillId="0" borderId="107" xfId="2" quotePrefix="1" applyNumberFormat="1" applyFont="1" applyBorder="1" applyAlignment="1">
      <alignment vertical="center"/>
    </xf>
    <xf numFmtId="0" fontId="6" fillId="2" borderId="1" xfId="0" quotePrefix="1" applyFont="1" applyFill="1" applyBorder="1" applyAlignment="1">
      <alignment horizontal="left"/>
    </xf>
    <xf numFmtId="0" fontId="6" fillId="2" borderId="83" xfId="0" quotePrefix="1" applyFont="1" applyFill="1" applyBorder="1" applyAlignment="1">
      <alignment horizontal="left"/>
    </xf>
    <xf numFmtId="171" fontId="21" fillId="12" borderId="24" xfId="1" applyNumberFormat="1" applyFont="1" applyFill="1" applyBorder="1" applyAlignment="1">
      <alignment horizontal="right" vertical="center"/>
    </xf>
    <xf numFmtId="167" fontId="21" fillId="10" borderId="130" xfId="1" applyNumberFormat="1" applyFont="1" applyFill="1" applyBorder="1" applyAlignment="1">
      <alignment vertical="center" wrapText="1"/>
    </xf>
    <xf numFmtId="44" fontId="2" fillId="0" borderId="43" xfId="2" quotePrefix="1" applyNumberFormat="1" applyFont="1" applyBorder="1" applyAlignment="1">
      <alignment horizontal="center"/>
    </xf>
    <xf numFmtId="3" fontId="2" fillId="0" borderId="43" xfId="2" quotePrefix="1" applyNumberFormat="1" applyFont="1" applyBorder="1" applyAlignment="1">
      <alignment horizontal="right"/>
    </xf>
    <xf numFmtId="176" fontId="47" fillId="0" borderId="1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/>
    </xf>
    <xf numFmtId="167" fontId="14" fillId="9" borderId="1" xfId="1" applyNumberFormat="1" applyFont="1" applyFill="1" applyBorder="1" applyAlignment="1">
      <alignment vertical="center"/>
    </xf>
    <xf numFmtId="167" fontId="12" fillId="5" borderId="108" xfId="1" quotePrefix="1" applyNumberFormat="1" applyFont="1" applyFill="1" applyBorder="1" applyAlignment="1">
      <alignment horizontal="center"/>
    </xf>
    <xf numFmtId="0" fontId="2" fillId="2" borderId="132" xfId="0" quotePrefix="1" applyFont="1" applyFill="1" applyBorder="1" applyAlignment="1">
      <alignment horizontal="left"/>
    </xf>
    <xf numFmtId="167" fontId="14" fillId="2" borderId="108" xfId="1" applyNumberFormat="1" applyFont="1" applyFill="1" applyBorder="1" applyAlignment="1"/>
    <xf numFmtId="171" fontId="14" fillId="2" borderId="108" xfId="1" applyNumberFormat="1" applyFont="1" applyFill="1" applyBorder="1" applyAlignment="1"/>
    <xf numFmtId="41" fontId="2" fillId="0" borderId="101" xfId="0" applyNumberFormat="1" applyFont="1" applyFill="1" applyBorder="1" applyAlignment="1"/>
    <xf numFmtId="41" fontId="2" fillId="0" borderId="101" xfId="0" applyNumberFormat="1" applyFont="1" applyFill="1" applyBorder="1" applyAlignment="1">
      <alignment horizontal="center"/>
    </xf>
    <xf numFmtId="167" fontId="14" fillId="10" borderId="1" xfId="1" applyNumberFormat="1" applyFont="1" applyFill="1" applyBorder="1" applyAlignment="1">
      <alignment vertical="center"/>
    </xf>
    <xf numFmtId="164" fontId="2" fillId="0" borderId="107" xfId="0" quotePrefix="1" applyNumberFormat="1" applyFont="1" applyBorder="1" applyAlignment="1">
      <alignment horizontal="center"/>
    </xf>
    <xf numFmtId="2" fontId="2" fillId="0" borderId="1" xfId="2" quotePrefix="1" applyNumberFormat="1" applyFont="1" applyBorder="1" applyAlignment="1"/>
    <xf numFmtId="41" fontId="2" fillId="0" borderId="100" xfId="0" applyNumberFormat="1" applyFont="1" applyFill="1" applyBorder="1" applyAlignment="1">
      <alignment horizontal="center"/>
    </xf>
    <xf numFmtId="49" fontId="5" fillId="70" borderId="107" xfId="0" applyNumberFormat="1" applyFont="1" applyFill="1" applyBorder="1" applyAlignment="1">
      <alignment horizontal="center"/>
    </xf>
    <xf numFmtId="167" fontId="31" fillId="8" borderId="107" xfId="1" applyNumberFormat="1" applyFont="1" applyFill="1" applyBorder="1" applyAlignment="1"/>
    <xf numFmtId="164" fontId="3" fillId="0" borderId="1" xfId="0" quotePrefix="1" applyNumberFormat="1" applyFont="1" applyBorder="1" applyAlignment="1">
      <alignment horizontal="center"/>
    </xf>
    <xf numFmtId="167" fontId="2" fillId="3" borderId="107" xfId="0" applyNumberFormat="1" applyFont="1" applyFill="1" applyBorder="1"/>
    <xf numFmtId="3" fontId="2" fillId="2" borderId="107" xfId="0" applyNumberFormat="1" applyFont="1" applyFill="1" applyBorder="1" applyAlignment="1"/>
    <xf numFmtId="44" fontId="2" fillId="0" borderId="103" xfId="0" applyNumberFormat="1" applyFont="1" applyFill="1" applyBorder="1" applyAlignment="1">
      <alignment horizontal="center"/>
    </xf>
    <xf numFmtId="167" fontId="2" fillId="0" borderId="13" xfId="1" quotePrefix="1" applyNumberFormat="1" applyFont="1" applyFill="1" applyBorder="1" applyAlignment="1">
      <alignment horizontal="center" wrapText="1"/>
    </xf>
    <xf numFmtId="171" fontId="20" fillId="3" borderId="73" xfId="0" applyNumberFormat="1" applyFont="1" applyFill="1" applyBorder="1" applyAlignment="1">
      <alignment horizontal="center"/>
    </xf>
    <xf numFmtId="167" fontId="21" fillId="3" borderId="107" xfId="1" applyNumberFormat="1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center"/>
    </xf>
    <xf numFmtId="176" fontId="5" fillId="2" borderId="1" xfId="0" quotePrefix="1" applyNumberFormat="1" applyFont="1" applyFill="1" applyBorder="1" applyAlignment="1">
      <alignment horizontal="center"/>
    </xf>
    <xf numFmtId="164" fontId="5" fillId="0" borderId="107" xfId="0" applyNumberFormat="1" applyFont="1" applyBorder="1" applyAlignment="1">
      <alignment horizontal="center"/>
    </xf>
    <xf numFmtId="0" fontId="3" fillId="0" borderId="131" xfId="0" applyFont="1" applyBorder="1" applyAlignment="1">
      <alignment horizontal="left"/>
    </xf>
    <xf numFmtId="171" fontId="21" fillId="14" borderId="110" xfId="1" applyNumberFormat="1" applyFont="1" applyFill="1" applyBorder="1" applyAlignment="1">
      <alignment horizontal="left" vertical="center" indent="1"/>
    </xf>
    <xf numFmtId="167" fontId="12" fillId="0" borderId="13" xfId="1" quotePrefix="1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/>
    </xf>
    <xf numFmtId="164" fontId="136" fillId="0" borderId="1" xfId="0" applyNumberFormat="1" applyFont="1" applyFill="1" applyBorder="1" applyAlignment="1">
      <alignment horizontal="center"/>
    </xf>
    <xf numFmtId="167" fontId="12" fillId="0" borderId="107" xfId="1" quotePrefix="1" applyNumberFormat="1" applyFont="1" applyFill="1" applyBorder="1" applyAlignment="1">
      <alignment horizontal="center"/>
    </xf>
    <xf numFmtId="0" fontId="2" fillId="0" borderId="1" xfId="0" quotePrefix="1" applyFont="1" applyFill="1" applyBorder="1" applyAlignment="1">
      <alignment horizontal="left"/>
    </xf>
    <xf numFmtId="167" fontId="12" fillId="0" borderId="43" xfId="1" quotePrefix="1" applyNumberFormat="1" applyFont="1" applyFill="1" applyBorder="1" applyAlignment="1">
      <alignment horizontal="center"/>
    </xf>
    <xf numFmtId="0" fontId="2" fillId="0" borderId="24" xfId="0" quotePrefix="1" applyFont="1" applyFill="1" applyBorder="1" applyAlignment="1">
      <alignment horizontal="left"/>
    </xf>
    <xf numFmtId="171" fontId="14" fillId="0" borderId="24" xfId="1" applyNumberFormat="1" applyFont="1" applyFill="1" applyBorder="1" applyAlignment="1">
      <alignment horizontal="left"/>
    </xf>
    <xf numFmtId="164" fontId="136" fillId="0" borderId="24" xfId="0" applyNumberFormat="1" applyFont="1" applyFill="1" applyBorder="1" applyAlignment="1">
      <alignment horizontal="center"/>
    </xf>
    <xf numFmtId="49" fontId="2" fillId="0" borderId="24" xfId="2" quotePrefix="1" applyNumberFormat="1" applyFont="1" applyFill="1" applyBorder="1" applyAlignment="1">
      <alignment wrapText="1"/>
    </xf>
    <xf numFmtId="164" fontId="6" fillId="0" borderId="83" xfId="0" applyNumberFormat="1" applyFont="1" applyFill="1" applyBorder="1" applyAlignment="1">
      <alignment horizontal="center"/>
    </xf>
    <xf numFmtId="165" fontId="2" fillId="0" borderId="24" xfId="0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wrapText="1"/>
    </xf>
    <xf numFmtId="0" fontId="2" fillId="0" borderId="83" xfId="0" quotePrefix="1" applyFont="1" applyFill="1" applyBorder="1" applyAlignment="1">
      <alignment horizontal="left"/>
    </xf>
    <xf numFmtId="49" fontId="2" fillId="0" borderId="1" xfId="2" quotePrefix="1" applyNumberFormat="1" applyFont="1" applyFill="1" applyBorder="1" applyAlignment="1">
      <alignment wrapText="1"/>
    </xf>
    <xf numFmtId="167" fontId="2" fillId="0" borderId="7" xfId="1" applyNumberFormat="1" applyFont="1" applyFill="1" applyBorder="1" applyAlignment="1">
      <alignment horizontal="right"/>
    </xf>
    <xf numFmtId="167" fontId="2" fillId="0" borderId="107" xfId="1" quotePrefix="1" applyNumberFormat="1" applyFont="1" applyFill="1" applyBorder="1" applyAlignment="1">
      <alignment horizontal="center"/>
    </xf>
    <xf numFmtId="165" fontId="2" fillId="0" borderId="107" xfId="0" quotePrefix="1" applyNumberFormat="1" applyFont="1" applyFill="1" applyBorder="1" applyAlignment="1">
      <alignment horizontal="center"/>
    </xf>
    <xf numFmtId="167" fontId="5" fillId="0" borderId="107" xfId="1" quotePrefix="1" applyNumberFormat="1" applyFont="1" applyFill="1" applyBorder="1" applyAlignment="1">
      <alignment horizontal="center"/>
    </xf>
    <xf numFmtId="167" fontId="12" fillId="0" borderId="107" xfId="1" quotePrefix="1" applyNumberFormat="1" applyFont="1" applyFill="1" applyBorder="1" applyAlignment="1">
      <alignment horizontal="center" wrapText="1"/>
    </xf>
    <xf numFmtId="164" fontId="3" fillId="0" borderId="107" xfId="0" applyNumberFormat="1" applyFont="1" applyFill="1" applyBorder="1" applyAlignment="1">
      <alignment horizontal="center"/>
    </xf>
    <xf numFmtId="3" fontId="2" fillId="0" borderId="107" xfId="0" applyNumberFormat="1" applyFont="1" applyFill="1" applyBorder="1" applyAlignment="1">
      <alignment horizontal="center"/>
    </xf>
    <xf numFmtId="49" fontId="2" fillId="0" borderId="107" xfId="0" quotePrefix="1" applyNumberFormat="1" applyFont="1" applyFill="1" applyBorder="1" applyAlignment="1">
      <alignment horizontal="center"/>
    </xf>
    <xf numFmtId="0" fontId="2" fillId="0" borderId="107" xfId="0" quotePrefix="1" applyFont="1" applyFill="1" applyBorder="1" applyAlignment="1">
      <alignment horizontal="center"/>
    </xf>
    <xf numFmtId="171" fontId="14" fillId="0" borderId="107" xfId="1" applyNumberFormat="1" applyFont="1" applyFill="1" applyBorder="1" applyAlignment="1">
      <alignment horizontal="left"/>
    </xf>
    <xf numFmtId="167" fontId="14" fillId="0" borderId="107" xfId="1" applyNumberFormat="1" applyFont="1" applyFill="1" applyBorder="1" applyAlignment="1"/>
    <xf numFmtId="171" fontId="14" fillId="0" borderId="107" xfId="1" applyNumberFormat="1" applyFont="1" applyFill="1" applyBorder="1" applyAlignment="1"/>
    <xf numFmtId="0" fontId="3" fillId="0" borderId="107" xfId="0" applyFont="1" applyFill="1" applyBorder="1" applyAlignment="1">
      <alignment horizontal="center"/>
    </xf>
    <xf numFmtId="167" fontId="23" fillId="0" borderId="107" xfId="1" applyNumberFormat="1" applyFont="1" applyFill="1" applyBorder="1" applyAlignment="1"/>
    <xf numFmtId="0" fontId="2" fillId="0" borderId="107" xfId="0" applyFont="1" applyFill="1" applyBorder="1" applyAlignment="1"/>
    <xf numFmtId="164" fontId="5" fillId="0" borderId="107" xfId="0" applyNumberFormat="1" applyFont="1" applyFill="1" applyBorder="1" applyAlignment="1">
      <alignment horizontal="center"/>
    </xf>
    <xf numFmtId="164" fontId="136" fillId="0" borderId="107" xfId="0" applyNumberFormat="1" applyFont="1" applyFill="1" applyBorder="1" applyAlignment="1">
      <alignment horizontal="center"/>
    </xf>
    <xf numFmtId="49" fontId="2" fillId="0" borderId="107" xfId="0" applyNumberFormat="1" applyFont="1" applyFill="1" applyBorder="1" applyAlignment="1">
      <alignment horizontal="center"/>
    </xf>
    <xf numFmtId="164" fontId="2" fillId="0" borderId="107" xfId="0" applyNumberFormat="1" applyFont="1" applyFill="1" applyBorder="1" applyAlignment="1">
      <alignment horizontal="center"/>
    </xf>
    <xf numFmtId="0" fontId="2" fillId="0" borderId="107" xfId="0" applyFont="1" applyFill="1" applyBorder="1" applyAlignment="1">
      <alignment horizontal="left"/>
    </xf>
    <xf numFmtId="49" fontId="12" fillId="0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horizontal="center" wrapText="1"/>
    </xf>
    <xf numFmtId="167" fontId="2" fillId="0" borderId="107" xfId="1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center" wrapText="1"/>
    </xf>
    <xf numFmtId="0" fontId="12" fillId="0" borderId="107" xfId="3" applyFont="1" applyFill="1" applyBorder="1" applyAlignment="1">
      <alignment horizontal="center" wrapText="1"/>
    </xf>
    <xf numFmtId="164" fontId="2" fillId="0" borderId="107" xfId="0" applyNumberFormat="1" applyFont="1" applyFill="1" applyBorder="1" applyAlignment="1">
      <alignment horizontal="center" wrapText="1"/>
    </xf>
    <xf numFmtId="164" fontId="5" fillId="0" borderId="107" xfId="0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left"/>
    </xf>
    <xf numFmtId="164" fontId="3" fillId="0" borderId="107" xfId="0" applyNumberFormat="1" applyFont="1" applyFill="1" applyBorder="1" applyAlignment="1">
      <alignment horizontal="center" wrapText="1"/>
    </xf>
    <xf numFmtId="1" fontId="2" fillId="0" borderId="107" xfId="2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horizontal="center"/>
    </xf>
    <xf numFmtId="0" fontId="12" fillId="0" borderId="107" xfId="1" quotePrefix="1" applyNumberFormat="1" applyFont="1" applyFill="1" applyBorder="1" applyAlignment="1">
      <alignment horizontal="center"/>
    </xf>
    <xf numFmtId="1" fontId="12" fillId="0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>
      <alignment wrapText="1"/>
    </xf>
    <xf numFmtId="164" fontId="164" fillId="0" borderId="107" xfId="0" applyNumberFormat="1" applyFont="1" applyFill="1" applyBorder="1" applyAlignment="1">
      <alignment horizontal="center" wrapText="1"/>
    </xf>
    <xf numFmtId="171" fontId="14" fillId="0" borderId="107" xfId="1" applyNumberFormat="1" applyFont="1" applyFill="1" applyBorder="1" applyAlignment="1">
      <alignment horizontal="center"/>
    </xf>
    <xf numFmtId="171" fontId="6" fillId="0" borderId="107" xfId="1" applyNumberFormat="1" applyFont="1" applyFill="1" applyBorder="1" applyAlignment="1"/>
    <xf numFmtId="49" fontId="12" fillId="0" borderId="107" xfId="1" quotePrefix="1" applyNumberFormat="1" applyFont="1" applyFill="1" applyBorder="1" applyAlignment="1">
      <alignment horizontal="center" wrapText="1"/>
    </xf>
    <xf numFmtId="0" fontId="2" fillId="0" borderId="107" xfId="0" quotePrefix="1" applyFont="1" applyFill="1" applyBorder="1" applyAlignment="1">
      <alignment horizontal="left" wrapText="1"/>
    </xf>
    <xf numFmtId="167" fontId="14" fillId="12" borderId="107" xfId="1" applyNumberFormat="1" applyFont="1" applyFill="1" applyBorder="1" applyAlignment="1"/>
    <xf numFmtId="49" fontId="2" fillId="0" borderId="107" xfId="0" applyNumberFormat="1" applyFont="1" applyFill="1" applyBorder="1" applyAlignment="1">
      <alignment horizontal="left" wrapText="1"/>
    </xf>
    <xf numFmtId="49" fontId="2" fillId="0" borderId="107" xfId="0" quotePrefix="1" applyNumberFormat="1" applyFont="1" applyFill="1" applyBorder="1" applyAlignment="1">
      <alignment horizontal="center" wrapText="1"/>
    </xf>
    <xf numFmtId="49" fontId="2" fillId="3" borderId="107" xfId="2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83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2" fillId="2" borderId="73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49" fontId="5" fillId="2" borderId="77" xfId="0" applyNumberFormat="1" applyFont="1" applyFill="1" applyBorder="1" applyAlignment="1">
      <alignment wrapText="1"/>
    </xf>
    <xf numFmtId="0" fontId="3" fillId="3" borderId="108" xfId="0" applyFont="1" applyFill="1" applyBorder="1" applyAlignment="1"/>
    <xf numFmtId="0" fontId="2" fillId="3" borderId="108" xfId="0" applyFont="1" applyFill="1" applyBorder="1" applyAlignment="1"/>
    <xf numFmtId="167" fontId="21" fillId="3" borderId="108" xfId="1" applyNumberFormat="1" applyFont="1" applyFill="1" applyBorder="1" applyAlignment="1"/>
    <xf numFmtId="167" fontId="21" fillId="3" borderId="108" xfId="1" applyNumberFormat="1" applyFont="1" applyFill="1" applyBorder="1" applyAlignment="1">
      <alignment horizontal="center"/>
    </xf>
    <xf numFmtId="171" fontId="21" fillId="3" borderId="108" xfId="1" applyNumberFormat="1" applyFont="1" applyFill="1" applyBorder="1" applyAlignment="1"/>
    <xf numFmtId="167" fontId="21" fillId="3" borderId="108" xfId="1" applyNumberFormat="1" applyFont="1" applyFill="1" applyBorder="1" applyAlignment="1">
      <alignment horizontal="left"/>
    </xf>
    <xf numFmtId="171" fontId="21" fillId="3" borderId="108" xfId="1" applyNumberFormat="1" applyFont="1" applyFill="1" applyBorder="1" applyAlignment="1">
      <alignment horizontal="left"/>
    </xf>
    <xf numFmtId="0" fontId="20" fillId="3" borderId="108" xfId="0" applyFont="1" applyFill="1" applyBorder="1" applyAlignment="1">
      <alignment horizontal="center"/>
    </xf>
    <xf numFmtId="171" fontId="23" fillId="3" borderId="108" xfId="1" applyNumberFormat="1" applyFont="1" applyFill="1" applyBorder="1" applyAlignment="1">
      <alignment horizontal="left"/>
    </xf>
    <xf numFmtId="167" fontId="3" fillId="0" borderId="107" xfId="1" applyNumberFormat="1" applyFont="1" applyFill="1" applyBorder="1" applyAlignment="1">
      <alignment horizontal="right"/>
    </xf>
    <xf numFmtId="0" fontId="5" fillId="0" borderId="107" xfId="0" applyFont="1" applyFill="1" applyBorder="1" applyAlignment="1">
      <alignment horizontal="center"/>
    </xf>
    <xf numFmtId="49" fontId="5" fillId="0" borderId="107" xfId="0" applyNumberFormat="1" applyFont="1" applyFill="1" applyBorder="1" applyAlignment="1">
      <alignment horizontal="center"/>
    </xf>
    <xf numFmtId="1" fontId="14" fillId="0" borderId="107" xfId="1" applyNumberFormat="1" applyFont="1" applyFill="1" applyBorder="1" applyAlignment="1"/>
    <xf numFmtId="0" fontId="3" fillId="0" borderId="107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/>
    <xf numFmtId="0" fontId="3" fillId="0" borderId="107" xfId="0" applyFont="1" applyFill="1" applyBorder="1" applyAlignment="1"/>
    <xf numFmtId="167" fontId="21" fillId="0" borderId="107" xfId="1" applyNumberFormat="1" applyFont="1" applyFill="1" applyBorder="1" applyAlignment="1"/>
    <xf numFmtId="167" fontId="21" fillId="0" borderId="107" xfId="1" applyNumberFormat="1" applyFont="1" applyFill="1" applyBorder="1" applyAlignment="1">
      <alignment horizontal="center"/>
    </xf>
    <xf numFmtId="171" fontId="21" fillId="0" borderId="107" xfId="1" applyNumberFormat="1" applyFont="1" applyFill="1" applyBorder="1" applyAlignment="1"/>
    <xf numFmtId="167" fontId="21" fillId="0" borderId="107" xfId="1" applyNumberFormat="1" applyFont="1" applyFill="1" applyBorder="1" applyAlignment="1">
      <alignment horizontal="left"/>
    </xf>
    <xf numFmtId="171" fontId="21" fillId="0" borderId="107" xfId="1" applyNumberFormat="1" applyFont="1" applyFill="1" applyBorder="1" applyAlignment="1">
      <alignment horizontal="left"/>
    </xf>
    <xf numFmtId="0" fontId="20" fillId="0" borderId="107" xfId="0" applyFont="1" applyFill="1" applyBorder="1" applyAlignment="1">
      <alignment horizontal="center"/>
    </xf>
    <xf numFmtId="171" fontId="23" fillId="0" borderId="107" xfId="1" applyNumberFormat="1" applyFont="1" applyFill="1" applyBorder="1" applyAlignment="1">
      <alignment horizontal="left"/>
    </xf>
    <xf numFmtId="0" fontId="5" fillId="0" borderId="107" xfId="0" applyFont="1" applyFill="1" applyBorder="1" applyAlignment="1">
      <alignment horizontal="center" wrapText="1"/>
    </xf>
    <xf numFmtId="167" fontId="2" fillId="0" borderId="107" xfId="1" applyNumberFormat="1" applyFont="1" applyFill="1" applyBorder="1" applyAlignment="1">
      <alignment horizontal="center"/>
    </xf>
    <xf numFmtId="49" fontId="2" fillId="0" borderId="107" xfId="2" quotePrefix="1" applyNumberFormat="1" applyFont="1" applyFill="1" applyBorder="1" applyAlignment="1"/>
    <xf numFmtId="167" fontId="31" fillId="0" borderId="107" xfId="1" applyNumberFormat="1" applyFont="1" applyFill="1" applyBorder="1" applyAlignment="1"/>
    <xf numFmtId="167" fontId="2" fillId="0" borderId="23" xfId="1" applyNumberFormat="1" applyFont="1" applyFill="1" applyBorder="1" applyAlignment="1">
      <alignment horizontal="center"/>
    </xf>
    <xf numFmtId="49" fontId="2" fillId="0" borderId="24" xfId="2" quotePrefix="1" applyNumberFormat="1" applyFont="1" applyFill="1" applyBorder="1" applyAlignment="1"/>
    <xf numFmtId="167" fontId="31" fillId="0" borderId="24" xfId="1" applyNumberFormat="1" applyFont="1" applyFill="1" applyBorder="1" applyAlignment="1"/>
    <xf numFmtId="49" fontId="5" fillId="0" borderId="24" xfId="0" applyNumberFormat="1" applyFont="1" applyFill="1" applyBorder="1" applyAlignment="1">
      <alignment horizontal="center"/>
    </xf>
    <xf numFmtId="49" fontId="2" fillId="0" borderId="1" xfId="2" quotePrefix="1" applyNumberFormat="1" applyFont="1" applyFill="1" applyBorder="1" applyAlignment="1"/>
    <xf numFmtId="171" fontId="14" fillId="0" borderId="83" xfId="1" applyNumberFormat="1" applyFont="1" applyFill="1" applyBorder="1" applyAlignment="1"/>
    <xf numFmtId="167" fontId="31" fillId="0" borderId="1" xfId="1" applyNumberFormat="1" applyFont="1" applyFill="1" applyBorder="1" applyAlignment="1"/>
    <xf numFmtId="49" fontId="5" fillId="0" borderId="73" xfId="0" applyNumberFormat="1" applyFont="1" applyFill="1" applyBorder="1" applyAlignment="1">
      <alignment horizontal="center"/>
    </xf>
    <xf numFmtId="171" fontId="14" fillId="2" borderId="83" xfId="1" applyNumberFormat="1" applyFont="1" applyFill="1" applyBorder="1" applyAlignment="1"/>
    <xf numFmtId="165" fontId="10" fillId="0" borderId="0" xfId="0" applyNumberFormat="1" applyFont="1" applyFill="1" applyBorder="1" applyAlignment="1">
      <alignment horizontal="center" vertical="center"/>
    </xf>
    <xf numFmtId="167" fontId="14" fillId="10" borderId="107" xfId="1" applyNumberFormat="1" applyFont="1" applyFill="1" applyBorder="1" applyAlignment="1"/>
    <xf numFmtId="0" fontId="20" fillId="2" borderId="24" xfId="0" applyFont="1" applyFill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9" xfId="0" quotePrefix="1" applyFont="1" applyFill="1" applyBorder="1" applyAlignment="1">
      <alignment horizontal="left"/>
    </xf>
    <xf numFmtId="167" fontId="21" fillId="2" borderId="132" xfId="1" applyNumberFormat="1" applyFont="1" applyFill="1" applyBorder="1" applyAlignment="1">
      <alignment vertical="center"/>
    </xf>
    <xf numFmtId="0" fontId="21" fillId="2" borderId="108" xfId="0" applyFont="1" applyFill="1" applyBorder="1" applyAlignment="1">
      <alignment vertical="center"/>
    </xf>
    <xf numFmtId="171" fontId="21" fillId="2" borderId="108" xfId="1" applyNumberFormat="1" applyFont="1" applyFill="1" applyBorder="1" applyAlignment="1">
      <alignment horizontal="left" vertical="center" indent="1"/>
    </xf>
    <xf numFmtId="167" fontId="23" fillId="2" borderId="108" xfId="1" applyNumberFormat="1" applyFont="1" applyFill="1" applyBorder="1" applyAlignment="1">
      <alignment vertical="center"/>
    </xf>
    <xf numFmtId="171" fontId="21" fillId="2" borderId="24" xfId="1" applyNumberFormat="1" applyFont="1" applyFill="1" applyBorder="1" applyAlignment="1">
      <alignment horizontal="left" vertical="center" indent="1"/>
    </xf>
    <xf numFmtId="167" fontId="23" fillId="2" borderId="24" xfId="1" applyNumberFormat="1" applyFont="1" applyFill="1" applyBorder="1" applyAlignment="1">
      <alignment vertical="center"/>
    </xf>
    <xf numFmtId="164" fontId="164" fillId="0" borderId="107" xfId="0" applyNumberFormat="1" applyFont="1" applyBorder="1" applyAlignment="1">
      <alignment horizontal="center"/>
    </xf>
    <xf numFmtId="3" fontId="2" fillId="2" borderId="138" xfId="0" applyNumberFormat="1" applyFont="1" applyFill="1" applyBorder="1" applyAlignment="1">
      <alignment horizontal="center" vertical="center"/>
    </xf>
    <xf numFmtId="3" fontId="2" fillId="2" borderId="138" xfId="0" applyNumberFormat="1" applyFont="1" applyFill="1" applyBorder="1" applyAlignment="1">
      <alignment horizontal="center"/>
    </xf>
    <xf numFmtId="167" fontId="12" fillId="5" borderId="131" xfId="1" quotePrefix="1" applyNumberFormat="1" applyFont="1" applyFill="1" applyBorder="1" applyAlignment="1">
      <alignment horizontal="center" vertical="center"/>
    </xf>
    <xf numFmtId="1" fontId="12" fillId="5" borderId="131" xfId="1" quotePrefix="1" applyNumberFormat="1" applyFont="1" applyFill="1" applyBorder="1" applyAlignment="1">
      <alignment horizontal="center" vertical="center"/>
    </xf>
    <xf numFmtId="164" fontId="164" fillId="0" borderId="111" xfId="0" applyNumberFormat="1" applyFont="1" applyBorder="1" applyAlignment="1">
      <alignment horizontal="center"/>
    </xf>
    <xf numFmtId="164" fontId="5" fillId="3" borderId="107" xfId="0" applyNumberFormat="1" applyFont="1" applyFill="1" applyBorder="1" applyAlignment="1">
      <alignment horizontal="center"/>
    </xf>
    <xf numFmtId="0" fontId="188" fillId="0" borderId="107" xfId="0" applyFont="1" applyBorder="1" applyAlignment="1">
      <alignment vertical="center"/>
    </xf>
    <xf numFmtId="164" fontId="3" fillId="0" borderId="24" xfId="0" applyNumberFormat="1" applyFont="1" applyFill="1" applyBorder="1" applyAlignment="1">
      <alignment horizontal="left"/>
    </xf>
    <xf numFmtId="164" fontId="11" fillId="0" borderId="1" xfId="0" applyNumberFormat="1" applyFont="1" applyFill="1" applyBorder="1" applyAlignment="1">
      <alignment horizontal="center"/>
    </xf>
    <xf numFmtId="49" fontId="2" fillId="0" borderId="1" xfId="2" quotePrefix="1" applyNumberFormat="1" applyFont="1" applyFill="1" applyBorder="1" applyAlignment="1">
      <alignment horizontal="center" wrapText="1"/>
    </xf>
    <xf numFmtId="49" fontId="2" fillId="0" borderId="0" xfId="2" quotePrefix="1" applyNumberFormat="1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/>
    </xf>
    <xf numFmtId="49" fontId="2" fillId="0" borderId="59" xfId="2" quotePrefix="1" applyNumberFormat="1" applyFont="1" applyFill="1" applyBorder="1" applyAlignment="1">
      <alignment horizontal="center" wrapText="1"/>
    </xf>
    <xf numFmtId="49" fontId="3" fillId="0" borderId="1" xfId="2" quotePrefix="1" applyNumberFormat="1" applyFont="1" applyFill="1" applyBorder="1" applyAlignment="1">
      <alignment horizontal="center"/>
    </xf>
    <xf numFmtId="0" fontId="6" fillId="0" borderId="107" xfId="0" applyFont="1" applyFill="1" applyBorder="1" applyAlignment="1">
      <alignment horizontal="center"/>
    </xf>
    <xf numFmtId="0" fontId="189" fillId="2" borderId="1" xfId="0" applyFont="1" applyFill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 vertical="center"/>
    </xf>
    <xf numFmtId="2" fontId="2" fillId="0" borderId="108" xfId="2" quotePrefix="1" applyNumberFormat="1" applyFont="1" applyBorder="1" applyAlignment="1">
      <alignment horizontal="center"/>
    </xf>
    <xf numFmtId="49" fontId="191" fillId="0" borderId="107" xfId="38776" applyNumberFormat="1" applyFont="1" applyBorder="1" applyAlignment="1">
      <alignment vertical="center"/>
    </xf>
    <xf numFmtId="3" fontId="2" fillId="2" borderId="107" xfId="0" applyNumberFormat="1" applyFont="1" applyFill="1" applyBorder="1" applyAlignment="1">
      <alignment horizontal="center" vertical="center"/>
    </xf>
    <xf numFmtId="3" fontId="2" fillId="2" borderId="139" xfId="0" applyNumberFormat="1" applyFont="1" applyFill="1" applyBorder="1" applyAlignment="1">
      <alignment horizontal="center" vertical="center"/>
    </xf>
    <xf numFmtId="0" fontId="2" fillId="0" borderId="122" xfId="0" applyFont="1" applyFill="1" applyBorder="1" applyAlignment="1">
      <alignment horizontal="center" vertical="center"/>
    </xf>
    <xf numFmtId="164" fontId="164" fillId="0" borderId="122" xfId="0" applyNumberFormat="1" applyFont="1" applyBorder="1" applyAlignment="1">
      <alignment horizontal="center"/>
    </xf>
    <xf numFmtId="3" fontId="2" fillId="2" borderId="122" xfId="0" applyNumberFormat="1" applyFont="1" applyFill="1" applyBorder="1" applyAlignment="1">
      <alignment horizontal="center" vertical="center"/>
    </xf>
    <xf numFmtId="3" fontId="2" fillId="2" borderId="140" xfId="0" applyNumberFormat="1" applyFont="1" applyFill="1" applyBorder="1" applyAlignment="1">
      <alignment horizontal="center"/>
    </xf>
    <xf numFmtId="3" fontId="2" fillId="2" borderId="141" xfId="0" applyNumberFormat="1" applyFont="1" applyFill="1" applyBorder="1" applyAlignment="1">
      <alignment horizontal="center"/>
    </xf>
    <xf numFmtId="3" fontId="2" fillId="2" borderId="142" xfId="0" applyNumberFormat="1" applyFont="1" applyFill="1" applyBorder="1" applyAlignment="1">
      <alignment horizontal="center"/>
    </xf>
    <xf numFmtId="49" fontId="56" fillId="0" borderId="107" xfId="5" applyNumberFormat="1" applyFont="1" applyBorder="1" applyAlignment="1">
      <alignment vertical="top"/>
    </xf>
    <xf numFmtId="164" fontId="5" fillId="0" borderId="108" xfId="0" applyNumberFormat="1" applyFont="1" applyBorder="1" applyAlignment="1">
      <alignment horizontal="center" wrapText="1"/>
    </xf>
    <xf numFmtId="164" fontId="11" fillId="2" borderId="137" xfId="0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49" fontId="2" fillId="2" borderId="108" xfId="2" quotePrefix="1" applyNumberFormat="1" applyFont="1" applyFill="1" applyBorder="1" applyAlignment="1">
      <alignment horizontal="center"/>
    </xf>
    <xf numFmtId="49" fontId="3" fillId="3" borderId="108" xfId="2" quotePrefix="1" applyNumberFormat="1" applyFont="1" applyFill="1" applyBorder="1" applyAlignment="1"/>
    <xf numFmtId="167" fontId="21" fillId="10" borderId="1" xfId="1" applyNumberFormat="1" applyFont="1" applyFill="1" applyBorder="1" applyAlignment="1"/>
    <xf numFmtId="167" fontId="21" fillId="2" borderId="1" xfId="1" applyNumberFormat="1" applyFont="1" applyFill="1" applyBorder="1" applyAlignment="1"/>
    <xf numFmtId="171" fontId="21" fillId="2" borderId="1" xfId="1" applyNumberFormat="1" applyFont="1" applyFill="1" applyBorder="1" applyAlignment="1"/>
    <xf numFmtId="171" fontId="21" fillId="16" borderId="59" xfId="0" applyNumberFormat="1" applyFont="1" applyFill="1" applyBorder="1" applyAlignment="1"/>
    <xf numFmtId="0" fontId="20" fillId="2" borderId="1" xfId="0" applyFont="1" applyFill="1" applyBorder="1" applyAlignment="1">
      <alignment horizontal="center"/>
    </xf>
    <xf numFmtId="171" fontId="21" fillId="14" borderId="1" xfId="1" applyNumberFormat="1" applyFont="1" applyFill="1" applyBorder="1" applyAlignment="1">
      <alignment horizontal="left"/>
    </xf>
    <xf numFmtId="167" fontId="23" fillId="15" borderId="59" xfId="1" applyNumberFormat="1" applyFont="1" applyFill="1" applyBorder="1" applyAlignment="1"/>
    <xf numFmtId="171" fontId="21" fillId="14" borderId="59" xfId="1" applyNumberFormat="1" applyFont="1" applyFill="1" applyBorder="1" applyAlignment="1">
      <alignment horizontal="left"/>
    </xf>
    <xf numFmtId="0" fontId="2" fillId="0" borderId="0" xfId="0" applyFont="1" applyAlignment="1"/>
    <xf numFmtId="165" fontId="5" fillId="0" borderId="107" xfId="0" applyNumberFormat="1" applyFont="1" applyFill="1" applyBorder="1" applyAlignment="1">
      <alignment horizontal="center"/>
    </xf>
    <xf numFmtId="164" fontId="3" fillId="0" borderId="83" xfId="0" applyNumberFormat="1" applyFont="1" applyFill="1" applyBorder="1" applyAlignment="1">
      <alignment horizontal="center"/>
    </xf>
    <xf numFmtId="49" fontId="6" fillId="3" borderId="107" xfId="2" quotePrefix="1" applyNumberFormat="1" applyFont="1" applyFill="1" applyBorder="1" applyAlignment="1">
      <alignment horizontal="center"/>
    </xf>
    <xf numFmtId="0" fontId="6" fillId="0" borderId="107" xfId="0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49" fontId="2" fillId="19" borderId="1" xfId="2" quotePrefix="1" applyNumberFormat="1" applyFont="1" applyFill="1" applyBorder="1" applyAlignment="1">
      <alignment horizontal="center" wrapText="1"/>
    </xf>
    <xf numFmtId="0" fontId="192" fillId="0" borderId="107" xfId="0" applyFont="1" applyBorder="1" applyAlignment="1">
      <alignment vertical="top" wrapText="1"/>
    </xf>
    <xf numFmtId="0" fontId="192" fillId="0" borderId="107" xfId="0" applyFont="1" applyBorder="1" applyAlignment="1">
      <alignment vertical="center" wrapText="1"/>
    </xf>
    <xf numFmtId="164" fontId="2" fillId="0" borderId="107" xfId="0" quotePrefix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7" fontId="14" fillId="75" borderId="107" xfId="1" applyNumberFormat="1" applyFont="1" applyFill="1" applyBorder="1" applyAlignment="1"/>
    <xf numFmtId="167" fontId="14" fillId="75" borderId="1" xfId="1" applyNumberFormat="1" applyFont="1" applyFill="1" applyBorder="1" applyAlignment="1"/>
    <xf numFmtId="171" fontId="31" fillId="14" borderId="75" xfId="1" applyNumberFormat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8" xfId="1" quotePrefix="1" applyNumberFormat="1" applyFont="1" applyFill="1" applyBorder="1" applyAlignment="1">
      <alignment horizontal="center"/>
    </xf>
    <xf numFmtId="167" fontId="2" fillId="5" borderId="126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Border="1" applyAlignment="1">
      <alignment horizontal="center"/>
    </xf>
    <xf numFmtId="164" fontId="136" fillId="2" borderId="125" xfId="0" applyNumberFormat="1" applyFont="1" applyFill="1" applyBorder="1" applyAlignment="1">
      <alignment horizontal="center"/>
    </xf>
    <xf numFmtId="3" fontId="2" fillId="2" borderId="126" xfId="0" applyNumberFormat="1" applyFont="1" applyFill="1" applyBorder="1" applyAlignment="1">
      <alignment horizontal="center"/>
    </xf>
    <xf numFmtId="2" fontId="2" fillId="0" borderId="125" xfId="2" quotePrefix="1" applyNumberFormat="1" applyFont="1" applyBorder="1" applyAlignment="1">
      <alignment horizontal="center"/>
    </xf>
    <xf numFmtId="49" fontId="12" fillId="5" borderId="127" xfId="1" quotePrefix="1" applyNumberFormat="1" applyFont="1" applyFill="1" applyBorder="1" applyAlignment="1">
      <alignment horizontal="center"/>
    </xf>
    <xf numFmtId="49" fontId="12" fillId="5" borderId="125" xfId="1" quotePrefix="1" applyNumberFormat="1" applyFont="1" applyFill="1" applyBorder="1" applyAlignment="1">
      <alignment horizontal="center"/>
    </xf>
    <xf numFmtId="164" fontId="5" fillId="0" borderId="125" xfId="0" applyNumberFormat="1" applyFont="1" applyBorder="1" applyAlignment="1">
      <alignment horizontal="center"/>
    </xf>
    <xf numFmtId="0" fontId="6" fillId="2" borderId="107" xfId="0" quotePrefix="1" applyFont="1" applyFill="1" applyBorder="1" applyAlignment="1">
      <alignment horizontal="left"/>
    </xf>
    <xf numFmtId="49" fontId="6" fillId="0" borderId="107" xfId="2" quotePrefix="1" applyNumberFormat="1" applyFont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171" fontId="14" fillId="70" borderId="107" xfId="1" applyNumberFormat="1" applyFont="1" applyFill="1" applyBorder="1" applyAlignment="1">
      <alignment horizontal="left"/>
    </xf>
    <xf numFmtId="3" fontId="2" fillId="2" borderId="141" xfId="0" applyNumberFormat="1" applyFont="1" applyFill="1" applyBorder="1" applyAlignment="1">
      <alignment horizontal="center" vertical="center"/>
    </xf>
    <xf numFmtId="1" fontId="12" fillId="5" borderId="119" xfId="1" quotePrefix="1" applyNumberFormat="1" applyFont="1" applyFill="1" applyBorder="1" applyAlignment="1">
      <alignment horizontal="center" vertical="center"/>
    </xf>
    <xf numFmtId="49" fontId="12" fillId="5" borderId="112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3" fontId="2" fillId="0" borderId="0" xfId="0" applyNumberFormat="1" applyFont="1" applyFill="1" applyBorder="1" applyAlignment="1">
      <alignment horizontal="left"/>
    </xf>
    <xf numFmtId="1" fontId="2" fillId="0" borderId="107" xfId="0" applyNumberFormat="1" applyFont="1" applyFill="1" applyBorder="1" applyAlignment="1">
      <alignment horizontal="center"/>
    </xf>
    <xf numFmtId="0" fontId="24" fillId="2" borderId="34" xfId="0" applyFont="1" applyFill="1" applyBorder="1" applyAlignment="1">
      <alignment horizontal="center" vertical="center"/>
    </xf>
    <xf numFmtId="0" fontId="2" fillId="0" borderId="108" xfId="0" quotePrefix="1" applyFont="1" applyBorder="1" applyAlignment="1">
      <alignment horizontal="center" wrapText="1"/>
    </xf>
    <xf numFmtId="167" fontId="21" fillId="10" borderId="108" xfId="1" applyNumberFormat="1" applyFont="1" applyFill="1" applyBorder="1" applyAlignment="1"/>
    <xf numFmtId="167" fontId="21" fillId="12" borderId="108" xfId="1" applyNumberFormat="1" applyFont="1" applyFill="1" applyBorder="1" applyAlignment="1">
      <alignment vertical="center"/>
    </xf>
    <xf numFmtId="171" fontId="21" fillId="14" borderId="108" xfId="1" applyNumberFormat="1" applyFont="1" applyFill="1" applyBorder="1" applyAlignment="1">
      <alignment horizontal="left" vertical="center" indent="1"/>
    </xf>
    <xf numFmtId="167" fontId="21" fillId="3" borderId="24" xfId="1" applyNumberFormat="1" applyFont="1" applyFill="1" applyBorder="1" applyAlignment="1">
      <alignment horizontal="left" vertical="center" indent="1"/>
    </xf>
    <xf numFmtId="164" fontId="5" fillId="0" borderId="107" xfId="0" applyNumberFormat="1" applyFont="1" applyBorder="1" applyAlignment="1">
      <alignment horizontal="left" wrapText="1"/>
    </xf>
    <xf numFmtId="167" fontId="21" fillId="10" borderId="107" xfId="1" applyNumberFormat="1" applyFont="1" applyFill="1" applyBorder="1" applyAlignment="1"/>
    <xf numFmtId="171" fontId="21" fillId="14" borderId="107" xfId="1" applyNumberFormat="1" applyFont="1" applyFill="1" applyBorder="1" applyAlignment="1">
      <alignment horizontal="left" vertical="center" inden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08" xfId="1" quotePrefix="1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0" fontId="2" fillId="0" borderId="108" xfId="0" applyFont="1" applyBorder="1" applyAlignment="1">
      <alignment horizontal="center"/>
    </xf>
    <xf numFmtId="164" fontId="5" fillId="0" borderId="108" xfId="0" applyNumberFormat="1" applyFont="1" applyBorder="1" applyAlignment="1">
      <alignment horizontal="left" wrapText="1"/>
    </xf>
    <xf numFmtId="3" fontId="2" fillId="2" borderId="108" xfId="0" applyNumberFormat="1" applyFont="1" applyFill="1" applyBorder="1" applyAlignment="1">
      <alignment horizontal="center"/>
    </xf>
    <xf numFmtId="167" fontId="21" fillId="0" borderId="108" xfId="1" applyNumberFormat="1" applyFont="1" applyFill="1" applyBorder="1" applyAlignment="1">
      <alignment vertical="center"/>
    </xf>
    <xf numFmtId="167" fontId="21" fillId="0" borderId="107" xfId="1" applyNumberFormat="1" applyFont="1" applyFill="1" applyBorder="1" applyAlignment="1">
      <alignment vertical="center"/>
    </xf>
    <xf numFmtId="0" fontId="24" fillId="2" borderId="107" xfId="0" applyFont="1" applyFill="1" applyBorder="1" applyAlignment="1">
      <alignment horizontal="center" vertical="center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167" fontId="12" fillId="5" borderId="125" xfId="1" quotePrefix="1" applyNumberFormat="1" applyFont="1" applyFill="1" applyBorder="1" applyAlignment="1">
      <alignment horizontal="center"/>
    </xf>
    <xf numFmtId="164" fontId="6" fillId="0" borderId="107" xfId="0" applyNumberFormat="1" applyFont="1" applyBorder="1" applyAlignment="1">
      <alignment horizontal="center"/>
    </xf>
    <xf numFmtId="164" fontId="5" fillId="0" borderId="130" xfId="0" applyNumberFormat="1" applyFont="1" applyFill="1" applyBorder="1" applyAlignment="1">
      <alignment horizontal="left" wrapText="1"/>
    </xf>
    <xf numFmtId="164" fontId="3" fillId="0" borderId="6" xfId="0" applyNumberFormat="1" applyFont="1" applyFill="1" applyBorder="1" applyAlignment="1">
      <alignment horizontal="left"/>
    </xf>
    <xf numFmtId="164" fontId="5" fillId="0" borderId="132" xfId="0" applyNumberFormat="1" applyFont="1" applyFill="1" applyBorder="1" applyAlignment="1">
      <alignment horizontal="left" wrapText="1"/>
    </xf>
    <xf numFmtId="2" fontId="2" fillId="0" borderId="122" xfId="2" quotePrefix="1" applyNumberFormat="1" applyFont="1" applyBorder="1" applyAlignment="1">
      <alignment horizontal="center"/>
    </xf>
    <xf numFmtId="1" fontId="2" fillId="0" borderId="107" xfId="2" quotePrefix="1" applyNumberFormat="1" applyFont="1" applyBorder="1" applyAlignment="1">
      <alignment horizontal="center"/>
    </xf>
    <xf numFmtId="167" fontId="12" fillId="5" borderId="32" xfId="1" quotePrefix="1" applyNumberFormat="1" applyFont="1" applyFill="1" applyBorder="1" applyAlignment="1">
      <alignment horizontal="center"/>
    </xf>
    <xf numFmtId="1" fontId="12" fillId="5" borderId="125" xfId="1" quotePrefix="1" applyNumberFormat="1" applyFont="1" applyFill="1" applyBorder="1" applyAlignment="1">
      <alignment horizontal="center" vertical="center"/>
    </xf>
    <xf numFmtId="176" fontId="5" fillId="2" borderId="107" xfId="0" quotePrefix="1" applyNumberFormat="1" applyFont="1" applyFill="1" applyBorder="1" applyAlignment="1">
      <alignment horizontal="center"/>
    </xf>
    <xf numFmtId="167" fontId="21" fillId="0" borderId="108" xfId="1" applyNumberFormat="1" applyFont="1" applyFill="1" applyBorder="1" applyAlignment="1"/>
    <xf numFmtId="49" fontId="173" fillId="0" borderId="108" xfId="0" applyNumberFormat="1" applyFont="1" applyFill="1" applyBorder="1" applyAlignment="1"/>
    <xf numFmtId="0" fontId="2" fillId="0" borderId="108" xfId="0" quotePrefix="1" applyFont="1" applyFill="1" applyBorder="1" applyAlignment="1">
      <alignment horizontal="left"/>
    </xf>
    <xf numFmtId="0" fontId="2" fillId="0" borderId="108" xfId="0" quotePrefix="1" applyFont="1" applyFill="1" applyBorder="1" applyAlignment="1">
      <alignment horizontal="center" wrapText="1"/>
    </xf>
    <xf numFmtId="171" fontId="14" fillId="0" borderId="108" xfId="1" applyNumberFormat="1" applyFont="1" applyFill="1" applyBorder="1" applyAlignment="1">
      <alignment horizontal="left"/>
    </xf>
    <xf numFmtId="167" fontId="14" fillId="0" borderId="108" xfId="1" applyNumberFormat="1" applyFont="1" applyFill="1" applyBorder="1" applyAlignment="1"/>
    <xf numFmtId="171" fontId="14" fillId="0" borderId="108" xfId="1" applyNumberFormat="1" applyFont="1" applyFill="1" applyBorder="1" applyAlignment="1"/>
    <xf numFmtId="0" fontId="3" fillId="0" borderId="108" xfId="0" applyFont="1" applyFill="1" applyBorder="1" applyAlignment="1">
      <alignment horizontal="center"/>
    </xf>
    <xf numFmtId="167" fontId="23" fillId="0" borderId="108" xfId="1" applyNumberFormat="1" applyFont="1" applyFill="1" applyBorder="1" applyAlignment="1"/>
    <xf numFmtId="49" fontId="5" fillId="0" borderId="108" xfId="0" applyNumberFormat="1" applyFont="1" applyFill="1" applyBorder="1" applyAlignment="1">
      <alignment horizontal="center"/>
    </xf>
    <xf numFmtId="165" fontId="2" fillId="0" borderId="108" xfId="0" applyNumberFormat="1" applyFont="1" applyFill="1" applyBorder="1" applyAlignment="1">
      <alignment horizontal="center"/>
    </xf>
    <xf numFmtId="0" fontId="2" fillId="0" borderId="108" xfId="0" applyFont="1" applyFill="1" applyBorder="1" applyAlignment="1"/>
    <xf numFmtId="49" fontId="56" fillId="0" borderId="107" xfId="0" applyNumberFormat="1" applyFont="1" applyFill="1" applyBorder="1" applyAlignment="1">
      <alignment vertical="top"/>
    </xf>
    <xf numFmtId="0" fontId="2" fillId="0" borderId="107" xfId="0" quotePrefix="1" applyFont="1" applyBorder="1" applyAlignment="1">
      <alignment horizontal="center" wrapText="1"/>
    </xf>
    <xf numFmtId="171" fontId="14" fillId="10" borderId="107" xfId="1" applyNumberFormat="1" applyFont="1" applyFill="1" applyBorder="1" applyAlignment="1"/>
    <xf numFmtId="167" fontId="21" fillId="10" borderId="108" xfId="1" applyNumberFormat="1" applyFont="1" applyFill="1" applyBorder="1" applyAlignment="1">
      <alignment vertical="center"/>
    </xf>
    <xf numFmtId="49" fontId="6" fillId="0" borderId="107" xfId="2" quotePrefix="1" applyNumberFormat="1" applyFont="1" applyFill="1" applyBorder="1" applyAlignment="1">
      <alignment horizontal="center" vertical="center" wrapText="1"/>
    </xf>
    <xf numFmtId="167" fontId="12" fillId="5" borderId="120" xfId="1" quotePrefix="1" applyNumberFormat="1" applyFont="1" applyFill="1" applyBorder="1" applyAlignment="1">
      <alignment horizontal="center" vertical="center"/>
    </xf>
    <xf numFmtId="165" fontId="2" fillId="0" borderId="118" xfId="0" quotePrefix="1" applyNumberFormat="1" applyFont="1" applyBorder="1" applyAlignment="1">
      <alignment horizontal="center"/>
    </xf>
    <xf numFmtId="1" fontId="12" fillId="5" borderId="120" xfId="1" quotePrefix="1" applyNumberFormat="1" applyFont="1" applyFill="1" applyBorder="1" applyAlignment="1">
      <alignment horizontal="center" vertical="center"/>
    </xf>
    <xf numFmtId="1" fontId="12" fillId="5" borderId="121" xfId="1" quotePrefix="1" applyNumberFormat="1" applyFont="1" applyFill="1" applyBorder="1" applyAlignment="1">
      <alignment horizontal="center" vertical="center"/>
    </xf>
    <xf numFmtId="164" fontId="5" fillId="2" borderId="107" xfId="0" applyNumberFormat="1" applyFont="1" applyFill="1" applyBorder="1" applyAlignment="1">
      <alignment horizontal="center"/>
    </xf>
    <xf numFmtId="1" fontId="5" fillId="0" borderId="107" xfId="2" quotePrefix="1" applyNumberFormat="1" applyFont="1" applyBorder="1" applyAlignment="1">
      <alignment horizontal="center"/>
    </xf>
    <xf numFmtId="0" fontId="5" fillId="0" borderId="108" xfId="0" applyFont="1" applyFill="1" applyBorder="1" applyAlignment="1">
      <alignment horizontal="center"/>
    </xf>
    <xf numFmtId="171" fontId="21" fillId="12" borderId="73" xfId="1" applyNumberFormat="1" applyFont="1" applyFill="1" applyBorder="1" applyAlignment="1">
      <alignment horizontal="right"/>
    </xf>
    <xf numFmtId="49" fontId="5" fillId="0" borderId="127" xfId="2" quotePrefix="1" applyNumberFormat="1" applyFont="1" applyBorder="1" applyAlignment="1">
      <alignment horizontal="center" vertical="center"/>
    </xf>
    <xf numFmtId="164" fontId="136" fillId="2" borderId="107" xfId="0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vertical="center"/>
    </xf>
    <xf numFmtId="3" fontId="2" fillId="2" borderId="107" xfId="0" applyNumberFormat="1" applyFont="1" applyFill="1" applyBorder="1" applyAlignment="1">
      <alignment vertical="center"/>
    </xf>
    <xf numFmtId="164" fontId="136" fillId="2" borderId="115" xfId="0" applyNumberFormat="1" applyFont="1" applyFill="1" applyBorder="1" applyAlignment="1">
      <alignment horizontal="center" vertical="center"/>
    </xf>
    <xf numFmtId="164" fontId="164" fillId="0" borderId="112" xfId="0" applyNumberFormat="1" applyFont="1" applyBorder="1" applyAlignment="1">
      <alignment horizontal="center" wrapText="1"/>
    </xf>
    <xf numFmtId="49" fontId="2" fillId="3" borderId="1" xfId="2" quotePrefix="1" applyNumberFormat="1" applyFont="1" applyFill="1" applyBorder="1" applyAlignment="1">
      <alignment horizontal="center"/>
    </xf>
    <xf numFmtId="41" fontId="2" fillId="3" borderId="0" xfId="0" applyNumberFormat="1" applyFont="1" applyFill="1" applyBorder="1" applyAlignment="1">
      <alignment horizontal="center"/>
    </xf>
    <xf numFmtId="41" fontId="2" fillId="3" borderId="0" xfId="0" applyNumberFormat="1" applyFont="1" applyFill="1" applyBorder="1"/>
    <xf numFmtId="165" fontId="2" fillId="3" borderId="0" xfId="0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167" fontId="2" fillId="5" borderId="118" xfId="1" quotePrefix="1" applyNumberFormat="1" applyFont="1" applyFill="1" applyBorder="1" applyAlignment="1">
      <alignment horizontal="center" vertical="center"/>
    </xf>
    <xf numFmtId="165" fontId="2" fillId="0" borderId="118" xfId="0" applyNumberFormat="1" applyFont="1" applyBorder="1" applyAlignment="1">
      <alignment horizontal="center" vertical="center"/>
    </xf>
    <xf numFmtId="0" fontId="2" fillId="0" borderId="112" xfId="0" applyFont="1" applyFill="1" applyBorder="1" applyAlignment="1">
      <alignment horizontal="center" vertical="center"/>
    </xf>
    <xf numFmtId="0" fontId="2" fillId="0" borderId="144" xfId="0" applyFont="1" applyFill="1" applyBorder="1" applyAlignment="1">
      <alignment horizontal="center" vertical="center"/>
    </xf>
    <xf numFmtId="0" fontId="2" fillId="0" borderId="118" xfId="0" applyFont="1" applyFill="1" applyBorder="1" applyAlignment="1">
      <alignment horizontal="center" vertical="center"/>
    </xf>
    <xf numFmtId="167" fontId="14" fillId="2" borderId="1" xfId="1" applyNumberFormat="1" applyFont="1" applyFill="1" applyBorder="1" applyAlignment="1">
      <alignment horizontal="center" vertical="center"/>
    </xf>
    <xf numFmtId="171" fontId="14" fillId="2" borderId="1" xfId="1" applyNumberFormat="1" applyFont="1" applyFill="1" applyBorder="1" applyAlignment="1">
      <alignment horizontal="center" vertical="center"/>
    </xf>
    <xf numFmtId="167" fontId="14" fillId="12" borderId="107" xfId="1" applyNumberFormat="1" applyFont="1" applyFill="1" applyBorder="1" applyAlignment="1">
      <alignment horizontal="center" vertical="center"/>
    </xf>
    <xf numFmtId="167" fontId="14" fillId="13" borderId="24" xfId="1" applyNumberFormat="1" applyFont="1" applyFill="1" applyBorder="1" applyAlignment="1">
      <alignment horizontal="center" vertical="center"/>
    </xf>
    <xf numFmtId="171" fontId="14" fillId="70" borderId="24" xfId="1" applyNumberFormat="1" applyFont="1" applyFill="1" applyBorder="1" applyAlignment="1">
      <alignment horizontal="center" vertical="center"/>
    </xf>
    <xf numFmtId="171" fontId="14" fillId="70" borderId="1" xfId="1" applyNumberFormat="1" applyFont="1" applyFill="1" applyBorder="1" applyAlignment="1">
      <alignment horizontal="center" vertical="center"/>
    </xf>
    <xf numFmtId="167" fontId="31" fillId="15" borderId="24" xfId="1" applyNumberFormat="1" applyFont="1" applyFill="1" applyBorder="1" applyAlignment="1">
      <alignment horizontal="center" vertical="center"/>
    </xf>
    <xf numFmtId="2" fontId="2" fillId="0" borderId="112" xfId="2" quotePrefix="1" applyNumberFormat="1" applyFont="1" applyBorder="1" applyAlignment="1">
      <alignment horizontal="center" vertical="center"/>
    </xf>
    <xf numFmtId="0" fontId="5" fillId="0" borderId="108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>
      <alignment vertical="top" wrapText="1"/>
    </xf>
    <xf numFmtId="3" fontId="2" fillId="0" borderId="107" xfId="2" quotePrefix="1" applyNumberFormat="1" applyFont="1" applyBorder="1" applyAlignment="1">
      <alignment horizontal="right"/>
    </xf>
    <xf numFmtId="2" fontId="19" fillId="0" borderId="1" xfId="1" quotePrefix="1" applyNumberFormat="1" applyFont="1" applyFill="1" applyBorder="1" applyAlignment="1">
      <alignment horizontal="center" vertical="center" wrapText="1"/>
    </xf>
    <xf numFmtId="167" fontId="5" fillId="0" borderId="107" xfId="1" quotePrefix="1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67" fontId="2" fillId="0" borderId="7" xfId="1" quotePrefix="1" applyNumberFormat="1" applyFont="1" applyFill="1" applyBorder="1" applyAlignment="1">
      <alignment horizontal="center" wrapText="1"/>
    </xf>
    <xf numFmtId="167" fontId="12" fillId="0" borderId="120" xfId="1" quotePrefix="1" applyNumberFormat="1" applyFont="1" applyFill="1" applyBorder="1" applyAlignment="1">
      <alignment horizontal="center" vertical="center"/>
    </xf>
    <xf numFmtId="167" fontId="12" fillId="0" borderId="83" xfId="1" quotePrefix="1" applyNumberFormat="1" applyFont="1" applyFill="1" applyBorder="1" applyAlignment="1">
      <alignment horizontal="center" vertical="center"/>
    </xf>
    <xf numFmtId="49" fontId="56" fillId="0" borderId="0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171" fontId="14" fillId="3" borderId="1" xfId="1" applyNumberFormat="1" applyFont="1" applyFill="1" applyBorder="1" applyAlignment="1">
      <alignment horizontal="left" vertical="center" indent="1"/>
    </xf>
    <xf numFmtId="167" fontId="2" fillId="0" borderId="125" xfId="1" quotePrefix="1" applyNumberFormat="1" applyFont="1" applyFill="1" applyBorder="1" applyAlignment="1">
      <alignment horizontal="center" vertical="center" wrapText="1"/>
    </xf>
    <xf numFmtId="167" fontId="2" fillId="0" borderId="7" xfId="1" applyNumberFormat="1" applyFont="1" applyFill="1" applyBorder="1" applyAlignment="1">
      <alignment horizontal="center" vertical="center" wrapText="1"/>
    </xf>
    <xf numFmtId="49" fontId="12" fillId="5" borderId="113" xfId="1" quotePrefix="1" applyNumberFormat="1" applyFont="1" applyFill="1" applyBorder="1" applyAlignment="1">
      <alignment horizontal="center" wrapText="1"/>
    </xf>
    <xf numFmtId="3" fontId="2" fillId="2" borderId="111" xfId="0" applyNumberFormat="1" applyFont="1" applyFill="1" applyBorder="1" applyAlignment="1">
      <alignment vertical="center"/>
    </xf>
    <xf numFmtId="3" fontId="2" fillId="2" borderId="122" xfId="0" applyNumberFormat="1" applyFont="1" applyFill="1" applyBorder="1" applyAlignment="1">
      <alignment vertical="center"/>
    </xf>
    <xf numFmtId="167" fontId="12" fillId="5" borderId="119" xfId="1" quotePrefix="1" applyNumberFormat="1" applyFont="1" applyFill="1" applyBorder="1" applyAlignment="1">
      <alignment horizontal="center" vertical="center"/>
    </xf>
    <xf numFmtId="176" fontId="2" fillId="3" borderId="107" xfId="0" quotePrefix="1" applyNumberFormat="1" applyFont="1" applyFill="1" applyBorder="1" applyAlignment="1">
      <alignment horizontal="center"/>
    </xf>
    <xf numFmtId="167" fontId="2" fillId="0" borderId="122" xfId="1" quotePrefix="1" applyNumberFormat="1" applyFont="1" applyFill="1" applyBorder="1" applyAlignment="1">
      <alignment horizontal="center" wrapText="1"/>
    </xf>
    <xf numFmtId="171" fontId="14" fillId="10" borderId="73" xfId="1" applyNumberFormat="1" applyFont="1" applyFill="1" applyBorder="1" applyAlignment="1">
      <alignment horizontal="right" vertical="center"/>
    </xf>
    <xf numFmtId="167" fontId="12" fillId="5" borderId="108" xfId="1" quotePrefix="1" applyNumberFormat="1" applyFont="1" applyFill="1" applyBorder="1" applyAlignment="1">
      <alignment horizontal="center"/>
    </xf>
    <xf numFmtId="49" fontId="3" fillId="3" borderId="108" xfId="2" quotePrefix="1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2" fontId="5" fillId="0" borderId="108" xfId="2" quotePrefix="1" applyNumberFormat="1" applyFont="1" applyFill="1" applyBorder="1" applyAlignment="1">
      <alignment horizontal="center"/>
    </xf>
    <xf numFmtId="167" fontId="12" fillId="0" borderId="121" xfId="1" quotePrefix="1" applyNumberFormat="1" applyFont="1" applyFill="1" applyBorder="1" applyAlignment="1">
      <alignment horizontal="center" vertical="center"/>
    </xf>
    <xf numFmtId="171" fontId="21" fillId="0" borderId="73" xfId="1" applyNumberFormat="1" applyFont="1" applyFill="1" applyBorder="1" applyAlignment="1">
      <alignment horizontal="right"/>
    </xf>
    <xf numFmtId="0" fontId="2" fillId="3" borderId="75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vertical="center"/>
    </xf>
    <xf numFmtId="167" fontId="14" fillId="3" borderId="75" xfId="1" applyNumberFormat="1" applyFont="1" applyFill="1" applyBorder="1" applyAlignment="1">
      <alignment vertical="center"/>
    </xf>
    <xf numFmtId="167" fontId="2" fillId="5" borderId="107" xfId="1" quotePrefix="1" applyNumberFormat="1" applyFont="1" applyFill="1" applyBorder="1" applyAlignment="1">
      <alignment horizontal="center" vertical="center"/>
    </xf>
    <xf numFmtId="49" fontId="2" fillId="0" borderId="118" xfId="2" quotePrefix="1" applyNumberFormat="1" applyFont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10" fillId="0" borderId="107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4" fontId="164" fillId="0" borderId="108" xfId="0" applyNumberFormat="1" applyFont="1" applyBorder="1" applyAlignment="1">
      <alignment horizontal="center"/>
    </xf>
    <xf numFmtId="165" fontId="2" fillId="0" borderId="108" xfId="0" quotePrefix="1" applyNumberFormat="1" applyFont="1" applyBorder="1" applyAlignment="1">
      <alignment horizontal="center"/>
    </xf>
    <xf numFmtId="164" fontId="136" fillId="2" borderId="108" xfId="0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 vertical="center"/>
    </xf>
    <xf numFmtId="1" fontId="12" fillId="5" borderId="20" xfId="1" quotePrefix="1" applyNumberFormat="1" applyFont="1" applyFill="1" applyBorder="1" applyAlignment="1">
      <alignment horizontal="center" vertical="center"/>
    </xf>
    <xf numFmtId="167" fontId="14" fillId="2" borderId="108" xfId="1" applyNumberFormat="1" applyFont="1" applyFill="1" applyBorder="1" applyAlignment="1">
      <alignment vertical="center"/>
    </xf>
    <xf numFmtId="171" fontId="14" fillId="2" borderId="108" xfId="1" applyNumberFormat="1" applyFont="1" applyFill="1" applyBorder="1" applyAlignment="1">
      <alignment vertical="center"/>
    </xf>
    <xf numFmtId="167" fontId="14" fillId="12" borderId="108" xfId="1" applyNumberFormat="1" applyFont="1" applyFill="1" applyBorder="1" applyAlignment="1">
      <alignment vertical="center"/>
    </xf>
    <xf numFmtId="167" fontId="14" fillId="13" borderId="34" xfId="1" applyNumberFormat="1" applyFont="1" applyFill="1" applyBorder="1" applyAlignment="1">
      <alignment vertical="center"/>
    </xf>
    <xf numFmtId="0" fontId="3" fillId="2" borderId="108" xfId="0" applyFont="1" applyFill="1" applyBorder="1" applyAlignment="1">
      <alignment horizontal="center" vertical="center"/>
    </xf>
    <xf numFmtId="171" fontId="14" fillId="70" borderId="108" xfId="1" applyNumberFormat="1" applyFont="1" applyFill="1" applyBorder="1" applyAlignment="1">
      <alignment horizontal="left" vertical="center" indent="1"/>
    </xf>
    <xf numFmtId="0" fontId="2" fillId="3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vertical="center"/>
    </xf>
    <xf numFmtId="167" fontId="14" fillId="3" borderId="24" xfId="1" applyNumberFormat="1" applyFont="1" applyFill="1" applyBorder="1" applyAlignment="1">
      <alignment vertical="center"/>
    </xf>
    <xf numFmtId="167" fontId="14" fillId="3" borderId="24" xfId="1" applyNumberFormat="1" applyFont="1" applyFill="1" applyBorder="1" applyAlignment="1">
      <alignment horizontal="left" vertical="center" indent="1"/>
    </xf>
    <xf numFmtId="171" fontId="14" fillId="3" borderId="24" xfId="1" applyNumberFormat="1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167" fontId="2" fillId="5" borderId="95" xfId="1" quotePrefix="1" applyNumberFormat="1" applyFont="1" applyFill="1" applyBorder="1" applyAlignment="1">
      <alignment horizontal="center" vertical="center" wrapText="1"/>
    </xf>
    <xf numFmtId="164" fontId="164" fillId="0" borderId="107" xfId="0" applyNumberFormat="1" applyFont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3" fontId="2" fillId="2" borderId="95" xfId="0" applyNumberFormat="1" applyFont="1" applyFill="1" applyBorder="1" applyAlignment="1">
      <alignment horizontal="center" vertical="center"/>
    </xf>
    <xf numFmtId="2" fontId="2" fillId="0" borderId="107" xfId="2" quotePrefix="1" applyNumberFormat="1" applyFont="1" applyBorder="1" applyAlignment="1">
      <alignment horizontal="center" vertical="center"/>
    </xf>
    <xf numFmtId="49" fontId="2" fillId="0" borderId="131" xfId="2" quotePrefix="1" applyNumberFormat="1" applyFont="1" applyBorder="1" applyAlignment="1">
      <alignment horizontal="center" vertical="center"/>
    </xf>
    <xf numFmtId="49" fontId="12" fillId="5" borderId="131" xfId="1" quotePrefix="1" applyNumberFormat="1" applyFont="1" applyFill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0" fontId="3" fillId="0" borderId="111" xfId="0" applyFont="1" applyFill="1" applyBorder="1" applyAlignment="1">
      <alignment horizontal="center" vertical="center"/>
    </xf>
    <xf numFmtId="49" fontId="5" fillId="0" borderId="111" xfId="2" quotePrefix="1" applyNumberFormat="1" applyFont="1" applyBorder="1" applyAlignment="1">
      <alignment horizontal="center" vertical="center"/>
    </xf>
    <xf numFmtId="0" fontId="2" fillId="0" borderId="111" xfId="0" applyFont="1" applyFill="1" applyBorder="1" applyAlignment="1">
      <alignment horizontal="center" vertical="center" wrapText="1"/>
    </xf>
    <xf numFmtId="3" fontId="2" fillId="2" borderId="112" xfId="0" applyNumberFormat="1" applyFont="1" applyFill="1" applyBorder="1" applyAlignment="1">
      <alignment horizontal="center" vertical="center"/>
    </xf>
    <xf numFmtId="1" fontId="12" fillId="5" borderId="112" xfId="1" quotePrefix="1" applyNumberFormat="1" applyFont="1" applyFill="1" applyBorder="1" applyAlignment="1">
      <alignment horizontal="center" vertical="center"/>
    </xf>
    <xf numFmtId="3" fontId="2" fillId="2" borderId="125" xfId="0" applyNumberFormat="1" applyFont="1" applyFill="1" applyBorder="1" applyAlignment="1">
      <alignment horizontal="center" vertical="center"/>
    </xf>
    <xf numFmtId="1" fontId="2" fillId="0" borderId="125" xfId="2" quotePrefix="1" applyNumberFormat="1" applyFont="1" applyBorder="1" applyAlignment="1">
      <alignment horizontal="center" vertical="center"/>
    </xf>
    <xf numFmtId="182" fontId="12" fillId="5" borderId="10" xfId="1" quotePrefix="1" applyNumberFormat="1" applyFont="1" applyFill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right"/>
    </xf>
    <xf numFmtId="49" fontId="5" fillId="0" borderId="118" xfId="2" quotePrefix="1" applyNumberFormat="1" applyFont="1" applyBorder="1" applyAlignment="1">
      <alignment horizontal="center" vertical="center"/>
    </xf>
    <xf numFmtId="43" fontId="12" fillId="5" borderId="107" xfId="1" quotePrefix="1" applyNumberFormat="1" applyFont="1" applyFill="1" applyBorder="1" applyAlignment="1">
      <alignment horizontal="center"/>
    </xf>
    <xf numFmtId="1" fontId="2" fillId="0" borderId="107" xfId="0" applyNumberFormat="1" applyFont="1" applyBorder="1" applyAlignment="1">
      <alignment horizontal="center"/>
    </xf>
    <xf numFmtId="2" fontId="2" fillId="0" borderId="107" xfId="0" quotePrefix="1" applyNumberFormat="1" applyFont="1" applyBorder="1" applyAlignment="1">
      <alignment horizontal="center"/>
    </xf>
    <xf numFmtId="1" fontId="2" fillId="0" borderId="107" xfId="0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/>
    <xf numFmtId="187" fontId="2" fillId="5" borderId="7" xfId="1" quotePrefix="1" applyNumberFormat="1" applyFont="1" applyFill="1" applyBorder="1" applyAlignment="1">
      <alignment horizontal="center" vertical="center" wrapText="1" shrinkToFit="1"/>
    </xf>
    <xf numFmtId="22" fontId="2" fillId="0" borderId="111" xfId="0" applyNumberFormat="1" applyFont="1" applyFill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/>
    </xf>
    <xf numFmtId="167" fontId="2" fillId="0" borderId="24" xfId="1" applyNumberFormat="1" applyFont="1" applyFill="1" applyBorder="1" applyAlignment="1">
      <alignment horizontal="center" wrapText="1"/>
    </xf>
    <xf numFmtId="164" fontId="3" fillId="0" borderId="24" xfId="0" applyNumberFormat="1" applyFont="1" applyFill="1" applyBorder="1" applyAlignment="1">
      <alignment horizontal="center" wrapText="1"/>
    </xf>
    <xf numFmtId="0" fontId="12" fillId="0" borderId="24" xfId="3" applyFont="1" applyFill="1" applyBorder="1" applyAlignment="1">
      <alignment horizontal="center" wrapText="1"/>
    </xf>
    <xf numFmtId="3" fontId="2" fillId="0" borderId="24" xfId="0" applyNumberFormat="1" applyFont="1" applyFill="1" applyBorder="1" applyAlignment="1">
      <alignment horizontal="center"/>
    </xf>
    <xf numFmtId="49" fontId="2" fillId="3" borderId="24" xfId="2" quotePrefix="1" applyNumberFormat="1" applyFont="1" applyFill="1" applyBorder="1" applyAlignment="1">
      <alignment horizontal="center"/>
    </xf>
    <xf numFmtId="0" fontId="12" fillId="0" borderId="24" xfId="3" quotePrefix="1" applyFont="1" applyFill="1" applyBorder="1" applyAlignment="1">
      <alignment horizontal="center" wrapText="1"/>
    </xf>
    <xf numFmtId="167" fontId="2" fillId="0" borderId="24" xfId="1" applyNumberFormat="1" applyFont="1" applyFill="1" applyBorder="1" applyAlignment="1">
      <alignment horizontal="right"/>
    </xf>
    <xf numFmtId="0" fontId="2" fillId="0" borderId="24" xfId="0" quotePrefix="1" applyFont="1" applyFill="1" applyBorder="1" applyAlignment="1">
      <alignment horizontal="center" wrapText="1"/>
    </xf>
    <xf numFmtId="167" fontId="14" fillId="12" borderId="24" xfId="1" applyNumberFormat="1" applyFont="1" applyFill="1" applyBorder="1" applyAlignment="1"/>
    <xf numFmtId="1" fontId="14" fillId="0" borderId="24" xfId="1" applyNumberFormat="1" applyFont="1" applyFill="1" applyBorder="1" applyAlignment="1"/>
    <xf numFmtId="43" fontId="2" fillId="0" borderId="107" xfId="0" applyNumberFormat="1" applyFont="1" applyFill="1" applyBorder="1" applyAlignment="1">
      <alignment horizontal="left"/>
    </xf>
    <xf numFmtId="0" fontId="2" fillId="0" borderId="107" xfId="0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67" fontId="2" fillId="2" borderId="34" xfId="1" applyNumberFormat="1" applyFont="1" applyFill="1" applyBorder="1" applyAlignment="1">
      <alignment horizontal="center" vertical="center"/>
    </xf>
    <xf numFmtId="167" fontId="2" fillId="2" borderId="24" xfId="1" applyNumberFormat="1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 vertical="center"/>
    </xf>
    <xf numFmtId="171" fontId="21" fillId="0" borderId="108" xfId="1" applyNumberFormat="1" applyFont="1" applyFill="1" applyBorder="1" applyAlignment="1">
      <alignment horizontal="left" vertical="center" indent="1"/>
    </xf>
    <xf numFmtId="14" fontId="2" fillId="0" borderId="7" xfId="1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/>
    <xf numFmtId="167" fontId="12" fillId="5" borderId="107" xfId="1" quotePrefix="1" applyNumberFormat="1" applyFont="1" applyFill="1" applyBorder="1" applyAlignment="1">
      <alignment horizontal="center" vertical="center" wrapText="1"/>
    </xf>
    <xf numFmtId="167" fontId="12" fillId="5" borderId="111" xfId="1" quotePrefix="1" applyNumberFormat="1" applyFont="1" applyFill="1" applyBorder="1" applyAlignment="1">
      <alignment horizontal="center" vertical="center" wrapText="1"/>
    </xf>
    <xf numFmtId="167" fontId="12" fillId="5" borderId="24" xfId="1" quotePrefix="1" applyNumberFormat="1" applyFont="1" applyFill="1" applyBorder="1" applyAlignment="1">
      <alignment horizontal="center" vertical="center" wrapText="1"/>
    </xf>
    <xf numFmtId="0" fontId="29" fillId="2" borderId="107" xfId="0" applyFont="1" applyFill="1" applyBorder="1" applyAlignment="1">
      <alignment horizontal="center" vertical="center" wrapText="1"/>
    </xf>
    <xf numFmtId="0" fontId="23" fillId="8" borderId="107" xfId="0" applyFont="1" applyFill="1" applyBorder="1" applyAlignment="1">
      <alignment horizontal="center" vertical="center"/>
    </xf>
    <xf numFmtId="49" fontId="34" fillId="2" borderId="107" xfId="0" applyNumberFormat="1" applyFont="1" applyFill="1" applyBorder="1" applyAlignment="1" applyProtection="1">
      <alignment horizontal="center" vertical="center" shrinkToFit="1"/>
      <protection locked="0"/>
    </xf>
    <xf numFmtId="0" fontId="21" fillId="2" borderId="107" xfId="0" applyFont="1" applyFill="1" applyBorder="1" applyAlignment="1">
      <alignment horizontal="center" vertical="center"/>
    </xf>
    <xf numFmtId="173" fontId="21" fillId="2" borderId="107" xfId="1" applyNumberFormat="1" applyFont="1" applyFill="1" applyBorder="1" applyAlignment="1">
      <alignment horizontal="center" vertical="center"/>
    </xf>
    <xf numFmtId="173" fontId="21" fillId="2" borderId="107" xfId="1" applyNumberFormat="1" applyFont="1" applyFill="1" applyBorder="1" applyAlignment="1">
      <alignment horizontal="center" vertical="center" wrapText="1"/>
    </xf>
    <xf numFmtId="173" fontId="35" fillId="2" borderId="107" xfId="1" applyNumberFormat="1" applyFont="1" applyFill="1" applyBorder="1" applyAlignment="1">
      <alignment horizontal="center" vertical="center"/>
    </xf>
    <xf numFmtId="173" fontId="14" fillId="2" borderId="107" xfId="1" applyNumberFormat="1" applyFont="1" applyFill="1" applyBorder="1" applyAlignment="1">
      <alignment horizontal="center" vertical="center"/>
    </xf>
    <xf numFmtId="0" fontId="24" fillId="3" borderId="107" xfId="0" applyFont="1" applyFill="1" applyBorder="1" applyAlignment="1">
      <alignment horizontal="center" vertical="center"/>
    </xf>
    <xf numFmtId="0" fontId="23" fillId="3" borderId="107" xfId="0" applyFont="1" applyFill="1" applyBorder="1" applyAlignment="1">
      <alignment horizontal="center" vertical="center"/>
    </xf>
    <xf numFmtId="0" fontId="21" fillId="2" borderId="13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108" xfId="0" applyFont="1" applyFill="1" applyBorder="1" applyAlignment="1">
      <alignment horizontal="center" vertical="center"/>
    </xf>
    <xf numFmtId="170" fontId="20" fillId="8" borderId="107" xfId="0" applyNumberFormat="1" applyFont="1" applyFill="1" applyBorder="1" applyAlignment="1">
      <alignment horizontal="center" vertical="center" wrapText="1"/>
    </xf>
    <xf numFmtId="49" fontId="19" fillId="2" borderId="107" xfId="0" quotePrefix="1" applyNumberFormat="1" applyFont="1" applyFill="1" applyBorder="1" applyAlignment="1" applyProtection="1">
      <alignment horizontal="center" vertical="center" wrapText="1"/>
      <protection locked="0"/>
    </xf>
    <xf numFmtId="169" fontId="21" fillId="2" borderId="107" xfId="0" applyNumberFormat="1" applyFont="1" applyFill="1" applyBorder="1" applyAlignment="1">
      <alignment horizontal="center" vertical="center"/>
    </xf>
    <xf numFmtId="169" fontId="21" fillId="0" borderId="107" xfId="0" applyNumberFormat="1" applyFont="1" applyFill="1" applyBorder="1" applyAlignment="1">
      <alignment horizontal="center" vertical="center"/>
    </xf>
    <xf numFmtId="0" fontId="51" fillId="65" borderId="107" xfId="0" applyFont="1" applyFill="1" applyBorder="1" applyAlignment="1">
      <alignment vertical="center"/>
    </xf>
    <xf numFmtId="0" fontId="21" fillId="2" borderId="107" xfId="0" quotePrefix="1" applyFont="1" applyFill="1" applyBorder="1" applyAlignment="1">
      <alignment vertical="center"/>
    </xf>
    <xf numFmtId="169" fontId="21" fillId="2" borderId="108" xfId="0" applyNumberFormat="1" applyFont="1" applyFill="1" applyBorder="1" applyAlignment="1">
      <alignment horizontal="left" vertical="center"/>
    </xf>
    <xf numFmtId="169" fontId="21" fillId="2" borderId="107" xfId="0" quotePrefix="1" applyNumberFormat="1" applyFont="1" applyFill="1" applyBorder="1" applyAlignment="1">
      <alignment horizontal="center" vertical="center"/>
    </xf>
    <xf numFmtId="0" fontId="21" fillId="2" borderId="107" xfId="0" applyFont="1" applyFill="1" applyBorder="1" applyAlignment="1">
      <alignment horizontal="center" vertical="center" wrapText="1"/>
    </xf>
    <xf numFmtId="169" fontId="21" fillId="2" borderId="107" xfId="0" applyNumberFormat="1" applyFont="1" applyFill="1" applyBorder="1" applyAlignment="1">
      <alignment horizontal="center" vertical="center" wrapText="1"/>
    </xf>
    <xf numFmtId="169" fontId="19" fillId="2" borderId="107" xfId="0" applyNumberFormat="1" applyFont="1" applyFill="1" applyBorder="1" applyAlignment="1">
      <alignment horizontal="center" vertical="center" wrapText="1"/>
    </xf>
    <xf numFmtId="0" fontId="19" fillId="65" borderId="0" xfId="0" applyFont="1" applyFill="1" applyBorder="1" applyAlignment="1">
      <alignment horizontal="center" vertical="center" wrapText="1"/>
    </xf>
    <xf numFmtId="0" fontId="51" fillId="65" borderId="130" xfId="0" applyFont="1" applyFill="1" applyBorder="1" applyAlignment="1">
      <alignment horizontal="center" vertical="center" wrapText="1"/>
    </xf>
    <xf numFmtId="0" fontId="19" fillId="65" borderId="130" xfId="0" applyFont="1" applyFill="1" applyBorder="1" applyAlignment="1">
      <alignment horizontal="center" vertical="center" wrapText="1"/>
    </xf>
    <xf numFmtId="170" fontId="19" fillId="2" borderId="107" xfId="0" applyNumberFormat="1" applyFont="1" applyFill="1" applyBorder="1" applyAlignment="1">
      <alignment horizontal="center" vertical="center" wrapText="1"/>
    </xf>
    <xf numFmtId="170" fontId="20" fillId="2" borderId="107" xfId="0" applyNumberFormat="1" applyFont="1" applyFill="1" applyBorder="1" applyAlignment="1">
      <alignment horizontal="center" vertical="center"/>
    </xf>
    <xf numFmtId="170" fontId="19" fillId="2" borderId="107" xfId="0" applyNumberFormat="1" applyFont="1" applyFill="1" applyBorder="1" applyAlignment="1">
      <alignment horizontal="center" vertical="center"/>
    </xf>
    <xf numFmtId="0" fontId="16" fillId="2" borderId="107" xfId="0" applyFont="1" applyFill="1" applyBorder="1" applyAlignment="1">
      <alignment horizontal="center" vertical="center"/>
    </xf>
    <xf numFmtId="0" fontId="2" fillId="0" borderId="107" xfId="2" quotePrefix="1" applyNumberFormat="1" applyFont="1" applyBorder="1" applyAlignment="1">
      <alignment vertical="center"/>
    </xf>
    <xf numFmtId="0" fontId="2" fillId="0" borderId="107" xfId="2" quotePrefix="1" applyNumberFormat="1" applyFont="1" applyBorder="1" applyAlignment="1">
      <alignment horizontal="center" vertical="center"/>
    </xf>
    <xf numFmtId="167" fontId="2" fillId="2" borderId="107" xfId="1" applyNumberFormat="1" applyFont="1" applyFill="1" applyBorder="1" applyAlignment="1">
      <alignment horizontal="center" vertical="center"/>
    </xf>
    <xf numFmtId="167" fontId="3" fillId="2" borderId="107" xfId="1" applyNumberFormat="1" applyFont="1" applyFill="1" applyBorder="1" applyAlignment="1">
      <alignment horizontal="right" vertical="center"/>
    </xf>
    <xf numFmtId="0" fontId="14" fillId="0" borderId="107" xfId="7" applyFont="1" applyBorder="1" applyAlignment="1">
      <alignment horizontal="center" vertical="center" wrapText="1"/>
    </xf>
    <xf numFmtId="167" fontId="14" fillId="3" borderId="108" xfId="1" applyNumberFormat="1" applyFont="1" applyFill="1" applyBorder="1" applyAlignment="1">
      <alignment horizontal="left" vertical="center" indent="1"/>
    </xf>
    <xf numFmtId="167" fontId="14" fillId="3" borderId="108" xfId="1" applyNumberFormat="1" applyFont="1" applyFill="1" applyBorder="1" applyAlignment="1">
      <alignment vertical="center"/>
    </xf>
    <xf numFmtId="171" fontId="14" fillId="3" borderId="108" xfId="1" applyNumberFormat="1" applyFont="1" applyFill="1" applyBorder="1" applyAlignment="1">
      <alignment vertical="center"/>
    </xf>
    <xf numFmtId="0" fontId="3" fillId="3" borderId="108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 wrapText="1"/>
    </xf>
    <xf numFmtId="49" fontId="2" fillId="2" borderId="43" xfId="2" quotePrefix="1" applyNumberFormat="1" applyFont="1" applyFill="1" applyBorder="1" applyAlignment="1">
      <alignment horizontal="center" wrapText="1"/>
    </xf>
    <xf numFmtId="0" fontId="2" fillId="3" borderId="131" xfId="0" applyFont="1" applyFill="1" applyBorder="1" applyAlignment="1">
      <alignment horizontal="center"/>
    </xf>
    <xf numFmtId="49" fontId="2" fillId="2" borderId="131" xfId="2" quotePrefix="1" applyNumberFormat="1" applyFont="1" applyFill="1" applyBorder="1" applyAlignment="1">
      <alignment horizontal="center" wrapText="1"/>
    </xf>
    <xf numFmtId="49" fontId="2" fillId="2" borderId="61" xfId="2" quotePrefix="1" applyNumberFormat="1" applyFont="1" applyFill="1" applyBorder="1" applyAlignment="1">
      <alignment horizontal="center" wrapText="1"/>
    </xf>
    <xf numFmtId="0" fontId="2" fillId="3" borderId="130" xfId="0" applyFont="1" applyFill="1" applyBorder="1" applyAlignment="1"/>
    <xf numFmtId="167" fontId="12" fillId="5" borderId="53" xfId="1" quotePrefix="1" applyNumberFormat="1" applyFont="1" applyFill="1" applyBorder="1" applyAlignment="1">
      <alignment horizontal="center" wrapText="1"/>
    </xf>
    <xf numFmtId="14" fontId="2" fillId="2" borderId="130" xfId="1" applyNumberFormat="1" applyFont="1" applyFill="1" applyBorder="1" applyAlignment="1">
      <alignment horizontal="right" wrapText="1"/>
    </xf>
    <xf numFmtId="167" fontId="3" fillId="2" borderId="130" xfId="1" applyNumberFormat="1" applyFont="1" applyFill="1" applyBorder="1" applyAlignment="1">
      <alignment horizontal="right"/>
    </xf>
    <xf numFmtId="167" fontId="2" fillId="2" borderId="55" xfId="1" quotePrefix="1" applyNumberFormat="1" applyFont="1" applyFill="1" applyBorder="1" applyAlignment="1">
      <alignment horizontal="right"/>
    </xf>
    <xf numFmtId="167" fontId="2" fillId="2" borderId="130" xfId="1" applyNumberFormat="1" applyFont="1" applyFill="1" applyBorder="1" applyAlignment="1">
      <alignment horizontal="right"/>
    </xf>
    <xf numFmtId="167" fontId="2" fillId="2" borderId="130" xfId="1" quotePrefix="1" applyNumberFormat="1" applyFont="1" applyFill="1" applyBorder="1" applyAlignment="1">
      <alignment horizontal="right"/>
    </xf>
    <xf numFmtId="167" fontId="2" fillId="0" borderId="32" xfId="1" quotePrefix="1" applyNumberFormat="1" applyFont="1" applyFill="1" applyBorder="1" applyAlignment="1">
      <alignment horizontal="center" wrapText="1"/>
    </xf>
    <xf numFmtId="167" fontId="12" fillId="5" borderId="53" xfId="1" quotePrefix="1" applyNumberFormat="1" applyFont="1" applyFill="1" applyBorder="1" applyAlignment="1">
      <alignment horizontal="center"/>
    </xf>
    <xf numFmtId="49" fontId="56" fillId="0" borderId="130" xfId="0" applyNumberFormat="1" applyFont="1" applyBorder="1" applyAlignment="1">
      <alignment vertical="top" wrapText="1"/>
    </xf>
    <xf numFmtId="49" fontId="12" fillId="5" borderId="61" xfId="1" quotePrefix="1" applyNumberFormat="1" applyFont="1" applyFill="1" applyBorder="1" applyAlignment="1">
      <alignment horizontal="center" wrapText="1"/>
    </xf>
    <xf numFmtId="164" fontId="2" fillId="0" borderId="43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64" fontId="2" fillId="0" borderId="20" xfId="0" applyNumberFormat="1" applyFont="1" applyFill="1" applyBorder="1" applyAlignment="1">
      <alignment horizontal="center"/>
    </xf>
    <xf numFmtId="164" fontId="2" fillId="0" borderId="145" xfId="0" applyNumberFormat="1" applyFont="1" applyBorder="1" applyAlignment="1">
      <alignment horizontal="center"/>
    </xf>
    <xf numFmtId="164" fontId="2" fillId="0" borderId="145" xfId="0" applyNumberFormat="1" applyFont="1" applyFill="1" applyBorder="1" applyAlignment="1">
      <alignment horizontal="center"/>
    </xf>
    <xf numFmtId="0" fontId="2" fillId="3" borderId="146" xfId="0" applyFont="1" applyFill="1" applyBorder="1" applyAlignment="1">
      <alignment horizontal="center"/>
    </xf>
    <xf numFmtId="167" fontId="12" fillId="5" borderId="147" xfId="1" quotePrefix="1" applyNumberFormat="1" applyFont="1" applyFill="1" applyBorder="1" applyAlignment="1">
      <alignment horizontal="center"/>
    </xf>
    <xf numFmtId="49" fontId="2" fillId="2" borderId="147" xfId="2" quotePrefix="1" applyNumberFormat="1" applyFont="1" applyFill="1" applyBorder="1" applyAlignment="1">
      <alignment horizontal="center" wrapText="1"/>
    </xf>
    <xf numFmtId="49" fontId="2" fillId="2" borderId="146" xfId="2" quotePrefix="1" applyNumberFormat="1" applyFont="1" applyFill="1" applyBorder="1" applyAlignment="1">
      <alignment horizontal="center" wrapText="1"/>
    </xf>
    <xf numFmtId="49" fontId="2" fillId="2" borderId="148" xfId="2" quotePrefix="1" applyNumberFormat="1" applyFont="1" applyFill="1" applyBorder="1" applyAlignment="1">
      <alignment horizontal="center" wrapText="1"/>
    </xf>
    <xf numFmtId="49" fontId="2" fillId="0" borderId="107" xfId="0" applyNumberFormat="1" applyFont="1" applyFill="1" applyBorder="1" applyAlignment="1">
      <alignment horizontal="center" wrapText="1"/>
    </xf>
    <xf numFmtId="164" fontId="2" fillId="0" borderId="107" xfId="0" applyNumberFormat="1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center" vertical="center" wrapText="1"/>
    </xf>
    <xf numFmtId="0" fontId="12" fillId="0" borderId="107" xfId="3" applyFont="1" applyBorder="1" applyAlignment="1">
      <alignment horizontal="center" vertical="center" wrapText="1"/>
    </xf>
    <xf numFmtId="164" fontId="2" fillId="0" borderId="107" xfId="0" applyNumberFormat="1" applyFont="1" applyBorder="1" applyAlignment="1">
      <alignment horizontal="center" wrapText="1"/>
    </xf>
    <xf numFmtId="49" fontId="2" fillId="2" borderId="43" xfId="2" quotePrefix="1" applyNumberFormat="1" applyFont="1" applyFill="1" applyBorder="1" applyAlignment="1">
      <alignment wrapText="1"/>
    </xf>
    <xf numFmtId="167" fontId="2" fillId="0" borderId="34" xfId="1" quotePrefix="1" applyNumberFormat="1" applyFont="1" applyFill="1" applyBorder="1" applyAlignment="1">
      <alignment horizontal="center" vertical="center" wrapText="1"/>
    </xf>
    <xf numFmtId="49" fontId="12" fillId="5" borderId="83" xfId="1" quotePrefix="1" applyNumberFormat="1" applyFont="1" applyFill="1" applyBorder="1" applyAlignment="1">
      <alignment horizontal="center" wrapText="1"/>
    </xf>
    <xf numFmtId="0" fontId="193" fillId="0" borderId="107" xfId="0" applyFont="1" applyBorder="1" applyAlignment="1">
      <alignment vertical="top" wrapText="1"/>
    </xf>
    <xf numFmtId="0" fontId="2" fillId="2" borderId="132" xfId="0" quotePrefix="1" applyFont="1" applyFill="1" applyBorder="1" applyAlignment="1">
      <alignment horizontal="left" wrapText="1"/>
    </xf>
    <xf numFmtId="167" fontId="12" fillId="5" borderId="39" xfId="1" quotePrefix="1" applyNumberFormat="1" applyFont="1" applyFill="1" applyBorder="1" applyAlignment="1">
      <alignment horizontal="right"/>
    </xf>
    <xf numFmtId="0" fontId="3" fillId="9" borderId="0" xfId="0" applyFont="1" applyFill="1" applyBorder="1" applyAlignment="1">
      <alignment horizontal="center"/>
    </xf>
    <xf numFmtId="0" fontId="2" fillId="2" borderId="83" xfId="0" quotePrefix="1" applyFont="1" applyFill="1" applyBorder="1" applyAlignment="1">
      <alignment horizontal="center"/>
    </xf>
    <xf numFmtId="167" fontId="14" fillId="2" borderId="83" xfId="1" applyNumberFormat="1" applyFont="1" applyFill="1" applyBorder="1" applyAlignment="1"/>
    <xf numFmtId="49" fontId="5" fillId="70" borderId="83" xfId="0" applyNumberFormat="1" applyFont="1" applyFill="1" applyBorder="1" applyAlignment="1">
      <alignment horizontal="center"/>
    </xf>
    <xf numFmtId="0" fontId="3" fillId="2" borderId="83" xfId="0" applyFont="1" applyFill="1" applyBorder="1" applyAlignment="1">
      <alignment horizontal="center"/>
    </xf>
    <xf numFmtId="1" fontId="2" fillId="19" borderId="1" xfId="2" quotePrefix="1" applyNumberFormat="1" applyFont="1" applyFill="1" applyBorder="1" applyAlignment="1">
      <alignment horizontal="center"/>
    </xf>
    <xf numFmtId="167" fontId="2" fillId="5" borderId="83" xfId="1" applyNumberFormat="1" applyFont="1" applyFill="1" applyBorder="1" applyAlignment="1">
      <alignment horizontal="center"/>
    </xf>
    <xf numFmtId="164" fontId="2" fillId="0" borderId="83" xfId="0" applyNumberFormat="1" applyFont="1" applyBorder="1" applyAlignment="1">
      <alignment horizontal="center" wrapText="1"/>
    </xf>
    <xf numFmtId="41" fontId="2" fillId="0" borderId="149" xfId="0" applyNumberFormat="1" applyFont="1" applyFill="1" applyBorder="1" applyAlignment="1">
      <alignment horizontal="center"/>
    </xf>
    <xf numFmtId="164" fontId="5" fillId="2" borderId="75" xfId="0" applyNumberFormat="1" applyFont="1" applyFill="1" applyBorder="1" applyAlignment="1">
      <alignment horizontal="center"/>
    </xf>
    <xf numFmtId="1" fontId="2" fillId="19" borderId="75" xfId="2" quotePrefix="1" applyNumberFormat="1" applyFont="1" applyFill="1" applyBorder="1" applyAlignment="1">
      <alignment horizontal="center"/>
    </xf>
    <xf numFmtId="1" fontId="2" fillId="0" borderId="75" xfId="2" quotePrefix="1" applyNumberFormat="1" applyFont="1" applyBorder="1" applyAlignment="1">
      <alignment horizontal="center"/>
    </xf>
    <xf numFmtId="167" fontId="12" fillId="5" borderId="0" xfId="1" quotePrefix="1" applyNumberFormat="1" applyFont="1" applyFill="1" applyBorder="1" applyAlignment="1">
      <alignment horizontal="center"/>
    </xf>
    <xf numFmtId="0" fontId="2" fillId="2" borderId="75" xfId="0" quotePrefix="1" applyFont="1" applyFill="1" applyBorder="1" applyAlignment="1">
      <alignment horizontal="center"/>
    </xf>
    <xf numFmtId="0" fontId="2" fillId="2" borderId="53" xfId="0" quotePrefix="1" applyFont="1" applyFill="1" applyBorder="1" applyAlignment="1">
      <alignment horizontal="left" wrapText="1"/>
    </xf>
    <xf numFmtId="167" fontId="14" fillId="2" borderId="75" xfId="1" applyNumberFormat="1" applyFont="1" applyFill="1" applyBorder="1" applyAlignment="1"/>
    <xf numFmtId="167" fontId="14" fillId="10" borderId="75" xfId="1" applyNumberFormat="1" applyFont="1" applyFill="1" applyBorder="1" applyAlignment="1"/>
    <xf numFmtId="171" fontId="14" fillId="2" borderId="75" xfId="1" applyNumberFormat="1" applyFont="1" applyFill="1" applyBorder="1" applyAlignment="1"/>
    <xf numFmtId="171" fontId="21" fillId="12" borderId="75" xfId="1" applyNumberFormat="1" applyFont="1" applyFill="1" applyBorder="1" applyAlignment="1">
      <alignment horizontal="right"/>
    </xf>
    <xf numFmtId="167" fontId="14" fillId="13" borderId="34" xfId="1" applyNumberFormat="1" applyFont="1" applyFill="1" applyBorder="1" applyAlignment="1"/>
    <xf numFmtId="171" fontId="14" fillId="70" borderId="75" xfId="1" applyNumberFormat="1" applyFont="1" applyFill="1" applyBorder="1" applyAlignment="1">
      <alignment horizontal="left"/>
    </xf>
    <xf numFmtId="167" fontId="31" fillId="8" borderId="34" xfId="1" applyNumberFormat="1" applyFont="1" applyFill="1" applyBorder="1" applyAlignment="1"/>
    <xf numFmtId="49" fontId="5" fillId="70" borderId="75" xfId="0" applyNumberFormat="1" applyFont="1" applyFill="1" applyBorder="1" applyAlignment="1">
      <alignment horizontal="center"/>
    </xf>
    <xf numFmtId="164" fontId="2" fillId="0" borderId="24" xfId="0" applyNumberFormat="1" applyFont="1" applyFill="1" applyBorder="1" applyAlignment="1">
      <alignment horizontal="center"/>
    </xf>
    <xf numFmtId="164" fontId="5" fillId="2" borderId="55" xfId="0" applyNumberFormat="1" applyFont="1" applyFill="1" applyBorder="1" applyAlignment="1">
      <alignment horizontal="center"/>
    </xf>
    <xf numFmtId="171" fontId="14" fillId="2" borderId="24" xfId="1" applyNumberFormat="1" applyFont="1" applyFill="1" applyBorder="1" applyAlignment="1"/>
    <xf numFmtId="49" fontId="5" fillId="70" borderId="24" xfId="0" applyNumberFormat="1" applyFont="1" applyFill="1" applyBorder="1" applyAlignment="1">
      <alignment horizontal="center"/>
    </xf>
    <xf numFmtId="164" fontId="5" fillId="2" borderId="83" xfId="0" applyNumberFormat="1" applyFont="1" applyFill="1" applyBorder="1" applyAlignment="1">
      <alignment horizontal="center"/>
    </xf>
    <xf numFmtId="1" fontId="2" fillId="19" borderId="83" xfId="2" quotePrefix="1" applyNumberFormat="1" applyFont="1" applyFill="1" applyBorder="1" applyAlignment="1">
      <alignment horizontal="center"/>
    </xf>
    <xf numFmtId="49" fontId="2" fillId="0" borderId="83" xfId="2" quotePrefix="1" applyNumberFormat="1" applyFont="1" applyBorder="1" applyAlignment="1">
      <alignment horizontal="center"/>
    </xf>
    <xf numFmtId="1" fontId="2" fillId="0" borderId="83" xfId="2" quotePrefix="1" applyNumberFormat="1" applyFont="1" applyBorder="1" applyAlignment="1">
      <alignment horizontal="center"/>
    </xf>
    <xf numFmtId="49" fontId="2" fillId="2" borderId="83" xfId="2" quotePrefix="1" applyNumberFormat="1" applyFont="1" applyFill="1" applyBorder="1" applyAlignment="1">
      <alignment horizontal="center" wrapText="1"/>
    </xf>
    <xf numFmtId="167" fontId="14" fillId="10" borderId="83" xfId="1" applyNumberFormat="1" applyFont="1" applyFill="1" applyBorder="1" applyAlignment="1"/>
    <xf numFmtId="171" fontId="21" fillId="12" borderId="83" xfId="1" applyNumberFormat="1" applyFont="1" applyFill="1" applyBorder="1" applyAlignment="1">
      <alignment horizontal="right"/>
    </xf>
    <xf numFmtId="167" fontId="14" fillId="13" borderId="83" xfId="1" applyNumberFormat="1" applyFont="1" applyFill="1" applyBorder="1" applyAlignment="1"/>
    <xf numFmtId="167" fontId="31" fillId="8" borderId="83" xfId="1" applyNumberFormat="1" applyFont="1" applyFill="1" applyBorder="1" applyAlignment="1"/>
    <xf numFmtId="0" fontId="2" fillId="2" borderId="83" xfId="0" quotePrefix="1" applyFont="1" applyFill="1" applyBorder="1" applyAlignment="1">
      <alignment horizontal="center" wrapText="1"/>
    </xf>
    <xf numFmtId="49" fontId="3" fillId="3" borderId="107" xfId="2" quotePrefix="1" applyNumberFormat="1" applyFont="1" applyFill="1" applyBorder="1" applyAlignment="1"/>
    <xf numFmtId="0" fontId="2" fillId="0" borderId="111" xfId="0" applyFont="1" applyFill="1" applyBorder="1" applyAlignment="1">
      <alignment vertical="center"/>
    </xf>
    <xf numFmtId="167" fontId="2" fillId="0" borderId="125" xfId="2" quotePrefix="1" applyNumberFormat="1" applyFont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7" fontId="14" fillId="70" borderId="1" xfId="1" applyNumberFormat="1" applyFont="1" applyFill="1" applyBorder="1" applyAlignment="1">
      <alignment vertical="center"/>
    </xf>
    <xf numFmtId="167" fontId="14" fillId="70" borderId="107" xfId="1" applyNumberFormat="1" applyFont="1" applyFill="1" applyBorder="1" applyAlignment="1">
      <alignment vertical="center"/>
    </xf>
    <xf numFmtId="167" fontId="14" fillId="70" borderId="1" xfId="1" applyNumberFormat="1" applyFont="1" applyFill="1" applyBorder="1" applyAlignment="1"/>
    <xf numFmtId="167" fontId="21" fillId="70" borderId="1" xfId="1" applyNumberFormat="1" applyFont="1" applyFill="1" applyBorder="1" applyAlignment="1">
      <alignment vertical="center"/>
    </xf>
    <xf numFmtId="167" fontId="21" fillId="70" borderId="1" xfId="1" applyNumberFormat="1" applyFont="1" applyFill="1" applyBorder="1" applyAlignment="1"/>
    <xf numFmtId="49" fontId="56" fillId="0" borderId="0" xfId="5" applyNumberFormat="1" applyFont="1" applyBorder="1" applyAlignment="1">
      <alignment vertical="top"/>
    </xf>
    <xf numFmtId="0" fontId="2" fillId="2" borderId="107" xfId="0" quotePrefix="1" applyFont="1" applyFill="1" applyBorder="1" applyAlignment="1">
      <alignment horizontal="center" wrapText="1"/>
    </xf>
    <xf numFmtId="0" fontId="2" fillId="2" borderId="107" xfId="0" quotePrefix="1" applyFont="1" applyFill="1" applyBorder="1" applyAlignment="1">
      <alignment horizontal="center"/>
    </xf>
    <xf numFmtId="41" fontId="2" fillId="0" borderId="102" xfId="0" applyNumberFormat="1" applyFont="1" applyFill="1" applyBorder="1" applyAlignment="1">
      <alignment horizontal="center"/>
    </xf>
    <xf numFmtId="41" fontId="2" fillId="0" borderId="103" xfId="0" applyNumberFormat="1" applyFont="1" applyFill="1" applyBorder="1" applyAlignment="1"/>
    <xf numFmtId="41" fontId="2" fillId="0" borderId="103" xfId="0" applyNumberFormat="1" applyFont="1" applyFill="1" applyBorder="1" applyAlignment="1">
      <alignment horizontal="center"/>
    </xf>
    <xf numFmtId="49" fontId="194" fillId="0" borderId="107" xfId="0" applyNumberFormat="1" applyFont="1" applyBorder="1" applyAlignment="1">
      <alignment vertical="center"/>
    </xf>
    <xf numFmtId="0" fontId="3" fillId="0" borderId="108" xfId="0" applyFont="1" applyFill="1" applyBorder="1" applyAlignment="1">
      <alignment horizontal="center" wrapText="1"/>
    </xf>
    <xf numFmtId="0" fontId="5" fillId="2" borderId="107" xfId="0" applyFont="1" applyFill="1" applyBorder="1" applyAlignment="1">
      <alignment horizontal="center" vertical="center"/>
    </xf>
    <xf numFmtId="0" fontId="3" fillId="0" borderId="107" xfId="0" applyFont="1" applyFill="1" applyBorder="1" applyAlignment="1">
      <alignment horizontal="center" vertical="center" wrapText="1"/>
    </xf>
    <xf numFmtId="171" fontId="22" fillId="0" borderId="59" xfId="0" applyNumberFormat="1" applyFont="1" applyFill="1" applyBorder="1" applyAlignment="1">
      <alignment horizontal="center" vertical="center"/>
    </xf>
    <xf numFmtId="171" fontId="22" fillId="0" borderId="59" xfId="0" applyNumberFormat="1" applyFont="1" applyFill="1" applyBorder="1" applyAlignment="1">
      <alignment horizontal="center" vertical="center" wrapText="1"/>
    </xf>
    <xf numFmtId="171" fontId="21" fillId="0" borderId="59" xfId="0" applyNumberFormat="1" applyFont="1" applyFill="1" applyBorder="1" applyAlignment="1">
      <alignment vertical="center"/>
    </xf>
    <xf numFmtId="167" fontId="2" fillId="0" borderId="24" xfId="1" applyNumberFormat="1" applyFont="1" applyFill="1" applyBorder="1" applyAlignment="1">
      <alignment horizontal="center"/>
    </xf>
    <xf numFmtId="11" fontId="2" fillId="2" borderId="107" xfId="0" quotePrefix="1" applyNumberFormat="1" applyFont="1" applyFill="1" applyBorder="1" applyAlignment="1">
      <alignment horizontal="center"/>
    </xf>
    <xf numFmtId="167" fontId="2" fillId="0" borderId="83" xfId="1" quotePrefix="1" applyNumberFormat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vertical="center"/>
    </xf>
    <xf numFmtId="49" fontId="2" fillId="0" borderId="34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20" fillId="3" borderId="1" xfId="0" applyFont="1" applyFill="1" applyBorder="1" applyAlignment="1">
      <alignment horizontal="center" vertical="center" wrapText="1"/>
    </xf>
    <xf numFmtId="0" fontId="2" fillId="0" borderId="107" xfId="2" quotePrefix="1" applyNumberFormat="1" applyFont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0" fontId="24" fillId="2" borderId="24" xfId="0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74" fontId="2" fillId="0" borderId="107" xfId="0" quotePrefix="1" applyNumberFormat="1" applyFont="1" applyBorder="1" applyAlignment="1">
      <alignment horizontal="center"/>
    </xf>
    <xf numFmtId="3" fontId="12" fillId="5" borderId="107" xfId="1" applyNumberFormat="1" applyFont="1" applyFill="1" applyBorder="1" applyAlignment="1">
      <alignment wrapText="1"/>
    </xf>
    <xf numFmtId="167" fontId="21" fillId="13" borderId="107" xfId="1" applyNumberFormat="1" applyFont="1" applyFill="1" applyBorder="1" applyAlignment="1">
      <alignment vertical="center"/>
    </xf>
    <xf numFmtId="171" fontId="21" fillId="16" borderId="107" xfId="0" applyNumberFormat="1" applyFont="1" applyFill="1" applyBorder="1" applyAlignment="1">
      <alignment vertical="center"/>
    </xf>
    <xf numFmtId="187" fontId="2" fillId="5" borderId="107" xfId="1" quotePrefix="1" applyNumberFormat="1" applyFont="1" applyFill="1" applyBorder="1" applyAlignment="1">
      <alignment horizontal="right" shrinkToFit="1"/>
    </xf>
    <xf numFmtId="164" fontId="3" fillId="0" borderId="108" xfId="0" applyNumberFormat="1" applyFont="1" applyBorder="1" applyAlignment="1">
      <alignment horizontal="center"/>
    </xf>
    <xf numFmtId="174" fontId="2" fillId="0" borderId="108" xfId="0" quotePrefix="1" applyNumberFormat="1" applyFont="1" applyBorder="1" applyAlignment="1">
      <alignment horizontal="center"/>
    </xf>
    <xf numFmtId="167" fontId="12" fillId="5" borderId="10" xfId="1" quotePrefix="1" applyNumberFormat="1" applyFont="1" applyFill="1" applyBorder="1" applyAlignment="1">
      <alignment horizontal="center" wrapText="1"/>
    </xf>
    <xf numFmtId="3" fontId="12" fillId="5" borderId="108" xfId="1" applyNumberFormat="1" applyFont="1" applyFill="1" applyBorder="1" applyAlignment="1">
      <alignment wrapText="1"/>
    </xf>
    <xf numFmtId="0" fontId="2" fillId="2" borderId="109" xfId="0" quotePrefix="1" applyFont="1" applyFill="1" applyBorder="1" applyAlignment="1">
      <alignment horizontal="left" wrapText="1"/>
    </xf>
    <xf numFmtId="0" fontId="2" fillId="2" borderId="108" xfId="0" quotePrefix="1" applyFont="1" applyFill="1" applyBorder="1" applyAlignment="1">
      <alignment horizontal="center" wrapText="1"/>
    </xf>
    <xf numFmtId="4" fontId="2" fillId="2" borderId="107" xfId="0" quotePrefix="1" applyNumberFormat="1" applyFont="1" applyFill="1" applyBorder="1" applyAlignment="1">
      <alignment horizontal="left" wrapText="1"/>
    </xf>
    <xf numFmtId="49" fontId="2" fillId="0" borderId="24" xfId="2" quotePrefix="1" applyNumberFormat="1" applyFont="1" applyFill="1" applyBorder="1" applyAlignment="1">
      <alignment vertical="center" wrapText="1"/>
    </xf>
    <xf numFmtId="171" fontId="21" fillId="0" borderId="107" xfId="1" applyNumberFormat="1" applyFont="1" applyFill="1" applyBorder="1" applyAlignment="1">
      <alignment vertical="center"/>
    </xf>
    <xf numFmtId="0" fontId="20" fillId="3" borderId="107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wrapText="1"/>
    </xf>
    <xf numFmtId="165" fontId="2" fillId="0" borderId="24" xfId="0" quotePrefix="1" applyNumberFormat="1" applyFont="1" applyBorder="1" applyAlignment="1">
      <alignment horizontal="center" vertical="center"/>
    </xf>
    <xf numFmtId="167" fontId="12" fillId="5" borderId="118" xfId="1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164" fontId="136" fillId="2" borderId="112" xfId="0" applyNumberFormat="1" applyFont="1" applyFill="1" applyBorder="1" applyAlignment="1">
      <alignment horizontal="center" vertical="center"/>
    </xf>
    <xf numFmtId="1" fontId="2" fillId="0" borderId="34" xfId="2" quotePrefix="1" applyNumberFormat="1" applyFont="1" applyBorder="1" applyAlignment="1">
      <alignment horizontal="center" vertical="center"/>
    </xf>
    <xf numFmtId="1" fontId="2" fillId="0" borderId="112" xfId="2" quotePrefix="1" applyNumberFormat="1" applyFont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/>
    </xf>
    <xf numFmtId="164" fontId="5" fillId="0" borderId="112" xfId="0" applyNumberFormat="1" applyFont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2" fillId="5" borderId="20" xfId="1" quotePrefix="1" applyNumberFormat="1" applyFont="1" applyFill="1" applyBorder="1" applyAlignment="1">
      <alignment horizontal="center" vertical="center"/>
    </xf>
    <xf numFmtId="167" fontId="2" fillId="5" borderId="23" xfId="1" quotePrefix="1" applyNumberFormat="1" applyFont="1" applyFill="1" applyBorder="1" applyAlignment="1">
      <alignment horizontal="center"/>
    </xf>
    <xf numFmtId="164" fontId="5" fillId="0" borderId="130" xfId="0" applyNumberFormat="1" applyFont="1" applyFill="1" applyBorder="1" applyAlignment="1">
      <alignment horizontal="center" wrapText="1"/>
    </xf>
    <xf numFmtId="49" fontId="56" fillId="0" borderId="130" xfId="0" applyNumberFormat="1" applyFont="1" applyFill="1" applyBorder="1" applyAlignment="1"/>
    <xf numFmtId="49" fontId="173" fillId="0" borderId="132" xfId="0" applyNumberFormat="1" applyFont="1" applyFill="1" applyBorder="1" applyAlignment="1"/>
    <xf numFmtId="49" fontId="56" fillId="0" borderId="130" xfId="0" applyNumberFormat="1" applyFont="1" applyFill="1" applyBorder="1" applyAlignment="1">
      <alignment vertical="top"/>
    </xf>
    <xf numFmtId="164" fontId="164" fillId="0" borderId="34" xfId="0" applyNumberFormat="1" applyFont="1" applyBorder="1" applyAlignment="1">
      <alignment horizontal="center" vertical="center"/>
    </xf>
    <xf numFmtId="165" fontId="2" fillId="0" borderId="112" xfId="0" quotePrefix="1" applyNumberFormat="1" applyFont="1" applyBorder="1" applyAlignment="1">
      <alignment horizontal="center" vertical="center"/>
    </xf>
    <xf numFmtId="167" fontId="2" fillId="0" borderId="34" xfId="2" quotePrefix="1" applyNumberFormat="1" applyFont="1" applyBorder="1" applyAlignment="1">
      <alignment horizontal="center" vertical="center"/>
    </xf>
    <xf numFmtId="171" fontId="14" fillId="70" borderId="107" xfId="1" applyNumberFormat="1" applyFont="1" applyFill="1" applyBorder="1" applyAlignment="1">
      <alignment horizontal="left" vertical="center"/>
    </xf>
    <xf numFmtId="171" fontId="14" fillId="70" borderId="1" xfId="1" applyNumberFormat="1" applyFont="1" applyFill="1" applyBorder="1" applyAlignment="1">
      <alignment horizontal="left" vertical="center"/>
    </xf>
    <xf numFmtId="164" fontId="164" fillId="0" borderId="125" xfId="0" applyNumberFormat="1" applyFont="1" applyBorder="1" applyAlignment="1">
      <alignment horizontal="center" vertical="center"/>
    </xf>
    <xf numFmtId="165" fontId="2" fillId="0" borderId="125" xfId="0" quotePrefix="1" applyNumberFormat="1" applyFont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vertical="center" wrapText="1"/>
    </xf>
    <xf numFmtId="164" fontId="164" fillId="0" borderId="112" xfId="0" applyNumberFormat="1" applyFont="1" applyBorder="1" applyAlignment="1">
      <alignment horizontal="center" vertical="center"/>
    </xf>
    <xf numFmtId="167" fontId="2" fillId="0" borderId="112" xfId="2" quotePrefix="1" applyNumberFormat="1" applyFont="1" applyBorder="1" applyAlignment="1">
      <alignment horizontal="center" vertical="center"/>
    </xf>
    <xf numFmtId="49" fontId="12" fillId="5" borderId="112" xfId="1" quotePrefix="1" applyNumberFormat="1" applyFont="1" applyFill="1" applyBorder="1" applyAlignment="1">
      <alignment horizontal="center" vertical="center"/>
    </xf>
    <xf numFmtId="167" fontId="12" fillId="5" borderId="125" xfId="1" quotePrefix="1" applyNumberFormat="1" applyFont="1" applyFill="1" applyBorder="1" applyAlignment="1">
      <alignment vertical="center" wrapText="1"/>
    </xf>
    <xf numFmtId="164" fontId="164" fillId="0" borderId="122" xfId="0" applyNumberFormat="1" applyFont="1" applyBorder="1" applyAlignment="1">
      <alignment horizontal="center" vertical="center"/>
    </xf>
    <xf numFmtId="167" fontId="2" fillId="0" borderId="122" xfId="2" quotePrefix="1" applyNumberFormat="1" applyFont="1" applyBorder="1" applyAlignment="1">
      <alignment horizontal="center" vertical="center"/>
    </xf>
    <xf numFmtId="165" fontId="2" fillId="0" borderId="107" xfId="0" quotePrefix="1" applyNumberFormat="1" applyFont="1" applyBorder="1" applyAlignment="1">
      <alignment horizontal="center" vertical="center"/>
    </xf>
    <xf numFmtId="3" fontId="2" fillId="2" borderId="107" xfId="0" applyNumberFormat="1" applyFont="1" applyFill="1" applyBorder="1" applyAlignment="1">
      <alignment horizontal="center" vertical="center" wrapText="1"/>
    </xf>
    <xf numFmtId="167" fontId="2" fillId="0" borderId="107" xfId="2" quotePrefix="1" applyNumberFormat="1" applyFont="1" applyBorder="1" applyAlignment="1">
      <alignment horizontal="center" vertical="center"/>
    </xf>
    <xf numFmtId="0" fontId="2" fillId="2" borderId="107" xfId="0" quotePrefix="1" applyFont="1" applyFill="1" applyBorder="1" applyAlignment="1">
      <alignment horizontal="left" vertical="center"/>
    </xf>
    <xf numFmtId="164" fontId="164" fillId="0" borderId="111" xfId="0" applyNumberFormat="1" applyFont="1" applyBorder="1" applyAlignment="1">
      <alignment horizontal="center" vertical="center"/>
    </xf>
    <xf numFmtId="167" fontId="2" fillId="0" borderId="111" xfId="2" quotePrefix="1" applyNumberFormat="1" applyFont="1" applyBorder="1" applyAlignment="1">
      <alignment horizontal="center" vertical="center"/>
    </xf>
    <xf numFmtId="3" fontId="2" fillId="2" borderId="112" xfId="0" applyNumberFormat="1" applyFont="1" applyFill="1" applyBorder="1" applyAlignment="1">
      <alignment vertical="center"/>
    </xf>
    <xf numFmtId="167" fontId="2" fillId="0" borderId="112" xfId="2" quotePrefix="1" applyNumberFormat="1" applyFont="1" applyBorder="1" applyAlignment="1">
      <alignment vertical="center"/>
    </xf>
    <xf numFmtId="43" fontId="2" fillId="0" borderId="112" xfId="2" quotePrefix="1" applyNumberFormat="1" applyFont="1" applyFill="1" applyBorder="1" applyAlignment="1">
      <alignment horizontal="center" vertical="center"/>
    </xf>
    <xf numFmtId="167" fontId="14" fillId="70" borderId="108" xfId="1" applyNumberFormat="1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 vertical="center"/>
    </xf>
    <xf numFmtId="171" fontId="14" fillId="70" borderId="108" xfId="1" applyNumberFormat="1" applyFont="1" applyFill="1" applyBorder="1" applyAlignment="1">
      <alignment horizontal="left" vertical="center"/>
    </xf>
    <xf numFmtId="167" fontId="31" fillId="15" borderId="108" xfId="1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left"/>
    </xf>
    <xf numFmtId="165" fontId="2" fillId="0" borderId="24" xfId="0" applyNumberFormat="1" applyFont="1" applyBorder="1" applyAlignment="1">
      <alignment horizontal="center"/>
    </xf>
    <xf numFmtId="0" fontId="20" fillId="2" borderId="24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/>
    </xf>
    <xf numFmtId="164" fontId="136" fillId="2" borderId="107" xfId="0" applyNumberFormat="1" applyFont="1" applyFill="1" applyBorder="1" applyAlignment="1">
      <alignment horizontal="center" vertical="center"/>
    </xf>
    <xf numFmtId="0" fontId="2" fillId="2" borderId="107" xfId="0" applyFont="1" applyFill="1" applyBorder="1" applyAlignment="1">
      <alignment wrapText="1"/>
    </xf>
    <xf numFmtId="0" fontId="14" fillId="2" borderId="107" xfId="0" applyFont="1" applyFill="1" applyBorder="1" applyAlignment="1">
      <alignment wrapText="1"/>
    </xf>
    <xf numFmtId="0" fontId="5" fillId="2" borderId="107" xfId="0" applyFont="1" applyFill="1" applyBorder="1" applyAlignment="1">
      <alignment wrapText="1"/>
    </xf>
    <xf numFmtId="49" fontId="5" fillId="2" borderId="131" xfId="0" applyNumberFormat="1" applyFont="1" applyFill="1" applyBorder="1" applyAlignment="1">
      <alignment wrapText="1"/>
    </xf>
    <xf numFmtId="164" fontId="10" fillId="0" borderId="108" xfId="0" applyNumberFormat="1" applyFont="1" applyBorder="1" applyAlignment="1">
      <alignment horizontal="center" vertical="center"/>
    </xf>
    <xf numFmtId="164" fontId="10" fillId="0" borderId="108" xfId="0" applyNumberFormat="1" applyFont="1" applyBorder="1" applyAlignment="1">
      <alignment horizontal="center" vertical="center" wrapText="1"/>
    </xf>
    <xf numFmtId="171" fontId="31" fillId="14" borderId="108" xfId="1" applyNumberFormat="1" applyFont="1" applyFill="1" applyBorder="1" applyAlignment="1">
      <alignment horizontal="center" vertical="center" wrapText="1"/>
    </xf>
    <xf numFmtId="171" fontId="31" fillId="8" borderId="108" xfId="1" applyNumberFormat="1" applyFont="1" applyFill="1" applyBorder="1" applyAlignment="1">
      <alignment horizontal="center" vertical="center" wrapText="1"/>
    </xf>
    <xf numFmtId="167" fontId="31" fillId="8" borderId="108" xfId="1" applyNumberFormat="1" applyFont="1" applyFill="1" applyBorder="1" applyAlignment="1">
      <alignment horizontal="center" vertical="center"/>
    </xf>
    <xf numFmtId="167" fontId="31" fillId="8" borderId="108" xfId="1" applyNumberFormat="1" applyFont="1" applyFill="1" applyBorder="1" applyAlignment="1">
      <alignment horizontal="center" vertical="center" wrapText="1"/>
    </xf>
    <xf numFmtId="0" fontId="3" fillId="8" borderId="108" xfId="0" applyFont="1" applyFill="1" applyBorder="1" applyAlignment="1">
      <alignment horizontal="center" vertical="center" wrapText="1"/>
    </xf>
    <xf numFmtId="49" fontId="5" fillId="8" borderId="107" xfId="0" applyNumberFormat="1" applyFont="1" applyFill="1" applyBorder="1" applyAlignment="1">
      <alignment horizontal="center" vertical="center" wrapText="1"/>
    </xf>
    <xf numFmtId="14" fontId="2" fillId="0" borderId="107" xfId="0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/>
    <xf numFmtId="167" fontId="14" fillId="2" borderId="107" xfId="1" applyNumberFormat="1" applyFont="1" applyFill="1" applyBorder="1" applyAlignment="1"/>
    <xf numFmtId="0" fontId="3" fillId="2" borderId="107" xfId="0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horizontal="left"/>
    </xf>
    <xf numFmtId="167" fontId="31" fillId="2" borderId="107" xfId="1" applyNumberFormat="1" applyFont="1" applyFill="1" applyBorder="1" applyAlignment="1"/>
    <xf numFmtId="49" fontId="5" fillId="2" borderId="107" xfId="0" applyNumberFormat="1" applyFont="1" applyFill="1" applyBorder="1" applyAlignment="1">
      <alignment horizontal="center"/>
    </xf>
    <xf numFmtId="0" fontId="21" fillId="2" borderId="107" xfId="0" applyFont="1" applyFill="1" applyBorder="1" applyAlignment="1">
      <alignment vertical="center" wrapText="1"/>
    </xf>
    <xf numFmtId="0" fontId="19" fillId="2" borderId="107" xfId="0" applyFont="1" applyFill="1" applyBorder="1" applyAlignment="1">
      <alignment vertical="center" wrapText="1"/>
    </xf>
    <xf numFmtId="0" fontId="24" fillId="2" borderId="107" xfId="0" applyFont="1" applyFill="1" applyBorder="1" applyAlignment="1">
      <alignment vertical="center" wrapText="1"/>
    </xf>
    <xf numFmtId="49" fontId="24" fillId="2" borderId="107" xfId="0" applyNumberFormat="1" applyFont="1" applyFill="1" applyBorder="1" applyAlignment="1">
      <alignment vertical="center" wrapText="1"/>
    </xf>
    <xf numFmtId="171" fontId="31" fillId="8" borderId="107" xfId="1" applyNumberFormat="1" applyFont="1" applyFill="1" applyBorder="1" applyAlignment="1">
      <alignment horizontal="center" vertical="center" wrapText="1"/>
    </xf>
    <xf numFmtId="167" fontId="31" fillId="8" borderId="107" xfId="1" applyNumberFormat="1" applyFont="1" applyFill="1" applyBorder="1" applyAlignment="1">
      <alignment horizontal="center" vertical="center" wrapText="1"/>
    </xf>
    <xf numFmtId="0" fontId="31" fillId="8" borderId="107" xfId="0" applyFont="1" applyFill="1" applyBorder="1" applyAlignment="1">
      <alignment horizontal="center" vertical="center" wrapText="1"/>
    </xf>
    <xf numFmtId="0" fontId="3" fillId="8" borderId="107" xfId="0" applyFont="1" applyFill="1" applyBorder="1" applyAlignment="1">
      <alignment horizontal="center" vertical="center" wrapText="1"/>
    </xf>
    <xf numFmtId="3" fontId="12" fillId="11" borderId="34" xfId="1" applyNumberFormat="1" applyFont="1" applyFill="1" applyBorder="1" applyAlignment="1"/>
    <xf numFmtId="0" fontId="2" fillId="3" borderId="34" xfId="0" quotePrefix="1" applyFont="1" applyFill="1" applyBorder="1" applyAlignment="1">
      <alignment horizontal="left"/>
    </xf>
    <xf numFmtId="164" fontId="2" fillId="0" borderId="24" xfId="0" quotePrefix="1" applyNumberFormat="1" applyFont="1" applyBorder="1" applyAlignment="1">
      <alignment horizontal="center" wrapText="1"/>
    </xf>
    <xf numFmtId="0" fontId="21" fillId="2" borderId="107" xfId="0" applyFont="1" applyFill="1" applyBorder="1" applyAlignment="1">
      <alignment vertical="center"/>
    </xf>
    <xf numFmtId="171" fontId="21" fillId="2" borderId="107" xfId="1" applyNumberFormat="1" applyFont="1" applyFill="1" applyBorder="1" applyAlignment="1">
      <alignment horizontal="left" vertical="center" indent="1"/>
    </xf>
    <xf numFmtId="167" fontId="23" fillId="2" borderId="107" xfId="1" applyNumberFormat="1" applyFont="1" applyFill="1" applyBorder="1" applyAlignment="1">
      <alignment vertical="center"/>
    </xf>
    <xf numFmtId="0" fontId="3" fillId="0" borderId="107" xfId="0" quotePrefix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4" fillId="9" borderId="107" xfId="1" applyNumberFormat="1" applyFont="1" applyFill="1" applyBorder="1" applyAlignment="1">
      <alignment vertical="center"/>
    </xf>
    <xf numFmtId="171" fontId="14" fillId="10" borderId="107" xfId="1" applyNumberFormat="1" applyFont="1" applyFill="1" applyBorder="1" applyAlignment="1">
      <alignment vertical="center"/>
    </xf>
    <xf numFmtId="49" fontId="5" fillId="2" borderId="107" xfId="0" applyNumberFormat="1" applyFont="1" applyFill="1" applyBorder="1" applyAlignment="1">
      <alignment horizontal="center" vertical="center"/>
    </xf>
    <xf numFmtId="0" fontId="2" fillId="0" borderId="75" xfId="0" applyFont="1" applyBorder="1" applyAlignment="1">
      <alignment horizontal="center"/>
    </xf>
    <xf numFmtId="164" fontId="164" fillId="0" borderId="75" xfId="0" applyNumberFormat="1" applyFont="1" applyFill="1" applyBorder="1" applyAlignment="1">
      <alignment horizontal="center" wrapText="1"/>
    </xf>
    <xf numFmtId="164" fontId="5" fillId="0" borderId="75" xfId="0" applyNumberFormat="1" applyFont="1" applyFill="1" applyBorder="1" applyAlignment="1">
      <alignment horizontal="center" wrapText="1"/>
    </xf>
    <xf numFmtId="164" fontId="3" fillId="0" borderId="75" xfId="0" applyNumberFormat="1" applyFont="1" applyBorder="1" applyAlignment="1">
      <alignment horizontal="center"/>
    </xf>
    <xf numFmtId="49" fontId="2" fillId="2" borderId="20" xfId="2" quotePrefix="1" applyNumberFormat="1" applyFont="1" applyFill="1" applyBorder="1" applyAlignment="1">
      <alignment horizont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0" fontId="2" fillId="0" borderId="107" xfId="0" applyFont="1" applyBorder="1" applyAlignment="1">
      <alignment horizontal="center" vertical="center"/>
    </xf>
    <xf numFmtId="164" fontId="164" fillId="0" borderId="107" xfId="0" applyNumberFormat="1" applyFont="1" applyFill="1" applyBorder="1" applyAlignment="1">
      <alignment horizontal="center" vertical="center" wrapText="1"/>
    </xf>
    <xf numFmtId="164" fontId="5" fillId="0" borderId="107" xfId="0" applyNumberFormat="1" applyFont="1" applyFill="1" applyBorder="1" applyAlignment="1">
      <alignment horizontal="center" vertical="center" wrapText="1"/>
    </xf>
    <xf numFmtId="164" fontId="3" fillId="0" borderId="83" xfId="0" applyNumberFormat="1" applyFont="1" applyBorder="1" applyAlignment="1">
      <alignment horizontal="center" vertical="center"/>
    </xf>
    <xf numFmtId="49" fontId="2" fillId="0" borderId="75" xfId="2" quotePrefix="1" applyNumberFormat="1" applyFont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 vertical="center" wrapText="1"/>
    </xf>
    <xf numFmtId="0" fontId="2" fillId="2" borderId="107" xfId="0" quotePrefix="1" applyFont="1" applyFill="1" applyBorder="1" applyAlignment="1">
      <alignment horizontal="center" vertical="center"/>
    </xf>
    <xf numFmtId="167" fontId="23" fillId="8" borderId="24" xfId="1" applyNumberFormat="1" applyFont="1" applyFill="1" applyBorder="1" applyAlignment="1">
      <alignment vertical="center"/>
    </xf>
    <xf numFmtId="170" fontId="19" fillId="0" borderId="1" xfId="0" applyNumberFormat="1" applyFont="1" applyFill="1" applyBorder="1" applyAlignment="1">
      <alignment horizontal="center" vertical="center" wrapText="1"/>
    </xf>
    <xf numFmtId="2" fontId="2" fillId="0" borderId="107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5" fontId="6" fillId="0" borderId="83" xfId="0" applyNumberFormat="1" applyFont="1" applyFill="1" applyBorder="1" applyAlignment="1">
      <alignment horizontal="center"/>
    </xf>
    <xf numFmtId="164" fontId="136" fillId="2" borderId="1" xfId="0" applyNumberFormat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left" vertical="center"/>
    </xf>
    <xf numFmtId="0" fontId="2" fillId="2" borderId="73" xfId="0" quotePrefix="1" applyFont="1" applyFill="1" applyBorder="1" applyAlignment="1">
      <alignment horizontal="center" vertical="center"/>
    </xf>
    <xf numFmtId="167" fontId="19" fillId="10" borderId="107" xfId="1" applyNumberFormat="1" applyFont="1" applyFill="1" applyBorder="1" applyAlignment="1"/>
    <xf numFmtId="49" fontId="2" fillId="0" borderId="107" xfId="2" quotePrefix="1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/>
    </xf>
    <xf numFmtId="167" fontId="14" fillId="2" borderId="111" xfId="1" applyNumberFormat="1" applyFont="1" applyFill="1" applyBorder="1" applyAlignment="1">
      <alignment vertical="center"/>
    </xf>
    <xf numFmtId="171" fontId="14" fillId="2" borderId="111" xfId="1" applyNumberFormat="1" applyFont="1" applyFill="1" applyBorder="1" applyAlignment="1">
      <alignment vertical="center"/>
    </xf>
    <xf numFmtId="0" fontId="3" fillId="2" borderId="111" xfId="0" applyFont="1" applyFill="1" applyBorder="1" applyAlignment="1">
      <alignment horizontal="center" vertical="center"/>
    </xf>
    <xf numFmtId="49" fontId="56" fillId="0" borderId="152" xfId="0" applyNumberFormat="1" applyFont="1" applyBorder="1" applyAlignment="1">
      <alignment vertical="center"/>
    </xf>
    <xf numFmtId="0" fontId="2" fillId="2" borderId="130" xfId="0" quotePrefix="1" applyFont="1" applyFill="1" applyBorder="1" applyAlignment="1">
      <alignment horizontal="left"/>
    </xf>
    <xf numFmtId="0" fontId="3" fillId="9" borderId="0" xfId="0" applyFont="1" applyFill="1" applyBorder="1" applyAlignment="1">
      <alignment horizontal="center"/>
    </xf>
    <xf numFmtId="164" fontId="5" fillId="3" borderId="0" xfId="0" applyNumberFormat="1" applyFont="1" applyFill="1" applyBorder="1"/>
    <xf numFmtId="0" fontId="26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70" fontId="25" fillId="2" borderId="1" xfId="0" applyNumberFormat="1" applyFont="1" applyFill="1" applyBorder="1" applyAlignment="1">
      <alignment vertical="center"/>
    </xf>
    <xf numFmtId="170" fontId="25" fillId="2" borderId="107" xfId="0" applyNumberFormat="1" applyFont="1" applyFill="1" applyBorder="1" applyAlignment="1">
      <alignment vertical="center"/>
    </xf>
    <xf numFmtId="170" fontId="30" fillId="2" borderId="1" xfId="0" applyNumberFormat="1" applyFont="1" applyFill="1" applyBorder="1" applyAlignment="1">
      <alignment vertical="center"/>
    </xf>
    <xf numFmtId="164" fontId="5" fillId="3" borderId="19" xfId="0" applyNumberFormat="1" applyFont="1" applyFill="1" applyBorder="1" applyAlignment="1"/>
    <xf numFmtId="0" fontId="2" fillId="3" borderId="108" xfId="0" applyFont="1" applyFill="1" applyBorder="1" applyAlignment="1">
      <alignment horizontal="center" vertical="center"/>
    </xf>
    <xf numFmtId="1" fontId="12" fillId="5" borderId="107" xfId="1" quotePrefix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wrapText="1"/>
    </xf>
    <xf numFmtId="164" fontId="2" fillId="0" borderId="107" xfId="0" quotePrefix="1" applyNumberFormat="1" applyFont="1" applyFill="1" applyBorder="1" applyAlignment="1">
      <alignment horizontal="center" wrapText="1"/>
    </xf>
    <xf numFmtId="167" fontId="12" fillId="5" borderId="113" xfId="1" quotePrefix="1" applyNumberFormat="1" applyFont="1" applyFill="1" applyBorder="1" applyAlignment="1">
      <alignment horizontal="center"/>
    </xf>
    <xf numFmtId="164" fontId="2" fillId="0" borderId="111" xfId="0" applyNumberFormat="1" applyFont="1" applyBorder="1" applyAlignment="1">
      <alignment horizontal="center"/>
    </xf>
    <xf numFmtId="0" fontId="2" fillId="0" borderId="108" xfId="0" applyFont="1" applyFill="1" applyBorder="1" applyAlignment="1">
      <alignment horizontal="center" vertical="center"/>
    </xf>
    <xf numFmtId="3" fontId="2" fillId="2" borderId="108" xfId="0" applyNumberFormat="1" applyFont="1" applyFill="1" applyBorder="1" applyAlignment="1">
      <alignment horizontal="center" vertical="center"/>
    </xf>
    <xf numFmtId="1" fontId="12" fillId="5" borderId="108" xfId="1" quotePrefix="1" applyNumberFormat="1" applyFont="1" applyFill="1" applyBorder="1" applyAlignment="1">
      <alignment horizontal="center" vertical="center"/>
    </xf>
    <xf numFmtId="49" fontId="12" fillId="5" borderId="108" xfId="1" quotePrefix="1" applyNumberFormat="1" applyFont="1" applyFill="1" applyBorder="1" applyAlignment="1">
      <alignment horizontal="center"/>
    </xf>
    <xf numFmtId="1" fontId="12" fillId="5" borderId="24" xfId="1" quotePrefix="1" applyNumberFormat="1" applyFont="1" applyFill="1" applyBorder="1" applyAlignment="1">
      <alignment horizontal="center" vertical="center"/>
    </xf>
    <xf numFmtId="49" fontId="12" fillId="5" borderId="24" xfId="1" quotePrefix="1" applyNumberFormat="1" applyFont="1" applyFill="1" applyBorder="1" applyAlignment="1">
      <alignment horizontal="center"/>
    </xf>
    <xf numFmtId="164" fontId="10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3" fillId="0" borderId="24" xfId="0" quotePrefix="1" applyFont="1" applyFill="1" applyBorder="1" applyAlignment="1">
      <alignment horizontal="center"/>
    </xf>
    <xf numFmtId="167" fontId="21" fillId="0" borderId="24" xfId="1" applyNumberFormat="1" applyFont="1" applyFill="1" applyBorder="1" applyAlignment="1"/>
    <xf numFmtId="167" fontId="21" fillId="0" borderId="24" xfId="1" applyNumberFormat="1" applyFont="1" applyFill="1" applyBorder="1" applyAlignment="1">
      <alignment horizontal="center"/>
    </xf>
    <xf numFmtId="171" fontId="21" fillId="0" borderId="24" xfId="1" applyNumberFormat="1" applyFont="1" applyFill="1" applyBorder="1" applyAlignment="1"/>
    <xf numFmtId="167" fontId="21" fillId="0" borderId="24" xfId="1" applyNumberFormat="1" applyFont="1" applyFill="1" applyBorder="1" applyAlignment="1">
      <alignment horizontal="left"/>
    </xf>
    <xf numFmtId="167" fontId="19" fillId="0" borderId="24" xfId="1" applyNumberFormat="1" applyFont="1" applyFill="1" applyBorder="1" applyAlignment="1"/>
    <xf numFmtId="171" fontId="21" fillId="0" borderId="24" xfId="1" applyNumberFormat="1" applyFont="1" applyFill="1" applyBorder="1" applyAlignment="1">
      <alignment horizontal="left"/>
    </xf>
    <xf numFmtId="0" fontId="20" fillId="0" borderId="24" xfId="0" applyFont="1" applyFill="1" applyBorder="1" applyAlignment="1">
      <alignment horizontal="center"/>
    </xf>
    <xf numFmtId="171" fontId="23" fillId="0" borderId="24" xfId="1" applyNumberFormat="1" applyFont="1" applyFill="1" applyBorder="1" applyAlignment="1">
      <alignment horizontal="left"/>
    </xf>
    <xf numFmtId="3" fontId="2" fillId="0" borderId="0" xfId="0" applyNumberFormat="1" applyFont="1" applyFill="1" applyBorder="1" applyAlignment="1">
      <alignment horizontal="center"/>
    </xf>
    <xf numFmtId="3" fontId="2" fillId="2" borderId="43" xfId="0" applyNumberFormat="1" applyFont="1" applyFill="1" applyBorder="1" applyAlignment="1">
      <alignment horizontal="center"/>
    </xf>
    <xf numFmtId="14" fontId="2" fillId="0" borderId="24" xfId="0" applyNumberFormat="1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wrapText="1"/>
    </xf>
    <xf numFmtId="167" fontId="12" fillId="5" borderId="125" xfId="1" quotePrefix="1" applyNumberFormat="1" applyFont="1" applyFill="1" applyBorder="1" applyAlignment="1">
      <alignment horizontal="center" vertical="center" wrapText="1"/>
    </xf>
    <xf numFmtId="0" fontId="3" fillId="3" borderId="107" xfId="0" applyFont="1" applyFill="1" applyBorder="1" applyAlignment="1"/>
    <xf numFmtId="49" fontId="2" fillId="2" borderId="43" xfId="2" quotePrefix="1" applyNumberFormat="1" applyFont="1" applyFill="1" applyBorder="1" applyAlignment="1">
      <alignment horizontal="center" vertical="center" wrapText="1"/>
    </xf>
    <xf numFmtId="1" fontId="2" fillId="0" borderId="108" xfId="0" applyNumberFormat="1" applyFont="1" applyBorder="1" applyAlignment="1">
      <alignment horizontal="center"/>
    </xf>
    <xf numFmtId="0" fontId="196" fillId="0" borderId="107" xfId="0" applyFont="1" applyFill="1" applyBorder="1" applyAlignment="1">
      <alignment vertical="center" wrapText="1"/>
    </xf>
    <xf numFmtId="11" fontId="2" fillId="0" borderId="107" xfId="0" applyNumberFormat="1" applyFont="1" applyFill="1" applyBorder="1" applyAlignment="1">
      <alignment horizontal="center"/>
    </xf>
    <xf numFmtId="164" fontId="5" fillId="3" borderId="83" xfId="0" applyNumberFormat="1" applyFont="1" applyFill="1" applyBorder="1" applyAlignment="1">
      <alignment horizontal="center"/>
    </xf>
    <xf numFmtId="14" fontId="2" fillId="0" borderId="107" xfId="0" quotePrefix="1" applyNumberFormat="1" applyFont="1" applyFill="1" applyBorder="1" applyAlignment="1">
      <alignment horizontal="center"/>
    </xf>
    <xf numFmtId="167" fontId="14" fillId="12" borderId="1" xfId="1" applyNumberFormat="1" applyFont="1" applyFill="1" applyBorder="1" applyAlignment="1">
      <alignment vertical="center"/>
    </xf>
    <xf numFmtId="167" fontId="14" fillId="13" borderId="107" xfId="1" applyNumberFormat="1" applyFont="1" applyFill="1" applyBorder="1" applyAlignment="1"/>
    <xf numFmtId="0" fontId="19" fillId="0" borderId="107" xfId="0" applyFont="1" applyFill="1" applyBorder="1" applyAlignment="1">
      <alignment horizontal="center"/>
    </xf>
    <xf numFmtId="41" fontId="21" fillId="14" borderId="107" xfId="1" applyNumberFormat="1" applyFont="1" applyFill="1" applyBorder="1" applyAlignment="1">
      <alignment horizontal="left" vertical="center" indent="1"/>
    </xf>
    <xf numFmtId="41" fontId="21" fillId="0" borderId="107" xfId="1" applyNumberFormat="1" applyFont="1" applyFill="1" applyBorder="1" applyAlignment="1">
      <alignment horizontal="left" vertical="center" indent="1"/>
    </xf>
    <xf numFmtId="0" fontId="5" fillId="0" borderId="1" xfId="0" quotePrefix="1" applyFont="1" applyFill="1" applyBorder="1" applyAlignment="1">
      <alignment horizontal="center" wrapText="1"/>
    </xf>
    <xf numFmtId="0" fontId="24" fillId="2" borderId="1" xfId="0" quotePrefix="1" applyFont="1" applyFill="1" applyBorder="1" applyAlignment="1">
      <alignment horizontal="center" vertical="center"/>
    </xf>
    <xf numFmtId="167" fontId="5" fillId="5" borderId="13" xfId="1" quotePrefix="1" applyNumberFormat="1" applyFont="1" applyFill="1" applyBorder="1" applyAlignment="1">
      <alignment horizontal="center" vertical="center"/>
    </xf>
    <xf numFmtId="164" fontId="136" fillId="2" borderId="112" xfId="0" applyNumberFormat="1" applyFont="1" applyFill="1" applyBorder="1" applyAlignment="1">
      <alignment horizontal="center" vertical="center"/>
    </xf>
    <xf numFmtId="164" fontId="164" fillId="0" borderId="112" xfId="0" applyNumberFormat="1" applyFont="1" applyBorder="1" applyAlignment="1">
      <alignment horizontal="center"/>
    </xf>
    <xf numFmtId="3" fontId="2" fillId="2" borderId="151" xfId="0" applyNumberFormat="1" applyFont="1" applyFill="1" applyBorder="1" applyAlignment="1">
      <alignment horizontal="center" vertical="center"/>
    </xf>
    <xf numFmtId="49" fontId="3" fillId="0" borderId="113" xfId="2" quotePrefix="1" applyNumberFormat="1" applyFont="1" applyBorder="1" applyAlignment="1">
      <alignment horizontal="center" vertical="center"/>
    </xf>
    <xf numFmtId="167" fontId="14" fillId="2" borderId="112" xfId="1" applyNumberFormat="1" applyFont="1" applyFill="1" applyBorder="1" applyAlignment="1">
      <alignment vertical="center"/>
    </xf>
    <xf numFmtId="171" fontId="14" fillId="2" borderId="112" xfId="1" applyNumberFormat="1" applyFont="1" applyFill="1" applyBorder="1" applyAlignment="1">
      <alignment vertical="center"/>
    </xf>
    <xf numFmtId="0" fontId="3" fillId="2" borderId="112" xfId="0" applyFont="1" applyFill="1" applyBorder="1" applyAlignment="1">
      <alignment horizontal="center" vertical="center"/>
    </xf>
    <xf numFmtId="167" fontId="2" fillId="0" borderId="112" xfId="1" quotePrefix="1" applyNumberFormat="1" applyFont="1" applyFill="1" applyBorder="1" applyAlignment="1">
      <alignment horizontal="center" wrapText="1"/>
    </xf>
    <xf numFmtId="167" fontId="2" fillId="0" borderId="39" xfId="1" quotePrefix="1" applyNumberFormat="1" applyFont="1" applyFill="1" applyBorder="1" applyAlignment="1">
      <alignment horizontal="center" vertical="center" wrapText="1"/>
    </xf>
    <xf numFmtId="171" fontId="14" fillId="70" borderId="111" xfId="1" applyNumberFormat="1" applyFont="1" applyFill="1" applyBorder="1" applyAlignment="1">
      <alignment horizontal="left" vertical="center" indent="1"/>
    </xf>
    <xf numFmtId="167" fontId="31" fillId="15" borderId="111" xfId="1" applyNumberFormat="1" applyFont="1" applyFill="1" applyBorder="1" applyAlignment="1">
      <alignment vertical="center"/>
    </xf>
    <xf numFmtId="171" fontId="14" fillId="70" borderId="125" xfId="1" applyNumberFormat="1" applyFont="1" applyFill="1" applyBorder="1" applyAlignment="1">
      <alignment horizontal="left" vertical="center" indent="1"/>
    </xf>
    <xf numFmtId="49" fontId="5" fillId="2" borderId="131" xfId="0" applyNumberFormat="1" applyFont="1" applyFill="1" applyBorder="1" applyAlignment="1">
      <alignment vertical="center" wrapText="1"/>
    </xf>
    <xf numFmtId="49" fontId="5" fillId="8" borderId="131" xfId="0" applyNumberFormat="1" applyFont="1" applyFill="1" applyBorder="1" applyAlignment="1">
      <alignment horizontal="center" vertical="center" wrapText="1"/>
    </xf>
    <xf numFmtId="171" fontId="31" fillId="3" borderId="131" xfId="1" applyNumberFormat="1" applyFont="1" applyFill="1" applyBorder="1" applyAlignment="1">
      <alignment horizontal="left" vertical="center" indent="1"/>
    </xf>
    <xf numFmtId="49" fontId="5" fillId="70" borderId="43" xfId="0" applyNumberFormat="1" applyFont="1" applyFill="1" applyBorder="1" applyAlignment="1">
      <alignment horizontal="center" vertical="center"/>
    </xf>
    <xf numFmtId="49" fontId="5" fillId="70" borderId="131" xfId="0" applyNumberFormat="1" applyFont="1" applyFill="1" applyBorder="1" applyAlignment="1">
      <alignment horizontal="center" vertical="center"/>
    </xf>
    <xf numFmtId="49" fontId="5" fillId="70" borderId="109" xfId="0" applyNumberFormat="1" applyFont="1" applyFill="1" applyBorder="1" applyAlignment="1">
      <alignment horizontal="center" vertical="center"/>
    </xf>
    <xf numFmtId="171" fontId="31" fillId="3" borderId="43" xfId="1" applyNumberFormat="1" applyFont="1" applyFill="1" applyBorder="1" applyAlignment="1">
      <alignment horizontal="left" vertical="center" indent="1"/>
    </xf>
    <xf numFmtId="1" fontId="5" fillId="70" borderId="131" xfId="0" applyNumberFormat="1" applyFont="1" applyFill="1" applyBorder="1" applyAlignment="1">
      <alignment horizontal="center" vertical="center"/>
    </xf>
    <xf numFmtId="171" fontId="31" fillId="3" borderId="109" xfId="1" applyNumberFormat="1" applyFont="1" applyFill="1" applyBorder="1" applyAlignment="1">
      <alignment horizontal="left" vertical="center" indent="1"/>
    </xf>
    <xf numFmtId="49" fontId="5" fillId="2" borderId="131" xfId="0" applyNumberFormat="1" applyFont="1" applyFill="1" applyBorder="1" applyAlignment="1">
      <alignment horizontal="center" vertical="center"/>
    </xf>
    <xf numFmtId="167" fontId="14" fillId="13" borderId="112" xfId="1" applyNumberFormat="1" applyFont="1" applyFill="1" applyBorder="1" applyAlignment="1">
      <alignment vertical="center"/>
    </xf>
    <xf numFmtId="171" fontId="14" fillId="70" borderId="112" xfId="1" applyNumberFormat="1" applyFont="1" applyFill="1" applyBorder="1" applyAlignment="1">
      <alignment horizontal="left" vertical="center" indent="1"/>
    </xf>
    <xf numFmtId="49" fontId="5" fillId="70" borderId="114" xfId="0" applyNumberFormat="1" applyFont="1" applyFill="1" applyBorder="1" applyAlignment="1">
      <alignment horizontal="center" vertical="center"/>
    </xf>
    <xf numFmtId="49" fontId="56" fillId="0" borderId="124" xfId="0" applyNumberFormat="1" applyFont="1" applyBorder="1" applyAlignment="1">
      <alignment vertical="center"/>
    </xf>
    <xf numFmtId="3" fontId="2" fillId="2" borderId="151" xfId="0" applyNumberFormat="1" applyFont="1" applyFill="1" applyBorder="1" applyAlignment="1">
      <alignment horizontal="center"/>
    </xf>
    <xf numFmtId="167" fontId="14" fillId="10" borderId="125" xfId="1" applyNumberFormat="1" applyFont="1" applyFill="1" applyBorder="1" applyAlignment="1">
      <alignment vertical="center"/>
    </xf>
    <xf numFmtId="164" fontId="5" fillId="0" borderId="112" xfId="0" applyNumberFormat="1" applyFont="1" applyBorder="1" applyAlignment="1">
      <alignment horizontal="center"/>
    </xf>
    <xf numFmtId="176" fontId="2" fillId="3" borderId="110" xfId="0" applyNumberFormat="1" applyFont="1" applyFill="1" applyBorder="1" applyAlignment="1">
      <alignment horizontal="center" vertical="center"/>
    </xf>
    <xf numFmtId="167" fontId="2" fillId="0" borderId="151" xfId="1" quotePrefix="1" applyNumberFormat="1" applyFont="1" applyFill="1" applyBorder="1" applyAlignment="1">
      <alignment horizontal="center" wrapText="1"/>
    </xf>
    <xf numFmtId="164" fontId="2" fillId="0" borderId="107" xfId="0" quotePrefix="1" applyNumberFormat="1" applyFont="1" applyFill="1" applyBorder="1" applyAlignment="1">
      <alignment horizontal="center" vertical="center" wrapText="1"/>
    </xf>
    <xf numFmtId="171" fontId="14" fillId="12" borderId="73" xfId="1" applyNumberFormat="1" applyFont="1" applyFill="1" applyBorder="1" applyAlignment="1"/>
    <xf numFmtId="171" fontId="14" fillId="12" borderId="107" xfId="1" applyNumberFormat="1" applyFont="1" applyFill="1" applyBorder="1" applyAlignment="1"/>
    <xf numFmtId="11" fontId="2" fillId="0" borderId="24" xfId="0" applyNumberFormat="1" applyFont="1" applyFill="1" applyBorder="1" applyAlignment="1">
      <alignment horizontal="center" wrapText="1"/>
    </xf>
    <xf numFmtId="167" fontId="14" fillId="13" borderId="111" xfId="1" applyNumberFormat="1" applyFont="1" applyFill="1" applyBorder="1" applyAlignment="1">
      <alignment vertical="center"/>
    </xf>
    <xf numFmtId="165" fontId="2" fillId="0" borderId="24" xfId="0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 wrapText="1"/>
    </xf>
    <xf numFmtId="49" fontId="12" fillId="0" borderId="43" xfId="1" quotePrefix="1" applyNumberFormat="1" applyFont="1" applyFill="1" applyBorder="1" applyAlignment="1">
      <alignment horizontal="center" wrapText="1"/>
    </xf>
    <xf numFmtId="49" fontId="198" fillId="0" borderId="107" xfId="0" applyNumberFormat="1" applyFont="1" applyBorder="1" applyAlignment="1">
      <alignment vertical="center"/>
    </xf>
    <xf numFmtId="0" fontId="5" fillId="0" borderId="107" xfId="0" quotePrefix="1" applyFont="1" applyFill="1" applyBorder="1" applyAlignment="1">
      <alignment horizontal="center"/>
    </xf>
    <xf numFmtId="167" fontId="14" fillId="14" borderId="111" xfId="1" applyNumberFormat="1" applyFont="1" applyFill="1" applyBorder="1" applyAlignment="1">
      <alignment vertical="center"/>
    </xf>
    <xf numFmtId="167" fontId="14" fillId="10" borderId="24" xfId="1" applyNumberFormat="1" applyFont="1" applyFill="1" applyBorder="1" applyAlignment="1">
      <alignment vertical="center"/>
    </xf>
    <xf numFmtId="167" fontId="14" fillId="70" borderId="107" xfId="1" applyNumberFormat="1" applyFont="1" applyFill="1" applyBorder="1" applyAlignment="1"/>
    <xf numFmtId="171" fontId="14" fillId="12" borderId="1" xfId="1" applyNumberFormat="1" applyFont="1" applyFill="1" applyBorder="1" applyAlignment="1"/>
    <xf numFmtId="167" fontId="19" fillId="0" borderId="107" xfId="1" applyNumberFormat="1" applyFont="1" applyFill="1" applyBorder="1" applyAlignment="1"/>
    <xf numFmtId="3" fontId="2" fillId="0" borderId="107" xfId="0" applyNumberFormat="1" applyFont="1" applyFill="1" applyBorder="1" applyAlignment="1"/>
    <xf numFmtId="164" fontId="199" fillId="0" borderId="107" xfId="0" applyNumberFormat="1" applyFont="1" applyBorder="1" applyAlignment="1">
      <alignment horizontal="center"/>
    </xf>
    <xf numFmtId="0" fontId="2" fillId="0" borderId="131" xfId="0" applyFont="1" applyFill="1" applyBorder="1" applyAlignment="1">
      <alignment horizontal="left"/>
    </xf>
    <xf numFmtId="165" fontId="2" fillId="0" borderId="131" xfId="0" applyNumberFormat="1" applyFont="1" applyFill="1" applyBorder="1" applyAlignment="1">
      <alignment horizontal="center"/>
    </xf>
    <xf numFmtId="49" fontId="56" fillId="0" borderId="131" xfId="0" applyNumberFormat="1" applyFont="1" applyFill="1" applyBorder="1" applyAlignment="1">
      <alignment vertical="top"/>
    </xf>
    <xf numFmtId="171" fontId="23" fillId="3" borderId="109" xfId="1" applyNumberFormat="1" applyFont="1" applyFill="1" applyBorder="1" applyAlignment="1">
      <alignment horizontal="left"/>
    </xf>
    <xf numFmtId="171" fontId="23" fillId="0" borderId="131" xfId="1" applyNumberFormat="1" applyFont="1" applyFill="1" applyBorder="1" applyAlignment="1">
      <alignment horizontal="left"/>
    </xf>
    <xf numFmtId="49" fontId="5" fillId="0" borderId="131" xfId="0" applyNumberFormat="1" applyFont="1" applyFill="1" applyBorder="1" applyAlignment="1">
      <alignment horizontal="center"/>
    </xf>
    <xf numFmtId="49" fontId="5" fillId="0" borderId="109" xfId="0" applyNumberFormat="1" applyFont="1" applyFill="1" applyBorder="1" applyAlignment="1">
      <alignment horizontal="center"/>
    </xf>
    <xf numFmtId="49" fontId="56" fillId="0" borderId="24" xfId="0" applyNumberFormat="1" applyFont="1" applyBorder="1" applyAlignment="1">
      <alignment vertical="center"/>
    </xf>
    <xf numFmtId="193" fontId="12" fillId="5" borderId="1" xfId="1" applyNumberFormat="1" applyFont="1" applyFill="1" applyBorder="1" applyAlignment="1"/>
    <xf numFmtId="165" fontId="2" fillId="0" borderId="24" xfId="0" applyNumberFormat="1" applyFont="1" applyBorder="1" applyAlignment="1">
      <alignment horizontal="center"/>
    </xf>
    <xf numFmtId="167" fontId="14" fillId="70" borderId="24" xfId="1" applyNumberFormat="1" applyFont="1" applyFill="1" applyBorder="1" applyAlignment="1">
      <alignment vertical="center"/>
    </xf>
    <xf numFmtId="164" fontId="5" fillId="0" borderId="55" xfId="0" applyNumberFormat="1" applyFont="1" applyFill="1" applyBorder="1" applyAlignment="1">
      <alignment horizontal="center"/>
    </xf>
    <xf numFmtId="0" fontId="200" fillId="0" borderId="107" xfId="0" applyFont="1" applyFill="1" applyBorder="1" applyAlignment="1">
      <alignment horizont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/>
    </xf>
    <xf numFmtId="167" fontId="14" fillId="12" borderId="111" xfId="1" applyNumberFormat="1" applyFont="1" applyFill="1" applyBorder="1" applyAlignment="1">
      <alignment vertical="center"/>
    </xf>
    <xf numFmtId="167" fontId="14" fillId="13" borderId="55" xfId="1" applyNumberFormat="1" applyFont="1" applyFill="1" applyBorder="1" applyAlignment="1"/>
    <xf numFmtId="167" fontId="12" fillId="5" borderId="20" xfId="1" quotePrefix="1" applyNumberFormat="1" applyFont="1" applyFill="1" applyBorder="1" applyAlignment="1">
      <alignment horizontal="center" vertical="center"/>
    </xf>
    <xf numFmtId="164" fontId="164" fillId="0" borderId="34" xfId="0" applyNumberFormat="1" applyFont="1" applyBorder="1" applyAlignment="1">
      <alignment horizontal="center"/>
    </xf>
    <xf numFmtId="2" fontId="2" fillId="0" borderId="34" xfId="2" quotePrefix="1" applyNumberFormat="1" applyFont="1" applyBorder="1" applyAlignment="1">
      <alignment horizontal="center"/>
    </xf>
    <xf numFmtId="167" fontId="31" fillId="15" borderId="112" xfId="1" applyNumberFormat="1" applyFont="1" applyFill="1" applyBorder="1" applyAlignment="1">
      <alignment vertical="center"/>
    </xf>
    <xf numFmtId="49" fontId="12" fillId="5" borderId="111" xfId="1" quotePrefix="1" applyNumberFormat="1" applyFont="1" applyFill="1" applyBorder="1" applyAlignment="1">
      <alignment horizontal="center"/>
    </xf>
    <xf numFmtId="3" fontId="2" fillId="2" borderId="154" xfId="0" applyNumberFormat="1" applyFont="1" applyFill="1" applyBorder="1" applyAlignment="1">
      <alignment horizontal="center" vertical="center"/>
    </xf>
    <xf numFmtId="3" fontId="2" fillId="2" borderId="154" xfId="0" applyNumberFormat="1" applyFont="1" applyFill="1" applyBorder="1" applyAlignment="1">
      <alignment horizontal="center"/>
    </xf>
    <xf numFmtId="167" fontId="12" fillId="5" borderId="114" xfId="1" quotePrefix="1" applyNumberFormat="1" applyFont="1" applyFill="1" applyBorder="1" applyAlignment="1">
      <alignment horizontal="center" vertical="center"/>
    </xf>
    <xf numFmtId="49" fontId="12" fillId="5" borderId="114" xfId="1" quotePrefix="1" applyNumberFormat="1" applyFont="1" applyFill="1" applyBorder="1" applyAlignment="1">
      <alignment horizontal="center"/>
    </xf>
    <xf numFmtId="0" fontId="2" fillId="2" borderId="155" xfId="0" quotePrefix="1" applyFont="1" applyFill="1" applyBorder="1" applyAlignment="1">
      <alignment horizontal="left"/>
    </xf>
    <xf numFmtId="49" fontId="5" fillId="2" borderId="114" xfId="0" applyNumberFormat="1" applyFont="1" applyFill="1" applyBorder="1" applyAlignment="1">
      <alignment horizontal="center" vertical="center"/>
    </xf>
    <xf numFmtId="14" fontId="2" fillId="0" borderId="107" xfId="0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/>
    </xf>
    <xf numFmtId="167" fontId="12" fillId="5" borderId="34" xfId="1" quotePrefix="1" applyNumberFormat="1" applyFont="1" applyFill="1" applyBorder="1" applyAlignment="1">
      <alignment horizontal="center"/>
    </xf>
    <xf numFmtId="173" fontId="3" fillId="0" borderId="107" xfId="0" applyNumberFormat="1" applyFont="1" applyFill="1" applyBorder="1" applyAlignment="1">
      <alignment horizontal="center"/>
    </xf>
    <xf numFmtId="0" fontId="2" fillId="2" borderId="21" xfId="0" quotePrefix="1" applyFont="1" applyFill="1" applyBorder="1" applyAlignment="1">
      <alignment horizontal="left"/>
    </xf>
    <xf numFmtId="49" fontId="5" fillId="2" borderId="20" xfId="0" applyNumberFormat="1" applyFont="1" applyFill="1" applyBorder="1" applyAlignment="1">
      <alignment horizontal="center" vertical="center"/>
    </xf>
    <xf numFmtId="167" fontId="14" fillId="0" borderId="112" xfId="1" applyNumberFormat="1" applyFont="1" applyFill="1" applyBorder="1" applyAlignment="1">
      <alignment vertical="center"/>
    </xf>
    <xf numFmtId="49" fontId="5" fillId="70" borderId="113" xfId="0" applyNumberFormat="1" applyFont="1" applyFill="1" applyBorder="1" applyAlignment="1">
      <alignment horizontal="center" vertical="center"/>
    </xf>
    <xf numFmtId="167" fontId="12" fillId="5" borderId="111" xfId="1" quotePrefix="1" applyNumberFormat="1" applyFont="1" applyFill="1" applyBorder="1" applyAlignment="1">
      <alignment horizontal="center" vertical="center"/>
    </xf>
    <xf numFmtId="167" fontId="14" fillId="70" borderId="111" xfId="1" applyNumberFormat="1" applyFont="1" applyFill="1" applyBorder="1" applyAlignment="1">
      <alignment vertical="center"/>
    </xf>
    <xf numFmtId="3" fontId="2" fillId="2" borderId="24" xfId="0" applyNumberFormat="1" applyFont="1" applyFill="1" applyBorder="1" applyAlignment="1">
      <alignment horizontal="center" vertical="center"/>
    </xf>
    <xf numFmtId="167" fontId="14" fillId="12" borderId="24" xfId="1" applyNumberFormat="1" applyFont="1" applyFill="1" applyBorder="1" applyAlignment="1">
      <alignment vertical="center"/>
    </xf>
    <xf numFmtId="2" fontId="2" fillId="0" borderId="107" xfId="0" applyNumberFormat="1" applyFont="1" applyFill="1" applyBorder="1" applyAlignment="1">
      <alignment horizontal="center"/>
    </xf>
    <xf numFmtId="49" fontId="12" fillId="0" borderId="108" xfId="1" quotePrefix="1" applyNumberFormat="1" applyFont="1" applyFill="1" applyBorder="1" applyAlignment="1">
      <alignment horizontal="center"/>
    </xf>
    <xf numFmtId="49" fontId="12" fillId="0" borderId="24" xfId="1" quotePrefix="1" applyNumberFormat="1" applyFont="1" applyFill="1" applyBorder="1" applyAlignment="1">
      <alignment horizontal="center"/>
    </xf>
    <xf numFmtId="1" fontId="12" fillId="0" borderId="113" xfId="1" quotePrefix="1" applyNumberFormat="1" applyFont="1" applyFill="1" applyBorder="1" applyAlignment="1">
      <alignment horizontal="center" vertical="center"/>
    </xf>
    <xf numFmtId="49" fontId="12" fillId="0" borderId="111" xfId="1" quotePrefix="1" applyNumberFormat="1" applyFont="1" applyFill="1" applyBorder="1" applyAlignment="1">
      <alignment horizontal="center"/>
    </xf>
    <xf numFmtId="167" fontId="2" fillId="0" borderId="23" xfId="1" quotePrefix="1" applyNumberFormat="1" applyFont="1" applyFill="1" applyBorder="1" applyAlignment="1">
      <alignment horizontal="center"/>
    </xf>
    <xf numFmtId="0" fontId="2" fillId="0" borderId="156" xfId="0" applyFont="1" applyFill="1" applyBorder="1" applyAlignment="1">
      <alignment horizontal="center" wrapText="1"/>
    </xf>
    <xf numFmtId="164" fontId="5" fillId="0" borderId="24" xfId="0" applyNumberFormat="1" applyFont="1" applyFill="1" applyBorder="1" applyAlignment="1">
      <alignment horizontal="center" wrapText="1"/>
    </xf>
    <xf numFmtId="167" fontId="5" fillId="11" borderId="34" xfId="1" quotePrefix="1" applyNumberFormat="1" applyFont="1" applyFill="1" applyBorder="1" applyAlignment="1">
      <alignment horizontal="center"/>
    </xf>
    <xf numFmtId="43" fontId="3" fillId="0" borderId="107" xfId="1" applyNumberFormat="1" applyFont="1" applyFill="1" applyBorder="1" applyAlignment="1">
      <alignment horizontal="right"/>
    </xf>
    <xf numFmtId="49" fontId="12" fillId="5" borderId="122" xfId="1" quotePrefix="1" applyNumberFormat="1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43" fontId="12" fillId="0" borderId="107" xfId="1" quotePrefix="1" applyNumberFormat="1" applyFont="1" applyFill="1" applyBorder="1" applyAlignment="1">
      <alignment horizontal="center" wrapText="1"/>
    </xf>
    <xf numFmtId="0" fontId="20" fillId="2" borderId="24" xfId="0" applyFont="1" applyFill="1" applyBorder="1" applyAlignment="1">
      <alignment horizontal="center" vertic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2" fontId="2" fillId="0" borderId="107" xfId="0" applyNumberFormat="1" applyFont="1" applyFill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49" fontId="2" fillId="0" borderId="75" xfId="2" quotePrefix="1" applyNumberFormat="1" applyFont="1" applyFill="1" applyBorder="1" applyAlignment="1">
      <alignment horizontal="center" vertical="center"/>
    </xf>
    <xf numFmtId="49" fontId="202" fillId="0" borderId="107" xfId="0" applyNumberFormat="1" applyFont="1" applyBorder="1" applyAlignment="1">
      <alignment vertical="center"/>
    </xf>
    <xf numFmtId="164" fontId="3" fillId="0" borderId="112" xfId="0" applyNumberFormat="1" applyFont="1" applyBorder="1" applyAlignment="1">
      <alignment horizontal="center"/>
    </xf>
    <xf numFmtId="0" fontId="2" fillId="0" borderId="112" xfId="0" applyFont="1" applyBorder="1" applyAlignment="1">
      <alignment horizontal="center" vertical="center"/>
    </xf>
    <xf numFmtId="0" fontId="2" fillId="0" borderId="112" xfId="0" applyFont="1" applyBorder="1" applyAlignment="1">
      <alignment horizontal="left"/>
    </xf>
    <xf numFmtId="0" fontId="3" fillId="0" borderId="112" xfId="0" applyFont="1" applyBorder="1" applyAlignment="1">
      <alignment horizontal="center" vertical="center"/>
    </xf>
    <xf numFmtId="1" fontId="2" fillId="0" borderId="112" xfId="0" applyNumberFormat="1" applyFont="1" applyBorder="1" applyAlignment="1">
      <alignment horizontal="center" vertical="center"/>
    </xf>
    <xf numFmtId="165" fontId="2" fillId="0" borderId="112" xfId="0" applyNumberFormat="1" applyFont="1" applyBorder="1" applyAlignment="1">
      <alignment horizontal="center"/>
    </xf>
    <xf numFmtId="164" fontId="2" fillId="0" borderId="112" xfId="0" applyNumberFormat="1" applyFont="1" applyBorder="1" applyAlignment="1">
      <alignment horizontal="center" vertical="center"/>
    </xf>
    <xf numFmtId="165" fontId="2" fillId="0" borderId="125" xfId="0" applyNumberFormat="1" applyFont="1" applyBorder="1" applyAlignment="1">
      <alignment horizontal="center"/>
    </xf>
    <xf numFmtId="49" fontId="3" fillId="0" borderId="127" xfId="2" quotePrefix="1" applyNumberFormat="1" applyFont="1" applyBorder="1" applyAlignment="1">
      <alignment horizontal="center" vertical="center"/>
    </xf>
    <xf numFmtId="0" fontId="2" fillId="2" borderId="128" xfId="0" quotePrefix="1" applyFont="1" applyFill="1" applyBorder="1" applyAlignment="1">
      <alignment horizontal="left"/>
    </xf>
    <xf numFmtId="167" fontId="14" fillId="2" borderId="125" xfId="1" applyNumberFormat="1" applyFont="1" applyFill="1" applyBorder="1" applyAlignment="1">
      <alignment vertical="center"/>
    </xf>
    <xf numFmtId="171" fontId="14" fillId="2" borderId="125" xfId="1" applyNumberFormat="1" applyFont="1" applyFill="1" applyBorder="1" applyAlignment="1">
      <alignment vertical="center"/>
    </xf>
    <xf numFmtId="167" fontId="14" fillId="13" borderId="125" xfId="1" applyNumberFormat="1" applyFont="1" applyFill="1" applyBorder="1" applyAlignment="1">
      <alignment vertical="center"/>
    </xf>
    <xf numFmtId="0" fontId="3" fillId="2" borderId="125" xfId="0" applyFont="1" applyFill="1" applyBorder="1" applyAlignment="1">
      <alignment horizontal="center" vertical="center"/>
    </xf>
    <xf numFmtId="49" fontId="5" fillId="2" borderId="127" xfId="0" applyNumberFormat="1" applyFont="1" applyFill="1" applyBorder="1" applyAlignment="1">
      <alignment horizontal="center" vertical="center"/>
    </xf>
    <xf numFmtId="0" fontId="200" fillId="3" borderId="107" xfId="0" applyFont="1" applyFill="1" applyBorder="1" applyAlignment="1">
      <alignment horizontal="center" wrapText="1"/>
    </xf>
    <xf numFmtId="49" fontId="56" fillId="0" borderId="107" xfId="0" applyNumberFormat="1" applyFont="1" applyFill="1" applyBorder="1" applyAlignment="1">
      <alignment vertical="center"/>
    </xf>
    <xf numFmtId="164" fontId="136" fillId="2" borderId="112" xfId="0" applyNumberFormat="1" applyFont="1" applyFill="1" applyBorder="1" applyAlignment="1">
      <alignment horizontal="center" vertical="center"/>
    </xf>
    <xf numFmtId="171" fontId="14" fillId="76" borderId="83" xfId="1" applyNumberFormat="1" applyFont="1" applyFill="1" applyBorder="1" applyAlignment="1">
      <alignment vertical="center"/>
    </xf>
    <xf numFmtId="49" fontId="5" fillId="2" borderId="113" xfId="0" applyNumberFormat="1" applyFont="1" applyFill="1" applyBorder="1" applyAlignment="1">
      <alignment horizontal="center" vertical="center"/>
    </xf>
    <xf numFmtId="0" fontId="3" fillId="0" borderId="125" xfId="0" applyFont="1" applyFill="1" applyBorder="1" applyAlignment="1">
      <alignment horizontal="center" vertical="center"/>
    </xf>
    <xf numFmtId="0" fontId="5" fillId="0" borderId="107" xfId="0" applyFont="1" applyFill="1" applyBorder="1" applyAlignment="1">
      <alignment horizontal="center" vertical="center"/>
    </xf>
    <xf numFmtId="0" fontId="3" fillId="8" borderId="107" xfId="0" applyFont="1" applyFill="1" applyBorder="1" applyAlignment="1">
      <alignment horizontal="center" vertical="center"/>
    </xf>
    <xf numFmtId="164" fontId="2" fillId="0" borderId="112" xfId="0" quotePrefix="1" applyNumberFormat="1" applyFont="1" applyBorder="1" applyAlignment="1">
      <alignment horizontal="center"/>
    </xf>
    <xf numFmtId="1" fontId="5" fillId="3" borderId="83" xfId="2" quotePrefix="1" applyNumberFormat="1" applyFont="1" applyFill="1" applyBorder="1" applyAlignment="1">
      <alignment horizontal="center"/>
    </xf>
    <xf numFmtId="164" fontId="3" fillId="0" borderId="125" xfId="0" applyNumberFormat="1" applyFont="1" applyBorder="1" applyAlignment="1">
      <alignment horizontal="center"/>
    </xf>
    <xf numFmtId="0" fontId="2" fillId="2" borderId="125" xfId="0" quotePrefix="1" applyFont="1" applyFill="1" applyBorder="1" applyAlignment="1">
      <alignment horizontal="left"/>
    </xf>
    <xf numFmtId="167" fontId="31" fillId="15" borderId="125" xfId="1" applyNumberFormat="1" applyFont="1" applyFill="1" applyBorder="1" applyAlignment="1">
      <alignment vertical="center"/>
    </xf>
    <xf numFmtId="0" fontId="2" fillId="0" borderId="125" xfId="0" applyFont="1" applyFill="1" applyBorder="1" applyAlignment="1">
      <alignment horizontal="center"/>
    </xf>
    <xf numFmtId="171" fontId="14" fillId="12" borderId="34" xfId="1" applyNumberFormat="1" applyFont="1" applyFill="1" applyBorder="1" applyAlignment="1">
      <alignment vertical="center"/>
    </xf>
    <xf numFmtId="171" fontId="14" fillId="12" borderId="111" xfId="1" applyNumberFormat="1" applyFont="1" applyFill="1" applyBorder="1" applyAlignment="1">
      <alignment vertical="center"/>
    </xf>
    <xf numFmtId="171" fontId="14" fillId="12" borderId="112" xfId="1" applyNumberFormat="1" applyFont="1" applyFill="1" applyBorder="1" applyAlignment="1">
      <alignment vertical="center"/>
    </xf>
    <xf numFmtId="49" fontId="12" fillId="5" borderId="127" xfId="1" quotePrefix="1" applyNumberFormat="1" applyFont="1" applyFill="1" applyBorder="1" applyAlignment="1">
      <alignment horizontal="center" vertical="center"/>
    </xf>
    <xf numFmtId="1" fontId="12" fillId="5" borderId="127" xfId="1" quotePrefix="1" applyNumberFormat="1" applyFont="1" applyFill="1" applyBorder="1" applyAlignment="1">
      <alignment horizontal="center" vertical="center"/>
    </xf>
    <xf numFmtId="167" fontId="12" fillId="5" borderId="127" xfId="1" quotePrefix="1" applyNumberFormat="1" applyFont="1" applyFill="1" applyBorder="1" applyAlignment="1">
      <alignment horizontal="center" wrapText="1"/>
    </xf>
    <xf numFmtId="0" fontId="2" fillId="0" borderId="125" xfId="0" applyFont="1" applyFill="1" applyBorder="1" applyAlignment="1">
      <alignment horizontal="center" vertical="center" wrapText="1"/>
    </xf>
    <xf numFmtId="49" fontId="202" fillId="0" borderId="0" xfId="0" applyNumberFormat="1" applyFont="1" applyBorder="1" applyAlignment="1">
      <alignment vertical="center"/>
    </xf>
    <xf numFmtId="167" fontId="2" fillId="0" borderId="143" xfId="1" quotePrefix="1" applyNumberFormat="1" applyFont="1" applyFill="1" applyBorder="1" applyAlignment="1">
      <alignment horizontal="center" wrapText="1"/>
    </xf>
    <xf numFmtId="49" fontId="12" fillId="5" borderId="12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4" fontId="164" fillId="0" borderId="125" xfId="0" applyNumberFormat="1" applyFont="1" applyBorder="1" applyAlignment="1">
      <alignment horizontal="center" wrapText="1"/>
    </xf>
    <xf numFmtId="167" fontId="14" fillId="70" borderId="34" xfId="1" applyNumberFormat="1" applyFont="1" applyFill="1" applyBorder="1" applyAlignment="1">
      <alignment vertical="center"/>
    </xf>
    <xf numFmtId="167" fontId="14" fillId="70" borderId="112" xfId="1" applyNumberFormat="1" applyFont="1" applyFill="1" applyBorder="1" applyAlignment="1">
      <alignment vertical="center"/>
    </xf>
    <xf numFmtId="167" fontId="14" fillId="70" borderId="125" xfId="1" applyNumberFormat="1" applyFont="1" applyFill="1" applyBorder="1" applyAlignment="1">
      <alignment vertical="center"/>
    </xf>
    <xf numFmtId="167" fontId="19" fillId="70" borderId="107" xfId="1" applyNumberFormat="1" applyFont="1" applyFill="1" applyBorder="1" applyAlignment="1"/>
    <xf numFmtId="0" fontId="5" fillId="0" borderId="125" xfId="0" applyFont="1" applyFill="1" applyBorder="1" applyAlignment="1">
      <alignment horizontal="center" vertical="center"/>
    </xf>
    <xf numFmtId="49" fontId="2" fillId="0" borderId="24" xfId="2" quotePrefix="1" applyNumberFormat="1" applyFont="1" applyBorder="1" applyAlignment="1"/>
    <xf numFmtId="0" fontId="3" fillId="2" borderId="122" xfId="0" applyFont="1" applyFill="1" applyBorder="1" applyAlignment="1">
      <alignment horizontal="center" vertical="center"/>
    </xf>
    <xf numFmtId="2" fontId="2" fillId="0" borderId="107" xfId="0" quotePrefix="1" applyNumberFormat="1" applyFont="1" applyFill="1" applyBorder="1" applyAlignment="1">
      <alignment horizontal="center"/>
    </xf>
    <xf numFmtId="167" fontId="22" fillId="17" borderId="1" xfId="0" applyNumberFormat="1" applyFont="1" applyFill="1" applyBorder="1" applyAlignment="1">
      <alignment horizontal="center" vertical="center"/>
    </xf>
    <xf numFmtId="0" fontId="5" fillId="0" borderId="127" xfId="0" applyFont="1" applyFill="1" applyBorder="1" applyAlignment="1">
      <alignment horizontal="center" vertical="center"/>
    </xf>
    <xf numFmtId="49" fontId="204" fillId="0" borderId="107" xfId="0" applyNumberFormat="1" applyFont="1" applyBorder="1" applyAlignment="1">
      <alignment horizontal="center" vertical="center"/>
    </xf>
    <xf numFmtId="49" fontId="56" fillId="0" borderId="24" xfId="0" applyNumberFormat="1" applyFont="1" applyFill="1" applyBorder="1" applyAlignment="1">
      <alignment vertical="center"/>
    </xf>
    <xf numFmtId="0" fontId="3" fillId="3" borderId="132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2" fillId="7" borderId="107" xfId="0" applyFont="1" applyFill="1" applyBorder="1" applyAlignment="1">
      <alignment horizontal="center"/>
    </xf>
    <xf numFmtId="165" fontId="2" fillId="0" borderId="15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wrapText="1"/>
    </xf>
    <xf numFmtId="165" fontId="3" fillId="0" borderId="107" xfId="0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49" fontId="3" fillId="0" borderId="113" xfId="2" quotePrefix="1" applyNumberFormat="1" applyFont="1" applyBorder="1" applyAlignment="1">
      <alignment horizontal="center"/>
    </xf>
    <xf numFmtId="167" fontId="2" fillId="5" borderId="151" xfId="1" quotePrefix="1" applyNumberFormat="1" applyFont="1" applyFill="1" applyBorder="1" applyAlignment="1">
      <alignment horizontal="center"/>
    </xf>
    <xf numFmtId="164" fontId="136" fillId="3" borderId="1" xfId="0" applyNumberFormat="1" applyFont="1" applyFill="1" applyBorder="1" applyAlignment="1">
      <alignment horizontal="center" wrapText="1"/>
    </xf>
    <xf numFmtId="0" fontId="3" fillId="0" borderId="107" xfId="0" quotePrefix="1" applyFont="1" applyFill="1" applyBorder="1" applyAlignment="1">
      <alignment horizontal="center" wrapText="1"/>
    </xf>
    <xf numFmtId="0" fontId="3" fillId="3" borderId="107" xfId="0" applyFont="1" applyFill="1" applyBorder="1" applyAlignment="1">
      <alignment horizontal="center" wrapText="1"/>
    </xf>
    <xf numFmtId="0" fontId="3" fillId="19" borderId="107" xfId="0" applyFont="1" applyFill="1" applyBorder="1" applyAlignment="1">
      <alignment horizontal="center"/>
    </xf>
    <xf numFmtId="0" fontId="2" fillId="19" borderId="107" xfId="0" applyFont="1" applyFill="1" applyBorder="1" applyAlignment="1">
      <alignment horizontal="center"/>
    </xf>
    <xf numFmtId="0" fontId="2" fillId="19" borderId="108" xfId="0" applyFont="1" applyFill="1" applyBorder="1" applyAlignment="1">
      <alignment horizontal="center"/>
    </xf>
    <xf numFmtId="0" fontId="3" fillId="7" borderId="107" xfId="0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 wrapText="1"/>
    </xf>
    <xf numFmtId="49" fontId="2" fillId="0" borderId="107" xfId="2" quotePrefix="1" applyNumberFormat="1" applyFont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164" fontId="6" fillId="0" borderId="83" xfId="0" applyNumberFormat="1" applyFont="1" applyBorder="1" applyAlignment="1">
      <alignment horizontal="center" wrapText="1"/>
    </xf>
    <xf numFmtId="0" fontId="3" fillId="0" borderId="108" xfId="0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 vertical="center" wrapText="1"/>
    </xf>
    <xf numFmtId="164" fontId="3" fillId="0" borderId="108" xfId="0" applyNumberFormat="1" applyFont="1" applyFill="1" applyBorder="1" applyAlignment="1">
      <alignment horizontal="center" vertical="center"/>
    </xf>
    <xf numFmtId="14" fontId="2" fillId="0" borderId="108" xfId="0" applyNumberFormat="1" applyFont="1" applyFill="1" applyBorder="1" applyAlignment="1">
      <alignment horizontal="center" vertical="center" wrapText="1"/>
    </xf>
    <xf numFmtId="164" fontId="2" fillId="0" borderId="108" xfId="0" quotePrefix="1" applyNumberFormat="1" applyFont="1" applyBorder="1" applyAlignment="1">
      <alignment horizontal="center"/>
    </xf>
    <xf numFmtId="164" fontId="199" fillId="0" borderId="108" xfId="0" applyNumberFormat="1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164" fontId="2" fillId="0" borderId="108" xfId="0" applyNumberFormat="1" applyFont="1" applyBorder="1" applyAlignment="1">
      <alignment horizontal="center" wrapText="1"/>
    </xf>
    <xf numFmtId="43" fontId="14" fillId="0" borderId="107" xfId="1" applyNumberFormat="1" applyFont="1" applyFill="1" applyBorder="1" applyAlignment="1"/>
    <xf numFmtId="43" fontId="21" fillId="0" borderId="107" xfId="1" applyNumberFormat="1" applyFont="1" applyFill="1" applyBorder="1" applyAlignment="1"/>
    <xf numFmtId="0" fontId="3" fillId="3" borderId="132" xfId="0" applyFont="1" applyFill="1" applyBorder="1" applyAlignment="1">
      <alignment horizontal="center"/>
    </xf>
    <xf numFmtId="171" fontId="14" fillId="10" borderId="112" xfId="1" applyNumberFormat="1" applyFont="1" applyFill="1" applyBorder="1" applyAlignment="1">
      <alignment vertical="center"/>
    </xf>
    <xf numFmtId="171" fontId="21" fillId="14" borderId="107" xfId="1" applyNumberFormat="1" applyFont="1" applyFill="1" applyBorder="1" applyAlignment="1">
      <alignment horizontal="center" vertical="center"/>
    </xf>
    <xf numFmtId="167" fontId="23" fillId="15" borderId="107" xfId="1" applyNumberFormat="1" applyFont="1" applyFill="1" applyBorder="1" applyAlignment="1">
      <alignment horizontal="center" vertical="center"/>
    </xf>
    <xf numFmtId="0" fontId="2" fillId="0" borderId="107" xfId="0" quotePrefix="1" applyFont="1" applyFill="1" applyBorder="1" applyAlignment="1">
      <alignment horizontal="center" vertical="center" wrapText="1"/>
    </xf>
    <xf numFmtId="0" fontId="5" fillId="0" borderId="107" xfId="0" quotePrefix="1" applyFont="1" applyFill="1" applyBorder="1" applyAlignment="1">
      <alignment horizontal="center" vertical="center" wrapText="1"/>
    </xf>
    <xf numFmtId="3" fontId="2" fillId="0" borderId="107" xfId="0" applyNumberFormat="1" applyFont="1" applyFill="1" applyBorder="1" applyAlignment="1">
      <alignment horizontal="center" vertical="center"/>
    </xf>
    <xf numFmtId="167" fontId="12" fillId="0" borderId="107" xfId="1" quotePrefix="1" applyNumberFormat="1" applyFont="1" applyFill="1" applyBorder="1" applyAlignment="1">
      <alignment horizontal="center" vertical="center" wrapText="1"/>
    </xf>
    <xf numFmtId="167" fontId="12" fillId="0" borderId="107" xfId="1" quotePrefix="1" applyNumberFormat="1" applyFont="1" applyFill="1" applyBorder="1" applyAlignment="1">
      <alignment horizontal="center" vertical="center"/>
    </xf>
    <xf numFmtId="171" fontId="14" fillId="0" borderId="107" xfId="1" applyNumberFormat="1" applyFont="1" applyFill="1" applyBorder="1" applyAlignment="1">
      <alignment horizontal="center" vertical="center"/>
    </xf>
    <xf numFmtId="167" fontId="14" fillId="0" borderId="107" xfId="1" applyNumberFormat="1" applyFont="1" applyFill="1" applyBorder="1" applyAlignment="1">
      <alignment horizontal="center" vertical="center"/>
    </xf>
    <xf numFmtId="167" fontId="19" fillId="70" borderId="107" xfId="1" applyNumberFormat="1" applyFont="1" applyFill="1" applyBorder="1" applyAlignment="1">
      <alignment horizontal="center" vertical="center"/>
    </xf>
    <xf numFmtId="49" fontId="5" fillId="0" borderId="107" xfId="0" applyNumberFormat="1" applyFont="1" applyFill="1" applyBorder="1" applyAlignment="1">
      <alignment horizontal="center" vertical="center"/>
    </xf>
    <xf numFmtId="165" fontId="2" fillId="0" borderId="13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7" fontId="19" fillId="10" borderId="107" xfId="1" applyNumberFormat="1" applyFont="1" applyFill="1" applyBorder="1" applyAlignment="1">
      <alignment horizontal="center" vertical="center"/>
    </xf>
    <xf numFmtId="0" fontId="5" fillId="3" borderId="107" xfId="0" quotePrefix="1" applyFont="1" applyFill="1" applyBorder="1" applyAlignment="1">
      <alignment horizontal="center"/>
    </xf>
    <xf numFmtId="0" fontId="5" fillId="3" borderId="107" xfId="0" applyFont="1" applyFill="1" applyBorder="1" applyAlignment="1">
      <alignment horizontal="center" wrapText="1"/>
    </xf>
    <xf numFmtId="171" fontId="14" fillId="0" borderId="112" xfId="1" applyNumberFormat="1" applyFont="1" applyFill="1" applyBorder="1" applyAlignment="1">
      <alignment vertical="center"/>
    </xf>
    <xf numFmtId="167" fontId="19" fillId="10" borderId="107" xfId="1" applyNumberFormat="1" applyFont="1" applyFill="1" applyBorder="1" applyAlignment="1">
      <alignment vertical="center"/>
    </xf>
    <xf numFmtId="0" fontId="5" fillId="0" borderId="24" xfId="0" quotePrefix="1" applyFont="1" applyFill="1" applyBorder="1" applyAlignment="1">
      <alignment horizontal="center"/>
    </xf>
    <xf numFmtId="14" fontId="2" fillId="0" borderId="24" xfId="0" applyNumberFormat="1" applyFont="1" applyFill="1" applyBorder="1" applyAlignment="1">
      <alignment horizontal="center"/>
    </xf>
    <xf numFmtId="167" fontId="19" fillId="10" borderId="24" xfId="1" applyNumberFormat="1" applyFont="1" applyFill="1" applyBorder="1" applyAlignment="1"/>
    <xf numFmtId="171" fontId="14" fillId="0" borderId="24" xfId="1" applyNumberFormat="1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 wrapText="1"/>
    </xf>
    <xf numFmtId="165" fontId="2" fillId="0" borderId="43" xfId="0" applyNumberFormat="1" applyFont="1" applyFill="1" applyBorder="1" applyAlignment="1">
      <alignment horizontal="center"/>
    </xf>
    <xf numFmtId="0" fontId="2" fillId="0" borderId="111" xfId="0" applyFont="1" applyFill="1" applyBorder="1" applyAlignment="1">
      <alignment horizontal="center"/>
    </xf>
    <xf numFmtId="0" fontId="2" fillId="0" borderId="111" xfId="0" quotePrefix="1" applyFont="1" applyFill="1" applyBorder="1" applyAlignment="1">
      <alignment horizontal="center" wrapText="1"/>
    </xf>
    <xf numFmtId="0" fontId="2" fillId="0" borderId="111" xfId="0" quotePrefix="1" applyFont="1" applyFill="1" applyBorder="1" applyAlignment="1">
      <alignment horizontal="center"/>
    </xf>
    <xf numFmtId="0" fontId="5" fillId="0" borderId="111" xfId="0" applyFont="1" applyFill="1" applyBorder="1" applyAlignment="1">
      <alignment horizontal="center"/>
    </xf>
    <xf numFmtId="0" fontId="3" fillId="0" borderId="111" xfId="0" applyFont="1" applyFill="1" applyBorder="1" applyAlignment="1">
      <alignment horizontal="center" wrapText="1"/>
    </xf>
    <xf numFmtId="164" fontId="3" fillId="0" borderId="111" xfId="0" applyNumberFormat="1" applyFont="1" applyFill="1" applyBorder="1" applyAlignment="1">
      <alignment horizontal="center"/>
    </xf>
    <xf numFmtId="3" fontId="2" fillId="0" borderId="111" xfId="0" applyNumberFormat="1" applyFont="1" applyFill="1" applyBorder="1" applyAlignment="1">
      <alignment horizontal="center"/>
    </xf>
    <xf numFmtId="0" fontId="3" fillId="0" borderId="111" xfId="0" applyFont="1" applyFill="1" applyBorder="1" applyAlignment="1">
      <alignment horizontal="center"/>
    </xf>
    <xf numFmtId="0" fontId="3" fillId="7" borderId="111" xfId="0" applyFont="1" applyFill="1" applyBorder="1" applyAlignment="1">
      <alignment horizontal="center"/>
    </xf>
    <xf numFmtId="0" fontId="3" fillId="0" borderId="111" xfId="0" quotePrefix="1" applyFont="1" applyFill="1" applyBorder="1" applyAlignment="1">
      <alignment horizontal="center"/>
    </xf>
    <xf numFmtId="167" fontId="12" fillId="0" borderId="111" xfId="1" quotePrefix="1" applyNumberFormat="1" applyFont="1" applyFill="1" applyBorder="1" applyAlignment="1">
      <alignment horizontal="center" wrapText="1"/>
    </xf>
    <xf numFmtId="2" fontId="2" fillId="0" borderId="111" xfId="0" applyNumberFormat="1" applyFont="1" applyFill="1" applyBorder="1" applyAlignment="1">
      <alignment horizontal="center" wrapText="1"/>
    </xf>
    <xf numFmtId="167" fontId="12" fillId="0" borderId="111" xfId="1" quotePrefix="1" applyNumberFormat="1" applyFont="1" applyFill="1" applyBorder="1" applyAlignment="1">
      <alignment horizontal="center"/>
    </xf>
    <xf numFmtId="171" fontId="14" fillId="0" borderId="111" xfId="1" applyNumberFormat="1" applyFont="1" applyFill="1" applyBorder="1" applyAlignment="1">
      <alignment horizontal="left"/>
    </xf>
    <xf numFmtId="167" fontId="14" fillId="0" borderId="111" xfId="1" applyNumberFormat="1" applyFont="1" applyFill="1" applyBorder="1" applyAlignment="1"/>
    <xf numFmtId="167" fontId="19" fillId="0" borderId="111" xfId="1" applyNumberFormat="1" applyFont="1" applyFill="1" applyBorder="1" applyAlignment="1"/>
    <xf numFmtId="171" fontId="14" fillId="0" borderId="111" xfId="1" applyNumberFormat="1" applyFont="1" applyFill="1" applyBorder="1" applyAlignment="1"/>
    <xf numFmtId="167" fontId="14" fillId="13" borderId="112" xfId="1" applyNumberFormat="1" applyFont="1" applyFill="1" applyBorder="1" applyAlignment="1"/>
    <xf numFmtId="0" fontId="5" fillId="0" borderId="111" xfId="0" applyFont="1" applyFill="1" applyBorder="1" applyAlignment="1">
      <alignment horizontal="center" wrapText="1"/>
    </xf>
    <xf numFmtId="171" fontId="21" fillId="14" borderId="111" xfId="1" applyNumberFormat="1" applyFont="1" applyFill="1" applyBorder="1" applyAlignment="1">
      <alignment horizontal="left" vertical="center" indent="1"/>
    </xf>
    <xf numFmtId="167" fontId="23" fillId="15" borderId="111" xfId="1" applyNumberFormat="1" applyFont="1" applyFill="1" applyBorder="1" applyAlignment="1">
      <alignment vertical="center"/>
    </xf>
    <xf numFmtId="49" fontId="5" fillId="0" borderId="111" xfId="0" applyNumberFormat="1" applyFont="1" applyFill="1" applyBorder="1" applyAlignment="1">
      <alignment horizontal="center"/>
    </xf>
    <xf numFmtId="165" fontId="2" fillId="0" borderId="114" xfId="0" applyNumberFormat="1" applyFont="1" applyFill="1" applyBorder="1" applyAlignment="1">
      <alignment horizontal="center"/>
    </xf>
    <xf numFmtId="0" fontId="2" fillId="0" borderId="151" xfId="0" applyFont="1" applyFill="1" applyBorder="1" applyAlignment="1"/>
    <xf numFmtId="0" fontId="5" fillId="0" borderId="111" xfId="0" quotePrefix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left"/>
    </xf>
    <xf numFmtId="171" fontId="14" fillId="0" borderId="0" xfId="1" applyNumberFormat="1" applyFont="1" applyFill="1" applyBorder="1" applyAlignment="1"/>
    <xf numFmtId="167" fontId="14" fillId="0" borderId="0" xfId="1" applyNumberFormat="1" applyFont="1" applyFill="1" applyBorder="1" applyAlignment="1"/>
    <xf numFmtId="0" fontId="3" fillId="0" borderId="0" xfId="0" applyFont="1" applyFill="1" applyAlignment="1">
      <alignment horizontal="center"/>
    </xf>
    <xf numFmtId="171" fontId="14" fillId="0" borderId="0" xfId="1" applyNumberFormat="1" applyFont="1" applyFill="1" applyBorder="1" applyAlignment="1">
      <alignment horizontal="left"/>
    </xf>
    <xf numFmtId="167" fontId="31" fillId="0" borderId="0" xfId="1" applyNumberFormat="1" applyFont="1" applyFill="1" applyBorder="1" applyAlignment="1"/>
    <xf numFmtId="49" fontId="5" fillId="0" borderId="0" xfId="0" applyNumberFormat="1" applyFont="1" applyFill="1" applyAlignment="1">
      <alignment horizontal="center"/>
    </xf>
    <xf numFmtId="167" fontId="14" fillId="3" borderId="34" xfId="1" applyNumberFormat="1" applyFont="1" applyFill="1" applyBorder="1" applyAlignment="1">
      <alignment vertical="center"/>
    </xf>
    <xf numFmtId="171" fontId="14" fillId="3" borderId="34" xfId="1" applyNumberFormat="1" applyFont="1" applyFill="1" applyBorder="1" applyAlignment="1">
      <alignment vertical="center"/>
    </xf>
    <xf numFmtId="171" fontId="14" fillId="3" borderId="118" xfId="1" applyNumberFormat="1" applyFont="1" applyFill="1" applyBorder="1" applyAlignment="1">
      <alignment vertical="center"/>
    </xf>
    <xf numFmtId="171" fontId="31" fillId="3" borderId="20" xfId="1" applyNumberFormat="1" applyFont="1" applyFill="1" applyBorder="1" applyAlignment="1">
      <alignment horizontal="left" vertical="center" indent="1"/>
    </xf>
    <xf numFmtId="167" fontId="6" fillId="0" borderId="107" xfId="1" applyNumberFormat="1" applyFont="1" applyFill="1" applyBorder="1" applyAlignment="1">
      <alignment vertical="center"/>
    </xf>
    <xf numFmtId="0" fontId="3" fillId="2" borderId="107" xfId="0" applyFont="1" applyFill="1" applyBorder="1" applyAlignment="1">
      <alignment horizontal="center" vertical="center" wrapText="1"/>
    </xf>
    <xf numFmtId="167" fontId="12" fillId="5" borderId="122" xfId="1" quotePrefix="1" applyNumberFormat="1" applyFont="1" applyFill="1" applyBorder="1" applyAlignment="1">
      <alignment horizontal="center" wrapText="1"/>
    </xf>
    <xf numFmtId="167" fontId="19" fillId="12" borderId="107" xfId="1" applyNumberFormat="1" applyFont="1" applyFill="1" applyBorder="1" applyAlignment="1">
      <alignment horizontal="center" vertical="center"/>
    </xf>
    <xf numFmtId="167" fontId="6" fillId="0" borderId="24" xfId="1" applyNumberFormat="1" applyFont="1" applyFill="1" applyBorder="1" applyAlignment="1">
      <alignment vertical="center"/>
    </xf>
    <xf numFmtId="0" fontId="2" fillId="3" borderId="122" xfId="0" applyFont="1" applyFill="1" applyBorder="1" applyAlignment="1">
      <alignment horizontal="center" vertical="center"/>
    </xf>
    <xf numFmtId="0" fontId="2" fillId="3" borderId="122" xfId="0" applyFont="1" applyFill="1" applyBorder="1" applyAlignment="1">
      <alignment vertical="center"/>
    </xf>
    <xf numFmtId="0" fontId="2" fillId="3" borderId="122" xfId="0" quotePrefix="1" applyFont="1" applyFill="1" applyBorder="1" applyAlignment="1">
      <alignment horizontal="left"/>
    </xf>
    <xf numFmtId="167" fontId="14" fillId="3" borderId="122" xfId="1" applyNumberFormat="1" applyFont="1" applyFill="1" applyBorder="1" applyAlignment="1">
      <alignment horizontal="left" vertical="center" indent="1"/>
    </xf>
    <xf numFmtId="167" fontId="14" fillId="3" borderId="122" xfId="1" applyNumberFormat="1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center" wrapText="1"/>
    </xf>
    <xf numFmtId="164" fontId="3" fillId="0" borderId="24" xfId="0" applyNumberFormat="1" applyFont="1" applyBorder="1" applyAlignment="1">
      <alignment horizontal="center"/>
    </xf>
    <xf numFmtId="0" fontId="3" fillId="0" borderId="24" xfId="0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wrapText="1"/>
    </xf>
    <xf numFmtId="167" fontId="31" fillId="15" borderId="43" xfId="1" applyNumberFormat="1" applyFont="1" applyFill="1" applyBorder="1" applyAlignment="1">
      <alignment vertical="center"/>
    </xf>
    <xf numFmtId="167" fontId="2" fillId="0" borderId="24" xfId="1" quotePrefix="1" applyNumberFormat="1" applyFont="1" applyFill="1" applyBorder="1" applyAlignment="1">
      <alignment horizontal="center" wrapText="1"/>
    </xf>
    <xf numFmtId="164" fontId="164" fillId="0" borderId="24" xfId="0" applyNumberFormat="1" applyFont="1" applyBorder="1" applyAlignment="1">
      <alignment horizontal="center" wrapText="1"/>
    </xf>
    <xf numFmtId="0" fontId="5" fillId="0" borderId="24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/>
    </xf>
    <xf numFmtId="1" fontId="2" fillId="0" borderId="107" xfId="0" applyNumberFormat="1" applyFont="1" applyBorder="1" applyAlignment="1">
      <alignment horizontal="center" vertical="center"/>
    </xf>
    <xf numFmtId="164" fontId="2" fillId="0" borderId="107" xfId="0" applyNumberFormat="1" applyFont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165" fontId="2" fillId="0" borderId="24" xfId="0" applyNumberFormat="1" applyFont="1" applyBorder="1" applyAlignment="1">
      <alignment horizontal="center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12" fillId="5" borderId="113" xfId="1" quotePrefix="1" applyNumberFormat="1" applyFont="1" applyFill="1" applyBorder="1" applyAlignment="1">
      <alignment horizontal="center" vertical="center"/>
    </xf>
    <xf numFmtId="0" fontId="5" fillId="0" borderId="108" xfId="0" applyFont="1" applyFill="1" applyBorder="1" applyAlignment="1">
      <alignment horizontal="center" vertical="center"/>
    </xf>
    <xf numFmtId="167" fontId="2" fillId="5" borderId="32" xfId="1" quotePrefix="1" applyNumberFormat="1" applyFont="1" applyFill="1" applyBorder="1" applyAlignment="1">
      <alignment horizontal="center"/>
    </xf>
    <xf numFmtId="3" fontId="2" fillId="2" borderId="31" xfId="0" applyNumberFormat="1" applyFont="1" applyFill="1" applyBorder="1" applyAlignment="1">
      <alignment horizontal="center" vertical="center"/>
    </xf>
    <xf numFmtId="3" fontId="2" fillId="2" borderId="31" xfId="0" applyNumberFormat="1" applyFont="1" applyFill="1" applyBorder="1" applyAlignment="1">
      <alignment horizontal="center"/>
    </xf>
    <xf numFmtId="49" fontId="3" fillId="0" borderId="43" xfId="2" quotePrefix="1" applyNumberFormat="1" applyFont="1" applyBorder="1" applyAlignment="1">
      <alignment horizontal="center"/>
    </xf>
    <xf numFmtId="167" fontId="12" fillId="5" borderId="24" xfId="1" quotePrefix="1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horizontal="left" vertical="center" indent="1"/>
    </xf>
    <xf numFmtId="167" fontId="31" fillId="2" borderId="107" xfId="1" applyNumberFormat="1" applyFont="1" applyFill="1" applyBorder="1" applyAlignment="1">
      <alignment vertical="center"/>
    </xf>
    <xf numFmtId="49" fontId="5" fillId="0" borderId="107" xfId="0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71" fontId="31" fillId="0" borderId="131" xfId="1" applyNumberFormat="1" applyFont="1" applyFill="1" applyBorder="1" applyAlignment="1">
      <alignment horizontal="left" vertical="center" indent="1"/>
    </xf>
    <xf numFmtId="0" fontId="5" fillId="0" borderId="131" xfId="0" applyFont="1" applyFill="1" applyBorder="1" applyAlignment="1">
      <alignment horizontal="center" vertical="center"/>
    </xf>
    <xf numFmtId="49" fontId="5" fillId="2" borderId="131" xfId="0" applyNumberFormat="1" applyFont="1" applyFill="1" applyBorder="1" applyAlignment="1">
      <alignment horizontal="center"/>
    </xf>
    <xf numFmtId="2" fontId="3" fillId="0" borderId="107" xfId="0" applyNumberFormat="1" applyFont="1" applyBorder="1" applyAlignment="1">
      <alignment horizontal="center"/>
    </xf>
    <xf numFmtId="165" fontId="2" fillId="0" borderId="107" xfId="0" applyNumberFormat="1" applyFont="1" applyBorder="1" applyAlignment="1">
      <alignment horizontal="center" vertical="center"/>
    </xf>
    <xf numFmtId="165" fontId="2" fillId="0" borderId="107" xfId="0" applyNumberFormat="1" applyFont="1" applyBorder="1" applyAlignment="1"/>
    <xf numFmtId="167" fontId="2" fillId="0" borderId="8" xfId="1" quotePrefix="1" applyNumberFormat="1" applyFont="1" applyFill="1" applyBorder="1" applyAlignment="1">
      <alignment horizontal="center" wrapText="1"/>
    </xf>
    <xf numFmtId="49" fontId="2" fillId="7" borderId="1" xfId="2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5" fontId="2" fillId="0" borderId="107" xfId="0" applyNumberFormat="1" applyFont="1" applyFill="1" applyBorder="1" applyAlignment="1">
      <alignment horizontal="center" vertical="center"/>
    </xf>
    <xf numFmtId="188" fontId="3" fillId="0" borderId="24" xfId="0" applyNumberFormat="1" applyFont="1" applyFill="1" applyBorder="1" applyAlignment="1">
      <alignment horizontal="center"/>
    </xf>
    <xf numFmtId="167" fontId="19" fillId="0" borderId="107" xfId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5" fontId="10" fillId="0" borderId="107" xfId="0" applyNumberFormat="1" applyFont="1" applyFill="1" applyBorder="1" applyAlignment="1">
      <alignment horizontal="center" vertical="center" wrapText="1"/>
    </xf>
    <xf numFmtId="0" fontId="2" fillId="0" borderId="131" xfId="0" quotePrefix="1" applyFont="1" applyFill="1" applyBorder="1" applyAlignment="1">
      <alignment horizontal="center"/>
    </xf>
    <xf numFmtId="49" fontId="210" fillId="0" borderId="107" xfId="0" applyNumberFormat="1" applyFont="1" applyBorder="1" applyAlignment="1">
      <alignment vertical="center"/>
    </xf>
    <xf numFmtId="167" fontId="12" fillId="0" borderId="131" xfId="1" quotePrefix="1" applyNumberFormat="1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/>
    </xf>
    <xf numFmtId="2" fontId="21" fillId="2" borderId="107" xfId="1" applyNumberFormat="1" applyFont="1" applyFill="1" applyBorder="1" applyAlignment="1">
      <alignment vertical="center"/>
    </xf>
    <xf numFmtId="0" fontId="5" fillId="0" borderId="107" xfId="0" quotePrefix="1" applyFont="1" applyFill="1" applyBorder="1" applyAlignment="1">
      <alignment horizontal="center" wrapText="1"/>
    </xf>
    <xf numFmtId="188" fontId="3" fillId="0" borderId="107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 vertical="center" wrapText="1"/>
    </xf>
    <xf numFmtId="49" fontId="2" fillId="0" borderId="107" xfId="2" quotePrefix="1" applyNumberFormat="1" applyFont="1" applyBorder="1" applyAlignment="1">
      <alignment horizontal="center"/>
    </xf>
    <xf numFmtId="14" fontId="2" fillId="0" borderId="24" xfId="0" quotePrefix="1" applyNumberFormat="1" applyFont="1" applyFill="1" applyBorder="1" applyAlignment="1">
      <alignment horizontal="center"/>
    </xf>
    <xf numFmtId="0" fontId="3" fillId="3" borderId="110" xfId="0" applyFont="1" applyFill="1" applyBorder="1" applyAlignment="1"/>
    <xf numFmtId="0" fontId="3" fillId="3" borderId="130" xfId="0" applyFont="1" applyFill="1" applyBorder="1" applyAlignment="1"/>
    <xf numFmtId="0" fontId="3" fillId="2" borderId="107" xfId="0" applyFont="1" applyFill="1" applyBorder="1" applyAlignment="1">
      <alignment horizontal="right"/>
    </xf>
    <xf numFmtId="167" fontId="31" fillId="15" borderId="107" xfId="1" applyNumberFormat="1" applyFont="1" applyFill="1" applyBorder="1" applyAlignment="1">
      <alignment horizontal="right"/>
    </xf>
    <xf numFmtId="171" fontId="14" fillId="70" borderId="108" xfId="1" applyNumberFormat="1" applyFont="1" applyFill="1" applyBorder="1" applyAlignment="1">
      <alignment horizontal="right"/>
    </xf>
    <xf numFmtId="171" fontId="14" fillId="70" borderId="118" xfId="1" applyNumberFormat="1" applyFont="1" applyFill="1" applyBorder="1" applyAlignment="1">
      <alignment horizontal="left"/>
    </xf>
    <xf numFmtId="167" fontId="14" fillId="13" borderId="118" xfId="1" applyNumberFormat="1" applyFont="1" applyFill="1" applyBorder="1" applyAlignment="1"/>
    <xf numFmtId="167" fontId="14" fillId="70" borderId="73" xfId="1" applyNumberFormat="1" applyFont="1" applyFill="1" applyBorder="1" applyAlignment="1"/>
    <xf numFmtId="0" fontId="3" fillId="2" borderId="24" xfId="0" applyFont="1" applyFill="1" applyBorder="1" applyAlignment="1">
      <alignment horizontal="right"/>
    </xf>
    <xf numFmtId="49" fontId="2" fillId="2" borderId="24" xfId="2" quotePrefix="1" applyNumberFormat="1" applyFont="1" applyFill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/>
    </xf>
    <xf numFmtId="167" fontId="2" fillId="5" borderId="107" xfId="1" quotePrefix="1" applyNumberFormat="1" applyFont="1" applyFill="1" applyBorder="1" applyAlignment="1">
      <alignment horizontal="center"/>
    </xf>
    <xf numFmtId="167" fontId="2" fillId="5" borderId="108" xfId="1" quotePrefix="1" applyNumberFormat="1" applyFont="1" applyFill="1" applyBorder="1" applyAlignment="1">
      <alignment horizontal="center"/>
    </xf>
    <xf numFmtId="167" fontId="14" fillId="10" borderId="108" xfId="1" applyNumberFormat="1" applyFont="1" applyFill="1" applyBorder="1" applyAlignment="1">
      <alignment vertical="center"/>
    </xf>
    <xf numFmtId="167" fontId="14" fillId="13" borderId="108" xfId="1" applyNumberFormat="1" applyFont="1" applyFill="1" applyBorder="1" applyAlignment="1"/>
    <xf numFmtId="171" fontId="14" fillId="70" borderId="108" xfId="1" applyNumberFormat="1" applyFont="1" applyFill="1" applyBorder="1" applyAlignment="1">
      <alignment horizontal="left"/>
    </xf>
    <xf numFmtId="0" fontId="3" fillId="2" borderId="108" xfId="0" applyFont="1" applyFill="1" applyBorder="1" applyAlignment="1">
      <alignment horizontal="right"/>
    </xf>
    <xf numFmtId="167" fontId="31" fillId="15" borderId="108" xfId="1" applyNumberFormat="1" applyFont="1" applyFill="1" applyBorder="1" applyAlignment="1">
      <alignment horizontal="right"/>
    </xf>
    <xf numFmtId="49" fontId="5" fillId="2" borderId="109" xfId="0" applyNumberFormat="1" applyFont="1" applyFill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/>
    </xf>
    <xf numFmtId="167" fontId="2" fillId="3" borderId="43" xfId="1" quotePrefix="1" applyNumberFormat="1" applyFont="1" applyFill="1" applyBorder="1" applyAlignment="1">
      <alignment horizontal="center"/>
    </xf>
    <xf numFmtId="0" fontId="2" fillId="3" borderId="107" xfId="0" quotePrefix="1" applyFont="1" applyFill="1" applyBorder="1" applyAlignment="1">
      <alignment horizontal="center"/>
    </xf>
    <xf numFmtId="171" fontId="14" fillId="3" borderId="107" xfId="1" applyNumberFormat="1" applyFont="1" applyFill="1" applyBorder="1" applyAlignment="1"/>
    <xf numFmtId="167" fontId="14" fillId="3" borderId="107" xfId="1" applyNumberFormat="1" applyFont="1" applyFill="1" applyBorder="1" applyAlignment="1"/>
    <xf numFmtId="171" fontId="14" fillId="3" borderId="107" xfId="1" applyNumberFormat="1" applyFont="1" applyFill="1" applyBorder="1" applyAlignment="1">
      <alignment horizontal="left"/>
    </xf>
    <xf numFmtId="167" fontId="31" fillId="3" borderId="107" xfId="1" applyNumberFormat="1" applyFont="1" applyFill="1" applyBorder="1" applyAlignment="1"/>
    <xf numFmtId="49" fontId="5" fillId="3" borderId="107" xfId="0" applyNumberFormat="1" applyFont="1" applyFill="1" applyBorder="1" applyAlignment="1">
      <alignment horizontal="center"/>
    </xf>
    <xf numFmtId="165" fontId="2" fillId="3" borderId="131" xfId="0" applyNumberFormat="1" applyFont="1" applyFill="1" applyBorder="1" applyAlignment="1">
      <alignment horizontal="center"/>
    </xf>
    <xf numFmtId="49" fontId="56" fillId="0" borderId="0" xfId="0" applyNumberFormat="1" applyFont="1" applyFill="1" applyBorder="1" applyAlignment="1">
      <alignment vertical="center"/>
    </xf>
    <xf numFmtId="49" fontId="210" fillId="0" borderId="0" xfId="0" applyNumberFormat="1" applyFont="1" applyFill="1" applyBorder="1" applyAlignment="1">
      <alignment vertic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 vertical="center"/>
    </xf>
    <xf numFmtId="167" fontId="19" fillId="0" borderId="107" xfId="1" applyNumberFormat="1" applyFont="1" applyFill="1" applyBorder="1" applyAlignment="1">
      <alignment vertical="center"/>
    </xf>
    <xf numFmtId="0" fontId="22" fillId="2" borderId="107" xfId="0" applyFont="1" applyFill="1" applyBorder="1" applyAlignment="1">
      <alignment vertical="center"/>
    </xf>
    <xf numFmtId="0" fontId="19" fillId="2" borderId="107" xfId="0" applyFont="1" applyFill="1" applyBorder="1" applyAlignment="1">
      <alignment vertical="center"/>
    </xf>
    <xf numFmtId="171" fontId="14" fillId="70" borderId="34" xfId="1" applyNumberFormat="1" applyFont="1" applyFill="1" applyBorder="1" applyAlignment="1">
      <alignment horizontal="left"/>
    </xf>
    <xf numFmtId="0" fontId="3" fillId="2" borderId="34" xfId="0" applyFont="1" applyFill="1" applyBorder="1" applyAlignment="1">
      <alignment horizontal="right"/>
    </xf>
    <xf numFmtId="167" fontId="31" fillId="15" borderId="34" xfId="1" applyNumberFormat="1" applyFont="1" applyFill="1" applyBorder="1" applyAlignment="1">
      <alignment horizontal="right"/>
    </xf>
    <xf numFmtId="0" fontId="5" fillId="0" borderId="107" xfId="0" quotePrefix="1" applyNumberFormat="1" applyFont="1" applyFill="1" applyBorder="1" applyAlignment="1">
      <alignment horizontal="center"/>
    </xf>
    <xf numFmtId="171" fontId="14" fillId="70" borderId="107" xfId="1" applyNumberFormat="1" applyFont="1" applyFill="1" applyBorder="1" applyAlignment="1">
      <alignment horizontal="left" indent="1"/>
    </xf>
    <xf numFmtId="0" fontId="2" fillId="3" borderId="34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43" fontId="12" fillId="0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19" fillId="0" borderId="1" xfId="1" quotePrefix="1" applyNumberFormat="1" applyFont="1" applyFill="1" applyBorder="1" applyAlignment="1">
      <alignment horizontal="center" vertical="center"/>
    </xf>
    <xf numFmtId="165" fontId="6" fillId="0" borderId="107" xfId="0" applyNumberFormat="1" applyFont="1" applyFill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wrapText="1"/>
    </xf>
    <xf numFmtId="49" fontId="19" fillId="0" borderId="1" xfId="1" quotePrefix="1" applyNumberFormat="1" applyFont="1" applyFill="1" applyBorder="1" applyAlignment="1">
      <alignment horizontal="center" vertical="center" wrapText="1"/>
    </xf>
    <xf numFmtId="0" fontId="3" fillId="15" borderId="107" xfId="0" quotePrefix="1" applyFont="1" applyFill="1" applyBorder="1" applyAlignment="1">
      <alignment horizontal="center"/>
    </xf>
    <xf numFmtId="167" fontId="10" fillId="0" borderId="13" xfId="1" quotePrefix="1" applyNumberFormat="1" applyFont="1" applyFill="1" applyBorder="1" applyAlignment="1">
      <alignment horizontal="center"/>
    </xf>
    <xf numFmtId="49" fontId="10" fillId="0" borderId="107" xfId="1" quotePrefix="1" applyNumberFormat="1" applyFont="1" applyFill="1" applyBorder="1" applyAlignment="1">
      <alignment horizontal="center"/>
    </xf>
    <xf numFmtId="180" fontId="23" fillId="8" borderId="107" xfId="0" applyNumberFormat="1" applyFont="1" applyFill="1" applyBorder="1" applyAlignment="1">
      <alignment horizontal="center" vertical="center" wrapText="1"/>
    </xf>
    <xf numFmtId="181" fontId="21" fillId="2" borderId="107" xfId="0" applyNumberFormat="1" applyFont="1" applyFill="1" applyBorder="1" applyAlignment="1">
      <alignment horizontal="center" vertical="center"/>
    </xf>
    <xf numFmtId="0" fontId="23" fillId="2" borderId="107" xfId="0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 wrapText="1"/>
    </xf>
    <xf numFmtId="171" fontId="14" fillId="3" borderId="107" xfId="1" applyNumberFormat="1" applyFont="1" applyFill="1" applyBorder="1" applyAlignment="1">
      <alignment vertical="center"/>
    </xf>
    <xf numFmtId="167" fontId="14" fillId="3" borderId="107" xfId="1" applyNumberFormat="1" applyFont="1" applyFill="1" applyBorder="1" applyAlignment="1">
      <alignment vertical="center"/>
    </xf>
    <xf numFmtId="167" fontId="21" fillId="19" borderId="24" xfId="1" applyNumberFormat="1" applyFont="1" applyFill="1" applyBorder="1" applyAlignment="1">
      <alignment vertical="center"/>
    </xf>
    <xf numFmtId="167" fontId="14" fillId="19" borderId="108" xfId="1" applyNumberFormat="1" applyFont="1" applyFill="1" applyBorder="1" applyAlignment="1">
      <alignment vertical="center"/>
    </xf>
    <xf numFmtId="167" fontId="14" fillId="19" borderId="83" xfId="1" applyNumberFormat="1" applyFont="1" applyFill="1" applyBorder="1" applyAlignment="1"/>
    <xf numFmtId="167" fontId="14" fillId="19" borderId="1" xfId="1" applyNumberFormat="1" applyFont="1" applyFill="1" applyBorder="1" applyAlignment="1">
      <alignment vertical="center"/>
    </xf>
    <xf numFmtId="167" fontId="19" fillId="19" borderId="107" xfId="1" applyNumberFormat="1" applyFont="1" applyFill="1" applyBorder="1" applyAlignment="1">
      <alignment vertical="center"/>
    </xf>
    <xf numFmtId="167" fontId="14" fillId="19" borderId="107" xfId="1" applyNumberFormat="1" applyFont="1" applyFill="1" applyBorder="1" applyAlignment="1"/>
    <xf numFmtId="167" fontId="12" fillId="5" borderId="107" xfId="1" quotePrefix="1" applyNumberFormat="1" applyFont="1" applyFill="1" applyBorder="1" applyAlignment="1">
      <alignment horizontal="center" vertical="center"/>
    </xf>
    <xf numFmtId="164" fontId="2" fillId="0" borderId="107" xfId="0" quotePrefix="1" applyNumberFormat="1" applyFont="1" applyBorder="1" applyAlignment="1">
      <alignment horizontal="center" wrapText="1"/>
    </xf>
    <xf numFmtId="167" fontId="12" fillId="5" borderId="107" xfId="1" quotePrefix="1" applyNumberFormat="1" applyFont="1" applyFill="1" applyBorder="1" applyAlignment="1">
      <alignment horizontal="center" vertical="center"/>
    </xf>
    <xf numFmtId="164" fontId="164" fillId="0" borderId="1" xfId="0" applyNumberFormat="1" applyFont="1" applyBorder="1" applyAlignment="1">
      <alignment horizontal="center" vertical="center"/>
    </xf>
    <xf numFmtId="2" fontId="2" fillId="0" borderId="1" xfId="2" quotePrefix="1" applyNumberFormat="1" applyFont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 vertical="center"/>
    </xf>
    <xf numFmtId="0" fontId="3" fillId="77" borderId="107" xfId="0" applyFont="1" applyFill="1" applyBorder="1" applyAlignment="1">
      <alignment horizontal="center" wrapText="1"/>
    </xf>
    <xf numFmtId="49" fontId="5" fillId="2" borderId="24" xfId="0" applyNumberFormat="1" applyFont="1" applyFill="1" applyBorder="1" applyAlignment="1">
      <alignment horizontal="center"/>
    </xf>
    <xf numFmtId="167" fontId="2" fillId="0" borderId="84" xfId="1" quotePrefix="1" applyNumberFormat="1" applyFont="1" applyFill="1" applyBorder="1" applyAlignment="1">
      <alignment horizontal="center" vertical="center" wrapText="1"/>
    </xf>
    <xf numFmtId="176" fontId="21" fillId="2" borderId="107" xfId="0" quotePrefix="1" applyNumberFormat="1" applyFont="1" applyFill="1" applyBorder="1" applyAlignment="1">
      <alignment vertical="center"/>
    </xf>
    <xf numFmtId="176" fontId="24" fillId="2" borderId="107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/>
    </xf>
    <xf numFmtId="2" fontId="5" fillId="0" borderId="73" xfId="0" applyNumberFormat="1" applyFont="1" applyFill="1" applyBorder="1" applyAlignment="1">
      <alignment horizontal="center"/>
    </xf>
    <xf numFmtId="41" fontId="2" fillId="0" borderId="158" xfId="0" applyNumberFormat="1" applyFont="1" applyFill="1" applyBorder="1" applyAlignment="1"/>
    <xf numFmtId="49" fontId="2" fillId="0" borderId="107" xfId="2" quotePrefix="1" applyNumberFormat="1" applyFont="1" applyBorder="1" applyAlignment="1">
      <alignment horizontal="center"/>
    </xf>
    <xf numFmtId="49" fontId="10" fillId="0" borderId="43" xfId="1" quotePrefix="1" applyNumberFormat="1" applyFont="1" applyFill="1" applyBorder="1" applyAlignment="1">
      <alignment horizontal="center"/>
    </xf>
    <xf numFmtId="167" fontId="2" fillId="0" borderId="84" xfId="1" quotePrefix="1" applyNumberFormat="1" applyFont="1" applyFill="1" applyBorder="1" applyAlignment="1">
      <alignment vertical="center" wrapText="1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49" fontId="12" fillId="0" borderId="43" xfId="1" quotePrefix="1" applyNumberFormat="1" applyFont="1" applyFill="1" applyBorder="1" applyAlignment="1">
      <alignment horizontal="center" vertical="center" wrapText="1"/>
    </xf>
    <xf numFmtId="0" fontId="2" fillId="0" borderId="107" xfId="0" quotePrefix="1" applyFont="1" applyFill="1" applyBorder="1" applyAlignment="1">
      <alignment horizontal="left" vertical="center"/>
    </xf>
    <xf numFmtId="3" fontId="3" fillId="0" borderId="7" xfId="0" applyNumberFormat="1" applyFont="1" applyFill="1" applyBorder="1" applyAlignment="1">
      <alignment horizontal="center"/>
    </xf>
    <xf numFmtId="3" fontId="5" fillId="0" borderId="107" xfId="0" applyNumberFormat="1" applyFont="1" applyFill="1" applyBorder="1" applyAlignment="1">
      <alignment horizontal="center"/>
    </xf>
    <xf numFmtId="0" fontId="5" fillId="0" borderId="108" xfId="0" applyFont="1" applyFill="1" applyBorder="1" applyAlignment="1">
      <alignment horizontal="center" vertical="center" wrapText="1"/>
    </xf>
    <xf numFmtId="0" fontId="5" fillId="0" borderId="107" xfId="0" applyFont="1" applyFill="1" applyBorder="1" applyAlignment="1">
      <alignment horizontal="center" vertical="center" wrapText="1"/>
    </xf>
    <xf numFmtId="49" fontId="12" fillId="5" borderId="107" xfId="1" quotePrefix="1" applyNumberFormat="1" applyFont="1" applyFill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2" fillId="0" borderId="20" xfId="1" quotePrefix="1" applyNumberFormat="1" applyFont="1" applyFill="1" applyBorder="1" applyAlignment="1">
      <alignment horizontal="center" vertical="center" wrapText="1"/>
    </xf>
    <xf numFmtId="164" fontId="5" fillId="0" borderId="107" xfId="0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/>
    </xf>
    <xf numFmtId="49" fontId="12" fillId="0" borderId="107" xfId="1" quotePrefix="1" applyNumberFormat="1" applyFont="1" applyFill="1" applyBorder="1" applyAlignment="1">
      <alignment horizontal="center" vertical="center" wrapText="1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171" fontId="21" fillId="70" borderId="1" xfId="1" applyNumberFormat="1" applyFont="1" applyFill="1" applyBorder="1" applyAlignment="1">
      <alignment horizontal="left"/>
    </xf>
    <xf numFmtId="164" fontId="3" fillId="0" borderId="107" xfId="0" applyNumberFormat="1" applyFont="1" applyFill="1" applyBorder="1" applyAlignment="1">
      <alignment horizontal="center" vertical="center"/>
    </xf>
    <xf numFmtId="165" fontId="2" fillId="0" borderId="107" xfId="0" quotePrefix="1" applyNumberFormat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3" fontId="2" fillId="2" borderId="39" xfId="0" applyNumberFormat="1" applyFont="1" applyFill="1" applyBorder="1" applyAlignment="1">
      <alignment horizontal="center"/>
    </xf>
    <xf numFmtId="49" fontId="12" fillId="5" borderId="24" xfId="1" quotePrefix="1" applyNumberFormat="1" applyFont="1" applyFill="1" applyBorder="1" applyAlignment="1">
      <alignment horizontal="center" wrapText="1"/>
    </xf>
    <xf numFmtId="167" fontId="12" fillId="0" borderId="43" xfId="1" quotePrefix="1" applyNumberFormat="1" applyFont="1" applyFill="1" applyBorder="1" applyAlignment="1">
      <alignment horizontal="center" vertical="center"/>
    </xf>
    <xf numFmtId="1" fontId="10" fillId="0" borderId="107" xfId="1" quotePrefix="1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4" fontId="2" fillId="15" borderId="24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56" fillId="0" borderId="131" xfId="0" applyNumberFormat="1" applyFont="1" applyBorder="1" applyAlignment="1">
      <alignment vertical="center"/>
    </xf>
    <xf numFmtId="49" fontId="56" fillId="0" borderId="0" xfId="0" applyNumberFormat="1" applyFont="1" applyBorder="1" applyAlignment="1">
      <alignment vertical="center"/>
    </xf>
    <xf numFmtId="2" fontId="5" fillId="2" borderId="73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73" fontId="2" fillId="0" borderId="1" xfId="2" quotePrefix="1" applyNumberFormat="1" applyFont="1" applyBorder="1" applyAlignment="1">
      <alignment horizontal="center"/>
    </xf>
    <xf numFmtId="167" fontId="10" fillId="0" borderId="43" xfId="1" quotePrefix="1" applyNumberFormat="1" applyFont="1" applyFill="1" applyBorder="1" applyAlignment="1">
      <alignment horizontal="center"/>
    </xf>
    <xf numFmtId="3" fontId="2" fillId="15" borderId="7" xfId="0" applyNumberFormat="1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0" borderId="107" xfId="2" quotePrefix="1" applyNumberFormat="1" applyFont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167" fontId="5" fillId="0" borderId="0" xfId="1" quotePrefix="1" applyNumberFormat="1" applyFont="1" applyFill="1" applyBorder="1" applyAlignment="1">
      <alignment horizontal="center" wrapText="1"/>
    </xf>
    <xf numFmtId="1" fontId="2" fillId="19" borderId="107" xfId="2" quotePrefix="1" applyNumberFormat="1" applyFont="1" applyFill="1" applyBorder="1" applyAlignment="1">
      <alignment horizontal="center"/>
    </xf>
    <xf numFmtId="167" fontId="6" fillId="0" borderId="107" xfId="1" applyNumberFormat="1" applyFont="1" applyFill="1" applyBorder="1" applyAlignment="1"/>
    <xf numFmtId="171" fontId="14" fillId="2" borderId="107" xfId="1" applyNumberFormat="1" applyFont="1" applyFill="1" applyBorder="1" applyAlignment="1">
      <alignment horizontal="center"/>
    </xf>
    <xf numFmtId="49" fontId="10" fillId="5" borderId="43" xfId="1" quotePrefix="1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164" fontId="2" fillId="0" borderId="107" xfId="0" quotePrefix="1" applyNumberFormat="1" applyFont="1" applyBorder="1" applyAlignment="1">
      <alignment horizontal="center" vertical="center"/>
    </xf>
    <xf numFmtId="167" fontId="10" fillId="5" borderId="43" xfId="1" quotePrefix="1" applyNumberFormat="1" applyFont="1" applyFill="1" applyBorder="1" applyAlignment="1">
      <alignment horizontal="center" vertical="center"/>
    </xf>
    <xf numFmtId="167" fontId="2" fillId="0" borderId="14" xfId="1" quotePrefix="1" applyNumberFormat="1" applyFont="1" applyFill="1" applyBorder="1" applyAlignment="1">
      <alignment horizontal="center" wrapText="1"/>
    </xf>
    <xf numFmtId="164" fontId="3" fillId="15" borderId="24" xfId="0" applyNumberFormat="1" applyFont="1" applyFill="1" applyBorder="1" applyAlignment="1">
      <alignment horizontal="center"/>
    </xf>
    <xf numFmtId="49" fontId="2" fillId="0" borderId="34" xfId="2" quotePrefix="1" applyNumberFormat="1" applyFont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/>
    </xf>
    <xf numFmtId="3" fontId="2" fillId="2" borderId="42" xfId="0" applyNumberFormat="1" applyFont="1" applyFill="1" applyBorder="1" applyAlignment="1">
      <alignment horizontal="center" vertical="center"/>
    </xf>
    <xf numFmtId="167" fontId="10" fillId="5" borderId="13" xfId="1" quotePrefix="1" applyNumberFormat="1" applyFont="1" applyFill="1" applyBorder="1" applyAlignment="1">
      <alignment horizontal="center"/>
    </xf>
    <xf numFmtId="164" fontId="6" fillId="0" borderId="107" xfId="0" applyNumberFormat="1" applyFont="1" applyBorder="1" applyAlignment="1">
      <alignment horizontal="center" wrapText="1"/>
    </xf>
    <xf numFmtId="3" fontId="2" fillId="15" borderId="161" xfId="0" applyNumberFormat="1" applyFont="1" applyFill="1" applyBorder="1" applyAlignment="1">
      <alignment horizontal="center"/>
    </xf>
    <xf numFmtId="3" fontId="2" fillId="2" borderId="72" xfId="0" applyNumberFormat="1" applyFont="1" applyFill="1" applyBorder="1" applyAlignment="1">
      <alignment horizontal="center"/>
    </xf>
    <xf numFmtId="167" fontId="2" fillId="0" borderId="39" xfId="1" applyNumberFormat="1" applyFont="1" applyFill="1" applyBorder="1" applyAlignment="1">
      <alignment horizontal="center" wrapText="1"/>
    </xf>
    <xf numFmtId="0" fontId="2" fillId="2" borderId="108" xfId="0" quotePrefix="1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5" fillId="2" borderId="107" xfId="0" applyFont="1" applyFill="1" applyBorder="1" applyAlignment="1">
      <alignment horizontal="center"/>
    </xf>
    <xf numFmtId="3" fontId="2" fillId="2" borderId="13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0" fontId="3" fillId="2" borderId="34" xfId="0" applyFont="1" applyFill="1" applyBorder="1" applyAlignment="1">
      <alignment horizontal="center" vertical="center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2" fontId="12" fillId="5" borderId="43" xfId="1" quotePrefix="1" applyNumberFormat="1" applyFont="1" applyFill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 vertical="center" wrapText="1"/>
    </xf>
    <xf numFmtId="171" fontId="21" fillId="14" borderId="107" xfId="1" applyNumberFormat="1" applyFont="1" applyFill="1" applyBorder="1" applyAlignment="1">
      <alignment horizontal="left" vertical="center"/>
    </xf>
    <xf numFmtId="3" fontId="2" fillId="2" borderId="43" xfId="0" applyNumberFormat="1" applyFont="1" applyFill="1" applyBorder="1" applyAlignment="1">
      <alignment horizontal="center" vertical="center"/>
    </xf>
    <xf numFmtId="3" fontId="2" fillId="2" borderId="55" xfId="0" applyNumberFormat="1" applyFont="1" applyFill="1" applyBorder="1" applyAlignment="1">
      <alignment horizontal="center"/>
    </xf>
    <xf numFmtId="167" fontId="14" fillId="19" borderId="24" xfId="1" applyNumberFormat="1" applyFont="1" applyFill="1" applyBorder="1" applyAlignment="1">
      <alignment vertical="center"/>
    </xf>
    <xf numFmtId="167" fontId="14" fillId="19" borderId="107" xfId="1" applyNumberFormat="1" applyFont="1" applyFill="1" applyBorder="1" applyAlignment="1">
      <alignment vertical="center"/>
    </xf>
    <xf numFmtId="167" fontId="14" fillId="19" borderId="83" xfId="1" applyNumberFormat="1" applyFont="1" applyFill="1" applyBorder="1" applyAlignment="1">
      <alignment horizontal="center"/>
    </xf>
    <xf numFmtId="49" fontId="10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" fontId="12" fillId="5" borderId="107" xfId="1" quotePrefix="1" applyNumberFormat="1" applyFont="1" applyFill="1" applyBorder="1" applyAlignment="1">
      <alignment horizontal="center"/>
    </xf>
    <xf numFmtId="49" fontId="2" fillId="0" borderId="43" xfId="2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4" fontId="10" fillId="0" borderId="107" xfId="0" applyNumberFormat="1" applyFont="1" applyBorder="1" applyAlignment="1">
      <alignment horizontal="center" vertical="center"/>
    </xf>
    <xf numFmtId="165" fontId="10" fillId="0" borderId="107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164" fontId="5" fillId="0" borderId="107" xfId="0" applyNumberFormat="1" applyFont="1" applyBorder="1" applyAlignment="1">
      <alignment horizontal="center" wrapText="1"/>
    </xf>
    <xf numFmtId="0" fontId="34" fillId="0" borderId="107" xfId="0" applyFont="1" applyBorder="1" applyAlignment="1">
      <alignment vertical="top"/>
    </xf>
    <xf numFmtId="0" fontId="2" fillId="15" borderId="107" xfId="0" applyFont="1" applyFill="1" applyBorder="1" applyAlignment="1">
      <alignment horizontal="center"/>
    </xf>
    <xf numFmtId="165" fontId="2" fillId="0" borderId="107" xfId="0" applyNumberFormat="1" applyFont="1" applyBorder="1" applyAlignment="1">
      <alignment horizontal="center" wrapText="1"/>
    </xf>
    <xf numFmtId="49" fontId="12" fillId="5" borderId="43" xfId="1" quotePrefix="1" applyNumberFormat="1" applyFont="1" applyFill="1" applyBorder="1" applyAlignment="1">
      <alignment horizontal="center"/>
    </xf>
    <xf numFmtId="164" fontId="2" fillId="0" borderId="107" xfId="0" quotePrefix="1" applyNumberFormat="1" applyFont="1" applyBorder="1" applyAlignment="1"/>
    <xf numFmtId="44" fontId="12" fillId="5" borderId="43" xfId="1" quotePrefix="1" applyNumberFormat="1" applyFont="1" applyFill="1" applyBorder="1" applyAlignment="1">
      <alignment horizontal="center"/>
    </xf>
    <xf numFmtId="49" fontId="2" fillId="2" borderId="24" xfId="2" quotePrefix="1" applyNumberFormat="1" applyFont="1" applyFill="1" applyBorder="1" applyAlignment="1">
      <alignment horizontal="center" wrapText="1"/>
    </xf>
    <xf numFmtId="49" fontId="12" fillId="5" borderId="130" xfId="1" quotePrefix="1" applyNumberFormat="1" applyFont="1" applyFill="1" applyBorder="1" applyAlignment="1">
      <alignment horizontal="center"/>
    </xf>
    <xf numFmtId="49" fontId="12" fillId="5" borderId="131" xfId="1" quotePrefix="1" applyNumberFormat="1" applyFont="1" applyFill="1" applyBorder="1" applyAlignment="1">
      <alignment horizontal="center" vertical="center" wrapText="1"/>
    </xf>
    <xf numFmtId="2" fontId="10" fillId="5" borderId="13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12" fillId="5" borderId="131" xfId="1" quotePrefix="1" applyNumberFormat="1" applyFont="1" applyFill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10" fillId="0" borderId="7" xfId="0" applyNumberFormat="1" applyFont="1" applyBorder="1" applyAlignment="1">
      <alignment horizontal="center" vertical="center" wrapText="1"/>
    </xf>
    <xf numFmtId="1" fontId="202" fillId="0" borderId="107" xfId="0" applyNumberFormat="1" applyFont="1" applyBorder="1" applyAlignment="1">
      <alignment vertical="center"/>
    </xf>
    <xf numFmtId="3" fontId="2" fillId="0" borderId="32" xfId="0" applyNumberFormat="1" applyFont="1" applyFill="1" applyBorder="1" applyAlignment="1">
      <alignment horizontal="center"/>
    </xf>
    <xf numFmtId="0" fontId="200" fillId="0" borderId="107" xfId="0" applyFont="1" applyFill="1" applyBorder="1" applyAlignment="1">
      <alignment horizontal="center"/>
    </xf>
    <xf numFmtId="1" fontId="4" fillId="0" borderId="0" xfId="0" applyNumberFormat="1" applyFont="1"/>
    <xf numFmtId="171" fontId="14" fillId="12" borderId="107" xfId="1" applyNumberFormat="1" applyFont="1" applyFill="1" applyBorder="1" applyAlignment="1">
      <alignment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3" fillId="0" borderId="107" xfId="2" quotePrefix="1" applyNumberFormat="1" applyFont="1" applyBorder="1" applyAlignment="1">
      <alignment horizontal="center"/>
    </xf>
    <xf numFmtId="2" fontId="12" fillId="5" borderId="24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2" fillId="3" borderId="83" xfId="0" quotePrefix="1" applyFont="1" applyFill="1" applyBorder="1" applyAlignment="1">
      <alignment horizontal="center"/>
    </xf>
    <xf numFmtId="0" fontId="2" fillId="3" borderId="24" xfId="0" quotePrefix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9" fillId="12" borderId="107" xfId="1" applyNumberFormat="1" applyFont="1" applyFill="1" applyBorder="1" applyAlignment="1">
      <alignment vertical="center"/>
    </xf>
    <xf numFmtId="2" fontId="21" fillId="2" borderId="1" xfId="0" applyNumberFormat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10" fillId="0" borderId="107" xfId="1" quotePrefix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165" fontId="2" fillId="0" borderId="107" xfId="0" quotePrefix="1" applyNumberFormat="1" applyFont="1" applyBorder="1" applyAlignment="1">
      <alignment horizontal="center" wrapText="1"/>
    </xf>
    <xf numFmtId="165" fontId="2" fillId="0" borderId="130" xfId="0" quotePrefix="1" applyNumberFormat="1" applyFont="1" applyFill="1" applyBorder="1" applyAlignment="1">
      <alignment horizontal="center"/>
    </xf>
    <xf numFmtId="0" fontId="2" fillId="0" borderId="108" xfId="0" quotePrefix="1" applyFont="1" applyFill="1" applyBorder="1" applyAlignment="1">
      <alignment horizontal="center"/>
    </xf>
    <xf numFmtId="164" fontId="5" fillId="0" borderId="110" xfId="0" applyNumberFormat="1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164" fontId="136" fillId="2" borderId="162" xfId="0" applyNumberFormat="1" applyFont="1" applyFill="1" applyBorder="1" applyAlignment="1">
      <alignment horizontal="center"/>
    </xf>
    <xf numFmtId="164" fontId="200" fillId="0" borderId="34" xfId="0" applyNumberFormat="1" applyFont="1" applyBorder="1" applyAlignment="1">
      <alignment horizontal="center" vertical="center" wrapText="1"/>
    </xf>
    <xf numFmtId="0" fontId="2" fillId="0" borderId="130" xfId="0" applyFont="1" applyFill="1" applyBorder="1" applyAlignment="1">
      <alignment horizontal="center"/>
    </xf>
    <xf numFmtId="164" fontId="3" fillId="0" borderId="131" xfId="0" applyNumberFormat="1" applyFont="1" applyFill="1" applyBorder="1" applyAlignment="1">
      <alignment horizontal="center"/>
    </xf>
    <xf numFmtId="3" fontId="2" fillId="0" borderId="110" xfId="0" applyNumberFormat="1" applyFont="1" applyFill="1" applyBorder="1" applyAlignment="1">
      <alignment horizontal="center"/>
    </xf>
    <xf numFmtId="167" fontId="10" fillId="0" borderId="131" xfId="1" quotePrefix="1" applyNumberFormat="1" applyFont="1" applyFill="1" applyBorder="1" applyAlignment="1">
      <alignment horizontal="center"/>
    </xf>
    <xf numFmtId="167" fontId="12" fillId="0" borderId="131" xfId="1" quotePrefix="1" applyNumberFormat="1" applyFont="1" applyFill="1" applyBorder="1" applyAlignment="1">
      <alignment horizontal="center" wrapText="1"/>
    </xf>
    <xf numFmtId="49" fontId="10" fillId="0" borderId="131" xfId="1" quotePrefix="1" applyNumberFormat="1" applyFont="1" applyFill="1" applyBorder="1" applyAlignment="1">
      <alignment horizontal="center"/>
    </xf>
    <xf numFmtId="165" fontId="200" fillId="0" borderId="107" xfId="0" applyNumberFormat="1" applyFont="1" applyFill="1" applyBorder="1" applyAlignment="1">
      <alignment horizontal="center"/>
    </xf>
    <xf numFmtId="167" fontId="214" fillId="5" borderId="107" xfId="1" quotePrefix="1" applyNumberFormat="1" applyFont="1" applyFill="1" applyBorder="1" applyAlignment="1">
      <alignment horizontal="center"/>
    </xf>
    <xf numFmtId="167" fontId="10" fillId="0" borderId="43" xfId="1" quotePrefix="1" applyNumberFormat="1" applyFont="1" applyFill="1" applyBorder="1" applyAlignment="1">
      <alignment horizontal="center" vertical="center"/>
    </xf>
    <xf numFmtId="167" fontId="10" fillId="0" borderId="162" xfId="1" quotePrefix="1" applyNumberFormat="1" applyFont="1" applyFill="1" applyBorder="1" applyAlignment="1">
      <alignment horizontal="center" vertical="center"/>
    </xf>
    <xf numFmtId="167" fontId="213" fillId="0" borderId="43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" fontId="215" fillId="0" borderId="107" xfId="0" applyNumberFormat="1" applyFont="1" applyBorder="1" applyAlignment="1">
      <alignment vertical="center"/>
    </xf>
    <xf numFmtId="167" fontId="14" fillId="19" borderId="1" xfId="1" applyNumberFormat="1" applyFont="1" applyFill="1" applyBorder="1" applyAlignment="1"/>
    <xf numFmtId="171" fontId="14" fillId="19" borderId="73" xfId="1" applyNumberFormat="1" applyFont="1" applyFill="1" applyBorder="1" applyAlignment="1"/>
    <xf numFmtId="167" fontId="14" fillId="19" borderId="24" xfId="1" applyNumberFormat="1" applyFont="1" applyFill="1" applyBorder="1" applyAlignment="1"/>
    <xf numFmtId="49" fontId="12" fillId="5" borderId="43" xfId="1" quotePrefix="1" applyNumberFormat="1" applyFont="1" applyFill="1" applyBorder="1" applyAlignment="1">
      <alignment horizontal="center"/>
    </xf>
    <xf numFmtId="171" fontId="14" fillId="2" borderId="107" xfId="1" applyNumberFormat="1" applyFont="1" applyFill="1" applyBorder="1" applyAlignment="1">
      <alignment wrapText="1"/>
    </xf>
    <xf numFmtId="0" fontId="3" fillId="2" borderId="107" xfId="0" applyFont="1" applyFill="1" applyBorder="1" applyAlignment="1">
      <alignment horizontal="center" wrapText="1"/>
    </xf>
    <xf numFmtId="164" fontId="3" fillId="15" borderId="1" xfId="0" applyNumberFormat="1" applyFont="1" applyFill="1" applyBorder="1" applyAlignment="1">
      <alignment horizontal="center"/>
    </xf>
    <xf numFmtId="167" fontId="2" fillId="5" borderId="107" xfId="1" applyNumberFormat="1" applyFont="1" applyFill="1" applyBorder="1" applyAlignment="1">
      <alignment horizontal="center"/>
    </xf>
    <xf numFmtId="0" fontId="21" fillId="2" borderId="24" xfId="0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4" fontId="11" fillId="2" borderId="24" xfId="0" applyNumberFormat="1" applyFont="1" applyFill="1" applyBorder="1" applyAlignment="1">
      <alignment horizontal="center" wrapText="1"/>
    </xf>
    <xf numFmtId="0" fontId="21" fillId="2" borderId="24" xfId="0" applyFont="1" applyFill="1" applyBorder="1" applyAlignment="1">
      <alignment horizontal="center"/>
    </xf>
    <xf numFmtId="0" fontId="23" fillId="2" borderId="24" xfId="0" applyFont="1" applyFill="1" applyBorder="1" applyAlignment="1">
      <alignment horizontal="center"/>
    </xf>
    <xf numFmtId="181" fontId="22" fillId="2" borderId="24" xfId="0" applyNumberFormat="1" applyFont="1" applyFill="1" applyBorder="1" applyAlignment="1">
      <alignment horizontal="center" vertical="center" wrapText="1"/>
    </xf>
    <xf numFmtId="0" fontId="19" fillId="2" borderId="151" xfId="0" applyFont="1" applyFill="1" applyBorder="1" applyAlignment="1">
      <alignment horizontal="center" vertical="center"/>
    </xf>
    <xf numFmtId="0" fontId="21" fillId="2" borderId="111" xfId="0" applyFont="1" applyFill="1" applyBorder="1" applyAlignment="1">
      <alignment horizontal="center"/>
    </xf>
    <xf numFmtId="0" fontId="23" fillId="2" borderId="111" xfId="0" applyFont="1" applyFill="1" applyBorder="1" applyAlignment="1">
      <alignment horizontal="center"/>
    </xf>
    <xf numFmtId="181" fontId="22" fillId="2" borderId="111" xfId="0" applyNumberFormat="1" applyFont="1" applyFill="1" applyBorder="1" applyAlignment="1">
      <alignment horizontal="center" vertical="center" wrapText="1"/>
    </xf>
    <xf numFmtId="0" fontId="23" fillId="2" borderId="111" xfId="0" applyFont="1" applyFill="1" applyBorder="1" applyAlignment="1">
      <alignment horizontal="center" vertical="center"/>
    </xf>
    <xf numFmtId="0" fontId="21" fillId="2" borderId="111" xfId="0" applyFont="1" applyFill="1" applyBorder="1" applyAlignment="1">
      <alignment horizontal="center" vertical="center"/>
    </xf>
    <xf numFmtId="173" fontId="21" fillId="2" borderId="111" xfId="1" applyNumberFormat="1" applyFont="1" applyFill="1" applyBorder="1" applyAlignment="1">
      <alignment horizontal="center" vertical="center"/>
    </xf>
    <xf numFmtId="170" fontId="19" fillId="2" borderId="111" xfId="0" applyNumberFormat="1" applyFont="1" applyFill="1" applyBorder="1" applyAlignment="1">
      <alignment horizontal="center" vertical="center" wrapText="1"/>
    </xf>
    <xf numFmtId="0" fontId="21" fillId="2" borderId="111" xfId="0" applyFont="1" applyFill="1" applyBorder="1" applyAlignment="1">
      <alignment horizontal="center" vertical="center" wrapText="1"/>
    </xf>
    <xf numFmtId="2" fontId="21" fillId="2" borderId="111" xfId="1" applyNumberFormat="1" applyFont="1" applyFill="1" applyBorder="1" applyAlignment="1">
      <alignment vertical="center"/>
    </xf>
    <xf numFmtId="167" fontId="21" fillId="2" borderId="111" xfId="1" applyNumberFormat="1" applyFont="1" applyFill="1" applyBorder="1" applyAlignment="1">
      <alignment vertical="center"/>
    </xf>
    <xf numFmtId="0" fontId="20" fillId="2" borderId="111" xfId="0" applyFont="1" applyFill="1" applyBorder="1" applyAlignment="1">
      <alignment horizontal="center" vertical="center"/>
    </xf>
    <xf numFmtId="49" fontId="24" fillId="2" borderId="111" xfId="0" applyNumberFormat="1" applyFont="1" applyFill="1" applyBorder="1" applyAlignment="1">
      <alignment horizontal="center" vertical="center"/>
    </xf>
    <xf numFmtId="0" fontId="19" fillId="2" borderId="143" xfId="0" applyFont="1" applyFill="1" applyBorder="1" applyAlignment="1">
      <alignment horizontal="center" vertical="center"/>
    </xf>
    <xf numFmtId="0" fontId="21" fillId="2" borderId="125" xfId="0" applyFont="1" applyFill="1" applyBorder="1" applyAlignment="1">
      <alignment horizontal="center"/>
    </xf>
    <xf numFmtId="0" fontId="23" fillId="2" borderId="125" xfId="0" applyFont="1" applyFill="1" applyBorder="1" applyAlignment="1">
      <alignment horizontal="center"/>
    </xf>
    <xf numFmtId="181" fontId="22" fillId="2" borderId="125" xfId="0" applyNumberFormat="1" applyFont="1" applyFill="1" applyBorder="1" applyAlignment="1">
      <alignment horizontal="center" vertical="center" wrapText="1"/>
    </xf>
    <xf numFmtId="0" fontId="23" fillId="2" borderId="125" xfId="0" applyFont="1" applyFill="1" applyBorder="1" applyAlignment="1">
      <alignment horizontal="center" vertical="center"/>
    </xf>
    <xf numFmtId="0" fontId="21" fillId="2" borderId="125" xfId="0" applyFont="1" applyFill="1" applyBorder="1" applyAlignment="1">
      <alignment horizontal="center" vertical="center"/>
    </xf>
    <xf numFmtId="173" fontId="21" fillId="2" borderId="125" xfId="1" applyNumberFormat="1" applyFont="1" applyFill="1" applyBorder="1" applyAlignment="1">
      <alignment horizontal="center" vertical="center"/>
    </xf>
    <xf numFmtId="170" fontId="19" fillId="2" borderId="125" xfId="0" applyNumberFormat="1" applyFont="1" applyFill="1" applyBorder="1" applyAlignment="1">
      <alignment horizontal="center" vertical="center" wrapText="1"/>
    </xf>
    <xf numFmtId="0" fontId="21" fillId="2" borderId="125" xfId="0" applyFont="1" applyFill="1" applyBorder="1" applyAlignment="1">
      <alignment horizontal="center" vertical="center" wrapText="1"/>
    </xf>
    <xf numFmtId="2" fontId="21" fillId="2" borderId="125" xfId="1" applyNumberFormat="1" applyFont="1" applyFill="1" applyBorder="1" applyAlignment="1">
      <alignment vertical="center"/>
    </xf>
    <xf numFmtId="167" fontId="21" fillId="2" borderId="125" xfId="1" applyNumberFormat="1" applyFont="1" applyFill="1" applyBorder="1" applyAlignment="1">
      <alignment vertical="center"/>
    </xf>
    <xf numFmtId="0" fontId="20" fillId="2" borderId="125" xfId="0" applyFont="1" applyFill="1" applyBorder="1" applyAlignment="1">
      <alignment horizontal="center" vertical="center"/>
    </xf>
    <xf numFmtId="49" fontId="24" fillId="2" borderId="125" xfId="0" applyNumberFormat="1" applyFont="1" applyFill="1" applyBorder="1" applyAlignment="1">
      <alignment horizontal="center" vertical="center"/>
    </xf>
    <xf numFmtId="0" fontId="29" fillId="2" borderId="107" xfId="0" applyFont="1" applyFill="1" applyBorder="1" applyAlignment="1">
      <alignment vertical="center"/>
    </xf>
    <xf numFmtId="0" fontId="23" fillId="8" borderId="107" xfId="0" applyFont="1" applyFill="1" applyBorder="1" applyAlignment="1">
      <alignment horizontal="center" vertical="center" wrapText="1"/>
    </xf>
    <xf numFmtId="164" fontId="3" fillId="0" borderId="107" xfId="0" applyNumberFormat="1" applyFont="1" applyBorder="1" applyAlignment="1">
      <alignment horizontal="center" wrapText="1"/>
    </xf>
    <xf numFmtId="164" fontId="136" fillId="2" borderId="24" xfId="0" quotePrefix="1" applyNumberFormat="1" applyFont="1" applyFill="1" applyBorder="1" applyAlignment="1">
      <alignment horizontal="center"/>
    </xf>
    <xf numFmtId="3" fontId="2" fillId="2" borderId="131" xfId="0" applyNumberFormat="1" applyFont="1" applyFill="1" applyBorder="1" applyAlignment="1">
      <alignment horizontal="center"/>
    </xf>
    <xf numFmtId="167" fontId="14" fillId="2" borderId="130" xfId="1" applyNumberFormat="1" applyFont="1" applyFill="1" applyBorder="1" applyAlignment="1"/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76" fontId="24" fillId="2" borderId="125" xfId="0" applyNumberFormat="1" applyFont="1" applyFill="1" applyBorder="1" applyAlignment="1">
      <alignment horizontal="center" vertical="center"/>
    </xf>
    <xf numFmtId="181" fontId="21" fillId="2" borderId="125" xfId="0" quotePrefix="1" applyNumberFormat="1" applyFont="1" applyFill="1" applyBorder="1" applyAlignment="1">
      <alignment horizontal="center" vertical="center"/>
    </xf>
    <xf numFmtId="176" fontId="24" fillId="2" borderId="111" xfId="0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0" xfId="0" quotePrefix="1" applyNumberFormat="1" applyFont="1" applyAlignment="1">
      <alignment horizontal="center"/>
    </xf>
    <xf numFmtId="167" fontId="6" fillId="5" borderId="43" xfId="1" quotePrefix="1" applyNumberFormat="1" applyFont="1" applyFill="1" applyBorder="1" applyAlignment="1">
      <alignment horizontal="center"/>
    </xf>
    <xf numFmtId="170" fontId="19" fillId="2" borderId="125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/>
    </xf>
    <xf numFmtId="0" fontId="3" fillId="3" borderId="107" xfId="0" applyFont="1" applyFill="1" applyBorder="1" applyAlignment="1">
      <alignment horizontal="center"/>
    </xf>
    <xf numFmtId="0" fontId="2" fillId="15" borderId="107" xfId="0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0" fontId="3" fillId="3" borderId="34" xfId="0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2" fontId="2" fillId="0" borderId="43" xfId="2" quotePrefix="1" applyNumberFormat="1" applyFont="1" applyBorder="1" applyAlignment="1"/>
    <xf numFmtId="43" fontId="10" fillId="5" borderId="13" xfId="1" quotePrefix="1" applyNumberFormat="1" applyFont="1" applyFill="1" applyBorder="1" applyAlignment="1">
      <alignment horizontal="center"/>
    </xf>
    <xf numFmtId="0" fontId="24" fillId="2" borderId="111" xfId="0" applyFont="1" applyFill="1" applyBorder="1" applyAlignment="1">
      <alignment horizontal="center" vertical="center"/>
    </xf>
    <xf numFmtId="0" fontId="24" fillId="2" borderId="125" xfId="0" applyFont="1" applyFill="1" applyBorder="1" applyAlignment="1">
      <alignment horizontal="center" vertical="center"/>
    </xf>
    <xf numFmtId="171" fontId="21" fillId="70" borderId="111" xfId="1" applyNumberFormat="1" applyFont="1" applyFill="1" applyBorder="1" applyAlignment="1">
      <alignment horizontal="left" vertical="center" indent="1"/>
    </xf>
    <xf numFmtId="0" fontId="19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167" fontId="19" fillId="2" borderId="0" xfId="0" applyNumberFormat="1" applyFont="1" applyFill="1" applyBorder="1" applyAlignment="1">
      <alignment vertical="center"/>
    </xf>
    <xf numFmtId="0" fontId="20" fillId="2" borderId="2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167" fontId="19" fillId="2" borderId="0" xfId="0" applyNumberFormat="1" applyFont="1" applyFill="1" applyBorder="1" applyAlignment="1"/>
    <xf numFmtId="170" fontId="19" fillId="2" borderId="24" xfId="0" applyNumberFormat="1" applyFont="1" applyFill="1" applyBorder="1" applyAlignment="1">
      <alignment horizontal="center" vertical="center"/>
    </xf>
    <xf numFmtId="170" fontId="19" fillId="2" borderId="111" xfId="0" applyNumberFormat="1" applyFont="1" applyFill="1" applyBorder="1" applyAlignment="1">
      <alignment horizontal="center" vertical="center"/>
    </xf>
    <xf numFmtId="2" fontId="19" fillId="0" borderId="111" xfId="1" quotePrefix="1" applyNumberFormat="1" applyFont="1" applyFill="1" applyBorder="1" applyAlignment="1">
      <alignment horizontal="center" vertical="center" wrapText="1"/>
    </xf>
    <xf numFmtId="164" fontId="6" fillId="0" borderId="83" xfId="0" applyNumberFormat="1" applyFont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 wrapText="1"/>
    </xf>
    <xf numFmtId="0" fontId="2" fillId="2" borderId="83" xfId="0" quotePrefix="1" applyFont="1" applyFill="1" applyBorder="1" applyAlignment="1">
      <alignment horizontal="left" vertical="center"/>
    </xf>
    <xf numFmtId="49" fontId="2" fillId="0" borderId="107" xfId="2" quotePrefix="1" applyNumberFormat="1" applyFont="1" applyBorder="1" applyAlignment="1">
      <alignment horizontal="center"/>
    </xf>
    <xf numFmtId="167" fontId="21" fillId="14" borderId="111" xfId="1" applyNumberFormat="1" applyFont="1" applyFill="1" applyBorder="1" applyAlignment="1">
      <alignment vertical="center"/>
    </xf>
    <xf numFmtId="167" fontId="21" fillId="14" borderId="24" xfId="1" applyNumberFormat="1" applyFont="1" applyFill="1" applyBorder="1" applyAlignment="1">
      <alignment vertical="center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167" fontId="19" fillId="70" borderId="107" xfId="1" applyNumberFormat="1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14" fillId="2" borderId="24" xfId="1" applyNumberFormat="1" applyFont="1" applyFill="1" applyBorder="1" applyAlignment="1"/>
    <xf numFmtId="165" fontId="2" fillId="0" borderId="1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Fill="1" applyBorder="1" applyAlignment="1">
      <alignment horizontal="center" wrapText="1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49" fontId="12" fillId="5" borderId="43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164" fontId="11" fillId="2" borderId="43" xfId="0" applyNumberFormat="1" applyFont="1" applyFill="1" applyBorder="1" applyAlignment="1">
      <alignment horizontal="center"/>
    </xf>
    <xf numFmtId="49" fontId="2" fillId="2" borderId="131" xfId="2" quotePrefix="1" applyNumberFormat="1" applyFont="1" applyFill="1" applyBorder="1" applyAlignment="1">
      <alignment horizontal="center" vertical="center" wrapText="1"/>
    </xf>
    <xf numFmtId="182" fontId="10" fillId="5" borderId="13" xfId="1" quotePrefix="1" applyNumberFormat="1" applyFont="1" applyFill="1" applyBorder="1" applyAlignment="1">
      <alignment horizontal="center"/>
    </xf>
    <xf numFmtId="167" fontId="21" fillId="19" borderId="107" xfId="1" applyNumberFormat="1" applyFont="1" applyFill="1" applyBorder="1" applyAlignment="1">
      <alignment vertical="center"/>
    </xf>
    <xf numFmtId="164" fontId="3" fillId="0" borderId="55" xfId="0" applyNumberFormat="1" applyFont="1" applyFill="1" applyBorder="1" applyAlignment="1">
      <alignment vertical="center"/>
    </xf>
    <xf numFmtId="164" fontId="3" fillId="3" borderId="43" xfId="0" applyNumberFormat="1" applyFont="1" applyFill="1" applyBorder="1" applyAlignment="1">
      <alignment horizontal="center" vertical="center" wrapText="1"/>
    </xf>
    <xf numFmtId="0" fontId="5" fillId="3" borderId="107" xfId="0" applyFont="1" applyFill="1" applyBorder="1" applyAlignment="1">
      <alignment horizontal="center"/>
    </xf>
    <xf numFmtId="0" fontId="5" fillId="2" borderId="107" xfId="0" applyFont="1" applyFill="1" applyBorder="1" applyAlignment="1">
      <alignment horizontal="center" wrapText="1"/>
    </xf>
    <xf numFmtId="167" fontId="19" fillId="19" borderId="111" xfId="1" applyNumberFormat="1" applyFont="1" applyFill="1" applyBorder="1" applyAlignment="1">
      <alignment vertical="center"/>
    </xf>
    <xf numFmtId="167" fontId="21" fillId="19" borderId="111" xfId="1" applyNumberFormat="1" applyFont="1" applyFill="1" applyBorder="1" applyAlignment="1">
      <alignment vertical="center"/>
    </xf>
    <xf numFmtId="167" fontId="21" fillId="19" borderId="125" xfId="1" applyNumberFormat="1" applyFont="1" applyFill="1" applyBorder="1" applyAlignment="1">
      <alignment vertical="center"/>
    </xf>
    <xf numFmtId="167" fontId="19" fillId="19" borderId="108" xfId="1" applyNumberFormat="1" applyFont="1" applyFill="1" applyBorder="1" applyAlignment="1">
      <alignment vertical="center"/>
    </xf>
    <xf numFmtId="167" fontId="21" fillId="19" borderId="108" xfId="1" applyNumberFormat="1" applyFont="1" applyFill="1" applyBorder="1" applyAlignment="1">
      <alignment vertical="center"/>
    </xf>
    <xf numFmtId="171" fontId="21" fillId="19" borderId="111" xfId="1" applyNumberFormat="1" applyFont="1" applyFill="1" applyBorder="1" applyAlignment="1">
      <alignment vertical="center"/>
    </xf>
    <xf numFmtId="171" fontId="21" fillId="19" borderId="125" xfId="1" applyNumberFormat="1" applyFont="1" applyFill="1" applyBorder="1" applyAlignment="1">
      <alignment vertical="center"/>
    </xf>
    <xf numFmtId="171" fontId="21" fillId="19" borderId="24" xfId="1" applyNumberFormat="1" applyFont="1" applyFill="1" applyBorder="1" applyAlignment="1">
      <alignment vertical="center"/>
    </xf>
    <xf numFmtId="49" fontId="2" fillId="0" borderId="107" xfId="2" quotePrefix="1" applyNumberFormat="1" applyFont="1" applyBorder="1" applyAlignment="1">
      <alignment horizontal="center"/>
    </xf>
    <xf numFmtId="2" fontId="21" fillId="0" borderId="111" xfId="1" applyNumberFormat="1" applyFont="1" applyFill="1" applyBorder="1" applyAlignment="1">
      <alignment vertical="center"/>
    </xf>
    <xf numFmtId="171" fontId="14" fillId="19" borderId="107" xfId="1" applyNumberFormat="1" applyFont="1" applyFill="1" applyBorder="1" applyAlignment="1">
      <alignment vertical="center"/>
    </xf>
    <xf numFmtId="171" fontId="14" fillId="19" borderId="73" xfId="1" applyNumberFormat="1" applyFont="1" applyFill="1" applyBorder="1" applyAlignment="1">
      <alignment vertical="center"/>
    </xf>
    <xf numFmtId="49" fontId="2" fillId="2" borderId="24" xfId="2" quotePrefix="1" applyNumberFormat="1" applyFont="1" applyFill="1" applyBorder="1" applyAlignment="1">
      <alignment horizontal="center" wrapText="1"/>
    </xf>
    <xf numFmtId="0" fontId="3" fillId="9" borderId="0" xfId="0" applyFont="1" applyFill="1" applyBorder="1" applyAlignment="1">
      <alignment horizontal="center"/>
    </xf>
    <xf numFmtId="0" fontId="21" fillId="2" borderId="112" xfId="0" applyFont="1" applyFill="1" applyBorder="1" applyAlignment="1">
      <alignment horizontal="center" vertical="center" wrapText="1"/>
    </xf>
    <xf numFmtId="164" fontId="2" fillId="0" borderId="108" xfId="0" applyNumberFormat="1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49" fontId="2" fillId="2" borderId="34" xfId="2" quotePrefix="1" applyNumberFormat="1" applyFont="1" applyFill="1" applyBorder="1" applyAlignment="1">
      <alignment horizontal="center" vertic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112" xfId="0" applyNumberFormat="1" applyFont="1" applyBorder="1" applyAlignment="1">
      <alignment horizontal="center" vertical="center" wrapText="1"/>
    </xf>
    <xf numFmtId="49" fontId="2" fillId="2" borderId="118" xfId="2" quotePrefix="1" applyNumberFormat="1" applyFont="1" applyFill="1" applyBorder="1" applyAlignment="1">
      <alignment horizontal="center" vertical="center" wrapText="1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14" fillId="0" borderId="120" xfId="7" applyFont="1" applyBorder="1" applyAlignment="1">
      <alignment horizontal="center" vertical="center" wrapText="1"/>
    </xf>
    <xf numFmtId="0" fontId="14" fillId="0" borderId="113" xfId="7" applyFont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49" fontId="6" fillId="0" borderId="118" xfId="2" quotePrefix="1" applyNumberFormat="1" applyFont="1" applyFill="1" applyBorder="1" applyAlignment="1">
      <alignment horizontal="center" vertical="center" wrapText="1"/>
    </xf>
    <xf numFmtId="49" fontId="6" fillId="0" borderId="34" xfId="2" quotePrefix="1" applyNumberFormat="1" applyFont="1" applyFill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0" fontId="2" fillId="0" borderId="108" xfId="0" quotePrefix="1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2" borderId="108" xfId="0" quotePrefix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wrapText="1"/>
    </xf>
    <xf numFmtId="0" fontId="2" fillId="0" borderId="34" xfId="0" quotePrefix="1" applyFont="1" applyFill="1" applyBorder="1" applyAlignment="1">
      <alignment horizontal="center" vertical="center" wrapText="1"/>
    </xf>
    <xf numFmtId="0" fontId="2" fillId="0" borderId="108" xfId="0" quotePrefix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167" fontId="10" fillId="5" borderId="107" xfId="1" quotePrefix="1" applyNumberFormat="1" applyFont="1" applyFill="1" applyBorder="1" applyAlignment="1">
      <alignment horizontal="center"/>
    </xf>
    <xf numFmtId="0" fontId="3" fillId="0" borderId="107" xfId="0" applyFont="1" applyBorder="1" applyAlignment="1">
      <alignment horizontal="center"/>
    </xf>
    <xf numFmtId="0" fontId="21" fillId="2" borderId="131" xfId="0" applyFont="1" applyFill="1" applyBorder="1" applyAlignment="1">
      <alignment horizontal="center" vertical="center" wrapText="1"/>
    </xf>
    <xf numFmtId="0" fontId="21" fillId="2" borderId="132" xfId="0" applyFont="1" applyFill="1" applyBorder="1" applyAlignment="1">
      <alignment horizontal="center" vertical="center"/>
    </xf>
    <xf numFmtId="49" fontId="56" fillId="0" borderId="130" xfId="0" applyNumberFormat="1" applyFont="1" applyBorder="1" applyAlignment="1">
      <alignment vertical="center"/>
    </xf>
    <xf numFmtId="0" fontId="21" fillId="2" borderId="108" xfId="0" applyFont="1" applyFill="1" applyBorder="1" applyAlignment="1">
      <alignment horizontal="center" vertical="center" wrapText="1"/>
    </xf>
    <xf numFmtId="0" fontId="2" fillId="3" borderId="107" xfId="0" applyFont="1" applyFill="1" applyBorder="1" applyAlignment="1">
      <alignment horizontal="center" vertical="center"/>
    </xf>
    <xf numFmtId="49" fontId="2" fillId="2" borderId="162" xfId="2" quotePrefix="1" applyNumberFormat="1" applyFont="1" applyFill="1" applyBorder="1" applyAlignment="1">
      <alignment horizontal="center" vertical="center" wrapText="1"/>
    </xf>
    <xf numFmtId="49" fontId="2" fillId="2" borderId="113" xfId="2" quotePrefix="1" applyNumberFormat="1" applyFont="1" applyFill="1" applyBorder="1" applyAlignment="1">
      <alignment horizontal="center" vertical="center" wrapText="1"/>
    </xf>
    <xf numFmtId="0" fontId="14" fillId="0" borderId="162" xfId="7" applyFont="1" applyBorder="1" applyAlignment="1">
      <alignment horizontal="center" vertical="center" wrapText="1"/>
    </xf>
    <xf numFmtId="22" fontId="2" fillId="0" borderId="112" xfId="0" applyNumberFormat="1" applyFont="1" applyFill="1" applyBorder="1" applyAlignment="1">
      <alignment horizontal="center" vertical="center"/>
    </xf>
    <xf numFmtId="164" fontId="2" fillId="0" borderId="113" xfId="0" applyNumberFormat="1" applyFont="1" applyBorder="1" applyAlignment="1">
      <alignment horizontal="center" vertical="center"/>
    </xf>
    <xf numFmtId="0" fontId="2" fillId="0" borderId="113" xfId="0" applyFont="1" applyFill="1" applyBorder="1" applyAlignment="1">
      <alignment horizontal="center" vertical="center"/>
    </xf>
    <xf numFmtId="49" fontId="2" fillId="2" borderId="127" xfId="2" quotePrefix="1" applyNumberFormat="1" applyFont="1" applyFill="1" applyBorder="1" applyAlignment="1">
      <alignment horizontal="center" vertical="center" wrapText="1"/>
    </xf>
    <xf numFmtId="49" fontId="2" fillId="2" borderId="113" xfId="2" quotePrefix="1" applyNumberFormat="1" applyFont="1" applyFill="1" applyBorder="1" applyAlignment="1">
      <alignment horizontal="center" wrapText="1"/>
    </xf>
    <xf numFmtId="167" fontId="21" fillId="3" borderId="107" xfId="1" applyNumberFormat="1" applyFont="1" applyFill="1" applyBorder="1" applyAlignment="1">
      <alignment horizontal="center"/>
    </xf>
    <xf numFmtId="0" fontId="2" fillId="2" borderId="132" xfId="0" quotePrefix="1" applyFont="1" applyFill="1" applyBorder="1" applyAlignment="1">
      <alignment horizontal="center"/>
    </xf>
    <xf numFmtId="165" fontId="10" fillId="0" borderId="8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64" fontId="3" fillId="2" borderId="0" xfId="0" applyNumberFormat="1" applyFont="1" applyFill="1" applyAlignment="1">
      <alignment horizontal="center"/>
    </xf>
    <xf numFmtId="164" fontId="3" fillId="0" borderId="19" xfId="0" applyNumberFormat="1" applyFont="1" applyFill="1" applyBorder="1" applyAlignment="1">
      <alignment horizontal="center"/>
    </xf>
    <xf numFmtId="164" fontId="3" fillId="0" borderId="43" xfId="0" applyNumberFormat="1" applyFont="1" applyFill="1" applyBorder="1" applyAlignment="1">
      <alignment horizontal="center" vertical="center"/>
    </xf>
    <xf numFmtId="167" fontId="6" fillId="0" borderId="107" xfId="1" quotePrefix="1" applyNumberFormat="1" applyFont="1" applyFill="1" applyBorder="1" applyAlignment="1">
      <alignment horizontal="center" wrapText="1"/>
    </xf>
    <xf numFmtId="165" fontId="2" fillId="0" borderId="107" xfId="0" applyNumberFormat="1" applyFont="1" applyFill="1" applyBorder="1" applyAlignment="1">
      <alignment horizontal="center" wrapText="1"/>
    </xf>
    <xf numFmtId="1" fontId="10" fillId="5" borderId="13" xfId="1" quotePrefix="1" applyNumberFormat="1" applyFont="1" applyFill="1" applyBorder="1" applyAlignment="1">
      <alignment horizontal="center" vertical="center"/>
    </xf>
    <xf numFmtId="167" fontId="12" fillId="78" borderId="43" xfId="1" quotePrefix="1" applyNumberFormat="1" applyFont="1" applyFill="1" applyBorder="1" applyAlignment="1">
      <alignment horizontal="center" wrapText="1"/>
    </xf>
    <xf numFmtId="164" fontId="3" fillId="0" borderId="107" xfId="0" applyNumberFormat="1" applyFont="1" applyBorder="1" applyAlignment="1"/>
    <xf numFmtId="164" fontId="2" fillId="15" borderId="1" xfId="0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7" fontId="2" fillId="5" borderId="7" xfId="1" quotePrefix="1" applyNumberFormat="1" applyFont="1" applyFill="1" applyBorder="1" applyAlignment="1">
      <alignment horizontal="right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wrapText="1"/>
    </xf>
    <xf numFmtId="0" fontId="3" fillId="15" borderId="107" xfId="0" applyFont="1" applyFill="1" applyBorder="1" applyAlignment="1">
      <alignment horizontal="center"/>
    </xf>
    <xf numFmtId="43" fontId="10" fillId="5" borderId="107" xfId="1" quotePrefix="1" applyNumberFormat="1" applyFont="1" applyFill="1" applyBorder="1" applyAlignment="1">
      <alignment horizontal="center"/>
    </xf>
    <xf numFmtId="186" fontId="10" fillId="5" borderId="107" xfId="1" quotePrefix="1" applyNumberFormat="1" applyFont="1" applyFill="1" applyBorder="1" applyAlignment="1">
      <alignment horizontal="center"/>
    </xf>
    <xf numFmtId="165" fontId="3" fillId="0" borderId="107" xfId="0" applyNumberFormat="1" applyFont="1" applyFill="1" applyBorder="1" applyAlignment="1">
      <alignment horizontal="center" wrapText="1"/>
    </xf>
    <xf numFmtId="49" fontId="2" fillId="7" borderId="107" xfId="2" quotePrefix="1" applyNumberFormat="1" applyFont="1" applyFill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164" fontId="3" fillId="0" borderId="108" xfId="0" applyNumberFormat="1" applyFont="1" applyBorder="1" applyAlignment="1">
      <alignment horizontal="center"/>
    </xf>
    <xf numFmtId="164" fontId="2" fillId="0" borderId="108" xfId="0" applyNumberFormat="1" applyFont="1" applyBorder="1" applyAlignment="1">
      <alignment horizontal="center"/>
    </xf>
    <xf numFmtId="0" fontId="3" fillId="0" borderId="108" xfId="0" applyFont="1" applyBorder="1" applyAlignment="1">
      <alignment horizontal="left"/>
    </xf>
    <xf numFmtId="2" fontId="2" fillId="0" borderId="108" xfId="0" applyNumberFormat="1" applyFont="1" applyBorder="1" applyAlignment="1">
      <alignment horizontal="center"/>
    </xf>
    <xf numFmtId="164" fontId="2" fillId="0" borderId="108" xfId="0" applyNumberFormat="1" applyFont="1" applyBorder="1" applyAlignment="1">
      <alignment horizontal="right"/>
    </xf>
    <xf numFmtId="0" fontId="3" fillId="2" borderId="108" xfId="0" applyFont="1" applyFill="1" applyBorder="1" applyAlignment="1">
      <alignment horizontal="center"/>
    </xf>
    <xf numFmtId="49" fontId="5" fillId="2" borderId="108" xfId="0" applyNumberFormat="1" applyFont="1" applyFill="1" applyBorder="1" applyAlignment="1">
      <alignment horizontal="center"/>
    </xf>
    <xf numFmtId="0" fontId="2" fillId="2" borderId="24" xfId="0" quotePrefix="1" applyFont="1" applyFill="1" applyBorder="1" applyAlignment="1">
      <alignment horizontal="center" vertic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167" fontId="14" fillId="10" borderId="1" xfId="1" applyNumberFormat="1" applyFont="1" applyFill="1" applyBorder="1" applyAlignment="1">
      <alignment horizontal="center"/>
    </xf>
    <xf numFmtId="165" fontId="3" fillId="0" borderId="107" xfId="0" applyNumberFormat="1" applyFont="1" applyBorder="1" applyAlignment="1">
      <alignment horizontal="center"/>
    </xf>
    <xf numFmtId="167" fontId="21" fillId="0" borderId="24" xfId="1" applyNumberFormat="1" applyFont="1" applyFill="1" applyBorder="1" applyAlignment="1">
      <alignment vertical="center"/>
    </xf>
    <xf numFmtId="167" fontId="5" fillId="3" borderId="7" xfId="1" quotePrefix="1" applyNumberFormat="1" applyFont="1" applyFill="1" applyBorder="1" applyAlignment="1">
      <alignment horizontal="center" wrapText="1"/>
    </xf>
    <xf numFmtId="167" fontId="14" fillId="12" borderId="1" xfId="1" applyNumberFormat="1" applyFont="1" applyFill="1" applyBorder="1" applyAlignment="1"/>
    <xf numFmtId="49" fontId="12" fillId="5" borderId="107" xfId="1" quotePrefix="1" applyNumberFormat="1" applyFont="1" applyFill="1" applyBorder="1" applyAlignment="1">
      <alignment horizontal="center"/>
    </xf>
    <xf numFmtId="2" fontId="3" fillId="0" borderId="107" xfId="2" quotePrefix="1" applyNumberFormat="1" applyFont="1" applyBorder="1" applyAlignment="1">
      <alignment horizontal="center"/>
    </xf>
    <xf numFmtId="49" fontId="217" fillId="0" borderId="107" xfId="0" applyNumberFormat="1" applyFont="1" applyBorder="1" applyAlignment="1">
      <alignment vertical="center"/>
    </xf>
    <xf numFmtId="0" fontId="2" fillId="19" borderId="1" xfId="0" quotePrefix="1" applyFont="1" applyFill="1" applyBorder="1" applyAlignment="1">
      <alignment horizontal="center"/>
    </xf>
    <xf numFmtId="167" fontId="5" fillId="11" borderId="7" xfId="1" quotePrefix="1" applyNumberFormat="1" applyFont="1" applyFill="1" applyBorder="1" applyAlignment="1">
      <alignment horizontal="center" wrapText="1"/>
    </xf>
    <xf numFmtId="0" fontId="2" fillId="3" borderId="107" xfId="0" quotePrefix="1" applyFont="1" applyFill="1" applyBorder="1" applyAlignment="1">
      <alignment horizontal="center" wrapText="1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43" xfId="1" quotePrefix="1" applyNumberFormat="1" applyFont="1" applyFill="1" applyBorder="1" applyAlignment="1">
      <alignment horizontal="center"/>
    </xf>
    <xf numFmtId="44" fontId="3" fillId="0" borderId="107" xfId="0" applyNumberFormat="1" applyFont="1" applyBorder="1" applyAlignment="1">
      <alignment horizontal="center"/>
    </xf>
    <xf numFmtId="164" fontId="5" fillId="3" borderId="107" xfId="0" quotePrefix="1" applyNumberFormat="1" applyFont="1" applyFill="1" applyBorder="1" applyAlignment="1">
      <alignment horizontal="center" wrapText="1"/>
    </xf>
    <xf numFmtId="0" fontId="2" fillId="19" borderId="1" xfId="0" quotePrefix="1" applyFont="1" applyFill="1" applyBorder="1" applyAlignment="1">
      <alignment horizontal="center" wrapText="1"/>
    </xf>
    <xf numFmtId="167" fontId="5" fillId="11" borderId="7" xfId="1" applyNumberFormat="1" applyFont="1" applyFill="1" applyBorder="1" applyAlignment="1">
      <alignment horizontal="center" wrapText="1"/>
    </xf>
    <xf numFmtId="167" fontId="5" fillId="11" borderId="7" xfId="1" applyNumberFormat="1" applyFont="1" applyFill="1" applyBorder="1" applyAlignment="1">
      <alignment horizontal="center" vertical="center" wrapText="1"/>
    </xf>
    <xf numFmtId="167" fontId="5" fillId="11" borderId="7" xfId="1" applyNumberFormat="1" applyFont="1" applyFill="1" applyBorder="1" applyAlignment="1">
      <alignment horizontal="center" vertical="center"/>
    </xf>
    <xf numFmtId="167" fontId="19" fillId="80" borderId="107" xfId="1" applyNumberFormat="1" applyFont="1" applyFill="1" applyBorder="1" applyAlignment="1">
      <alignment vertical="center"/>
    </xf>
    <xf numFmtId="167" fontId="19" fillId="79" borderId="107" xfId="1" applyNumberFormat="1" applyFont="1" applyFill="1" applyBorder="1" applyAlignment="1">
      <alignment vertical="center"/>
    </xf>
    <xf numFmtId="0" fontId="2" fillId="2" borderId="3" xfId="0" quotePrefix="1" applyFont="1" applyFill="1" applyBorder="1" applyAlignment="1">
      <alignment horizontal="center" vertical="center"/>
    </xf>
    <xf numFmtId="0" fontId="2" fillId="2" borderId="24" xfId="0" quotePrefix="1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3" borderId="2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4" fontId="3" fillId="3" borderId="19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9" fontId="2" fillId="2" borderId="18" xfId="2" quotePrefix="1" applyNumberFormat="1" applyFont="1" applyFill="1" applyBorder="1" applyAlignment="1">
      <alignment horizontal="center" wrapText="1"/>
    </xf>
    <xf numFmtId="49" fontId="2" fillId="2" borderId="24" xfId="2" quotePrefix="1" applyNumberFormat="1" applyFont="1" applyFill="1" applyBorder="1" applyAlignment="1">
      <alignment horizontal="center" wrapText="1"/>
    </xf>
    <xf numFmtId="3" fontId="2" fillId="2" borderId="25" xfId="0" applyNumberFormat="1" applyFont="1" applyFill="1" applyBorder="1" applyAlignment="1">
      <alignment horizontal="center"/>
    </xf>
    <xf numFmtId="3" fontId="2" fillId="2" borderId="26" xfId="0" applyNumberFormat="1" applyFont="1" applyFill="1" applyBorder="1" applyAlignment="1">
      <alignment horizontal="center"/>
    </xf>
    <xf numFmtId="3" fontId="12" fillId="5" borderId="27" xfId="1" applyNumberFormat="1" applyFont="1" applyFill="1" applyBorder="1" applyAlignment="1">
      <alignment horizontal="center"/>
    </xf>
    <xf numFmtId="3" fontId="12" fillId="5" borderId="28" xfId="1" applyNumberFormat="1" applyFont="1" applyFill="1" applyBorder="1" applyAlignment="1">
      <alignment horizontal="center"/>
    </xf>
    <xf numFmtId="3" fontId="2" fillId="2" borderId="29" xfId="1" applyNumberFormat="1" applyFont="1" applyFill="1" applyBorder="1" applyAlignment="1">
      <alignment horizontal="center"/>
    </xf>
    <xf numFmtId="3" fontId="2" fillId="2" borderId="30" xfId="1" applyNumberFormat="1" applyFont="1" applyFill="1" applyBorder="1" applyAlignment="1">
      <alignment horizontal="center"/>
    </xf>
    <xf numFmtId="3" fontId="14" fillId="2" borderId="3" xfId="1" applyNumberFormat="1" applyFont="1" applyFill="1" applyBorder="1" applyAlignment="1">
      <alignment horizontal="center"/>
    </xf>
    <xf numFmtId="3" fontId="14" fillId="2" borderId="24" xfId="1" applyNumberFormat="1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5" fillId="3" borderId="31" xfId="0" applyFont="1" applyFill="1" applyBorder="1" applyAlignment="1">
      <alignment horizontal="center" vertical="center"/>
    </xf>
    <xf numFmtId="0" fontId="25" fillId="3" borderId="32" xfId="0" applyFont="1" applyFill="1" applyBorder="1" applyAlignment="1">
      <alignment horizontal="center" vertical="center"/>
    </xf>
    <xf numFmtId="0" fontId="19" fillId="19" borderId="18" xfId="0" applyFont="1" applyFill="1" applyBorder="1" applyAlignment="1">
      <alignment horizontal="center" vertical="center"/>
    </xf>
    <xf numFmtId="0" fontId="19" fillId="19" borderId="34" xfId="0" applyFont="1" applyFill="1" applyBorder="1" applyAlignment="1">
      <alignment horizontal="center" vertical="center"/>
    </xf>
    <xf numFmtId="0" fontId="19" fillId="19" borderId="24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 wrapText="1"/>
    </xf>
    <xf numFmtId="0" fontId="3" fillId="3" borderId="109" xfId="0" applyFont="1" applyFill="1" applyBorder="1" applyAlignment="1">
      <alignment horizontal="center"/>
    </xf>
    <xf numFmtId="0" fontId="3" fillId="3" borderId="104" xfId="0" applyFont="1" applyFill="1" applyBorder="1" applyAlignment="1">
      <alignment horizontal="center"/>
    </xf>
    <xf numFmtId="0" fontId="3" fillId="3" borderId="132" xfId="0" applyFont="1" applyFill="1" applyBorder="1" applyAlignment="1">
      <alignment horizontal="center"/>
    </xf>
    <xf numFmtId="0" fontId="3" fillId="3" borderId="10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 wrapText="1"/>
    </xf>
    <xf numFmtId="0" fontId="20" fillId="9" borderId="0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2" fillId="0" borderId="131" xfId="0" applyFont="1" applyFill="1" applyBorder="1" applyAlignment="1">
      <alignment horizontal="center" vertical="center"/>
    </xf>
    <xf numFmtId="0" fontId="2" fillId="0" borderId="110" xfId="0" applyFont="1" applyFill="1" applyBorder="1" applyAlignment="1">
      <alignment horizontal="center" vertical="center"/>
    </xf>
    <xf numFmtId="0" fontId="2" fillId="0" borderId="130" xfId="0" applyFont="1" applyFill="1" applyBorder="1" applyAlignment="1">
      <alignment horizontal="center" vertical="center"/>
    </xf>
    <xf numFmtId="165" fontId="5" fillId="2" borderId="18" xfId="3" applyNumberFormat="1" applyFont="1" applyFill="1" applyBorder="1" applyAlignment="1">
      <alignment horizontal="center" vertical="center"/>
    </xf>
    <xf numFmtId="165" fontId="5" fillId="2" borderId="34" xfId="3" applyNumberFormat="1" applyFont="1" applyFill="1" applyBorder="1" applyAlignment="1">
      <alignment horizontal="center" vertical="center"/>
    </xf>
    <xf numFmtId="165" fontId="5" fillId="2" borderId="24" xfId="3" applyNumberFormat="1" applyFont="1" applyFill="1" applyBorder="1" applyAlignment="1">
      <alignment horizontal="center" vertical="center"/>
    </xf>
    <xf numFmtId="165" fontId="19" fillId="2" borderId="18" xfId="0" applyNumberFormat="1" applyFont="1" applyFill="1" applyBorder="1" applyAlignment="1">
      <alignment horizontal="center"/>
    </xf>
    <xf numFmtId="165" fontId="19" fillId="2" borderId="34" xfId="0" applyNumberFormat="1" applyFont="1" applyFill="1" applyBorder="1" applyAlignment="1">
      <alignment horizontal="center"/>
    </xf>
    <xf numFmtId="165" fontId="19" fillId="2" borderId="24" xfId="0" applyNumberFormat="1" applyFont="1" applyFill="1" applyBorder="1" applyAlignment="1">
      <alignment horizontal="center"/>
    </xf>
    <xf numFmtId="165" fontId="19" fillId="2" borderId="59" xfId="3" applyNumberFormat="1" applyFont="1" applyFill="1" applyBorder="1" applyAlignment="1">
      <alignment horizontal="center" vertical="center" wrapText="1"/>
    </xf>
    <xf numFmtId="165" fontId="19" fillId="2" borderId="59" xfId="3" applyNumberFormat="1" applyFont="1" applyFill="1" applyBorder="1" applyAlignment="1">
      <alignment horizontal="center" vertical="center"/>
    </xf>
    <xf numFmtId="165" fontId="22" fillId="2" borderId="59" xfId="3" applyNumberFormat="1" applyFont="1" applyFill="1" applyBorder="1" applyAlignment="1">
      <alignment horizontal="center" vertical="center"/>
    </xf>
    <xf numFmtId="165" fontId="19" fillId="2" borderId="59" xfId="0" applyNumberFormat="1" applyFont="1" applyFill="1" applyBorder="1" applyAlignment="1">
      <alignment horizontal="center"/>
    </xf>
    <xf numFmtId="165" fontId="19" fillId="2" borderId="18" xfId="0" applyNumberFormat="1" applyFont="1" applyFill="1" applyBorder="1" applyAlignment="1">
      <alignment horizontal="center" vertical="center"/>
    </xf>
    <xf numFmtId="165" fontId="19" fillId="2" borderId="34" xfId="0" applyNumberFormat="1" applyFont="1" applyFill="1" applyBorder="1" applyAlignment="1">
      <alignment horizontal="center" vertical="center"/>
    </xf>
    <xf numFmtId="165" fontId="19" fillId="2" borderId="24" xfId="0" applyNumberFormat="1" applyFont="1" applyFill="1" applyBorder="1" applyAlignment="1">
      <alignment horizontal="center" vertical="center"/>
    </xf>
    <xf numFmtId="165" fontId="2" fillId="0" borderId="18" xfId="0" applyNumberFormat="1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65" fontId="19" fillId="0" borderId="18" xfId="0" applyNumberFormat="1" applyFont="1" applyBorder="1" applyAlignment="1">
      <alignment horizontal="center" vertical="center"/>
    </xf>
    <xf numFmtId="165" fontId="19" fillId="0" borderId="34" xfId="0" applyNumberFormat="1" applyFont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/>
    </xf>
    <xf numFmtId="164" fontId="3" fillId="0" borderId="34" xfId="0" applyNumberFormat="1" applyFont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5" fontId="2" fillId="0" borderId="75" xfId="0" quotePrefix="1" applyNumberFormat="1" applyFont="1" applyBorder="1" applyAlignment="1">
      <alignment horizontal="center" vertical="center"/>
    </xf>
    <xf numFmtId="165" fontId="2" fillId="0" borderId="34" xfId="0" quotePrefix="1" applyNumberFormat="1" applyFont="1" applyBorder="1" applyAlignment="1">
      <alignment horizontal="center" vertical="center"/>
    </xf>
    <xf numFmtId="165" fontId="2" fillId="0" borderId="24" xfId="0" quotePrefix="1" applyNumberFormat="1" applyFont="1" applyBorder="1" applyAlignment="1">
      <alignment horizontal="center" vertical="center"/>
    </xf>
    <xf numFmtId="0" fontId="3" fillId="3" borderId="107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55" xfId="0" applyFont="1" applyFill="1" applyBorder="1" applyAlignment="1">
      <alignment horizontal="center"/>
    </xf>
    <xf numFmtId="167" fontId="2" fillId="5" borderId="25" xfId="1" applyNumberFormat="1" applyFont="1" applyFill="1" applyBorder="1" applyAlignment="1">
      <alignment horizontal="center" vertical="center"/>
    </xf>
    <xf numFmtId="167" fontId="2" fillId="5" borderId="41" xfId="1" applyNumberFormat="1" applyFont="1" applyFill="1" applyBorder="1" applyAlignment="1">
      <alignment horizontal="center" vertical="center"/>
    </xf>
    <xf numFmtId="167" fontId="2" fillId="5" borderId="26" xfId="1" applyNumberFormat="1" applyFont="1" applyFill="1" applyBorder="1" applyAlignment="1">
      <alignment horizontal="center" vertical="center"/>
    </xf>
    <xf numFmtId="167" fontId="12" fillId="5" borderId="68" xfId="1" quotePrefix="1" applyNumberFormat="1" applyFont="1" applyFill="1" applyBorder="1" applyAlignment="1">
      <alignment horizontal="center" vertical="center"/>
    </xf>
    <xf numFmtId="167" fontId="12" fillId="5" borderId="34" xfId="1" quotePrefix="1" applyNumberFormat="1" applyFont="1" applyFill="1" applyBorder="1" applyAlignment="1">
      <alignment horizontal="center" vertical="center"/>
    </xf>
    <xf numFmtId="167" fontId="12" fillId="5" borderId="69" xfId="1" quotePrefix="1" applyNumberFormat="1" applyFont="1" applyFill="1" applyBorder="1" applyAlignment="1">
      <alignment horizontal="center" vertical="center"/>
    </xf>
    <xf numFmtId="167" fontId="12" fillId="5" borderId="75" xfId="1" quotePrefix="1" applyNumberFormat="1" applyFont="1" applyFill="1" applyBorder="1" applyAlignment="1">
      <alignment horizontal="center" vertical="center"/>
    </xf>
    <xf numFmtId="167" fontId="2" fillId="5" borderId="25" xfId="1" quotePrefix="1" applyNumberFormat="1" applyFont="1" applyFill="1" applyBorder="1" applyAlignment="1">
      <alignment horizontal="center" vertical="center"/>
    </xf>
    <xf numFmtId="165" fontId="2" fillId="0" borderId="53" xfId="0" quotePrefix="1" applyNumberFormat="1" applyFont="1" applyBorder="1" applyAlignment="1">
      <alignment horizontal="center"/>
    </xf>
    <xf numFmtId="165" fontId="2" fillId="0" borderId="92" xfId="0" applyNumberFormat="1" applyFont="1" applyBorder="1" applyAlignment="1">
      <alignment horizontal="center"/>
    </xf>
    <xf numFmtId="167" fontId="12" fillId="5" borderId="84" xfId="1" quotePrefix="1" applyNumberFormat="1" applyFont="1" applyFill="1" applyBorder="1" applyAlignment="1">
      <alignment horizontal="center" vertical="center"/>
    </xf>
    <xf numFmtId="167" fontId="12" fillId="5" borderId="60" xfId="1" quotePrefix="1" applyNumberFormat="1" applyFont="1" applyFill="1" applyBorder="1" applyAlignment="1">
      <alignment horizontal="center" vertical="center"/>
    </xf>
    <xf numFmtId="167" fontId="12" fillId="5" borderId="24" xfId="1" quotePrefix="1" applyNumberFormat="1" applyFont="1" applyFill="1" applyBorder="1" applyAlignment="1">
      <alignment horizontal="center" vertical="center"/>
    </xf>
    <xf numFmtId="165" fontId="2" fillId="0" borderId="60" xfId="0" quotePrefix="1" applyNumberFormat="1" applyFont="1" applyBorder="1" applyAlignment="1">
      <alignment horizontal="center" vertical="center"/>
    </xf>
    <xf numFmtId="165" fontId="2" fillId="0" borderId="34" xfId="0" applyNumberFormat="1" applyFont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2" fontId="2" fillId="5" borderId="25" xfId="1" quotePrefix="1" applyNumberFormat="1" applyFont="1" applyFill="1" applyBorder="1" applyAlignment="1">
      <alignment horizontal="center" vertical="center"/>
    </xf>
    <xf numFmtId="2" fontId="2" fillId="5" borderId="41" xfId="1" quotePrefix="1" applyNumberFormat="1" applyFont="1" applyFill="1" applyBorder="1" applyAlignment="1">
      <alignment horizontal="center" vertical="center"/>
    </xf>
    <xf numFmtId="2" fontId="2" fillId="5" borderId="26" xfId="1" quotePrefix="1" applyNumberFormat="1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55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165" fontId="2" fillId="0" borderId="53" xfId="0" quotePrefix="1" applyNumberFormat="1" applyFont="1" applyBorder="1" applyAlignment="1">
      <alignment horizontal="center" vertical="center"/>
    </xf>
    <xf numFmtId="165" fontId="2" fillId="0" borderId="21" xfId="0" quotePrefix="1" applyNumberFormat="1" applyFont="1" applyBorder="1" applyAlignment="1">
      <alignment horizontal="center" vertical="center"/>
    </xf>
    <xf numFmtId="165" fontId="2" fillId="0" borderId="55" xfId="0" quotePrefix="1" applyNumberFormat="1" applyFont="1" applyBorder="1" applyAlignment="1">
      <alignment horizontal="center" vertical="center"/>
    </xf>
    <xf numFmtId="165" fontId="2" fillId="0" borderId="92" xfId="0" quotePrefix="1" applyNumberFormat="1" applyFont="1" applyBorder="1" applyAlignment="1">
      <alignment horizontal="center" vertical="center"/>
    </xf>
    <xf numFmtId="167" fontId="2" fillId="5" borderId="25" xfId="1" quotePrefix="1" applyNumberFormat="1" applyFont="1" applyFill="1" applyBorder="1" applyAlignment="1">
      <alignment horizontal="center"/>
    </xf>
    <xf numFmtId="167" fontId="2" fillId="5" borderId="41" xfId="1" quotePrefix="1" applyNumberFormat="1" applyFont="1" applyFill="1" applyBorder="1" applyAlignment="1">
      <alignment horizontal="center"/>
    </xf>
    <xf numFmtId="167" fontId="2" fillId="5" borderId="26" xfId="1" quotePrefix="1" applyNumberFormat="1" applyFont="1" applyFill="1" applyBorder="1" applyAlignment="1">
      <alignment horizontal="center"/>
    </xf>
    <xf numFmtId="167" fontId="2" fillId="5" borderId="41" xfId="1" quotePrefix="1" applyNumberFormat="1" applyFont="1" applyFill="1" applyBorder="1" applyAlignment="1">
      <alignment horizontal="center" vertical="center"/>
    </xf>
    <xf numFmtId="167" fontId="2" fillId="5" borderId="26" xfId="1" quotePrefix="1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 wrapText="1"/>
    </xf>
    <xf numFmtId="0" fontId="3" fillId="3" borderId="109" xfId="0" applyFont="1" applyFill="1" applyBorder="1" applyAlignment="1">
      <alignment horizontal="center" vertical="center"/>
    </xf>
    <xf numFmtId="0" fontId="3" fillId="3" borderId="104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3" fontId="12" fillId="5" borderId="9" xfId="1" applyNumberFormat="1" applyFont="1" applyFill="1" applyBorder="1" applyAlignment="1">
      <alignment horizontal="center" vertical="center"/>
    </xf>
    <xf numFmtId="3" fontId="12" fillId="5" borderId="35" xfId="1" applyNumberFormat="1" applyFont="1" applyFill="1" applyBorder="1" applyAlignment="1">
      <alignment horizontal="center" vertical="center"/>
    </xf>
    <xf numFmtId="3" fontId="12" fillId="5" borderId="36" xfId="1" applyNumberFormat="1" applyFont="1" applyFill="1" applyBorder="1" applyAlignment="1">
      <alignment horizontal="center" vertical="center"/>
    </xf>
    <xf numFmtId="167" fontId="2" fillId="5" borderId="37" xfId="1" applyNumberFormat="1" applyFont="1" applyFill="1" applyBorder="1" applyAlignment="1">
      <alignment horizontal="center" vertical="center"/>
    </xf>
    <xf numFmtId="167" fontId="2" fillId="5" borderId="38" xfId="1" applyNumberFormat="1" applyFont="1" applyFill="1" applyBorder="1" applyAlignment="1">
      <alignment horizontal="center" vertical="center"/>
    </xf>
    <xf numFmtId="3" fontId="12" fillId="5" borderId="25" xfId="1" applyNumberFormat="1" applyFont="1" applyFill="1" applyBorder="1" applyAlignment="1">
      <alignment horizontal="center" vertical="center"/>
    </xf>
    <xf numFmtId="3" fontId="12" fillId="5" borderId="41" xfId="1" applyNumberFormat="1" applyFont="1" applyFill="1" applyBorder="1" applyAlignment="1">
      <alignment horizontal="center" vertical="center"/>
    </xf>
    <xf numFmtId="167" fontId="2" fillId="5" borderId="9" xfId="1" applyNumberFormat="1" applyFont="1" applyFill="1" applyBorder="1" applyAlignment="1">
      <alignment horizontal="center" vertical="center"/>
    </xf>
    <xf numFmtId="167" fontId="2" fillId="5" borderId="35" xfId="1" applyNumberFormat="1" applyFont="1" applyFill="1" applyBorder="1" applyAlignment="1">
      <alignment horizontal="center" vertical="center"/>
    </xf>
    <xf numFmtId="167" fontId="2" fillId="5" borderId="36" xfId="1" applyNumberFormat="1" applyFont="1" applyFill="1" applyBorder="1" applyAlignment="1">
      <alignment horizontal="center" vertical="center"/>
    </xf>
    <xf numFmtId="3" fontId="5" fillId="3" borderId="85" xfId="0" applyNumberFormat="1" applyFont="1" applyFill="1" applyBorder="1" applyAlignment="1">
      <alignment horizontal="center" wrapText="1"/>
    </xf>
    <xf numFmtId="3" fontId="5" fillId="3" borderId="86" xfId="0" applyNumberFormat="1" applyFont="1" applyFill="1" applyBorder="1" applyAlignment="1">
      <alignment horizontal="center" wrapText="1"/>
    </xf>
    <xf numFmtId="3" fontId="5" fillId="3" borderId="87" xfId="0" applyNumberFormat="1" applyFont="1" applyFill="1" applyBorder="1" applyAlignment="1">
      <alignment horizontal="center" wrapText="1"/>
    </xf>
    <xf numFmtId="0" fontId="3" fillId="3" borderId="54" xfId="0" applyFont="1" applyFill="1" applyBorder="1" applyAlignment="1">
      <alignment horizontal="center" vertical="center"/>
    </xf>
    <xf numFmtId="0" fontId="3" fillId="3" borderId="110" xfId="0" applyFont="1" applyFill="1" applyBorder="1" applyAlignment="1">
      <alignment horizontal="center" vertical="center"/>
    </xf>
    <xf numFmtId="0" fontId="20" fillId="9" borderId="32" xfId="0" applyFont="1" applyFill="1" applyBorder="1" applyAlignment="1">
      <alignment horizontal="center" vertical="center" wrapText="1"/>
    </xf>
    <xf numFmtId="0" fontId="23" fillId="2" borderId="118" xfId="0" applyFont="1" applyFill="1" applyBorder="1" applyAlignment="1">
      <alignment horizontal="center" vertical="center"/>
    </xf>
    <xf numFmtId="0" fontId="23" fillId="2" borderId="112" xfId="0" applyFont="1" applyFill="1" applyBorder="1" applyAlignment="1">
      <alignment horizontal="center" vertical="center"/>
    </xf>
    <xf numFmtId="2" fontId="19" fillId="0" borderId="118" xfId="1" quotePrefix="1" applyNumberFormat="1" applyFont="1" applyFill="1" applyBorder="1" applyAlignment="1">
      <alignment horizontal="center" vertical="center" wrapText="1"/>
    </xf>
    <xf numFmtId="2" fontId="19" fillId="0" borderId="112" xfId="1" quotePrefix="1" applyNumberFormat="1" applyFont="1" applyFill="1" applyBorder="1" applyAlignment="1">
      <alignment horizontal="center" vertical="center" wrapText="1"/>
    </xf>
    <xf numFmtId="170" fontId="20" fillId="2" borderId="118" xfId="0" applyNumberFormat="1" applyFont="1" applyFill="1" applyBorder="1" applyAlignment="1">
      <alignment horizontal="center" vertical="center"/>
    </xf>
    <xf numFmtId="170" fontId="20" fillId="2" borderId="112" xfId="0" applyNumberFormat="1" applyFont="1" applyFill="1" applyBorder="1" applyAlignment="1">
      <alignment horizontal="center" vertical="center"/>
    </xf>
    <xf numFmtId="0" fontId="21" fillId="2" borderId="118" xfId="0" applyFont="1" applyFill="1" applyBorder="1" applyAlignment="1">
      <alignment horizontal="center" vertical="center" wrapText="1"/>
    </xf>
    <xf numFmtId="0" fontId="21" fillId="2" borderId="112" xfId="0" applyFont="1" applyFill="1" applyBorder="1" applyAlignment="1">
      <alignment horizontal="center" vertical="center" wrapText="1"/>
    </xf>
    <xf numFmtId="0" fontId="21" fillId="2" borderId="118" xfId="0" applyFont="1" applyFill="1" applyBorder="1" applyAlignment="1">
      <alignment horizontal="center" vertical="center"/>
    </xf>
    <xf numFmtId="0" fontId="21" fillId="2" borderId="112" xfId="0" applyFont="1" applyFill="1" applyBorder="1" applyAlignment="1">
      <alignment horizontal="center" vertical="center"/>
    </xf>
    <xf numFmtId="176" fontId="24" fillId="2" borderId="118" xfId="0" applyNumberFormat="1" applyFont="1" applyFill="1" applyBorder="1" applyAlignment="1">
      <alignment horizontal="center" vertical="center"/>
    </xf>
    <xf numFmtId="176" fontId="24" fillId="2" borderId="112" xfId="0" applyNumberFormat="1" applyFont="1" applyFill="1" applyBorder="1" applyAlignment="1">
      <alignment horizontal="center" vertical="center"/>
    </xf>
    <xf numFmtId="181" fontId="21" fillId="2" borderId="118" xfId="0" applyNumberFormat="1" applyFont="1" applyFill="1" applyBorder="1" applyAlignment="1">
      <alignment horizontal="center" vertical="center"/>
    </xf>
    <xf numFmtId="181" fontId="21" fillId="2" borderId="112" xfId="0" applyNumberFormat="1" applyFont="1" applyFill="1" applyBorder="1" applyAlignment="1">
      <alignment horizontal="center" vertical="center"/>
    </xf>
    <xf numFmtId="0" fontId="24" fillId="2" borderId="118" xfId="0" applyFont="1" applyFill="1" applyBorder="1" applyAlignment="1">
      <alignment horizontal="center" vertical="center"/>
    </xf>
    <xf numFmtId="0" fontId="24" fillId="2" borderId="112" xfId="0" applyFont="1" applyFill="1" applyBorder="1" applyAlignment="1">
      <alignment horizontal="center" vertical="center"/>
    </xf>
    <xf numFmtId="49" fontId="20" fillId="2" borderId="18" xfId="0" applyNumberFormat="1" applyFont="1" applyFill="1" applyBorder="1" applyAlignment="1">
      <alignment horizontal="center" vertical="center"/>
    </xf>
    <xf numFmtId="49" fontId="20" fillId="2" borderId="34" xfId="0" applyNumberFormat="1" applyFont="1" applyFill="1" applyBorder="1" applyAlignment="1">
      <alignment horizontal="center" vertical="center"/>
    </xf>
    <xf numFmtId="49" fontId="20" fillId="2" borderId="24" xfId="0" applyNumberFormat="1" applyFont="1" applyFill="1" applyBorder="1" applyAlignment="1">
      <alignment horizontal="center" vertical="center"/>
    </xf>
    <xf numFmtId="171" fontId="21" fillId="14" borderId="18" xfId="1" applyNumberFormat="1" applyFont="1" applyFill="1" applyBorder="1" applyAlignment="1">
      <alignment horizontal="center" vertical="center"/>
    </xf>
    <xf numFmtId="171" fontId="21" fillId="14" borderId="24" xfId="1" applyNumberFormat="1" applyFont="1" applyFill="1" applyBorder="1" applyAlignment="1">
      <alignment horizontal="center" vertical="center"/>
    </xf>
    <xf numFmtId="167" fontId="23" fillId="15" borderId="18" xfId="1" applyNumberFormat="1" applyFont="1" applyFill="1" applyBorder="1" applyAlignment="1">
      <alignment horizontal="center" vertical="center"/>
    </xf>
    <xf numFmtId="167" fontId="23" fillId="15" borderId="24" xfId="1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2" borderId="3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7" fontId="21" fillId="12" borderId="18" xfId="1" applyNumberFormat="1" applyFont="1" applyFill="1" applyBorder="1" applyAlignment="1">
      <alignment horizontal="center" vertical="center"/>
    </xf>
    <xf numFmtId="167" fontId="21" fillId="12" borderId="24" xfId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5" fillId="3" borderId="108" xfId="0" applyFont="1" applyFill="1" applyBorder="1" applyAlignment="1">
      <alignment horizontal="center" wrapText="1"/>
    </xf>
    <xf numFmtId="0" fontId="5" fillId="3" borderId="24" xfId="0" applyFont="1" applyFill="1" applyBorder="1" applyAlignment="1">
      <alignment horizontal="center"/>
    </xf>
    <xf numFmtId="164" fontId="3" fillId="0" borderId="108" xfId="0" applyNumberFormat="1" applyFont="1" applyBorder="1" applyAlignment="1">
      <alignment horizontal="center"/>
    </xf>
    <xf numFmtId="0" fontId="3" fillId="0" borderId="10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164" fontId="2" fillId="0" borderId="108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  <xf numFmtId="165" fontId="2" fillId="0" borderId="108" xfId="0" quotePrefix="1" applyNumberFormat="1" applyFont="1" applyBorder="1" applyAlignment="1">
      <alignment horizontal="center" vertical="center" wrapText="1"/>
    </xf>
    <xf numFmtId="165" fontId="2" fillId="0" borderId="24" xfId="0" quotePrefix="1" applyNumberFormat="1" applyFont="1" applyBorder="1" applyAlignment="1">
      <alignment horizontal="center" vertical="center" wrapText="1"/>
    </xf>
    <xf numFmtId="165" fontId="2" fillId="0" borderId="34" xfId="0" applyNumberFormat="1" applyFont="1" applyBorder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14" fontId="2" fillId="0" borderId="107" xfId="0" applyNumberFormat="1" applyFont="1" applyFill="1" applyBorder="1" applyAlignment="1">
      <alignment horizontal="center" vertical="center" wrapText="1"/>
    </xf>
    <xf numFmtId="164" fontId="2" fillId="0" borderId="108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0" fontId="2" fillId="0" borderId="10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164" fontId="5" fillId="0" borderId="108" xfId="0" applyNumberFormat="1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165" fontId="2" fillId="3" borderId="108" xfId="0" quotePrefix="1" applyNumberFormat="1" applyFont="1" applyFill="1" applyBorder="1" applyAlignment="1">
      <alignment horizontal="center" vertical="center" wrapText="1"/>
    </xf>
    <xf numFmtId="165" fontId="2" fillId="3" borderId="24" xfId="0" quotePrefix="1" applyNumberFormat="1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14" fontId="2" fillId="0" borderId="108" xfId="0" applyNumberFormat="1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/>
    </xf>
    <xf numFmtId="1" fontId="215" fillId="0" borderId="131" xfId="0" applyNumberFormat="1" applyFont="1" applyBorder="1" applyAlignment="1">
      <alignment horizontal="center" vertical="center"/>
    </xf>
    <xf numFmtId="1" fontId="215" fillId="0" borderId="130" xfId="0" applyNumberFormat="1" applyFont="1" applyBorder="1" applyAlignment="1">
      <alignment horizontal="center" vertical="center"/>
    </xf>
    <xf numFmtId="164" fontId="3" fillId="0" borderId="108" xfId="0" applyNumberFormat="1" applyFont="1" applyBorder="1" applyAlignment="1">
      <alignment horizontal="center" vertical="center"/>
    </xf>
    <xf numFmtId="164" fontId="3" fillId="0" borderId="34" xfId="0" applyNumberFormat="1" applyFont="1" applyBorder="1" applyAlignment="1">
      <alignment horizontal="center" vertical="center"/>
    </xf>
    <xf numFmtId="164" fontId="3" fillId="0" borderId="24" xfId="0" applyNumberFormat="1" applyFont="1" applyBorder="1" applyAlignment="1">
      <alignment horizontal="center" vertical="center"/>
    </xf>
    <xf numFmtId="0" fontId="2" fillId="0" borderId="108" xfId="0" applyFont="1" applyFill="1" applyBorder="1" applyAlignment="1">
      <alignment horizontal="center" vertical="center" wrapText="1"/>
    </xf>
    <xf numFmtId="165" fontId="2" fillId="0" borderId="108" xfId="0" quotePrefix="1" applyNumberFormat="1" applyFont="1" applyBorder="1" applyAlignment="1">
      <alignment horizontal="center" wrapText="1"/>
    </xf>
    <xf numFmtId="165" fontId="2" fillId="0" borderId="34" xfId="0" quotePrefix="1" applyNumberFormat="1" applyFont="1" applyBorder="1" applyAlignment="1">
      <alignment horizontal="center" wrapText="1"/>
    </xf>
    <xf numFmtId="165" fontId="2" fillId="0" borderId="24" xfId="0" quotePrefix="1" applyNumberFormat="1" applyFont="1" applyBorder="1" applyAlignment="1">
      <alignment horizontal="center" wrapText="1"/>
    </xf>
    <xf numFmtId="0" fontId="3" fillId="3" borderId="24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/>
    </xf>
    <xf numFmtId="164" fontId="3" fillId="0" borderId="107" xfId="0" applyNumberFormat="1" applyFont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11" xfId="0" applyFont="1" applyFill="1" applyBorder="1" applyAlignment="1">
      <alignment horizontal="center" vertical="center"/>
    </xf>
    <xf numFmtId="164" fontId="136" fillId="2" borderId="107" xfId="0" applyNumberFormat="1" applyFont="1" applyFill="1" applyBorder="1" applyAlignment="1">
      <alignment horizontal="center" vertical="center"/>
    </xf>
    <xf numFmtId="164" fontId="136" fillId="2" borderId="111" xfId="0" applyNumberFormat="1" applyFont="1" applyFill="1" applyBorder="1" applyAlignment="1">
      <alignment horizontal="center" vertical="center"/>
    </xf>
    <xf numFmtId="49" fontId="12" fillId="5" borderId="107" xfId="1" quotePrefix="1" applyNumberFormat="1" applyFont="1" applyFill="1" applyBorder="1" applyAlignment="1">
      <alignment horizontal="center"/>
    </xf>
    <xf numFmtId="49" fontId="12" fillId="5" borderId="119" xfId="1" quotePrefix="1" applyNumberFormat="1" applyFont="1" applyFill="1" applyBorder="1" applyAlignment="1">
      <alignment horizontal="center"/>
    </xf>
    <xf numFmtId="49" fontId="12" fillId="5" borderId="157" xfId="1" quotePrefix="1" applyNumberFormat="1" applyFont="1" applyFill="1" applyBorder="1" applyAlignment="1">
      <alignment horizontal="center"/>
    </xf>
    <xf numFmtId="167" fontId="12" fillId="5" borderId="108" xfId="1" quotePrefix="1" applyNumberFormat="1" applyFont="1" applyFill="1" applyBorder="1" applyAlignment="1">
      <alignment horizontal="center" vertical="center"/>
    </xf>
    <xf numFmtId="167" fontId="12" fillId="5" borderId="108" xfId="1" quotePrefix="1" applyNumberFormat="1" applyFont="1" applyFill="1" applyBorder="1" applyAlignment="1">
      <alignment horizontal="center" vertical="center" wrapText="1"/>
    </xf>
    <xf numFmtId="167" fontId="12" fillId="5" borderId="24" xfId="1" quotePrefix="1" applyNumberFormat="1" applyFont="1" applyFill="1" applyBorder="1" applyAlignment="1">
      <alignment horizontal="center" vertical="center" wrapText="1"/>
    </xf>
    <xf numFmtId="49" fontId="12" fillId="5" borderId="127" xfId="1" quotePrefix="1" applyNumberFormat="1" applyFont="1" applyFill="1" applyBorder="1" applyAlignment="1">
      <alignment horizontal="center"/>
    </xf>
    <xf numFmtId="49" fontId="12" fillId="5" borderId="128" xfId="1" quotePrefix="1" applyNumberFormat="1" applyFont="1" applyFill="1" applyBorder="1" applyAlignment="1">
      <alignment horizontal="center"/>
    </xf>
    <xf numFmtId="167" fontId="12" fillId="5" borderId="107" xfId="1" quotePrefix="1" applyNumberFormat="1" applyFont="1" applyFill="1" applyBorder="1" applyAlignment="1">
      <alignment horizontal="center" vertical="center"/>
    </xf>
    <xf numFmtId="167" fontId="12" fillId="5" borderId="111" xfId="1" quotePrefix="1" applyNumberFormat="1" applyFont="1" applyFill="1" applyBorder="1" applyAlignment="1">
      <alignment horizontal="center" vertical="center"/>
    </xf>
    <xf numFmtId="164" fontId="5" fillId="0" borderId="107" xfId="0" applyNumberFormat="1" applyFont="1" applyBorder="1" applyAlignment="1">
      <alignment horizontal="center" vertical="center"/>
    </xf>
    <xf numFmtId="164" fontId="5" fillId="0" borderId="111" xfId="0" applyNumberFormat="1" applyFont="1" applyBorder="1" applyAlignment="1">
      <alignment horizontal="center" vertical="center"/>
    </xf>
    <xf numFmtId="49" fontId="3" fillId="0" borderId="107" xfId="2" quotePrefix="1" applyNumberFormat="1" applyFont="1" applyBorder="1" applyAlignment="1">
      <alignment horizontal="center" vertical="center"/>
    </xf>
    <xf numFmtId="49" fontId="3" fillId="0" borderId="111" xfId="2" quotePrefix="1" applyNumberFormat="1" applyFont="1" applyBorder="1" applyAlignment="1">
      <alignment horizontal="center" vertical="center"/>
    </xf>
    <xf numFmtId="167" fontId="2" fillId="0" borderId="107" xfId="1" quotePrefix="1" applyNumberFormat="1" applyFont="1" applyFill="1" applyBorder="1" applyAlignment="1">
      <alignment horizontal="center" vertical="center" wrapText="1"/>
    </xf>
    <xf numFmtId="167" fontId="2" fillId="0" borderId="111" xfId="1" quotePrefix="1" applyNumberFormat="1" applyFont="1" applyFill="1" applyBorder="1" applyAlignment="1">
      <alignment horizontal="center" vertical="center" wrapText="1"/>
    </xf>
    <xf numFmtId="49" fontId="2" fillId="2" borderId="107" xfId="2" quotePrefix="1" applyNumberFormat="1" applyFont="1" applyFill="1" applyBorder="1" applyAlignment="1">
      <alignment horizontal="center" vertical="center" wrapText="1"/>
    </xf>
    <xf numFmtId="49" fontId="2" fillId="2" borderId="111" xfId="2" quotePrefix="1" applyNumberFormat="1" applyFont="1" applyFill="1" applyBorder="1" applyAlignment="1">
      <alignment horizontal="center" vertical="center" wrapText="1"/>
    </xf>
    <xf numFmtId="49" fontId="2" fillId="0" borderId="108" xfId="2" quotePrefix="1" applyNumberFormat="1" applyFont="1" applyFill="1" applyBorder="1" applyAlignment="1">
      <alignment horizontal="center" vertical="center"/>
    </xf>
    <xf numFmtId="49" fontId="2" fillId="0" borderId="24" xfId="2" quotePrefix="1" applyNumberFormat="1" applyFont="1" applyFill="1" applyBorder="1" applyAlignment="1">
      <alignment horizontal="center" vertical="center"/>
    </xf>
    <xf numFmtId="0" fontId="3" fillId="3" borderId="122" xfId="0" applyFont="1" applyFill="1" applyBorder="1" applyAlignment="1">
      <alignment horizontal="center" vertical="center"/>
    </xf>
    <xf numFmtId="49" fontId="12" fillId="5" borderId="43" xfId="1" quotePrefix="1" applyNumberFormat="1" applyFont="1" applyFill="1" applyBorder="1" applyAlignment="1">
      <alignment horizontal="center"/>
    </xf>
    <xf numFmtId="49" fontId="12" fillId="5" borderId="55" xfId="1" quotePrefix="1" applyNumberFormat="1" applyFont="1" applyFill="1" applyBorder="1" applyAlignment="1">
      <alignment horizontal="center"/>
    </xf>
    <xf numFmtId="167" fontId="12" fillId="5" borderId="34" xfId="1" quotePrefix="1" applyNumberFormat="1" applyFont="1" applyFill="1" applyBorder="1" applyAlignment="1">
      <alignment horizontal="center" wrapText="1"/>
    </xf>
    <xf numFmtId="167" fontId="12" fillId="5" borderId="112" xfId="1" quotePrefix="1" applyNumberFormat="1" applyFont="1" applyFill="1" applyBorder="1" applyAlignment="1">
      <alignment horizontal="center" wrapText="1"/>
    </xf>
    <xf numFmtId="49" fontId="2" fillId="2" borderId="34" xfId="2" quotePrefix="1" applyNumberFormat="1" applyFont="1" applyFill="1" applyBorder="1" applyAlignment="1">
      <alignment horizontal="center" vertical="center" wrapText="1"/>
    </xf>
    <xf numFmtId="49" fontId="2" fillId="2" borderId="112" xfId="2" quotePrefix="1" applyNumberFormat="1" applyFont="1" applyFill="1" applyBorder="1" applyAlignment="1">
      <alignment horizontal="center" vertical="center" wrapText="1"/>
    </xf>
    <xf numFmtId="167" fontId="2" fillId="0" borderId="34" xfId="1" quotePrefix="1" applyNumberFormat="1" applyFont="1" applyFill="1" applyBorder="1" applyAlignment="1">
      <alignment horizontal="center" vertical="center" wrapText="1"/>
    </xf>
    <xf numFmtId="167" fontId="2" fillId="0" borderId="112" xfId="1" applyNumberFormat="1" applyFont="1" applyFill="1" applyBorder="1" applyAlignment="1">
      <alignment horizontal="center" vertical="center"/>
    </xf>
    <xf numFmtId="164" fontId="5" fillId="0" borderId="118" xfId="0" applyNumberFormat="1" applyFont="1" applyBorder="1" applyAlignment="1">
      <alignment horizontal="center" vertical="center"/>
    </xf>
    <xf numFmtId="164" fontId="5" fillId="0" borderId="112" xfId="0" applyNumberFormat="1" applyFont="1" applyBorder="1" applyAlignment="1">
      <alignment horizontal="center" vertical="center"/>
    </xf>
    <xf numFmtId="164" fontId="136" fillId="2" borderId="38" xfId="0" applyNumberFormat="1" applyFont="1" applyFill="1" applyBorder="1" applyAlignment="1">
      <alignment horizontal="center" vertical="center"/>
    </xf>
    <xf numFmtId="164" fontId="136" fillId="2" borderId="115" xfId="0" applyNumberFormat="1" applyFont="1" applyFill="1" applyBorder="1" applyAlignment="1">
      <alignment horizontal="center" vertical="center"/>
    </xf>
    <xf numFmtId="49" fontId="3" fillId="0" borderId="34" xfId="2" quotePrefix="1" applyNumberFormat="1" applyFont="1" applyBorder="1" applyAlignment="1">
      <alignment horizontal="center" vertical="center"/>
    </xf>
    <xf numFmtId="49" fontId="3" fillId="0" borderId="112" xfId="2" quotePrefix="1" applyNumberFormat="1" applyFont="1" applyBorder="1" applyAlignment="1">
      <alignment horizontal="center" vertical="center"/>
    </xf>
    <xf numFmtId="0" fontId="3" fillId="3" borderId="119" xfId="0" applyFont="1" applyFill="1" applyBorder="1" applyAlignment="1">
      <alignment horizontal="center" vertical="center"/>
    </xf>
    <xf numFmtId="0" fontId="3" fillId="3" borderId="150" xfId="0" applyFont="1" applyFill="1" applyBorder="1" applyAlignment="1">
      <alignment horizontal="center" vertical="center"/>
    </xf>
    <xf numFmtId="0" fontId="3" fillId="3" borderId="140" xfId="0" applyFont="1" applyFill="1" applyBorder="1" applyAlignment="1">
      <alignment horizontal="center" vertical="center"/>
    </xf>
    <xf numFmtId="0" fontId="3" fillId="3" borderId="153" xfId="0" applyFont="1" applyFill="1" applyBorder="1" applyAlignment="1">
      <alignment horizontal="center" vertical="center"/>
    </xf>
    <xf numFmtId="167" fontId="2" fillId="5" borderId="132" xfId="1" quotePrefix="1" applyNumberFormat="1" applyFont="1" applyFill="1" applyBorder="1" applyAlignment="1">
      <alignment horizontal="center" vertical="center" wrapText="1"/>
    </xf>
    <xf numFmtId="167" fontId="2" fillId="5" borderId="21" xfId="1" applyNumberFormat="1" applyFont="1" applyFill="1" applyBorder="1" applyAlignment="1">
      <alignment horizontal="center" vertical="center"/>
    </xf>
    <xf numFmtId="167" fontId="2" fillId="5" borderId="124" xfId="1" applyNumberFormat="1" applyFont="1" applyFill="1" applyBorder="1" applyAlignment="1">
      <alignment horizontal="center" vertical="center"/>
    </xf>
    <xf numFmtId="49" fontId="2" fillId="2" borderId="108" xfId="2" quotePrefix="1" applyNumberFormat="1" applyFont="1" applyFill="1" applyBorder="1" applyAlignment="1">
      <alignment horizontal="center" vertical="center" wrapText="1"/>
    </xf>
    <xf numFmtId="0" fontId="2" fillId="0" borderId="127" xfId="0" applyFont="1" applyFill="1" applyBorder="1" applyAlignment="1">
      <alignment horizontal="center" vertical="center" wrapText="1"/>
    </xf>
    <xf numFmtId="0" fontId="2" fillId="0" borderId="128" xfId="0" applyFont="1" applyFill="1" applyBorder="1" applyAlignment="1">
      <alignment horizontal="center" vertical="center" wrapText="1"/>
    </xf>
    <xf numFmtId="164" fontId="136" fillId="2" borderId="129" xfId="0" applyNumberFormat="1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167" fontId="12" fillId="5" borderId="118" xfId="1" quotePrefix="1" applyNumberFormat="1" applyFont="1" applyFill="1" applyBorder="1" applyAlignment="1">
      <alignment horizontal="center" vertical="center" wrapText="1"/>
    </xf>
    <xf numFmtId="167" fontId="12" fillId="5" borderId="34" xfId="1" quotePrefix="1" applyNumberFormat="1" applyFont="1" applyFill="1" applyBorder="1" applyAlignment="1">
      <alignment horizontal="center" vertical="center" wrapText="1"/>
    </xf>
    <xf numFmtId="167" fontId="12" fillId="5" borderId="112" xfId="1" quotePrefix="1" applyNumberFormat="1" applyFont="1" applyFill="1" applyBorder="1" applyAlignment="1">
      <alignment horizontal="center" vertical="center" wrapText="1"/>
    </xf>
    <xf numFmtId="49" fontId="2" fillId="0" borderId="108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112" xfId="0" applyNumberFormat="1" applyFont="1" applyBorder="1" applyAlignment="1">
      <alignment horizontal="center" vertical="center" wrapText="1"/>
    </xf>
    <xf numFmtId="164" fontId="136" fillId="2" borderId="109" xfId="0" applyNumberFormat="1" applyFont="1" applyFill="1" applyBorder="1" applyAlignment="1">
      <alignment horizontal="center" vertical="center"/>
    </xf>
    <xf numFmtId="164" fontId="136" fillId="2" borderId="20" xfId="0" applyNumberFormat="1" applyFont="1" applyFill="1" applyBorder="1" applyAlignment="1">
      <alignment horizontal="center" vertical="center"/>
    </xf>
    <xf numFmtId="164" fontId="136" fillId="2" borderId="113" xfId="0" applyNumberFormat="1" applyFont="1" applyFill="1" applyBorder="1" applyAlignment="1">
      <alignment horizontal="center" vertical="center"/>
    </xf>
    <xf numFmtId="167" fontId="2" fillId="0" borderId="112" xfId="1" quotePrefix="1" applyNumberFormat="1" applyFont="1" applyFill="1" applyBorder="1" applyAlignment="1">
      <alignment horizontal="center" vertical="center" wrapText="1"/>
    </xf>
    <xf numFmtId="49" fontId="3" fillId="0" borderId="108" xfId="2" quotePrefix="1" applyNumberFormat="1" applyFont="1" applyFill="1" applyBorder="1" applyAlignment="1">
      <alignment horizontal="center" vertical="center"/>
    </xf>
    <xf numFmtId="49" fontId="3" fillId="0" borderId="34" xfId="2" quotePrefix="1" applyNumberFormat="1" applyFont="1" applyFill="1" applyBorder="1" applyAlignment="1">
      <alignment horizontal="center" vertical="center"/>
    </xf>
    <xf numFmtId="49" fontId="3" fillId="0" borderId="112" xfId="2" quotePrefix="1" applyNumberFormat="1" applyFont="1" applyFill="1" applyBorder="1" applyAlignment="1">
      <alignment horizontal="center" vertical="center"/>
    </xf>
    <xf numFmtId="167" fontId="12" fillId="5" borderId="112" xfId="1" quotePrefix="1" applyNumberFormat="1" applyFont="1" applyFill="1" applyBorder="1" applyAlignment="1">
      <alignment horizontal="center" vertical="center"/>
    </xf>
    <xf numFmtId="167" fontId="12" fillId="5" borderId="118" xfId="1" quotePrefix="1" applyNumberFormat="1" applyFont="1" applyFill="1" applyBorder="1" applyAlignment="1">
      <alignment horizontal="center"/>
    </xf>
    <xf numFmtId="167" fontId="12" fillId="5" borderId="112" xfId="1" quotePrefix="1" applyNumberFormat="1" applyFont="1" applyFill="1" applyBorder="1" applyAlignment="1">
      <alignment horizontal="center"/>
    </xf>
    <xf numFmtId="164" fontId="136" fillId="2" borderId="120" xfId="0" applyNumberFormat="1" applyFont="1" applyFill="1" applyBorder="1" applyAlignment="1">
      <alignment horizontal="center" vertical="center" wrapText="1"/>
    </xf>
    <xf numFmtId="164" fontId="136" fillId="2" borderId="20" xfId="0" applyNumberFormat="1" applyFont="1" applyFill="1" applyBorder="1" applyAlignment="1">
      <alignment horizontal="center" vertical="center" wrapText="1"/>
    </xf>
    <xf numFmtId="164" fontId="136" fillId="2" borderId="113" xfId="0" applyNumberFormat="1" applyFont="1" applyFill="1" applyBorder="1" applyAlignment="1">
      <alignment horizontal="center" vertical="center" wrapText="1"/>
    </xf>
    <xf numFmtId="49" fontId="2" fillId="2" borderId="118" xfId="2" quotePrefix="1" applyNumberFormat="1" applyFont="1" applyFill="1" applyBorder="1" applyAlignment="1">
      <alignment horizontal="center" vertical="center" wrapText="1"/>
    </xf>
    <xf numFmtId="49" fontId="6" fillId="0" borderId="118" xfId="2" quotePrefix="1" applyNumberFormat="1" applyFont="1" applyFill="1" applyBorder="1" applyAlignment="1">
      <alignment horizontal="center" vertical="center" wrapText="1"/>
    </xf>
    <xf numFmtId="49" fontId="6" fillId="0" borderId="34" xfId="2" quotePrefix="1" applyNumberFormat="1" applyFont="1" applyFill="1" applyBorder="1" applyAlignment="1">
      <alignment horizontal="center" vertical="center" wrapText="1"/>
    </xf>
    <xf numFmtId="49" fontId="6" fillId="0" borderId="24" xfId="2" quotePrefix="1" applyNumberFormat="1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/>
    </xf>
    <xf numFmtId="167" fontId="2" fillId="0" borderId="75" xfId="1" quotePrefix="1" applyNumberFormat="1" applyFont="1" applyFill="1" applyBorder="1" applyAlignment="1">
      <alignment horizontal="center" vertical="center" wrapText="1"/>
    </xf>
    <xf numFmtId="167" fontId="2" fillId="0" borderId="118" xfId="1" quotePrefix="1" applyNumberFormat="1" applyFont="1" applyFill="1" applyBorder="1" applyAlignment="1">
      <alignment horizontal="center" vertical="center" wrapText="1"/>
    </xf>
    <xf numFmtId="167" fontId="2" fillId="0" borderId="34" xfId="1" applyNumberFormat="1" applyFont="1" applyFill="1" applyBorder="1" applyAlignment="1">
      <alignment horizontal="center" vertical="center"/>
    </xf>
    <xf numFmtId="164" fontId="136" fillId="2" borderId="122" xfId="0" applyNumberFormat="1" applyFont="1" applyFill="1" applyBorder="1" applyAlignment="1">
      <alignment horizontal="center" vertical="center"/>
    </xf>
    <xf numFmtId="164" fontId="136" fillId="2" borderId="118" xfId="0" applyNumberFormat="1" applyFont="1" applyFill="1" applyBorder="1" applyAlignment="1">
      <alignment horizontal="center" vertical="center"/>
    </xf>
    <xf numFmtId="164" fontId="136" fillId="2" borderId="34" xfId="0" applyNumberFormat="1" applyFont="1" applyFill="1" applyBorder="1" applyAlignment="1">
      <alignment horizontal="center" vertical="center"/>
    </xf>
    <xf numFmtId="164" fontId="136" fillId="2" borderId="112" xfId="0" applyNumberFormat="1" applyFont="1" applyFill="1" applyBorder="1" applyAlignment="1">
      <alignment horizontal="center" vertical="center"/>
    </xf>
    <xf numFmtId="1" fontId="2" fillId="0" borderId="118" xfId="2" quotePrefix="1" applyNumberFormat="1" applyFont="1" applyBorder="1" applyAlignment="1">
      <alignment horizontal="center" vertical="center"/>
    </xf>
    <xf numFmtId="1" fontId="2" fillId="0" borderId="34" xfId="2" quotePrefix="1" applyNumberFormat="1" applyFont="1" applyBorder="1" applyAlignment="1">
      <alignment horizontal="center" vertical="center"/>
    </xf>
    <xf numFmtId="1" fontId="2" fillId="0" borderId="112" xfId="2" quotePrefix="1" applyNumberFormat="1" applyFont="1" applyBorder="1" applyAlignment="1">
      <alignment horizontal="center" vertical="center"/>
    </xf>
    <xf numFmtId="167" fontId="2" fillId="5" borderId="34" xfId="1" applyNumberFormat="1" applyFont="1" applyFill="1" applyBorder="1" applyAlignment="1">
      <alignment horizontal="center" vertical="center" wrapText="1"/>
    </xf>
    <xf numFmtId="167" fontId="2" fillId="5" borderId="112" xfId="1" applyNumberFormat="1" applyFont="1" applyFill="1" applyBorder="1" applyAlignment="1">
      <alignment horizontal="center" vertical="center" wrapText="1"/>
    </xf>
    <xf numFmtId="164" fontId="5" fillId="0" borderId="118" xfId="0" applyNumberFormat="1" applyFont="1" applyFill="1" applyBorder="1" applyAlignment="1">
      <alignment horizontal="center" vertical="center" wrapText="1"/>
    </xf>
    <xf numFmtId="164" fontId="5" fillId="0" borderId="34" xfId="0" applyNumberFormat="1" applyFont="1" applyFill="1" applyBorder="1" applyAlignment="1">
      <alignment horizontal="center" vertical="center" wrapText="1"/>
    </xf>
    <xf numFmtId="164" fontId="5" fillId="0" borderId="112" xfId="0" applyNumberFormat="1" applyFont="1" applyFill="1" applyBorder="1" applyAlignment="1">
      <alignment horizontal="center" vertical="center" wrapText="1"/>
    </xf>
    <xf numFmtId="49" fontId="2" fillId="0" borderId="122" xfId="2" quotePrefix="1" applyNumberFormat="1" applyFont="1" applyBorder="1" applyAlignment="1">
      <alignment horizontal="center"/>
    </xf>
    <xf numFmtId="49" fontId="2" fillId="0" borderId="107" xfId="2" quotePrefix="1" applyNumberFormat="1" applyFont="1" applyBorder="1" applyAlignment="1">
      <alignment horizontal="center"/>
    </xf>
    <xf numFmtId="49" fontId="2" fillId="0" borderId="111" xfId="2" quotePrefix="1" applyNumberFormat="1" applyFont="1" applyBorder="1" applyAlignment="1">
      <alignment horizontal="center"/>
    </xf>
    <xf numFmtId="49" fontId="2" fillId="0" borderId="118" xfId="2" quotePrefix="1" applyNumberFormat="1" applyFont="1" applyBorder="1" applyAlignment="1">
      <alignment horizontal="center" vertical="center"/>
    </xf>
    <xf numFmtId="49" fontId="2" fillId="0" borderId="34" xfId="2" quotePrefix="1" applyNumberFormat="1" applyFont="1" applyBorder="1" applyAlignment="1">
      <alignment horizontal="center" vertical="center"/>
    </xf>
    <xf numFmtId="49" fontId="2" fillId="0" borderId="112" xfId="2" quotePrefix="1" applyNumberFormat="1" applyFont="1" applyBorder="1" applyAlignment="1">
      <alignment horizontal="center" vertical="center"/>
    </xf>
    <xf numFmtId="49" fontId="12" fillId="5" borderId="127" xfId="1" quotePrefix="1" applyNumberFormat="1" applyFont="1" applyFill="1" applyBorder="1" applyAlignment="1">
      <alignment horizontal="center" vertical="center"/>
    </xf>
    <xf numFmtId="49" fontId="12" fillId="5" borderId="128" xfId="1" quotePrefix="1" applyNumberFormat="1" applyFont="1" applyFill="1" applyBorder="1" applyAlignment="1">
      <alignment horizontal="center" vertical="center"/>
    </xf>
    <xf numFmtId="49" fontId="5" fillId="0" borderId="118" xfId="2" quotePrefix="1" applyNumberFormat="1" applyFont="1" applyBorder="1" applyAlignment="1">
      <alignment horizontal="center" vertical="center"/>
    </xf>
    <xf numFmtId="49" fontId="5" fillId="0" borderId="112" xfId="2" quotePrefix="1" applyNumberFormat="1" applyFont="1" applyBorder="1" applyAlignment="1">
      <alignment horizontal="center" vertical="center"/>
    </xf>
    <xf numFmtId="165" fontId="2" fillId="0" borderId="118" xfId="0" quotePrefix="1" applyNumberFormat="1" applyFont="1" applyFill="1" applyBorder="1" applyAlignment="1">
      <alignment horizontal="center" vertical="center" wrapText="1"/>
    </xf>
    <xf numFmtId="165" fontId="2" fillId="0" borderId="34" xfId="0" applyNumberFormat="1" applyFont="1" applyFill="1" applyBorder="1" applyAlignment="1">
      <alignment horizontal="center" vertical="center"/>
    </xf>
    <xf numFmtId="165" fontId="2" fillId="0" borderId="112" xfId="0" applyNumberFormat="1" applyFont="1" applyFill="1" applyBorder="1" applyAlignment="1">
      <alignment horizontal="center" vertical="center"/>
    </xf>
    <xf numFmtId="0" fontId="3" fillId="3" borderId="96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3" fillId="3" borderId="93" xfId="0" applyFont="1" applyFill="1" applyBorder="1" applyAlignment="1">
      <alignment horizontal="center" vertical="center"/>
    </xf>
    <xf numFmtId="49" fontId="2" fillId="0" borderId="118" xfId="2" quotePrefix="1" applyNumberFormat="1" applyFont="1" applyBorder="1" applyAlignment="1">
      <alignment horizontal="center"/>
    </xf>
    <xf numFmtId="49" fontId="2" fillId="0" borderId="34" xfId="2" quotePrefix="1" applyNumberFormat="1" applyFont="1" applyBorder="1" applyAlignment="1">
      <alignment horizontal="center"/>
    </xf>
    <xf numFmtId="49" fontId="2" fillId="0" borderId="112" xfId="2" quotePrefix="1" applyNumberFormat="1" applyFont="1" applyBorder="1" applyAlignment="1">
      <alignment horizontal="center"/>
    </xf>
    <xf numFmtId="167" fontId="2" fillId="0" borderId="25" xfId="1" quotePrefix="1" applyNumberFormat="1" applyFont="1" applyFill="1" applyBorder="1" applyAlignment="1">
      <alignment horizontal="center" vertical="center"/>
    </xf>
    <xf numFmtId="167" fontId="2" fillId="0" borderId="41" xfId="1" quotePrefix="1" applyNumberFormat="1" applyFont="1" applyFill="1" applyBorder="1" applyAlignment="1">
      <alignment horizontal="center" vertical="center"/>
    </xf>
    <xf numFmtId="167" fontId="2" fillId="0" borderId="26" xfId="1" quotePrefix="1" applyNumberFormat="1" applyFont="1" applyFill="1" applyBorder="1" applyAlignment="1">
      <alignment horizontal="center" vertical="center"/>
    </xf>
    <xf numFmtId="164" fontId="136" fillId="2" borderId="79" xfId="0" applyNumberFormat="1" applyFont="1" applyFill="1" applyBorder="1" applyAlignment="1">
      <alignment horizontal="center" vertical="center"/>
    </xf>
    <xf numFmtId="164" fontId="136" fillId="2" borderId="80" xfId="0" applyNumberFormat="1" applyFont="1" applyFill="1" applyBorder="1" applyAlignment="1">
      <alignment horizontal="center" vertical="center"/>
    </xf>
    <xf numFmtId="49" fontId="2" fillId="0" borderId="75" xfId="2" quotePrefix="1" applyNumberFormat="1" applyFont="1" applyFill="1" applyBorder="1" applyAlignment="1">
      <alignment horizontal="center" vertical="center"/>
    </xf>
    <xf numFmtId="49" fontId="2" fillId="0" borderId="34" xfId="2" quotePrefix="1" applyNumberFormat="1" applyFont="1" applyFill="1" applyBorder="1" applyAlignment="1">
      <alignment horizontal="center" vertical="center"/>
    </xf>
    <xf numFmtId="164" fontId="5" fillId="0" borderId="75" xfId="0" applyNumberFormat="1" applyFont="1" applyFill="1" applyBorder="1" applyAlignment="1">
      <alignment horizontal="center" vertical="center"/>
    </xf>
    <xf numFmtId="164" fontId="5" fillId="0" borderId="34" xfId="0" applyNumberFormat="1" applyFont="1" applyFill="1" applyBorder="1" applyAlignment="1">
      <alignment horizontal="center" vertical="center"/>
    </xf>
    <xf numFmtId="164" fontId="5" fillId="0" borderId="24" xfId="0" applyNumberFormat="1" applyFont="1" applyFill="1" applyBorder="1" applyAlignment="1">
      <alignment horizontal="center" vertical="center"/>
    </xf>
    <xf numFmtId="164" fontId="136" fillId="2" borderId="61" xfId="0" applyNumberFormat="1" applyFont="1" applyFill="1" applyBorder="1" applyAlignment="1">
      <alignment horizontal="center" vertical="center"/>
    </xf>
    <xf numFmtId="164" fontId="136" fillId="2" borderId="43" xfId="0" applyNumberFormat="1" applyFont="1" applyFill="1" applyBorder="1" applyAlignment="1">
      <alignment horizontal="center" vertical="center"/>
    </xf>
    <xf numFmtId="167" fontId="2" fillId="0" borderId="83" xfId="1" applyNumberFormat="1" applyFont="1" applyFill="1" applyBorder="1" applyAlignment="1">
      <alignment horizontal="center" vertical="center" wrapText="1"/>
    </xf>
    <xf numFmtId="167" fontId="2" fillId="0" borderId="83" xfId="1" applyNumberFormat="1" applyFont="1" applyFill="1" applyBorder="1" applyAlignment="1">
      <alignment horizontal="center" vertical="center"/>
    </xf>
    <xf numFmtId="167" fontId="2" fillId="0" borderId="25" xfId="1" quotePrefix="1" applyNumberFormat="1" applyFont="1" applyFill="1" applyBorder="1" applyAlignment="1">
      <alignment horizontal="center" vertical="center" wrapText="1"/>
    </xf>
    <xf numFmtId="167" fontId="2" fillId="0" borderId="78" xfId="1" quotePrefix="1" applyNumberFormat="1" applyFont="1" applyFill="1" applyBorder="1" applyAlignment="1">
      <alignment horizontal="center" vertical="center"/>
    </xf>
    <xf numFmtId="0" fontId="3" fillId="0" borderId="108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 vertical="center"/>
    </xf>
    <xf numFmtId="0" fontId="2" fillId="2" borderId="112" xfId="0" quotePrefix="1" applyFont="1" applyFill="1" applyBorder="1" applyAlignment="1">
      <alignment horizontal="center" vertical="center"/>
    </xf>
    <xf numFmtId="0" fontId="2" fillId="2" borderId="34" xfId="0" quotePrefix="1" applyFont="1" applyFill="1" applyBorder="1" applyAlignment="1">
      <alignment horizontal="center"/>
    </xf>
    <xf numFmtId="0" fontId="2" fillId="2" borderId="112" xfId="0" quotePrefix="1" applyFont="1" applyFill="1" applyBorder="1" applyAlignment="1">
      <alignment horizontal="center"/>
    </xf>
    <xf numFmtId="0" fontId="2" fillId="2" borderId="118" xfId="0" quotePrefix="1" applyFont="1" applyFill="1" applyBorder="1" applyAlignment="1">
      <alignment horizontal="center" vertical="center"/>
    </xf>
    <xf numFmtId="0" fontId="2" fillId="2" borderId="118" xfId="0" quotePrefix="1" applyFont="1" applyFill="1" applyBorder="1" applyAlignment="1">
      <alignment horizontal="center"/>
    </xf>
    <xf numFmtId="0" fontId="14" fillId="0" borderId="120" xfId="7" applyFont="1" applyBorder="1" applyAlignment="1">
      <alignment horizontal="center" vertical="center" wrapText="1"/>
    </xf>
    <xf numFmtId="0" fontId="14" fillId="0" borderId="20" xfId="7" applyFont="1" applyBorder="1" applyAlignment="1">
      <alignment horizontal="center" vertical="center" wrapText="1"/>
    </xf>
    <xf numFmtId="0" fontId="14" fillId="0" borderId="113" xfId="7" applyFont="1" applyBorder="1" applyAlignment="1">
      <alignment horizontal="center" vertical="center" wrapText="1"/>
    </xf>
    <xf numFmtId="167" fontId="12" fillId="5" borderId="20" xfId="1" quotePrefix="1" applyNumberFormat="1" applyFont="1" applyFill="1" applyBorder="1" applyAlignment="1">
      <alignment horizontal="center" vertical="center"/>
    </xf>
    <xf numFmtId="167" fontId="12" fillId="5" borderId="113" xfId="1" quotePrefix="1" applyNumberFormat="1" applyFont="1" applyFill="1" applyBorder="1" applyAlignment="1">
      <alignment horizontal="center" vertical="center"/>
    </xf>
    <xf numFmtId="167" fontId="2" fillId="5" borderId="118" xfId="1" quotePrefix="1" applyNumberFormat="1" applyFont="1" applyFill="1" applyBorder="1" applyAlignment="1">
      <alignment horizontal="center" vertical="center" wrapText="1"/>
    </xf>
    <xf numFmtId="167" fontId="2" fillId="5" borderId="34" xfId="1" quotePrefix="1" applyNumberFormat="1" applyFont="1" applyFill="1" applyBorder="1" applyAlignment="1">
      <alignment horizontal="center" vertical="center" wrapText="1"/>
    </xf>
    <xf numFmtId="167" fontId="2" fillId="5" borderId="112" xfId="1" quotePrefix="1" applyNumberFormat="1" applyFont="1" applyFill="1" applyBorder="1" applyAlignment="1">
      <alignment horizontal="center" vertical="center" wrapText="1"/>
    </xf>
    <xf numFmtId="164" fontId="136" fillId="2" borderId="120" xfId="0" applyNumberFormat="1" applyFont="1" applyFill="1" applyBorder="1" applyAlignment="1">
      <alignment horizontal="center" vertical="center"/>
    </xf>
    <xf numFmtId="0" fontId="14" fillId="0" borderId="118" xfId="7" applyFont="1" applyBorder="1" applyAlignment="1">
      <alignment horizontal="center" vertical="center" wrapText="1"/>
    </xf>
    <xf numFmtId="0" fontId="14" fillId="0" borderId="34" xfId="7" applyFont="1" applyBorder="1" applyAlignment="1">
      <alignment horizontal="center" vertical="center" wrapText="1"/>
    </xf>
    <xf numFmtId="0" fontId="14" fillId="0" borderId="112" xfId="7" applyFont="1" applyBorder="1" applyAlignment="1">
      <alignment horizontal="center" vertical="center" wrapText="1"/>
    </xf>
    <xf numFmtId="167" fontId="2" fillId="5" borderId="24" xfId="1" applyNumberFormat="1" applyFont="1" applyFill="1" applyBorder="1" applyAlignment="1">
      <alignment horizontal="center" vertical="center" wrapText="1"/>
    </xf>
    <xf numFmtId="167" fontId="2" fillId="5" borderId="107" xfId="1" applyNumberFormat="1" applyFont="1" applyFill="1" applyBorder="1" applyAlignment="1">
      <alignment horizontal="center" vertical="center" wrapText="1"/>
    </xf>
    <xf numFmtId="167" fontId="12" fillId="5" borderId="118" xfId="1" quotePrefix="1" applyNumberFormat="1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164" fontId="136" fillId="2" borderId="137" xfId="0" applyNumberFormat="1" applyFont="1" applyFill="1" applyBorder="1" applyAlignment="1">
      <alignment horizontal="center" vertical="center"/>
    </xf>
    <xf numFmtId="49" fontId="2" fillId="2" borderId="24" xfId="2" quotePrefix="1" applyNumberFormat="1" applyFont="1" applyFill="1" applyBorder="1" applyAlignment="1">
      <alignment horizontal="center" vertical="center" wrapText="1"/>
    </xf>
    <xf numFmtId="167" fontId="2" fillId="0" borderId="84" xfId="1" quotePrefix="1" applyNumberFormat="1" applyFont="1" applyFill="1" applyBorder="1" applyAlignment="1">
      <alignment horizontal="center" vertical="center" wrapText="1"/>
    </xf>
    <xf numFmtId="167" fontId="2" fillId="0" borderId="69" xfId="1" quotePrefix="1" applyNumberFormat="1" applyFont="1" applyFill="1" applyBorder="1" applyAlignment="1">
      <alignment horizontal="center" vertical="center" wrapText="1"/>
    </xf>
    <xf numFmtId="1" fontId="12" fillId="5" borderId="127" xfId="1" quotePrefix="1" applyNumberFormat="1" applyFont="1" applyFill="1" applyBorder="1" applyAlignment="1">
      <alignment horizontal="center" vertical="center"/>
    </xf>
    <xf numFmtId="1" fontId="12" fillId="5" borderId="143" xfId="1" quotePrefix="1" applyNumberFormat="1" applyFont="1" applyFill="1" applyBorder="1" applyAlignment="1">
      <alignment horizontal="center" vertical="center"/>
    </xf>
    <xf numFmtId="1" fontId="12" fillId="5" borderId="128" xfId="1" quotePrefix="1" applyNumberFormat="1" applyFont="1" applyFill="1" applyBorder="1" applyAlignment="1">
      <alignment horizontal="center" vertical="center"/>
    </xf>
    <xf numFmtId="49" fontId="5" fillId="0" borderId="34" xfId="2" quotePrefix="1" applyNumberFormat="1" applyFont="1" applyBorder="1" applyAlignment="1">
      <alignment horizontal="center" vertical="center"/>
    </xf>
    <xf numFmtId="49" fontId="12" fillId="5" borderId="109" xfId="1" quotePrefix="1" applyNumberFormat="1" applyFont="1" applyFill="1" applyBorder="1" applyAlignment="1">
      <alignment horizontal="center"/>
    </xf>
    <xf numFmtId="49" fontId="12" fillId="5" borderId="132" xfId="1" quotePrefix="1" applyNumberFormat="1" applyFont="1" applyFill="1" applyBorder="1" applyAlignment="1">
      <alignment horizontal="center"/>
    </xf>
    <xf numFmtId="49" fontId="2" fillId="0" borderId="108" xfId="2" quotePrefix="1" applyNumberFormat="1" applyFont="1" applyBorder="1" applyAlignment="1">
      <alignment horizontal="center" vertical="center"/>
    </xf>
    <xf numFmtId="167" fontId="2" fillId="5" borderId="21" xfId="1" applyNumberFormat="1" applyFont="1" applyFill="1" applyBorder="1" applyAlignment="1">
      <alignment horizontal="center" vertical="center" wrapText="1"/>
    </xf>
    <xf numFmtId="167" fontId="2" fillId="5" borderId="124" xfId="1" applyNumberFormat="1" applyFont="1" applyFill="1" applyBorder="1" applyAlignment="1">
      <alignment horizontal="center" vertical="center" wrapText="1"/>
    </xf>
    <xf numFmtId="167" fontId="2" fillId="2" borderId="75" xfId="1" applyNumberFormat="1" applyFont="1" applyFill="1" applyBorder="1" applyAlignment="1">
      <alignment horizontal="center" vertical="center"/>
    </xf>
    <xf numFmtId="167" fontId="2" fillId="2" borderId="34" xfId="1" applyNumberFormat="1" applyFont="1" applyFill="1" applyBorder="1" applyAlignment="1">
      <alignment horizontal="center" vertical="center"/>
    </xf>
    <xf numFmtId="167" fontId="2" fillId="2" borderId="24" xfId="1" applyNumberFormat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vertical="center" wrapText="1"/>
    </xf>
    <xf numFmtId="167" fontId="12" fillId="5" borderId="34" xfId="1" quotePrefix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 wrapText="1"/>
    </xf>
    <xf numFmtId="0" fontId="3" fillId="9" borderId="2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wrapText="1"/>
    </xf>
    <xf numFmtId="49" fontId="2" fillId="0" borderId="24" xfId="0" applyNumberFormat="1" applyFont="1" applyBorder="1" applyAlignment="1">
      <alignment horizontal="center" vertical="center" wrapText="1"/>
    </xf>
    <xf numFmtId="167" fontId="12" fillId="0" borderId="34" xfId="1" quotePrefix="1" applyNumberFormat="1" applyFont="1" applyFill="1" applyBorder="1" applyAlignment="1">
      <alignment horizontal="center" vertical="center"/>
    </xf>
    <xf numFmtId="167" fontId="12" fillId="0" borderId="20" xfId="1" quotePrefix="1" applyNumberFormat="1" applyFont="1" applyFill="1" applyBorder="1" applyAlignment="1">
      <alignment horizontal="center" vertical="center"/>
    </xf>
    <xf numFmtId="167" fontId="12" fillId="0" borderId="43" xfId="1" quotePrefix="1" applyNumberFormat="1" applyFont="1" applyFill="1" applyBorder="1" applyAlignment="1">
      <alignment horizontal="center" vertical="center"/>
    </xf>
    <xf numFmtId="167" fontId="12" fillId="0" borderId="73" xfId="1" quotePrefix="1" applyNumberFormat="1" applyFont="1" applyFill="1" applyBorder="1" applyAlignment="1">
      <alignment horizontal="center" vertical="center"/>
    </xf>
    <xf numFmtId="167" fontId="2" fillId="2" borderId="83" xfId="1" applyNumberFormat="1" applyFont="1" applyFill="1" applyBorder="1" applyAlignment="1">
      <alignment horizontal="center" vertical="center"/>
    </xf>
    <xf numFmtId="0" fontId="2" fillId="2" borderId="75" xfId="0" quotePrefix="1" applyFont="1" applyFill="1" applyBorder="1" applyAlignment="1">
      <alignment horizontal="center" vertical="center"/>
    </xf>
    <xf numFmtId="49" fontId="2" fillId="2" borderId="75" xfId="2" quotePrefix="1" applyNumberFormat="1" applyFont="1" applyFill="1" applyBorder="1" applyAlignment="1">
      <alignment horizontal="center" wrapText="1"/>
    </xf>
    <xf numFmtId="49" fontId="12" fillId="5" borderId="131" xfId="1" quotePrefix="1" applyNumberFormat="1" applyFont="1" applyFill="1" applyBorder="1" applyAlignment="1">
      <alignment horizontal="center"/>
    </xf>
    <xf numFmtId="49" fontId="12" fillId="5" borderId="130" xfId="1" quotePrefix="1" applyNumberFormat="1" applyFont="1" applyFill="1" applyBorder="1" applyAlignment="1">
      <alignment horizontal="center"/>
    </xf>
    <xf numFmtId="0" fontId="3" fillId="2" borderId="108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67" fontId="2" fillId="0" borderId="69" xfId="1" applyNumberFormat="1" applyFont="1" applyFill="1" applyBorder="1" applyAlignment="1">
      <alignment horizontal="center" vertical="center"/>
    </xf>
    <xf numFmtId="3" fontId="2" fillId="2" borderId="131" xfId="0" applyNumberFormat="1" applyFont="1" applyFill="1" applyBorder="1" applyAlignment="1">
      <alignment horizontal="center"/>
    </xf>
    <xf numFmtId="3" fontId="2" fillId="2" borderId="110" xfId="0" applyNumberFormat="1" applyFont="1" applyFill="1" applyBorder="1" applyAlignment="1">
      <alignment horizontal="center"/>
    </xf>
    <xf numFmtId="3" fontId="2" fillId="2" borderId="130" xfId="0" applyNumberFormat="1" applyFont="1" applyFill="1" applyBorder="1" applyAlignment="1">
      <alignment horizontal="center"/>
    </xf>
    <xf numFmtId="0" fontId="3" fillId="3" borderId="73" xfId="0" applyFont="1" applyFill="1" applyBorder="1" applyAlignment="1">
      <alignment horizontal="center"/>
    </xf>
    <xf numFmtId="3" fontId="2" fillId="2" borderId="83" xfId="0" applyNumberFormat="1" applyFont="1" applyFill="1" applyBorder="1" applyAlignment="1">
      <alignment horizontal="center"/>
    </xf>
    <xf numFmtId="0" fontId="30" fillId="3" borderId="32" xfId="0" applyFont="1" applyFill="1" applyBorder="1" applyAlignment="1">
      <alignment horizontal="center" wrapText="1"/>
    </xf>
    <xf numFmtId="0" fontId="30" fillId="3" borderId="32" xfId="0" applyFont="1" applyFill="1" applyBorder="1" applyAlignment="1">
      <alignment horizontal="center"/>
    </xf>
    <xf numFmtId="3" fontId="2" fillId="2" borderId="88" xfId="0" applyNumberFormat="1" applyFont="1" applyFill="1" applyBorder="1" applyAlignment="1">
      <alignment horizontal="center"/>
    </xf>
    <xf numFmtId="3" fontId="2" fillId="2" borderId="89" xfId="0" applyNumberFormat="1" applyFont="1" applyFill="1" applyBorder="1" applyAlignment="1">
      <alignment horizontal="center"/>
    </xf>
    <xf numFmtId="3" fontId="2" fillId="2" borderId="90" xfId="0" applyNumberFormat="1" applyFont="1" applyFill="1" applyBorder="1" applyAlignment="1">
      <alignment horizontal="center"/>
    </xf>
    <xf numFmtId="3" fontId="2" fillId="2" borderId="19" xfId="0" applyNumberFormat="1" applyFont="1" applyFill="1" applyBorder="1" applyAlignment="1">
      <alignment horizontal="center"/>
    </xf>
    <xf numFmtId="3" fontId="2" fillId="2" borderId="92" xfId="0" applyNumberFormat="1" applyFont="1" applyFill="1" applyBorder="1" applyAlignment="1">
      <alignment horizontal="center"/>
    </xf>
    <xf numFmtId="164" fontId="3" fillId="0" borderId="131" xfId="0" applyNumberFormat="1" applyFont="1" applyBorder="1" applyAlignment="1">
      <alignment horizontal="center" wrapText="1"/>
    </xf>
    <xf numFmtId="164" fontId="3" fillId="0" borderId="130" xfId="0" applyNumberFormat="1" applyFont="1" applyBorder="1" applyAlignment="1">
      <alignment horizontal="center"/>
    </xf>
    <xf numFmtId="164" fontId="3" fillId="0" borderId="131" xfId="0" applyNumberFormat="1" applyFont="1" applyBorder="1" applyAlignment="1">
      <alignment horizontal="center"/>
    </xf>
    <xf numFmtId="0" fontId="3" fillId="3" borderId="131" xfId="0" applyFont="1" applyFill="1" applyBorder="1" applyAlignment="1">
      <alignment horizontal="center" vertical="center"/>
    </xf>
    <xf numFmtId="0" fontId="3" fillId="3" borderId="130" xfId="0" applyFont="1" applyFill="1" applyBorder="1" applyAlignment="1">
      <alignment horizontal="center" vertical="center"/>
    </xf>
    <xf numFmtId="0" fontId="3" fillId="3" borderId="152" xfId="0" applyFont="1" applyFill="1" applyBorder="1" applyAlignment="1">
      <alignment horizontal="center" vertical="center"/>
    </xf>
    <xf numFmtId="0" fontId="3" fillId="3" borderId="132" xfId="0" applyFont="1" applyFill="1" applyBorder="1" applyAlignment="1">
      <alignment horizontal="center" vertical="center"/>
    </xf>
    <xf numFmtId="0" fontId="3" fillId="3" borderId="131" xfId="0" applyFont="1" applyFill="1" applyBorder="1" applyAlignment="1">
      <alignment horizontal="center"/>
    </xf>
    <xf numFmtId="0" fontId="3" fillId="3" borderId="110" xfId="0" applyFont="1" applyFill="1" applyBorder="1" applyAlignment="1">
      <alignment horizontal="center"/>
    </xf>
    <xf numFmtId="0" fontId="3" fillId="3" borderId="130" xfId="0" applyFont="1" applyFill="1" applyBorder="1" applyAlignment="1">
      <alignment horizontal="center"/>
    </xf>
    <xf numFmtId="0" fontId="2" fillId="2" borderId="108" xfId="0" quotePrefix="1" applyFont="1" applyFill="1" applyBorder="1" applyAlignment="1">
      <alignment horizontal="center" wrapText="1"/>
    </xf>
    <xf numFmtId="0" fontId="2" fillId="2" borderId="24" xfId="0" quotePrefix="1" applyFont="1" applyFill="1" applyBorder="1" applyAlignment="1">
      <alignment horizontal="center" wrapText="1"/>
    </xf>
    <xf numFmtId="0" fontId="2" fillId="0" borderId="132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167" fontId="10" fillId="0" borderId="107" xfId="1" quotePrefix="1" applyNumberFormat="1" applyFont="1" applyFill="1" applyBorder="1" applyAlignment="1">
      <alignment horizontal="center" vertical="center"/>
    </xf>
    <xf numFmtId="49" fontId="10" fillId="0" borderId="107" xfId="1" quotePrefix="1" applyNumberFormat="1" applyFont="1" applyFill="1" applyBorder="1" applyAlignment="1">
      <alignment horizontal="center" vertical="center"/>
    </xf>
    <xf numFmtId="49" fontId="2" fillId="0" borderId="107" xfId="2" quotePrefix="1" applyNumberFormat="1" applyFont="1" applyFill="1" applyBorder="1" applyAlignment="1">
      <alignment horizontal="center" vertical="center" wrapText="1"/>
    </xf>
    <xf numFmtId="0" fontId="3" fillId="0" borderId="108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164" fontId="5" fillId="0" borderId="108" xfId="0" applyNumberFormat="1" applyFont="1" applyFill="1" applyBorder="1" applyAlignment="1">
      <alignment horizontal="center" vertical="center"/>
    </xf>
    <xf numFmtId="3" fontId="2" fillId="2" borderId="159" xfId="0" applyNumberFormat="1" applyFont="1" applyFill="1" applyBorder="1" applyAlignment="1">
      <alignment horizontal="center" vertical="center"/>
    </xf>
    <xf numFmtId="3" fontId="2" fillId="2" borderId="36" xfId="0" applyNumberFormat="1" applyFont="1" applyFill="1" applyBorder="1" applyAlignment="1">
      <alignment horizontal="center" vertical="center"/>
    </xf>
    <xf numFmtId="3" fontId="2" fillId="2" borderId="160" xfId="0" applyNumberFormat="1" applyFont="1" applyFill="1" applyBorder="1" applyAlignment="1">
      <alignment horizontal="center" vertical="center"/>
    </xf>
    <xf numFmtId="3" fontId="2" fillId="2" borderId="26" xfId="0" applyNumberFormat="1" applyFont="1" applyFill="1" applyBorder="1" applyAlignment="1">
      <alignment horizontal="center" vertical="center"/>
    </xf>
    <xf numFmtId="167" fontId="213" fillId="0" borderId="108" xfId="1" quotePrefix="1" applyNumberFormat="1" applyFont="1" applyFill="1" applyBorder="1" applyAlignment="1">
      <alignment horizontal="center" vertical="center"/>
    </xf>
    <xf numFmtId="167" fontId="213" fillId="0" borderId="24" xfId="1" quotePrefix="1" applyNumberFormat="1" applyFont="1" applyFill="1" applyBorder="1" applyAlignment="1">
      <alignment horizontal="center" vertical="center"/>
    </xf>
    <xf numFmtId="167" fontId="2" fillId="0" borderId="107" xfId="1" applyNumberFormat="1" applyFont="1" applyFill="1" applyBorder="1" applyAlignment="1">
      <alignment horizontal="center" vertical="center"/>
    </xf>
    <xf numFmtId="165" fontId="2" fillId="0" borderId="108" xfId="0" applyNumberFormat="1" applyFont="1" applyBorder="1" applyAlignment="1">
      <alignment horizontal="center" vertical="center"/>
    </xf>
    <xf numFmtId="164" fontId="6" fillId="0" borderId="34" xfId="0" applyNumberFormat="1" applyFont="1" applyFill="1" applyBorder="1" applyAlignment="1">
      <alignment horizontal="center" vertical="center" wrapText="1"/>
    </xf>
    <xf numFmtId="164" fontId="6" fillId="0" borderId="24" xfId="0" applyNumberFormat="1" applyFont="1" applyFill="1" applyBorder="1" applyAlignment="1">
      <alignment horizontal="center" vertical="center" wrapText="1"/>
    </xf>
    <xf numFmtId="49" fontId="2" fillId="0" borderId="24" xfId="2" quotePrefix="1" applyNumberFormat="1" applyFont="1" applyBorder="1" applyAlignment="1">
      <alignment horizontal="center" vertical="center"/>
    </xf>
    <xf numFmtId="0" fontId="2" fillId="0" borderId="34" xfId="0" quotePrefix="1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171" fontId="21" fillId="14" borderId="108" xfId="1" applyNumberFormat="1" applyFont="1" applyFill="1" applyBorder="1" applyAlignment="1">
      <alignment horizontal="center" vertical="center"/>
    </xf>
    <xf numFmtId="167" fontId="23" fillId="15" borderId="108" xfId="1" applyNumberFormat="1" applyFont="1" applyFill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" vertical="center"/>
    </xf>
    <xf numFmtId="3" fontId="2" fillId="0" borderId="41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3" fontId="2" fillId="0" borderId="35" xfId="0" applyNumberFormat="1" applyFont="1" applyFill="1" applyBorder="1" applyAlignment="1">
      <alignment horizontal="center" vertical="center"/>
    </xf>
    <xf numFmtId="0" fontId="2" fillId="0" borderId="108" xfId="0" quotePrefix="1" applyFont="1" applyFill="1" applyBorder="1" applyAlignment="1">
      <alignment horizontal="center" vertical="center"/>
    </xf>
    <xf numFmtId="0" fontId="2" fillId="0" borderId="24" xfId="0" quotePrefix="1" applyFont="1" applyFill="1" applyBorder="1" applyAlignment="1">
      <alignment horizontal="center" vertical="center"/>
    </xf>
    <xf numFmtId="167" fontId="14" fillId="13" borderId="108" xfId="1" applyNumberFormat="1" applyFont="1" applyFill="1" applyBorder="1" applyAlignment="1">
      <alignment horizontal="center" vertical="center"/>
    </xf>
    <xf numFmtId="167" fontId="14" fillId="13" borderId="24" xfId="1" applyNumberFormat="1" applyFont="1" applyFill="1" applyBorder="1" applyAlignment="1">
      <alignment horizontal="center" vertical="center"/>
    </xf>
    <xf numFmtId="49" fontId="2" fillId="0" borderId="108" xfId="2" quotePrefix="1" applyNumberFormat="1" applyFont="1" applyFill="1" applyBorder="1" applyAlignment="1">
      <alignment horizontal="center" vertical="center" wrapText="1"/>
    </xf>
    <xf numFmtId="49" fontId="2" fillId="0" borderId="34" xfId="2" quotePrefix="1" applyNumberFormat="1" applyFont="1" applyFill="1" applyBorder="1" applyAlignment="1">
      <alignment horizontal="center" vertical="center" wrapText="1"/>
    </xf>
    <xf numFmtId="0" fontId="5" fillId="0" borderId="108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165" fontId="2" fillId="0" borderId="108" xfId="0" quotePrefix="1" applyNumberFormat="1" applyFont="1" applyFill="1" applyBorder="1" applyAlignment="1">
      <alignment horizontal="center" vertical="center"/>
    </xf>
    <xf numFmtId="164" fontId="136" fillId="0" borderId="137" xfId="0" applyNumberFormat="1" applyFont="1" applyFill="1" applyBorder="1" applyAlignment="1">
      <alignment horizontal="center" vertical="center"/>
    </xf>
    <xf numFmtId="164" fontId="136" fillId="0" borderId="38" xfId="0" applyNumberFormat="1" applyFont="1" applyFill="1" applyBorder="1" applyAlignment="1">
      <alignment horizontal="center" vertical="center"/>
    </xf>
    <xf numFmtId="167" fontId="14" fillId="0" borderId="108" xfId="1" applyNumberFormat="1" applyFont="1" applyFill="1" applyBorder="1" applyAlignment="1">
      <alignment horizontal="center" vertical="center"/>
    </xf>
    <xf numFmtId="167" fontId="14" fillId="0" borderId="24" xfId="1" applyNumberFormat="1" applyFont="1" applyFill="1" applyBorder="1" applyAlignment="1">
      <alignment horizontal="center" vertical="center"/>
    </xf>
    <xf numFmtId="167" fontId="19" fillId="19" borderId="108" xfId="1" applyNumberFormat="1" applyFont="1" applyFill="1" applyBorder="1" applyAlignment="1">
      <alignment horizontal="center" vertical="center"/>
    </xf>
    <xf numFmtId="167" fontId="19" fillId="19" borderId="24" xfId="1" applyNumberFormat="1" applyFont="1" applyFill="1" applyBorder="1" applyAlignment="1">
      <alignment horizontal="center" vertical="center"/>
    </xf>
    <xf numFmtId="171" fontId="14" fillId="0" borderId="108" xfId="1" applyNumberFormat="1" applyFont="1" applyFill="1" applyBorder="1" applyAlignment="1">
      <alignment horizontal="center" vertical="center"/>
    </xf>
    <xf numFmtId="171" fontId="14" fillId="0" borderId="24" xfId="1" applyNumberFormat="1" applyFont="1" applyFill="1" applyBorder="1" applyAlignment="1">
      <alignment horizontal="center" vertical="center"/>
    </xf>
    <xf numFmtId="167" fontId="10" fillId="0" borderId="108" xfId="1" quotePrefix="1" applyNumberFormat="1" applyFont="1" applyFill="1" applyBorder="1" applyAlignment="1">
      <alignment horizontal="center" vertical="center"/>
    </xf>
    <xf numFmtId="167" fontId="10" fillId="0" borderId="34" xfId="1" quotePrefix="1" applyNumberFormat="1" applyFont="1" applyFill="1" applyBorder="1" applyAlignment="1">
      <alignment horizontal="center" vertical="center"/>
    </xf>
    <xf numFmtId="49" fontId="10" fillId="0" borderId="108" xfId="1" quotePrefix="1" applyNumberFormat="1" applyFont="1" applyFill="1" applyBorder="1" applyAlignment="1">
      <alignment horizontal="center" vertical="center"/>
    </xf>
    <xf numFmtId="49" fontId="10" fillId="0" borderId="34" xfId="1" quotePrefix="1" applyNumberFormat="1" applyFont="1" applyFill="1" applyBorder="1" applyAlignment="1">
      <alignment horizontal="center" vertical="center"/>
    </xf>
    <xf numFmtId="167" fontId="10" fillId="0" borderId="24" xfId="1" quotePrefix="1" applyNumberFormat="1" applyFont="1" applyFill="1" applyBorder="1" applyAlignment="1">
      <alignment horizontal="center" vertical="center"/>
    </xf>
    <xf numFmtId="167" fontId="5" fillId="0" borderId="108" xfId="1" quotePrefix="1" applyNumberFormat="1" applyFont="1" applyFill="1" applyBorder="1" applyAlignment="1">
      <alignment horizontal="center" vertical="center"/>
    </xf>
    <xf numFmtId="167" fontId="5" fillId="0" borderId="34" xfId="1" quotePrefix="1" applyNumberFormat="1" applyFont="1" applyFill="1" applyBorder="1" applyAlignment="1">
      <alignment horizontal="center" vertical="center"/>
    </xf>
    <xf numFmtId="167" fontId="5" fillId="0" borderId="24" xfId="1" quotePrefix="1" applyNumberFormat="1" applyFont="1" applyFill="1" applyBorder="1" applyAlignment="1">
      <alignment horizontal="center" vertical="center"/>
    </xf>
    <xf numFmtId="164" fontId="3" fillId="0" borderId="32" xfId="0" applyNumberFormat="1" applyFont="1" applyFill="1" applyBorder="1" applyAlignment="1">
      <alignment horizontal="left"/>
    </xf>
    <xf numFmtId="167" fontId="2" fillId="0" borderId="34" xfId="1" applyNumberFormat="1" applyFont="1" applyFill="1" applyBorder="1" applyAlignment="1">
      <alignment horizontal="center" vertical="center" wrapText="1"/>
    </xf>
    <xf numFmtId="167" fontId="2" fillId="0" borderId="84" xfId="1" applyNumberFormat="1" applyFont="1" applyFill="1" applyBorder="1" applyAlignment="1">
      <alignment horizontal="center" vertical="center" wrapText="1"/>
    </xf>
    <xf numFmtId="164" fontId="6" fillId="0" borderId="108" xfId="0" applyNumberFormat="1" applyFont="1" applyFill="1" applyBorder="1" applyAlignment="1">
      <alignment horizontal="center" vertical="center" wrapText="1"/>
    </xf>
    <xf numFmtId="164" fontId="2" fillId="0" borderId="108" xfId="0" quotePrefix="1" applyNumberFormat="1" applyFont="1" applyFill="1" applyBorder="1" applyAlignment="1">
      <alignment horizontal="center" vertical="center"/>
    </xf>
    <xf numFmtId="164" fontId="2" fillId="0" borderId="24" xfId="0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 wrapText="1"/>
    </xf>
    <xf numFmtId="0" fontId="20" fillId="9" borderId="17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/>
    </xf>
    <xf numFmtId="167" fontId="24" fillId="11" borderId="56" xfId="1" applyNumberFormat="1" applyFont="1" applyFill="1" applyBorder="1" applyAlignment="1">
      <alignment horizontal="center" vertical="center"/>
    </xf>
    <xf numFmtId="167" fontId="24" fillId="11" borderId="17" xfId="1" applyNumberFormat="1" applyFont="1" applyFill="1" applyBorder="1" applyAlignment="1">
      <alignment horizontal="center" vertical="center"/>
    </xf>
    <xf numFmtId="167" fontId="24" fillId="11" borderId="57" xfId="1" applyNumberFormat="1" applyFont="1" applyFill="1" applyBorder="1" applyAlignment="1">
      <alignment horizontal="center" vertical="center"/>
    </xf>
    <xf numFmtId="0" fontId="2" fillId="3" borderId="67" xfId="0" applyFont="1" applyFill="1" applyBorder="1" applyAlignment="1">
      <alignment horizontal="center"/>
    </xf>
    <xf numFmtId="0" fontId="3" fillId="9" borderId="2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167" fontId="2" fillId="5" borderId="28" xfId="1" applyNumberFormat="1" applyFont="1" applyFill="1" applyBorder="1" applyAlignment="1">
      <alignment horizontal="center" vertical="center"/>
    </xf>
    <xf numFmtId="3" fontId="12" fillId="5" borderId="7" xfId="1" applyNumberFormat="1" applyFont="1" applyFill="1" applyBorder="1" applyAlignment="1">
      <alignment horizontal="center"/>
    </xf>
    <xf numFmtId="3" fontId="12" fillId="5" borderId="23" xfId="1" applyNumberFormat="1" applyFont="1" applyFill="1" applyBorder="1" applyAlignment="1">
      <alignment horizontal="center"/>
    </xf>
    <xf numFmtId="3" fontId="12" fillId="5" borderId="40" xfId="1" applyNumberFormat="1" applyFont="1" applyFill="1" applyBorder="1" applyAlignment="1">
      <alignment horizontal="center"/>
    </xf>
    <xf numFmtId="3" fontId="2" fillId="2" borderId="83" xfId="0" applyNumberFormat="1" applyFont="1" applyFill="1" applyBorder="1" applyAlignment="1"/>
  </cellXfs>
  <cellStyles count="38788">
    <cellStyle name="1" xfId="406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20% - 强调文字颜色 1 10" xfId="696"/>
    <cellStyle name="20% - 强调文字颜色 1 11" xfId="730"/>
    <cellStyle name="20% - 强调文字颜色 1 12" xfId="755"/>
    <cellStyle name="20% - 强调文字颜色 1 12 10" xfId="769"/>
    <cellStyle name="20% - 强调文字颜色 1 12 11" xfId="499"/>
    <cellStyle name="20% - 强调文字颜色 1 12 12" xfId="776"/>
    <cellStyle name="20% - 强调文字颜色 1 12 13" xfId="783"/>
    <cellStyle name="20% - 强调文字颜色 1 12 14" xfId="797"/>
    <cellStyle name="20% - 强调文字颜色 1 12 2" xfId="454"/>
    <cellStyle name="20% - 强调文字颜色 1 12 3" xfId="544"/>
    <cellStyle name="20% - 强调文字颜色 1 12 4" xfId="581"/>
    <cellStyle name="20% - 强调文字颜色 1 12 5" xfId="592"/>
    <cellStyle name="20% - 强调文字颜色 1 12 5 10" xfId="804"/>
    <cellStyle name="20% - 强调文字颜色 1 12 5 11" xfId="373"/>
    <cellStyle name="20% - 强调文字颜色 1 12 5 2" xfId="821"/>
    <cellStyle name="20% - 强调文字颜色 1 12 5 2 2" xfId="826"/>
    <cellStyle name="20% - 强调文字颜色 1 12 5 2 2 2" xfId="844"/>
    <cellStyle name="20% - 强调文字颜色 1 12 5 2 2 3" xfId="854"/>
    <cellStyle name="20% - 强调文字颜色 1 12 5 2 3" xfId="859"/>
    <cellStyle name="20% - 强调文字颜色 1 12 5 2 4" xfId="846"/>
    <cellStyle name="20% - 强调文字颜色 1 12 5 2 5" xfId="855"/>
    <cellStyle name="20% - 强调文字颜色 1 12 5 2 6" xfId="873"/>
    <cellStyle name="20% - 强调文字颜色 1 12 5 2 7" xfId="886"/>
    <cellStyle name="20% - 强调文字颜色 1 12 5 2 8" xfId="898"/>
    <cellStyle name="20% - 强调文字颜色 1 12 5 3" xfId="927"/>
    <cellStyle name="20% - 强调文字颜色 1 12 5 4" xfId="963"/>
    <cellStyle name="20% - 强调文字颜色 1 12 5 5" xfId="998"/>
    <cellStyle name="20% - 强调文字颜色 1 12 5 6" xfId="1017"/>
    <cellStyle name="20% - 强调文字颜色 1 12 5 6 2" xfId="1028"/>
    <cellStyle name="20% - 强调文字颜色 1 12 5 6 3" xfId="1033"/>
    <cellStyle name="20% - 强调文字颜色 1 12 5 7" xfId="1052"/>
    <cellStyle name="20% - 强调文字颜色 1 12 5 8" xfId="1073"/>
    <cellStyle name="20% - 强调文字颜色 1 12 5 9" xfId="1093"/>
    <cellStyle name="20% - 强调文字颜色 1 12 6" xfId="518"/>
    <cellStyle name="20% - 强调文字颜色 1 12 6 2" xfId="1112"/>
    <cellStyle name="20% - 强调文字颜色 1 12 6 2 2" xfId="1131"/>
    <cellStyle name="20% - 强调文字颜色 1 12 6 2 3" xfId="1147"/>
    <cellStyle name="20% - 强调文字颜色 1 12 6 3" xfId="1159"/>
    <cellStyle name="20% - 强调文字颜色 1 12 6 4" xfId="1175"/>
    <cellStyle name="20% - 强调文字颜色 1 12 6 5" xfId="1193"/>
    <cellStyle name="20% - 强调文字颜色 1 12 6 6" xfId="1198"/>
    <cellStyle name="20% - 强调文字颜色 1 12 6 7" xfId="1215"/>
    <cellStyle name="20% - 强调文字颜色 1 12 6 8" xfId="538"/>
    <cellStyle name="20% - 强调文字颜色 1 12 7" xfId="561"/>
    <cellStyle name="20% - 强调文字颜色 1 12 8" xfId="1221"/>
    <cellStyle name="20% - 强调文字颜色 1 12 9" xfId="1232"/>
    <cellStyle name="20% - 强调文字颜色 1 12 9 2" xfId="1245"/>
    <cellStyle name="20% - 强调文字颜色 1 12 9 3" xfId="1260"/>
    <cellStyle name="20% - 强调文字颜色 1 13" xfId="1281"/>
    <cellStyle name="20% - 强调文字颜色 1 14" xfId="1293"/>
    <cellStyle name="20% - 强调文字颜色 1 15" xfId="1304"/>
    <cellStyle name="20% - 强调文字颜色 1 16" xfId="1315"/>
    <cellStyle name="20% - 强调文字颜色 1 16 10" xfId="1326"/>
    <cellStyle name="20% - 强调文字颜色 1 16 11" xfId="1336"/>
    <cellStyle name="20% - 强调文字颜色 1 16 12" xfId="1348"/>
    <cellStyle name="20% - 强调文字颜色 1 16 13" xfId="265"/>
    <cellStyle name="20% - 强调文字颜色 1 16 14" xfId="1368"/>
    <cellStyle name="20% - 强调文字颜色 1 16 2" xfId="1381"/>
    <cellStyle name="20% - 强调文字颜色 1 16 3" xfId="1393"/>
    <cellStyle name="20% - 强调文字颜色 1 16 4" xfId="1409"/>
    <cellStyle name="20% - 强调文字颜色 1 16 5" xfId="1423"/>
    <cellStyle name="20% - 强调文字颜色 1 16 5 10" xfId="1429"/>
    <cellStyle name="20% - 强调文字颜色 1 16 5 11" xfId="1461"/>
    <cellStyle name="20% - 强调文字颜色 1 16 5 2" xfId="1478"/>
    <cellStyle name="20% - 强调文字颜色 1 16 5 2 2" xfId="1491"/>
    <cellStyle name="20% - 强调文字颜色 1 16 5 2 2 2" xfId="1507"/>
    <cellStyle name="20% - 强调文字颜色 1 16 5 2 2 3" xfId="1520"/>
    <cellStyle name="20% - 强调文字颜色 1 16 5 2 3" xfId="236"/>
    <cellStyle name="20% - 强调文字颜色 1 16 5 2 4" xfId="1532"/>
    <cellStyle name="20% - 强调文字颜色 1 16 5 2 5" xfId="1539"/>
    <cellStyle name="20% - 强调文字颜色 1 16 5 2 6" xfId="1546"/>
    <cellStyle name="20% - 强调文字颜色 1 16 5 2 7" xfId="1557"/>
    <cellStyle name="20% - 强调文字颜色 1 16 5 2 8" xfId="1565"/>
    <cellStyle name="20% - 强调文字颜色 1 16 5 3" xfId="1571"/>
    <cellStyle name="20% - 强调文字颜色 1 16 5 4" xfId="1590"/>
    <cellStyle name="20% - 强调文字颜色 1 16 5 5" xfId="1606"/>
    <cellStyle name="20% - 强调文字颜色 1 16 5 6" xfId="1621"/>
    <cellStyle name="20% - 强调文字颜色 1 16 5 6 2" xfId="1627"/>
    <cellStyle name="20% - 强调文字颜色 1 16 5 6 3" xfId="447"/>
    <cellStyle name="20% - 强调文字颜色 1 16 5 7" xfId="1644"/>
    <cellStyle name="20% - 强调文字颜色 1 16 5 8" xfId="1659"/>
    <cellStyle name="20% - 强调文字颜色 1 16 5 9" xfId="1674"/>
    <cellStyle name="20% - 强调文字颜色 1 16 6" xfId="1685"/>
    <cellStyle name="20% - 强调文字颜色 1 16 6 2" xfId="1690"/>
    <cellStyle name="20% - 强调文字颜色 1 16 6 2 2" xfId="1713"/>
    <cellStyle name="20% - 强调文字颜色 1 16 6 2 3" xfId="1736"/>
    <cellStyle name="20% - 强调文字颜色 1 16 6 3" xfId="1744"/>
    <cellStyle name="20% - 强调文字颜色 1 16 6 4" xfId="1754"/>
    <cellStyle name="20% - 强调文字颜色 1 16 6 5" xfId="1764"/>
    <cellStyle name="20% - 强调文字颜色 1 16 6 6" xfId="386"/>
    <cellStyle name="20% - 强调文字颜色 1 16 6 7" xfId="1775"/>
    <cellStyle name="20% - 强调文字颜色 1 16 6 8" xfId="1782"/>
    <cellStyle name="20% - 强调文字颜色 1 16 7" xfId="1794"/>
    <cellStyle name="20% - 强调文字颜色 1 16 8" xfId="1808"/>
    <cellStyle name="20% - 强调文字颜色 1 16 9" xfId="1827"/>
    <cellStyle name="20% - 强调文字颜色 1 16 9 2" xfId="1851"/>
    <cellStyle name="20% - 强调文字颜色 1 16 9 3" xfId="1876"/>
    <cellStyle name="20% - 强调文字颜色 1 17" xfId="1887"/>
    <cellStyle name="20% - 强调文字颜色 1 17 10" xfId="630"/>
    <cellStyle name="20% - 强调文字颜色 1 17 11" xfId="660"/>
    <cellStyle name="20% - 强调文字颜色 1 17 12" xfId="1901"/>
    <cellStyle name="20% - 强调文字颜色 1 17 13" xfId="1927"/>
    <cellStyle name="20% - 强调文字颜色 1 17 14" xfId="1951"/>
    <cellStyle name="20% - 强调文字颜色 1 17 2" xfId="1970"/>
    <cellStyle name="20% - 强调文字颜色 1 17 3" xfId="1982"/>
    <cellStyle name="20% - 强调文字颜色 1 17 4" xfId="1992"/>
    <cellStyle name="20% - 强调文字颜色 1 17 5" xfId="2011"/>
    <cellStyle name="20% - 强调文字颜色 1 17 5 10" xfId="2030"/>
    <cellStyle name="20% - 强调文字颜色 1 17 5 11" xfId="2042"/>
    <cellStyle name="20% - 强调文字颜色 1 17 5 2" xfId="2053"/>
    <cellStyle name="20% - 强调文字颜色 1 17 5 2 2" xfId="327"/>
    <cellStyle name="20% - 强调文字颜色 1 17 5 2 2 2" xfId="2060"/>
    <cellStyle name="20% - 强调文字颜色 1 17 5 2 2 3" xfId="2089"/>
    <cellStyle name="20% - 强调文字颜色 1 17 5 2 3" xfId="602"/>
    <cellStyle name="20% - 强调文字颜色 1 17 5 2 4" xfId="616"/>
    <cellStyle name="20% - 强调文字颜色 1 17 5 2 5" xfId="647"/>
    <cellStyle name="20% - 强调文字颜色 1 17 5 2 6" xfId="2096"/>
    <cellStyle name="20% - 强调文字颜色 1 17 5 2 7" xfId="2100"/>
    <cellStyle name="20% - 强调文字颜色 1 17 5 2 8" xfId="2104"/>
    <cellStyle name="20% - 强调文字颜色 1 17 5 3" xfId="2118"/>
    <cellStyle name="20% - 强调文字颜色 1 17 5 4" xfId="2145"/>
    <cellStyle name="20% - 强调文字颜色 1 17 5 5" xfId="2163"/>
    <cellStyle name="20% - 强调文字颜色 1 17 5 6" xfId="2172"/>
    <cellStyle name="20% - 强调文字颜色 1 17 5 6 2" xfId="1786"/>
    <cellStyle name="20% - 强调文字颜色 1 17 5 6 3" xfId="2180"/>
    <cellStyle name="20% - 强调文字颜色 1 17 5 7" xfId="2189"/>
    <cellStyle name="20% - 强调文字颜色 1 17 5 8" xfId="2200"/>
    <cellStyle name="20% - 强调文字颜色 1 17 5 9" xfId="2212"/>
    <cellStyle name="20% - 强调文字颜色 1 17 6" xfId="2224"/>
    <cellStyle name="20% - 强调文字颜色 1 17 6 2" xfId="2234"/>
    <cellStyle name="20% - 强调文字颜色 1 17 6 2 2" xfId="723"/>
    <cellStyle name="20% - 强调文字颜色 1 17 6 2 3" xfId="759"/>
    <cellStyle name="20% - 强调文字颜色 1 17 6 3" xfId="2259"/>
    <cellStyle name="20% - 强调文字颜色 1 17 6 4" xfId="2275"/>
    <cellStyle name="20% - 强调文字颜色 1 17 6 5" xfId="2288"/>
    <cellStyle name="20% - 强调文字颜色 1 17 6 6" xfId="837"/>
    <cellStyle name="20% - 强调文字颜色 1 17 6 7" xfId="864"/>
    <cellStyle name="20% - 强调文字颜色 1 17 6 8" xfId="848"/>
    <cellStyle name="20% - 强调文字颜色 1 17 7" xfId="2303"/>
    <cellStyle name="20% - 强调文字颜色 1 17 8" xfId="2310"/>
    <cellStyle name="20% - 强调文字颜色 1 17 9" xfId="2319"/>
    <cellStyle name="20% - 强调文字颜色 1 17 9 2" xfId="2332"/>
    <cellStyle name="20% - 强调文字颜色 1 17 9 3" xfId="2336"/>
    <cellStyle name="20% - 强调文字颜色 1 18" xfId="2344"/>
    <cellStyle name="20% - 强调文字颜色 1 18 10" xfId="2345"/>
    <cellStyle name="20% - 强调文字颜色 1 18 11" xfId="436"/>
    <cellStyle name="20% - 强调文字颜色 1 18 12" xfId="2346"/>
    <cellStyle name="20% - 强调文字颜色 1 18 13" xfId="2348"/>
    <cellStyle name="20% - 强调文字颜色 1 18 14" xfId="2357"/>
    <cellStyle name="20% - 强调文字颜色 1 18 2" xfId="2360"/>
    <cellStyle name="20% - 强调文字颜色 1 18 3" xfId="2363"/>
    <cellStyle name="20% - 强调文字颜色 1 18 4" xfId="2368"/>
    <cellStyle name="20% - 强调文字颜色 1 18 5" xfId="2390"/>
    <cellStyle name="20% - 强调文字颜色 1 18 5 10" xfId="2397"/>
    <cellStyle name="20% - 强调文字颜色 1 18 5 11" xfId="2411"/>
    <cellStyle name="20% - 强调文字颜色 1 18 5 2" xfId="2429"/>
    <cellStyle name="20% - 强调文字颜色 1 18 5 2 2" xfId="2437"/>
    <cellStyle name="20% - 强调文字颜色 1 18 5 2 2 2" xfId="2442"/>
    <cellStyle name="20% - 强调文字颜色 1 18 5 2 2 3" xfId="2445"/>
    <cellStyle name="20% - 强调文字颜色 1 18 5 2 3" xfId="2460"/>
    <cellStyle name="20% - 强调文字颜色 1 18 5 2 4" xfId="2476"/>
    <cellStyle name="20% - 强调文字颜色 1 18 5 2 5" xfId="2492"/>
    <cellStyle name="20% - 强调文字颜色 1 18 5 2 6" xfId="2503"/>
    <cellStyle name="20% - 强调文字颜色 1 18 5 2 7" xfId="2511"/>
    <cellStyle name="20% - 强调文字颜色 1 18 5 2 8" xfId="2521"/>
    <cellStyle name="20% - 强调文字颜色 1 18 5 3" xfId="2538"/>
    <cellStyle name="20% - 强调文字颜色 1 18 5 4" xfId="2549"/>
    <cellStyle name="20% - 强调文字颜色 1 18 5 5" xfId="2406"/>
    <cellStyle name="20% - 强调文字颜色 1 18 5 6" xfId="2420"/>
    <cellStyle name="20% - 强调文字颜色 1 18 5 6 2" xfId="2569"/>
    <cellStyle name="20% - 强调文字颜色 1 18 5 6 3" xfId="2580"/>
    <cellStyle name="20% - 强调文字颜色 1 18 5 7" xfId="2588"/>
    <cellStyle name="20% - 强调文字颜色 1 18 5 8" xfId="2593"/>
    <cellStyle name="20% - 强调文字颜色 1 18 5 9" xfId="2606"/>
    <cellStyle name="20% - 强调文字颜色 1 18 6" xfId="2623"/>
    <cellStyle name="20% - 强调文字颜色 1 18 6 2" xfId="2639"/>
    <cellStyle name="20% - 强调文字颜色 1 18 6 2 2" xfId="2645"/>
    <cellStyle name="20% - 强调文字颜色 1 18 6 2 3" xfId="2665"/>
    <cellStyle name="20% - 强调文字颜色 1 18 6 3" xfId="2684"/>
    <cellStyle name="20% - 强调文字颜色 1 18 6 4" xfId="2687"/>
    <cellStyle name="20% - 强调文字颜色 1 18 6 5" xfId="2701"/>
    <cellStyle name="20% - 强调文字颜色 1 18 6 6" xfId="1135"/>
    <cellStyle name="20% - 强调文字颜色 1 18 6 7" xfId="1151"/>
    <cellStyle name="20% - 强调文字颜色 1 18 6 8" xfId="2712"/>
    <cellStyle name="20% - 强调文字颜色 1 18 7" xfId="2726"/>
    <cellStyle name="20% - 强调文字颜色 1 18 8" xfId="2744"/>
    <cellStyle name="20% - 强调文字颜色 1 18 9" xfId="2752"/>
    <cellStyle name="20% - 强调文字颜色 1 18 9 2" xfId="2781"/>
    <cellStyle name="20% - 强调文字颜色 1 18 9 3" xfId="2786"/>
    <cellStyle name="20% - 强调文字颜色 1 19" xfId="2794"/>
    <cellStyle name="20% - 强调文字颜色 1 2" xfId="777"/>
    <cellStyle name="20% - 强调文字颜色 1 2 10" xfId="2800"/>
    <cellStyle name="20% - 强调文字颜色 1 2 11" xfId="2807"/>
    <cellStyle name="20% - 强调文字颜色 1 2 12" xfId="2814"/>
    <cellStyle name="20% - 强调文字颜色 1 2 13" xfId="2820"/>
    <cellStyle name="20% - 强调文字颜色 1 2 14" xfId="2826"/>
    <cellStyle name="20% - 强调文字颜色 1 2 15" xfId="2830"/>
    <cellStyle name="20% - 强调文字颜色 1 2 16" xfId="675"/>
    <cellStyle name="20% - 强调文字颜色 1 2 17" xfId="706"/>
    <cellStyle name="20% - 强调文字颜色 1 2 17 10" xfId="2848"/>
    <cellStyle name="20% - 强调文字颜色 1 2 17 11" xfId="2871"/>
    <cellStyle name="20% - 强调文字颜色 1 2 17 12" xfId="2889"/>
    <cellStyle name="20% - 强调文字颜色 1 2 17 13" xfId="2901"/>
    <cellStyle name="20% - 强调文字颜色 1 2 17 14" xfId="2911"/>
    <cellStyle name="20% - 强调文字颜色 1 2 17 2" xfId="2693"/>
    <cellStyle name="20% - 强调文字颜色 1 2 17 3" xfId="1123"/>
    <cellStyle name="20% - 强调文字颜色 1 2 17 4" xfId="1145"/>
    <cellStyle name="20% - 强调文字颜色 1 2 17 5" xfId="2710"/>
    <cellStyle name="20% - 强调文字颜色 1 2 17 5 10" xfId="2849"/>
    <cellStyle name="20% - 强调文字颜色 1 2 17 5 11" xfId="2876"/>
    <cellStyle name="20% - 强调文字颜色 1 2 17 5 2" xfId="2912"/>
    <cellStyle name="20% - 强调文字颜色 1 2 17 5 2 2" xfId="2919"/>
    <cellStyle name="20% - 强调文字颜色 1 2 17 5 2 2 2" xfId="2938"/>
    <cellStyle name="20% - 强调文字颜色 1 2 17 5 2 2 3" xfId="2018"/>
    <cellStyle name="20% - 强调文字颜色 1 2 17 5 2 3" xfId="2945"/>
    <cellStyle name="20% - 强调文字颜色 1 2 17 5 2 4" xfId="2962"/>
    <cellStyle name="20% - 强调文字颜色 1 2 17 5 2 5" xfId="2983"/>
    <cellStyle name="20% - 强调文字颜色 1 2 17 5 2 6" xfId="3009"/>
    <cellStyle name="20% - 强调文字颜色 1 2 17 5 2 7" xfId="3018"/>
    <cellStyle name="20% - 强调文字颜色 1 2 17 5 2 8" xfId="3026"/>
    <cellStyle name="20% - 强调文字颜色 1 2 17 5 3" xfId="3029"/>
    <cellStyle name="20% - 强调文字颜色 1 2 17 5 4" xfId="3041"/>
    <cellStyle name="20% - 强调文字颜色 1 2 17 5 5" xfId="3055"/>
    <cellStyle name="20% - 强调文字颜色 1 2 17 5 6" xfId="3056"/>
    <cellStyle name="20% - 强调文字颜色 1 2 17 5 6 2" xfId="3072"/>
    <cellStyle name="20% - 强调文字颜色 1 2 17 5 6 3" xfId="3083"/>
    <cellStyle name="20% - 强调文字颜色 1 2 17 5 7" xfId="3086"/>
    <cellStyle name="20% - 强调文字颜色 1 2 17 5 8" xfId="3090"/>
    <cellStyle name="20% - 强调文字颜色 1 2 17 5 9" xfId="3093"/>
    <cellStyle name="20% - 强调文字颜色 1 2 17 6" xfId="3106"/>
    <cellStyle name="20% - 强调文字颜色 1 2 17 6 2" xfId="1350"/>
    <cellStyle name="20% - 强调文字颜色 1 2 17 6 2 2" xfId="2085"/>
    <cellStyle name="20% - 强调文字颜色 1 2 17 6 2 3" xfId="3122"/>
    <cellStyle name="20% - 强调文字颜色 1 2 17 6 3" xfId="280"/>
    <cellStyle name="20% - 强调文字颜色 1 2 17 6 4" xfId="1357"/>
    <cellStyle name="20% - 强调文字颜色 1 2 17 6 5" xfId="3125"/>
    <cellStyle name="20% - 强调文字颜色 1 2 17 6 6" xfId="3129"/>
    <cellStyle name="20% - 强调文字颜色 1 2 17 6 7" xfId="3067"/>
    <cellStyle name="20% - 强调文字颜色 1 2 17 6 8" xfId="3081"/>
    <cellStyle name="20% - 强调文字颜色 1 2 17 7" xfId="3141"/>
    <cellStyle name="20% - 强调文字颜色 1 2 17 8" xfId="3153"/>
    <cellStyle name="20% - 强调文字颜色 1 2 17 9" xfId="3164"/>
    <cellStyle name="20% - 强调文字颜色 1 2 17 9 2" xfId="1288"/>
    <cellStyle name="20% - 强调文字颜色 1 2 17 9 3" xfId="1298"/>
    <cellStyle name="20% - 强调文字颜色 1 2 18" xfId="736"/>
    <cellStyle name="20% - 强调文字颜色 1 2 18 10" xfId="766"/>
    <cellStyle name="20% - 强调文字颜色 1 2 18 11" xfId="495"/>
    <cellStyle name="20% - 强调文字颜色 1 2 18 12" xfId="770"/>
    <cellStyle name="20% - 强调文字颜色 1 2 18 13" xfId="786"/>
    <cellStyle name="20% - 强调文字颜色 1 2 18 14" xfId="790"/>
    <cellStyle name="20% - 强调文字颜色 1 2 18 2" xfId="452"/>
    <cellStyle name="20% - 强调文字颜色 1 2 18 3" xfId="543"/>
    <cellStyle name="20% - 强调文字颜色 1 2 18 4" xfId="580"/>
    <cellStyle name="20% - 强调文字颜色 1 2 18 5" xfId="591"/>
    <cellStyle name="20% - 强调文字颜色 1 2 18 5 10" xfId="803"/>
    <cellStyle name="20% - 强调文字颜色 1 2 18 5 11" xfId="372"/>
    <cellStyle name="20% - 强调文字颜色 1 2 18 5 2" xfId="818"/>
    <cellStyle name="20% - 强调文字颜色 1 2 18 5 2 2" xfId="823"/>
    <cellStyle name="20% - 强调文字颜色 1 2 18 5 2 2 2" xfId="841"/>
    <cellStyle name="20% - 强调文字颜色 1 2 18 5 2 2 3" xfId="853"/>
    <cellStyle name="20% - 强调文字颜色 1 2 18 5 2 3" xfId="856"/>
    <cellStyle name="20% - 强调文字颜色 1 2 18 5 2 4" xfId="840"/>
    <cellStyle name="20% - 强调文字颜色 1 2 18 5 2 5" xfId="852"/>
    <cellStyle name="20% - 强调文字颜色 1 2 18 5 2 6" xfId="871"/>
    <cellStyle name="20% - 强调文字颜色 1 2 18 5 2 7" xfId="884"/>
    <cellStyle name="20% - 强调文字颜色 1 2 18 5 2 8" xfId="897"/>
    <cellStyle name="20% - 强调文字颜色 1 2 18 5 3" xfId="913"/>
    <cellStyle name="20% - 强调文字颜色 1 2 18 5 4" xfId="948"/>
    <cellStyle name="20% - 强调文字颜色 1 2 18 5 5" xfId="984"/>
    <cellStyle name="20% - 强调文字颜色 1 2 18 5 6" xfId="1005"/>
    <cellStyle name="20% - 强调文字颜色 1 2 18 5 6 2" xfId="1019"/>
    <cellStyle name="20% - 强调文字颜色 1 2 18 5 6 3" xfId="1029"/>
    <cellStyle name="20% - 强调文字颜色 1 2 18 5 7" xfId="1039"/>
    <cellStyle name="20% - 强调文字颜色 1 2 18 5 8" xfId="1059"/>
    <cellStyle name="20% - 强调文字颜色 1 2 18 5 9" xfId="1081"/>
    <cellStyle name="20% - 强调文字颜色 1 2 18 6" xfId="514"/>
    <cellStyle name="20% - 强调文字颜色 1 2 18 6 2" xfId="1095"/>
    <cellStyle name="20% - 强调文字颜色 1 2 18 6 2 2" xfId="1116"/>
    <cellStyle name="20% - 强调文字颜色 1 2 18 6 2 3" xfId="1138"/>
    <cellStyle name="20% - 强调文字颜色 1 2 18 6 3" xfId="1152"/>
    <cellStyle name="20% - 强调文字颜色 1 2 18 6 4" xfId="1163"/>
    <cellStyle name="20% - 强调文字颜色 1 2 18 6 5" xfId="1180"/>
    <cellStyle name="20% - 强调文字颜色 1 2 18 6 6" xfId="1195"/>
    <cellStyle name="20% - 强调文字颜色 1 2 18 6 7" xfId="1212"/>
    <cellStyle name="20% - 强调文字颜色 1 2 18 6 8" xfId="534"/>
    <cellStyle name="20% - 强调文字颜色 1 2 18 7" xfId="557"/>
    <cellStyle name="20% - 强调文字颜色 1 2 18 8" xfId="1228"/>
    <cellStyle name="20% - 强调文字颜色 1 2 18 9" xfId="1240"/>
    <cellStyle name="20% - 强调文字颜色 1 2 18 9 2" xfId="1241"/>
    <cellStyle name="20% - 强调文字颜色 1 2 18 9 3" xfId="1254"/>
    <cellStyle name="20% - 强调文字颜色 1 2 19" xfId="1262"/>
    <cellStyle name="20% - 强调文字颜色 1 2 19 10" xfId="3166"/>
    <cellStyle name="20% - 强调文字颜色 1 2 19 11" xfId="3170"/>
    <cellStyle name="20% - 强调文字颜色 1 2 19 12" xfId="3172"/>
    <cellStyle name="20% - 强调文字颜色 1 2 19 13" xfId="3176"/>
    <cellStyle name="20% - 强调文字颜色 1 2 19 14" xfId="500"/>
    <cellStyle name="20% - 强调文字颜色 1 2 19 2" xfId="3184"/>
    <cellStyle name="20% - 强调文字颜色 1 2 19 3" xfId="3188"/>
    <cellStyle name="20% - 强调文字颜色 1 2 19 4" xfId="3192"/>
    <cellStyle name="20% - 强调文字颜色 1 2 19 5" xfId="3198"/>
    <cellStyle name="20% - 强调文字颜色 1 2 19 5 10" xfId="3207"/>
    <cellStyle name="20% - 强调文字颜色 1 2 19 5 11" xfId="3211"/>
    <cellStyle name="20% - 强调文字颜色 1 2 19 5 2" xfId="3227"/>
    <cellStyle name="20% - 强调文字颜色 1 2 19 5 2 2" xfId="2001"/>
    <cellStyle name="20% - 强调文字颜色 1 2 19 5 2 2 2" xfId="2056"/>
    <cellStyle name="20% - 强调文字颜色 1 2 19 5 2 2 3" xfId="2126"/>
    <cellStyle name="20% - 强调文字颜色 1 2 19 5 2 3" xfId="2216"/>
    <cellStyle name="20% - 强调文字颜色 1 2 19 5 2 4" xfId="2296"/>
    <cellStyle name="20% - 强调文字颜色 1 2 19 5 2 5" xfId="2305"/>
    <cellStyle name="20% - 强调文字颜色 1 2 19 5 2 6" xfId="2313"/>
    <cellStyle name="20% - 强调文字颜色 1 2 19 5 2 7" xfId="3230"/>
    <cellStyle name="20% - 强调文字颜色 1 2 19 5 2 8" xfId="423"/>
    <cellStyle name="20% - 强调文字颜色 1 2 19 5 3" xfId="3246"/>
    <cellStyle name="20% - 强调文字颜色 1 2 19 5 4" xfId="2940"/>
    <cellStyle name="20% - 强调文字颜色 1 2 19 5 5" xfId="2020"/>
    <cellStyle name="20% - 强调文字颜色 1 2 19 5 6" xfId="2032"/>
    <cellStyle name="20% - 强调文字颜色 1 2 19 5 6 2" xfId="3248"/>
    <cellStyle name="20% - 强调文字颜色 1 2 19 5 6 3" xfId="3250"/>
    <cellStyle name="20% - 强调文字颜色 1 2 19 5 7" xfId="1486"/>
    <cellStyle name="20% - 强调文字颜色 1 2 19 5 8" xfId="229"/>
    <cellStyle name="20% - 强调文字颜色 1 2 19 5 9" xfId="1524"/>
    <cellStyle name="20% - 强调文字颜色 1 2 19 6" xfId="3256"/>
    <cellStyle name="20% - 强调文字颜色 1 2 19 6 2" xfId="2467"/>
    <cellStyle name="20% - 强调文字颜色 1 2 19 6 2 2" xfId="3261"/>
    <cellStyle name="20% - 强调文字颜色 1 2 19 6 2 3" xfId="3262"/>
    <cellStyle name="20% - 强调文字颜色 1 2 19 6 3" xfId="2484"/>
    <cellStyle name="20% - 强调文字颜色 1 2 19 6 4" xfId="2498"/>
    <cellStyle name="20% - 强调文字颜色 1 2 19 6 5" xfId="2506"/>
    <cellStyle name="20% - 强调文字颜色 1 2 19 6 6" xfId="2515"/>
    <cellStyle name="20% - 强调文字颜色 1 2 19 6 7" xfId="3264"/>
    <cellStyle name="20% - 强调文字颜色 1 2 19 6 8" xfId="3268"/>
    <cellStyle name="20% - 强调文字颜色 1 2 19 7" xfId="2652"/>
    <cellStyle name="20% - 强调文字颜色 1 2 19 8" xfId="2671"/>
    <cellStyle name="20% - 强调文字颜色 1 2 19 9" xfId="3291"/>
    <cellStyle name="20% - 强调文字颜色 1 2 19 9 2" xfId="3304"/>
    <cellStyle name="20% - 强调文字颜色 1 2 19 9 3" xfId="3309"/>
    <cellStyle name="20% - 强调文字颜色 1 2 2" xfId="320"/>
    <cellStyle name="20% - 强调文字颜色 1 2 2 10" xfId="3320"/>
    <cellStyle name="20% - 强调文字颜色 1 2 2 11" xfId="3330"/>
    <cellStyle name="20% - 强调文字颜色 1 2 2 12" xfId="3343"/>
    <cellStyle name="20% - 强调文字颜色 1 2 2 13" xfId="3356"/>
    <cellStyle name="20% - 强调文字颜色 1 2 2 14" xfId="3371"/>
    <cellStyle name="20% - 强调文字颜色 1 2 2 2" xfId="3145"/>
    <cellStyle name="20% - 强调文字颜色 1 2 2 3" xfId="3157"/>
    <cellStyle name="20% - 强调文字颜色 1 2 2 4" xfId="3373"/>
    <cellStyle name="20% - 强调文字颜色 1 2 2 5" xfId="3377"/>
    <cellStyle name="20% - 强调文字颜色 1 2 2 6" xfId="3384"/>
    <cellStyle name="20% - 强调文字颜色 1 2 2 7" xfId="3393"/>
    <cellStyle name="20% - 强调文字颜色 1 2 2 8" xfId="3397"/>
    <cellStyle name="20% - 强调文字颜色 1 2 2 9" xfId="506"/>
    <cellStyle name="20% - 强调文字颜色 1 2 20" xfId="2831"/>
    <cellStyle name="20% - 强调文字颜色 1 2 20 10" xfId="2201"/>
    <cellStyle name="20% - 强调文字颜色 1 2 20 11" xfId="2213"/>
    <cellStyle name="20% - 强调文字颜色 1 2 20 12" xfId="211"/>
    <cellStyle name="20% - 强调文字颜色 1 2 20 13" xfId="3411"/>
    <cellStyle name="20% - 强调文字颜色 1 2 20 14" xfId="1454"/>
    <cellStyle name="20% - 强调文字颜色 1 2 20 2" xfId="3266"/>
    <cellStyle name="20% - 强调文字颜色 1 2 20 3" xfId="3412"/>
    <cellStyle name="20% - 强调文字颜色 1 2 20 4" xfId="3416"/>
    <cellStyle name="20% - 强调文字颜色 1 2 20 5" xfId="3417"/>
    <cellStyle name="20% - 强调文字颜色 1 2 20 5 10" xfId="3385"/>
    <cellStyle name="20% - 强调文字颜色 1 2 20 5 11" xfId="3394"/>
    <cellStyle name="20% - 强调文字颜色 1 2 20 5 2" xfId="2608"/>
    <cellStyle name="20% - 强调文字颜色 1 2 20 5 2 2" xfId="2877"/>
    <cellStyle name="20% - 强调文字颜色 1 2 20 5 2 2 2" xfId="3434"/>
    <cellStyle name="20% - 强调文字颜色 1 2 20 5 2 2 3" xfId="3452"/>
    <cellStyle name="20% - 强调文字颜色 1 2 20 5 2 3" xfId="2894"/>
    <cellStyle name="20% - 强调文字颜色 1 2 20 5 2 4" xfId="2906"/>
    <cellStyle name="20% - 强调文字颜色 1 2 20 5 2 5" xfId="3466"/>
    <cellStyle name="20% - 强调文字颜色 1 2 20 5 2 6" xfId="3475"/>
    <cellStyle name="20% - 强调文字颜色 1 2 20 5 2 7" xfId="3481"/>
    <cellStyle name="20% - 强调文字颜色 1 2 20 5 2 8" xfId="3485"/>
    <cellStyle name="20% - 强调文字颜色 1 2 20 5 3" xfId="3491"/>
    <cellStyle name="20% - 强调文字颜色 1 2 20 5 4" xfId="3503"/>
    <cellStyle name="20% - 强调文字颜色 1 2 20 5 5" xfId="3514"/>
    <cellStyle name="20% - 强调文字颜色 1 2 20 5 6" xfId="3426"/>
    <cellStyle name="20% - 强调文字颜色 1 2 20 5 6 2" xfId="2451"/>
    <cellStyle name="20% - 强调文字颜色 1 2 20 5 6 3" xfId="3523"/>
    <cellStyle name="20% - 强调文字颜色 1 2 20 5 7" xfId="3448"/>
    <cellStyle name="20% - 强调文字颜色 1 2 20 5 8" xfId="3531"/>
    <cellStyle name="20% - 强调文字颜色 1 2 20 5 9" xfId="3537"/>
    <cellStyle name="20% - 强调文字颜色 1 2 20 6" xfId="3541"/>
    <cellStyle name="20% - 强调文字颜色 1 2 20 6 2" xfId="3098"/>
    <cellStyle name="20% - 强调文字颜色 1 2 20 6 2 2" xfId="1337"/>
    <cellStyle name="20% - 强调文字颜色 1 2 20 6 2 3" xfId="252"/>
    <cellStyle name="20% - 强调文字颜色 1 2 20 6 3" xfId="3130"/>
    <cellStyle name="20% - 强调文字颜色 1 2 20 6 4" xfId="3147"/>
    <cellStyle name="20% - 强调文字颜色 1 2 20 6 5" xfId="3159"/>
    <cellStyle name="20% - 强调文字颜色 1 2 20 6 6" xfId="3375"/>
    <cellStyle name="20% - 强调文字颜色 1 2 20 6 7" xfId="3382"/>
    <cellStyle name="20% - 强调文字颜色 1 2 20 6 8" xfId="3390"/>
    <cellStyle name="20% - 强调文字颜色 1 2 20 7" xfId="3545"/>
    <cellStyle name="20% - 强调文字颜色 1 2 20 8" xfId="3549"/>
    <cellStyle name="20% - 强调文字颜色 1 2 20 9" xfId="3550"/>
    <cellStyle name="20% - 强调文字颜色 1 2 20 9 2" xfId="3556"/>
    <cellStyle name="20% - 强调文字颜色 1 2 20 9 3" xfId="3561"/>
    <cellStyle name="20% - 强调文字颜色 1 2 3" xfId="1718"/>
    <cellStyle name="20% - 强调文字颜色 1 2 3 10" xfId="3572"/>
    <cellStyle name="20% - 强调文字颜色 1 2 3 11" xfId="3573"/>
    <cellStyle name="20% - 强调文字颜色 1 2 3 12" xfId="3579"/>
    <cellStyle name="20% - 强调文字颜色 1 2 3 13" xfId="3584"/>
    <cellStyle name="20% - 强调文字颜色 1 2 3 14" xfId="3599"/>
    <cellStyle name="20% - 强调文字颜色 1 2 3 2" xfId="1218"/>
    <cellStyle name="20% - 强调文字颜色 1 2 3 3" xfId="1229"/>
    <cellStyle name="20% - 强调文字颜色 1 2 3 4" xfId="3609"/>
    <cellStyle name="20% - 强调文字颜色 1 2 3 5" xfId="3614"/>
    <cellStyle name="20% - 强调文字颜色 1 2 3 6" xfId="3622"/>
    <cellStyle name="20% - 强调文字颜色 1 2 3 7" xfId="314"/>
    <cellStyle name="20% - 强调文字颜色 1 2 3 8" xfId="1700"/>
    <cellStyle name="20% - 强调文字颜色 1 2 3 9" xfId="1725"/>
    <cellStyle name="20% - 强调文字颜色 1 2 4" xfId="1722"/>
    <cellStyle name="20% - 强调文字颜色 1 2 4 10" xfId="3628"/>
    <cellStyle name="20% - 强调文字颜色 1 2 4 11" xfId="2238"/>
    <cellStyle name="20% - 强调文字颜色 1 2 4 12" xfId="2262"/>
    <cellStyle name="20% - 强调文字颜色 1 2 4 13" xfId="2278"/>
    <cellStyle name="20% - 强调文字颜色 1 2 4 14" xfId="2290"/>
    <cellStyle name="20% - 强调文字颜色 1 2 4 2" xfId="2679"/>
    <cellStyle name="20% - 强调文字颜色 1 2 4 3" xfId="3273"/>
    <cellStyle name="20% - 强调文字颜色 1 2 4 4" xfId="3634"/>
    <cellStyle name="20% - 强调文字颜色 1 2 4 5" xfId="3637"/>
    <cellStyle name="20% - 强调文字颜色 1 2 4 6" xfId="3641"/>
    <cellStyle name="20% - 强调文字颜色 1 2 4 7" xfId="3644"/>
    <cellStyle name="20% - 强调文字颜色 1 2 4 8" xfId="3650"/>
    <cellStyle name="20% - 强调文字颜色 1 2 4 9" xfId="3652"/>
    <cellStyle name="20% - 强调文字颜色 1 2 5" xfId="3658"/>
    <cellStyle name="20% - 强调文字颜色 1 2 6" xfId="3668"/>
    <cellStyle name="20% - 强调文字颜色 1 2 7" xfId="3677"/>
    <cellStyle name="20% - 强调文字颜色 1 2 8" xfId="2555"/>
    <cellStyle name="20% - 强调文字颜色 1 2 9" xfId="2573"/>
    <cellStyle name="20% - 强调文字颜色 1 3" xfId="785"/>
    <cellStyle name="20% - 强调文字颜色 1 3 10" xfId="3690"/>
    <cellStyle name="20% - 强调文字颜色 1 3 11" xfId="3694"/>
    <cellStyle name="20% - 强调文字颜色 1 3 12" xfId="3698"/>
    <cellStyle name="20% - 强调文字颜色 1 3 13" xfId="3702"/>
    <cellStyle name="20% - 强调文字颜色 1 3 14" xfId="3707"/>
    <cellStyle name="20% - 强调文字颜色 1 3 15" xfId="3719"/>
    <cellStyle name="20% - 强调文字颜色 1 3 16" xfId="3723"/>
    <cellStyle name="20% - 强调文字颜色 1 3 17" xfId="3738"/>
    <cellStyle name="20% - 强调文字颜色 1 3 17 10" xfId="3405"/>
    <cellStyle name="20% - 强调文字颜色 1 3 17 11" xfId="1443"/>
    <cellStyle name="20% - 强调文字颜色 1 3 17 12" xfId="1474"/>
    <cellStyle name="20% - 强调文字颜色 1 3 17 13" xfId="3740"/>
    <cellStyle name="20% - 强调文字颜色 1 3 17 14" xfId="3741"/>
    <cellStyle name="20% - 强调文字颜色 1 3 17 2" xfId="3202"/>
    <cellStyle name="20% - 强调文字颜色 1 3 17 2 2" xfId="3215"/>
    <cellStyle name="20% - 强调文字颜色 1 3 17 3" xfId="3260"/>
    <cellStyle name="20% - 强调文字颜色 1 3 17 4" xfId="2657"/>
    <cellStyle name="20% - 强调文字颜色 1 3 17 5" xfId="2674"/>
    <cellStyle name="20% - 强调文字颜色 1 3 17 5 10" xfId="3756"/>
    <cellStyle name="20% - 强调文字颜色 1 3 17 5 11" xfId="3764"/>
    <cellStyle name="20% - 强调文字颜色 1 3 17 5 2" xfId="470"/>
    <cellStyle name="20% - 强调文字颜色 1 3 17 5 2 2" xfId="3495"/>
    <cellStyle name="20% - 强调文字颜色 1 3 17 5 2 2 2" xfId="3770"/>
    <cellStyle name="20% - 强调文字颜色 1 3 17 5 2 2 3" xfId="3779"/>
    <cellStyle name="20% - 强调文字颜色 1 3 17 5 2 3" xfId="3506"/>
    <cellStyle name="20% - 强调文字颜色 1 3 17 5 2 4" xfId="3517"/>
    <cellStyle name="20% - 强调文字颜色 1 3 17 5 2 5" xfId="3428"/>
    <cellStyle name="20% - 强调文字颜色 1 3 17 5 2 6" xfId="3450"/>
    <cellStyle name="20% - 强调文字颜色 1 3 17 5 2 7" xfId="3534"/>
    <cellStyle name="20% - 强调文字颜色 1 3 17 5 2 8" xfId="3540"/>
    <cellStyle name="20% - 强调文字颜色 1 3 17 5 3" xfId="195"/>
    <cellStyle name="20% - 强调文字颜色 1 3 17 5 4" xfId="3782"/>
    <cellStyle name="20% - 强调文字颜色 1 3 17 5 5" xfId="3792"/>
    <cellStyle name="20% - 强调文字颜色 1 3 17 5 6" xfId="3806"/>
    <cellStyle name="20% - 强调文字颜色 1 3 17 5 6 2" xfId="3564"/>
    <cellStyle name="20% - 强调文字颜色 1 3 17 5 6 3" xfId="3813"/>
    <cellStyle name="20% - 强调文字颜色 1 3 17 5 7" xfId="3832"/>
    <cellStyle name="20% - 强调文字颜色 1 3 17 5 8" xfId="2697"/>
    <cellStyle name="20% - 强调文字颜色 1 3 17 5 9" xfId="1128"/>
    <cellStyle name="20% - 强调文字颜色 1 3 17 6" xfId="3295"/>
    <cellStyle name="20% - 强调文字颜色 1 3 17 6 2" xfId="3297"/>
    <cellStyle name="20% - 强调文字颜色 1 3 17 6 2 2" xfId="3839"/>
    <cellStyle name="20% - 强调文字颜色 1 3 17 6 2 3" xfId="3847"/>
    <cellStyle name="20% - 强调文字颜色 1 3 17 6 3" xfId="3305"/>
    <cellStyle name="20% - 强调文字颜色 1 3 17 6 4" xfId="3860"/>
    <cellStyle name="20% - 强调文字颜色 1 3 17 6 5" xfId="3863"/>
    <cellStyle name="20% - 强调文字颜色 1 3 17 6 6" xfId="3866"/>
    <cellStyle name="20% - 强调文字颜色 1 3 17 6 7" xfId="1631"/>
    <cellStyle name="20% - 强调文字颜色 1 3 17 6 8" xfId="450"/>
    <cellStyle name="20% - 强调文字颜色 1 3 17 7" xfId="3875"/>
    <cellStyle name="20% - 强调文字颜色 1 3 17 8" xfId="3882"/>
    <cellStyle name="20% - 强调文字颜色 1 3 17 9" xfId="3890"/>
    <cellStyle name="20% - 强调文字颜色 1 3 17 9 2" xfId="3859"/>
    <cellStyle name="20% - 强调文字颜色 1 3 17 9 3" xfId="3899"/>
    <cellStyle name="20% - 强调文字颜色 1 3 18" xfId="3901"/>
    <cellStyle name="20% - 强调文字颜色 1 3 18 10" xfId="3902"/>
    <cellStyle name="20% - 强调文字颜色 1 3 18 11" xfId="474"/>
    <cellStyle name="20% - 强调文字颜色 1 3 18 12" xfId="3904"/>
    <cellStyle name="20% - 强调文字颜色 1 3 18 13" xfId="3911"/>
    <cellStyle name="20% - 强调文字颜色 1 3 18 14" xfId="2637"/>
    <cellStyle name="20% - 强调文字颜色 1 3 18 2" xfId="3913"/>
    <cellStyle name="20% - 强调文字颜色 1 3 18 3" xfId="3919"/>
    <cellStyle name="20% - 强调文字颜色 1 3 18 4" xfId="3926"/>
    <cellStyle name="20% - 强调文字颜色 1 3 18 5" xfId="3931"/>
    <cellStyle name="20% - 强调文字颜色 1 3 18 5 10" xfId="2989"/>
    <cellStyle name="20% - 强调文字颜色 1 3 18 5 11" xfId="2998"/>
    <cellStyle name="20% - 强调文字颜色 1 3 18 5 2" xfId="3942"/>
    <cellStyle name="20% - 强调文字颜色 1 3 18 5 2 2" xfId="3946"/>
    <cellStyle name="20% - 强调文字颜色 1 3 18 5 2 2 2" xfId="3966"/>
    <cellStyle name="20% - 强调文字颜色 1 3 18 5 2 2 3" xfId="3991"/>
    <cellStyle name="20% - 强调文字颜色 1 3 18 5 2 3" xfId="3999"/>
    <cellStyle name="20% - 强调文字颜色 1 3 18 5 2 4" xfId="4009"/>
    <cellStyle name="20% - 强调文字颜色 1 3 18 5 2 5" xfId="2077"/>
    <cellStyle name="20% - 强调文字颜色 1 3 18 5 2 6" xfId="3118"/>
    <cellStyle name="20% - 强调文字颜色 1 3 18 5 2 7" xfId="4010"/>
    <cellStyle name="20% - 强调文字颜色 1 3 18 5 2 8" xfId="4015"/>
    <cellStyle name="20% - 强调文字颜色 1 3 18 5 3" xfId="4025"/>
    <cellStyle name="20% - 强调文字颜色 1 3 18 5 4" xfId="4036"/>
    <cellStyle name="20% - 强调文字颜色 1 3 18 5 5" xfId="4044"/>
    <cellStyle name="20% - 强调文字颜色 1 3 18 5 6" xfId="4050"/>
    <cellStyle name="20% - 强调文字颜色 1 3 18 5 6 2" xfId="1170"/>
    <cellStyle name="20% - 强调文字颜色 1 3 18 5 6 3" xfId="1182"/>
    <cellStyle name="20% - 强调文字颜色 1 3 18 5 7" xfId="4057"/>
    <cellStyle name="20% - 强调文字颜色 1 3 18 5 8" xfId="4060"/>
    <cellStyle name="20% - 强调文字颜色 1 3 18 5 9" xfId="4068"/>
    <cellStyle name="20% - 强调文字颜色 1 3 18 6" xfId="4077"/>
    <cellStyle name="20% - 强调文字颜色 1 3 18 6 2" xfId="1809"/>
    <cellStyle name="20% - 强调文字颜色 1 3 18 6 2 2" xfId="1835"/>
    <cellStyle name="20% - 强调文字颜色 1 3 18 6 2 3" xfId="1867"/>
    <cellStyle name="20% - 强调文字颜色 1 3 18 6 3" xfId="4079"/>
    <cellStyle name="20% - 强调文字颜色 1 3 18 6 4" xfId="4088"/>
    <cellStyle name="20% - 强调文字颜色 1 3 18 6 5" xfId="4094"/>
    <cellStyle name="20% - 强调文字颜色 1 3 18 6 6" xfId="4096"/>
    <cellStyle name="20% - 强调文字颜色 1 3 18 6 7" xfId="4098"/>
    <cellStyle name="20% - 强调文字颜色 1 3 18 6 8" xfId="4101"/>
    <cellStyle name="20% - 强调文字颜色 1 3 18 7" xfId="4106"/>
    <cellStyle name="20% - 强调文字颜色 1 3 18 8" xfId="4109"/>
    <cellStyle name="20% - 强调文字颜色 1 3 18 9" xfId="3751"/>
    <cellStyle name="20% - 强调文字颜色 1 3 18 9 2" xfId="3039"/>
    <cellStyle name="20% - 强调文字颜色 1 3 18 9 3" xfId="3053"/>
    <cellStyle name="20% - 强调文字颜色 1 3 19" xfId="4111"/>
    <cellStyle name="20% - 强调文字颜色 1 3 19 10" xfId="2893"/>
    <cellStyle name="20% - 强调文字颜色 1 3 19 11" xfId="2905"/>
    <cellStyle name="20% - 强调文字颜色 1 3 19 12" xfId="3462"/>
    <cellStyle name="20% - 强调文字颜色 1 3 19 13" xfId="3471"/>
    <cellStyle name="20% - 强调文字颜色 1 3 19 14" xfId="3480"/>
    <cellStyle name="20% - 强调文字颜色 1 3 19 2" xfId="4119"/>
    <cellStyle name="20% - 强调文字颜色 1 3 19 3" xfId="4127"/>
    <cellStyle name="20% - 强调文字颜色 1 3 19 4" xfId="4135"/>
    <cellStyle name="20% - 强调文字颜色 1 3 19 5" xfId="4148"/>
    <cellStyle name="20% - 强调文字颜色 1 3 19 5 10" xfId="617"/>
    <cellStyle name="20% - 强调文字颜色 1 3 19 5 11" xfId="649"/>
    <cellStyle name="20% - 强调文字颜色 1 3 19 5 2" xfId="4149"/>
    <cellStyle name="20% - 强调文字颜色 1 3 19 5 2 2" xfId="3805"/>
    <cellStyle name="20% - 强调文字颜色 1 3 19 5 2 2 2" xfId="3571"/>
    <cellStyle name="20% - 强调文字颜色 1 3 19 5 2 2 3" xfId="3827"/>
    <cellStyle name="20% - 强调文字颜色 1 3 19 5 2 3" xfId="3831"/>
    <cellStyle name="20% - 强调文字颜色 1 3 19 5 2 4" xfId="2694"/>
    <cellStyle name="20% - 强调文字颜色 1 3 19 5 2 5" xfId="1124"/>
    <cellStyle name="20% - 强调文字颜色 1 3 19 5 2 6" xfId="1146"/>
    <cellStyle name="20% - 强调文字颜色 1 3 19 5 2 7" xfId="2711"/>
    <cellStyle name="20% - 强调文字颜色 1 3 19 5 2 8" xfId="3107"/>
    <cellStyle name="20% - 强调文字颜色 1 3 19 5 3" xfId="4150"/>
    <cellStyle name="20% - 强调文字颜色 1 3 19 5 4" xfId="4156"/>
    <cellStyle name="20% - 强调文字颜色 1 3 19 5 5" xfId="4161"/>
    <cellStyle name="20% - 强调文字颜色 1 3 19 5 6" xfId="4165"/>
    <cellStyle name="20% - 强调文字颜色 1 3 19 5 6 2" xfId="4174"/>
    <cellStyle name="20% - 强调文字颜色 1 3 19 5 6 3" xfId="4184"/>
    <cellStyle name="20% - 强调文字颜色 1 3 19 5 7" xfId="4189"/>
    <cellStyle name="20% - 强调文字颜色 1 3 19 5 8" xfId="4196"/>
    <cellStyle name="20% - 强调文字颜色 1 3 19 5 9" xfId="4199"/>
    <cellStyle name="20% - 强调文字颜色 1 3 19 6" xfId="4218"/>
    <cellStyle name="20% - 强调文字颜色 1 3 19 6 2" xfId="4227"/>
    <cellStyle name="20% - 强调文字颜色 1 3 19 6 2 2" xfId="4052"/>
    <cellStyle name="20% - 强调文字颜色 1 3 19 6 2 3" xfId="4059"/>
    <cellStyle name="20% - 强调文字颜色 1 3 19 6 3" xfId="4232"/>
    <cellStyle name="20% - 强调文字颜色 1 3 19 6 4" xfId="2066"/>
    <cellStyle name="20% - 强调文字颜色 1 3 19 6 5" xfId="2093"/>
    <cellStyle name="20% - 强调文字颜色 1 3 19 6 6" xfId="4244"/>
    <cellStyle name="20% - 强调文字颜色 1 3 19 6 7" xfId="4254"/>
    <cellStyle name="20% - 强调文字颜色 1 3 19 6 8" xfId="4262"/>
    <cellStyle name="20% - 强调文字颜色 1 3 19 7" xfId="4276"/>
    <cellStyle name="20% - 强调文字颜色 1 3 19 8" xfId="4288"/>
    <cellStyle name="20% - 强调文字颜色 1 3 19 9" xfId="4300"/>
    <cellStyle name="20% - 强调文字颜色 1 3 19 9 2" xfId="931"/>
    <cellStyle name="20% - 强调文字颜色 1 3 19 9 3" xfId="969"/>
    <cellStyle name="20% - 强调文字颜色 1 3 2" xfId="4309"/>
    <cellStyle name="20% - 强调文字颜色 1 3 2 10" xfId="4312"/>
    <cellStyle name="20% - 强调文字颜色 1 3 2 11" xfId="4322"/>
    <cellStyle name="20% - 强调文字颜色 1 3 2 12" xfId="4331"/>
    <cellStyle name="20% - 强调文字颜色 1 3 2 13" xfId="482"/>
    <cellStyle name="20% - 强调文字颜色 1 3 2 14" xfId="4340"/>
    <cellStyle name="20% - 强调文字颜色 1 3 2 2" xfId="2909"/>
    <cellStyle name="20% - 强调文字颜色 1 3 2 3" xfId="4348"/>
    <cellStyle name="20% - 强调文字颜色 1 3 2 4" xfId="4350"/>
    <cellStyle name="20% - 强调文字颜色 1 3 2 5" xfId="4352"/>
    <cellStyle name="20% - 强调文字颜色 1 3 2 6" xfId="4354"/>
    <cellStyle name="20% - 强调文字颜色 1 3 2 7" xfId="4357"/>
    <cellStyle name="20% - 强调文字颜色 1 3 2 8" xfId="4362"/>
    <cellStyle name="20% - 强调文字颜色 1 3 2 9" xfId="4365"/>
    <cellStyle name="20% - 强调文字颜色 1 3 20" xfId="3718"/>
    <cellStyle name="20% - 强调文字颜色 1 3 20 10" xfId="4369"/>
    <cellStyle name="20% - 强调文字颜色 1 3 20 11" xfId="4373"/>
    <cellStyle name="20% - 强调文字颜色 1 3 20 12" xfId="4378"/>
    <cellStyle name="20% - 强调文字颜色 1 3 20 13" xfId="4392"/>
    <cellStyle name="20% - 强调文字颜色 1 3 20 14" xfId="4405"/>
    <cellStyle name="20% - 强调文字颜色 1 3 20 2" xfId="2704"/>
    <cellStyle name="20% - 强调文字颜色 1 3 20 3" xfId="3101"/>
    <cellStyle name="20% - 强调文字颜色 1 3 20 4" xfId="3133"/>
    <cellStyle name="20% - 强调文字颜色 1 3 20 5" xfId="3150"/>
    <cellStyle name="20% - 强调文字颜色 1 3 20 5 10" xfId="4412"/>
    <cellStyle name="20% - 强调文字颜色 1 3 20 5 11" xfId="4414"/>
    <cellStyle name="20% - 强调文字颜色 1 3 20 5 2" xfId="4425"/>
    <cellStyle name="20% - 强调文字颜色 1 3 20 5 2 2" xfId="4427"/>
    <cellStyle name="20% - 强调文字颜色 1 3 20 5 2 2 2" xfId="4430"/>
    <cellStyle name="20% - 强调文字颜色 1 3 20 5 2 2 3" xfId="2913"/>
    <cellStyle name="20% - 强调文字颜色 1 3 20 5 2 3" xfId="4444"/>
    <cellStyle name="20% - 强调文字颜色 1 3 20 5 2 4" xfId="4461"/>
    <cellStyle name="20% - 强调文字颜色 1 3 20 5 2 5" xfId="4476"/>
    <cellStyle name="20% - 强调文字颜色 1 3 20 5 2 6" xfId="4488"/>
    <cellStyle name="20% - 强调文字颜色 1 3 20 5 2 7" xfId="4502"/>
    <cellStyle name="20% - 强调文字颜色 1 3 20 5 2 8" xfId="4512"/>
    <cellStyle name="20% - 强调文字颜色 1 3 20 5 3" xfId="4519"/>
    <cellStyle name="20% - 强调文字颜色 1 3 20 5 4" xfId="4521"/>
    <cellStyle name="20% - 强调文字颜色 1 3 20 5 5" xfId="4536"/>
    <cellStyle name="20% - 强调文字颜色 1 3 20 5 6" xfId="4549"/>
    <cellStyle name="20% - 强调文字颜色 1 3 20 5 6 2" xfId="4564"/>
    <cellStyle name="20% - 强调文字颜色 1 3 20 5 6 3" xfId="4589"/>
    <cellStyle name="20% - 强调文字颜色 1 3 20 5 7" xfId="4602"/>
    <cellStyle name="20% - 强调文字颜色 1 3 20 5 8" xfId="4610"/>
    <cellStyle name="20% - 强调文字颜色 1 3 20 5 9" xfId="401"/>
    <cellStyle name="20% - 强调文字颜色 1 3 20 6" xfId="3162"/>
    <cellStyle name="20% - 强调文字颜色 1 3 20 6 2" xfId="1284"/>
    <cellStyle name="20% - 强调文字颜色 1 3 20 6 2 2" xfId="4613"/>
    <cellStyle name="20% - 强调文字颜色 1 3 20 6 2 3" xfId="4621"/>
    <cellStyle name="20% - 强调文字颜色 1 3 20 6 3" xfId="1295"/>
    <cellStyle name="20% - 强调文字颜色 1 3 20 6 4" xfId="1306"/>
    <cellStyle name="20% - 强调文字颜色 1 3 20 6 5" xfId="1878"/>
    <cellStyle name="20% - 强调文字颜色 1 3 20 6 6" xfId="2337"/>
    <cellStyle name="20% - 强调文字颜色 1 3 20 6 7" xfId="2787"/>
    <cellStyle name="20% - 强调文字颜色 1 3 20 6 8" xfId="4636"/>
    <cellStyle name="20% - 强调文字颜色 1 3 20 7" xfId="4637"/>
    <cellStyle name="20% - 强调文字颜色 1 3 20 8" xfId="4640"/>
    <cellStyle name="20% - 强调文字颜色 1 3 20 9" xfId="4643"/>
    <cellStyle name="20% - 强调文字颜色 1 3 20 9 2" xfId="3406"/>
    <cellStyle name="20% - 强调文字颜色 1 3 20 9 3" xfId="1444"/>
    <cellStyle name="20% - 强调文字颜色 1 3 3" xfId="4568"/>
    <cellStyle name="20% - 强调文字颜色 1 3 3 10" xfId="1043"/>
    <cellStyle name="20% - 强调文字颜色 1 3 3 11" xfId="1063"/>
    <cellStyle name="20% - 强调文字颜色 1 3 3 12" xfId="1086"/>
    <cellStyle name="20% - 强调文字颜色 1 3 3 13" xfId="4650"/>
    <cellStyle name="20% - 强调文字颜色 1 3 3 14" xfId="4658"/>
    <cellStyle name="20% - 强调文字颜色 1 3 3 2" xfId="4663"/>
    <cellStyle name="20% - 强调文字颜色 1 3 3 3" xfId="4668"/>
    <cellStyle name="20% - 强调文字颜色 1 3 3 4" xfId="4671"/>
    <cellStyle name="20% - 强调文字颜色 1 3 3 5" xfId="4675"/>
    <cellStyle name="20% - 强调文字颜色 1 3 3 6" xfId="4679"/>
    <cellStyle name="20% - 强调文字颜色 1 3 3 7" xfId="4685"/>
    <cellStyle name="20% - 强调文字颜色 1 3 3 8" xfId="4691"/>
    <cellStyle name="20% - 强调文字颜色 1 3 3 9" xfId="4696"/>
    <cellStyle name="20% - 强调文字颜色 1 3 4" xfId="4594"/>
    <cellStyle name="20% - 强调文字颜色 1 3 4 10" xfId="4705"/>
    <cellStyle name="20% - 强调文字颜色 1 3 4 11" xfId="4717"/>
    <cellStyle name="20% - 强调文字颜色 1 3 4 12" xfId="4723"/>
    <cellStyle name="20% - 强调文字颜色 1 3 4 13" xfId="4730"/>
    <cellStyle name="20% - 强调文字颜色 1 3 4 14" xfId="4739"/>
    <cellStyle name="20% - 强调文字颜色 1 3 4 2" xfId="810"/>
    <cellStyle name="20% - 强调文字颜色 1 3 4 3" xfId="380"/>
    <cellStyle name="20% - 强调文字颜色 1 3 4 4" xfId="4746"/>
    <cellStyle name="20% - 强调文字颜色 1 3 4 5" xfId="4748"/>
    <cellStyle name="20% - 强调文字颜色 1 3 4 6" xfId="4751"/>
    <cellStyle name="20% - 强调文字颜色 1 3 4 7" xfId="4754"/>
    <cellStyle name="20% - 强调文字颜色 1 3 4 8" xfId="4755"/>
    <cellStyle name="20% - 强调文字颜色 1 3 4 9" xfId="4756"/>
    <cellStyle name="20% - 强调文字颜色 1 3 5" xfId="4764"/>
    <cellStyle name="20% - 强调文字颜色 1 3 6" xfId="4776"/>
    <cellStyle name="20% - 强调文字颜色 1 3 7" xfId="4783"/>
    <cellStyle name="20% - 强调文字颜色 1 3 8" xfId="4790"/>
    <cellStyle name="20% - 强调文字颜色 1 3 9" xfId="4796"/>
    <cellStyle name="20% - 强调文字颜色 1 4" xfId="792"/>
    <cellStyle name="20% - 强调文字颜色 1 4 10" xfId="3612"/>
    <cellStyle name="20% - 强调文字颜色 1 4 11" xfId="3617"/>
    <cellStyle name="20% - 强调文字颜色 1 4 12" xfId="3627"/>
    <cellStyle name="20% - 强调文字颜色 1 4 13" xfId="318"/>
    <cellStyle name="20% - 强调文字颜色 1 4 14" xfId="1704"/>
    <cellStyle name="20% - 强调文字颜色 1 4 15" xfId="1730"/>
    <cellStyle name="20% - 强调文字颜色 1 4 16" xfId="4799"/>
    <cellStyle name="20% - 强调文字颜色 1 4 17" xfId="4809"/>
    <cellStyle name="20% - 强调文字颜色 1 4 17 10" xfId="4078"/>
    <cellStyle name="20% - 强调文字颜色 1 4 17 11" xfId="4084"/>
    <cellStyle name="20% - 强调文字颜色 1 4 17 12" xfId="4093"/>
    <cellStyle name="20% - 强调文字颜色 1 4 17 13" xfId="4095"/>
    <cellStyle name="20% - 强调文字颜色 1 4 17 14" xfId="4099"/>
    <cellStyle name="20% - 强调文字颜色 1 4 17 2" xfId="4142"/>
    <cellStyle name="20% - 强调文字颜色 1 4 17 3" xfId="4210"/>
    <cellStyle name="20% - 强调文字颜色 1 4 17 4" xfId="4270"/>
    <cellStyle name="20% - 强调文字颜色 1 4 17 5" xfId="4280"/>
    <cellStyle name="20% - 强调文字颜色 1 4 17 5 10" xfId="4818"/>
    <cellStyle name="20% - 强调文字颜色 1 4 17 5 11" xfId="4822"/>
    <cellStyle name="20% - 强调文字颜色 1 4 17 5 2" xfId="2796"/>
    <cellStyle name="20% - 强调文字颜色 1 4 17 5 2 2" xfId="4825"/>
    <cellStyle name="20% - 强调文字颜色 1 4 17 5 2 2 2" xfId="4841"/>
    <cellStyle name="20% - 强调文字颜色 1 4 17 5 2 2 3" xfId="4845"/>
    <cellStyle name="20% - 强调文字颜色 1 4 17 5 2 3" xfId="4847"/>
    <cellStyle name="20% - 强调文字颜色 1 4 17 5 2 4" xfId="4860"/>
    <cellStyle name="20% - 强调文字颜色 1 4 17 5 2 5" xfId="4866"/>
    <cellStyle name="20% - 强调文字颜色 1 4 17 5 2 6" xfId="4871"/>
    <cellStyle name="20% - 强调文字颜色 1 4 17 5 2 7" xfId="4877"/>
    <cellStyle name="20% - 强调文字颜色 1 4 17 5 2 8" xfId="1103"/>
    <cellStyle name="20% - 强调文字颜色 1 4 17 5 3" xfId="2803"/>
    <cellStyle name="20% - 强调文字颜色 1 4 17 5 4" xfId="2809"/>
    <cellStyle name="20% - 强调文字颜色 1 4 17 5 5" xfId="2816"/>
    <cellStyle name="20% - 强调文字颜色 1 4 17 5 6" xfId="2824"/>
    <cellStyle name="20% - 强调文字颜色 1 4 17 5 6 2" xfId="235"/>
    <cellStyle name="20% - 强调文字颜色 1 4 17 5 6 3" xfId="1531"/>
    <cellStyle name="20% - 强调文字颜色 1 4 17 5 7" xfId="2828"/>
    <cellStyle name="20% - 强调文字颜色 1 4 17 5 8" xfId="682"/>
    <cellStyle name="20% - 强调文字颜色 1 4 17 5 9" xfId="714"/>
    <cellStyle name="20% - 强调文字颜色 1 4 17 6" xfId="4297"/>
    <cellStyle name="20% - 强调文字颜色 1 4 17 6 2" xfId="951"/>
    <cellStyle name="20% - 强调文字颜色 1 4 17 6 2 2" xfId="4886"/>
    <cellStyle name="20% - 强调文字颜色 1 4 17 6 2 3" xfId="4890"/>
    <cellStyle name="20% - 强调文字颜色 1 4 17 6 3" xfId="987"/>
    <cellStyle name="20% - 强调文字颜色 1 4 17 6 4" xfId="1009"/>
    <cellStyle name="20% - 强调文字颜色 1 4 17 6 5" xfId="1042"/>
    <cellStyle name="20% - 强调文字颜色 1 4 17 6 6" xfId="1062"/>
    <cellStyle name="20% - 强调文字颜色 1 4 17 6 7" xfId="1085"/>
    <cellStyle name="20% - 强调文字颜色 1 4 17 6 8" xfId="4898"/>
    <cellStyle name="20% - 强调文字颜色 1 4 17 7" xfId="3955"/>
    <cellStyle name="20% - 强调文字颜色 1 4 17 8" xfId="3974"/>
    <cellStyle name="20% - 强调文字颜色 1 4 17 9" xfId="4901"/>
    <cellStyle name="20% - 强调文字颜色 1 4 17 9 2" xfId="4924"/>
    <cellStyle name="20% - 强调文字颜色 1 4 17 9 3" xfId="4930"/>
    <cellStyle name="20% - 强调文字颜色 1 4 18" xfId="4940"/>
    <cellStyle name="20% - 强调文字颜色 1 4 18 10" xfId="4941"/>
    <cellStyle name="20% - 强调文字颜色 1 4 18 11" xfId="4943"/>
    <cellStyle name="20% - 强调文字颜色 1 4 18 12" xfId="4945"/>
    <cellStyle name="20% - 强调文字颜色 1 4 18 13" xfId="4948"/>
    <cellStyle name="20% - 强调文字颜色 1 4 18 14" xfId="4953"/>
    <cellStyle name="20% - 强调文字颜色 1 4 18 2" xfId="4374"/>
    <cellStyle name="20% - 强调文字颜色 1 4 18 3" xfId="4385"/>
    <cellStyle name="20% - 强调文字颜色 1 4 18 4" xfId="4399"/>
    <cellStyle name="20% - 强调文字颜色 1 4 18 5" xfId="4410"/>
    <cellStyle name="20% - 强调文字颜色 1 4 18 5 10" xfId="3935"/>
    <cellStyle name="20% - 强调文字颜色 1 4 18 5 11" xfId="4018"/>
    <cellStyle name="20% - 强调文字颜色 1 4 18 5 2" xfId="4954"/>
    <cellStyle name="20% - 强调文字颜色 1 4 18 5 2 2" xfId="4967"/>
    <cellStyle name="20% - 强调文字颜色 1 4 18 5 2 2 2" xfId="4968"/>
    <cellStyle name="20% - 强调文字颜色 1 4 18 5 2 2 3" xfId="4974"/>
    <cellStyle name="20% - 强调文字颜色 1 4 18 5 2 3" xfId="4986"/>
    <cellStyle name="20% - 强调文字颜色 1 4 18 5 2 4" xfId="4994"/>
    <cellStyle name="20% - 强调文字颜色 1 4 18 5 2 5" xfId="3844"/>
    <cellStyle name="20% - 强调文字颜色 1 4 18 5 2 6" xfId="3858"/>
    <cellStyle name="20% - 强调文字颜色 1 4 18 5 2 7" xfId="3893"/>
    <cellStyle name="20% - 强调文字颜色 1 4 18 5 2 8" xfId="4997"/>
    <cellStyle name="20% - 强调文字颜色 1 4 18 5 3" xfId="5000"/>
    <cellStyle name="20% - 强调文字颜色 1 4 18 5 4" xfId="5001"/>
    <cellStyle name="20% - 强调文字颜色 1 4 18 5 5" xfId="5004"/>
    <cellStyle name="20% - 强调文字颜色 1 4 18 5 6" xfId="5008"/>
    <cellStyle name="20% - 强调文字颜色 1 4 18 5 6 2" xfId="597"/>
    <cellStyle name="20% - 强调文字颜色 1 4 18 5 6 3" xfId="613"/>
    <cellStyle name="20% - 强调文字颜色 1 4 18 5 7" xfId="5009"/>
    <cellStyle name="20% - 强调文字颜色 1 4 18 5 8" xfId="5010"/>
    <cellStyle name="20% - 强调文字颜色 1 4 18 5 9" xfId="5012"/>
    <cellStyle name="20% - 强调文字颜色 1 4 18 6" xfId="2921"/>
    <cellStyle name="20% - 强调文字颜色 1 4 18 6 2" xfId="2941"/>
    <cellStyle name="20% - 强调文字颜色 1 4 18 6 2 2" xfId="5014"/>
    <cellStyle name="20% - 强调文字颜色 1 4 18 6 2 3" xfId="4429"/>
    <cellStyle name="20% - 强调文字颜色 1 4 18 6 3" xfId="2021"/>
    <cellStyle name="20% - 强调文字颜色 1 4 18 6 4" xfId="2033"/>
    <cellStyle name="20% - 强调文字颜色 1 4 18 6 5" xfId="1487"/>
    <cellStyle name="20% - 强调文字颜色 1 4 18 6 6" xfId="230"/>
    <cellStyle name="20% - 强调文字颜色 1 4 18 6 7" xfId="1525"/>
    <cellStyle name="20% - 强调文字颜色 1 4 18 6 8" xfId="1535"/>
    <cellStyle name="20% - 强调文字颜色 1 4 18 7" xfId="2947"/>
    <cellStyle name="20% - 强调文字颜色 1 4 18 8" xfId="2964"/>
    <cellStyle name="20% - 强调文字颜色 1 4 18 9" xfId="2987"/>
    <cellStyle name="20% - 强调文字颜色 1 4 18 9 2" xfId="3790"/>
    <cellStyle name="20% - 强调文字颜色 1 4 18 9 3" xfId="3803"/>
    <cellStyle name="20% - 强调文字颜色 1 4 19" xfId="2566"/>
    <cellStyle name="20% - 强调文字颜色 1 4 19 10" xfId="5016"/>
    <cellStyle name="20% - 强调文字颜色 1 4 19 11" xfId="5018"/>
    <cellStyle name="20% - 强调文字颜色 1 4 19 12" xfId="5020"/>
    <cellStyle name="20% - 强调文字颜色 1 4 19 13" xfId="5021"/>
    <cellStyle name="20% - 强调文字颜色 1 4 19 14" xfId="5024"/>
    <cellStyle name="20% - 强调文字颜色 1 4 19 2" xfId="5036"/>
    <cellStyle name="20% - 强调文字颜色 1 4 19 3" xfId="5044"/>
    <cellStyle name="20% - 强调文字颜色 1 4 19 4" xfId="5049"/>
    <cellStyle name="20% - 强调文字颜色 1 4 19 5" xfId="5050"/>
    <cellStyle name="20% - 强调文字颜色 1 4 19 5 10" xfId="301"/>
    <cellStyle name="20% - 强调文字颜色 1 4 19 5 11" xfId="5058"/>
    <cellStyle name="20% - 强调文字颜色 1 4 19 5 2" xfId="3376"/>
    <cellStyle name="20% - 强调文字颜色 1 4 19 5 2 2" xfId="1892"/>
    <cellStyle name="20% - 强调文字颜色 1 4 19 5 2 2 2" xfId="674"/>
    <cellStyle name="20% - 强调文字颜色 1 4 19 5 2 2 3" xfId="705"/>
    <cellStyle name="20% - 强调文字颜色 1 4 19 5 2 3" xfId="1915"/>
    <cellStyle name="20% - 强调文字颜色 1 4 19 5 2 4" xfId="1940"/>
    <cellStyle name="20% - 强调文字颜色 1 4 19 5 2 5" xfId="1829"/>
    <cellStyle name="20% - 强调文字颜色 1 4 19 5 2 6" xfId="1860"/>
    <cellStyle name="20% - 强调文字颜色 1 4 19 5 2 7" xfId="5060"/>
    <cellStyle name="20% - 强调文字颜色 1 4 19 5 2 8" xfId="5069"/>
    <cellStyle name="20% - 强调文字颜色 1 4 19 5 3" xfId="3383"/>
    <cellStyle name="20% - 强调文字颜色 1 4 19 5 4" xfId="3391"/>
    <cellStyle name="20% - 强调文字颜色 1 4 19 5 5" xfId="3396"/>
    <cellStyle name="20% - 强调文字颜色 1 4 19 5 6" xfId="504"/>
    <cellStyle name="20% - 强调文字颜色 1 4 19 5 6 2" xfId="2453"/>
    <cellStyle name="20% - 强调文字颜色 1 4 19 5 6 3" xfId="2469"/>
    <cellStyle name="20% - 强调文字颜色 1 4 19 5 7" xfId="5079"/>
    <cellStyle name="20% - 强调文字颜色 1 4 19 5 8" xfId="5081"/>
    <cellStyle name="20% - 强调文字颜色 1 4 19 5 9" xfId="5085"/>
    <cellStyle name="20% - 强调文字颜色 1 4 19 6" xfId="5091"/>
    <cellStyle name="20% - 强调文字颜色 1 4 19 6 2" xfId="3613"/>
    <cellStyle name="20% - 强调文字颜色 1 4 19 6 2 2" xfId="3547"/>
    <cellStyle name="20% - 强调文字颜色 1 4 19 6 2 3" xfId="3553"/>
    <cellStyle name="20% - 强调文字颜色 1 4 19 6 3" xfId="3621"/>
    <cellStyle name="20% - 强调文字颜色 1 4 19 6 4" xfId="313"/>
    <cellStyle name="20% - 强调文字颜色 1 4 19 6 5" xfId="1699"/>
    <cellStyle name="20% - 强调文字颜色 1 4 19 6 6" xfId="1724"/>
    <cellStyle name="20% - 强调文字颜色 1 4 19 6 7" xfId="4801"/>
    <cellStyle name="20% - 强调文字颜色 1 4 19 6 8" xfId="4813"/>
    <cellStyle name="20% - 强调文字颜色 1 4 19 7" xfId="5093"/>
    <cellStyle name="20% - 强调文字颜色 1 4 19 8" xfId="5095"/>
    <cellStyle name="20% - 强调文字颜色 1 4 19 9" xfId="5101"/>
    <cellStyle name="20% - 强调文字颜色 1 4 19 9 2" xfId="4026"/>
    <cellStyle name="20% - 强调文字颜色 1 4 19 9 3" xfId="4037"/>
    <cellStyle name="20% - 强调文字颜色 1 4 2" xfId="3759"/>
    <cellStyle name="20% - 强调文字颜色 1 4 20" xfId="1729"/>
    <cellStyle name="20% - 强调文字颜色 1 4 20 10" xfId="4928"/>
    <cellStyle name="20% - 强调文字颜色 1 4 20 11" xfId="4934"/>
    <cellStyle name="20% - 强调文字颜色 1 4 20 12" xfId="5104"/>
    <cellStyle name="20% - 强调文字颜色 1 4 20 13" xfId="5110"/>
    <cellStyle name="20% - 强调文字颜色 1 4 20 14" xfId="5118"/>
    <cellStyle name="20% - 强调文字颜色 1 4 20 2" xfId="2660"/>
    <cellStyle name="20% - 强调文字颜色 1 4 20 3" xfId="3278"/>
    <cellStyle name="20% - 强调文字颜色 1 4 20 4" xfId="3870"/>
    <cellStyle name="20% - 强调文字颜色 1 4 20 5" xfId="3878"/>
    <cellStyle name="20% - 强调文字颜色 1 4 20 5 10" xfId="2530"/>
    <cellStyle name="20% - 强调文字颜色 1 4 20 5 11" xfId="5136"/>
    <cellStyle name="20% - 强调文字颜色 1 4 20 5 2" xfId="5149"/>
    <cellStyle name="20% - 强调文字颜色 1 4 20 5 2 2" xfId="902"/>
    <cellStyle name="20% - 强调文字颜色 1 4 20 5 2 2 2" xfId="3711"/>
    <cellStyle name="20% - 强调文字颜色 1 4 20 5 2 2 3" xfId="3733"/>
    <cellStyle name="20% - 强调文字颜色 1 4 20 5 2 3" xfId="940"/>
    <cellStyle name="20% - 强调文字颜色 1 4 20 5 2 4" xfId="979"/>
    <cellStyle name="20% - 强调文字颜色 1 4 20 5 2 5" xfId="1001"/>
    <cellStyle name="20% - 强调文字颜色 1 4 20 5 2 6" xfId="1035"/>
    <cellStyle name="20% - 强调文字颜色 1 4 20 5 2 7" xfId="1055"/>
    <cellStyle name="20% - 强调文字颜色 1 4 20 5 2 8" xfId="1076"/>
    <cellStyle name="20% - 强调文字颜色 1 4 20 5 3" xfId="5153"/>
    <cellStyle name="20% - 强调文字颜色 1 4 20 5 4" xfId="5161"/>
    <cellStyle name="20% - 强调文字颜色 1 4 20 5 5" xfId="5170"/>
    <cellStyle name="20% - 强调文字颜色 1 4 20 5 6" xfId="5176"/>
    <cellStyle name="20% - 强调文字颜色 1 4 20 5 6 2" xfId="1252"/>
    <cellStyle name="20% - 强调文字颜色 1 4 20 5 6 3" xfId="3684"/>
    <cellStyle name="20% - 强调文字颜色 1 4 20 5 7" xfId="5179"/>
    <cellStyle name="20% - 强调文字颜色 1 4 20 5 8" xfId="5180"/>
    <cellStyle name="20% - 强调文字颜色 1 4 20 5 9" xfId="5186"/>
    <cellStyle name="20% - 强调文字颜色 1 4 20 6" xfId="3886"/>
    <cellStyle name="20% - 强调文字颜色 1 4 20 6 2" xfId="3855"/>
    <cellStyle name="20% - 强调文字颜色 1 4 20 6 2 2" xfId="3235"/>
    <cellStyle name="20% - 强调文字颜色 1 4 20 6 2 3" xfId="2935"/>
    <cellStyle name="20% - 强调文字颜色 1 4 20 6 3" xfId="3897"/>
    <cellStyle name="20% - 强调文字颜色 1 4 20 6 4" xfId="4998"/>
    <cellStyle name="20% - 强调文字颜色 1 4 20 6 5" xfId="5192"/>
    <cellStyle name="20% - 强调文字颜色 1 4 20 6 6" xfId="4175"/>
    <cellStyle name="20% - 强调文字颜色 1 4 20 6 7" xfId="4185"/>
    <cellStyle name="20% - 强调文字颜色 1 4 20 6 8" xfId="5195"/>
    <cellStyle name="20% - 强调文字颜色 1 4 20 7" xfId="4307"/>
    <cellStyle name="20% - 强调文字颜色 1 4 20 8" xfId="4556"/>
    <cellStyle name="20% - 强调文字颜色 1 4 20 9" xfId="4577"/>
    <cellStyle name="20% - 强调文字颜色 1 4 20 9 2" xfId="806"/>
    <cellStyle name="20% - 强调文字颜色 1 4 20 9 3" xfId="375"/>
    <cellStyle name="20% - 强调文字颜色 1 4 3" xfId="5197"/>
    <cellStyle name="20% - 强调文字颜色 1 4 4" xfId="5199"/>
    <cellStyle name="20% - 强调文字颜色 1 4 5" xfId="5200"/>
    <cellStyle name="20% - 强调文字颜色 1 4 6" xfId="4955"/>
    <cellStyle name="20% - 强调文字颜色 1 4 7" xfId="4977"/>
    <cellStyle name="20% - 强调文字颜色 1 4 8" xfId="4987"/>
    <cellStyle name="20% - 强调文字颜色 1 4 9" xfId="3834"/>
    <cellStyle name="20% - 强调文字颜色 1 5" xfId="3945"/>
    <cellStyle name="20% - 强调文字颜色 1 5 10" xfId="3233"/>
    <cellStyle name="20% - 强调文字颜色 1 5 11" xfId="426"/>
    <cellStyle name="20% - 强调文字颜色 1 5 12" xfId="294"/>
    <cellStyle name="20% - 强调文字颜色 1 5 13" xfId="5052"/>
    <cellStyle name="20% - 强调文字颜色 1 5 14" xfId="5203"/>
    <cellStyle name="20% - 强调文字颜色 1 5 2" xfId="3962"/>
    <cellStyle name="20% - 强调文字颜色 1 5 3" xfId="3987"/>
    <cellStyle name="20% - 强调文字颜色 1 5 4" xfId="4919"/>
    <cellStyle name="20% - 强调文字颜色 1 5 5" xfId="5221"/>
    <cellStyle name="20% - 强调文字颜色 1 5 6" xfId="2842"/>
    <cellStyle name="20% - 强调文字颜色 1 5 7" xfId="2864"/>
    <cellStyle name="20% - 强调文字颜色 1 5 8" xfId="2881"/>
    <cellStyle name="20% - 强调文字颜色 1 5 9" xfId="2898"/>
    <cellStyle name="20% - 强调文字颜色 1 6" xfId="3998"/>
    <cellStyle name="20% - 强调文字颜色 1 6 10" xfId="4529"/>
    <cellStyle name="20% - 强调文字颜色 1 6 11" xfId="4540"/>
    <cellStyle name="20% - 强调文字颜色 1 6 12" xfId="4599"/>
    <cellStyle name="20% - 强调文字颜色 1 6 13" xfId="4605"/>
    <cellStyle name="20% - 强调文字颜色 1 6 14" xfId="396"/>
    <cellStyle name="20% - 强调文字颜色 1 6 2" xfId="2958"/>
    <cellStyle name="20% - 强调文字颜色 1 6 3" xfId="2979"/>
    <cellStyle name="20% - 强调文字颜色 1 6 4" xfId="2996"/>
    <cellStyle name="20% - 强调文字颜色 1 6 5" xfId="3001"/>
    <cellStyle name="20% - 强调文字颜色 1 6 6" xfId="3013"/>
    <cellStyle name="20% - 强调文字颜色 1 6 7" xfId="3022"/>
    <cellStyle name="20% - 强调文字颜色 1 6 8" xfId="5227"/>
    <cellStyle name="20% - 强调文字颜色 1 6 9" xfId="5235"/>
    <cellStyle name="20% - 强调文字颜色 1 7" xfId="4008"/>
    <cellStyle name="20% - 强调文字颜色 1 8" xfId="2076"/>
    <cellStyle name="20% - 强调文字颜色 1 9" xfId="3117"/>
    <cellStyle name="20% - 强调文字颜色 2 10" xfId="5245"/>
    <cellStyle name="20% - 强调文字颜色 2 11" xfId="5249"/>
    <cellStyle name="20% - 强调文字颜色 2 12" xfId="5256"/>
    <cellStyle name="20% - 强调文字颜色 2 12 10" xfId="5259"/>
    <cellStyle name="20% - 强调文字颜色 2 12 11" xfId="473"/>
    <cellStyle name="20% - 强调文字颜色 2 12 12" xfId="203"/>
    <cellStyle name="20% - 强调文字颜色 2 12 13" xfId="3789"/>
    <cellStyle name="20% - 强调文字颜色 2 12 14" xfId="3798"/>
    <cellStyle name="20% - 强调文字颜色 2 12 2" xfId="5260"/>
    <cellStyle name="20% - 强调文字颜色 2 12 3" xfId="3554"/>
    <cellStyle name="20% - 强调文字颜色 2 12 4" xfId="3559"/>
    <cellStyle name="20% - 强调文字颜色 2 12 5" xfId="3820"/>
    <cellStyle name="20% - 强调文字颜色 2 12 5 10" xfId="4103"/>
    <cellStyle name="20% - 强调文字颜色 2 12 5 11" xfId="5267"/>
    <cellStyle name="20% - 强调文字颜色 2 12 5 2" xfId="4212"/>
    <cellStyle name="20% - 强调文字颜色 2 12 5 2 2" xfId="4224"/>
    <cellStyle name="20% - 强调文字颜色 2 12 5 2 2 2" xfId="4046"/>
    <cellStyle name="20% - 强调文字颜色 2 12 5 2 2 3" xfId="4053"/>
    <cellStyle name="20% - 强调文字颜色 2 12 5 2 3" xfId="4230"/>
    <cellStyle name="20% - 强调文字颜色 2 12 5 2 4" xfId="2063"/>
    <cellStyle name="20% - 强调文字颜色 2 12 5 2 5" xfId="2086"/>
    <cellStyle name="20% - 强调文字颜色 2 12 5 2 6" xfId="4237"/>
    <cellStyle name="20% - 强调文字颜色 2 12 5 2 7" xfId="4247"/>
    <cellStyle name="20% - 强调文字颜色 2 12 5 2 8" xfId="4255"/>
    <cellStyle name="20% - 强调文字颜色 2 12 5 3" xfId="4272"/>
    <cellStyle name="20% - 强调文字颜色 2 12 5 4" xfId="4285"/>
    <cellStyle name="20% - 强调文字颜色 2 12 5 5" xfId="4292"/>
    <cellStyle name="20% - 强调文字颜色 2 12 5 6" xfId="3950"/>
    <cellStyle name="20% - 强调文字颜色 2 12 5 6 2" xfId="1162"/>
    <cellStyle name="20% - 强调文字颜色 2 12 5 6 3" xfId="1179"/>
    <cellStyle name="20% - 强调文字颜色 2 12 5 7" xfId="3970"/>
    <cellStyle name="20% - 强调文字颜色 2 12 5 8" xfId="4907"/>
    <cellStyle name="20% - 强调文字颜色 2 12 5 9" xfId="5209"/>
    <cellStyle name="20% - 强调文字颜色 2 12 6" xfId="5277"/>
    <cellStyle name="20% - 强调文字颜色 2 12 6 2" xfId="4384"/>
    <cellStyle name="20% - 强调文字颜色 2 12 6 2 2" xfId="5280"/>
    <cellStyle name="20% - 强调文字颜色 2 12 6 2 3" xfId="5287"/>
    <cellStyle name="20% - 强调文字颜色 2 12 6 3" xfId="4397"/>
    <cellStyle name="20% - 强调文字颜色 2 12 6 4" xfId="4408"/>
    <cellStyle name="20% - 强调文字颜色 2 12 6 5" xfId="2915"/>
    <cellStyle name="20% - 强调文字颜色 2 12 6 6" xfId="2942"/>
    <cellStyle name="20% - 强调文字颜色 2 12 6 7" xfId="2960"/>
    <cellStyle name="20% - 强调文字颜色 2 12 6 8" xfId="2981"/>
    <cellStyle name="20% - 强调文字颜色 2 12 7" xfId="5296"/>
    <cellStyle name="20% - 强调文字颜色 2 12 8" xfId="5308"/>
    <cellStyle name="20% - 强调文字颜色 2 12 9" xfId="5320"/>
    <cellStyle name="20% - 强调文字颜色 2 12 9 2" xfId="5322"/>
    <cellStyle name="20% - 强调文字颜色 2 12 9 3" xfId="5327"/>
    <cellStyle name="20% - 强调文字颜色 2 13" xfId="5338"/>
    <cellStyle name="20% - 强调文字颜色 2 14" xfId="5351"/>
    <cellStyle name="20% - 强调文字颜色 2 15" xfId="3224"/>
    <cellStyle name="20% - 强调文字颜色 2 16" xfId="3243"/>
    <cellStyle name="20% - 强调文字颜色 2 16 10" xfId="3502"/>
    <cellStyle name="20% - 强调文字颜色 2 16 11" xfId="3513"/>
    <cellStyle name="20% - 强调文字颜色 2 16 12" xfId="3425"/>
    <cellStyle name="20% - 强调文字颜色 2 16 13" xfId="3447"/>
    <cellStyle name="20% - 强调文字颜色 2 16 14" xfId="3530"/>
    <cellStyle name="20% - 强调文字颜色 2 16 2" xfId="2385"/>
    <cellStyle name="20% - 强调文字颜色 2 16 3" xfId="2617"/>
    <cellStyle name="20% - 强调文字颜色 2 16 4" xfId="2720"/>
    <cellStyle name="20% - 强调文字颜色 2 16 5" xfId="2737"/>
    <cellStyle name="20% - 强调文字颜色 2 16 5 10" xfId="571"/>
    <cellStyle name="20% - 强调文字颜色 2 16 5 11" xfId="414"/>
    <cellStyle name="20% - 强调文字颜色 2 16 5 2" xfId="5363"/>
    <cellStyle name="20% - 强调文字颜色 2 16 5 2 2" xfId="5373"/>
    <cellStyle name="20% - 强调文字颜色 2 16 5 2 2 2" xfId="5382"/>
    <cellStyle name="20% - 强调文字颜色 2 16 5 2 2 3" xfId="1025"/>
    <cellStyle name="20% - 强调文字颜色 2 16 5 2 3" xfId="5393"/>
    <cellStyle name="20% - 强调文字颜色 2 16 5 2 4" xfId="1694"/>
    <cellStyle name="20% - 强调文字颜色 2 16 5 2 5" xfId="1747"/>
    <cellStyle name="20% - 强调文字颜色 2 16 5 2 6" xfId="1757"/>
    <cellStyle name="20% - 强调文字颜色 2 16 5 2 7" xfId="1767"/>
    <cellStyle name="20% - 强调文字颜色 2 16 5 2 8" xfId="389"/>
    <cellStyle name="20% - 强调文字颜色 2 16 5 3" xfId="5401"/>
    <cellStyle name="20% - 强调文字颜色 2 16 5 4" xfId="5416"/>
    <cellStyle name="20% - 强调文字颜色 2 16 5 5" xfId="5429"/>
    <cellStyle name="20% - 强调文字颜色 2 16 5 6" xfId="5443"/>
    <cellStyle name="20% - 强调文字颜色 2 16 5 6 2" xfId="1441"/>
    <cellStyle name="20% - 强调文字颜色 2 16 5 6 3" xfId="1473"/>
    <cellStyle name="20% - 强调文字颜色 2 16 5 7" xfId="5459"/>
    <cellStyle name="20% - 强调文字颜色 2 16 5 8" xfId="5472"/>
    <cellStyle name="20% - 强调文字颜色 2 16 5 9" xfId="5481"/>
    <cellStyle name="20% - 强调文字颜色 2 16 6" xfId="5490"/>
    <cellStyle name="20% - 强调文字颜色 2 16 6 2" xfId="5496"/>
    <cellStyle name="20% - 强调文字颜色 2 16 6 2 2" xfId="5511"/>
    <cellStyle name="20% - 强调文字颜色 2 16 6 2 3" xfId="5530"/>
    <cellStyle name="20% - 强调文字颜色 2 16 6 3" xfId="5534"/>
    <cellStyle name="20% - 强调文字颜色 2 16 6 4" xfId="5538"/>
    <cellStyle name="20% - 强调文字颜色 2 16 6 5" xfId="5542"/>
    <cellStyle name="20% - 强调文字颜色 2 16 6 6" xfId="5547"/>
    <cellStyle name="20% - 强调文字颜色 2 16 6 7" xfId="5553"/>
    <cellStyle name="20% - 强调文字颜色 2 16 6 8" xfId="5557"/>
    <cellStyle name="20% - 强调文字颜色 2 16 7" xfId="5564"/>
    <cellStyle name="20% - 强调文字颜色 2 16 8" xfId="5571"/>
    <cellStyle name="20% - 强调文字颜色 2 16 9" xfId="5578"/>
    <cellStyle name="20% - 强调文字颜色 2 16 9 2" xfId="5599"/>
    <cellStyle name="20% - 强调文字颜色 2 16 9 3" xfId="5608"/>
    <cellStyle name="20% - 强调文字颜色 2 17" xfId="2929"/>
    <cellStyle name="20% - 强调文字颜色 2 17 10" xfId="5614"/>
    <cellStyle name="20% - 强调文字颜色 2 17 11" xfId="3940"/>
    <cellStyle name="20% - 强调文字颜色 2 17 12" xfId="4024"/>
    <cellStyle name="20% - 强调文字颜色 2 17 13" xfId="4033"/>
    <cellStyle name="20% - 强调文字颜色 2 17 14" xfId="4041"/>
    <cellStyle name="20% - 强调文字颜色 2 17 2" xfId="5624"/>
    <cellStyle name="20% - 强调文字颜色 2 17 3" xfId="5629"/>
    <cellStyle name="20% - 强调文字颜色 2 17 4" xfId="5634"/>
    <cellStyle name="20% - 强调文字颜色 2 17 5" xfId="5640"/>
    <cellStyle name="20% - 强调文字颜色 2 17 5 10" xfId="5647"/>
    <cellStyle name="20% - 强调文字颜色 2 17 5 11" xfId="5653"/>
    <cellStyle name="20% - 强调文字颜色 2 17 5 2" xfId="5659"/>
    <cellStyle name="20% - 强调文字颜色 2 17 5 2 2" xfId="5668"/>
    <cellStyle name="20% - 强调文字颜色 2 17 5 2 2 2" xfId="5676"/>
    <cellStyle name="20% - 强调文字颜色 2 17 5 2 2 3" xfId="5682"/>
    <cellStyle name="20% - 强调文字颜色 2 17 5 2 3" xfId="5687"/>
    <cellStyle name="20% - 强调文字颜色 2 17 5 2 4" xfId="5690"/>
    <cellStyle name="20% - 强调文字颜色 2 17 5 2 5" xfId="1707"/>
    <cellStyle name="20% - 强调文字颜色 2 17 5 2 6" xfId="1733"/>
    <cellStyle name="20% - 强调文字颜色 2 17 5 2 7" xfId="5693"/>
    <cellStyle name="20% - 强调文字颜色 2 17 5 2 8" xfId="5697"/>
    <cellStyle name="20% - 强调文字颜色 2 17 5 3" xfId="5701"/>
    <cellStyle name="20% - 强调文字颜色 2 17 5 4" xfId="5709"/>
    <cellStyle name="20% - 强调文字颜色 2 17 5 5" xfId="5715"/>
    <cellStyle name="20% - 强调文字颜色 2 17 5 6" xfId="5729"/>
    <cellStyle name="20% - 强调文字颜色 2 17 5 6 2" xfId="4086"/>
    <cellStyle name="20% - 强调文字颜色 2 17 5 6 3" xfId="4092"/>
    <cellStyle name="20% - 强调文字颜色 2 17 5 7" xfId="5750"/>
    <cellStyle name="20% - 强调文字颜色 2 17 5 8" xfId="5760"/>
    <cellStyle name="20% - 强调文字颜色 2 17 5 9" xfId="5771"/>
    <cellStyle name="20% - 强调文字颜色 2 17 6" xfId="3037"/>
    <cellStyle name="20% - 强调文字颜色 2 17 6 2" xfId="5790"/>
    <cellStyle name="20% - 强调文字颜色 2 17 6 2 2" xfId="5796"/>
    <cellStyle name="20% - 强调文字颜色 2 17 6 2 3" xfId="5807"/>
    <cellStyle name="20% - 强调文字颜色 2 17 6 3" xfId="5817"/>
    <cellStyle name="20% - 强调文字颜色 2 17 6 4" xfId="5826"/>
    <cellStyle name="20% - 强调文字颜色 2 17 6 5" xfId="5831"/>
    <cellStyle name="20% - 强调文字颜色 2 17 6 6" xfId="5836"/>
    <cellStyle name="20% - 强调文字颜色 2 17 6 7" xfId="5840"/>
    <cellStyle name="20% - 强调文字颜色 2 17 6 8" xfId="5843"/>
    <cellStyle name="20% - 强调文字颜色 2 17 7" xfId="3051"/>
    <cellStyle name="20% - 强调文字颜色 2 17 8" xfId="5853"/>
    <cellStyle name="20% - 强调文字颜色 2 17 9" xfId="5859"/>
    <cellStyle name="20% - 强调文字颜色 2 17 9 2" xfId="5868"/>
    <cellStyle name="20% - 强调文字颜色 2 17 9 3" xfId="5873"/>
    <cellStyle name="20% - 强调文字颜色 2 18" xfId="5877"/>
    <cellStyle name="20% - 强调文字颜色 2 18 10" xfId="267"/>
    <cellStyle name="20% - 强调文字颜色 2 18 11" xfId="5881"/>
    <cellStyle name="20% - 强调文字颜色 2 18 12" xfId="5887"/>
    <cellStyle name="20% - 强调文字颜色 2 18 13" xfId="5895"/>
    <cellStyle name="20% - 强调文字颜色 2 18 14" xfId="5900"/>
    <cellStyle name="20% - 强调文字颜色 2 18 2" xfId="5903"/>
    <cellStyle name="20% - 强调文字颜色 2 18 3" xfId="5907"/>
    <cellStyle name="20% - 强调文字颜色 2 18 4" xfId="5912"/>
    <cellStyle name="20% - 强调文字颜色 2 18 5" xfId="270"/>
    <cellStyle name="20% - 强调文字颜色 2 18 5 10" xfId="2466"/>
    <cellStyle name="20% - 强调文字颜色 2 18 5 11" xfId="2483"/>
    <cellStyle name="20% - 强调文字颜色 2 18 5 2" xfId="3592"/>
    <cellStyle name="20% - 强调文字颜色 2 18 5 2 2" xfId="5916"/>
    <cellStyle name="20% - 强调文字颜色 2 18 5 2 2 2" xfId="245"/>
    <cellStyle name="20% - 强调文字颜色 2 18 5 2 2 3" xfId="5923"/>
    <cellStyle name="20% - 强调文字颜色 2 18 5 2 3" xfId="5926"/>
    <cellStyle name="20% - 强调文字颜色 2 18 5 2 4" xfId="688"/>
    <cellStyle name="20% - 强调文字颜色 2 18 5 2 5" xfId="720"/>
    <cellStyle name="20% - 强调文字颜色 2 18 5 2 6" xfId="749"/>
    <cellStyle name="20% - 强调文字颜色 2 18 5 2 7" xfId="1275"/>
    <cellStyle name="20% - 强调文字颜色 2 18 5 2 8" xfId="1287"/>
    <cellStyle name="20% - 强调文字颜色 2 18 5 3" xfId="3604"/>
    <cellStyle name="20% - 强调文字颜色 2 18 5 4" xfId="5932"/>
    <cellStyle name="20% - 强调文字颜色 2 18 5 5" xfId="5944"/>
    <cellStyle name="20% - 强调文字颜色 2 18 5 6" xfId="5956"/>
    <cellStyle name="20% - 强调文字颜色 2 18 5 6 2" xfId="2283"/>
    <cellStyle name="20% - 强调文字颜色 2 18 5 6 3" xfId="831"/>
    <cellStyle name="20% - 强调文字颜色 2 18 5 7" xfId="1498"/>
    <cellStyle name="20% - 强调文字颜色 2 18 5 8" xfId="1513"/>
    <cellStyle name="20% - 强调文字颜色 2 18 5 9" xfId="4418"/>
    <cellStyle name="20% - 强调文字颜色 2 18 6" xfId="5879"/>
    <cellStyle name="20% - 强调文字颜色 2 18 6 2" xfId="5965"/>
    <cellStyle name="20% - 强调文字颜色 2 18 6 2 2" xfId="5971"/>
    <cellStyle name="20% - 强调文字颜色 2 18 6 2 3" xfId="5977"/>
    <cellStyle name="20% - 强调文字颜色 2 18 6 3" xfId="5979"/>
    <cellStyle name="20% - 强调文字颜色 2 18 6 4" xfId="5983"/>
    <cellStyle name="20% - 强调文字颜色 2 18 6 5" xfId="5988"/>
    <cellStyle name="20% - 强调文字颜色 2 18 6 6" xfId="5995"/>
    <cellStyle name="20% - 强调文字颜色 2 18 6 7" xfId="6005"/>
    <cellStyle name="20% - 强调文字颜色 2 18 6 8" xfId="6008"/>
    <cellStyle name="20% - 强调文字颜色 2 18 7" xfId="5885"/>
    <cellStyle name="20% - 强调文字颜色 2 18 8" xfId="5893"/>
    <cellStyle name="20% - 强调文字颜色 2 18 9" xfId="5898"/>
    <cellStyle name="20% - 强调文字颜色 2 18 9 2" xfId="6018"/>
    <cellStyle name="20% - 强调文字颜色 2 18 9 3" xfId="6022"/>
    <cellStyle name="20% - 强调文字颜色 2 19" xfId="6024"/>
    <cellStyle name="20% - 强调文字颜色 2 2" xfId="6030"/>
    <cellStyle name="20% - 强调文字颜色 2 2 10" xfId="1206"/>
    <cellStyle name="20% - 强调文字颜色 2 2 11" xfId="529"/>
    <cellStyle name="20% - 强调文字颜色 2 2 12" xfId="6038"/>
    <cellStyle name="20% - 强调文字颜色 2 2 13" xfId="6044"/>
    <cellStyle name="20% - 强调文字颜色 2 2 14" xfId="6051"/>
    <cellStyle name="20% - 强调文字颜色 2 2 15" xfId="6057"/>
    <cellStyle name="20% - 强调文字颜色 2 2 16" xfId="6064"/>
    <cellStyle name="20% - 强调文字颜色 2 2 17" xfId="1889"/>
    <cellStyle name="20% - 强调文字颜色 2 2 17 10" xfId="6077"/>
    <cellStyle name="20% - 强调文字颜色 2 2 17 11" xfId="6081"/>
    <cellStyle name="20% - 强调文字颜色 2 2 17 12" xfId="6083"/>
    <cellStyle name="20% - 强调文字颜色 2 2 17 13" xfId="6085"/>
    <cellStyle name="20% - 强调文字颜色 2 2 17 14" xfId="6086"/>
    <cellStyle name="20% - 强调文字颜色 2 2 17 2" xfId="672"/>
    <cellStyle name="20% - 强调文字颜色 2 2 17 3" xfId="703"/>
    <cellStyle name="20% - 强调文字颜色 2 2 17 4" xfId="744"/>
    <cellStyle name="20% - 强调文字颜色 2 2 17 5" xfId="1270"/>
    <cellStyle name="20% - 强调文字颜色 2 2 17 5 10" xfId="3165"/>
    <cellStyle name="20% - 强调文字颜色 2 2 17 5 11" xfId="3169"/>
    <cellStyle name="20% - 强调文字颜色 2 2 17 5 2" xfId="3180"/>
    <cellStyle name="20% - 强调文字颜色 2 2 17 5 2 2" xfId="6087"/>
    <cellStyle name="20% - 强调文字颜色 2 2 17 5 2 2 2" xfId="4649"/>
    <cellStyle name="20% - 强调文字颜色 2 2 17 5 2 2 3" xfId="4657"/>
    <cellStyle name="20% - 强调文字颜色 2 2 17 5 2 3" xfId="6088"/>
    <cellStyle name="20% - 强调文字颜色 2 2 17 5 2 4" xfId="5279"/>
    <cellStyle name="20% - 强调文字颜色 2 2 17 5 2 5" xfId="5286"/>
    <cellStyle name="20% - 强调文字颜色 2 2 17 5 2 6" xfId="6091"/>
    <cellStyle name="20% - 强调文字颜色 2 2 17 5 2 7" xfId="6093"/>
    <cellStyle name="20% - 强调文字颜色 2 2 17 5 2 8" xfId="6095"/>
    <cellStyle name="20% - 强调文字颜色 2 2 17 5 3" xfId="3185"/>
    <cellStyle name="20% - 强调文字颜色 2 2 17 5 4" xfId="3191"/>
    <cellStyle name="20% - 强调文字颜色 2 2 17 5 5" xfId="3195"/>
    <cellStyle name="20% - 强调文字颜色 2 2 17 5 6" xfId="3251"/>
    <cellStyle name="20% - 强调文字颜色 2 2 17 5 6 2" xfId="2463"/>
    <cellStyle name="20% - 强调文字颜色 2 2 17 5 6 3" xfId="2480"/>
    <cellStyle name="20% - 强调文字颜色 2 2 17 5 7" xfId="2644"/>
    <cellStyle name="20% - 强调文字颜色 2 2 17 5 8" xfId="2664"/>
    <cellStyle name="20% - 强调文字颜色 2 2 17 5 9" xfId="3283"/>
    <cellStyle name="20% - 强调文字颜色 2 2 17 6" xfId="6098"/>
    <cellStyle name="20% - 强调文字颜色 2 2 17 6 2" xfId="5185"/>
    <cellStyle name="20% - 强调文字颜色 2 2 17 6 2 2" xfId="6108"/>
    <cellStyle name="20% - 强调文字颜色 2 2 17 6 2 3" xfId="6116"/>
    <cellStyle name="20% - 强调文字颜色 2 2 17 6 3" xfId="5191"/>
    <cellStyle name="20% - 强调文字颜色 2 2 17 6 4" xfId="6119"/>
    <cellStyle name="20% - 强调文字颜色 2 2 17 6 5" xfId="6122"/>
    <cellStyle name="20% - 强调文字颜色 2 2 17 6 6" xfId="6126"/>
    <cellStyle name="20% - 强调文字颜色 2 2 17 6 7" xfId="6131"/>
    <cellStyle name="20% - 强调文字颜色 2 2 17 6 8" xfId="6137"/>
    <cellStyle name="20% - 强调文字颜色 2 2 17 7" xfId="6138"/>
    <cellStyle name="20% - 强调文字颜色 2 2 17 8" xfId="6150"/>
    <cellStyle name="20% - 强调文字颜色 2 2 17 9" xfId="6158"/>
    <cellStyle name="20% - 强调文字颜色 2 2 17 9 2" xfId="6159"/>
    <cellStyle name="20% - 强调文字颜色 2 2 17 9 3" xfId="6162"/>
    <cellStyle name="20% - 强调文字颜色 2 2 18" xfId="1908"/>
    <cellStyle name="20% - 强调文字颜色 2 2 18 10" xfId="3057"/>
    <cellStyle name="20% - 强调文字颜色 2 2 18 11" xfId="3087"/>
    <cellStyle name="20% - 强调文字颜色 2 2 18 12" xfId="3091"/>
    <cellStyle name="20% - 强调文字颜色 2 2 18 13" xfId="3095"/>
    <cellStyle name="20% - 强调文字颜色 2 2 18 14" xfId="6165"/>
    <cellStyle name="20% - 强调文字颜色 2 2 18 2" xfId="6168"/>
    <cellStyle name="20% - 强调文字颜色 2 2 18 3" xfId="6171"/>
    <cellStyle name="20% - 强调文字颜色 2 2 18 4" xfId="6176"/>
    <cellStyle name="20% - 强调文字颜色 2 2 18 5" xfId="6181"/>
    <cellStyle name="20% - 强调文字颜色 2 2 18 5 10" xfId="6183"/>
    <cellStyle name="20% - 强调文字颜色 2 2 18 5 11" xfId="1249"/>
    <cellStyle name="20% - 强调文字颜色 2 2 18 5 2" xfId="6184"/>
    <cellStyle name="20% - 强调文字颜色 2 2 18 5 2 2" xfId="4287"/>
    <cellStyle name="20% - 强调文字颜色 2 2 18 5 2 2 2" xfId="2798"/>
    <cellStyle name="20% - 强调文字颜色 2 2 18 5 2 2 3" xfId="2805"/>
    <cellStyle name="20% - 强调文字颜色 2 2 18 5 2 3" xfId="4298"/>
    <cellStyle name="20% - 强调文字颜色 2 2 18 5 2 4" xfId="3964"/>
    <cellStyle name="20% - 强调文字颜色 2 2 18 5 2 5" xfId="3989"/>
    <cellStyle name="20% - 强调文字颜色 2 2 18 5 2 6" xfId="4922"/>
    <cellStyle name="20% - 强调文字颜色 2 2 18 5 2 7" xfId="5224"/>
    <cellStyle name="20% - 强调文字颜色 2 2 18 5 2 8" xfId="2845"/>
    <cellStyle name="20% - 强调文字颜色 2 2 18 5 3" xfId="6186"/>
    <cellStyle name="20% - 强调文字颜色 2 2 18 5 4" xfId="6188"/>
    <cellStyle name="20% - 强调文字颜色 2 2 18 5 5" xfId="6190"/>
    <cellStyle name="20% - 强调文字颜色 2 2 18 5 6" xfId="6192"/>
    <cellStyle name="20% - 强调文字颜色 2 2 18 5 6 2" xfId="6193"/>
    <cellStyle name="20% - 强调文字颜色 2 2 18 5 6 3" xfId="6202"/>
    <cellStyle name="20% - 强调文字颜色 2 2 18 5 7" xfId="6210"/>
    <cellStyle name="20% - 强调文字颜色 2 2 18 5 8" xfId="6213"/>
    <cellStyle name="20% - 强调文字颜色 2 2 18 5 9" xfId="366"/>
    <cellStyle name="20% - 强调文字颜色 2 2 18 6" xfId="6216"/>
    <cellStyle name="20% - 强调文字颜色 2 2 18 6 2" xfId="343"/>
    <cellStyle name="20% - 强调文字颜色 2 2 18 6 2 2" xfId="6226"/>
    <cellStyle name="20% - 强调文字颜色 2 2 18 6 2 3" xfId="6230"/>
    <cellStyle name="20% - 强调文字颜色 2 2 18 6 3" xfId="331"/>
    <cellStyle name="20% - 强调文字颜色 2 2 18 6 4" xfId="606"/>
    <cellStyle name="20% - 强调文字颜色 2 2 18 6 5" xfId="623"/>
    <cellStyle name="20% - 强调文字颜色 2 2 18 6 6" xfId="653"/>
    <cellStyle name="20% - 强调文字颜色 2 2 18 6 7" xfId="6235"/>
    <cellStyle name="20% - 强调文字颜色 2 2 18 6 8" xfId="6239"/>
    <cellStyle name="20% - 强调文字颜色 2 2 18 7" xfId="6242"/>
    <cellStyle name="20% - 强调文字颜色 2 2 18 8" xfId="6246"/>
    <cellStyle name="20% - 强调文字颜色 2 2 18 9" xfId="6250"/>
    <cellStyle name="20% - 强调文字颜色 2 2 18 9 2" xfId="6254"/>
    <cellStyle name="20% - 强调文字颜色 2 2 18 9 3" xfId="6256"/>
    <cellStyle name="20% - 强调文字颜色 2 2 19" xfId="1934"/>
    <cellStyle name="20% - 强调文字颜色 2 2 19 10" xfId="6264"/>
    <cellStyle name="20% - 强调文字颜色 2 2 19 11" xfId="6272"/>
    <cellStyle name="20% - 强调文字颜色 2 2 19 12" xfId="6280"/>
    <cellStyle name="20% - 强调文字颜色 2 2 19 13" xfId="4831"/>
    <cellStyle name="20% - 强调文字颜色 2 2 19 14" xfId="4854"/>
    <cellStyle name="20% - 强调文字颜色 2 2 19 2" xfId="6288"/>
    <cellStyle name="20% - 强调文字颜色 2 2 19 3" xfId="6296"/>
    <cellStyle name="20% - 强调文字颜色 2 2 19 4" xfId="635"/>
    <cellStyle name="20% - 强调文字颜色 2 2 19 5" xfId="665"/>
    <cellStyle name="20% - 强调文字颜色 2 2 19 5 10" xfId="6299"/>
    <cellStyle name="20% - 强调文字颜色 2 2 19 5 11" xfId="6303"/>
    <cellStyle name="20% - 强调文字颜色 2 2 19 5 2" xfId="6308"/>
    <cellStyle name="20% - 强调文字颜色 2 2 19 5 2 2" xfId="6310"/>
    <cellStyle name="20% - 强调文字颜色 2 2 19 5 2 2 2" xfId="6311"/>
    <cellStyle name="20% - 强调文字颜色 2 2 19 5 2 2 3" xfId="6312"/>
    <cellStyle name="20% - 强调文字颜色 2 2 19 5 2 3" xfId="6314"/>
    <cellStyle name="20% - 强调文字颜色 2 2 19 5 2 4" xfId="6319"/>
    <cellStyle name="20% - 强调文字颜色 2 2 19 5 2 5" xfId="6323"/>
    <cellStyle name="20% - 强调文字颜色 2 2 19 5 2 6" xfId="6329"/>
    <cellStyle name="20% - 强调文字颜色 2 2 19 5 2 7" xfId="6335"/>
    <cellStyle name="20% - 强调文字颜色 2 2 19 5 2 8" xfId="3403"/>
    <cellStyle name="20% - 强调文字颜色 2 2 19 5 3" xfId="6337"/>
    <cellStyle name="20% - 强调文字颜色 2 2 19 5 4" xfId="6340"/>
    <cellStyle name="20% - 强调文字颜色 2 2 19 5 5" xfId="6344"/>
    <cellStyle name="20% - 强调文字颜色 2 2 19 5 6" xfId="6348"/>
    <cellStyle name="20% - 强调文字颜色 2 2 19 5 6 2" xfId="6351"/>
    <cellStyle name="20% - 强调文字颜色 2 2 19 5 6 3" xfId="6353"/>
    <cellStyle name="20% - 强调文字颜色 2 2 19 5 7" xfId="6356"/>
    <cellStyle name="20% - 强调文字颜色 2 2 19 5 8" xfId="6360"/>
    <cellStyle name="20% - 强调文字颜色 2 2 19 5 9" xfId="6365"/>
    <cellStyle name="20% - 强调文字颜色 2 2 19 6" xfId="1905"/>
    <cellStyle name="20% - 强调文字颜色 2 2 19 6 2" xfId="686"/>
    <cellStyle name="20% - 强调文字颜色 2 2 19 6 2 2" xfId="6369"/>
    <cellStyle name="20% - 强调文字颜色 2 2 19 6 2 3" xfId="6375"/>
    <cellStyle name="20% - 强调文字颜色 2 2 19 6 3" xfId="718"/>
    <cellStyle name="20% - 强调文字颜色 2 2 19 6 4" xfId="6379"/>
    <cellStyle name="20% - 强调文字颜色 2 2 19 6 5" xfId="6383"/>
    <cellStyle name="20% - 强调文字颜色 2 2 19 6 6" xfId="6390"/>
    <cellStyle name="20% - 强调文字颜色 2 2 19 6 7" xfId="6397"/>
    <cellStyle name="20% - 强调文字颜色 2 2 19 6 8" xfId="6404"/>
    <cellStyle name="20% - 强调文字颜色 2 2 19 7" xfId="1931"/>
    <cellStyle name="20% - 强调文字颜色 2 2 19 8" xfId="1961"/>
    <cellStyle name="20% - 强调文字颜色 2 2 19 9" xfId="1857"/>
    <cellStyle name="20% - 强调文字颜色 2 2 19 9 2" xfId="6408"/>
    <cellStyle name="20% - 强调文字颜色 2 2 19 9 3" xfId="6410"/>
    <cellStyle name="20% - 强调文字颜色 2 2 2" xfId="3360"/>
    <cellStyle name="20% - 强调文字颜色 2 2 2 10" xfId="6415"/>
    <cellStyle name="20% - 强调文字颜色 2 2 2 11" xfId="6424"/>
    <cellStyle name="20% - 强调文字颜色 2 2 2 12" xfId="6430"/>
    <cellStyle name="20% - 强调文字颜色 2 2 2 13" xfId="6438"/>
    <cellStyle name="20% - 强调文字颜色 2 2 2 14" xfId="6447"/>
    <cellStyle name="20% - 强调文字颜色 2 2 2 2" xfId="3577"/>
    <cellStyle name="20% - 强调文字颜色 2 2 2 3" xfId="3582"/>
    <cellStyle name="20% - 强调文字颜色 2 2 2 4" xfId="3585"/>
    <cellStyle name="20% - 强调文字颜色 2 2 2 5" xfId="3600"/>
    <cellStyle name="20% - 强调文字颜色 2 2 2 6" xfId="5929"/>
    <cellStyle name="20% - 强调文字颜色 2 2 2 7" xfId="5941"/>
    <cellStyle name="20% - 强调文字颜色 2 2 2 8" xfId="5952"/>
    <cellStyle name="20% - 强调文字颜色 2 2 2 9" xfId="1494"/>
    <cellStyle name="20% - 强调文字颜色 2 2 20" xfId="6058"/>
    <cellStyle name="20% - 强调文字颜色 2 2 20 10" xfId="6455"/>
    <cellStyle name="20% - 强调文字颜色 2 2 20 11" xfId="6459"/>
    <cellStyle name="20% - 强调文字颜色 2 2 20 12" xfId="6463"/>
    <cellStyle name="20% - 强调文字颜色 2 2 20 13" xfId="6465"/>
    <cellStyle name="20% - 强调文字颜色 2 2 20 14" xfId="6475"/>
    <cellStyle name="20% - 强调文字颜色 2 2 20 2" xfId="4257"/>
    <cellStyle name="20% - 强调文字颜色 2 2 20 3" xfId="6480"/>
    <cellStyle name="20% - 强调文字颜色 2 2 20 4" xfId="6487"/>
    <cellStyle name="20% - 强调文字颜色 2 2 20 5" xfId="6494"/>
    <cellStyle name="20% - 强调文字颜色 2 2 20 5 10" xfId="6501"/>
    <cellStyle name="20% - 强调文字颜色 2 2 20 5 11" xfId="5869"/>
    <cellStyle name="20% - 强调文字颜色 2 2 20 5 2" xfId="6278"/>
    <cellStyle name="20% - 强调文字颜色 2 2 20 5 2 2" xfId="6503"/>
    <cellStyle name="20% - 强调文字颜色 2 2 20 5 2 2 2" xfId="6508"/>
    <cellStyle name="20% - 强调文字颜色 2 2 20 5 2 2 3" xfId="6509"/>
    <cellStyle name="20% - 强调文字颜色 2 2 20 5 2 3" xfId="6512"/>
    <cellStyle name="20% - 强调文字颜色 2 2 20 5 2 4" xfId="284"/>
    <cellStyle name="20% - 强调文字颜色 2 2 20 5 2 5" xfId="6519"/>
    <cellStyle name="20% - 强调文字颜色 2 2 20 5 2 6" xfId="6526"/>
    <cellStyle name="20% - 强调文字颜色 2 2 20 5 2 7" xfId="1099"/>
    <cellStyle name="20% - 强调文字颜色 2 2 20 5 2 8" xfId="1156"/>
    <cellStyle name="20% - 强调文字颜色 2 2 20 5 3" xfId="4828"/>
    <cellStyle name="20% - 强调文字颜色 2 2 20 5 4" xfId="4850"/>
    <cellStyle name="20% - 强调文字颜色 2 2 20 5 5" xfId="4863"/>
    <cellStyle name="20% - 强调文字颜色 2 2 20 5 6" xfId="4867"/>
    <cellStyle name="20% - 强调文字颜色 2 2 20 5 6 2" xfId="6531"/>
    <cellStyle name="20% - 强调文字颜色 2 2 20 5 6 3" xfId="6535"/>
    <cellStyle name="20% - 强调文字颜色 2 2 20 5 7" xfId="4872"/>
    <cellStyle name="20% - 强调文字颜色 2 2 20 5 8" xfId="4880"/>
    <cellStyle name="20% - 强调文字颜色 2 2 20 5 9" xfId="1108"/>
    <cellStyle name="20% - 强调文字颜色 2 2 20 6" xfId="6538"/>
    <cellStyle name="20% - 强调文字颜色 2 2 20 6 2" xfId="6541"/>
    <cellStyle name="20% - 强调文字颜色 2 2 20 6 2 2" xfId="6551"/>
    <cellStyle name="20% - 强调文字颜色 2 2 20 6 2 3" xfId="6560"/>
    <cellStyle name="20% - 强调文字颜色 2 2 20 6 3" xfId="6563"/>
    <cellStyle name="20% - 强调文字颜色 2 2 20 6 4" xfId="6568"/>
    <cellStyle name="20% - 强调文字颜色 2 2 20 6 5" xfId="6574"/>
    <cellStyle name="20% - 强调文字颜色 2 2 20 6 6" xfId="6579"/>
    <cellStyle name="20% - 强调文字颜色 2 2 20 6 7" xfId="6584"/>
    <cellStyle name="20% - 强调文字颜色 2 2 20 6 8" xfId="6587"/>
    <cellStyle name="20% - 强调文字颜色 2 2 20 7" xfId="6596"/>
    <cellStyle name="20% - 强调文字颜色 2 2 20 8" xfId="6601"/>
    <cellStyle name="20% - 强调文字颜色 2 2 20 9" xfId="1483"/>
    <cellStyle name="20% - 强调文字颜色 2 2 20 9 2" xfId="1493"/>
    <cellStyle name="20% - 强调文字颜色 2 2 20 9 3" xfId="238"/>
    <cellStyle name="20% - 强调文字颜色 2 2 3" xfId="6605"/>
    <cellStyle name="20% - 强调文字颜色 2 2 3 10" xfId="3876"/>
    <cellStyle name="20% - 强调文字颜色 2 2 3 11" xfId="3883"/>
    <cellStyle name="20% - 强调文字颜色 2 2 3 12" xfId="4303"/>
    <cellStyle name="20% - 强调文字颜色 2 2 3 13" xfId="4560"/>
    <cellStyle name="20% - 强调文字颜色 2 2 3 14" xfId="4582"/>
    <cellStyle name="20% - 强调文字颜色 2 2 3 2" xfId="6606"/>
    <cellStyle name="20% - 强调文字颜色 2 2 3 3" xfId="6612"/>
    <cellStyle name="20% - 强调文字颜色 2 2 3 4" xfId="5961"/>
    <cellStyle name="20% - 强调文字颜色 2 2 3 5" xfId="5978"/>
    <cellStyle name="20% - 强调文字颜色 2 2 3 6" xfId="5982"/>
    <cellStyle name="20% - 强调文字颜色 2 2 3 7" xfId="5987"/>
    <cellStyle name="20% - 强调文字颜色 2 2 3 8" xfId="5993"/>
    <cellStyle name="20% - 强调文字颜色 2 2 3 9" xfId="6001"/>
    <cellStyle name="20% - 强调文字颜色 2 2 4" xfId="6620"/>
    <cellStyle name="20% - 强调文字颜色 2 2 4 10" xfId="6628"/>
    <cellStyle name="20% - 强调文字颜色 2 2 4 11" xfId="6635"/>
    <cellStyle name="20% - 强调文字颜色 2 2 4 12" xfId="6641"/>
    <cellStyle name="20% - 强调文字颜色 2 2 4 13" xfId="6648"/>
    <cellStyle name="20% - 强调文字颜色 2 2 4 14" xfId="6655"/>
    <cellStyle name="20% - 强调文字颜色 2 2 4 2" xfId="992"/>
    <cellStyle name="20% - 强调文字颜色 2 2 4 3" xfId="1014"/>
    <cellStyle name="20% - 强调文字颜色 2 2 4 4" xfId="1046"/>
    <cellStyle name="20% - 强调文字颜色 2 2 4 5" xfId="1066"/>
    <cellStyle name="20% - 强调文字颜色 2 2 4 6" xfId="1089"/>
    <cellStyle name="20% - 强调文字颜色 2 2 4 7" xfId="6656"/>
    <cellStyle name="20% - 强调文字颜色 2 2 4 8" xfId="6659"/>
    <cellStyle name="20% - 强调文字颜色 2 2 4 9" xfId="6663"/>
    <cellStyle name="20% - 强调文字颜色 2 2 5" xfId="6668"/>
    <cellStyle name="20% - 强调文字颜色 2 2 6" xfId="6673"/>
    <cellStyle name="20% - 强调文字颜色 2 2 7" xfId="6679"/>
    <cellStyle name="20% - 强调文字颜色 2 2 8" xfId="6685"/>
    <cellStyle name="20% - 强调文字颜色 2 2 9" xfId="6691"/>
    <cellStyle name="20% - 强调文字颜色 2 3" xfId="6696"/>
    <cellStyle name="20% - 强调文字颜色 2 3 10" xfId="6704"/>
    <cellStyle name="20% - 强调文字颜色 2 3 11" xfId="6709"/>
    <cellStyle name="20% - 强调文字颜色 2 3 12" xfId="6714"/>
    <cellStyle name="20% - 强调文字颜色 2 3 13" xfId="6718"/>
    <cellStyle name="20% - 强调文字颜色 2 3 14" xfId="6720"/>
    <cellStyle name="20% - 强调文字颜色 2 3 15" xfId="6722"/>
    <cellStyle name="20% - 强调文字颜色 2 3 16" xfId="434"/>
    <cellStyle name="20% - 强调文字颜色 2 3 17" xfId="6726"/>
    <cellStyle name="20% - 强调文字颜色 2 3 17 10" xfId="540"/>
    <cellStyle name="20% - 强调文字颜色 2 3 17 11" xfId="564"/>
    <cellStyle name="20% - 强调文字颜色 2 3 17 12" xfId="409"/>
    <cellStyle name="20% - 强调文字颜色 2 3 17 13" xfId="289"/>
    <cellStyle name="20% - 强调文字颜色 2 3 17 14" xfId="637"/>
    <cellStyle name="20% - 强调文字颜色 2 3 17 2" xfId="6072"/>
    <cellStyle name="20% - 强调文字颜色 2 3 17 2 2" xfId="6728"/>
    <cellStyle name="20% - 强调文字颜色 2 3 17 3" xfId="1896"/>
    <cellStyle name="20% - 强调文字颜色 2 3 17 4" xfId="1922"/>
    <cellStyle name="20% - 强调文字颜色 2 3 17 5" xfId="1946"/>
    <cellStyle name="20% - 强调文字颜色 2 3 17 5 10" xfId="6261"/>
    <cellStyle name="20% - 强调文字颜色 2 3 17 5 11" xfId="6270"/>
    <cellStyle name="20% - 强调文字颜色 2 3 17 5 2" xfId="6285"/>
    <cellStyle name="20% - 强调文字颜色 2 3 17 5 2 2" xfId="6729"/>
    <cellStyle name="20% - 强调文字颜色 2 3 17 5 2 2 2" xfId="3619"/>
    <cellStyle name="20% - 强调文字颜色 2 3 17 5 2 2 3" xfId="312"/>
    <cellStyle name="20% - 强调文字颜色 2 3 17 5 2 3" xfId="6730"/>
    <cellStyle name="20% - 强调文字颜色 2 3 17 5 2 4" xfId="6733"/>
    <cellStyle name="20% - 强调文字颜色 2 3 17 5 2 5" xfId="6735"/>
    <cellStyle name="20% - 强调文字颜色 2 3 17 5 2 6" xfId="6742"/>
    <cellStyle name="20% - 强调文字颜色 2 3 17 5 2 7" xfId="6752"/>
    <cellStyle name="20% - 强调文字颜色 2 3 17 5 2 8" xfId="6764"/>
    <cellStyle name="20% - 强调文字颜色 2 3 17 5 3" xfId="6292"/>
    <cellStyle name="20% - 强调文字颜色 2 3 17 5 4" xfId="633"/>
    <cellStyle name="20% - 强调文字颜色 2 3 17 5 5" xfId="661"/>
    <cellStyle name="20% - 强调文字颜色 2 3 17 5 6" xfId="1902"/>
    <cellStyle name="20% - 强调文字颜色 2 3 17 5 6 2" xfId="677"/>
    <cellStyle name="20% - 强调文字颜色 2 3 17 5 6 3" xfId="708"/>
    <cellStyle name="20% - 强调文字颜色 2 3 17 5 7" xfId="1928"/>
    <cellStyle name="20% - 强调文字颜色 2 3 17 5 8" xfId="1953"/>
    <cellStyle name="20% - 强调文字颜色 2 3 17 5 9" xfId="1840"/>
    <cellStyle name="20% - 强调文字颜色 2 3 17 6" xfId="1834"/>
    <cellStyle name="20% - 强调文字颜色 2 3 17 6 2" xfId="6315"/>
    <cellStyle name="20% - 强调文字颜色 2 3 17 6 2 2" xfId="6775"/>
    <cellStyle name="20% - 强调文字颜色 2 3 17 6 2 3" xfId="6789"/>
    <cellStyle name="20% - 强调文字颜色 2 3 17 6 3" xfId="6320"/>
    <cellStyle name="20% - 强调文字颜色 2 3 17 6 4" xfId="6324"/>
    <cellStyle name="20% - 强调文字颜色 2 3 17 6 5" xfId="6330"/>
    <cellStyle name="20% - 强调文字颜色 2 3 17 6 6" xfId="3399"/>
    <cellStyle name="20% - 强调文字颜色 2 3 17 6 7" xfId="1432"/>
    <cellStyle name="20% - 强调文字颜色 2 3 17 6 8" xfId="1464"/>
    <cellStyle name="20% - 强调文字颜色 2 3 17 7" xfId="1866"/>
    <cellStyle name="20% - 强调文字颜色 2 3 17 8" xfId="5067"/>
    <cellStyle name="20% - 强调文字颜色 2 3 17 9" xfId="5078"/>
    <cellStyle name="20% - 强调文字颜色 2 3 17 9 2" xfId="6792"/>
    <cellStyle name="20% - 强调文字颜色 2 3 17 9 3" xfId="6795"/>
    <cellStyle name="20% - 强调文字颜色 2 3 18" xfId="6800"/>
    <cellStyle name="20% - 强调文字颜色 2 3 18 10" xfId="6802"/>
    <cellStyle name="20% - 强调文字颜色 2 3 18 11" xfId="6803"/>
    <cellStyle name="20% - 强调文字颜色 2 3 18 12" xfId="6804"/>
    <cellStyle name="20% - 强调文字颜色 2 3 18 13" xfId="6805"/>
    <cellStyle name="20% - 强调文字颜色 2 3 18 14" xfId="6808"/>
    <cellStyle name="20% - 强调文字颜色 2 3 18 2" xfId="212"/>
    <cellStyle name="20% - 强调文字颜色 2 3 18 3" xfId="6809"/>
    <cellStyle name="20% - 强调文字颜色 2 3 18 4" xfId="6815"/>
    <cellStyle name="20% - 强调文字颜色 2 3 18 5" xfId="6830"/>
    <cellStyle name="20% - 强调文字颜色 2 3 18 5 10" xfId="5029"/>
    <cellStyle name="20% - 强调文字颜色 2 3 18 5 11" xfId="6507"/>
    <cellStyle name="20% - 强调文字颜色 2 3 18 5 2" xfId="6831"/>
    <cellStyle name="20% - 强调文字颜色 2 3 18 5 2 2" xfId="6832"/>
    <cellStyle name="20% - 强调文字颜色 2 3 18 5 2 2 2" xfId="3104"/>
    <cellStyle name="20% - 强调文字颜色 2 3 18 5 2 2 3" xfId="3140"/>
    <cellStyle name="20% - 强调文字颜色 2 3 18 5 2 3" xfId="6833"/>
    <cellStyle name="20% - 强调文字颜色 2 3 18 5 2 4" xfId="6835"/>
    <cellStyle name="20% - 强调文字颜色 2 3 18 5 2 5" xfId="6104"/>
    <cellStyle name="20% - 强调文字颜色 2 3 18 5 2 6" xfId="6111"/>
    <cellStyle name="20% - 强调文字颜色 2 3 18 5 2 7" xfId="6837"/>
    <cellStyle name="20% - 强调文字颜色 2 3 18 5 2 8" xfId="6842"/>
    <cellStyle name="20% - 强调文字颜色 2 3 18 5 3" xfId="6848"/>
    <cellStyle name="20% - 强调文字颜色 2 3 18 5 4" xfId="6851"/>
    <cellStyle name="20% - 强调文字颜色 2 3 18 5 5" xfId="6853"/>
    <cellStyle name="20% - 强调文字颜色 2 3 18 5 6" xfId="5678"/>
    <cellStyle name="20% - 强调文字颜色 2 3 18 5 6 2" xfId="5482"/>
    <cellStyle name="20% - 强调文字颜色 2 3 18 5 6 3" xfId="6857"/>
    <cellStyle name="20% - 强调文字颜色 2 3 18 5 7" xfId="5684"/>
    <cellStyle name="20% - 强调文字颜色 2 3 18 5 8" xfId="6865"/>
    <cellStyle name="20% - 强调文字颜色 2 3 18 5 9" xfId="2326"/>
    <cellStyle name="20% - 强调文字颜色 2 3 18 6" xfId="6869"/>
    <cellStyle name="20% - 强调文字颜色 2 3 18 6 2" xfId="6870"/>
    <cellStyle name="20% - 强调文字颜色 2 3 18 6 2 2" xfId="4789"/>
    <cellStyle name="20% - 强调文字颜色 2 3 18 6 2 3" xfId="4795"/>
    <cellStyle name="20% - 强调文字颜色 2 3 18 6 3" xfId="6877"/>
    <cellStyle name="20% - 强调文字颜色 2 3 18 6 4" xfId="6879"/>
    <cellStyle name="20% - 强调文字颜色 2 3 18 6 5" xfId="6882"/>
    <cellStyle name="20% - 强调文字颜色 2 3 18 6 6" xfId="6885"/>
    <cellStyle name="20% - 强调文字颜色 2 3 18 6 7" xfId="6886"/>
    <cellStyle name="20% - 强调文字颜色 2 3 18 6 8" xfId="3433"/>
    <cellStyle name="20% - 强调文字颜色 2 3 18 7" xfId="6890"/>
    <cellStyle name="20% - 强调文字颜色 2 3 18 8" xfId="6894"/>
    <cellStyle name="20% - 强调文字颜色 2 3 18 9" xfId="6898"/>
    <cellStyle name="20% - 强调文字颜色 2 3 18 9 2" xfId="6903"/>
    <cellStyle name="20% - 强调文字颜色 2 3 18 9 3" xfId="3205"/>
    <cellStyle name="20% - 强调文字颜色 2 3 19" xfId="6909"/>
    <cellStyle name="20% - 强调文字颜色 2 3 19 10" xfId="6912"/>
    <cellStyle name="20% - 强调文字颜色 2 3 19 11" xfId="6921"/>
    <cellStyle name="20% - 强调文字颜色 2 3 19 12" xfId="6929"/>
    <cellStyle name="20% - 强调文字颜色 2 3 19 13" xfId="4958"/>
    <cellStyle name="20% - 强调文字颜色 2 3 19 14" xfId="4979"/>
    <cellStyle name="20% - 强调文字颜色 2 3 19 2" xfId="870"/>
    <cellStyle name="20% - 强调文字颜色 2 3 19 3" xfId="882"/>
    <cellStyle name="20% - 强调文字颜色 2 3 19 4" xfId="895"/>
    <cellStyle name="20% - 强调文字颜色 2 3 19 5" xfId="6938"/>
    <cellStyle name="20% - 强调文字颜色 2 3 19 5 10" xfId="1542"/>
    <cellStyle name="20% - 强调文字颜色 2 3 19 5 11" xfId="1553"/>
    <cellStyle name="20% - 强调文字颜色 2 3 19 5 2" xfId="6939"/>
    <cellStyle name="20% - 强调文字颜色 2 3 19 5 2 2" xfId="6944"/>
    <cellStyle name="20% - 强调文字颜色 2 3 19 5 2 2 2" xfId="2533"/>
    <cellStyle name="20% - 强调文字颜色 2 3 19 5 2 2 3" xfId="2553"/>
    <cellStyle name="20% - 强调文字颜色 2 3 19 5 2 3" xfId="6949"/>
    <cellStyle name="20% - 强调文字颜色 2 3 19 5 2 4" xfId="6953"/>
    <cellStyle name="20% - 强调文字颜色 2 3 19 5 2 5" xfId="6219"/>
    <cellStyle name="20% - 强调文字颜色 2 3 19 5 2 6" xfId="6227"/>
    <cellStyle name="20% - 强调文字颜色 2 3 19 5 2 7" xfId="6960"/>
    <cellStyle name="20% - 强调文字颜色 2 3 19 5 2 8" xfId="6971"/>
    <cellStyle name="20% - 强调文字颜色 2 3 19 5 3" xfId="6972"/>
    <cellStyle name="20% - 强调文字颜色 2 3 19 5 4" xfId="6978"/>
    <cellStyle name="20% - 强调文字颜色 2 3 19 5 5" xfId="6984"/>
    <cellStyle name="20% - 强调文字颜色 2 3 19 5 6" xfId="6991"/>
    <cellStyle name="20% - 强调文字颜色 2 3 19 5 6 2" xfId="920"/>
    <cellStyle name="20% - 强调文字颜色 2 3 19 5 6 3" xfId="958"/>
    <cellStyle name="20% - 强调文字颜色 2 3 19 5 7" xfId="6998"/>
    <cellStyle name="20% - 强调文字颜色 2 3 19 5 8" xfId="7007"/>
    <cellStyle name="20% - 强调文字颜色 2 3 19 5 9" xfId="2769"/>
    <cellStyle name="20% - 强调文字颜色 2 3 19 6" xfId="7009"/>
    <cellStyle name="20% - 强调文字颜色 2 3 19 6 2" xfId="7016"/>
    <cellStyle name="20% - 强调文字颜色 2 3 19 6 2 2" xfId="6243"/>
    <cellStyle name="20% - 强调文字颜色 2 3 19 6 2 3" xfId="6247"/>
    <cellStyle name="20% - 强调文字颜色 2 3 19 6 3" xfId="7022"/>
    <cellStyle name="20% - 强调文字颜色 2 3 19 6 4" xfId="7029"/>
    <cellStyle name="20% - 强调文字颜色 2 3 19 6 5" xfId="7040"/>
    <cellStyle name="20% - 强调文字颜色 2 3 19 6 6" xfId="7053"/>
    <cellStyle name="20% - 强调文字颜色 2 3 19 6 7" xfId="7063"/>
    <cellStyle name="20% - 强调文字颜色 2 3 19 6 8" xfId="7067"/>
    <cellStyle name="20% - 强调文字颜色 2 3 19 7" xfId="462"/>
    <cellStyle name="20% - 强调文字颜色 2 3 19 8" xfId="7071"/>
    <cellStyle name="20% - 强调文字颜色 2 3 19 9" xfId="7075"/>
    <cellStyle name="20% - 强调文字颜色 2 3 19 9 2" xfId="7081"/>
    <cellStyle name="20% - 强调文字颜色 2 3 19 9 3" xfId="7089"/>
    <cellStyle name="20% - 强调文字颜色 2 3 2" xfId="7092"/>
    <cellStyle name="20% - 强调文字颜色 2 3 2 10" xfId="7100"/>
    <cellStyle name="20% - 强调文字颜色 2 3 2 11" xfId="7115"/>
    <cellStyle name="20% - 强调文字颜色 2 3 2 12" xfId="7122"/>
    <cellStyle name="20% - 强调文字颜色 2 3 2 13" xfId="7128"/>
    <cellStyle name="20% - 强调文字颜色 2 3 2 14" xfId="7136"/>
    <cellStyle name="20% - 强调文字颜色 2 3 2 2" xfId="3747"/>
    <cellStyle name="20% - 强调文字颜色 2 3 2 3" xfId="7147"/>
    <cellStyle name="20% - 强调文字颜色 2 3 2 4" xfId="7149"/>
    <cellStyle name="20% - 强调文字颜色 2 3 2 5" xfId="7155"/>
    <cellStyle name="20% - 强调文字颜色 2 3 2 6" xfId="7160"/>
    <cellStyle name="20% - 强调文字颜色 2 3 2 7" xfId="7164"/>
    <cellStyle name="20% - 强调文字颜色 2 3 2 8" xfId="7170"/>
    <cellStyle name="20% - 强调文字颜色 2 3 2 9" xfId="7175"/>
    <cellStyle name="20% - 强调文字颜色 2 3 20" xfId="6723"/>
    <cellStyle name="20% - 强调文字颜色 2 3 20 10" xfId="7181"/>
    <cellStyle name="20% - 强调文字颜色 2 3 20 11" xfId="7182"/>
    <cellStyle name="20% - 强调文字颜色 2 3 20 12" xfId="7183"/>
    <cellStyle name="20% - 强调文字颜色 2 3 20 13" xfId="7185"/>
    <cellStyle name="20% - 强调文字颜色 2 3 20 14" xfId="7188"/>
    <cellStyle name="20% - 强调文字颜色 2 3 20 2" xfId="6385"/>
    <cellStyle name="20% - 强调文字颜色 2 3 20 3" xfId="6392"/>
    <cellStyle name="20% - 强调文字颜色 2 3 20 4" xfId="6399"/>
    <cellStyle name="20% - 强调文字颜色 2 3 20 5" xfId="6405"/>
    <cellStyle name="20% - 强调文字颜色 2 3 20 5 10" xfId="7191"/>
    <cellStyle name="20% - 强调文字颜色 2 3 20 5 11" xfId="7197"/>
    <cellStyle name="20% - 强调文字颜色 2 3 20 5 2" xfId="4359"/>
    <cellStyle name="20% - 强调文字颜色 2 3 20 5 2 2" xfId="7203"/>
    <cellStyle name="20% - 强调文字颜色 2 3 20 5 2 2 2" xfId="7209"/>
    <cellStyle name="20% - 强调文字颜色 2 3 20 5 2 2 3" xfId="7215"/>
    <cellStyle name="20% - 强调文字颜色 2 3 20 5 2 3" xfId="7216"/>
    <cellStyle name="20% - 强调文字颜色 2 3 20 5 2 4" xfId="346"/>
    <cellStyle name="20% - 强调文字颜色 2 3 20 5 2 5" xfId="7217"/>
    <cellStyle name="20% - 强调文字颜色 2 3 20 5 2 6" xfId="193"/>
    <cellStyle name="20% - 强调文字颜色 2 3 20 5 2 7" xfId="340"/>
    <cellStyle name="20% - 强调文字颜色 2 3 20 5 2 8" xfId="329"/>
    <cellStyle name="20% - 强调文字颜色 2 3 20 5 3" xfId="4366"/>
    <cellStyle name="20% - 强调文字颜色 2 3 20 5 4" xfId="7220"/>
    <cellStyle name="20% - 强调文字颜色 2 3 20 5 5" xfId="7225"/>
    <cellStyle name="20% - 强调文字颜色 2 3 20 5 6" xfId="7229"/>
    <cellStyle name="20% - 强调文字颜色 2 3 20 5 6 2" xfId="4535"/>
    <cellStyle name="20% - 强调文字颜色 2 3 20 5 6 3" xfId="4546"/>
    <cellStyle name="20% - 强调文字颜色 2 3 20 5 7" xfId="7234"/>
    <cellStyle name="20% - 强调文字颜色 2 3 20 5 8" xfId="7244"/>
    <cellStyle name="20% - 强调文字颜色 2 3 20 5 9" xfId="7255"/>
    <cellStyle name="20% - 强调文字颜色 2 3 20 6" xfId="7257"/>
    <cellStyle name="20% - 强调文字颜色 2 3 20 6 2" xfId="4695"/>
    <cellStyle name="20% - 强调文字颜色 2 3 20 6 2 2" xfId="2801"/>
    <cellStyle name="20% - 强调文字颜色 2 3 20 6 2 3" xfId="2812"/>
    <cellStyle name="20% - 强调文字颜色 2 3 20 6 3" xfId="4699"/>
    <cellStyle name="20% - 强调文字颜色 2 3 20 6 4" xfId="7261"/>
    <cellStyle name="20% - 强调文字颜色 2 3 20 6 5" xfId="7267"/>
    <cellStyle name="20% - 强调文字颜色 2 3 20 6 6" xfId="7269"/>
    <cellStyle name="20% - 强调文字颜色 2 3 20 6 7" xfId="7271"/>
    <cellStyle name="20% - 强调文字颜色 2 3 20 6 8" xfId="7274"/>
    <cellStyle name="20% - 强调文字颜色 2 3 20 7" xfId="7275"/>
    <cellStyle name="20% - 强调文字颜色 2 3 20 8" xfId="7277"/>
    <cellStyle name="20% - 强调文字颜色 2 3 20 9" xfId="7282"/>
    <cellStyle name="20% - 强调文字颜色 2 3 20 9 2" xfId="7283"/>
    <cellStyle name="20% - 强调文字颜色 2 3 20 9 3" xfId="7284"/>
    <cellStyle name="20% - 强调文字颜色 2 3 3" xfId="7290"/>
    <cellStyle name="20% - 强调文字颜色 2 3 3 10" xfId="3976"/>
    <cellStyle name="20% - 强调文字颜色 2 3 3 11" xfId="4908"/>
    <cellStyle name="20% - 强调文字颜色 2 3 3 12" xfId="5210"/>
    <cellStyle name="20% - 强调文字颜色 2 3 3 13" xfId="2832"/>
    <cellStyle name="20% - 强调文字颜色 2 3 3 14" xfId="2853"/>
    <cellStyle name="20% - 强调文字颜色 2 3 3 2" xfId="7302"/>
    <cellStyle name="20% - 强调文字颜色 2 3 3 3" xfId="7319"/>
    <cellStyle name="20% - 强调文字颜色 2 3 3 4" xfId="7326"/>
    <cellStyle name="20% - 强调文字颜色 2 3 3 5" xfId="7335"/>
    <cellStyle name="20% - 强调文字颜色 2 3 3 6" xfId="7343"/>
    <cellStyle name="20% - 强调文字颜色 2 3 3 7" xfId="7354"/>
    <cellStyle name="20% - 强调文字颜色 2 3 3 8" xfId="7361"/>
    <cellStyle name="20% - 强调文字颜色 2 3 3 9" xfId="7363"/>
    <cellStyle name="20% - 强调文字颜色 2 3 4" xfId="7370"/>
    <cellStyle name="20% - 强调文字颜色 2 3 4 10" xfId="7371"/>
    <cellStyle name="20% - 强调文字颜色 2 3 4 11" xfId="7378"/>
    <cellStyle name="20% - 强调文字颜色 2 3 4 12" xfId="7384"/>
    <cellStyle name="20% - 强调文字颜色 2 3 4 13" xfId="761"/>
    <cellStyle name="20% - 强调文字颜色 2 3 4 14" xfId="494"/>
    <cellStyle name="20% - 强调文字颜色 2 3 4 2" xfId="7404"/>
    <cellStyle name="20% - 强调文字颜色 2 3 4 3" xfId="7415"/>
    <cellStyle name="20% - 强调文字颜色 2 3 4 4" xfId="7423"/>
    <cellStyle name="20% - 强调文字颜色 2 3 4 5" xfId="247"/>
    <cellStyle name="20% - 强调文字颜色 2 3 4 6" xfId="5924"/>
    <cellStyle name="20% - 强调文字颜色 2 3 4 7" xfId="7430"/>
    <cellStyle name="20% - 强调文字颜色 2 3 4 8" xfId="7431"/>
    <cellStyle name="20% - 强调文字颜色 2 3 4 9" xfId="7432"/>
    <cellStyle name="20% - 强调文字颜色 2 3 5" xfId="7439"/>
    <cellStyle name="20% - 强调文字颜色 2 3 6" xfId="2384"/>
    <cellStyle name="20% - 强调文字颜色 2 3 7" xfId="2616"/>
    <cellStyle name="20% - 强调文字颜色 2 3 8" xfId="2719"/>
    <cellStyle name="20% - 强调文字颜色 2 3 9" xfId="2739"/>
    <cellStyle name="20% - 强调文字颜色 2 4" xfId="7441"/>
    <cellStyle name="20% - 强调文字颜色 2 4 10" xfId="7445"/>
    <cellStyle name="20% - 强调文字颜色 2 4 11" xfId="7450"/>
    <cellStyle name="20% - 强调文字颜色 2 4 12" xfId="7453"/>
    <cellStyle name="20% - 强调文字颜色 2 4 13" xfId="7457"/>
    <cellStyle name="20% - 强调文字颜色 2 4 14" xfId="7012"/>
    <cellStyle name="20% - 强调文字颜色 2 4 15" xfId="7020"/>
    <cellStyle name="20% - 强调文字颜色 2 4 16" xfId="7028"/>
    <cellStyle name="20% - 强调文字颜色 2 4 17" xfId="7037"/>
    <cellStyle name="20% - 强调文字颜色 2 4 17 10" xfId="7462"/>
    <cellStyle name="20% - 强调文字颜色 2 4 17 11" xfId="4113"/>
    <cellStyle name="20% - 强调文字颜色 2 4 17 12" xfId="4121"/>
    <cellStyle name="20% - 强调文字颜色 2 4 17 13" xfId="4129"/>
    <cellStyle name="20% - 强调文字颜色 2 4 17 14" xfId="4145"/>
    <cellStyle name="20% - 强调文字颜色 2 4 17 2" xfId="7470"/>
    <cellStyle name="20% - 强调文字颜色 2 4 17 3" xfId="7477"/>
    <cellStyle name="20% - 强调文字颜色 2 4 17 4" xfId="7296"/>
    <cellStyle name="20% - 强调文字颜色 2 4 17 5" xfId="7305"/>
    <cellStyle name="20% - 强调文字颜色 2 4 17 5 10" xfId="739"/>
    <cellStyle name="20% - 强调文字颜色 2 4 17 5 11" xfId="1265"/>
    <cellStyle name="20% - 强调文字颜色 2 4 17 5 2" xfId="7481"/>
    <cellStyle name="20% - 强调文字颜色 2 4 17 5 2 2" xfId="7485"/>
    <cellStyle name="20% - 强调文字颜色 2 4 17 5 2 2 2" xfId="6593"/>
    <cellStyle name="20% - 强调文字颜色 2 4 17 5 2 2 3" xfId="6598"/>
    <cellStyle name="20% - 强调文字颜色 2 4 17 5 2 3" xfId="5357"/>
    <cellStyle name="20% - 强调文字颜色 2 4 17 5 2 4" xfId="5408"/>
    <cellStyle name="20% - 强调文字颜色 2 4 17 5 2 5" xfId="5421"/>
    <cellStyle name="20% - 强调文字颜色 2 4 17 5 2 6" xfId="5434"/>
    <cellStyle name="20% - 强调文字颜色 2 4 17 5 2 7" xfId="5448"/>
    <cellStyle name="20% - 强调文字颜色 2 4 17 5 2 8" xfId="5464"/>
    <cellStyle name="20% - 强调文字颜色 2 4 17 5 3" xfId="7488"/>
    <cellStyle name="20% - 强调文字颜色 2 4 17 5 4" xfId="7490"/>
    <cellStyle name="20% - 强调文字颜色 2 4 17 5 5" xfId="7496"/>
    <cellStyle name="20% - 强调文字颜色 2 4 17 5 6" xfId="7500"/>
    <cellStyle name="20% - 强调文字颜色 2 4 17 5 6 2" xfId="7517"/>
    <cellStyle name="20% - 强调文字颜色 2 4 17 5 6 3" xfId="5591"/>
    <cellStyle name="20% - 强调文字颜色 2 4 17 5 7" xfId="7522"/>
    <cellStyle name="20% - 强调文字颜色 2 4 17 5 8" xfId="7510"/>
    <cellStyle name="20% - 强调文字颜色 2 4 17 5 9" xfId="5586"/>
    <cellStyle name="20% - 强调文字颜色 2 4 17 6" xfId="7321"/>
    <cellStyle name="20% - 强调文字颜色 2 4 17 6 2" xfId="6187"/>
    <cellStyle name="20% - 强调文字颜色 2 4 17 6 2 2" xfId="7531"/>
    <cellStyle name="20% - 强调文字颜色 2 4 17 6 2 3" xfId="5666"/>
    <cellStyle name="20% - 强调文字颜色 2 4 17 6 3" xfId="6189"/>
    <cellStyle name="20% - 强调文字颜色 2 4 17 6 4" xfId="6191"/>
    <cellStyle name="20% - 强调文字颜色 2 4 17 6 5" xfId="6209"/>
    <cellStyle name="20% - 强调文字颜色 2 4 17 6 6" xfId="6211"/>
    <cellStyle name="20% - 强调文字颜色 2 4 17 6 7" xfId="365"/>
    <cellStyle name="20% - 强调文字颜色 2 4 17 6 8" xfId="7532"/>
    <cellStyle name="20% - 强调文字颜色 2 4 17 7" xfId="7329"/>
    <cellStyle name="20% - 强调文字颜色 2 4 17 8" xfId="7338"/>
    <cellStyle name="20% - 强调文字颜色 2 4 17 9" xfId="7346"/>
    <cellStyle name="20% - 强调文字颜色 2 4 17 9 2" xfId="7538"/>
    <cellStyle name="20% - 强调文字颜色 2 4 17 9 3" xfId="7550"/>
    <cellStyle name="20% - 强调文字颜色 2 4 18" xfId="7050"/>
    <cellStyle name="20% - 强调文字颜色 2 4 18 10" xfId="7553"/>
    <cellStyle name="20% - 强调文字颜色 2 4 18 11" xfId="7554"/>
    <cellStyle name="20% - 强调文字颜色 2 4 18 12" xfId="7557"/>
    <cellStyle name="20% - 强调文字颜色 2 4 18 13" xfId="7565"/>
    <cellStyle name="20% - 强调文字颜色 2 4 18 14" xfId="7575"/>
    <cellStyle name="20% - 强调文字颜色 2 4 18 2" xfId="7576"/>
    <cellStyle name="20% - 强调文字颜色 2 4 18 3" xfId="7578"/>
    <cellStyle name="20% - 强调文字颜色 2 4 18 4" xfId="7389"/>
    <cellStyle name="20% - 强调文字颜色 2 4 18 5" xfId="7408"/>
    <cellStyle name="20% - 强调文字颜色 2 4 18 5 10" xfId="1911"/>
    <cellStyle name="20% - 强调文字颜色 2 4 18 5 11" xfId="1936"/>
    <cellStyle name="20% - 强调文字颜色 2 4 18 5 2" xfId="7586"/>
    <cellStyle name="20% - 强调文字颜色 2 4 18 5 2 2" xfId="4631"/>
    <cellStyle name="20% - 强调文字颜色 2 4 18 5 2 2 2" xfId="6961"/>
    <cellStyle name="20% - 强调文字颜色 2 4 18 5 2 2 3" xfId="7591"/>
    <cellStyle name="20% - 强调文字颜色 2 4 18 5 2 3" xfId="7603"/>
    <cellStyle name="20% - 强调文字颜色 2 4 18 5 2 4" xfId="7610"/>
    <cellStyle name="20% - 强调文字颜色 2 4 18 5 2 5" xfId="6767"/>
    <cellStyle name="20% - 强调文字颜色 2 4 18 5 2 6" xfId="6784"/>
    <cellStyle name="20% - 强调文字颜色 2 4 18 5 2 7" xfId="7622"/>
    <cellStyle name="20% - 强调文字颜色 2 4 18 5 2 8" xfId="7633"/>
    <cellStyle name="20% - 强调文字颜色 2 4 18 5 3" xfId="7635"/>
    <cellStyle name="20% - 强调文字颜色 2 4 18 5 4" xfId="7636"/>
    <cellStyle name="20% - 强调文字颜色 2 4 18 5 5" xfId="7638"/>
    <cellStyle name="20% - 强调文字颜色 2 4 18 5 6" xfId="7640"/>
    <cellStyle name="20% - 强调文字颜色 2 4 18 5 6 2" xfId="5002"/>
    <cellStyle name="20% - 强调文字颜色 2 4 18 5 6 3" xfId="5005"/>
    <cellStyle name="20% - 强调文字颜色 2 4 18 5 7" xfId="7642"/>
    <cellStyle name="20% - 强调文字颜色 2 4 18 5 8" xfId="6497"/>
    <cellStyle name="20% - 强调文字颜色 2 4 18 5 9" xfId="5862"/>
    <cellStyle name="20% - 强调文字颜色 2 4 18 6" xfId="7419"/>
    <cellStyle name="20% - 强调文字颜色 2 4 18 6 2" xfId="6341"/>
    <cellStyle name="20% - 强调文字颜色 2 4 18 6 2 2" xfId="3704"/>
    <cellStyle name="20% - 强调文字颜色 2 4 18 6 2 3" xfId="3714"/>
    <cellStyle name="20% - 强调文字颜色 2 4 18 6 3" xfId="6345"/>
    <cellStyle name="20% - 强调文字颜色 2 4 18 6 4" xfId="6349"/>
    <cellStyle name="20% - 强调文字颜色 2 4 18 6 5" xfId="6357"/>
    <cellStyle name="20% - 强调文字颜色 2 4 18 6 6" xfId="6361"/>
    <cellStyle name="20% - 强调文字颜色 2 4 18 6 7" xfId="6363"/>
    <cellStyle name="20% - 强调文字颜色 2 4 18 6 8" xfId="7643"/>
    <cellStyle name="20% - 强调文字颜色 2 4 18 7" xfId="241"/>
    <cellStyle name="20% - 强调文字颜色 2 4 18 8" xfId="5919"/>
    <cellStyle name="20% - 强调文字颜色 2 4 18 9" xfId="7425"/>
    <cellStyle name="20% - 强调文字颜色 2 4 18 9 2" xfId="6062"/>
    <cellStyle name="20% - 强调文字颜色 2 4 18 9 3" xfId="6073"/>
    <cellStyle name="20% - 强调文字颜色 2 4 19" xfId="7060"/>
    <cellStyle name="20% - 强调文字颜色 2 4 19 10" xfId="6055"/>
    <cellStyle name="20% - 强调文字颜色 2 4 19 11" xfId="6060"/>
    <cellStyle name="20% - 强调文字颜色 2 4 19 12" xfId="6066"/>
    <cellStyle name="20% - 强调文字颜色 2 4 19 13" xfId="1891"/>
    <cellStyle name="20% - 强调文字颜色 2 4 19 14" xfId="1910"/>
    <cellStyle name="20% - 强调文字颜色 2 4 19 2" xfId="7651"/>
    <cellStyle name="20% - 强调文字颜色 2 4 19 3" xfId="7657"/>
    <cellStyle name="20% - 强调文字颜色 2 4 19 4" xfId="7663"/>
    <cellStyle name="20% - 强调文字颜色 2 4 19 5" xfId="7664"/>
    <cellStyle name="20% - 强调文字颜色 2 4 19 5 10" xfId="7301"/>
    <cellStyle name="20% - 强调文字颜色 2 4 19 5 11" xfId="7314"/>
    <cellStyle name="20% - 强调文字颜色 2 4 19 5 2" xfId="7665"/>
    <cellStyle name="20% - 强调文字颜色 2 4 19 5 2 2" xfId="4759"/>
    <cellStyle name="20% - 强调文字颜色 2 4 19 5 2 2 2" xfId="7667"/>
    <cellStyle name="20% - 强调文字颜色 2 4 19 5 2 2 3" xfId="7669"/>
    <cellStyle name="20% - 强调文字颜色 2 4 19 5 2 3" xfId="4768"/>
    <cellStyle name="20% - 强调文字颜色 2 4 19 5 2 4" xfId="4780"/>
    <cellStyle name="20% - 强调文字颜色 2 4 19 5 2 5" xfId="4786"/>
    <cellStyle name="20% - 强调文字颜色 2 4 19 5 2 6" xfId="4794"/>
    <cellStyle name="20% - 强调文字颜色 2 4 19 5 2 7" xfId="7675"/>
    <cellStyle name="20% - 强调文字颜色 2 4 19 5 2 8" xfId="7684"/>
    <cellStyle name="20% - 强调文字颜色 2 4 19 5 3" xfId="7687"/>
    <cellStyle name="20% - 强调文字颜色 2 4 19 5 4" xfId="7691"/>
    <cellStyle name="20% - 强调文字颜色 2 4 19 5 5" xfId="7697"/>
    <cellStyle name="20% - 强调文字颜色 2 4 19 5 6" xfId="7700"/>
    <cellStyle name="20% - 强调文字颜色 2 4 19 5 6 2" xfId="5721"/>
    <cellStyle name="20% - 强调文字颜色 2 4 19 5 6 3" xfId="5741"/>
    <cellStyle name="20% - 强调文字颜色 2 4 19 5 7" xfId="7701"/>
    <cellStyle name="20% - 强调文字颜色 2 4 19 5 8" xfId="7702"/>
    <cellStyle name="20% - 强调文字颜色 2 4 19 5 9" xfId="6013"/>
    <cellStyle name="20% - 强调文字颜色 2 4 19 6" xfId="7704"/>
    <cellStyle name="20% - 强调文字颜色 2 4 19 6 2" xfId="7705"/>
    <cellStyle name="20% - 强调文字颜色 2 4 19 6 2 2" xfId="7433"/>
    <cellStyle name="20% - 强调文字颜色 2 4 19 6 2 3" xfId="2375"/>
    <cellStyle name="20% - 强调文字颜色 2 4 19 6 3" xfId="7708"/>
    <cellStyle name="20% - 强调文字颜色 2 4 19 6 4" xfId="7712"/>
    <cellStyle name="20% - 强调文字颜色 2 4 19 6 5" xfId="7717"/>
    <cellStyle name="20% - 强调文字颜色 2 4 19 6 6" xfId="3630"/>
    <cellStyle name="20% - 强调文字颜色 2 4 19 6 7" xfId="2240"/>
    <cellStyle name="20% - 强调文字颜色 2 4 19 6 8" xfId="2264"/>
    <cellStyle name="20% - 强调文字颜色 2 4 19 7" xfId="7721"/>
    <cellStyle name="20% - 强调文字颜色 2 4 19 8" xfId="7725"/>
    <cellStyle name="20% - 强调文字颜色 2 4 19 9" xfId="7728"/>
    <cellStyle name="20% - 强调文字颜色 2 4 19 9 2" xfId="3543"/>
    <cellStyle name="20% - 强调文字颜色 2 4 19 9 3" xfId="3546"/>
    <cellStyle name="20% - 强调文字颜色 2 4 2" xfId="7734"/>
    <cellStyle name="20% - 强调文字颜色 2 4 20" xfId="7021"/>
    <cellStyle name="20% - 强调文字颜色 2 4 20 10" xfId="6577"/>
    <cellStyle name="20% - 强调文字颜色 2 4 20 11" xfId="6582"/>
    <cellStyle name="20% - 强调文字颜色 2 4 20 12" xfId="6585"/>
    <cellStyle name="20% - 强调文字颜色 2 4 20 13" xfId="6592"/>
    <cellStyle name="20% - 强调文字颜色 2 4 20 14" xfId="7739"/>
    <cellStyle name="20% - 强调文字颜色 2 4 20 2" xfId="1958"/>
    <cellStyle name="20% - 强调文字颜色 2 4 20 3" xfId="1845"/>
    <cellStyle name="20% - 强调文字颜色 2 4 20 4" xfId="1871"/>
    <cellStyle name="20% - 强调文字颜色 2 4 20 5" xfId="7742"/>
    <cellStyle name="20% - 强调文字颜色 2 4 20 5 10" xfId="7746"/>
    <cellStyle name="20% - 强调文字颜色 2 4 20 5 11" xfId="7749"/>
    <cellStyle name="20% - 强调文字颜色 2 4 20 5 2" xfId="7756"/>
    <cellStyle name="20% - 强调文字颜色 2 4 20 5 2 2" xfId="588"/>
    <cellStyle name="20% - 强调文字颜色 2 4 20 5 2 2 2" xfId="812"/>
    <cellStyle name="20% - 强调文字颜色 2 4 20 5 2 2 3" xfId="905"/>
    <cellStyle name="20% - 强调文字颜色 2 4 20 5 2 3" xfId="510"/>
    <cellStyle name="20% - 强调文字颜色 2 4 20 5 2 4" xfId="551"/>
    <cellStyle name="20% - 强调文字颜色 2 4 20 5 2 5" xfId="1223"/>
    <cellStyle name="20% - 强调文字颜色 2 4 20 5 2 6" xfId="1234"/>
    <cellStyle name="20% - 强调文字颜色 2 4 20 5 2 7" xfId="7770"/>
    <cellStyle name="20% - 强调文字颜色 2 4 20 5 2 8" xfId="7779"/>
    <cellStyle name="20% - 强调文字颜色 2 4 20 5 3" xfId="7784"/>
    <cellStyle name="20% - 强调文字颜色 2 4 20 5 4" xfId="7790"/>
    <cellStyle name="20% - 强调文字颜色 2 4 20 5 5" xfId="7795"/>
    <cellStyle name="20% - 强调文字颜色 2 4 20 5 6" xfId="7800"/>
    <cellStyle name="20% - 强调文字颜色 2 4 20 5 6 2" xfId="7802"/>
    <cellStyle name="20% - 强调文字颜色 2 4 20 5 6 3" xfId="7806"/>
    <cellStyle name="20% - 强调文字颜色 2 4 20 5 7" xfId="7808"/>
    <cellStyle name="20% - 强调文字颜色 2 4 20 5 8" xfId="7815"/>
    <cellStyle name="20% - 强调文字颜色 2 4 20 5 9" xfId="7823"/>
    <cellStyle name="20% - 强调文字颜色 2 4 20 6" xfId="7828"/>
    <cellStyle name="20% - 强调文字颜色 2 4 20 6 2" xfId="4894"/>
    <cellStyle name="20% - 强调文字颜色 2 4 20 6 2 2" xfId="7487"/>
    <cellStyle name="20% - 强调文字颜色 2 4 20 6 2 3" xfId="7495"/>
    <cellStyle name="20% - 强调文字颜色 2 4 20 6 3" xfId="7832"/>
    <cellStyle name="20% - 强调文字颜色 2 4 20 6 4" xfId="7834"/>
    <cellStyle name="20% - 强调文字颜色 2 4 20 6 5" xfId="2430"/>
    <cellStyle name="20% - 强调文字颜色 2 4 20 6 6" xfId="2452"/>
    <cellStyle name="20% - 强调文字颜色 2 4 20 6 7" xfId="2468"/>
    <cellStyle name="20% - 强调文字颜色 2 4 20 6 8" xfId="2488"/>
    <cellStyle name="20% - 强调文字颜色 2 4 20 7" xfId="7844"/>
    <cellStyle name="20% - 强调文字颜色 2 4 20 8" xfId="7859"/>
    <cellStyle name="20% - 强调文字颜色 2 4 20 9" xfId="7871"/>
    <cellStyle name="20% - 强调文字颜色 2 4 20 9 2" xfId="7872"/>
    <cellStyle name="20% - 强调文字颜色 2 4 20 9 3" xfId="7879"/>
    <cellStyle name="20% - 强调文字颜色 2 4 3" xfId="7891"/>
    <cellStyle name="20% - 强调文字颜色 2 4 4" xfId="7897"/>
    <cellStyle name="20% - 强调文字颜色 2 4 5" xfId="7900"/>
    <cellStyle name="20% - 强调文字颜色 2 4 6" xfId="5622"/>
    <cellStyle name="20% - 强调文字颜色 2 4 7" xfId="5627"/>
    <cellStyle name="20% - 强调文字颜色 2 4 8" xfId="5632"/>
    <cellStyle name="20% - 强调文字颜色 2 4 9" xfId="5642"/>
    <cellStyle name="20% - 强调文字颜色 2 5" xfId="7903"/>
    <cellStyle name="20% - 强调文字颜色 2 5 10" xfId="7904"/>
    <cellStyle name="20% - 强调文字颜色 2 5 11" xfId="7907"/>
    <cellStyle name="20% - 强调文字颜色 2 5 12" xfId="7912"/>
    <cellStyle name="20% - 强调文字颜色 2 5 13" xfId="7915"/>
    <cellStyle name="20% - 强调文字颜色 2 5 14" xfId="7918"/>
    <cellStyle name="20% - 强调文字颜色 2 5 2" xfId="6958"/>
    <cellStyle name="20% - 强调文字颜色 2 5 3" xfId="6967"/>
    <cellStyle name="20% - 强调文字颜色 2 5 4" xfId="7597"/>
    <cellStyle name="20% - 强调文字颜色 2 5 5" xfId="7926"/>
    <cellStyle name="20% - 强调文字颜色 2 5 6" xfId="5901"/>
    <cellStyle name="20% - 强调文字颜色 2 5 7" xfId="5905"/>
    <cellStyle name="20% - 强调文字颜色 2 5 8" xfId="5910"/>
    <cellStyle name="20% - 强调文字颜色 2 5 9" xfId="268"/>
    <cellStyle name="20% - 强调文字颜色 2 6" xfId="7931"/>
    <cellStyle name="20% - 强调文字颜色 2 6 10" xfId="7933"/>
    <cellStyle name="20% - 强调文字颜色 2 6 11" xfId="7934"/>
    <cellStyle name="20% - 强调文字颜色 2 6 12" xfId="7935"/>
    <cellStyle name="20% - 强调文字颜色 2 6 13" xfId="7936"/>
    <cellStyle name="20% - 强调文字颜色 2 6 14" xfId="7937"/>
    <cellStyle name="20% - 强调文字颜色 2 6 2" xfId="7941"/>
    <cellStyle name="20% - 强调文字颜色 2 6 3" xfId="7947"/>
    <cellStyle name="20% - 强调文字颜色 2 6 4" xfId="7955"/>
    <cellStyle name="20% - 强调文字颜色 2 6 5" xfId="7959"/>
    <cellStyle name="20% - 强调文字颜色 2 6 6" xfId="7966"/>
    <cellStyle name="20% - 强调文字颜色 2 6 7" xfId="7973"/>
    <cellStyle name="20% - 强调文字颜色 2 6 8" xfId="7980"/>
    <cellStyle name="20% - 强调文字颜色 2 6 9" xfId="7987"/>
    <cellStyle name="20% - 强调文字颜色 2 7" xfId="7993"/>
    <cellStyle name="20% - 强调文字颜色 2 8" xfId="7996"/>
    <cellStyle name="20% - 强调文字颜色 2 9" xfId="7999"/>
    <cellStyle name="20% - 强调文字颜色 3 10" xfId="3664"/>
    <cellStyle name="20% - 强调文字颜色 3 11" xfId="3673"/>
    <cellStyle name="20% - 强调文字颜色 3 12" xfId="3680"/>
    <cellStyle name="20% - 强调文字颜色 3 12 10" xfId="1480"/>
    <cellStyle name="20% - 强调文字颜色 3 12 11" xfId="1574"/>
    <cellStyle name="20% - 强调文字颜色 3 12 12" xfId="1579"/>
    <cellStyle name="20% - 强调文字颜色 3 12 13" xfId="1597"/>
    <cellStyle name="20% - 强调文字颜色 3 12 14" xfId="1612"/>
    <cellStyle name="20% - 强调文字颜色 3 12 2" xfId="1802"/>
    <cellStyle name="20% - 强调文字颜色 3 12 3" xfId="1821"/>
    <cellStyle name="20% - 强调文字颜色 3 12 4" xfId="8005"/>
    <cellStyle name="20% - 强调文字颜色 3 12 5" xfId="8008"/>
    <cellStyle name="20% - 强调文字颜色 3 12 5 10" xfId="4213"/>
    <cellStyle name="20% - 强调文字颜色 3 12 5 11" xfId="4274"/>
    <cellStyle name="20% - 强调文字颜色 3 12 5 2" xfId="7478"/>
    <cellStyle name="20% - 强调文字颜色 3 12 5 2 2" xfId="8010"/>
    <cellStyle name="20% - 强调文字颜色 3 12 5 2 2 2" xfId="8014"/>
    <cellStyle name="20% - 强调文字颜色 3 12 5 2 2 3" xfId="8017"/>
    <cellStyle name="20% - 强调文字颜色 3 12 5 2 3" xfId="8022"/>
    <cellStyle name="20% - 强调文字颜色 3 12 5 2 4" xfId="8023"/>
    <cellStyle name="20% - 强调文字颜色 3 12 5 2 5" xfId="8024"/>
    <cellStyle name="20% - 强调文字颜色 3 12 5 2 6" xfId="8028"/>
    <cellStyle name="20% - 强调文字颜色 3 12 5 2 7" xfId="8031"/>
    <cellStyle name="20% - 强调文字颜色 3 12 5 2 8" xfId="8032"/>
    <cellStyle name="20% - 强调文字颜色 3 12 5 3" xfId="7297"/>
    <cellStyle name="20% - 强调文字颜色 3 12 5 4" xfId="7310"/>
    <cellStyle name="20% - 强调文字颜色 3 12 5 5" xfId="7325"/>
    <cellStyle name="20% - 强调文字颜色 3 12 5 6" xfId="7334"/>
    <cellStyle name="20% - 强调文字颜色 3 12 5 6 2" xfId="603"/>
    <cellStyle name="20% - 强调文字颜色 3 12 5 6 3" xfId="621"/>
    <cellStyle name="20% - 强调文字颜色 3 12 5 7" xfId="7342"/>
    <cellStyle name="20% - 强调文字颜色 3 12 5 8" xfId="7353"/>
    <cellStyle name="20% - 强调文字颜色 3 12 5 9" xfId="7360"/>
    <cellStyle name="20% - 强调文字颜色 3 12 6" xfId="8037"/>
    <cellStyle name="20% - 强调文字颜色 3 12 6 2" xfId="7585"/>
    <cellStyle name="20% - 强调文字颜色 3 12 6 2 2" xfId="6732"/>
    <cellStyle name="20% - 强调文字颜色 3 12 6 2 3" xfId="6734"/>
    <cellStyle name="20% - 强调文字颜色 3 12 6 3" xfId="7397"/>
    <cellStyle name="20% - 强调文字颜色 3 12 6 4" xfId="7411"/>
    <cellStyle name="20% - 强调文字颜色 3 12 6 5" xfId="7421"/>
    <cellStyle name="20% - 强调文字颜色 3 12 6 6" xfId="244"/>
    <cellStyle name="20% - 强调文字颜色 3 12 6 7" xfId="5922"/>
    <cellStyle name="20% - 强调文字颜色 3 12 6 8" xfId="7427"/>
    <cellStyle name="20% - 强调文字颜色 3 12 7" xfId="8042"/>
    <cellStyle name="20% - 强调文字颜色 3 12 8" xfId="8049"/>
    <cellStyle name="20% - 强调文字颜色 3 12 9" xfId="8058"/>
    <cellStyle name="20% - 强调文字颜色 3 12 9 2" xfId="3908"/>
    <cellStyle name="20% - 强调文字颜色 3 12 9 3" xfId="2628"/>
    <cellStyle name="20% - 强调文字颜色 3 13" xfId="2558"/>
    <cellStyle name="20% - 强调文字颜色 3 14" xfId="2578"/>
    <cellStyle name="20% - 强调文字颜色 3 15" xfId="8065"/>
    <cellStyle name="20% - 强调文字颜色 3 16" xfId="8072"/>
    <cellStyle name="20% - 强调文字颜色 3 16 10" xfId="3994"/>
    <cellStyle name="20% - 强调文字颜色 3 16 11" xfId="4003"/>
    <cellStyle name="20% - 强调文字颜色 3 16 12" xfId="2071"/>
    <cellStyle name="20% - 强调文字颜色 3 16 13" xfId="3112"/>
    <cellStyle name="20% - 强调文字颜色 3 16 14" xfId="4014"/>
    <cellStyle name="20% - 强调文字颜色 3 16 2" xfId="278"/>
    <cellStyle name="20% - 强调文字颜色 3 16 3" xfId="1356"/>
    <cellStyle name="20% - 强调文字颜色 3 16 4" xfId="3124"/>
    <cellStyle name="20% - 强调文字颜色 3 16 5" xfId="3127"/>
    <cellStyle name="20% - 强调文字颜色 3 16 5 10" xfId="907"/>
    <cellStyle name="20% - 强调文字颜色 3 16 5 11" xfId="943"/>
    <cellStyle name="20% - 强调文字颜色 3 16 5 2" xfId="8076"/>
    <cellStyle name="20% - 强调文字颜色 3 16 5 2 2" xfId="8093"/>
    <cellStyle name="20% - 强调文字颜色 3 16 5 2 2 2" xfId="8102"/>
    <cellStyle name="20% - 强调文字颜色 3 16 5 2 2 3" xfId="6201"/>
    <cellStyle name="20% - 强调文字颜色 3 16 5 2 3" xfId="8112"/>
    <cellStyle name="20% - 强调文字颜色 3 16 5 2 4" xfId="8118"/>
    <cellStyle name="20% - 强调文字颜色 3 16 5 2 5" xfId="8123"/>
    <cellStyle name="20% - 强调文字颜色 3 16 5 2 6" xfId="8129"/>
    <cellStyle name="20% - 强调文字颜色 3 16 5 2 7" xfId="8135"/>
    <cellStyle name="20% - 强调文字颜色 3 16 5 2 8" xfId="1816"/>
    <cellStyle name="20% - 强调文字颜色 3 16 5 3" xfId="8140"/>
    <cellStyle name="20% - 强调文字颜色 3 16 5 4" xfId="8145"/>
    <cellStyle name="20% - 强调文字颜色 3 16 5 5" xfId="8153"/>
    <cellStyle name="20% - 强调文字颜色 3 16 5 6" xfId="8163"/>
    <cellStyle name="20% - 强调文字颜色 3 16 5 6 2" xfId="7590"/>
    <cellStyle name="20% - 强调文字颜色 3 16 5 6 3" xfId="7922"/>
    <cellStyle name="20% - 强调文字颜色 3 16 5 7" xfId="8169"/>
    <cellStyle name="20% - 强调文字颜色 3 16 5 8" xfId="8173"/>
    <cellStyle name="20% - 强调文字颜色 3 16 5 9" xfId="8178"/>
    <cellStyle name="20% - 强调文字颜色 3 16 6" xfId="3066"/>
    <cellStyle name="20% - 强调文字颜色 3 16 6 2" xfId="2139"/>
    <cellStyle name="20% - 强调文字颜色 3 16 6 2 2" xfId="8192"/>
    <cellStyle name="20% - 强调文字颜色 3 16 6 2 3" xfId="8202"/>
    <cellStyle name="20% - 强调文字颜色 3 16 6 3" xfId="2157"/>
    <cellStyle name="20% - 强调文字颜色 3 16 6 4" xfId="2170"/>
    <cellStyle name="20% - 强调文字颜色 3 16 6 5" xfId="2186"/>
    <cellStyle name="20% - 强调文字颜色 3 16 6 6" xfId="2196"/>
    <cellStyle name="20% - 强调文字颜色 3 16 6 7" xfId="2207"/>
    <cellStyle name="20% - 强调文字颜色 3 16 6 8" xfId="205"/>
    <cellStyle name="20% - 强调文字颜色 3 16 7" xfId="3080"/>
    <cellStyle name="20% - 强调文字颜色 3 16 8" xfId="8210"/>
    <cellStyle name="20% - 强调文字颜色 3 16 9" xfId="8218"/>
    <cellStyle name="20% - 强调文字颜色 3 16 9 2" xfId="4704"/>
    <cellStyle name="20% - 强调文字颜色 3 16 9 3" xfId="4713"/>
    <cellStyle name="20% - 强调文字颜色 3 17" xfId="8225"/>
    <cellStyle name="20% - 强调文字颜色 3 17 10" xfId="2050"/>
    <cellStyle name="20% - 强调文字颜色 3 17 11" xfId="2115"/>
    <cellStyle name="20% - 强调文字颜色 3 17 12" xfId="2136"/>
    <cellStyle name="20% - 强调文字颜色 3 17 13" xfId="2154"/>
    <cellStyle name="20% - 强调文字颜色 3 17 14" xfId="2174"/>
    <cellStyle name="20% - 强调文字颜色 3 17 2" xfId="8226"/>
    <cellStyle name="20% - 强调文字颜色 3 17 3" xfId="8232"/>
    <cellStyle name="20% - 强调文字颜色 3 17 4" xfId="8238"/>
    <cellStyle name="20% - 强调文字颜色 3 17 5" xfId="8241"/>
    <cellStyle name="20% - 强调文字颜色 3 17 5 10" xfId="8247"/>
    <cellStyle name="20% - 强调文字颜色 3 17 5 11" xfId="8248"/>
    <cellStyle name="20% - 强调文字颜色 3 17 5 2" xfId="5123"/>
    <cellStyle name="20% - 强调文字颜色 3 17 5 2 2" xfId="8254"/>
    <cellStyle name="20% - 强调文字颜色 3 17 5 2 2 2" xfId="2374"/>
    <cellStyle name="20% - 强调文字颜色 3 17 5 2 2 3" xfId="2394"/>
    <cellStyle name="20% - 强调文字颜色 3 17 5 2 3" xfId="8260"/>
    <cellStyle name="20% - 强调文字颜色 3 17 5 2 4" xfId="8266"/>
    <cellStyle name="20% - 强调文字颜色 3 17 5 2 5" xfId="5500"/>
    <cellStyle name="20% - 强调文字颜色 3 17 5 2 6" xfId="5514"/>
    <cellStyle name="20% - 强调文字颜色 3 17 5 2 7" xfId="2225"/>
    <cellStyle name="20% - 强调文字颜色 3 17 5 2 8" xfId="2251"/>
    <cellStyle name="20% - 强调文字颜色 3 17 5 3" xfId="8267"/>
    <cellStyle name="20% - 强调文字颜色 3 17 5 4" xfId="8270"/>
    <cellStyle name="20% - 强调文字颜色 3 17 5 5" xfId="8277"/>
    <cellStyle name="20% - 强调文字颜色 3 17 5 6" xfId="8283"/>
    <cellStyle name="20% - 强调文字颜色 3 17 5 6 2" xfId="6881"/>
    <cellStyle name="20% - 强调文字颜色 3 17 5 6 3" xfId="6884"/>
    <cellStyle name="20% - 强调文字颜色 3 17 5 7" xfId="8289"/>
    <cellStyle name="20% - 强调文字颜色 3 17 5 8" xfId="8295"/>
    <cellStyle name="20% - 强调文字颜色 3 17 5 9" xfId="8302"/>
    <cellStyle name="20% - 强调文字颜色 3 17 6" xfId="8307"/>
    <cellStyle name="20% - 强调文字颜色 3 17 6 2" xfId="2541"/>
    <cellStyle name="20% - 强调文字颜色 3 17 6 2 2" xfId="8309"/>
    <cellStyle name="20% - 强调文字颜色 3 17 6 2 3" xfId="8310"/>
    <cellStyle name="20% - 强调文字颜色 3 17 6 3" xfId="2400"/>
    <cellStyle name="20% - 强调文字颜色 3 17 6 4" xfId="2415"/>
    <cellStyle name="20% - 强调文字颜色 3 17 6 5" xfId="2583"/>
    <cellStyle name="20% - 强调文字颜色 3 17 6 6" xfId="2592"/>
    <cellStyle name="20% - 强调文字颜色 3 17 6 7" xfId="2602"/>
    <cellStyle name="20% - 强调文字颜色 3 17 6 8" xfId="3493"/>
    <cellStyle name="20% - 强调文字颜色 3 17 7" xfId="8311"/>
    <cellStyle name="20% - 强调文字颜色 3 17 8" xfId="8315"/>
    <cellStyle name="20% - 强调文字颜色 3 17 9" xfId="6253"/>
    <cellStyle name="20% - 强调文字颜色 3 17 9 2" xfId="8319"/>
    <cellStyle name="20% - 强调文字颜色 3 17 9 3" xfId="8321"/>
    <cellStyle name="20% - 强调文字颜色 3 18" xfId="8331"/>
    <cellStyle name="20% - 强调文字颜色 3 18 10" xfId="3456"/>
    <cellStyle name="20% - 强调文字颜色 3 18 11" xfId="8334"/>
    <cellStyle name="20% - 强调文字颜色 3 18 12" xfId="8338"/>
    <cellStyle name="20% - 强调文字颜色 3 18 13" xfId="7098"/>
    <cellStyle name="20% - 强调文字颜色 3 18 14" xfId="7113"/>
    <cellStyle name="20% - 强调文字颜色 3 18 2" xfId="8341"/>
    <cellStyle name="20% - 强调文字颜色 3 18 3" xfId="8346"/>
    <cellStyle name="20% - 强调文字颜色 3 18 4" xfId="4524"/>
    <cellStyle name="20% - 强调文字颜色 3 18 5" xfId="4539"/>
    <cellStyle name="20% - 强调文字颜色 3 18 5 10" xfId="8352"/>
    <cellStyle name="20% - 强调文字颜色 3 18 5 11" xfId="7752"/>
    <cellStyle name="20% - 强调文字颜色 3 18 5 2" xfId="4557"/>
    <cellStyle name="20% - 强调文字颜色 3 18 5 2 2" xfId="8355"/>
    <cellStyle name="20% - 强调文字颜色 3 18 5 2 2 2" xfId="8363"/>
    <cellStyle name="20% - 强调文字颜色 3 18 5 2 2 3" xfId="5800"/>
    <cellStyle name="20% - 强调文字颜色 3 18 5 2 3" xfId="8366"/>
    <cellStyle name="20% - 强调文字颜色 3 18 5 2 4" xfId="8358"/>
    <cellStyle name="20% - 强调文字颜色 3 18 5 2 5" xfId="5791"/>
    <cellStyle name="20% - 强调文字颜色 3 18 5 2 6" xfId="5802"/>
    <cellStyle name="20% - 强调文字颜色 3 18 5 2 7" xfId="8368"/>
    <cellStyle name="20% - 强调文字颜色 3 18 5 2 8" xfId="6161"/>
    <cellStyle name="20% - 强调文字颜色 3 18 5 3" xfId="4578"/>
    <cellStyle name="20% - 强调文字颜色 3 18 5 4" xfId="8369"/>
    <cellStyle name="20% - 强调文字颜色 3 18 5 5" xfId="8377"/>
    <cellStyle name="20% - 强调文字颜色 3 18 5 6" xfId="8384"/>
    <cellStyle name="20% - 强调文字颜色 3 18 5 6 2" xfId="8391"/>
    <cellStyle name="20% - 强调文字颜色 3 18 5 6 3" xfId="4226"/>
    <cellStyle name="20% - 强调文字颜色 3 18 5 7" xfId="8392"/>
    <cellStyle name="20% - 强调文字颜色 3 18 5 8" xfId="8398"/>
    <cellStyle name="20% - 强调文字颜色 3 18 5 9" xfId="5144"/>
    <cellStyle name="20% - 强调文字颜色 3 18 6" xfId="4598"/>
    <cellStyle name="20% - 强调文字颜色 3 18 6 2" xfId="6917"/>
    <cellStyle name="20% - 强调文字颜色 3 18 6 2 2" xfId="8231"/>
    <cellStyle name="20% - 强调文字颜色 3 18 6 2 3" xfId="8236"/>
    <cellStyle name="20% - 强调文字颜色 3 18 6 3" xfId="6925"/>
    <cellStyle name="20% - 强调文字颜色 3 18 6 4" xfId="6934"/>
    <cellStyle name="20% - 强调文字颜色 3 18 6 5" xfId="4966"/>
    <cellStyle name="20% - 强调文字颜色 3 18 6 6" xfId="4985"/>
    <cellStyle name="20% - 强调文字颜色 3 18 6 7" xfId="4993"/>
    <cellStyle name="20% - 强调文字颜色 3 18 6 8" xfId="3836"/>
    <cellStyle name="20% - 强调文字颜色 3 18 7" xfId="4604"/>
    <cellStyle name="20% - 强调文字颜色 3 18 8" xfId="393"/>
    <cellStyle name="20% - 强调文字颜色 3 18 9" xfId="8405"/>
    <cellStyle name="20% - 强调文字颜色 3 18 9 2" xfId="5098"/>
    <cellStyle name="20% - 强调文字颜色 3 18 9 3" xfId="5103"/>
    <cellStyle name="20% - 强调文字颜色 3 19" xfId="8414"/>
    <cellStyle name="20% - 强调文字颜色 3 2" xfId="8415"/>
    <cellStyle name="20% - 强调文字颜色 3 2 10" xfId="8420"/>
    <cellStyle name="20% - 强调文字颜色 3 2 11" xfId="8430"/>
    <cellStyle name="20% - 强调文字颜色 3 2 12" xfId="8441"/>
    <cellStyle name="20% - 强调文字颜色 3 2 13" xfId="8450"/>
    <cellStyle name="20% - 强调文字颜色 3 2 14" xfId="8456"/>
    <cellStyle name="20% - 强调文字颜色 3 2 15" xfId="8460"/>
    <cellStyle name="20% - 强调文字颜色 3 2 16" xfId="7463"/>
    <cellStyle name="20% - 强调文字颜色 3 2 17" xfId="8461"/>
    <cellStyle name="20% - 强调文字颜色 3 2 17 10" xfId="3196"/>
    <cellStyle name="20% - 强调文字颜色 3 2 17 11" xfId="3253"/>
    <cellStyle name="20% - 强调文字颜色 3 2 17 12" xfId="2647"/>
    <cellStyle name="20% - 强调文字颜色 3 2 17 13" xfId="2666"/>
    <cellStyle name="20% - 强调文字颜色 3 2 17 14" xfId="3284"/>
    <cellStyle name="20% - 强调文字颜色 3 2 17 2" xfId="8464"/>
    <cellStyle name="20% - 强调文字颜色 3 2 17 3" xfId="8469"/>
    <cellStyle name="20% - 强调文字颜色 3 2 17 4" xfId="8473"/>
    <cellStyle name="20% - 强调文字颜色 3 2 17 5" xfId="8478"/>
    <cellStyle name="20% - 强调文字颜色 3 2 17 5 10" xfId="8480"/>
    <cellStyle name="20% - 强调文字颜色 3 2 17 5 11" xfId="8486"/>
    <cellStyle name="20% - 强调文字颜色 3 2 17 5 2" xfId="8490"/>
    <cellStyle name="20% - 强调文字颜色 3 2 17 5 2 2" xfId="8495"/>
    <cellStyle name="20% - 强调文字颜色 3 2 17 5 2 2 2" xfId="8500"/>
    <cellStyle name="20% - 强调文字颜色 3 2 17 5 2 2 3" xfId="8503"/>
    <cellStyle name="20% - 强调文字颜色 3 2 17 5 2 3" xfId="8509"/>
    <cellStyle name="20% - 强调文字颜色 3 2 17 5 2 4" xfId="8516"/>
    <cellStyle name="20% - 强调文字颜色 3 2 17 5 2 5" xfId="8523"/>
    <cellStyle name="20% - 强调文字颜色 3 2 17 5 2 6" xfId="8530"/>
    <cellStyle name="20% - 强调文字颜色 3 2 17 5 2 7" xfId="8535"/>
    <cellStyle name="20% - 强调文字颜色 3 2 17 5 2 8" xfId="8543"/>
    <cellStyle name="20% - 强调文字颜色 3 2 17 5 3" xfId="8545"/>
    <cellStyle name="20% - 强调文字颜色 3 2 17 5 4" xfId="8548"/>
    <cellStyle name="20% - 强调文字颜色 3 2 17 5 5" xfId="8551"/>
    <cellStyle name="20% - 强调文字颜色 3 2 17 5 6" xfId="8552"/>
    <cellStyle name="20% - 强调文字颜色 3 2 17 5 6 2" xfId="8559"/>
    <cellStyle name="20% - 强调文字颜色 3 2 17 5 6 3" xfId="8566"/>
    <cellStyle name="20% - 强调文字颜色 3 2 17 5 7" xfId="8567"/>
    <cellStyle name="20% - 强调文字颜色 3 2 17 5 8" xfId="8569"/>
    <cellStyle name="20% - 强调文字颜色 3 2 17 5 9" xfId="8571"/>
    <cellStyle name="20% - 强调文字颜色 3 2 17 6" xfId="8579"/>
    <cellStyle name="20% - 强调文字颜色 3 2 17 6 2" xfId="7814"/>
    <cellStyle name="20% - 强调文字颜色 3 2 17 6 2 2" xfId="8586"/>
    <cellStyle name="20% - 强调文字颜色 3 2 17 6 2 3" xfId="8594"/>
    <cellStyle name="20% - 强调文字颜色 3 2 17 6 3" xfId="7820"/>
    <cellStyle name="20% - 强调文字颜色 3 2 17 6 4" xfId="2026"/>
    <cellStyle name="20% - 强调文字颜色 3 2 17 6 5" xfId="2038"/>
    <cellStyle name="20% - 强调文字颜色 3 2 17 6 6" xfId="8600"/>
    <cellStyle name="20% - 强调文字颜色 3 2 17 6 7" xfId="8606"/>
    <cellStyle name="20% - 强调文字颜色 3 2 17 6 8" xfId="8618"/>
    <cellStyle name="20% - 强调文字颜色 3 2 17 7" xfId="8625"/>
    <cellStyle name="20% - 强调文字颜色 3 2 17 8" xfId="8632"/>
    <cellStyle name="20% - 强调文字颜色 3 2 17 9" xfId="8639"/>
    <cellStyle name="20% - 强调文字颜色 3 2 17 9 2" xfId="8644"/>
    <cellStyle name="20% - 强调文字颜色 3 2 17 9 3" xfId="8649"/>
    <cellStyle name="20% - 强调文字颜色 3 2 18" xfId="7298"/>
    <cellStyle name="20% - 强调文字颜色 3 2 18 10" xfId="8654"/>
    <cellStyle name="20% - 强调文字颜色 3 2 18 11" xfId="8658"/>
    <cellStyle name="20% - 强调文字颜色 3 2 18 12" xfId="8663"/>
    <cellStyle name="20% - 强调文字颜色 3 2 18 13" xfId="8668"/>
    <cellStyle name="20% - 强调文字颜色 3 2 18 14" xfId="8672"/>
    <cellStyle name="20% - 强调文字颜色 3 2 18 2" xfId="8675"/>
    <cellStyle name="20% - 强调文字颜色 3 2 18 3" xfId="8677"/>
    <cellStyle name="20% - 强调文字颜色 3 2 18 4" xfId="8680"/>
    <cellStyle name="20% - 强调文字颜色 3 2 18 5" xfId="2892"/>
    <cellStyle name="20% - 强调文字颜色 3 2 18 5 10" xfId="8684"/>
    <cellStyle name="20% - 强调文字颜色 3 2 18 5 11" xfId="8686"/>
    <cellStyle name="20% - 强调文字颜色 3 2 18 5 2" xfId="8687"/>
    <cellStyle name="20% - 强调文字颜色 3 2 18 5 2 2" xfId="8691"/>
    <cellStyle name="20% - 强调文字颜色 3 2 18 5 2 2 2" xfId="8693"/>
    <cellStyle name="20% - 强调文字颜色 3 2 18 5 2 2 3" xfId="8696"/>
    <cellStyle name="20% - 强调文字颜色 3 2 18 5 2 3" xfId="8700"/>
    <cellStyle name="20% - 强调文字颜色 3 2 18 5 2 4" xfId="4972"/>
    <cellStyle name="20% - 强调文字颜色 3 2 18 5 2 5" xfId="4976"/>
    <cellStyle name="20% - 强调文字颜色 3 2 18 5 2 6" xfId="6259"/>
    <cellStyle name="20% - 强调文字颜色 3 2 18 5 2 7" xfId="6268"/>
    <cellStyle name="20% - 强调文字颜色 3 2 18 5 2 8" xfId="6276"/>
    <cellStyle name="20% - 强调文字颜色 3 2 18 5 3" xfId="8704"/>
    <cellStyle name="20% - 强调文字颜色 3 2 18 5 4" xfId="8709"/>
    <cellStyle name="20% - 强调文字颜色 3 2 18 5 5" xfId="8712"/>
    <cellStyle name="20% - 强调文字颜色 3 2 18 5 6" xfId="8716"/>
    <cellStyle name="20% - 强调文字颜色 3 2 18 5 6 2" xfId="5340"/>
    <cellStyle name="20% - 强调文字颜色 3 2 18 5 6 3" xfId="3217"/>
    <cellStyle name="20% - 强调文字颜色 3 2 18 5 7" xfId="8720"/>
    <cellStyle name="20% - 强调文字颜色 3 2 18 5 8" xfId="8724"/>
    <cellStyle name="20% - 强调文字颜色 3 2 18 5 9" xfId="8728"/>
    <cellStyle name="20% - 强调文字颜色 3 2 18 6" xfId="2904"/>
    <cellStyle name="20% - 强调文字颜色 3 2 18 6 2" xfId="7766"/>
    <cellStyle name="20% - 强调文字颜色 3 2 18 6 2 2" xfId="8739"/>
    <cellStyle name="20% - 强调文字颜色 3 2 18 6 2 3" xfId="8745"/>
    <cellStyle name="20% - 强调文字颜色 3 2 18 6 3" xfId="7777"/>
    <cellStyle name="20% - 强调文字颜色 3 2 18 6 4" xfId="8750"/>
    <cellStyle name="20% - 强调文字颜色 3 2 18 6 5" xfId="8756"/>
    <cellStyle name="20% - 强调文字颜色 3 2 18 6 6" xfId="8761"/>
    <cellStyle name="20% - 强调文字颜色 3 2 18 6 7" xfId="8766"/>
    <cellStyle name="20% - 强调文字颜色 3 2 18 6 8" xfId="8774"/>
    <cellStyle name="20% - 强调文字颜色 3 2 18 7" xfId="3461"/>
    <cellStyle name="20% - 强调文字颜色 3 2 18 8" xfId="3470"/>
    <cellStyle name="20% - 强调文字颜色 3 2 18 9" xfId="3479"/>
    <cellStyle name="20% - 强调文字颜色 3 2 18 9 2" xfId="4263"/>
    <cellStyle name="20% - 强调文字颜色 3 2 18 9 3" xfId="4281"/>
    <cellStyle name="20% - 强调文字颜色 3 2 19" xfId="7312"/>
    <cellStyle name="20% - 强调文字颜色 3 2 19 10" xfId="746"/>
    <cellStyle name="20% - 强调文字颜色 3 2 19 11" xfId="1272"/>
    <cellStyle name="20% - 强调文字颜色 3 2 19 12" xfId="6100"/>
    <cellStyle name="20% - 强调文字颜色 3 2 19 13" xfId="6143"/>
    <cellStyle name="20% - 强调文字颜色 3 2 19 14" xfId="6153"/>
    <cellStyle name="20% - 强调文字颜色 3 2 19 2" xfId="8781"/>
    <cellStyle name="20% - 强调文字颜色 3 2 19 3" xfId="8789"/>
    <cellStyle name="20% - 强调文字颜色 3 2 19 4" xfId="8796"/>
    <cellStyle name="20% - 强调文字颜色 3 2 19 5" xfId="8804"/>
    <cellStyle name="20% - 强调文字颜色 3 2 19 5 10" xfId="5324"/>
    <cellStyle name="20% - 强调文字颜色 3 2 19 5 11" xfId="8805"/>
    <cellStyle name="20% - 强调文字颜色 3 2 19 5 2" xfId="8811"/>
    <cellStyle name="20% - 强调文字颜色 3 2 19 5 2 2" xfId="8813"/>
    <cellStyle name="20% - 强调文字颜色 3 2 19 5 2 2 2" xfId="2311"/>
    <cellStyle name="20% - 强调文字颜色 3 2 19 5 2 2 3" xfId="3228"/>
    <cellStyle name="20% - 强调文字颜色 3 2 19 5 2 3" xfId="8815"/>
    <cellStyle name="20% - 强调文字颜色 3 2 19 5 2 4" xfId="3752"/>
    <cellStyle name="20% - 强调文字颜色 3 2 19 5 2 5" xfId="3760"/>
    <cellStyle name="20% - 强调文字颜色 3 2 19 5 2 6" xfId="8816"/>
    <cellStyle name="20% - 强调文字颜色 3 2 19 5 2 7" xfId="8819"/>
    <cellStyle name="20% - 强调文字颜色 3 2 19 5 2 8" xfId="8824"/>
    <cellStyle name="20% - 强调文字颜色 3 2 19 5 3" xfId="8827"/>
    <cellStyle name="20% - 强调文字颜色 3 2 19 5 4" xfId="8834"/>
    <cellStyle name="20% - 强调文字颜色 3 2 19 5 5" xfId="8843"/>
    <cellStyle name="20% - 强调文字颜色 3 2 19 5 6" xfId="1375"/>
    <cellStyle name="20% - 强调文字颜色 3 2 19 5 6 2" xfId="8844"/>
    <cellStyle name="20% - 强调文字颜色 3 2 19 5 6 3" xfId="6623"/>
    <cellStyle name="20% - 强调文字颜色 3 2 19 5 7" xfId="1388"/>
    <cellStyle name="20% - 强调文字颜色 3 2 19 5 8" xfId="1401"/>
    <cellStyle name="20% - 强调文字颜色 3 2 19 5 9" xfId="1415"/>
    <cellStyle name="20% - 强调文字颜色 3 2 19 6" xfId="8855"/>
    <cellStyle name="20% - 强调文字颜色 3 2 19 6 2" xfId="7509"/>
    <cellStyle name="20% - 强调文字颜色 3 2 19 6 2 2" xfId="8860"/>
    <cellStyle name="20% - 强调文字颜色 3 2 19 6 2 3" xfId="8865"/>
    <cellStyle name="20% - 强调文字颜色 3 2 19 6 3" xfId="5585"/>
    <cellStyle name="20% - 强调文字颜色 3 2 19 6 4" xfId="8869"/>
    <cellStyle name="20% - 强调文字颜色 3 2 19 6 5" xfId="8873"/>
    <cellStyle name="20% - 强调文字颜色 3 2 19 6 6" xfId="1968"/>
    <cellStyle name="20% - 强调文字颜色 3 2 19 6 7" xfId="1973"/>
    <cellStyle name="20% - 强调文字颜色 3 2 19 6 8" xfId="1997"/>
    <cellStyle name="20% - 强调文字颜色 3 2 19 7" xfId="8878"/>
    <cellStyle name="20% - 强调文字颜色 3 2 19 8" xfId="7520"/>
    <cellStyle name="20% - 强调文字颜色 3 2 19 9" xfId="5594"/>
    <cellStyle name="20% - 强调文字颜色 3 2 19 9 2" xfId="8883"/>
    <cellStyle name="20% - 强调文字颜色 3 2 19 9 3" xfId="8888"/>
    <cellStyle name="20% - 强调文字颜色 3 2 2" xfId="8890"/>
    <cellStyle name="20% - 强调文字颜色 3 2 2 10" xfId="8895"/>
    <cellStyle name="20% - 强调文字颜色 3 2 2 11" xfId="8900"/>
    <cellStyle name="20% - 强调文字颜色 3 2 2 12" xfId="8905"/>
    <cellStyle name="20% - 强调文字颜色 3 2 2 13" xfId="8909"/>
    <cellStyle name="20% - 强调文字颜色 3 2 2 14" xfId="8184"/>
    <cellStyle name="20% - 强调文字颜色 3 2 2 2" xfId="1630"/>
    <cellStyle name="20% - 强调文字颜色 3 2 2 3" xfId="449"/>
    <cellStyle name="20% - 强调文字颜色 3 2 2 4" xfId="8910"/>
    <cellStyle name="20% - 强调文字颜色 3 2 2 5" xfId="8912"/>
    <cellStyle name="20% - 强调文字颜色 3 2 2 6" xfId="8914"/>
    <cellStyle name="20% - 强调文字颜色 3 2 2 7" xfId="8915"/>
    <cellStyle name="20% - 强调文字颜色 3 2 2 8" xfId="8917"/>
    <cellStyle name="20% - 强调文字颜色 3 2 2 9" xfId="8919"/>
    <cellStyle name="20% - 强调文字颜色 3 2 20" xfId="8459"/>
    <cellStyle name="20% - 强调文字颜色 3 2 20 10" xfId="6779"/>
    <cellStyle name="20% - 强调文字颜色 3 2 20 11" xfId="7616"/>
    <cellStyle name="20% - 强调文字颜色 3 2 20 12" xfId="7627"/>
    <cellStyle name="20% - 强调文字颜色 3 2 20 13" xfId="8926"/>
    <cellStyle name="20% - 强调文字颜色 3 2 20 14" xfId="923"/>
    <cellStyle name="20% - 强调文字颜色 3 2 20 2" xfId="4816"/>
    <cellStyle name="20% - 强调文字颜色 3 2 20 3" xfId="8935"/>
    <cellStyle name="20% - 强调文字颜色 3 2 20 4" xfId="8944"/>
    <cellStyle name="20% - 强调文字颜色 3 2 20 5" xfId="8950"/>
    <cellStyle name="20% - 强调文字颜色 3 2 20 5 10" xfId="8956"/>
    <cellStyle name="20% - 强调文字颜色 3 2 20 5 11" xfId="8961"/>
    <cellStyle name="20% - 强调文字颜色 3 2 20 5 2" xfId="8669"/>
    <cellStyle name="20% - 强调文字颜色 3 2 20 5 2 2" xfId="8962"/>
    <cellStyle name="20% - 强调文字颜色 3 2 20 5 2 2 2" xfId="8965"/>
    <cellStyle name="20% - 强调文字颜色 3 2 20 5 2 2 3" xfId="8968"/>
    <cellStyle name="20% - 强调文字颜色 3 2 20 5 2 3" xfId="8969"/>
    <cellStyle name="20% - 强调文字颜色 3 2 20 5 2 4" xfId="8974"/>
    <cellStyle name="20% - 强调文字颜色 3 2 20 5 2 5" xfId="8980"/>
    <cellStyle name="20% - 强调文字颜色 3 2 20 5 2 6" xfId="8985"/>
    <cellStyle name="20% - 强调文字颜色 3 2 20 5 2 7" xfId="6902"/>
    <cellStyle name="20% - 强调文字颜色 3 2 20 5 2 8" xfId="3204"/>
    <cellStyle name="20% - 强调文字颜色 3 2 20 5 3" xfId="8673"/>
    <cellStyle name="20% - 强调文字颜色 3 2 20 5 4" xfId="8848"/>
    <cellStyle name="20% - 强调文字颜色 3 2 20 5 5" xfId="6626"/>
    <cellStyle name="20% - 强调文字颜色 3 2 20 5 6" xfId="6633"/>
    <cellStyle name="20% - 强调文字颜色 3 2 20 5 6 2" xfId="8987"/>
    <cellStyle name="20% - 强调文字颜色 3 2 20 5 6 3" xfId="8989"/>
    <cellStyle name="20% - 强调文字颜色 3 2 20 5 7" xfId="6640"/>
    <cellStyle name="20% - 强调文字颜色 3 2 20 5 8" xfId="6647"/>
    <cellStyle name="20% - 强调文字颜色 3 2 20 5 9" xfId="6654"/>
    <cellStyle name="20% - 强调文字颜色 3 2 20 6" xfId="8991"/>
    <cellStyle name="20% - 强调文字颜色 3 2 20 6 2" xfId="8998"/>
    <cellStyle name="20% - 强调文字颜色 3 2 20 6 2 2" xfId="297"/>
    <cellStyle name="20% - 强调文字颜色 3 2 20 6 2 3" xfId="5054"/>
    <cellStyle name="20% - 强调文字颜色 3 2 20 6 3" xfId="9001"/>
    <cellStyle name="20% - 强调文字颜色 3 2 20 6 4" xfId="9004"/>
    <cellStyle name="20% - 强调文字颜色 3 2 20 6 5" xfId="9009"/>
    <cellStyle name="20% - 强调文字颜色 3 2 20 6 6" xfId="9017"/>
    <cellStyle name="20% - 强调文字颜色 3 2 20 6 7" xfId="9022"/>
    <cellStyle name="20% - 强调文字颜色 3 2 20 6 8" xfId="9027"/>
    <cellStyle name="20% - 强调文字颜色 3 2 20 7" xfId="9031"/>
    <cellStyle name="20% - 强调文字颜色 3 2 20 8" xfId="7486"/>
    <cellStyle name="20% - 强调文字颜色 3 2 20 9" xfId="5358"/>
    <cellStyle name="20% - 强调文字颜色 3 2 20 9 2" xfId="5370"/>
    <cellStyle name="20% - 强调文字颜色 3 2 20 9 3" xfId="5388"/>
    <cellStyle name="20% - 强调文字颜色 3 2 3" xfId="9033"/>
    <cellStyle name="20% - 强调文字颜色 3 2 3 10" xfId="9040"/>
    <cellStyle name="20% - 强调文字颜色 3 2 3 11" xfId="9044"/>
    <cellStyle name="20% - 强调文字颜色 3 2 3 12" xfId="9046"/>
    <cellStyle name="20% - 强调文字颜色 3 2 3 13" xfId="9047"/>
    <cellStyle name="20% - 强调文字颜色 3 2 3 14" xfId="9048"/>
    <cellStyle name="20% - 强调文字颜色 3 2 3 2" xfId="8972"/>
    <cellStyle name="20% - 强调文字颜色 3 2 3 3" xfId="8978"/>
    <cellStyle name="20% - 强调文字颜色 3 2 3 4" xfId="8984"/>
    <cellStyle name="20% - 强调文字颜色 3 2 3 5" xfId="6901"/>
    <cellStyle name="20% - 强调文字颜色 3 2 3 6" xfId="3201"/>
    <cellStyle name="20% - 强调文字颜色 3 2 3 7" xfId="3259"/>
    <cellStyle name="20% - 强调文字颜色 3 2 3 8" xfId="2656"/>
    <cellStyle name="20% - 强调文字颜色 3 2 3 9" xfId="2673"/>
    <cellStyle name="20% - 强调文字颜色 3 2 4" xfId="9049"/>
    <cellStyle name="20% - 强调文字颜色 3 2 4 10" xfId="9054"/>
    <cellStyle name="20% - 强调文字颜色 3 2 4 11" xfId="9057"/>
    <cellStyle name="20% - 强调文字颜色 3 2 4 12" xfId="2398"/>
    <cellStyle name="20% - 强调文字颜色 3 2 4 13" xfId="2412"/>
    <cellStyle name="20% - 强调文字颜色 3 2 4 14" xfId="9061"/>
    <cellStyle name="20% - 强调文字颜色 3 2 4 2" xfId="9065"/>
    <cellStyle name="20% - 强调文字颜色 3 2 4 3" xfId="9073"/>
    <cellStyle name="20% - 强调文字颜色 3 2 4 4" xfId="9079"/>
    <cellStyle name="20% - 强调文字颜色 3 2 4 5" xfId="9085"/>
    <cellStyle name="20% - 强调文字颜色 3 2 4 6" xfId="3912"/>
    <cellStyle name="20% - 强调文字颜色 3 2 4 7" xfId="3918"/>
    <cellStyle name="20% - 强调文字颜色 3 2 4 8" xfId="3925"/>
    <cellStyle name="20% - 强调文字颜色 3 2 4 9" xfId="3930"/>
    <cellStyle name="20% - 强调文字颜色 3 2 5" xfId="9091"/>
    <cellStyle name="20% - 强调文字颜色 3 2 6" xfId="9092"/>
    <cellStyle name="20% - 强调文字颜色 3 2 7" xfId="9093"/>
    <cellStyle name="20% - 强调文字颜色 3 2 8" xfId="9095"/>
    <cellStyle name="20% - 强调文字颜色 3 2 9" xfId="9097"/>
    <cellStyle name="20% - 强调文字颜色 3 3" xfId="9101"/>
    <cellStyle name="20% - 强调文字颜色 3 3 10" xfId="5080"/>
    <cellStyle name="20% - 强调文字颜色 3 3 11" xfId="5084"/>
    <cellStyle name="20% - 强调文字颜色 3 3 12" xfId="5090"/>
    <cellStyle name="20% - 强调文字颜色 3 3 13" xfId="9105"/>
    <cellStyle name="20% - 强调文字颜色 3 3 14" xfId="9107"/>
    <cellStyle name="20% - 强调文字颜色 3 3 15" xfId="9110"/>
    <cellStyle name="20% - 强调文字颜色 3 3 16" xfId="9112"/>
    <cellStyle name="20% - 强调文字颜色 3 3 17" xfId="9114"/>
    <cellStyle name="20% - 强调文字颜色 3 3 17 10" xfId="814"/>
    <cellStyle name="20% - 强调文字颜色 3 3 17 11" xfId="911"/>
    <cellStyle name="20% - 强调文字颜色 3 3 17 12" xfId="946"/>
    <cellStyle name="20% - 强调文字颜色 3 3 17 13" xfId="982"/>
    <cellStyle name="20% - 强调文字颜色 3 3 17 14" xfId="1004"/>
    <cellStyle name="20% - 强调文字颜色 3 3 17 2" xfId="3778"/>
    <cellStyle name="20% - 强调文字颜色 3 3 17 2 2" xfId="9117"/>
    <cellStyle name="20% - 强调文字颜色 3 3 17 3" xfId="9124"/>
    <cellStyle name="20% - 强调文字颜色 3 3 17 4" xfId="3317"/>
    <cellStyle name="20% - 强调文字颜色 3 3 17 5" xfId="3327"/>
    <cellStyle name="20% - 强调文字颜色 3 3 17 5 10" xfId="8541"/>
    <cellStyle name="20% - 强调文字颜色 3 3 17 5 11" xfId="2779"/>
    <cellStyle name="20% - 强调文字颜色 3 3 17 5 2" xfId="9128"/>
    <cellStyle name="20% - 强调文字颜色 3 3 17 5 2 2" xfId="9136"/>
    <cellStyle name="20% - 强调文字颜色 3 3 17 5 2 2 2" xfId="9146"/>
    <cellStyle name="20% - 强调文字颜色 3 3 17 5 2 2 3" xfId="9157"/>
    <cellStyle name="20% - 强调文字颜色 3 3 17 5 2 3" xfId="9162"/>
    <cellStyle name="20% - 强调文字颜色 3 3 17 5 2 4" xfId="9164"/>
    <cellStyle name="20% - 强调文字颜色 3 3 17 5 2 5" xfId="9170"/>
    <cellStyle name="20% - 强调文字颜色 3 3 17 5 2 6" xfId="5244"/>
    <cellStyle name="20% - 强调文字颜色 3 3 17 5 2 7" xfId="5248"/>
    <cellStyle name="20% - 强调文字颜色 3 3 17 5 2 8" xfId="5255"/>
    <cellStyle name="20% - 强调文字颜色 3 3 17 5 3" xfId="9171"/>
    <cellStyle name="20% - 强调文字颜色 3 3 17 5 4" xfId="9175"/>
    <cellStyle name="20% - 强调文字颜色 3 3 17 5 5" xfId="7730"/>
    <cellStyle name="20% - 强调文字颜色 3 3 17 5 6" xfId="7886"/>
    <cellStyle name="20% - 强调文字颜色 3 3 17 5 6 2" xfId="9180"/>
    <cellStyle name="20% - 强调文字颜色 3 3 17 5 6 3" xfId="9184"/>
    <cellStyle name="20% - 强调文字颜色 3 3 17 5 7" xfId="7892"/>
    <cellStyle name="20% - 强调文字颜色 3 3 17 5 8" xfId="7898"/>
    <cellStyle name="20% - 强调文字颜色 3 3 17 5 9" xfId="5615"/>
    <cellStyle name="20% - 强调文字颜色 3 3 17 6" xfId="3339"/>
    <cellStyle name="20% - 强调文字颜色 3 3 17 6 2" xfId="9187"/>
    <cellStyle name="20% - 强调文字颜色 3 3 17 6 2 2" xfId="9191"/>
    <cellStyle name="20% - 强调文字颜色 3 3 17 6 2 3" xfId="9196"/>
    <cellStyle name="20% - 强调文字颜色 3 3 17 6 3" xfId="6222"/>
    <cellStyle name="20% - 强调文字颜色 3 3 17 6 4" xfId="6232"/>
    <cellStyle name="20% - 强调文字颜色 3 3 17 6 5" xfId="6955"/>
    <cellStyle name="20% - 强调文字颜色 3 3 17 6 6" xfId="6964"/>
    <cellStyle name="20% - 强调文字颜色 3 3 17 6 7" xfId="7594"/>
    <cellStyle name="20% - 强调文字颜色 3 3 17 6 8" xfId="7925"/>
    <cellStyle name="20% - 强调文字颜色 3 3 17 7" xfId="3351"/>
    <cellStyle name="20% - 强调文字颜色 3 3 17 8" xfId="3367"/>
    <cellStyle name="20% - 强调文字颜色 3 3 17 9" xfId="9205"/>
    <cellStyle name="20% - 强调文字颜色 3 3 17 9 2" xfId="9207"/>
    <cellStyle name="20% - 强调文字颜色 3 3 17 9 3" xfId="9215"/>
    <cellStyle name="20% - 强调文字颜色 3 3 18" xfId="9221"/>
    <cellStyle name="20% - 强调文字颜色 3 3 18 10" xfId="9225"/>
    <cellStyle name="20% - 强调文字颜色 3 3 18 11" xfId="9229"/>
    <cellStyle name="20% - 强调文字颜色 3 3 18 12" xfId="9232"/>
    <cellStyle name="20% - 强调文字颜色 3 3 18 13" xfId="9235"/>
    <cellStyle name="20% - 强调文字颜色 3 3 18 14" xfId="9238"/>
    <cellStyle name="20% - 强调文字颜色 3 3 18 2" xfId="9245"/>
    <cellStyle name="20% - 强调文字颜色 3 3 18 3" xfId="9248"/>
    <cellStyle name="20% - 强调文字颜色 3 3 18 4" xfId="9255"/>
    <cellStyle name="20% - 强调文字颜色 3 3 18 5" xfId="9259"/>
    <cellStyle name="20% - 强调文字颜色 3 3 18 5 10" xfId="9264"/>
    <cellStyle name="20% - 强调文字颜色 3 3 18 5 11" xfId="9268"/>
    <cellStyle name="20% - 强调文字颜色 3 3 18 5 2" xfId="9269"/>
    <cellStyle name="20% - 强调文字颜色 3 3 18 5 2 2" xfId="9271"/>
    <cellStyle name="20% - 强调文字颜色 3 3 18 5 2 2 2" xfId="9279"/>
    <cellStyle name="20% - 强调文字颜色 3 3 18 5 2 2 3" xfId="9288"/>
    <cellStyle name="20% - 强调文字颜色 3 3 18 5 2 3" xfId="9292"/>
    <cellStyle name="20% - 强调文字颜色 3 3 18 5 2 4" xfId="9294"/>
    <cellStyle name="20% - 强调文字颜色 3 3 18 5 2 5" xfId="8652"/>
    <cellStyle name="20% - 强调文字颜色 3 3 18 5 2 6" xfId="8656"/>
    <cellStyle name="20% - 强调文字颜色 3 3 18 5 2 7" xfId="8661"/>
    <cellStyle name="20% - 强调文字颜色 3 3 18 5 2 8" xfId="8667"/>
    <cellStyle name="20% - 强调文字颜色 3 3 18 5 3" xfId="9295"/>
    <cellStyle name="20% - 强调文字颜色 3 3 18 5 4" xfId="9296"/>
    <cellStyle name="20% - 强调文字颜色 3 3 18 5 5" xfId="9301"/>
    <cellStyle name="20% - 强调文字颜色 3 3 18 5 6" xfId="9307"/>
    <cellStyle name="20% - 强调文字颜色 3 3 18 5 6 2" xfId="9314"/>
    <cellStyle name="20% - 强调文字颜色 3 3 18 5 6 3" xfId="9318"/>
    <cellStyle name="20% - 强调文字颜色 3 3 18 5 7" xfId="9319"/>
    <cellStyle name="20% - 强调文字颜色 3 3 18 5 8" xfId="9331"/>
    <cellStyle name="20% - 强调文字颜色 3 3 18 5 9" xfId="9339"/>
    <cellStyle name="20% - 强调文字颜色 3 3 18 6" xfId="9348"/>
    <cellStyle name="20% - 强调文字颜色 3 3 18 6 2" xfId="9349"/>
    <cellStyle name="20% - 强调文字颜色 3 3 18 6 2 2" xfId="8404"/>
    <cellStyle name="20% - 强调文字颜色 3 3 18 6 2 3" xfId="9361"/>
    <cellStyle name="20% - 强调文字颜色 3 3 18 6 3" xfId="9365"/>
    <cellStyle name="20% - 强调文字颜色 3 3 18 6 4" xfId="9376"/>
    <cellStyle name="20% - 强调文字颜色 3 3 18 6 5" xfId="9392"/>
    <cellStyle name="20% - 强调文字颜色 3 3 18 6 6" xfId="9406"/>
    <cellStyle name="20% - 强调文字颜色 3 3 18 6 7" xfId="215"/>
    <cellStyle name="20% - 强调文字颜色 3 3 18 6 8" xfId="9410"/>
    <cellStyle name="20% - 强调文字颜色 3 3 18 7" xfId="9424"/>
    <cellStyle name="20% - 强调文字颜色 3 3 18 8" xfId="9429"/>
    <cellStyle name="20% - 强调文字颜色 3 3 18 9" xfId="9438"/>
    <cellStyle name="20% - 强调文字颜色 3 3 18 9 2" xfId="7292"/>
    <cellStyle name="20% - 强调文字颜色 3 3 18 9 3" xfId="7307"/>
    <cellStyle name="20% - 强调文字颜色 3 3 19" xfId="9444"/>
    <cellStyle name="20% - 强调文字颜色 3 3 19 10" xfId="9455"/>
    <cellStyle name="20% - 强调文字颜色 3 3 19 11" xfId="9465"/>
    <cellStyle name="20% - 强调文字颜色 3 3 19 12" xfId="9467"/>
    <cellStyle name="20% - 强调文字颜色 3 3 19 13" xfId="9469"/>
    <cellStyle name="20% - 强调文字颜色 3 3 19 14" xfId="9472"/>
    <cellStyle name="20% - 强调文字颜色 3 3 19 2" xfId="9479"/>
    <cellStyle name="20% - 强调文字颜色 3 3 19 3" xfId="9485"/>
    <cellStyle name="20% - 强调文字颜色 3 3 19 4" xfId="9490"/>
    <cellStyle name="20% - 强调文字颜色 3 3 19 5" xfId="9492"/>
    <cellStyle name="20% - 强调文字颜色 3 3 19 5 10" xfId="7434"/>
    <cellStyle name="20% - 强调文字颜色 3 3 19 5 11" xfId="2376"/>
    <cellStyle name="20% - 强调文字颜色 3 3 19 5 2" xfId="9496"/>
    <cellStyle name="20% - 强调文字颜色 3 3 19 5 2 2" xfId="9498"/>
    <cellStyle name="20% - 强调文字颜色 3 3 19 5 2 2 2" xfId="6327"/>
    <cellStyle name="20% - 强调文字颜色 3 3 19 5 2 2 3" xfId="6333"/>
    <cellStyle name="20% - 强调文字颜色 3 3 19 5 2 3" xfId="9500"/>
    <cellStyle name="20% - 强调文字颜色 3 3 19 5 2 4" xfId="9502"/>
    <cellStyle name="20% - 强调文字颜色 3 3 19 5 2 5" xfId="9223"/>
    <cellStyle name="20% - 强调文字颜色 3 3 19 5 2 6" xfId="9228"/>
    <cellStyle name="20% - 强调文字颜色 3 3 19 5 2 7" xfId="9231"/>
    <cellStyle name="20% - 强调文字颜色 3 3 19 5 2 8" xfId="9234"/>
    <cellStyle name="20% - 强调文字颜色 3 3 19 5 3" xfId="9504"/>
    <cellStyle name="20% - 强调文字颜色 3 3 19 5 4" xfId="9508"/>
    <cellStyle name="20% - 强调文字颜色 3 3 19 5 5" xfId="9513"/>
    <cellStyle name="20% - 强调文字颜色 3 3 19 5 6" xfId="9516"/>
    <cellStyle name="20% - 强调文字颜色 3 3 19 5 6 2" xfId="9520"/>
    <cellStyle name="20% - 强调文字颜色 3 3 19 5 6 3" xfId="9533"/>
    <cellStyle name="20% - 强调文字颜色 3 3 19 5 7" xfId="9541"/>
    <cellStyle name="20% - 强调文字颜色 3 3 19 5 8" xfId="9545"/>
    <cellStyle name="20% - 强调文字颜色 3 3 19 5 9" xfId="9550"/>
    <cellStyle name="20% - 强调文字颜色 3 3 19 6" xfId="9556"/>
    <cellStyle name="20% - 强调文字颜色 3 3 19 6 2" xfId="9566"/>
    <cellStyle name="20% - 强调文字颜色 3 3 19 6 2 2" xfId="9567"/>
    <cellStyle name="20% - 强调文字颜色 3 3 19 6 2 3" xfId="9571"/>
    <cellStyle name="20% - 强调文字颜色 3 3 19 6 3" xfId="4710"/>
    <cellStyle name="20% - 强调文字颜色 3 3 19 6 4" xfId="4719"/>
    <cellStyle name="20% - 强调文字颜色 3 3 19 6 5" xfId="4725"/>
    <cellStyle name="20% - 强调文字颜色 3 3 19 6 6" xfId="4733"/>
    <cellStyle name="20% - 强调文字颜色 3 3 19 6 7" xfId="4742"/>
    <cellStyle name="20% - 强调文字颜色 3 3 19 6 8" xfId="9580"/>
    <cellStyle name="20% - 强调文字颜色 3 3 19 7" xfId="9583"/>
    <cellStyle name="20% - 强调文字颜色 3 3 19 8" xfId="9591"/>
    <cellStyle name="20% - 强调文字颜色 3 3 19 9" xfId="9598"/>
    <cellStyle name="20% - 强调文字颜色 3 3 19 9 2" xfId="4645"/>
    <cellStyle name="20% - 强调文字颜色 3 3 19 9 3" xfId="9614"/>
    <cellStyle name="20% - 强调文字颜色 3 3 2" xfId="9617"/>
    <cellStyle name="20% - 强调文字颜色 3 3 2 10" xfId="9625"/>
    <cellStyle name="20% - 强调文字颜色 3 3 2 11" xfId="9630"/>
    <cellStyle name="20% - 强调文字颜色 3 3 2 12" xfId="9635"/>
    <cellStyle name="20% - 强调文字颜色 3 3 2 13" xfId="9639"/>
    <cellStyle name="20% - 强调文字颜色 3 3 2 14" xfId="9643"/>
    <cellStyle name="20% - 强调文字颜色 3 3 2 2" xfId="4097"/>
    <cellStyle name="20% - 强调文字颜色 3 3 2 3" xfId="4100"/>
    <cellStyle name="20% - 强调文字颜色 3 3 2 4" xfId="5265"/>
    <cellStyle name="20% - 强调文字颜色 3 3 2 5" xfId="9644"/>
    <cellStyle name="20% - 强调文字颜色 3 3 2 6" xfId="9652"/>
    <cellStyle name="20% - 强调文字颜色 3 3 2 7" xfId="3766"/>
    <cellStyle name="20% - 强调文字颜色 3 3 2 8" xfId="3773"/>
    <cellStyle name="20% - 强调文字颜色 3 3 2 9" xfId="9119"/>
    <cellStyle name="20% - 强调文字颜色 3 3 20" xfId="9109"/>
    <cellStyle name="20% - 强调文字颜色 3 3 20 10" xfId="4793"/>
    <cellStyle name="20% - 强调文字颜色 3 3 20 11" xfId="7674"/>
    <cellStyle name="20% - 强调文字颜色 3 3 20 12" xfId="7679"/>
    <cellStyle name="20% - 强调文字颜色 3 3 20 13" xfId="9664"/>
    <cellStyle name="20% - 强调文字颜色 3 3 20 14" xfId="9677"/>
    <cellStyle name="20% - 强调文字颜色 3 3 20 2" xfId="7038"/>
    <cellStyle name="20% - 强调文字颜色 3 3 20 3" xfId="7051"/>
    <cellStyle name="20% - 强调文字颜色 3 3 20 4" xfId="7061"/>
    <cellStyle name="20% - 强调文字颜色 3 3 20 5" xfId="7064"/>
    <cellStyle name="20% - 强调文字颜色 3 3 20 5 10" xfId="9678"/>
    <cellStyle name="20% - 强调文字颜色 3 3 20 5 11" xfId="9682"/>
    <cellStyle name="20% - 强调文字颜色 3 3 20 5 2" xfId="9688"/>
    <cellStyle name="20% - 强调文字颜色 3 3 20 5 2 2" xfId="9692"/>
    <cellStyle name="20% - 强调文字颜色 3 3 20 5 2 2 2" xfId="9696"/>
    <cellStyle name="20% - 强调文字颜色 3 3 20 5 2 2 3" xfId="9698"/>
    <cellStyle name="20% - 强调文字颜色 3 3 20 5 2 3" xfId="9699"/>
    <cellStyle name="20% - 强调文字颜色 3 3 20 5 2 4" xfId="9704"/>
    <cellStyle name="20% - 强调文字颜色 3 3 20 5 2 5" xfId="7466"/>
    <cellStyle name="20% - 强调文字颜色 3 3 20 5 2 6" xfId="7473"/>
    <cellStyle name="20% - 强调文字颜色 3 3 20 5 2 7" xfId="7291"/>
    <cellStyle name="20% - 强调文字颜色 3 3 20 5 2 8" xfId="7306"/>
    <cellStyle name="20% - 强调文字颜色 3 3 20 5 3" xfId="9706"/>
    <cellStyle name="20% - 强调文字颜色 3 3 20 5 4" xfId="9712"/>
    <cellStyle name="20% - 强调文字颜色 3 3 20 5 5" xfId="9052"/>
    <cellStyle name="20% - 强调文字颜色 3 3 20 5 6" xfId="9056"/>
    <cellStyle name="20% - 强调文字颜色 3 3 20 5 6 2" xfId="9715"/>
    <cellStyle name="20% - 强调文字颜色 3 3 20 5 6 3" xfId="9721"/>
    <cellStyle name="20% - 强调文字颜色 3 3 20 5 7" xfId="2396"/>
    <cellStyle name="20% - 强调文字颜色 3 3 20 5 8" xfId="2409"/>
    <cellStyle name="20% - 强调文字颜色 3 3 20 5 9" xfId="9059"/>
    <cellStyle name="20% - 强调文字颜色 3 3 20 6" xfId="9724"/>
    <cellStyle name="20% - 强调文字颜色 3 3 20 6 2" xfId="3903"/>
    <cellStyle name="20% - 强调文字颜色 3 3 20 6 2 2" xfId="3137"/>
    <cellStyle name="20% - 强调文字颜色 3 3 20 6 2 3" xfId="3152"/>
    <cellStyle name="20% - 强调文字颜色 3 3 20 6 3" xfId="3910"/>
    <cellStyle name="20% - 强调文字颜色 3 3 20 6 4" xfId="2636"/>
    <cellStyle name="20% - 强调文字颜色 3 3 20 6 5" xfId="9731"/>
    <cellStyle name="20% - 强调文字颜色 3 3 20 6 6" xfId="9732"/>
    <cellStyle name="20% - 强调文字颜色 3 3 20 6 7" xfId="9733"/>
    <cellStyle name="20% - 强调文字颜色 3 3 20 6 8" xfId="1132"/>
    <cellStyle name="20% - 强调文字颜色 3 3 20 7" xfId="9734"/>
    <cellStyle name="20% - 强调文字颜色 3 3 20 8" xfId="9735"/>
    <cellStyle name="20% - 强调文字颜色 3 3 20 9" xfId="9737"/>
    <cellStyle name="20% - 强调文字颜色 3 3 20 9 2" xfId="9739"/>
    <cellStyle name="20% - 强调文字颜色 3 3 20 9 3" xfId="9743"/>
    <cellStyle name="20% - 强调文字颜色 3 3 3" xfId="9744"/>
    <cellStyle name="20% - 强调文字颜色 3 3 3 10" xfId="5975"/>
    <cellStyle name="20% - 强调文字颜色 3 3 3 11" xfId="9745"/>
    <cellStyle name="20% - 强调文字颜色 3 3 3 12" xfId="9750"/>
    <cellStyle name="20% - 强调文字颜色 3 3 3 13" xfId="9755"/>
    <cellStyle name="20% - 强调文字颜色 3 3 3 14" xfId="9760"/>
    <cellStyle name="20% - 强调文字颜色 3 3 3 2" xfId="9768"/>
    <cellStyle name="20% - 强调文字颜色 3 3 3 3" xfId="9772"/>
    <cellStyle name="20% - 强调文字颜色 3 3 3 4" xfId="307"/>
    <cellStyle name="20% - 强调文字颜色 3 3 3 5" xfId="7079"/>
    <cellStyle name="20% - 强调文字颜色 3 3 3 6" xfId="7087"/>
    <cellStyle name="20% - 强调文字颜色 3 3 3 7" xfId="9775"/>
    <cellStyle name="20% - 强调文字颜色 3 3 3 8" xfId="9242"/>
    <cellStyle name="20% - 强调文字颜色 3 3 3 9" xfId="9251"/>
    <cellStyle name="20% - 强调文字颜色 3 3 4" xfId="9777"/>
    <cellStyle name="20% - 强调文字颜色 3 3 4 10" xfId="9790"/>
    <cellStyle name="20% - 强调文字颜色 3 3 4 11" xfId="9805"/>
    <cellStyle name="20% - 强调文字颜色 3 3 4 12" xfId="9529"/>
    <cellStyle name="20% - 强调文字颜色 3 3 4 13" xfId="9539"/>
    <cellStyle name="20% - 强调文字颜色 3 3 4 14" xfId="9814"/>
    <cellStyle name="20% - 强调文字颜色 3 3 4 2" xfId="9816"/>
    <cellStyle name="20% - 强调文字颜色 3 3 4 3" xfId="9822"/>
    <cellStyle name="20% - 强调文字颜色 3 3 4 4" xfId="9828"/>
    <cellStyle name="20% - 强调文字颜色 3 3 4 5" xfId="9837"/>
    <cellStyle name="20% - 强调文字颜色 3 3 4 6" xfId="9846"/>
    <cellStyle name="20% - 强调文字颜色 3 3 4 7" xfId="9852"/>
    <cellStyle name="20% - 强调文字颜色 3 3 4 8" xfId="9475"/>
    <cellStyle name="20% - 强调文字颜色 3 3 4 9" xfId="9481"/>
    <cellStyle name="20% - 强调文字颜色 3 3 5" xfId="9857"/>
    <cellStyle name="20% - 强调文字颜色 3 3 6" xfId="9860"/>
    <cellStyle name="20% - 强调文字颜色 3 3 7" xfId="9861"/>
    <cellStyle name="20% - 强调文字颜色 3 3 8" xfId="9867"/>
    <cellStyle name="20% - 强调文字颜色 3 3 9" xfId="9872"/>
    <cellStyle name="20% - 强调文字颜色 3 4" xfId="9878"/>
    <cellStyle name="20% - 强调文字颜色 3 4 10" xfId="9883"/>
    <cellStyle name="20% - 强调文字颜色 3 4 11" xfId="8780"/>
    <cellStyle name="20% - 强调文字颜色 3 4 12" xfId="8788"/>
    <cellStyle name="20% - 强调文字颜色 3 4 13" xfId="8795"/>
    <cellStyle name="20% - 强调文字颜色 3 4 14" xfId="8803"/>
    <cellStyle name="20% - 强调文字颜色 3 4 15" xfId="8854"/>
    <cellStyle name="20% - 强调文字颜色 3 4 16" xfId="8877"/>
    <cellStyle name="20% - 强调文字颜色 3 4 17" xfId="7519"/>
    <cellStyle name="20% - 强调文字颜色 3 4 17 10" xfId="9887"/>
    <cellStyle name="20% - 强调文字颜色 3 4 17 11" xfId="9889"/>
    <cellStyle name="20% - 强调文字颜色 3 4 17 12" xfId="9891"/>
    <cellStyle name="20% - 强调文字颜色 3 4 17 13" xfId="9892"/>
    <cellStyle name="20% - 强调文字颜色 3 4 17 14" xfId="9893"/>
    <cellStyle name="20% - 强调文字颜色 3 4 17 2" xfId="9900"/>
    <cellStyle name="20% - 强调文字颜色 3 4 17 3" xfId="9909"/>
    <cellStyle name="20% - 强调文字颜色 3 4 17 4" xfId="4320"/>
    <cellStyle name="20% - 强调文字颜色 3 4 17 5" xfId="4328"/>
    <cellStyle name="20% - 强调文字颜色 3 4 17 5 10" xfId="9913"/>
    <cellStyle name="20% - 强调文字颜色 3 4 17 5 11" xfId="9920"/>
    <cellStyle name="20% - 强调文字颜色 3 4 17 5 2" xfId="9921"/>
    <cellStyle name="20% - 强调文字颜色 3 4 17 5 2 2" xfId="9923"/>
    <cellStyle name="20% - 强调文字颜色 3 4 17 5 2 2 2" xfId="4683"/>
    <cellStyle name="20% - 强调文字颜色 3 4 17 5 2 2 3" xfId="4690"/>
    <cellStyle name="20% - 强调文字颜色 3 4 17 5 2 3" xfId="9925"/>
    <cellStyle name="20% - 强调文字颜色 3 4 17 5 2 4" xfId="9928"/>
    <cellStyle name="20% - 强调文字颜色 3 4 17 5 2 5" xfId="9930"/>
    <cellStyle name="20% - 强调文字颜色 3 4 17 5 2 6" xfId="9932"/>
    <cellStyle name="20% - 强调文字颜色 3 4 17 5 2 7" xfId="9934"/>
    <cellStyle name="20% - 强调文字颜色 3 4 17 5 2 8" xfId="9938"/>
    <cellStyle name="20% - 强调文字颜色 3 4 17 5 3" xfId="9941"/>
    <cellStyle name="20% - 强调文字颜色 3 4 17 5 4" xfId="9942"/>
    <cellStyle name="20% - 强调文字颜色 3 4 17 5 5" xfId="9943"/>
    <cellStyle name="20% - 强调文字颜色 3 4 17 5 6" xfId="9944"/>
    <cellStyle name="20% - 强调文字颜色 3 4 17 5 6 2" xfId="9946"/>
    <cellStyle name="20% - 强调文字颜色 3 4 17 5 6 3" xfId="9948"/>
    <cellStyle name="20% - 强调文字颜色 3 4 17 5 7" xfId="9949"/>
    <cellStyle name="20% - 强调文字颜色 3 4 17 5 8" xfId="9953"/>
    <cellStyle name="20% - 强调文字颜色 3 4 17 5 9" xfId="9958"/>
    <cellStyle name="20% - 强调文字颜色 3 4 17 6" xfId="4337"/>
    <cellStyle name="20% - 强调文字颜色 3 4 17 6 2" xfId="8711"/>
    <cellStyle name="20% - 强调文字颜色 3 4 17 6 2 2" xfId="3407"/>
    <cellStyle name="20% - 强调文字颜色 3 4 17 6 2 3" xfId="1445"/>
    <cellStyle name="20% - 强调文字颜色 3 4 17 6 3" xfId="8715"/>
    <cellStyle name="20% - 强调文字颜色 3 4 17 6 4" xfId="8719"/>
    <cellStyle name="20% - 强调文字颜色 3 4 17 6 5" xfId="8723"/>
    <cellStyle name="20% - 强调文字颜色 3 4 17 6 6" xfId="8727"/>
    <cellStyle name="20% - 强调文字颜色 3 4 17 6 7" xfId="8730"/>
    <cellStyle name="20% - 强调文字颜色 3 4 17 6 8" xfId="9960"/>
    <cellStyle name="20% - 强调文字颜色 3 4 17 7" xfId="486"/>
    <cellStyle name="20% - 强调文字颜色 3 4 17 8" xfId="4345"/>
    <cellStyle name="20% - 强调文字颜色 3 4 17 9" xfId="9966"/>
    <cellStyle name="20% - 强调文字颜色 3 4 17 9 2" xfId="9968"/>
    <cellStyle name="20% - 强调文字颜色 3 4 17 9 3" xfId="9971"/>
    <cellStyle name="20% - 强调文字颜色 3 4 18" xfId="5593"/>
    <cellStyle name="20% - 强调文字颜色 3 4 18 10" xfId="9898"/>
    <cellStyle name="20% - 强调文字颜色 3 4 18 11" xfId="9906"/>
    <cellStyle name="20% - 强调文字颜色 3 4 18 12" xfId="4315"/>
    <cellStyle name="20% - 强调文字颜色 3 4 18 13" xfId="4323"/>
    <cellStyle name="20% - 强调文字颜色 3 4 18 14" xfId="4332"/>
    <cellStyle name="20% - 强调文字颜色 3 4 18 2" xfId="8882"/>
    <cellStyle name="20% - 强调文字颜色 3 4 18 3" xfId="8887"/>
    <cellStyle name="20% - 强调文字颜色 3 4 18 4" xfId="9977"/>
    <cellStyle name="20% - 强调文字颜色 3 4 18 5" xfId="9981"/>
    <cellStyle name="20% - 强调文字颜色 3 4 18 5 10" xfId="3841"/>
    <cellStyle name="20% - 强调文字颜色 3 4 18 5 11" xfId="3849"/>
    <cellStyle name="20% - 强调文字颜色 3 4 18 5 2" xfId="9982"/>
    <cellStyle name="20% - 强调文字颜色 3 4 18 5 2 2" xfId="9986"/>
    <cellStyle name="20% - 强调文字颜色 3 4 18 5 2 2 2" xfId="9987"/>
    <cellStyle name="20% - 强调文字颜色 3 4 18 5 2 2 3" xfId="9988"/>
    <cellStyle name="20% - 强调文字颜色 3 4 18 5 2 3" xfId="9990"/>
    <cellStyle name="20% - 强调文字颜色 3 4 18 5 2 4" xfId="9993"/>
    <cellStyle name="20% - 强调文字颜色 3 4 18 5 2 5" xfId="9996"/>
    <cellStyle name="20% - 强调文字颜色 3 4 18 5 2 6" xfId="9998"/>
    <cellStyle name="20% - 强调文字颜色 3 4 18 5 2 7" xfId="10005"/>
    <cellStyle name="20% - 强调文字颜色 3 4 18 5 2 8" xfId="9792"/>
    <cellStyle name="20% - 强调文字颜色 3 4 18 5 3" xfId="10006"/>
    <cellStyle name="20% - 强调文字颜色 3 4 18 5 4" xfId="10008"/>
    <cellStyle name="20% - 强调文字颜色 3 4 18 5 5" xfId="10014"/>
    <cellStyle name="20% - 强调文字颜色 3 4 18 5 6" xfId="10018"/>
    <cellStyle name="20% - 强调文字颜色 3 4 18 5 6 2" xfId="3463"/>
    <cellStyle name="20% - 强调文字颜色 3 4 18 5 6 3" xfId="3472"/>
    <cellStyle name="20% - 强调文字颜色 3 4 18 5 7" xfId="10022"/>
    <cellStyle name="20% - 强调文字颜色 3 4 18 5 8" xfId="10023"/>
    <cellStyle name="20% - 强调文字颜色 3 4 18 5 9" xfId="10028"/>
    <cellStyle name="20% - 强调文字颜色 3 4 18 6" xfId="10035"/>
    <cellStyle name="20% - 强调文字颜色 3 4 18 6 2" xfId="8835"/>
    <cellStyle name="20% - 强调文字颜色 3 4 18 6 2 2" xfId="4387"/>
    <cellStyle name="20% - 强调文字颜色 3 4 18 6 2 3" xfId="4402"/>
    <cellStyle name="20% - 强调文字颜色 3 4 18 6 3" xfId="8837"/>
    <cellStyle name="20% - 强调文字颜色 3 4 18 6 4" xfId="1369"/>
    <cellStyle name="20% - 强调文字颜色 3 4 18 6 5" xfId="1382"/>
    <cellStyle name="20% - 强调文字颜色 3 4 18 6 6" xfId="1394"/>
    <cellStyle name="20% - 强调文字颜色 3 4 18 6 7" xfId="1410"/>
    <cellStyle name="20% - 强调文字颜色 3 4 18 6 8" xfId="1679"/>
    <cellStyle name="20% - 强调文字颜色 3 4 18 7" xfId="10039"/>
    <cellStyle name="20% - 强调文字颜色 3 4 18 8" xfId="10044"/>
    <cellStyle name="20% - 强调文字颜色 3 4 18 9" xfId="7195"/>
    <cellStyle name="20% - 强调文字颜色 3 4 18 9 2" xfId="4317"/>
    <cellStyle name="20% - 强调文字颜色 3 4 18 9 3" xfId="4329"/>
    <cellStyle name="20% - 强调文字颜色 3 4 19" xfId="5604"/>
    <cellStyle name="20% - 强调文字颜色 3 4 19 10" xfId="10048"/>
    <cellStyle name="20% - 强调文字颜色 3 4 19 11" xfId="10049"/>
    <cellStyle name="20% - 强调文字颜色 3 4 19 12" xfId="1044"/>
    <cellStyle name="20% - 强调文字颜色 3 4 19 13" xfId="1064"/>
    <cellStyle name="20% - 强调文字颜色 3 4 19 14" xfId="1087"/>
    <cellStyle name="20% - 强调文字颜色 3 4 19 2" xfId="10058"/>
    <cellStyle name="20% - 强调文字颜色 3 4 19 3" xfId="10066"/>
    <cellStyle name="20% - 强调文字颜色 3 4 19 4" xfId="2082"/>
    <cellStyle name="20% - 强调文字颜色 3 4 19 5" xfId="3119"/>
    <cellStyle name="20% - 强调文字颜色 3 4 19 5 10" xfId="4673"/>
    <cellStyle name="20% - 强调文字颜色 3 4 19 5 11" xfId="4677"/>
    <cellStyle name="20% - 强调文字颜色 3 4 19 5 2" xfId="10068"/>
    <cellStyle name="20% - 强调文字颜色 3 4 19 5 2 2" xfId="4600"/>
    <cellStyle name="20% - 强调文字颜色 3 4 19 5 2 2 2" xfId="8817"/>
    <cellStyle name="20% - 强调文字颜色 3 4 19 5 2 2 3" xfId="8820"/>
    <cellStyle name="20% - 强调文字颜色 3 4 19 5 2 3" xfId="4607"/>
    <cellStyle name="20% - 强调文字颜色 3 4 19 5 2 4" xfId="399"/>
    <cellStyle name="20% - 强调文字颜色 3 4 19 5 2 5" xfId="10071"/>
    <cellStyle name="20% - 强调文字颜色 3 4 19 5 2 6" xfId="10076"/>
    <cellStyle name="20% - 强调文字颜色 3 4 19 5 2 7" xfId="10080"/>
    <cellStyle name="20% - 强调文字颜色 3 4 19 5 2 8" xfId="10082"/>
    <cellStyle name="20% - 强调文字颜色 3 4 19 5 3" xfId="10083"/>
    <cellStyle name="20% - 强调文字颜色 3 4 19 5 4" xfId="10084"/>
    <cellStyle name="20% - 强调文字颜色 3 4 19 5 5" xfId="10090"/>
    <cellStyle name="20% - 强调文字颜色 3 4 19 5 6" xfId="10093"/>
    <cellStyle name="20% - 强调文字颜色 3 4 19 5 6 2" xfId="10097"/>
    <cellStyle name="20% - 强调文字颜色 3 4 19 5 6 3" xfId="10104"/>
    <cellStyle name="20% - 强调文字颜色 3 4 19 5 7" xfId="10109"/>
    <cellStyle name="20% - 强调文字颜色 3 4 19 5 8" xfId="10110"/>
    <cellStyle name="20% - 强调文字颜色 3 4 19 5 9" xfId="10113"/>
    <cellStyle name="20% - 强调文字颜色 3 4 19 6" xfId="10118"/>
    <cellStyle name="20% - 强调文字颜色 3 4 19 6 2" xfId="10125"/>
    <cellStyle name="20% - 强调文字颜色 3 4 19 6 2 2" xfId="5109"/>
    <cellStyle name="20% - 强调文字颜色 3 4 19 6 2 3" xfId="5117"/>
    <cellStyle name="20% - 强调文字颜色 3 4 19 6 3" xfId="7375"/>
    <cellStyle name="20% - 强调文字颜色 3 4 19 6 4" xfId="7381"/>
    <cellStyle name="20% - 强调文字颜色 3 4 19 6 5" xfId="7387"/>
    <cellStyle name="20% - 强调文字颜色 3 4 19 6 6" xfId="764"/>
    <cellStyle name="20% - 强调文字颜色 3 4 19 6 7" xfId="488"/>
    <cellStyle name="20% - 强调文字颜色 3 4 19 6 8" xfId="10127"/>
    <cellStyle name="20% - 强调文字颜色 3 4 19 7" xfId="10134"/>
    <cellStyle name="20% - 强调文字颜色 3 4 19 8" xfId="10137"/>
    <cellStyle name="20% - 强调文字颜色 3 4 19 9" xfId="10139"/>
    <cellStyle name="20% - 强调文字颜色 3 4 19 9 2" xfId="7280"/>
    <cellStyle name="20% - 强调文字颜色 3 4 19 9 3" xfId="10143"/>
    <cellStyle name="20% - 强调文字颜色 3 4 2" xfId="9300"/>
    <cellStyle name="20% - 强调文字颜色 3 4 20" xfId="8853"/>
    <cellStyle name="20% - 强调文字颜色 3 4 20 10" xfId="10151"/>
    <cellStyle name="20% - 强调文字颜色 3 4 20 11" xfId="9355"/>
    <cellStyle name="20% - 强调文字颜色 3 4 20 12" xfId="9371"/>
    <cellStyle name="20% - 强调文字颜色 3 4 20 13" xfId="9381"/>
    <cellStyle name="20% - 强调文字颜色 3 4 20 14" xfId="9397"/>
    <cellStyle name="20% - 强调文字颜色 3 4 20 2" xfId="7508"/>
    <cellStyle name="20% - 强调文字颜色 3 4 20 3" xfId="5584"/>
    <cellStyle name="20% - 强调文字颜色 3 4 20 4" xfId="8868"/>
    <cellStyle name="20% - 强调文字颜色 3 4 20 5" xfId="8872"/>
    <cellStyle name="20% - 强调文字颜色 3 4 20 5 10" xfId="10154"/>
    <cellStyle name="20% - 强调文字颜色 3 4 20 5 11" xfId="10160"/>
    <cellStyle name="20% - 强调文字颜色 3 4 20 5 2" xfId="7932"/>
    <cellStyle name="20% - 强调文字颜色 3 4 20 5 2 2" xfId="7938"/>
    <cellStyle name="20% - 强调文字颜色 3 4 20 5 2 2 2" xfId="10164"/>
    <cellStyle name="20% - 强调文字颜色 3 4 20 5 2 2 3" xfId="10165"/>
    <cellStyle name="20% - 强调文字颜色 3 4 20 5 2 3" xfId="7945"/>
    <cellStyle name="20% - 强调文字颜色 3 4 20 5 2 4" xfId="7953"/>
    <cellStyle name="20% - 强调文字颜色 3 4 20 5 2 5" xfId="7964"/>
    <cellStyle name="20% - 强调文字颜色 3 4 20 5 2 6" xfId="7971"/>
    <cellStyle name="20% - 强调文字颜色 3 4 20 5 2 7" xfId="7977"/>
    <cellStyle name="20% - 强调文字颜色 3 4 20 5 2 8" xfId="7984"/>
    <cellStyle name="20% - 强调文字颜色 3 4 20 5 3" xfId="7994"/>
    <cellStyle name="20% - 强调文字颜色 3 4 20 5 4" xfId="7997"/>
    <cellStyle name="20% - 强调文字颜色 3 4 20 5 5" xfId="8002"/>
    <cellStyle name="20% - 强调文字颜色 3 4 20 5 6" xfId="10167"/>
    <cellStyle name="20% - 强调文字颜色 3 4 20 5 6 2" xfId="541"/>
    <cellStyle name="20% - 强调文字颜色 3 4 20 5 6 3" xfId="568"/>
    <cellStyle name="20% - 强调文字颜色 3 4 20 5 7" xfId="10169"/>
    <cellStyle name="20% - 强调文字颜色 3 4 20 5 8" xfId="10171"/>
    <cellStyle name="20% - 强调文字颜色 3 4 20 5 9" xfId="10177"/>
    <cellStyle name="20% - 强调文字颜色 3 4 20 6" xfId="1967"/>
    <cellStyle name="20% - 强调文字颜色 3 4 20 6 2" xfId="10185"/>
    <cellStyle name="20% - 强调文字颜色 3 4 20 6 2 2" xfId="7839"/>
    <cellStyle name="20% - 强调文字颜色 3 4 20 6 2 3" xfId="7851"/>
    <cellStyle name="20% - 强调文字颜色 3 4 20 6 3" xfId="10193"/>
    <cellStyle name="20% - 强调文字颜色 3 4 20 6 4" xfId="10199"/>
    <cellStyle name="20% - 强调文字颜色 3 4 20 6 5" xfId="10206"/>
    <cellStyle name="20% - 强调文字颜色 3 4 20 6 6" xfId="10210"/>
    <cellStyle name="20% - 强调文字颜色 3 4 20 6 7" xfId="692"/>
    <cellStyle name="20% - 强调文字颜色 3 4 20 6 8" xfId="725"/>
    <cellStyle name="20% - 强调文字颜色 3 4 20 7" xfId="1972"/>
    <cellStyle name="20% - 强调文字颜色 3 4 20 8" xfId="1996"/>
    <cellStyle name="20% - 强调文字颜色 3 4 20 9" xfId="2016"/>
    <cellStyle name="20% - 强调文字颜色 3 4 20 9 2" xfId="2048"/>
    <cellStyle name="20% - 强调文字颜色 3 4 20 9 3" xfId="2113"/>
    <cellStyle name="20% - 强调文字颜色 3 4 3" xfId="9306"/>
    <cellStyle name="20% - 强调文字颜色 3 4 4" xfId="9327"/>
    <cellStyle name="20% - 强调文字颜色 3 4 5" xfId="9336"/>
    <cellStyle name="20% - 强调文字颜色 3 4 6" xfId="9345"/>
    <cellStyle name="20% - 强调文字颜色 3 4 7" xfId="10212"/>
    <cellStyle name="20% - 强调文字颜色 3 4 8" xfId="10214"/>
    <cellStyle name="20% - 强调文字颜色 3 4 9" xfId="904"/>
    <cellStyle name="20% - 强调文字颜色 3 5" xfId="10218"/>
    <cellStyle name="20% - 强调文字颜色 3 5 10" xfId="10221"/>
    <cellStyle name="20% - 强调文字颜色 3 5 11" xfId="10224"/>
    <cellStyle name="20% - 强调文字颜色 3 5 12" xfId="10231"/>
    <cellStyle name="20% - 强调文字颜色 3 5 13" xfId="6028"/>
    <cellStyle name="20% - 强调文字颜色 3 5 14" xfId="6694"/>
    <cellStyle name="20% - 强调文字颜色 3 5 2" xfId="9390"/>
    <cellStyle name="20% - 强调文字颜色 3 5 3" xfId="9403"/>
    <cellStyle name="20% - 强调文字颜色 3 5 4" xfId="225"/>
    <cellStyle name="20% - 强调文字颜色 3 5 5" xfId="9419"/>
    <cellStyle name="20% - 强调文字颜色 3 5 6" xfId="10240"/>
    <cellStyle name="20% - 强调文字颜色 3 5 7" xfId="10246"/>
    <cellStyle name="20% - 强调文字颜色 3 5 8" xfId="10253"/>
    <cellStyle name="20% - 强调文字颜色 3 5 9" xfId="10258"/>
    <cellStyle name="20% - 强调文字颜色 3 6" xfId="10188"/>
    <cellStyle name="20% - 强调文字颜色 3 6 10" xfId="10264"/>
    <cellStyle name="20% - 强调文字颜色 3 6 11" xfId="10265"/>
    <cellStyle name="20% - 强调文字颜色 3 6 12" xfId="10270"/>
    <cellStyle name="20% - 强调文字颜色 3 6 13" xfId="10275"/>
    <cellStyle name="20% - 强调文字颜色 3 6 14" xfId="10281"/>
    <cellStyle name="20% - 强调文字颜色 3 6 2" xfId="7840"/>
    <cellStyle name="20% - 强调文字颜色 3 6 3" xfId="7853"/>
    <cellStyle name="20% - 强调文字颜色 3 6 4" xfId="7868"/>
    <cellStyle name="20% - 强调文字颜色 3 6 5" xfId="10288"/>
    <cellStyle name="20% - 强调文字颜色 3 6 6" xfId="10294"/>
    <cellStyle name="20% - 强调文字颜色 3 6 7" xfId="10298"/>
    <cellStyle name="20% - 强调文字颜色 3 6 8" xfId="10305"/>
    <cellStyle name="20% - 强调文字颜色 3 6 9" xfId="10311"/>
    <cellStyle name="20% - 强调文字颜色 3 7" xfId="10197"/>
    <cellStyle name="20% - 强调文字颜色 3 8" xfId="10204"/>
    <cellStyle name="20% - 强调文字颜色 3 9" xfId="10208"/>
    <cellStyle name="20% - 强调文字颜色 4 10" xfId="5737"/>
    <cellStyle name="20% - 强调文字颜色 4 11" xfId="5752"/>
    <cellStyle name="20% - 强调文字颜色 4 12" xfId="5763"/>
    <cellStyle name="20% - 强调文字颜色 4 12 10" xfId="10317"/>
    <cellStyle name="20% - 强调文字颜色 4 12 11" xfId="10321"/>
    <cellStyle name="20% - 强调文字颜色 4 12 12" xfId="10329"/>
    <cellStyle name="20% - 强调文字颜色 4 12 13" xfId="10335"/>
    <cellStyle name="20% - 强调文字颜色 4 12 14" xfId="10336"/>
    <cellStyle name="20% - 强调文字颜色 4 12 2" xfId="10340"/>
    <cellStyle name="20% - 强调文字颜色 4 12 3" xfId="10344"/>
    <cellStyle name="20% - 强调文字颜色 4 12 4" xfId="10349"/>
    <cellStyle name="20% - 强调文字颜色 4 12 5" xfId="9820"/>
    <cellStyle name="20% - 强调文字颜色 4 12 5 10" xfId="10350"/>
    <cellStyle name="20% - 强调文字颜色 4 12 5 11" xfId="10351"/>
    <cellStyle name="20% - 强调文字颜色 4 12 5 2" xfId="9907"/>
    <cellStyle name="20% - 强调文字颜色 4 12 5 2 2" xfId="10353"/>
    <cellStyle name="20% - 强调文字颜色 4 12 5 2 2 2" xfId="9917"/>
    <cellStyle name="20% - 强调文字颜色 4 12 5 2 2 3" xfId="10356"/>
    <cellStyle name="20% - 强调文字颜色 4 12 5 2 3" xfId="10358"/>
    <cellStyle name="20% - 强调文字颜色 4 12 5 2 4" xfId="10359"/>
    <cellStyle name="20% - 强调文字颜色 4 12 5 2 5" xfId="10360"/>
    <cellStyle name="20% - 强调文字颜色 4 12 5 2 6" xfId="10361"/>
    <cellStyle name="20% - 强调文字颜色 4 12 5 2 7" xfId="10363"/>
    <cellStyle name="20% - 强调文字颜色 4 12 5 2 8" xfId="10365"/>
    <cellStyle name="20% - 强调文字颜色 4 12 5 3" xfId="4316"/>
    <cellStyle name="20% - 强调文字颜色 4 12 5 4" xfId="4325"/>
    <cellStyle name="20% - 强调文字颜色 4 12 5 5" xfId="4334"/>
    <cellStyle name="20% - 强调文字颜色 4 12 5 6" xfId="484"/>
    <cellStyle name="20% - 强调文字颜色 4 12 5 6 2" xfId="8746"/>
    <cellStyle name="20% - 强调文字颜色 4 12 5 6 3" xfId="8752"/>
    <cellStyle name="20% - 强调文字颜色 4 12 5 7" xfId="4342"/>
    <cellStyle name="20% - 强调文字颜色 4 12 5 8" xfId="9962"/>
    <cellStyle name="20% - 强调文字颜色 4 12 5 9" xfId="10367"/>
    <cellStyle name="20% - 强调文字颜色 4 12 6" xfId="9827"/>
    <cellStyle name="20% - 强调文字颜色 4 12 6 2" xfId="8885"/>
    <cellStyle name="20% - 强调文字颜色 4 12 6 2 2" xfId="10372"/>
    <cellStyle name="20% - 强调文字颜色 4 12 6 2 3" xfId="10377"/>
    <cellStyle name="20% - 强调文字颜色 4 12 6 3" xfId="9975"/>
    <cellStyle name="20% - 强调文字颜色 4 12 6 4" xfId="9979"/>
    <cellStyle name="20% - 强调文字颜色 4 12 6 5" xfId="10032"/>
    <cellStyle name="20% - 强调文字颜色 4 12 6 6" xfId="10041"/>
    <cellStyle name="20% - 强调文字颜色 4 12 6 7" xfId="10046"/>
    <cellStyle name="20% - 强调文字颜色 4 12 6 8" xfId="7192"/>
    <cellStyle name="20% - 强调文字颜色 4 12 7" xfId="9834"/>
    <cellStyle name="20% - 强调文字颜色 4 12 8" xfId="9842"/>
    <cellStyle name="20% - 强调文字颜色 4 12 9" xfId="9850"/>
    <cellStyle name="20% - 强调文字颜色 4 12 9 2" xfId="10378"/>
    <cellStyle name="20% - 强调文字颜色 4 12 9 3" xfId="10382"/>
    <cellStyle name="20% - 强调文字颜色 4 13" xfId="5774"/>
    <cellStyle name="20% - 强调文字颜色 4 14" xfId="10391"/>
    <cellStyle name="20% - 强调文字颜色 4 15" xfId="809"/>
    <cellStyle name="20% - 强调文字颜色 4 16" xfId="377"/>
    <cellStyle name="20% - 强调文字颜色 4 16 10" xfId="3830"/>
    <cellStyle name="20% - 强调文字颜色 4 16 11" xfId="2692"/>
    <cellStyle name="20% - 强调文字颜色 4 16 12" xfId="1122"/>
    <cellStyle name="20% - 强调文字颜色 4 16 13" xfId="1143"/>
    <cellStyle name="20% - 强调文字颜色 4 16 14" xfId="2708"/>
    <cellStyle name="20% - 强调文字颜色 4 16 2" xfId="10393"/>
    <cellStyle name="20% - 强调文字颜色 4 16 3" xfId="10396"/>
    <cellStyle name="20% - 强调文字颜色 4 16 4" xfId="10400"/>
    <cellStyle name="20% - 强调文字颜色 4 16 5" xfId="10404"/>
    <cellStyle name="20% - 强调文字颜色 4 16 5 10" xfId="10073"/>
    <cellStyle name="20% - 强调文字颜色 4 16 5 11" xfId="10078"/>
    <cellStyle name="20% - 强调文字颜色 4 16 5 2" xfId="2974"/>
    <cellStyle name="20% - 强调文字颜色 4 16 5 2 2" xfId="10415"/>
    <cellStyle name="20% - 强调文字颜色 4 16 5 2 2 2" xfId="5333"/>
    <cellStyle name="20% - 强调文字颜色 4 16 5 2 2 3" xfId="5347"/>
    <cellStyle name="20% - 强调文字颜色 4 16 5 2 3" xfId="10429"/>
    <cellStyle name="20% - 强调文字颜色 4 16 5 2 4" xfId="10435"/>
    <cellStyle name="20% - 强调文字颜色 4 16 5 2 5" xfId="10441"/>
    <cellStyle name="20% - 强调文字颜色 4 16 5 2 6" xfId="10444"/>
    <cellStyle name="20% - 强调文字颜色 4 16 5 2 7" xfId="10448"/>
    <cellStyle name="20% - 强调文字颜色 4 16 5 2 8" xfId="6876"/>
    <cellStyle name="20% - 强调文字颜色 4 16 5 3" xfId="2993"/>
    <cellStyle name="20% - 强调文字颜色 4 16 5 4" xfId="3004"/>
    <cellStyle name="20% - 强调文字颜色 4 16 5 5" xfId="3015"/>
    <cellStyle name="20% - 强调文字颜色 4 16 5 6" xfId="3025"/>
    <cellStyle name="20% - 强调文字颜色 4 16 5 6 2" xfId="9659"/>
    <cellStyle name="20% - 强调文字颜色 4 16 5 6 3" xfId="9670"/>
    <cellStyle name="20% - 强调文字颜色 4 16 5 7" xfId="5231"/>
    <cellStyle name="20% - 强调文字颜色 4 16 5 8" xfId="5238"/>
    <cellStyle name="20% - 强调文字颜色 4 16 5 9" xfId="4666"/>
    <cellStyle name="20% - 强调文字颜色 4 16 6" xfId="10450"/>
    <cellStyle name="20% - 强调文字颜色 4 16 6 2" xfId="5705"/>
    <cellStyle name="20% - 强调文字颜色 4 16 6 2 2" xfId="10458"/>
    <cellStyle name="20% - 强调文字颜色 4 16 6 2 3" xfId="10461"/>
    <cellStyle name="20% - 强调文字颜色 4 16 6 3" xfId="5713"/>
    <cellStyle name="20% - 强调文字颜色 4 16 6 4" xfId="5725"/>
    <cellStyle name="20% - 强调文字颜色 4 16 6 5" xfId="5746"/>
    <cellStyle name="20% - 强调文字颜色 4 16 6 6" xfId="5758"/>
    <cellStyle name="20% - 强调文字颜色 4 16 6 7" xfId="5767"/>
    <cellStyle name="20% - 强调文字颜色 4 16 6 8" xfId="10387"/>
    <cellStyle name="20% - 强调文字颜色 4 16 7" xfId="10465"/>
    <cellStyle name="20% - 强调文字颜色 4 16 8" xfId="10469"/>
    <cellStyle name="20% - 强调文字颜色 4 16 9" xfId="10473"/>
    <cellStyle name="20% - 强调文字颜色 4 16 9 2" xfId="10480"/>
    <cellStyle name="20% - 强调文字颜色 4 16 9 3" xfId="10484"/>
    <cellStyle name="20% - 强调文字颜色 4 17" xfId="4744"/>
    <cellStyle name="20% - 强调文字颜色 4 17 10" xfId="10489"/>
    <cellStyle name="20% - 强调文字颜色 4 17 11" xfId="10497"/>
    <cellStyle name="20% - 强调文字颜色 4 17 12" xfId="10508"/>
    <cellStyle name="20% - 强调文字颜色 4 17 13" xfId="10514"/>
    <cellStyle name="20% - 强调文字颜色 4 17 14" xfId="10527"/>
    <cellStyle name="20% - 强调文字颜色 4 17 2" xfId="10534"/>
    <cellStyle name="20% - 强调文字颜色 4 17 3" xfId="10538"/>
    <cellStyle name="20% - 强调文字颜色 4 17 4" xfId="4628"/>
    <cellStyle name="20% - 强调文字颜色 4 17 5" xfId="7600"/>
    <cellStyle name="20% - 强调文字颜色 4 17 5 10" xfId="10541"/>
    <cellStyle name="20% - 强调文字颜色 4 17 5 11" xfId="10542"/>
    <cellStyle name="20% - 强调文字颜色 4 17 5 2" xfId="7942"/>
    <cellStyle name="20% - 强调文字颜色 4 17 5 2 2" xfId="3084"/>
    <cellStyle name="20% - 强调文字颜色 4 17 5 2 2 2" xfId="10545"/>
    <cellStyle name="20% - 强调文字颜色 4 17 5 2 2 3" xfId="10551"/>
    <cellStyle name="20% - 强调文字颜色 4 17 5 2 3" xfId="10552"/>
    <cellStyle name="20% - 强调文字颜色 4 17 5 2 4" xfId="10554"/>
    <cellStyle name="20% - 强调文字颜色 4 17 5 2 5" xfId="10556"/>
    <cellStyle name="20% - 强调文字颜色 4 17 5 2 6" xfId="10558"/>
    <cellStyle name="20% - 强调文字颜色 4 17 5 2 7" xfId="10560"/>
    <cellStyle name="20% - 强调文字颜色 4 17 5 2 8" xfId="10561"/>
    <cellStyle name="20% - 强调文字颜色 4 17 5 3" xfId="7950"/>
    <cellStyle name="20% - 强调文字颜色 4 17 5 4" xfId="7963"/>
    <cellStyle name="20% - 强调文字颜色 4 17 5 5" xfId="7970"/>
    <cellStyle name="20% - 强调文字颜色 4 17 5 6" xfId="7978"/>
    <cellStyle name="20% - 强调文字颜色 4 17 5 6 2" xfId="9374"/>
    <cellStyle name="20% - 强调文字颜色 4 17 5 6 3" xfId="9383"/>
    <cellStyle name="20% - 强调文字颜色 4 17 5 7" xfId="7985"/>
    <cellStyle name="20% - 强调文字颜色 4 17 5 8" xfId="7991"/>
    <cellStyle name="20% - 强调文字颜色 4 17 5 9" xfId="10566"/>
    <cellStyle name="20% - 强调文字颜色 4 17 6" xfId="7606"/>
    <cellStyle name="20% - 强调文字颜色 4 17 6 2" xfId="5940"/>
    <cellStyle name="20% - 强调文字颜色 4 17 6 2 2" xfId="10575"/>
    <cellStyle name="20% - 强调文字颜色 4 17 6 2 3" xfId="10581"/>
    <cellStyle name="20% - 强调文字颜色 4 17 6 3" xfId="5951"/>
    <cellStyle name="20% - 强调文字颜色 4 17 6 4" xfId="5960"/>
    <cellStyle name="20% - 强调文字颜色 4 17 6 5" xfId="1502"/>
    <cellStyle name="20% - 强调文字颜色 4 17 6 6" xfId="1517"/>
    <cellStyle name="20% - 强调文字颜色 4 17 6 7" xfId="4422"/>
    <cellStyle name="20% - 强调文字颜色 4 17 6 8" xfId="4517"/>
    <cellStyle name="20% - 强调文字颜色 4 17 7" xfId="6765"/>
    <cellStyle name="20% - 强调文字颜色 4 17 8" xfId="6782"/>
    <cellStyle name="20% - 强调文字颜色 4 17 9" xfId="7620"/>
    <cellStyle name="20% - 强调文字颜色 4 17 9 2" xfId="566"/>
    <cellStyle name="20% - 强调文字颜色 4 17 9 3" xfId="411"/>
    <cellStyle name="20% - 强调文字颜色 4 18" xfId="4747"/>
    <cellStyle name="20% - 强调文字颜色 4 18 10" xfId="4241"/>
    <cellStyle name="20% - 强调文字颜色 4 18 11" xfId="4251"/>
    <cellStyle name="20% - 强调文字颜色 4 18 12" xfId="4259"/>
    <cellStyle name="20% - 强调文字颜色 4 18 13" xfId="6482"/>
    <cellStyle name="20% - 强调文字颜色 4 18 14" xfId="6489"/>
    <cellStyle name="20% - 强调文字颜色 4 18 2" xfId="10584"/>
    <cellStyle name="20% - 强调文字颜色 4 18 3" xfId="10586"/>
    <cellStyle name="20% - 强调文字颜色 4 18 4" xfId="10588"/>
    <cellStyle name="20% - 强调文字颜色 4 18 5" xfId="10590"/>
    <cellStyle name="20% - 强调文字颜色 4 18 5 10" xfId="5505"/>
    <cellStyle name="20% - 强调文字颜色 4 18 5 11" xfId="5521"/>
    <cellStyle name="20% - 强调文字颜色 4 18 5 2" xfId="7847"/>
    <cellStyle name="20% - 强调文字颜色 4 18 5 2 2" xfId="1030"/>
    <cellStyle name="20% - 强调文字颜色 4 18 5 2 2 2" xfId="7686"/>
    <cellStyle name="20% - 强调文字颜色 4 18 5 2 2 3" xfId="7690"/>
    <cellStyle name="20% - 强调文字颜色 4 18 5 2 3" xfId="10592"/>
    <cellStyle name="20% - 强调文字颜色 4 18 5 2 4" xfId="10593"/>
    <cellStyle name="20% - 强调文字颜色 4 18 5 2 5" xfId="10594"/>
    <cellStyle name="20% - 强调文字颜色 4 18 5 2 6" xfId="10595"/>
    <cellStyle name="20% - 强调文字颜色 4 18 5 2 7" xfId="475"/>
    <cellStyle name="20% - 强调文字颜色 4 18 5 2 8" xfId="8641"/>
    <cellStyle name="20% - 强调文字颜色 4 18 5 3" xfId="7863"/>
    <cellStyle name="20% - 强调文字颜色 4 18 5 4" xfId="10283"/>
    <cellStyle name="20% - 强调文字颜色 4 18 5 5" xfId="10291"/>
    <cellStyle name="20% - 强调文字颜色 4 18 5 6" xfId="10303"/>
    <cellStyle name="20% - 强调文字颜色 4 18 5 6 2" xfId="7460"/>
    <cellStyle name="20% - 强调文字颜色 4 18 5 6 3" xfId="7014"/>
    <cellStyle name="20% - 强调文字颜色 4 18 5 7" xfId="10309"/>
    <cellStyle name="20% - 强调文字颜色 4 18 5 8" xfId="10316"/>
    <cellStyle name="20% - 强调文字颜色 4 18 5 9" xfId="10603"/>
    <cellStyle name="20% - 强调文字颜色 4 18 6" xfId="10604"/>
    <cellStyle name="20% - 强调文字颜色 4 18 6 2" xfId="10610"/>
    <cellStyle name="20% - 强调文字颜色 4 18 6 2 2" xfId="10611"/>
    <cellStyle name="20% - 强调文字颜色 4 18 6 2 3" xfId="10613"/>
    <cellStyle name="20% - 强调文字颜色 4 18 6 3" xfId="10622"/>
    <cellStyle name="20% - 强调文字颜色 4 18 6 4" xfId="10627"/>
    <cellStyle name="20% - 强调文字颜色 4 18 6 5" xfId="10631"/>
    <cellStyle name="20% - 强调文字颜色 4 18 6 6" xfId="10635"/>
    <cellStyle name="20% - 强调文字颜色 4 18 6 7" xfId="10638"/>
    <cellStyle name="20% - 强调文字颜色 4 18 6 8" xfId="10641"/>
    <cellStyle name="20% - 强调文字颜色 4 18 7" xfId="10642"/>
    <cellStyle name="20% - 强调文字颜色 4 18 8" xfId="10644"/>
    <cellStyle name="20% - 强调文字颜色 4 18 9" xfId="10645"/>
    <cellStyle name="20% - 强调文字颜色 4 18 9 2" xfId="7723"/>
    <cellStyle name="20% - 强调文字颜色 4 18 9 3" xfId="7726"/>
    <cellStyle name="20% - 强调文字颜色 4 19" xfId="4750"/>
    <cellStyle name="20% - 强调文字颜色 4 2" xfId="10647"/>
    <cellStyle name="20% - 强调文字颜色 4 2 10" xfId="2439"/>
    <cellStyle name="20% - 强调文字颜色 4 2 11" xfId="2462"/>
    <cellStyle name="20% - 强调文字颜色 4 2 12" xfId="2479"/>
    <cellStyle name="20% - 强调文字颜色 4 2 13" xfId="2497"/>
    <cellStyle name="20% - 强调文字颜色 4 2 14" xfId="2505"/>
    <cellStyle name="20% - 强调文字颜色 4 2 15" xfId="2514"/>
    <cellStyle name="20% - 强调文字颜色 4 2 16" xfId="2523"/>
    <cellStyle name="20% - 强调文字颜色 4 2 17" xfId="5128"/>
    <cellStyle name="20% - 强调文字颜色 4 2 17 10" xfId="10653"/>
    <cellStyle name="20% - 强调文字颜色 4 2 17 11" xfId="9195"/>
    <cellStyle name="20% - 强调文字颜色 4 2 17 12" xfId="9199"/>
    <cellStyle name="20% - 强调文字颜色 4 2 17 13" xfId="456"/>
    <cellStyle name="20% - 强调文字颜色 4 2 17 14" xfId="548"/>
    <cellStyle name="20% - 强调文字颜色 4 2 17 2" xfId="10269"/>
    <cellStyle name="20% - 强调文字颜色 4 2 17 3" xfId="10274"/>
    <cellStyle name="20% - 强调文字颜色 4 2 17 4" xfId="10279"/>
    <cellStyle name="20% - 强调文字颜色 4 2 17 5" xfId="5503"/>
    <cellStyle name="20% - 强调文字颜色 4 2 17 5 10" xfId="8155"/>
    <cellStyle name="20% - 强调文字颜色 4 2 17 5 11" xfId="8164"/>
    <cellStyle name="20% - 强调文字颜色 4 2 17 5 2" xfId="10654"/>
    <cellStyle name="20% - 强调文字颜色 4 2 17 5 2 2" xfId="10657"/>
    <cellStyle name="20% - 强调文字颜色 4 2 17 5 2 2 2" xfId="10662"/>
    <cellStyle name="20% - 强调文字颜色 4 2 17 5 2 2 3" xfId="10664"/>
    <cellStyle name="20% - 强调文字颜色 4 2 17 5 2 3" xfId="10666"/>
    <cellStyle name="20% - 强调文字颜色 4 2 17 5 2 4" xfId="10675"/>
    <cellStyle name="20% - 强调文字颜色 4 2 17 5 2 5" xfId="10684"/>
    <cellStyle name="20% - 强调文字颜色 4 2 17 5 2 6" xfId="10688"/>
    <cellStyle name="20% - 强调文字颜色 4 2 17 5 2 7" xfId="10691"/>
    <cellStyle name="20% - 强调文字颜色 4 2 17 5 2 8" xfId="10694"/>
    <cellStyle name="20% - 强调文字颜色 4 2 17 5 3" xfId="3247"/>
    <cellStyle name="20% - 强调文字颜色 4 2 17 5 4" xfId="3249"/>
    <cellStyle name="20% - 强调文字颜色 4 2 17 5 5" xfId="10701"/>
    <cellStyle name="20% - 强调文字颜色 4 2 17 5 6" xfId="8228"/>
    <cellStyle name="20% - 强调文字颜色 4 2 17 5 6 2" xfId="10704"/>
    <cellStyle name="20% - 强调文字颜色 4 2 17 5 6 3" xfId="10707"/>
    <cellStyle name="20% - 强调文字颜色 4 2 17 5 7" xfId="8234"/>
    <cellStyle name="20% - 强调文字颜色 4 2 17 5 8" xfId="8240"/>
    <cellStyle name="20% - 强调文字颜色 4 2 17 5 9" xfId="8243"/>
    <cellStyle name="20% - 强调文字颜色 4 2 17 6" xfId="5517"/>
    <cellStyle name="20% - 强调文字颜色 4 2 17 6 2" xfId="10175"/>
    <cellStyle name="20% - 强调文字颜色 4 2 17 6 2 2" xfId="10712"/>
    <cellStyle name="20% - 强调文字颜色 4 2 17 6 2 3" xfId="10717"/>
    <cellStyle name="20% - 强调文字颜色 4 2 17 6 3" xfId="10181"/>
    <cellStyle name="20% - 强调文字颜色 4 2 17 6 4" xfId="10720"/>
    <cellStyle name="20% - 强调文字颜色 4 2 17 6 5" xfId="10723"/>
    <cellStyle name="20% - 强调文字颜色 4 2 17 6 6" xfId="8344"/>
    <cellStyle name="20% - 强调文字颜色 4 2 17 6 7" xfId="8349"/>
    <cellStyle name="20% - 强调文字颜色 4 2 17 6 8" xfId="4528"/>
    <cellStyle name="20% - 强调文字颜色 4 2 17 7" xfId="2229"/>
    <cellStyle name="20% - 强调文字颜色 4 2 17 8" xfId="2255"/>
    <cellStyle name="20% - 强调文字颜色 4 2 17 9" xfId="2271"/>
    <cellStyle name="20% - 强调文字颜色 4 2 17 9 2" xfId="8157"/>
    <cellStyle name="20% - 强调文字颜色 4 2 17 9 3" xfId="8166"/>
    <cellStyle name="20% - 强调文字颜色 4 2 18" xfId="10729"/>
    <cellStyle name="20% - 强调文字颜色 4 2 18 10" xfId="10731"/>
    <cellStyle name="20% - 强调文字颜色 4 2 18 11" xfId="10732"/>
    <cellStyle name="20% - 强调文字颜色 4 2 18 12" xfId="3358"/>
    <cellStyle name="20% - 强调文字颜色 4 2 18 13" xfId="6602"/>
    <cellStyle name="20% - 强调文字颜色 4 2 18 14" xfId="6616"/>
    <cellStyle name="20% - 强调文字颜色 4 2 18 2" xfId="10739"/>
    <cellStyle name="20% - 强调文字颜色 4 2 18 3" xfId="10742"/>
    <cellStyle name="20% - 强调文字颜色 4 2 18 4" xfId="10748"/>
    <cellStyle name="20% - 强调文字颜色 4 2 18 5" xfId="10752"/>
    <cellStyle name="20% - 强调文字颜色 4 2 18 5 10" xfId="875"/>
    <cellStyle name="20% - 强调文字颜色 4 2 18 5 11" xfId="888"/>
    <cellStyle name="20% - 强调文字颜色 4 2 18 5 2" xfId="3167"/>
    <cellStyle name="20% - 强调文字颜色 4 2 18 5 2 2" xfId="4804"/>
    <cellStyle name="20% - 强调文字颜色 4 2 18 5 2 2 2" xfId="10754"/>
    <cellStyle name="20% - 强调文字颜色 4 2 18 5 2 2 3" xfId="10755"/>
    <cellStyle name="20% - 强调文字颜色 4 2 18 5 2 3" xfId="4815"/>
    <cellStyle name="20% - 强调文字颜色 4 2 18 5 2 4" xfId="8934"/>
    <cellStyle name="20% - 强调文字颜色 4 2 18 5 2 5" xfId="8941"/>
    <cellStyle name="20% - 强调文字颜色 4 2 18 5 2 6" xfId="8947"/>
    <cellStyle name="20% - 强调文字颜色 4 2 18 5 2 7" xfId="8995"/>
    <cellStyle name="20% - 强调文字颜色 4 2 18 5 2 8" xfId="9029"/>
    <cellStyle name="20% - 强调文字颜色 4 2 18 5 3" xfId="3171"/>
    <cellStyle name="20% - 强调文字颜色 4 2 18 5 4" xfId="3174"/>
    <cellStyle name="20% - 强调文字颜色 4 2 18 5 5" xfId="3178"/>
    <cellStyle name="20% - 强调文字颜色 4 2 18 5 6" xfId="502"/>
    <cellStyle name="20% - 强调文字颜色 4 2 18 5 6 2" xfId="9886"/>
    <cellStyle name="20% - 强调文字颜色 4 2 18 5 6 3" xfId="8779"/>
    <cellStyle name="20% - 强调文字颜色 4 2 18 5 7" xfId="10756"/>
    <cellStyle name="20% - 强调文字颜色 4 2 18 5 8" xfId="10759"/>
    <cellStyle name="20% - 强调文字颜色 4 2 18 5 9" xfId="10762"/>
    <cellStyle name="20% - 强调文字颜色 4 2 18 6" xfId="10767"/>
    <cellStyle name="20% - 强调文字颜色 4 2 18 6 2" xfId="10771"/>
    <cellStyle name="20% - 强调文字颜色 4 2 18 6 2 2" xfId="7260"/>
    <cellStyle name="20% - 强调文字颜色 4 2 18 6 2 3" xfId="7264"/>
    <cellStyle name="20% - 强调文字颜色 4 2 18 6 3" xfId="10775"/>
    <cellStyle name="20% - 强调文字颜色 4 2 18 6 4" xfId="10781"/>
    <cellStyle name="20% - 强调文字颜色 4 2 18 6 5" xfId="10785"/>
    <cellStyle name="20% - 强调文字颜色 4 2 18 6 6" xfId="10788"/>
    <cellStyle name="20% - 强调文字颜色 4 2 18 6 7" xfId="10791"/>
    <cellStyle name="20% - 强调文字颜色 4 2 18 6 8" xfId="10795"/>
    <cellStyle name="20% - 强调文字颜色 4 2 18 7" xfId="10798"/>
    <cellStyle name="20% - 强调文字颜色 4 2 18 8" xfId="9133"/>
    <cellStyle name="20% - 强调文字颜色 4 2 18 9" xfId="9159"/>
    <cellStyle name="20% - 强调文字颜色 4 2 18 9 2" xfId="8281"/>
    <cellStyle name="20% - 强调文字颜色 4 2 18 9 3" xfId="8287"/>
    <cellStyle name="20% - 强调文字颜色 4 2 19" xfId="10801"/>
    <cellStyle name="20% - 强调文字颜色 4 2 19 10" xfId="10802"/>
    <cellStyle name="20% - 强调文字颜色 4 2 19 11" xfId="3587"/>
    <cellStyle name="20% - 强调文字颜色 4 2 19 12" xfId="3602"/>
    <cellStyle name="20% - 强调文字颜色 4 2 19 13" xfId="5930"/>
    <cellStyle name="20% - 强调文字颜色 4 2 19 14" xfId="5942"/>
    <cellStyle name="20% - 强调文字颜色 4 2 19 2" xfId="1559"/>
    <cellStyle name="20% - 强调文字颜色 4 2 19 3" xfId="1566"/>
    <cellStyle name="20% - 强调文字颜色 4 2 19 4" xfId="10807"/>
    <cellStyle name="20% - 强调文字颜色 4 2 19 5" xfId="10810"/>
    <cellStyle name="20% - 强调文字颜色 4 2 19 5 10" xfId="10816"/>
    <cellStyle name="20% - 强调文字颜色 4 2 19 5 11" xfId="10819"/>
    <cellStyle name="20% - 强调文字颜色 4 2 19 5 2" xfId="6806"/>
    <cellStyle name="20% - 强调文字颜色 4 2 19 5 2 2" xfId="10820"/>
    <cellStyle name="20% - 强调文字颜色 4 2 19 5 2 2 2" xfId="8324"/>
    <cellStyle name="20% - 强调文字颜色 4 2 19 5 2 2 3" xfId="10824"/>
    <cellStyle name="20% - 强调文字颜色 4 2 19 5 2 3" xfId="10827"/>
    <cellStyle name="20% - 强调文字颜色 4 2 19 5 2 4" xfId="10830"/>
    <cellStyle name="20% - 强调文字颜色 4 2 19 5 2 5" xfId="10833"/>
    <cellStyle name="20% - 强调文字颜色 4 2 19 5 2 6" xfId="10834"/>
    <cellStyle name="20% - 强调文字颜色 4 2 19 5 2 7" xfId="10533"/>
    <cellStyle name="20% - 强调文字颜色 4 2 19 5 2 8" xfId="10537"/>
    <cellStyle name="20% - 强调文字颜色 4 2 19 5 3" xfId="10835"/>
    <cellStyle name="20% - 强调文字颜色 4 2 19 5 4" xfId="10836"/>
    <cellStyle name="20% - 强调文字颜色 4 2 19 5 5" xfId="10838"/>
    <cellStyle name="20% - 强调文字颜色 4 2 19 5 6" xfId="10840"/>
    <cellStyle name="20% - 强调文字颜色 4 2 19 5 6 2" xfId="872"/>
    <cellStyle name="20% - 强调文字颜色 4 2 19 5 6 3" xfId="885"/>
    <cellStyle name="20% - 强调文字颜色 4 2 19 5 7" xfId="10842"/>
    <cellStyle name="20% - 强调文字颜色 4 2 19 5 8" xfId="10844"/>
    <cellStyle name="20% - 强调文字颜色 4 2 19 5 9" xfId="10846"/>
    <cellStyle name="20% - 强调文字颜色 4 2 19 6" xfId="10849"/>
    <cellStyle name="20% - 强调文字颜色 4 2 19 6 2" xfId="9952"/>
    <cellStyle name="20% - 强调文字颜色 4 2 19 6 2 2" xfId="10854"/>
    <cellStyle name="20% - 强调文字颜色 4 2 19 6 2 3" xfId="10859"/>
    <cellStyle name="20% - 强调文字颜色 4 2 19 6 3" xfId="9957"/>
    <cellStyle name="20% - 强调文字颜色 4 2 19 6 4" xfId="10862"/>
    <cellStyle name="20% - 强调文字颜色 4 2 19 6 5" xfId="10866"/>
    <cellStyle name="20% - 强调文字颜色 4 2 19 6 6" xfId="10870"/>
    <cellStyle name="20% - 强调文字颜色 4 2 19 6 7" xfId="8954"/>
    <cellStyle name="20% - 强调文字颜色 4 2 19 6 8" xfId="8959"/>
    <cellStyle name="20% - 强调文字颜色 4 2 19 7" xfId="10156"/>
    <cellStyle name="20% - 强调文字颜色 4 2 19 8" xfId="10162"/>
    <cellStyle name="20% - 强调文字颜色 4 2 19 9" xfId="4701"/>
    <cellStyle name="20% - 强调文字颜色 4 2 19 9 2" xfId="8386"/>
    <cellStyle name="20% - 强调文字颜色 4 2 19 9 3" xfId="8394"/>
    <cellStyle name="20% - 强调文字颜色 4 2 2" xfId="10876"/>
    <cellStyle name="20% - 强调文字颜色 4 2 2 10" xfId="10887"/>
    <cellStyle name="20% - 强调文字颜色 4 2 2 11" xfId="10897"/>
    <cellStyle name="20% - 强调文字颜色 4 2 2 12" xfId="10900"/>
    <cellStyle name="20% - 强调文字颜色 4 2 2 13" xfId="10902"/>
    <cellStyle name="20% - 强调文字颜色 4 2 2 14" xfId="10904"/>
    <cellStyle name="20% - 强调文字颜色 4 2 2 2" xfId="9776"/>
    <cellStyle name="20% - 强调文字颜色 4 2 2 3" xfId="9856"/>
    <cellStyle name="20% - 强调文字颜色 4 2 2 4" xfId="9859"/>
    <cellStyle name="20% - 强调文字颜色 4 2 2 5" xfId="9864"/>
    <cellStyle name="20% - 强调文字颜色 4 2 2 6" xfId="9869"/>
    <cellStyle name="20% - 强调文字颜色 4 2 2 7" xfId="9875"/>
    <cellStyle name="20% - 强调文字颜色 4 2 2 8" xfId="2799"/>
    <cellStyle name="20% - 强调文字颜色 4 2 2 9" xfId="2806"/>
    <cellStyle name="20% - 强调文字颜色 4 2 20" xfId="2513"/>
    <cellStyle name="20% - 强调文字颜色 4 2 20 10" xfId="10906"/>
    <cellStyle name="20% - 强调文字颜色 4 2 20 11" xfId="10910"/>
    <cellStyle name="20% - 强调文字颜色 4 2 20 12" xfId="10658"/>
    <cellStyle name="20% - 强调文字颜色 4 2 20 13" xfId="10667"/>
    <cellStyle name="20% - 强调文字颜色 4 2 20 14" xfId="10671"/>
    <cellStyle name="20% - 强调文字颜色 4 2 20 2" xfId="4869"/>
    <cellStyle name="20% - 强调文字颜色 4 2 20 3" xfId="4878"/>
    <cellStyle name="20% - 强调文字颜色 4 2 20 4" xfId="1104"/>
    <cellStyle name="20% - 强调文字颜色 4 2 20 5" xfId="10918"/>
    <cellStyle name="20% - 强调文字颜色 4 2 20 5 10" xfId="10920"/>
    <cellStyle name="20% - 强调文字颜色 4 2 20 5 11" xfId="10052"/>
    <cellStyle name="20% - 强调文字颜色 4 2 20 5 2" xfId="9782"/>
    <cellStyle name="20% - 强调文字颜色 4 2 20 5 2 2" xfId="10931"/>
    <cellStyle name="20% - 强调文字颜色 4 2 20 5 2 2 2" xfId="9431"/>
    <cellStyle name="20% - 强调文字颜色 4 2 20 5 2 2 3" xfId="9440"/>
    <cellStyle name="20% - 强调文字颜色 4 2 20 5 2 3" xfId="10938"/>
    <cellStyle name="20% - 强调文字颜色 4 2 20 5 2 4" xfId="10943"/>
    <cellStyle name="20% - 强调文字颜色 4 2 20 5 2 5" xfId="10949"/>
    <cellStyle name="20% - 强调文字颜色 4 2 20 5 2 6" xfId="10951"/>
    <cellStyle name="20% - 强调文字颜色 4 2 20 5 2 7" xfId="10953"/>
    <cellStyle name="20% - 强调文字颜色 4 2 20 5 2 8" xfId="10957"/>
    <cellStyle name="20% - 强调文字颜色 4 2 20 5 3" xfId="9797"/>
    <cellStyle name="20% - 强调文字颜色 4 2 20 5 4" xfId="9523"/>
    <cellStyle name="20% - 强调文字颜色 4 2 20 5 5" xfId="9535"/>
    <cellStyle name="20% - 强调文字颜色 4 2 20 5 6" xfId="9810"/>
    <cellStyle name="20% - 强调文字颜色 4 2 20 5 6 2" xfId="10960"/>
    <cellStyle name="20% - 强调文字颜色 4 2 20 5 6 3" xfId="10964"/>
    <cellStyle name="20% - 强调文字颜色 4 2 20 5 7" xfId="10970"/>
    <cellStyle name="20% - 强调文字颜色 4 2 20 5 8" xfId="10975"/>
    <cellStyle name="20% - 强调文字颜色 4 2 20 5 9" xfId="10980"/>
    <cellStyle name="20% - 强调文字颜色 4 2 20 6" xfId="1169"/>
    <cellStyle name="20% - 强调文字颜色 4 2 20 6 2" xfId="10988"/>
    <cellStyle name="20% - 强调文字颜色 4 2 20 6 2 2" xfId="6813"/>
    <cellStyle name="20% - 强调文字颜色 4 2 20 6 2 3" xfId="6825"/>
    <cellStyle name="20% - 强调文字颜色 4 2 20 6 3" xfId="10998"/>
    <cellStyle name="20% - 强调文字颜色 4 2 20 6 4" xfId="11008"/>
    <cellStyle name="20% - 强调文字颜色 4 2 20 6 5" xfId="11017"/>
    <cellStyle name="20% - 强调文字颜色 4 2 20 6 6" xfId="11026"/>
    <cellStyle name="20% - 强调文字颜色 4 2 20 6 7" xfId="9451"/>
    <cellStyle name="20% - 强调文字颜色 4 2 20 6 8" xfId="9462"/>
    <cellStyle name="20% - 强调文字颜色 4 2 20 7" xfId="1192"/>
    <cellStyle name="20% - 强调文字颜色 4 2 20 8" xfId="11038"/>
    <cellStyle name="20% - 强调文字颜色 4 2 20 9" xfId="8084"/>
    <cellStyle name="20% - 强调文字颜色 4 2 20 9 2" xfId="8088"/>
    <cellStyle name="20% - 强调文字颜色 4 2 20 9 3" xfId="8105"/>
    <cellStyle name="20% - 强调文字颜色 4 2 3" xfId="11043"/>
    <cellStyle name="20% - 强调文字颜色 4 2 3 10" xfId="11044"/>
    <cellStyle name="20% - 强调文字颜色 4 2 3 11" xfId="11045"/>
    <cellStyle name="20% - 强调文字颜色 4 2 3 12" xfId="11046"/>
    <cellStyle name="20% - 强调文字颜色 4 2 3 13" xfId="11049"/>
    <cellStyle name="20% - 强调文字颜色 4 2 3 14" xfId="2002"/>
    <cellStyle name="20% - 强调文字颜色 4 2 3 2" xfId="9323"/>
    <cellStyle name="20% - 强调文字颜色 4 2 3 3" xfId="9328"/>
    <cellStyle name="20% - 强调文字颜色 4 2 3 4" xfId="9337"/>
    <cellStyle name="20% - 强调文字颜色 4 2 3 5" xfId="10211"/>
    <cellStyle name="20% - 强调文字颜色 4 2 3 6" xfId="10213"/>
    <cellStyle name="20% - 强调文字颜色 4 2 3 7" xfId="900"/>
    <cellStyle name="20% - 强调文字颜色 4 2 3 8" xfId="935"/>
    <cellStyle name="20% - 强调文字颜色 4 2 3 9" xfId="974"/>
    <cellStyle name="20% - 强调文字颜色 4 2 4" xfId="11057"/>
    <cellStyle name="20% - 强调文字颜色 4 2 4 10" xfId="8001"/>
    <cellStyle name="20% - 强调文字颜色 4 2 4 11" xfId="10166"/>
    <cellStyle name="20% - 强调文字颜色 4 2 4 12" xfId="10168"/>
    <cellStyle name="20% - 强调文字颜色 4 2 4 13" xfId="10170"/>
    <cellStyle name="20% - 强调文字颜色 4 2 4 14" xfId="10176"/>
    <cellStyle name="20% - 强调文字颜色 4 2 4 2" xfId="220"/>
    <cellStyle name="20% - 强调文字颜色 4 2 4 3" xfId="9415"/>
    <cellStyle name="20% - 强调文字颜色 4 2 4 4" xfId="10236"/>
    <cellStyle name="20% - 强调文字颜色 4 2 4 5" xfId="10242"/>
    <cellStyle name="20% - 强调文字颜色 4 2 4 6" xfId="10248"/>
    <cellStyle name="20% - 强调文字颜色 4 2 4 7" xfId="10255"/>
    <cellStyle name="20% - 强调文字颜色 4 2 4 8" xfId="11058"/>
    <cellStyle name="20% - 强调文字颜色 4 2 4 9" xfId="6451"/>
    <cellStyle name="20% - 强调文字颜色 4 2 5" xfId="11060"/>
    <cellStyle name="20% - 强调文字颜色 4 2 6" xfId="11061"/>
    <cellStyle name="20% - 强调文字颜色 4 2 7" xfId="11062"/>
    <cellStyle name="20% - 强调文字颜色 4 2 8" xfId="11063"/>
    <cellStyle name="20% - 强调文字颜色 4 2 9" xfId="11064"/>
    <cellStyle name="20% - 强调文字颜色 4 3" xfId="11065"/>
    <cellStyle name="20% - 强调文字颜色 4 3 10" xfId="6974"/>
    <cellStyle name="20% - 强调文字颜色 4 3 11" xfId="6980"/>
    <cellStyle name="20% - 强调文字颜色 4 3 12" xfId="6988"/>
    <cellStyle name="20% - 强调文字颜色 4 3 13" xfId="6995"/>
    <cellStyle name="20% - 强调文字颜色 4 3 14" xfId="7003"/>
    <cellStyle name="20% - 强调文字颜色 4 3 15" xfId="2765"/>
    <cellStyle name="20% - 强调文字颜色 4 3 16" xfId="11070"/>
    <cellStyle name="20% - 强调文字颜色 4 3 17" xfId="11075"/>
    <cellStyle name="20% - 强调文字颜色 4 3 17 10" xfId="395"/>
    <cellStyle name="20% - 强调文字颜色 4 3 17 11" xfId="8407"/>
    <cellStyle name="20% - 强调文字颜色 4 3 17 12" xfId="9364"/>
    <cellStyle name="20% - 强调文字颜色 4 3 17 13" xfId="11076"/>
    <cellStyle name="20% - 强调文字颜色 4 3 17 14" xfId="11077"/>
    <cellStyle name="20% - 强调文字颜色 4 3 17 2" xfId="11081"/>
    <cellStyle name="20% - 强调文字颜色 4 3 17 2 2" xfId="11082"/>
    <cellStyle name="20% - 强调文字颜色 4 3 17 3" xfId="338"/>
    <cellStyle name="20% - 强调文字颜色 4 3 17 4" xfId="6418"/>
    <cellStyle name="20% - 强调文字颜色 4 3 17 5" xfId="6420"/>
    <cellStyle name="20% - 强调文字颜色 4 3 17 5 10" xfId="938"/>
    <cellStyle name="20% - 强调文字颜色 4 3 17 5 11" xfId="975"/>
    <cellStyle name="20% - 强调文字颜色 4 3 17 5 2" xfId="3678"/>
    <cellStyle name="20% - 强调文字颜色 4 3 17 5 2 2" xfId="1797"/>
    <cellStyle name="20% - 强调文字颜色 4 3 17 5 2 2 2" xfId="10146"/>
    <cellStyle name="20% - 强调文字颜色 4 3 17 5 2 2 3" xfId="9357"/>
    <cellStyle name="20% - 强调文字颜色 4 3 17 5 2 3" xfId="1817"/>
    <cellStyle name="20% - 强调文字颜色 4 3 17 5 2 4" xfId="8003"/>
    <cellStyle name="20% - 强调文字颜色 4 3 17 5 2 5" xfId="8006"/>
    <cellStyle name="20% - 强调文字颜色 4 3 17 5 2 6" xfId="8033"/>
    <cellStyle name="20% - 强调文字颜色 4 3 17 5 2 7" xfId="8038"/>
    <cellStyle name="20% - 强调文字颜色 4 3 17 5 2 8" xfId="8043"/>
    <cellStyle name="20% - 强调文字颜色 4 3 17 5 3" xfId="2556"/>
    <cellStyle name="20% - 强调文字颜色 4 3 17 5 4" xfId="2575"/>
    <cellStyle name="20% - 强调文字颜色 4 3 17 5 5" xfId="8062"/>
    <cellStyle name="20% - 强调文字颜色 4 3 17 5 6" xfId="8067"/>
    <cellStyle name="20% - 强调文字颜色 4 3 17 5 6 2" xfId="275"/>
    <cellStyle name="20% - 强调文字颜色 4 3 17 5 6 3" xfId="1353"/>
    <cellStyle name="20% - 强调文字颜色 4 3 17 5 7" xfId="8220"/>
    <cellStyle name="20% - 强调文字颜色 4 3 17 5 8" xfId="8326"/>
    <cellStyle name="20% - 强调文字颜色 4 3 17 5 9" xfId="8408"/>
    <cellStyle name="20% - 强调文字颜色 4 3 17 6" xfId="6427"/>
    <cellStyle name="20% - 强调文字颜色 4 3 17 6 2" xfId="4785"/>
    <cellStyle name="20% - 强调文字颜色 4 3 17 6 2 2" xfId="788"/>
    <cellStyle name="20% - 强调文字颜色 4 3 17 6 2 3" xfId="11087"/>
    <cellStyle name="20% - 强调文字颜色 4 3 17 6 3" xfId="4791"/>
    <cellStyle name="20% - 强调文字颜色 4 3 17 6 4" xfId="4797"/>
    <cellStyle name="20% - 强调文字颜色 4 3 17 6 5" xfId="11089"/>
    <cellStyle name="20% - 强调文字颜色 4 3 17 6 6" xfId="11090"/>
    <cellStyle name="20% - 强调文字颜色 4 3 17 6 7" xfId="11091"/>
    <cellStyle name="20% - 强调文字颜色 4 3 17 6 8" xfId="11092"/>
    <cellStyle name="20% - 强调文字颜色 4 3 17 7" xfId="6436"/>
    <cellStyle name="20% - 强调文字颜色 4 3 17 8" xfId="6445"/>
    <cellStyle name="20% - 强调文字颜色 4 3 17 9" xfId="6544"/>
    <cellStyle name="20% - 强调文字颜色 4 3 17 9 2" xfId="3024"/>
    <cellStyle name="20% - 强调文字颜色 4 3 17 9 3" xfId="5230"/>
    <cellStyle name="20% - 强调文字颜色 4 3 18" xfId="4619"/>
    <cellStyle name="20% - 强调文字颜色 4 3 18 10" xfId="11093"/>
    <cellStyle name="20% - 强调文字颜色 4 3 18 11" xfId="11094"/>
    <cellStyle name="20% - 强调文字颜色 4 3 18 12" xfId="11096"/>
    <cellStyle name="20% - 强调文字颜色 4 3 18 13" xfId="11099"/>
    <cellStyle name="20% - 强调文字颜色 4 3 18 14" xfId="10736"/>
    <cellStyle name="20% - 强调文字颜色 4 3 18 2" xfId="3551"/>
    <cellStyle name="20% - 强调文字颜色 4 3 18 3" xfId="11100"/>
    <cellStyle name="20% - 强调文字颜色 4 3 18 4" xfId="11101"/>
    <cellStyle name="20% - 强调文字颜色 4 3 18 5" xfId="11102"/>
    <cellStyle name="20% - 强调文字颜色 4 3 18 5 10" xfId="11104"/>
    <cellStyle name="20% - 强调文字颜色 4 3 18 5 11" xfId="11105"/>
    <cellStyle name="20% - 强调文字颜色 4 3 18 5 2" xfId="6674"/>
    <cellStyle name="20% - 强调文字颜色 4 3 18 5 2 2" xfId="2246"/>
    <cellStyle name="20% - 强调文字颜色 4 3 18 5 2 2 2" xfId="5992"/>
    <cellStyle name="20% - 强调文字颜色 4 3 18 5 2 2 3" xfId="6000"/>
    <cellStyle name="20% - 强调文字颜色 4 3 18 5 2 3" xfId="2268"/>
    <cellStyle name="20% - 强调文字颜色 4 3 18 5 2 4" xfId="2282"/>
    <cellStyle name="20% - 强调文字颜色 4 3 18 5 2 5" xfId="2294"/>
    <cellStyle name="20% - 强调文字颜色 4 3 18 5 2 6" xfId="830"/>
    <cellStyle name="20% - 强调文字颜色 4 3 18 5 2 7" xfId="861"/>
    <cellStyle name="20% - 强调文字颜色 4 3 18 5 2 8" xfId="845"/>
    <cellStyle name="20% - 强调文字颜色 4 3 18 5 3" xfId="6680"/>
    <cellStyle name="20% - 强调文字颜色 4 3 18 5 4" xfId="6686"/>
    <cellStyle name="20% - 强调文字颜色 4 3 18 5 5" xfId="11106"/>
    <cellStyle name="20% - 强调文字颜色 4 3 18 5 6" xfId="11109"/>
    <cellStyle name="20% - 强调文字颜色 4 3 18 5 6 2" xfId="11117"/>
    <cellStyle name="20% - 强调文字颜色 4 3 18 5 6 3" xfId="11123"/>
    <cellStyle name="20% - 强调文字颜色 4 3 18 5 7" xfId="428"/>
    <cellStyle name="20% - 强调文字颜色 4 3 18 5 8" xfId="11124"/>
    <cellStyle name="20% - 强调文字颜色 4 3 18 5 9" xfId="11127"/>
    <cellStyle name="20% - 强调文字颜色 4 3 18 6" xfId="11129"/>
    <cellStyle name="20% - 强调文字颜色 4 3 18 6 2" xfId="2610"/>
    <cellStyle name="20% - 强调文字颜色 4 3 18 6 2 2" xfId="2634"/>
    <cellStyle name="20% - 强调文字颜色 4 3 18 6 2 3" xfId="9729"/>
    <cellStyle name="20% - 强调文字颜色 4 3 18 6 3" xfId="2714"/>
    <cellStyle name="20% - 强调文字颜色 4 3 18 6 4" xfId="2732"/>
    <cellStyle name="20% - 强调文字颜色 4 3 18 6 5" xfId="5486"/>
    <cellStyle name="20% - 强调文字颜色 4 3 18 6 6" xfId="5560"/>
    <cellStyle name="20% - 强调文字颜色 4 3 18 6 7" xfId="5567"/>
    <cellStyle name="20% - 强调文字颜色 4 3 18 6 8" xfId="5573"/>
    <cellStyle name="20% - 强调文字颜色 4 3 18 7" xfId="11130"/>
    <cellStyle name="20% - 强调文字颜色 4 3 18 8" xfId="11132"/>
    <cellStyle name="20% - 强调文字颜色 4 3 18 9" xfId="11134"/>
    <cellStyle name="20% - 强调文字颜色 4 3 18 9 2" xfId="7976"/>
    <cellStyle name="20% - 强调文字颜色 4 3 18 9 3" xfId="7983"/>
    <cellStyle name="20% - 强调文字颜色 4 3 19" xfId="4627"/>
    <cellStyle name="20% - 强调文字颜色 4 3 19 10" xfId="439"/>
    <cellStyle name="20% - 强调文字颜色 4 3 19 11" xfId="11137"/>
    <cellStyle name="20% - 强调文字颜色 4 3 19 12" xfId="11141"/>
    <cellStyle name="20% - 强调文字颜色 4 3 19 13" xfId="11145"/>
    <cellStyle name="20% - 强调文字颜色 4 3 19 14" xfId="11147"/>
    <cellStyle name="20% - 强调文字颜色 4 3 19 2" xfId="11149"/>
    <cellStyle name="20% - 强调文字颜色 4 3 19 3" xfId="11153"/>
    <cellStyle name="20% - 强调文字颜色 4 3 19 4" xfId="11112"/>
    <cellStyle name="20% - 强调文字颜色 4 3 19 5" xfId="11118"/>
    <cellStyle name="20% - 强调文字颜色 4 3 19 5 10" xfId="3730"/>
    <cellStyle name="20% - 强调文字颜色 4 3 19 5 11" xfId="11157"/>
    <cellStyle name="20% - 强调文字颜色 4 3 19 5 2" xfId="9094"/>
    <cellStyle name="20% - 强调文字颜色 4 3 19 5 2 2" xfId="11160"/>
    <cellStyle name="20% - 强调文字颜色 4 3 19 5 2 2 2" xfId="11162"/>
    <cellStyle name="20% - 强调文字颜色 4 3 19 5 2 2 3" xfId="11164"/>
    <cellStyle name="20% - 强调文字颜色 4 3 19 5 2 3" xfId="11167"/>
    <cellStyle name="20% - 强调文字颜色 4 3 19 5 2 4" xfId="11169"/>
    <cellStyle name="20% - 强调文字颜色 4 3 19 5 2 5" xfId="11171"/>
    <cellStyle name="20% - 强调文字颜色 4 3 19 5 2 6" xfId="11173"/>
    <cellStyle name="20% - 强调文字颜色 4 3 19 5 2 7" xfId="11175"/>
    <cellStyle name="20% - 强调文字颜色 4 3 19 5 2 8" xfId="8681"/>
    <cellStyle name="20% - 强调文字颜色 4 3 19 5 3" xfId="9096"/>
    <cellStyle name="20% - 强调文字颜色 4 3 19 5 4" xfId="9098"/>
    <cellStyle name="20% - 强调文字颜色 4 3 19 5 5" xfId="11178"/>
    <cellStyle name="20% - 强调文字颜色 4 3 19 5 6" xfId="11181"/>
    <cellStyle name="20% - 强调文字颜色 4 3 19 5 6 2" xfId="4236"/>
    <cellStyle name="20% - 强调文字颜色 4 3 19 5 6 3" xfId="4246"/>
    <cellStyle name="20% - 强调文字颜色 4 3 19 5 7" xfId="11182"/>
    <cellStyle name="20% - 强调文字颜色 4 3 19 5 8" xfId="11183"/>
    <cellStyle name="20% - 强调文字颜色 4 3 19 5 9" xfId="11185"/>
    <cellStyle name="20% - 强调文字颜色 4 3 19 6" xfId="11187"/>
    <cellStyle name="20% - 强调文字颜色 4 3 19 6 2" xfId="9862"/>
    <cellStyle name="20% - 强调文字颜色 4 3 19 6 2 2" xfId="4951"/>
    <cellStyle name="20% - 强调文字颜色 4 3 19 6 2 3" xfId="11189"/>
    <cellStyle name="20% - 强调文字颜色 4 3 19 6 3" xfId="9868"/>
    <cellStyle name="20% - 强调文字颜色 4 3 19 6 4" xfId="9874"/>
    <cellStyle name="20% - 强调文字颜色 4 3 19 6 5" xfId="2797"/>
    <cellStyle name="20% - 强调文字颜色 4 3 19 6 6" xfId="2804"/>
    <cellStyle name="20% - 强调文字颜色 4 3 19 6 7" xfId="2813"/>
    <cellStyle name="20% - 强调文字颜色 4 3 19 6 8" xfId="2819"/>
    <cellStyle name="20% - 强调文字颜色 4 3 19 7" xfId="11191"/>
    <cellStyle name="20% - 强调文字颜色 4 3 19 8" xfId="1026"/>
    <cellStyle name="20% - 强调文字颜色 4 3 19 9" xfId="1031"/>
    <cellStyle name="20% - 强调文字颜色 4 3 19 9 2" xfId="10301"/>
    <cellStyle name="20% - 强调文字颜色 4 3 19 9 3" xfId="10307"/>
    <cellStyle name="20% - 强调文字颜色 4 3 2" xfId="833"/>
    <cellStyle name="20% - 强调文字颜色 4 3 2 10" xfId="11200"/>
    <cellStyle name="20% - 强调文字颜色 4 3 2 11" xfId="11204"/>
    <cellStyle name="20% - 强调文字颜色 4 3 2 12" xfId="11210"/>
    <cellStyle name="20% - 强调文字颜色 4 3 2 13" xfId="11215"/>
    <cellStyle name="20% - 强调文字颜色 4 3 2 14" xfId="11219"/>
    <cellStyle name="20% - 强调文字颜色 4 3 2 2" xfId="11223"/>
    <cellStyle name="20% - 强调文字颜色 4 3 2 3" xfId="5648"/>
    <cellStyle name="20% - 强调文字颜色 4 3 2 4" xfId="5654"/>
    <cellStyle name="20% - 强调文字颜色 4 3 2 5" xfId="11228"/>
    <cellStyle name="20% - 强调文字颜色 4 3 2 6" xfId="11234"/>
    <cellStyle name="20% - 强调文字颜色 4 3 2 7" xfId="11242"/>
    <cellStyle name="20% - 强调文字颜色 4 3 2 8" xfId="11248"/>
    <cellStyle name="20% - 强调文字颜色 4 3 2 9" xfId="9278"/>
    <cellStyle name="20% - 强调文字颜色 4 3 20" xfId="2764"/>
    <cellStyle name="20% - 强调文字颜色 4 3 20 10" xfId="1698"/>
    <cellStyle name="20% - 强调文字颜色 4 3 20 11" xfId="1723"/>
    <cellStyle name="20% - 强调文字颜色 4 3 20 12" xfId="4800"/>
    <cellStyle name="20% - 强调文字颜色 4 3 20 13" xfId="4812"/>
    <cellStyle name="20% - 强调文字颜色 4 3 20 14" xfId="8939"/>
    <cellStyle name="20% - 强调文字颜色 4 3 20 2" xfId="7716"/>
    <cellStyle name="20% - 强调文字颜色 4 3 20 3" xfId="3629"/>
    <cellStyle name="20% - 强调文字颜色 4 3 20 4" xfId="2239"/>
    <cellStyle name="20% - 强调文字颜色 4 3 20 5" xfId="2263"/>
    <cellStyle name="20% - 强调文字颜色 4 3 20 5 10" xfId="11253"/>
    <cellStyle name="20% - 强调文字颜色 4 3 20 5 11" xfId="11257"/>
    <cellStyle name="20% - 强调文字颜色 4 3 20 5 2" xfId="6661"/>
    <cellStyle name="20% - 强调文字颜色 4 3 20 5 2 2" xfId="4904"/>
    <cellStyle name="20% - 强调文字颜色 4 3 20 5 2 2 2" xfId="4927"/>
    <cellStyle name="20% - 强调文字颜色 4 3 20 5 2 2 3" xfId="4933"/>
    <cellStyle name="20% - 强调文字颜色 4 3 20 5 2 3" xfId="5205"/>
    <cellStyle name="20% - 强调文字颜色 4 3 20 5 2 4" xfId="11260"/>
    <cellStyle name="20% - 强调文字颜色 4 3 20 5 2 5" xfId="11262"/>
    <cellStyle name="20% - 强调文字颜色 4 3 20 5 2 6" xfId="11264"/>
    <cellStyle name="20% - 强调文字颜色 4 3 20 5 2 7" xfId="11267"/>
    <cellStyle name="20% - 强调文字颜色 4 3 20 5 2 8" xfId="11270"/>
    <cellStyle name="20% - 强调文字颜色 4 3 20 5 3" xfId="6665"/>
    <cellStyle name="20% - 强调文字颜色 4 3 20 5 4" xfId="11273"/>
    <cellStyle name="20% - 强调文字颜色 4 3 20 5 5" xfId="11278"/>
    <cellStyle name="20% - 强调文字颜色 4 3 20 5 6" xfId="11283"/>
    <cellStyle name="20% - 强调文字颜色 4 3 20 5 6 2" xfId="11286"/>
    <cellStyle name="20% - 强调文字颜色 4 3 20 5 6 3" xfId="11290"/>
    <cellStyle name="20% - 强调文字颜色 4 3 20 5 7" xfId="11291"/>
    <cellStyle name="20% - 强调文字颜色 4 3 20 5 8" xfId="11293"/>
    <cellStyle name="20% - 强调文字颜色 4 3 20 5 9" xfId="10583"/>
    <cellStyle name="20% - 强调文字颜色 4 3 20 6" xfId="2279"/>
    <cellStyle name="20% - 强调文字颜色 4 3 20 6 2" xfId="290"/>
    <cellStyle name="20% - 强调文字颜色 4 3 20 6 2 2" xfId="10037"/>
    <cellStyle name="20% - 强调文字颜色 4 3 20 6 2 3" xfId="10043"/>
    <cellStyle name="20% - 强调文字颜色 4 3 20 6 3" xfId="638"/>
    <cellStyle name="20% - 强调文字颜色 4 3 20 6 4" xfId="669"/>
    <cellStyle name="20% - 强调文字颜色 4 3 20 6 5" xfId="11300"/>
    <cellStyle name="20% - 强调文字颜色 4 3 20 6 6" xfId="11302"/>
    <cellStyle name="20% - 强调文字颜色 4 3 20 6 7" xfId="11304"/>
    <cellStyle name="20% - 强调文字颜色 4 3 20 6 8" xfId="5282"/>
    <cellStyle name="20% - 强调文字颜色 4 3 20 7" xfId="2291"/>
    <cellStyle name="20% - 强调文字颜色 4 3 20 8" xfId="827"/>
    <cellStyle name="20% - 强调文字颜色 4 3 20 9" xfId="860"/>
    <cellStyle name="20% - 强调文字颜色 4 3 20 9 2" xfId="11307"/>
    <cellStyle name="20% - 强调文字颜色 4 3 20 9 3" xfId="11309"/>
    <cellStyle name="20% - 强调文字颜色 4 3 3" xfId="11310"/>
    <cellStyle name="20% - 强调文字颜色 4 3 3 10" xfId="11312"/>
    <cellStyle name="20% - 强调文字颜色 4 3 3 11" xfId="11315"/>
    <cellStyle name="20% - 强调文字颜色 4 3 3 12" xfId="11318"/>
    <cellStyle name="20% - 强调文字颜色 4 3 3 13" xfId="11321"/>
    <cellStyle name="20% - 强调文字颜色 4 3 3 14" xfId="11326"/>
    <cellStyle name="20% - 强调文字颜色 4 3 3 2" xfId="9543"/>
    <cellStyle name="20% - 强调文字颜色 4 3 3 3" xfId="9548"/>
    <cellStyle name="20% - 强调文字颜色 4 3 3 4" xfId="9553"/>
    <cellStyle name="20% - 强调文字颜色 4 3 3 5" xfId="11330"/>
    <cellStyle name="20% - 强调文字颜色 4 3 3 6" xfId="3213"/>
    <cellStyle name="20% - 强调文字颜色 4 3 3 7" xfId="3238"/>
    <cellStyle name="20% - 强调文字颜色 4 3 3 8" xfId="2934"/>
    <cellStyle name="20% - 强调文字颜色 4 3 3 9" xfId="11334"/>
    <cellStyle name="20% - 强调文字颜色 4 3 4" xfId="11222"/>
    <cellStyle name="20% - 强调文字颜色 4 3 4 10" xfId="6657"/>
    <cellStyle name="20% - 强调文字颜色 4 3 4 11" xfId="6662"/>
    <cellStyle name="20% - 强调文字颜色 4 3 4 12" xfId="11271"/>
    <cellStyle name="20% - 强调文字颜色 4 3 4 13" xfId="11275"/>
    <cellStyle name="20% - 强调文字颜色 4 3 4 14" xfId="11279"/>
    <cellStyle name="20% - 强调文字颜色 4 3 4 2" xfId="4736"/>
    <cellStyle name="20% - 强调文字颜色 4 3 4 3" xfId="9581"/>
    <cellStyle name="20% - 强调文字颜色 4 3 4 4" xfId="11339"/>
    <cellStyle name="20% - 强调文字颜色 4 3 4 5" xfId="11344"/>
    <cellStyle name="20% - 强调文字颜色 4 3 4 6" xfId="11351"/>
    <cellStyle name="20% - 强调文字颜色 4 3 4 7" xfId="10814"/>
    <cellStyle name="20% - 强调文字颜色 4 3 4 8" xfId="10817"/>
    <cellStyle name="20% - 强调文字颜色 4 3 4 9" xfId="11356"/>
    <cellStyle name="20% - 强调文字颜色 4 3 5" xfId="5643"/>
    <cellStyle name="20% - 强调文字颜色 4 3 6" xfId="5649"/>
    <cellStyle name="20% - 强调文字颜色 4 3 7" xfId="11224"/>
    <cellStyle name="20% - 强调文字颜色 4 3 8" xfId="11230"/>
    <cellStyle name="20% - 强调文字颜色 4 3 9" xfId="11237"/>
    <cellStyle name="20% - 强调文字颜色 4 4" xfId="11357"/>
    <cellStyle name="20% - 强调文字颜色 4 4 10" xfId="9855"/>
    <cellStyle name="20% - 强调文字颜色 4 4 11" xfId="9478"/>
    <cellStyle name="20% - 强调文字颜色 4 4 12" xfId="9484"/>
    <cellStyle name="20% - 强调文字颜色 4 4 13" xfId="9489"/>
    <cellStyle name="20% - 强调文字颜色 4 4 14" xfId="9491"/>
    <cellStyle name="20% - 强调文字颜色 4 4 15" xfId="9555"/>
    <cellStyle name="20% - 强调文字颜色 4 4 16" xfId="9582"/>
    <cellStyle name="20% - 强调文字颜色 4 4 17" xfId="9590"/>
    <cellStyle name="20% - 强调文字颜色 4 4 17 10" xfId="11360"/>
    <cellStyle name="20% - 强调文字颜色 4 4 17 11" xfId="9570"/>
    <cellStyle name="20% - 强调文字颜色 4 4 17 12" xfId="9574"/>
    <cellStyle name="20% - 强调文字颜色 4 4 17 13" xfId="11361"/>
    <cellStyle name="20% - 强调文字颜色 4 4 17 14" xfId="11363"/>
    <cellStyle name="20% - 强调文字颜色 4 4 17 2" xfId="11364"/>
    <cellStyle name="20% - 强调文字颜色 4 4 17 3" xfId="11374"/>
    <cellStyle name="20% - 强调文字颜色 4 4 17 4" xfId="7107"/>
    <cellStyle name="20% - 强调文字颜色 4 4 17 5" xfId="7120"/>
    <cellStyle name="20% - 强调文字颜色 4 4 17 5 10" xfId="10462"/>
    <cellStyle name="20% - 强调文字颜色 4 4 17 5 11" xfId="10466"/>
    <cellStyle name="20% - 强调文字颜色 4 4 17 5 2" xfId="11375"/>
    <cellStyle name="20% - 强调文字颜色 4 4 17 5 2 2" xfId="11376"/>
    <cellStyle name="20% - 强调文字颜色 4 4 17 5 2 2 2" xfId="11382"/>
    <cellStyle name="20% - 强调文字颜色 4 4 17 5 2 2 3" xfId="11385"/>
    <cellStyle name="20% - 强调文字颜色 4 4 17 5 2 3" xfId="11386"/>
    <cellStyle name="20% - 强调文字颜色 4 4 17 5 2 4" xfId="11392"/>
    <cellStyle name="20% - 强调文字颜色 4 4 17 5 2 5" xfId="11394"/>
    <cellStyle name="20% - 强调文字颜色 4 4 17 5 2 6" xfId="11396"/>
    <cellStyle name="20% - 强调文字颜色 4 4 17 5 2 7" xfId="11398"/>
    <cellStyle name="20% - 强调文字颜色 4 4 17 5 2 8" xfId="11151"/>
    <cellStyle name="20% - 强调文字颜色 4 4 17 5 3" xfId="11400"/>
    <cellStyle name="20% - 强调文字颜色 4 4 17 5 4" xfId="11401"/>
    <cellStyle name="20% - 强调文字颜色 4 4 17 5 5" xfId="11402"/>
    <cellStyle name="20% - 强调文字颜色 4 4 17 5 6" xfId="11403"/>
    <cellStyle name="20% - 强调文字颜色 4 4 17 5 6 2" xfId="11406"/>
    <cellStyle name="20% - 强调文字颜色 4 4 17 5 6 3" xfId="11408"/>
    <cellStyle name="20% - 强调文字颜色 4 4 17 5 7" xfId="11409"/>
    <cellStyle name="20% - 强调文字颜色 4 4 17 5 8" xfId="1209"/>
    <cellStyle name="20% - 强调文字颜色 4 4 17 5 9" xfId="531"/>
    <cellStyle name="20% - 强调文字颜色 4 4 17 6" xfId="7127"/>
    <cellStyle name="20% - 强调文字颜色 4 4 17 6 2" xfId="3173"/>
    <cellStyle name="20% - 强调文字颜色 4 4 17 6 2 2" xfId="11414"/>
    <cellStyle name="20% - 强调文字颜色 4 4 17 6 2 3" xfId="8465"/>
    <cellStyle name="20% - 强调文字颜色 4 4 17 6 3" xfId="3177"/>
    <cellStyle name="20% - 强调文字颜色 4 4 17 6 4" xfId="501"/>
    <cellStyle name="20% - 强调文字颜色 4 4 17 6 5" xfId="10758"/>
    <cellStyle name="20% - 强调文字颜色 4 4 17 6 6" xfId="10761"/>
    <cellStyle name="20% - 强调文字颜色 4 4 17 6 7" xfId="10764"/>
    <cellStyle name="20% - 强调文字颜色 4 4 17 6 8" xfId="11103"/>
    <cellStyle name="20% - 强调文字颜色 4 4 17 7" xfId="7133"/>
    <cellStyle name="20% - 强调文字颜色 4 4 17 8" xfId="7140"/>
    <cellStyle name="20% - 强调文字颜色 4 4 17 9" xfId="11421"/>
    <cellStyle name="20% - 强调文字颜色 4 4 17 9 2" xfId="11423"/>
    <cellStyle name="20% - 强调文字颜色 4 4 17 9 3" xfId="8731"/>
    <cellStyle name="20% - 强调文字颜色 4 4 18" xfId="9597"/>
    <cellStyle name="20% - 强调文字颜色 4 4 18 10" xfId="11429"/>
    <cellStyle name="20% - 强调文字颜色 4 4 18 11" xfId="11431"/>
    <cellStyle name="20% - 强调文字颜色 4 4 18 12" xfId="11434"/>
    <cellStyle name="20% - 强调文字颜色 4 4 18 13" xfId="11438"/>
    <cellStyle name="20% - 强调文字颜色 4 4 18 14" xfId="11442"/>
    <cellStyle name="20% - 强调文字颜色 4 4 18 2" xfId="4644"/>
    <cellStyle name="20% - 强调文字颜色 4 4 18 3" xfId="9613"/>
    <cellStyle name="20% - 强调文字颜色 4 4 18 4" xfId="11447"/>
    <cellStyle name="20% - 强调文字颜色 4 4 18 5" xfId="11451"/>
    <cellStyle name="20% - 强调文字颜色 4 4 18 5 10" xfId="11462"/>
    <cellStyle name="20% - 强调文字颜色 4 4 18 5 11" xfId="11473"/>
    <cellStyle name="20% - 强调文字颜色 4 4 18 5 2" xfId="11474"/>
    <cellStyle name="20% - 强调文字颜色 4 4 18 5 2 2" xfId="493"/>
    <cellStyle name="20% - 强调文字颜色 4 4 18 5 2 2 2" xfId="10320"/>
    <cellStyle name="20% - 强调文字颜色 4 4 18 5 2 2 3" xfId="10323"/>
    <cellStyle name="20% - 强调文字颜色 4 4 18 5 2 3" xfId="10132"/>
    <cellStyle name="20% - 强调文字颜色 4 4 18 5 2 4" xfId="11480"/>
    <cellStyle name="20% - 强调文字颜色 4 4 18 5 2 5" xfId="11483"/>
    <cellStyle name="20% - 强调文字颜色 4 4 18 5 2 6" xfId="4223"/>
    <cellStyle name="20% - 强调文字颜色 4 4 18 5 2 7" xfId="4229"/>
    <cellStyle name="20% - 强调文字颜色 4 4 18 5 2 8" xfId="2062"/>
    <cellStyle name="20% - 强调文字颜色 4 4 18 5 3" xfId="2464"/>
    <cellStyle name="20% - 强调文字颜色 4 4 18 5 4" xfId="2481"/>
    <cellStyle name="20% - 强调文字颜色 4 4 18 5 5" xfId="11485"/>
    <cellStyle name="20% - 强调文字颜色 4 4 18 5 6" xfId="11487"/>
    <cellStyle name="20% - 强调文字颜色 4 4 18 5 6 2" xfId="6516"/>
    <cellStyle name="20% - 强调文字颜色 4 4 18 5 6 3" xfId="6525"/>
    <cellStyle name="20% - 强调文字颜色 4 4 18 5 7" xfId="11489"/>
    <cellStyle name="20% - 强调文字颜色 4 4 18 5 8" xfId="11490"/>
    <cellStyle name="20% - 强调文字颜色 4 4 18 5 9" xfId="11493"/>
    <cellStyle name="20% - 强调文字颜色 4 4 18 6" xfId="11498"/>
    <cellStyle name="20% - 强调文字颜色 4 4 18 6 2" xfId="10837"/>
    <cellStyle name="20% - 强调文字颜色 4 4 18 6 2 2" xfId="667"/>
    <cellStyle name="20% - 强调文字颜色 4 4 18 6 2 3" xfId="11298"/>
    <cellStyle name="20% - 强调文字颜色 4 4 18 6 3" xfId="10839"/>
    <cellStyle name="20% - 强调文字颜色 4 4 18 6 4" xfId="10841"/>
    <cellStyle name="20% - 强调文字颜色 4 4 18 6 5" xfId="10843"/>
    <cellStyle name="20% - 强调文字颜色 4 4 18 6 6" xfId="10845"/>
    <cellStyle name="20% - 强调文字颜色 4 4 18 6 7" xfId="10847"/>
    <cellStyle name="20% - 强调文字颜色 4 4 18 6 8" xfId="11499"/>
    <cellStyle name="20% - 强调文字颜色 4 4 18 7" xfId="11504"/>
    <cellStyle name="20% - 强调文字颜色 4 4 18 8" xfId="11507"/>
    <cellStyle name="20% - 强调文字颜色 4 4 18 9" xfId="11510"/>
    <cellStyle name="20% - 强调文字颜色 4 4 18 9 2" xfId="11384"/>
    <cellStyle name="20% - 强调文字颜色 4 4 18 9 3" xfId="11512"/>
    <cellStyle name="20% - 强调文字颜色 4 4 19" xfId="11513"/>
    <cellStyle name="20% - 强调文字颜色 4 4 19 10" xfId="2176"/>
    <cellStyle name="20% - 强调文字颜色 4 4 19 11" xfId="11521"/>
    <cellStyle name="20% - 强调文字颜色 4 4 19 12" xfId="11524"/>
    <cellStyle name="20% - 强调文字颜色 4 4 19 13" xfId="11527"/>
    <cellStyle name="20% - 强调文字颜色 4 4 19 14" xfId="11530"/>
    <cellStyle name="20% - 强调文字颜色 4 4 19 2" xfId="11531"/>
    <cellStyle name="20% - 强调文字颜色 4 4 19 3" xfId="11533"/>
    <cellStyle name="20% - 强调文字颜色 4 4 19 4" xfId="11535"/>
    <cellStyle name="20% - 强调文字颜色 4 4 19 5" xfId="11537"/>
    <cellStyle name="20% - 强调文字颜色 4 4 19 5 10" xfId="11540"/>
    <cellStyle name="20% - 强调文字颜色 4 4 19 5 11" xfId="11542"/>
    <cellStyle name="20% - 强调文字颜色 4 4 19 5 2" xfId="11543"/>
    <cellStyle name="20% - 强调文字颜色 4 4 19 5 2 2" xfId="11545"/>
    <cellStyle name="20% - 强调文字颜色 4 4 19 5 2 2 2" xfId="11551"/>
    <cellStyle name="20% - 强调文字颜色 4 4 19 5 2 2 3" xfId="11553"/>
    <cellStyle name="20% - 强调文字颜色 4 4 19 5 2 3" xfId="11559"/>
    <cellStyle name="20% - 强调文字颜色 4 4 19 5 2 4" xfId="3907"/>
    <cellStyle name="20% - 强调文字颜色 4 4 19 5 2 5" xfId="2627"/>
    <cellStyle name="20% - 强调文字颜色 4 4 19 5 2 6" xfId="11562"/>
    <cellStyle name="20% - 强调文字颜色 4 4 19 5 2 7" xfId="11566"/>
    <cellStyle name="20% - 强调文字颜色 4 4 19 5 2 8" xfId="11570"/>
    <cellStyle name="20% - 强调文字颜色 4 4 19 5 3" xfId="11571"/>
    <cellStyle name="20% - 强调文字颜色 4 4 19 5 4" xfId="11572"/>
    <cellStyle name="20% - 强调文字颜色 4 4 19 5 5" xfId="11575"/>
    <cellStyle name="20% - 强调文字颜色 4 4 19 5 6" xfId="11579"/>
    <cellStyle name="20% - 强调文字颜色 4 4 19 5 6 2" xfId="8027"/>
    <cellStyle name="20% - 强调文字颜色 4 4 19 5 6 3" xfId="8030"/>
    <cellStyle name="20% - 强调文字颜色 4 4 19 5 7" xfId="11580"/>
    <cellStyle name="20% - 强调文字颜色 4 4 19 5 8" xfId="11581"/>
    <cellStyle name="20% - 强调文字颜色 4 4 19 5 9" xfId="11583"/>
    <cellStyle name="20% - 强调文字颜色 4 4 19 6" xfId="11585"/>
    <cellStyle name="20% - 强调文字颜色 4 4 19 6 2" xfId="3825"/>
    <cellStyle name="20% - 强调文字颜色 4 4 19 6 2 2" xfId="4215"/>
    <cellStyle name="20% - 强调文字颜色 4 4 19 6 2 3" xfId="4275"/>
    <cellStyle name="20% - 强调文字颜色 4 4 19 6 3" xfId="11589"/>
    <cellStyle name="20% - 强调文字颜色 4 4 19 6 4" xfId="11592"/>
    <cellStyle name="20% - 强调文字颜色 4 4 19 6 5" xfId="6076"/>
    <cellStyle name="20% - 强调文字颜色 4 4 19 6 6" xfId="6080"/>
    <cellStyle name="20% - 强调文字颜色 4 4 19 6 7" xfId="6082"/>
    <cellStyle name="20% - 强调文字颜色 4 4 19 6 8" xfId="6084"/>
    <cellStyle name="20% - 强调文字颜色 4 4 19 7" xfId="9911"/>
    <cellStyle name="20% - 强调文字颜色 4 4 19 8" xfId="9915"/>
    <cellStyle name="20% - 强调文字颜色 4 4 19 9" xfId="10355"/>
    <cellStyle name="20% - 强调文字颜色 4 4 19 9 2" xfId="2308"/>
    <cellStyle name="20% - 强调文字颜色 4 4 19 9 3" xfId="2317"/>
    <cellStyle name="20% - 强调文字颜色 4 4 2" xfId="9511"/>
    <cellStyle name="20% - 强调文字颜色 4 4 20" xfId="9554"/>
    <cellStyle name="20% - 强调文字颜色 4 4 20 10" xfId="5991"/>
    <cellStyle name="20% - 强调文字颜色 4 4 20 11" xfId="5998"/>
    <cellStyle name="20% - 强调文字颜色 4 4 20 12" xfId="10821"/>
    <cellStyle name="20% - 强调文字颜色 4 4 20 13" xfId="10828"/>
    <cellStyle name="20% - 强调文字颜色 4 4 20 14" xfId="10831"/>
    <cellStyle name="20% - 强调文字颜色 4 4 20 2" xfId="9565"/>
    <cellStyle name="20% - 强调文字颜色 4 4 20 3" xfId="4709"/>
    <cellStyle name="20% - 强调文字颜色 4 4 20 4" xfId="4718"/>
    <cellStyle name="20% - 强调文字颜色 4 4 20 5" xfId="4724"/>
    <cellStyle name="20% - 强调文字颜色 4 4 20 5 10" xfId="5559"/>
    <cellStyle name="20% - 强调文字颜色 4 4 20 5 11" xfId="5566"/>
    <cellStyle name="20% - 强调文字颜色 4 4 20 5 2" xfId="11593"/>
    <cellStyle name="20% - 强调文字颜色 4 4 20 5 2 2" xfId="11596"/>
    <cellStyle name="20% - 强调文字颜色 4 4 20 5 2 2 2" xfId="4124"/>
    <cellStyle name="20% - 强调文字颜色 4 4 20 5 2 2 3" xfId="4132"/>
    <cellStyle name="20% - 强调文字颜色 4 4 20 5 2 3" xfId="6298"/>
    <cellStyle name="20% - 强调文字颜色 4 4 20 5 2 4" xfId="6302"/>
    <cellStyle name="20% - 强调文字颜色 4 4 20 5 2 5" xfId="6697"/>
    <cellStyle name="20% - 强调文字颜色 4 4 20 5 2 6" xfId="6705"/>
    <cellStyle name="20% - 强调文字颜色 4 4 20 5 2 7" xfId="6711"/>
    <cellStyle name="20% - 强调文字颜色 4 4 20 5 2 8" xfId="6716"/>
    <cellStyle name="20% - 强调文字颜色 4 4 20 5 3" xfId="11599"/>
    <cellStyle name="20% - 强调文字颜色 4 4 20 5 4" xfId="11601"/>
    <cellStyle name="20% - 强调文字颜色 4 4 20 5 5" xfId="11603"/>
    <cellStyle name="20% - 强调文字颜色 4 4 20 5 6" xfId="11606"/>
    <cellStyle name="20% - 强调文字颜色 4 4 20 5 6 2" xfId="11608"/>
    <cellStyle name="20% - 强调文字颜色 4 4 20 5 6 3" xfId="11610"/>
    <cellStyle name="20% - 强调文字颜色 4 4 20 5 7" xfId="11611"/>
    <cellStyle name="20% - 强调文字颜色 4 4 20 5 8" xfId="11618"/>
    <cellStyle name="20% - 强调文字颜色 4 4 20 5 9" xfId="11626"/>
    <cellStyle name="20% - 强调文字颜色 4 4 20 6" xfId="4732"/>
    <cellStyle name="20% - 强调文字颜色 4 4 20 6 2" xfId="11628"/>
    <cellStyle name="20% - 强调文字颜色 4 4 20 6 2 2" xfId="5156"/>
    <cellStyle name="20% - 强调文字颜色 4 4 20 6 2 3" xfId="5165"/>
    <cellStyle name="20% - 强调文字颜色 4 4 20 6 3" xfId="11632"/>
    <cellStyle name="20% - 强调文字颜色 4 4 20 6 4" xfId="11635"/>
    <cellStyle name="20% - 强调文字颜色 4 4 20 6 5" xfId="11638"/>
    <cellStyle name="20% - 强调文字颜色 4 4 20 6 6" xfId="11641"/>
    <cellStyle name="20% - 强调文字颜色 4 4 20 6 7" xfId="8359"/>
    <cellStyle name="20% - 强调文字颜色 4 4 20 6 8" xfId="5797"/>
    <cellStyle name="20% - 强调文字颜色 4 4 20 7" xfId="4741"/>
    <cellStyle name="20% - 强调文字颜色 4 4 20 8" xfId="9579"/>
    <cellStyle name="20% - 强调文字颜色 4 4 20 9" xfId="11340"/>
    <cellStyle name="20% - 强调文字颜色 4 4 20 9 2" xfId="11645"/>
    <cellStyle name="20% - 强调文字颜色 4 4 20 9 3" xfId="11647"/>
    <cellStyle name="20% - 强调文字颜色 4 4 3" xfId="9515"/>
    <cellStyle name="20% - 强调文字颜色 4 4 4" xfId="9540"/>
    <cellStyle name="20% - 强调文字颜色 4 4 5" xfId="9544"/>
    <cellStyle name="20% - 强调文字颜色 4 4 6" xfId="9549"/>
    <cellStyle name="20% - 强调文字颜色 4 4 7" xfId="11329"/>
    <cellStyle name="20% - 强调文字颜色 4 4 8" xfId="3212"/>
    <cellStyle name="20% - 强调文字颜色 4 4 9" xfId="3237"/>
    <cellStyle name="20% - 强调文字颜色 4 5" xfId="11649"/>
    <cellStyle name="20% - 强调文字颜色 4 5 10" xfId="7631"/>
    <cellStyle name="20% - 强调文字颜色 4 5 11" xfId="8930"/>
    <cellStyle name="20% - 强调文字颜色 4 5 12" xfId="924"/>
    <cellStyle name="20% - 强调文字颜色 4 5 13" xfId="961"/>
    <cellStyle name="20% - 强调文字颜色 4 5 14" xfId="994"/>
    <cellStyle name="20% - 强调文字颜色 4 5 2" xfId="4720"/>
    <cellStyle name="20% - 强调文字颜色 4 5 3" xfId="4726"/>
    <cellStyle name="20% - 强调文字颜色 4 5 4" xfId="4734"/>
    <cellStyle name="20% - 强调文字颜色 4 5 5" xfId="9576"/>
    <cellStyle name="20% - 强调文字颜色 4 5 6" xfId="11337"/>
    <cellStyle name="20% - 强调文字颜色 4 5 7" xfId="11342"/>
    <cellStyle name="20% - 强调文字颜色 4 5 8" xfId="11349"/>
    <cellStyle name="20% - 强调文字颜色 4 5 9" xfId="10812"/>
    <cellStyle name="20% - 强调文字颜色 4 6" xfId="11650"/>
    <cellStyle name="20% - 强调文字颜色 4 6 10" xfId="11651"/>
    <cellStyle name="20% - 强调文字颜色 4 6 11" xfId="11652"/>
    <cellStyle name="20% - 强调文字颜色 4 6 12" xfId="11079"/>
    <cellStyle name="20% - 强调文字颜色 4 6 13" xfId="334"/>
    <cellStyle name="20% - 强调文字颜色 4 6 14" xfId="6411"/>
    <cellStyle name="20% - 强调文字颜色 4 6 2" xfId="4442"/>
    <cellStyle name="20% - 强调文字颜色 4 6 3" xfId="4458"/>
    <cellStyle name="20% - 强调文字颜色 4 6 4" xfId="4474"/>
    <cellStyle name="20% - 强调文字颜色 4 6 5" xfId="4486"/>
    <cellStyle name="20% - 强调文字颜色 4 6 6" xfId="4500"/>
    <cellStyle name="20% - 强调文字颜色 4 6 7" xfId="4509"/>
    <cellStyle name="20% - 强调文字颜色 4 6 8" xfId="11653"/>
    <cellStyle name="20% - 强调文字颜色 4 6 9" xfId="11656"/>
    <cellStyle name="20% - 强调文字颜色 4 7" xfId="11659"/>
    <cellStyle name="20% - 强调文字颜色 4 8" xfId="11662"/>
    <cellStyle name="20% - 强调文字颜色 4 9" xfId="11665"/>
    <cellStyle name="20% - 强调文字颜色 5 10" xfId="10682"/>
    <cellStyle name="20% - 强调文字颜色 5 11" xfId="10686"/>
    <cellStyle name="20% - 强调文字颜色 5 12" xfId="10689"/>
    <cellStyle name="20% - 强调文字颜色 5 12 10" xfId="11669"/>
    <cellStyle name="20% - 强调文字颜色 5 12 11" xfId="11670"/>
    <cellStyle name="20% - 强调文字颜色 5 12 12" xfId="11675"/>
    <cellStyle name="20% - 强调文字颜色 5 12 13" xfId="11681"/>
    <cellStyle name="20% - 强调文字颜色 5 12 14" xfId="11685"/>
    <cellStyle name="20% - 强调文字颜色 5 12 2" xfId="11689"/>
    <cellStyle name="20% - 强调文字颜色 5 12 3" xfId="11692"/>
    <cellStyle name="20% - 强调文字颜色 5 12 4" xfId="11695"/>
    <cellStyle name="20% - 强调文字颜色 5 12 5" xfId="7535"/>
    <cellStyle name="20% - 强调文字颜色 5 12 5 10" xfId="11696"/>
    <cellStyle name="20% - 强调文字颜色 5 12 5 11" xfId="11700"/>
    <cellStyle name="20% - 强调文字颜色 5 12 5 2" xfId="11373"/>
    <cellStyle name="20% - 强调文字颜色 5 12 5 2 2" xfId="10699"/>
    <cellStyle name="20% - 强调文字颜色 5 12 5 2 2 2" xfId="11701"/>
    <cellStyle name="20% - 强调文字颜色 5 12 5 2 2 3" xfId="6255"/>
    <cellStyle name="20% - 强调文字颜色 5 12 5 2 3" xfId="11710"/>
    <cellStyle name="20% - 强调文字颜色 5 12 5 2 4" xfId="11717"/>
    <cellStyle name="20% - 强调文字颜色 5 12 5 2 5" xfId="11726"/>
    <cellStyle name="20% - 强调文字颜色 5 12 5 2 6" xfId="11733"/>
    <cellStyle name="20% - 强调文字颜色 5 12 5 2 7" xfId="11736"/>
    <cellStyle name="20% - 强调文字颜色 5 12 5 2 8" xfId="11742"/>
    <cellStyle name="20% - 强调文字颜色 5 12 5 3" xfId="7106"/>
    <cellStyle name="20% - 强调文字颜色 5 12 5 4" xfId="7119"/>
    <cellStyle name="20% - 强调文字颜色 5 12 5 5" xfId="7126"/>
    <cellStyle name="20% - 强调文字颜色 5 12 5 6" xfId="7132"/>
    <cellStyle name="20% - 强调文字颜色 5 12 5 6 2" xfId="10779"/>
    <cellStyle name="20% - 强调文字颜色 5 12 5 6 3" xfId="10783"/>
    <cellStyle name="20% - 强调文字颜色 5 12 5 7" xfId="7139"/>
    <cellStyle name="20% - 强调文字颜色 5 12 5 8" xfId="11418"/>
    <cellStyle name="20% - 强调文字颜色 5 12 5 9" xfId="11743"/>
    <cellStyle name="20% - 强调文字颜色 5 12 6" xfId="7547"/>
    <cellStyle name="20% - 强调文字颜色 5 12 6 2" xfId="9612"/>
    <cellStyle name="20% - 强调文字颜色 5 12 6 2 2" xfId="11746"/>
    <cellStyle name="20% - 强调文字颜色 5 12 6 2 3" xfId="11748"/>
    <cellStyle name="20% - 强调文字颜色 5 12 6 3" xfId="11446"/>
    <cellStyle name="20% - 强调文字颜色 5 12 6 4" xfId="11450"/>
    <cellStyle name="20% - 强调文字颜色 5 12 6 5" xfId="11497"/>
    <cellStyle name="20% - 强调文字颜色 5 12 6 6" xfId="11502"/>
    <cellStyle name="20% - 强调文字颜色 5 12 6 7" xfId="11505"/>
    <cellStyle name="20% - 强调文字颜色 5 12 6 8" xfId="11508"/>
    <cellStyle name="20% - 强调文字颜色 5 12 7" xfId="11755"/>
    <cellStyle name="20% - 强调文字颜色 5 12 8" xfId="11765"/>
    <cellStyle name="20% - 强调文字颜色 5 12 9" xfId="11772"/>
    <cellStyle name="20% - 强调文字颜色 5 12 9 2" xfId="11780"/>
    <cellStyle name="20% - 强调文字颜色 5 12 9 3" xfId="11786"/>
    <cellStyle name="20% - 强调文字颜色 5 13" xfId="10692"/>
    <cellStyle name="20% - 强调文字颜色 5 14" xfId="11704"/>
    <cellStyle name="20% - 强调文字颜色 5 15" xfId="11712"/>
    <cellStyle name="20% - 强调文字颜色 5 16" xfId="11719"/>
    <cellStyle name="20% - 强调文字颜色 5 16 10" xfId="11792"/>
    <cellStyle name="20% - 强调文字颜色 5 16 11" xfId="11796"/>
    <cellStyle name="20% - 强调文字颜色 5 16 12" xfId="11799"/>
    <cellStyle name="20% - 强调文字颜色 5 16 13" xfId="11802"/>
    <cellStyle name="20% - 强调文字颜色 5 16 14" xfId="11806"/>
    <cellStyle name="20% - 强调文字颜色 5 16 2" xfId="4835"/>
    <cellStyle name="20% - 强调文字颜色 5 16 3" xfId="4857"/>
    <cellStyle name="20% - 强调文字颜色 5 16 4" xfId="11807"/>
    <cellStyle name="20% - 强调文字颜色 5 16 5" xfId="11813"/>
    <cellStyle name="20% - 强调文字颜色 5 16 5 10" xfId="6597"/>
    <cellStyle name="20% - 强调文字颜色 5 16 5 11" xfId="1479"/>
    <cellStyle name="20% - 强调文字颜色 5 16 5 2" xfId="8610"/>
    <cellStyle name="20% - 强调文字颜色 5 16 5 2 2" xfId="11822"/>
    <cellStyle name="20% - 强调文字颜色 5 16 5 2 2 2" xfId="8052"/>
    <cellStyle name="20% - 强调文字颜色 5 16 5 2 2 3" xfId="9879"/>
    <cellStyle name="20% - 强调文字颜色 5 16 5 2 3" xfId="11831"/>
    <cellStyle name="20% - 强调文字颜色 5 16 5 2 4" xfId="11836"/>
    <cellStyle name="20% - 强调文字颜色 5 16 5 2 5" xfId="11841"/>
    <cellStyle name="20% - 强调文字颜色 5 16 5 2 6" xfId="11847"/>
    <cellStyle name="20% - 强调文字颜色 5 16 5 2 7" xfId="10148"/>
    <cellStyle name="20% - 强调文字颜色 5 16 5 2 8" xfId="9359"/>
    <cellStyle name="20% - 强调文字颜色 5 16 5 3" xfId="11851"/>
    <cellStyle name="20% - 强调文字颜色 5 16 5 4" xfId="9139"/>
    <cellStyle name="20% - 强调文字颜色 5 16 5 5" xfId="9149"/>
    <cellStyle name="20% - 强调文字颜色 5 16 5 6" xfId="11427"/>
    <cellStyle name="20% - 强调文字颜色 5 16 5 6 2" xfId="3900"/>
    <cellStyle name="20% - 强调文字颜色 5 16 5 6 3" xfId="4110"/>
    <cellStyle name="20% - 强调文字颜色 5 16 5 7" xfId="8734"/>
    <cellStyle name="20% - 强调文字颜色 5 16 5 8" xfId="8741"/>
    <cellStyle name="20% - 强调文字颜色 5 16 5 9" xfId="11858"/>
    <cellStyle name="20% - 强调文字颜色 5 16 6" xfId="11868"/>
    <cellStyle name="20% - 强调文字颜色 5 16 6 2" xfId="8273"/>
    <cellStyle name="20% - 强调文字颜色 5 16 6 2 2" xfId="1549"/>
    <cellStyle name="20% - 强调文字颜色 5 16 6 2 3" xfId="11871"/>
    <cellStyle name="20% - 强调文字颜色 5 16 6 3" xfId="8280"/>
    <cellStyle name="20% - 强调文字颜色 5 16 6 4" xfId="8286"/>
    <cellStyle name="20% - 强调文字颜色 5 16 6 5" xfId="8292"/>
    <cellStyle name="20% - 强调文字颜色 5 16 6 6" xfId="8298"/>
    <cellStyle name="20% - 强调文字颜色 5 16 6 7" xfId="8305"/>
    <cellStyle name="20% - 强调文字颜色 5 16 6 8" xfId="11874"/>
    <cellStyle name="20% - 强调文字颜色 5 16 7" xfId="11460"/>
    <cellStyle name="20% - 强调文字颜色 5 16 8" xfId="11470"/>
    <cellStyle name="20% - 强调文字颜色 5 16 9" xfId="11880"/>
    <cellStyle name="20% - 强调文字颜色 5 16 9 2" xfId="549"/>
    <cellStyle name="20% - 强调文字颜色 5 16 9 3" xfId="586"/>
    <cellStyle name="20% - 强调文字颜色 5 17" xfId="11727"/>
    <cellStyle name="20% - 强调文字颜色 5 17 10" xfId="11888"/>
    <cellStyle name="20% - 强调文字颜色 5 17 11" xfId="11893"/>
    <cellStyle name="20% - 强调文字颜色 5 17 12" xfId="11898"/>
    <cellStyle name="20% - 强调文字颜色 5 17 13" xfId="11903"/>
    <cellStyle name="20% - 强调文字颜色 5 17 14" xfId="11910"/>
    <cellStyle name="20% - 强调文字颜色 5 17 2" xfId="11912"/>
    <cellStyle name="20% - 强调文字颜色 5 17 3" xfId="11913"/>
    <cellStyle name="20% - 强调文字颜色 5 17 4" xfId="11915"/>
    <cellStyle name="20% - 强调文字颜色 5 17 5" xfId="11917"/>
    <cellStyle name="20% - 强调文字颜色 5 17 5 10" xfId="7276"/>
    <cellStyle name="20% - 强调文字颜色 5 17 5 11" xfId="7279"/>
    <cellStyle name="20% - 强调文字颜色 5 17 5 2" xfId="8770"/>
    <cellStyle name="20% - 强调文字颜色 5 17 5 2 2" xfId="3815"/>
    <cellStyle name="20% - 强调文字颜色 5 17 5 2 2 2" xfId="4203"/>
    <cellStyle name="20% - 强调文字颜色 5 17 5 2 2 3" xfId="4264"/>
    <cellStyle name="20% - 强调文字颜色 5 17 5 2 3" xfId="5273"/>
    <cellStyle name="20% - 强调文字颜色 5 17 5 2 4" xfId="5293"/>
    <cellStyle name="20% - 强调文字颜色 5 17 5 2 5" xfId="5304"/>
    <cellStyle name="20% - 强调文字颜色 5 17 5 2 6" xfId="5317"/>
    <cellStyle name="20% - 强调文字颜色 5 17 5 2 7" xfId="7444"/>
    <cellStyle name="20% - 强调文字颜色 5 17 5 2 8" xfId="7448"/>
    <cellStyle name="20% - 强调文字颜色 5 17 5 3" xfId="11922"/>
    <cellStyle name="20% - 强调文字颜色 5 17 5 4" xfId="11923"/>
    <cellStyle name="20% - 强调文字颜色 5 17 5 5" xfId="11378"/>
    <cellStyle name="20% - 强调文字颜色 5 17 5 6" xfId="11383"/>
    <cellStyle name="20% - 强调文字颜色 5 17 5 6 2" xfId="2730"/>
    <cellStyle name="20% - 强调文字颜色 5 17 5 6 3" xfId="5484"/>
    <cellStyle name="20% - 强调文字颜色 5 17 5 7" xfId="11511"/>
    <cellStyle name="20% - 强调文字颜色 5 17 5 8" xfId="11924"/>
    <cellStyle name="20% - 强调文字颜色 5 17 5 9" xfId="11925"/>
    <cellStyle name="20% - 强调文字颜色 5 17 6" xfId="11927"/>
    <cellStyle name="20% - 强调文字颜色 5 17 6 2" xfId="8376"/>
    <cellStyle name="20% - 强调文字颜色 5 17 6 2 2" xfId="11929"/>
    <cellStyle name="20% - 强调文字颜色 5 17 6 2 3" xfId="11932"/>
    <cellStyle name="20% - 强调文字颜色 5 17 6 3" xfId="8383"/>
    <cellStyle name="20% - 强调文字颜色 5 17 6 4" xfId="8390"/>
    <cellStyle name="20% - 强调文字颜色 5 17 6 5" xfId="8397"/>
    <cellStyle name="20% - 强调文字颜色 5 17 6 6" xfId="8402"/>
    <cellStyle name="20% - 强调文字颜色 5 17 6 7" xfId="5148"/>
    <cellStyle name="20% - 强调文字颜色 5 17 6 8" xfId="5152"/>
    <cellStyle name="20% - 强调文字颜色 5 17 7" xfId="11934"/>
    <cellStyle name="20% - 强调文字颜色 5 17 8" xfId="10959"/>
    <cellStyle name="20% - 强调文字颜色 5 17 9" xfId="10963"/>
    <cellStyle name="20% - 强调文字颜色 5 17 9 2" xfId="3007"/>
    <cellStyle name="20% - 强调文字颜色 5 17 9 3" xfId="3016"/>
    <cellStyle name="20% - 强调文字颜色 5 18" xfId="11734"/>
    <cellStyle name="20% - 强调文字颜色 5 18 10" xfId="11935"/>
    <cellStyle name="20% - 强调文字颜色 5 18 11" xfId="11937"/>
    <cellStyle name="20% - 强调文字颜色 5 18 12" xfId="11938"/>
    <cellStyle name="20% - 强调文字颜色 5 18 13" xfId="11939"/>
    <cellStyle name="20% - 强调文字颜色 5 18 14" xfId="11948"/>
    <cellStyle name="20% - 强调文字颜色 5 18 2" xfId="11955"/>
    <cellStyle name="20% - 强调文字颜色 5 18 3" xfId="11962"/>
    <cellStyle name="20% - 强调文字颜色 5 18 4" xfId="11969"/>
    <cellStyle name="20% - 强调文字颜色 5 18 5" xfId="11976"/>
    <cellStyle name="20% - 强调文字颜色 5 18 5 10" xfId="7846"/>
    <cellStyle name="20% - 强调文字颜色 5 18 5 11" xfId="7862"/>
    <cellStyle name="20% - 强调文字颜色 5 18 5 2" xfId="1986"/>
    <cellStyle name="20% - 强调文字颜色 5 18 5 2 2" xfId="1183"/>
    <cellStyle name="20% - 强调文字颜色 5 18 5 2 2 2" xfId="4625"/>
    <cellStyle name="20% - 强调文字颜色 5 18 5 2 2 3" xfId="11197"/>
    <cellStyle name="20% - 强调文字颜色 5 18 5 2 3" xfId="11031"/>
    <cellStyle name="20% - 强调文字颜色 5 18 5 2 4" xfId="8078"/>
    <cellStyle name="20% - 强调文字颜色 5 18 5 2 5" xfId="8138"/>
    <cellStyle name="20% - 强调文字颜色 5 18 5 2 6" xfId="8144"/>
    <cellStyle name="20% - 强调文字颜色 5 18 5 2 7" xfId="8152"/>
    <cellStyle name="20% - 强调文字颜色 5 18 5 2 8" xfId="8161"/>
    <cellStyle name="20% - 强调文字颜色 5 18 5 3" xfId="2006"/>
    <cellStyle name="20% - 强调文字颜色 5 18 5 4" xfId="2219"/>
    <cellStyle name="20% - 强调文字颜色 5 18 5 5" xfId="2298"/>
    <cellStyle name="20% - 强调文字颜色 5 18 5 6" xfId="2306"/>
    <cellStyle name="20% - 强调文字颜色 5 18 5 6 2" xfId="10152"/>
    <cellStyle name="20% - 强调文字颜色 5 18 5 6 3" xfId="10158"/>
    <cellStyle name="20% - 强调文字颜色 5 18 5 7" xfId="2314"/>
    <cellStyle name="20% - 强调文字颜色 5 18 5 8" xfId="3234"/>
    <cellStyle name="20% - 强调文字颜色 5 18 5 9" xfId="427"/>
    <cellStyle name="20% - 强调文字颜色 5 18 6" xfId="8253"/>
    <cellStyle name="20% - 强调文字颜色 5 18 6 2" xfId="2370"/>
    <cellStyle name="20% - 强调文字颜色 5 18 6 2 2" xfId="11977"/>
    <cellStyle name="20% - 强调文字颜色 5 18 6 2 3" xfId="11978"/>
    <cellStyle name="20% - 强调文字颜色 5 18 6 3" xfId="2392"/>
    <cellStyle name="20% - 强调文字颜色 5 18 6 4" xfId="2624"/>
    <cellStyle name="20% - 强调文字颜色 5 18 6 5" xfId="2728"/>
    <cellStyle name="20% - 强调文字颜色 5 18 6 6" xfId="2748"/>
    <cellStyle name="20% - 强调文字颜色 5 18 6 7" xfId="2757"/>
    <cellStyle name="20% - 强调文字颜色 5 18 6 8" xfId="7201"/>
    <cellStyle name="20% - 强调文字颜色 5 18 7" xfId="8257"/>
    <cellStyle name="20% - 强调文字颜色 5 18 8" xfId="8263"/>
    <cellStyle name="20% - 强调文字颜色 5 18 9" xfId="5499"/>
    <cellStyle name="20% - 强调文字颜色 5 18 9 2" xfId="10136"/>
    <cellStyle name="20% - 强调文字颜色 5 18 9 3" xfId="10142"/>
    <cellStyle name="20% - 强调文字颜色 5 19" xfId="11738"/>
    <cellStyle name="20% - 强调文字颜色 5 2" xfId="4879"/>
    <cellStyle name="20% - 强调文字颜色 5 2 10" xfId="11558"/>
    <cellStyle name="20% - 强调文字颜色 5 2 11" xfId="3906"/>
    <cellStyle name="20% - 强调文字颜色 5 2 12" xfId="2626"/>
    <cellStyle name="20% - 强调文字颜色 5 2 13" xfId="11561"/>
    <cellStyle name="20% - 强调文字颜色 5 2 14" xfId="11565"/>
    <cellStyle name="20% - 强调文字颜色 5 2 15" xfId="11569"/>
    <cellStyle name="20% - 强调文字颜色 5 2 16" xfId="11980"/>
    <cellStyle name="20% - 强调文字颜色 5 2 17" xfId="11983"/>
    <cellStyle name="20% - 强调文字颜色 5 2 17 10" xfId="7134"/>
    <cellStyle name="20% - 强调文字颜色 5 2 17 11" xfId="11419"/>
    <cellStyle name="20% - 强调文字颜色 5 2 17 12" xfId="11744"/>
    <cellStyle name="20% - 强调文字颜色 5 2 17 13" xfId="466"/>
    <cellStyle name="20% - 强调文字颜色 5 2 17 14" xfId="194"/>
    <cellStyle name="20% - 强调文字颜色 5 2 17 2" xfId="11984"/>
    <cellStyle name="20% - 强调文字颜色 5 2 17 3" xfId="11986"/>
    <cellStyle name="20% - 强调文字颜色 5 2 17 4" xfId="11989"/>
    <cellStyle name="20% - 强调文字颜色 5 2 17 5" xfId="11992"/>
    <cellStyle name="20% - 强调文字颜色 5 2 17 5 10" xfId="7454"/>
    <cellStyle name="20% - 强调文字颜色 5 2 17 5 11" xfId="7458"/>
    <cellStyle name="20% - 强调文字颜色 5 2 17 5 2" xfId="11997"/>
    <cellStyle name="20% - 强调文字颜色 5 2 17 5 2 2" xfId="199"/>
    <cellStyle name="20% - 强调文字颜色 5 2 17 5 2 2 2" xfId="11940"/>
    <cellStyle name="20% - 强调文字颜色 5 2 17 5 2 2 3" xfId="11943"/>
    <cellStyle name="20% - 强调文字颜色 5 2 17 5 2 3" xfId="3785"/>
    <cellStyle name="20% - 强调文字颜色 5 2 17 5 2 4" xfId="3795"/>
    <cellStyle name="20% - 强调文字颜色 5 2 17 5 2 5" xfId="12000"/>
    <cellStyle name="20% - 强调文字颜色 5 2 17 5 2 6" xfId="12003"/>
    <cellStyle name="20% - 强调文字颜色 5 2 17 5 2 7" xfId="12006"/>
    <cellStyle name="20% - 强调文字颜色 5 2 17 5 2 8" xfId="12009"/>
    <cellStyle name="20% - 强调文字颜色 5 2 17 5 3" xfId="4169"/>
    <cellStyle name="20% - 强调文字颜色 5 2 17 5 4" xfId="4179"/>
    <cellStyle name="20% - 强调文字颜色 5 2 17 5 5" xfId="12014"/>
    <cellStyle name="20% - 强调文字颜色 5 2 17 5 6" xfId="12018"/>
    <cellStyle name="20% - 强调文字颜色 5 2 17 5 6 2" xfId="12020"/>
    <cellStyle name="20% - 强调文字颜色 5 2 17 5 6 3" xfId="12022"/>
    <cellStyle name="20% - 强调文字颜色 5 2 17 5 7" xfId="8483"/>
    <cellStyle name="20% - 强调文字颜色 5 2 17 5 8" xfId="8488"/>
    <cellStyle name="20% - 强调文字颜色 5 2 17 5 9" xfId="12023"/>
    <cellStyle name="20% - 强调文字颜色 5 2 17 6" xfId="12026"/>
    <cellStyle name="20% - 强调文字颜色 5 2 17 6 2" xfId="11617"/>
    <cellStyle name="20% - 强调文字颜色 5 2 17 6 2 2" xfId="4022"/>
    <cellStyle name="20% - 强调文字颜色 5 2 17 6 2 3" xfId="4031"/>
    <cellStyle name="20% - 强调文字颜色 5 2 17 6 3" xfId="11625"/>
    <cellStyle name="20% - 强调文字颜色 5 2 17 6 4" xfId="10492"/>
    <cellStyle name="20% - 强调文字颜色 5 2 17 6 5" xfId="10500"/>
    <cellStyle name="20% - 强调文字颜色 5 2 17 6 6" xfId="10512"/>
    <cellStyle name="20% - 强调文字颜色 5 2 17 6 7" xfId="10520"/>
    <cellStyle name="20% - 强调文字颜色 5 2 17 6 8" xfId="10532"/>
    <cellStyle name="20% - 强调文字颜色 5 2 17 7" xfId="5778"/>
    <cellStyle name="20% - 强调文字颜色 5 2 17 8" xfId="5809"/>
    <cellStyle name="20% - 强调文字颜色 5 2 17 9" xfId="5819"/>
    <cellStyle name="20% - 强调文字颜色 5 2 17 9 2" xfId="7744"/>
    <cellStyle name="20% - 强调文字颜色 5 2 17 9 3" xfId="7747"/>
    <cellStyle name="20% - 强调文字颜色 5 2 18" xfId="12030"/>
    <cellStyle name="20% - 强调文字颜色 5 2 18 10" xfId="2857"/>
    <cellStyle name="20% - 强调文字颜色 5 2 18 11" xfId="12031"/>
    <cellStyle name="20% - 强调文字颜色 5 2 18 12" xfId="12039"/>
    <cellStyle name="20% - 强调文字颜色 5 2 18 13" xfId="12041"/>
    <cellStyle name="20% - 强调文字颜色 5 2 18 14" xfId="12043"/>
    <cellStyle name="20% - 强调文字颜色 5 2 18 2" xfId="6736"/>
    <cellStyle name="20% - 强调文字颜色 5 2 18 3" xfId="6746"/>
    <cellStyle name="20% - 强调文字颜色 5 2 18 4" xfId="6757"/>
    <cellStyle name="20% - 强调文字颜色 5 2 18 5" xfId="8099"/>
    <cellStyle name="20% - 强调文字颜色 5 2 18 5 10" xfId="8783"/>
    <cellStyle name="20% - 强调文字颜色 5 2 18 5 11" xfId="8798"/>
    <cellStyle name="20% - 强调文字颜色 5 2 18 5 2" xfId="12044"/>
    <cellStyle name="20% - 强调文字颜色 5 2 18 5 2 2" xfId="1577"/>
    <cellStyle name="20% - 强调文字颜色 5 2 18 5 2 2 2" xfId="12048"/>
    <cellStyle name="20% - 强调文字颜色 5 2 18 5 2 2 3" xfId="6370"/>
    <cellStyle name="20% - 强调文字颜色 5 2 18 5 2 3" xfId="1592"/>
    <cellStyle name="20% - 强调文字颜色 5 2 18 5 2 4" xfId="1608"/>
    <cellStyle name="20% - 强调文字颜色 5 2 18 5 2 5" xfId="1634"/>
    <cellStyle name="20% - 强调文字颜色 5 2 18 5 2 6" xfId="1647"/>
    <cellStyle name="20% - 强调文字颜色 5 2 18 5 2 7" xfId="1662"/>
    <cellStyle name="20% - 强调文字颜色 5 2 18 5 2 8" xfId="12050"/>
    <cellStyle name="20% - 强调文字颜色 5 2 18 5 3" xfId="12053"/>
    <cellStyle name="20% - 强调文字颜色 5 2 18 5 4" xfId="12057"/>
    <cellStyle name="20% - 强调文字颜色 5 2 18 5 5" xfId="12062"/>
    <cellStyle name="20% - 强调文字颜色 5 2 18 5 6" xfId="12068"/>
    <cellStyle name="20% - 强调文字颜色 5 2 18 5 6 2" xfId="9034"/>
    <cellStyle name="20% - 强调文字颜色 5 2 18 5 6 3" xfId="9041"/>
    <cellStyle name="20% - 强调文字颜色 5 2 18 5 7" xfId="12073"/>
    <cellStyle name="20% - 强调文字颜色 5 2 18 5 8" xfId="2440"/>
    <cellStyle name="20% - 强调文字颜色 5 2 18 5 9" xfId="2448"/>
    <cellStyle name="20% - 强调文字颜色 5 2 18 6" xfId="6198"/>
    <cellStyle name="20% - 强调文字颜色 5 2 18 6 2" xfId="3061"/>
    <cellStyle name="20% - 强调文字颜色 5 2 18 6 2 2" xfId="2134"/>
    <cellStyle name="20% - 强调文字颜色 5 2 18 6 2 3" xfId="2153"/>
    <cellStyle name="20% - 强调文字颜色 5 2 18 6 3" xfId="3075"/>
    <cellStyle name="20% - 强调文字颜色 5 2 18 6 4" xfId="8207"/>
    <cellStyle name="20% - 强调文字颜色 5 2 18 6 5" xfId="8214"/>
    <cellStyle name="20% - 强调文字颜色 5 2 18 6 6" xfId="12082"/>
    <cellStyle name="20% - 强调文字颜色 5 2 18 6 7" xfId="12087"/>
    <cellStyle name="20% - 强调文字颜色 5 2 18 6 8" xfId="12091"/>
    <cellStyle name="20% - 强调文字颜色 5 2 18 7" xfId="6207"/>
    <cellStyle name="20% - 强调文字颜色 5 2 18 8" xfId="12098"/>
    <cellStyle name="20% - 强调文字颜色 5 2 18 9" xfId="12104"/>
    <cellStyle name="20% - 强调文字颜色 5 2 18 9 2" xfId="2788"/>
    <cellStyle name="20% - 强调文字颜色 5 2 18 9 3" xfId="12105"/>
    <cellStyle name="20% - 强调文字颜色 5 2 19" xfId="12108"/>
    <cellStyle name="20% - 强调文字颜色 5 2 19 10" xfId="491"/>
    <cellStyle name="20% - 强调文字颜色 5 2 19 11" xfId="10130"/>
    <cellStyle name="20% - 强调文字颜色 5 2 19 12" xfId="11478"/>
    <cellStyle name="20% - 强调文字颜色 5 2 19 13" xfId="11481"/>
    <cellStyle name="20% - 强调文字颜色 5 2 19 14" xfId="4220"/>
    <cellStyle name="20% - 强调文字颜色 5 2 19 2" xfId="7558"/>
    <cellStyle name="20% - 强调文字颜色 5 2 19 3" xfId="7570"/>
    <cellStyle name="20% - 强调文字颜色 5 2 19 4" xfId="12113"/>
    <cellStyle name="20% - 强调文字颜色 5 2 19 5" xfId="12117"/>
    <cellStyle name="20% - 强调文字颜色 5 2 19 5 10" xfId="9483"/>
    <cellStyle name="20% - 强调文字颜色 5 2 19 5 11" xfId="9488"/>
    <cellStyle name="20% - 强调文字颜色 5 2 19 5 2" xfId="12122"/>
    <cellStyle name="20% - 强调文字颜色 5 2 19 5 2 2" xfId="10324"/>
    <cellStyle name="20% - 强调文字颜色 5 2 19 5 2 2 2" xfId="12124"/>
    <cellStyle name="20% - 强调文字颜色 5 2 19 5 2 2 3" xfId="12126"/>
    <cellStyle name="20% - 强调文字颜色 5 2 19 5 2 3" xfId="10331"/>
    <cellStyle name="20% - 强调文字颜色 5 2 19 5 2 4" xfId="10337"/>
    <cellStyle name="20% - 强调文字颜色 5 2 19 5 2 5" xfId="12128"/>
    <cellStyle name="20% - 强调文字颜色 5 2 19 5 2 6" xfId="12131"/>
    <cellStyle name="20% - 强调文字颜色 5 2 19 5 2 7" xfId="12135"/>
    <cellStyle name="20% - 强调文字颜色 5 2 19 5 2 8" xfId="12139"/>
    <cellStyle name="20% - 强调文字颜色 5 2 19 5 3" xfId="12144"/>
    <cellStyle name="20% - 强调文字颜色 5 2 19 5 4" xfId="12151"/>
    <cellStyle name="20% - 强调文字颜色 5 2 19 5 5" xfId="12158"/>
    <cellStyle name="20% - 强调文字颜色 5 2 19 5 6" xfId="12166"/>
    <cellStyle name="20% - 强调文字颜色 5 2 19 5 6 2" xfId="4065"/>
    <cellStyle name="20% - 强调文字颜色 5 2 19 5 6 3" xfId="4073"/>
    <cellStyle name="20% - 强调文字颜色 5 2 19 5 7" xfId="12175"/>
    <cellStyle name="20% - 强调文字颜色 5 2 19 5 8" xfId="12182"/>
    <cellStyle name="20% - 强调文字颜色 5 2 19 5 9" xfId="12191"/>
    <cellStyle name="20% - 强调文字颜色 5 2 19 6" xfId="12194"/>
    <cellStyle name="20% - 强调文字颜色 5 2 19 6 2" xfId="1207"/>
    <cellStyle name="20% - 强调文字颜色 5 2 19 6 2 2" xfId="10505"/>
    <cellStyle name="20% - 强调文字颜色 5 2 19 6 2 3" xfId="10524"/>
    <cellStyle name="20% - 强调文字颜色 5 2 19 6 3" xfId="530"/>
    <cellStyle name="20% - 强调文字颜色 5 2 19 6 4" xfId="6039"/>
    <cellStyle name="20% - 强调文字颜色 5 2 19 6 5" xfId="6045"/>
    <cellStyle name="20% - 强调文字颜色 5 2 19 6 6" xfId="6053"/>
    <cellStyle name="20% - 强调文字颜色 5 2 19 6 7" xfId="6061"/>
    <cellStyle name="20% - 强调文字颜色 5 2 19 6 8" xfId="6067"/>
    <cellStyle name="20% - 强调文字颜色 5 2 19 7" xfId="12197"/>
    <cellStyle name="20% - 强调文字颜色 5 2 19 8" xfId="12201"/>
    <cellStyle name="20% - 强调文字颜色 5 2 19 9" xfId="10476"/>
    <cellStyle name="20% - 强调文字颜色 5 2 19 9 2" xfId="12204"/>
    <cellStyle name="20% - 强调文字颜色 5 2 19 9 3" xfId="12207"/>
    <cellStyle name="20% - 强调文字颜色 5 2 2" xfId="12209"/>
    <cellStyle name="20% - 强调文字颜色 5 2 2 10" xfId="12213"/>
    <cellStyle name="20% - 强调文字颜色 5 2 2 11" xfId="4648"/>
    <cellStyle name="20% - 强调文字颜色 5 2 2 12" xfId="4656"/>
    <cellStyle name="20% - 强调文字颜色 5 2 2 13" xfId="12215"/>
    <cellStyle name="20% - 强调文字颜色 5 2 2 14" xfId="12217"/>
    <cellStyle name="20% - 强调文字颜色 5 2 2 2" xfId="12218"/>
    <cellStyle name="20% - 强调文字颜色 5 2 2 3" xfId="12221"/>
    <cellStyle name="20% - 强调文字颜色 5 2 2 4" xfId="12224"/>
    <cellStyle name="20% - 强调文字颜色 5 2 2 5" xfId="12228"/>
    <cellStyle name="20% - 强调文字颜色 5 2 2 6" xfId="12232"/>
    <cellStyle name="20% - 强调文字颜色 5 2 2 7" xfId="12236"/>
    <cellStyle name="20% - 强调文字颜色 5 2 2 8" xfId="12238"/>
    <cellStyle name="20% - 强调文字颜色 5 2 2 9" xfId="8318"/>
    <cellStyle name="20% - 强调文字颜色 5 2 20" xfId="11568"/>
    <cellStyle name="20% - 强调文字颜色 5 2 20 10" xfId="10141"/>
    <cellStyle name="20% - 强调文字颜色 5 2 20 11" xfId="12241"/>
    <cellStyle name="20% - 强调文字颜色 5 2 20 12" xfId="12242"/>
    <cellStyle name="20% - 强调文字颜色 5 2 20 13" xfId="12243"/>
    <cellStyle name="20% - 强调文字颜色 5 2 20 14" xfId="8229"/>
    <cellStyle name="20% - 强调文字颜色 5 2 20 2" xfId="7230"/>
    <cellStyle name="20% - 强调文字颜色 5 2 20 3" xfId="7237"/>
    <cellStyle name="20% - 强调文字颜色 5 2 20 4" xfId="7248"/>
    <cellStyle name="20% - 强调文字颜色 5 2 20 5" xfId="12246"/>
    <cellStyle name="20% - 强调文字颜色 5 2 20 5 10" xfId="12247"/>
    <cellStyle name="20% - 强调文字颜色 5 2 20 5 11" xfId="12249"/>
    <cellStyle name="20% - 强调文字颜色 5 2 20 5 2" xfId="12255"/>
    <cellStyle name="20% - 强调文字颜色 5 2 20 5 2 2" xfId="12259"/>
    <cellStyle name="20% - 强调文字颜色 5 2 20 5 2 2 2" xfId="12260"/>
    <cellStyle name="20% - 强调文字颜色 5 2 20 5 2 2 3" xfId="12261"/>
    <cellStyle name="20% - 强调文字颜色 5 2 20 5 2 3" xfId="12262"/>
    <cellStyle name="20% - 强调文字颜色 5 2 20 5 2 4" xfId="12263"/>
    <cellStyle name="20% - 强调文字颜色 5 2 20 5 2 5" xfId="12264"/>
    <cellStyle name="20% - 强调文字颜色 5 2 20 5 2 6" xfId="12265"/>
    <cellStyle name="20% - 强调文字颜色 5 2 20 5 2 7" xfId="12266"/>
    <cellStyle name="20% - 强调文字颜色 5 2 20 5 2 8" xfId="12267"/>
    <cellStyle name="20% - 强调文字颜色 5 2 20 5 3" xfId="12272"/>
    <cellStyle name="20% - 强调文字颜色 5 2 20 5 4" xfId="10099"/>
    <cellStyle name="20% - 强调文字颜色 5 2 20 5 5" xfId="10106"/>
    <cellStyle name="20% - 强调文字颜色 5 2 20 5 6" xfId="11952"/>
    <cellStyle name="20% - 强调文字颜色 5 2 20 5 6 2" xfId="10352"/>
    <cellStyle name="20% - 强调文字颜色 5 2 20 5 6 3" xfId="12275"/>
    <cellStyle name="20% - 强调文字颜色 5 2 20 5 7" xfId="11959"/>
    <cellStyle name="20% - 强调文字颜色 5 2 20 5 8" xfId="11963"/>
    <cellStyle name="20% - 强调文字颜色 5 2 20 5 9" xfId="11970"/>
    <cellStyle name="20% - 强调文字颜色 5 2 20 6" xfId="12278"/>
    <cellStyle name="20% - 强调文字颜色 5 2 20 6 2" xfId="11249"/>
    <cellStyle name="20% - 强调文字颜色 5 2 20 6 2 2" xfId="12284"/>
    <cellStyle name="20% - 强调文字颜色 5 2 20 6 2 3" xfId="12290"/>
    <cellStyle name="20% - 强调文字颜色 5 2 20 6 3" xfId="9280"/>
    <cellStyle name="20% - 强调文字颜色 5 2 20 6 4" xfId="9289"/>
    <cellStyle name="20% - 强调文字颜色 5 2 20 6 5" xfId="12297"/>
    <cellStyle name="20% - 强调文字颜色 5 2 20 6 6" xfId="12305"/>
    <cellStyle name="20% - 强调文字颜色 5 2 20 6 7" xfId="12309"/>
    <cellStyle name="20% - 强调文字颜色 5 2 20 6 8" xfId="12313"/>
    <cellStyle name="20% - 强调文字颜色 5 2 20 7" xfId="12317"/>
    <cellStyle name="20% - 强调文字颜色 5 2 20 8" xfId="2954"/>
    <cellStyle name="20% - 强调文字颜色 5 2 20 9" xfId="2970"/>
    <cellStyle name="20% - 强调文字颜色 5 2 20 9 2" xfId="10405"/>
    <cellStyle name="20% - 强调文字颜色 5 2 20 9 3" xfId="10417"/>
    <cellStyle name="20% - 强调文字颜色 5 2 3" xfId="12319"/>
    <cellStyle name="20% - 强调文字颜色 5 2 3 10" xfId="12322"/>
    <cellStyle name="20% - 强调文字颜色 5 2 3 11" xfId="12326"/>
    <cellStyle name="20% - 强调文字颜色 5 2 3 12" xfId="12329"/>
    <cellStyle name="20% - 强调文字颜色 5 2 3 13" xfId="12331"/>
    <cellStyle name="20% - 强调文字颜色 5 2 3 14" xfId="12333"/>
    <cellStyle name="20% - 强调文字颜色 5 2 3 2" xfId="8510"/>
    <cellStyle name="20% - 强调文字颜色 5 2 3 3" xfId="8517"/>
    <cellStyle name="20% - 强调文字颜色 5 2 3 4" xfId="8524"/>
    <cellStyle name="20% - 强调文字颜色 5 2 3 5" xfId="8532"/>
    <cellStyle name="20% - 强调文字颜色 5 2 3 6" xfId="8538"/>
    <cellStyle name="20% - 强调文字颜色 5 2 3 7" xfId="2774"/>
    <cellStyle name="20% - 强调文字颜色 5 2 3 8" xfId="2782"/>
    <cellStyle name="20% - 强调文字颜色 5 2 3 9" xfId="12334"/>
    <cellStyle name="20% - 强调文字颜色 5 2 4" xfId="12337"/>
    <cellStyle name="20% - 强调文字颜色 5 2 4 10" xfId="4592"/>
    <cellStyle name="20% - 强调文字颜色 5 2 4 11" xfId="4763"/>
    <cellStyle name="20% - 强调文字颜色 5 2 4 12" xfId="4775"/>
    <cellStyle name="20% - 强调文字颜色 5 2 4 13" xfId="4782"/>
    <cellStyle name="20% - 强调文字颜色 5 2 4 14" xfId="4788"/>
    <cellStyle name="20% - 强调文字颜色 5 2 4 2" xfId="7024"/>
    <cellStyle name="20% - 强调文字颜色 5 2 4 3" xfId="7032"/>
    <cellStyle name="20% - 强调文字颜色 5 2 4 4" xfId="7045"/>
    <cellStyle name="20% - 强调文字颜色 5 2 4 5" xfId="7054"/>
    <cellStyle name="20% - 强调文字颜色 5 2 4 6" xfId="12338"/>
    <cellStyle name="20% - 强调文字颜色 5 2 4 7" xfId="7208"/>
    <cellStyle name="20% - 强调文字颜色 5 2 4 8" xfId="7214"/>
    <cellStyle name="20% - 强调文字颜色 5 2 4 9" xfId="7180"/>
    <cellStyle name="20% - 强调文字颜色 5 2 5" xfId="12343"/>
    <cellStyle name="20% - 强调文字颜色 5 2 6" xfId="12345"/>
    <cellStyle name="20% - 强调文字颜色 5 2 7" xfId="12347"/>
    <cellStyle name="20% - 强调文字颜色 5 2 8" xfId="12248"/>
    <cellStyle name="20% - 强调文字颜色 5 2 9" xfId="12251"/>
    <cellStyle name="20% - 强调文字颜色 5 3" xfId="1105"/>
    <cellStyle name="20% - 强调文字颜色 5 3 10" xfId="12351"/>
    <cellStyle name="20% - 强调文字颜色 5 3 11" xfId="8810"/>
    <cellStyle name="20% - 强调文字颜色 5 3 12" xfId="8826"/>
    <cellStyle name="20% - 强调文字颜色 5 3 13" xfId="8833"/>
    <cellStyle name="20% - 强调文字颜色 5 3 14" xfId="8842"/>
    <cellStyle name="20% - 强调文字颜色 5 3 15" xfId="1374"/>
    <cellStyle name="20% - 强调文字颜色 5 3 16" xfId="1387"/>
    <cellStyle name="20% - 强调文字颜色 5 3 17" xfId="1400"/>
    <cellStyle name="20% - 强调文字颜色 5 3 17 10" xfId="12352"/>
    <cellStyle name="20% - 强调文字颜色 5 3 17 11" xfId="12364"/>
    <cellStyle name="20% - 强调文字颜色 5 3 17 12" xfId="12381"/>
    <cellStyle name="20% - 强调文字颜色 5 3 17 13" xfId="12387"/>
    <cellStyle name="20% - 强调文字颜色 5 3 17 14" xfId="12389"/>
    <cellStyle name="20% - 强调文字颜色 5 3 17 2" xfId="12391"/>
    <cellStyle name="20% - 强调文字颜色 5 3 17 2 2" xfId="12393"/>
    <cellStyle name="20% - 强调文字颜色 5 3 17 3" xfId="12395"/>
    <cellStyle name="20% - 强调文字颜色 5 3 17 4" xfId="12397"/>
    <cellStyle name="20% - 强调文字颜色 5 3 17 5" xfId="12399"/>
    <cellStyle name="20% - 强调文字颜色 5 3 17 5 10" xfId="3293"/>
    <cellStyle name="20% - 强调文字颜色 5 3 17 5 11" xfId="3873"/>
    <cellStyle name="20% - 强调文字颜色 5 3 17 5 2" xfId="12403"/>
    <cellStyle name="20% - 强调文字颜色 5 3 17 5 2 2" xfId="12404"/>
    <cellStyle name="20% - 强调文字颜色 5 3 17 5 2 2 2" xfId="12408"/>
    <cellStyle name="20% - 强调文字颜色 5 3 17 5 2 2 3" xfId="12409"/>
    <cellStyle name="20% - 强调文字颜色 5 3 17 5 2 3" xfId="12411"/>
    <cellStyle name="20% - 强调文字颜色 5 3 17 5 2 4" xfId="12413"/>
    <cellStyle name="20% - 强调文字颜色 5 3 17 5 2 5" xfId="12415"/>
    <cellStyle name="20% - 强调文字颜色 5 3 17 5 2 6" xfId="12418"/>
    <cellStyle name="20% - 强调文字颜色 5 3 17 5 2 7" xfId="12421"/>
    <cellStyle name="20% - 强调文字颜色 5 3 17 5 2 8" xfId="1846"/>
    <cellStyle name="20% - 强调文字颜色 5 3 17 5 3" xfId="12426"/>
    <cellStyle name="20% - 强调文字颜色 5 3 17 5 4" xfId="12430"/>
    <cellStyle name="20% - 强调文字颜色 5 3 17 5 5" xfId="8421"/>
    <cellStyle name="20% - 强调文字颜色 5 3 17 5 6" xfId="8431"/>
    <cellStyle name="20% - 强调文字颜色 5 3 17 5 6 2" xfId="12431"/>
    <cellStyle name="20% - 强调文字颜色 5 3 17 5 6 3" xfId="12432"/>
    <cellStyle name="20% - 强调文字颜色 5 3 17 5 7" xfId="8442"/>
    <cellStyle name="20% - 强调文字颜色 5 3 17 5 8" xfId="8444"/>
    <cellStyle name="20% - 强调文字颜色 5 3 17 5 9" xfId="8451"/>
    <cellStyle name="20% - 强调文字颜色 5 3 17 6" xfId="12435"/>
    <cellStyle name="20% - 强调文字颜色 5 3 17 6 2" xfId="12439"/>
    <cellStyle name="20% - 强调文字颜色 5 3 17 6 2 2" xfId="12440"/>
    <cellStyle name="20% - 强调文字颜色 5 3 17 6 2 3" xfId="12442"/>
    <cellStyle name="20% - 强调文字颜色 5 3 17 6 3" xfId="3706"/>
    <cellStyle name="20% - 强调文字颜色 5 3 17 6 4" xfId="3717"/>
    <cellStyle name="20% - 强调文字颜色 5 3 17 6 5" xfId="3731"/>
    <cellStyle name="20% - 强调文字颜色 5 3 17 6 6" xfId="11159"/>
    <cellStyle name="20% - 强调文字颜色 5 3 17 6 7" xfId="12443"/>
    <cellStyle name="20% - 强调文字颜色 5 3 17 6 8" xfId="12444"/>
    <cellStyle name="20% - 强调文字颜色 5 3 17 7" xfId="12447"/>
    <cellStyle name="20% - 强调文字颜色 5 3 17 8" xfId="8189"/>
    <cellStyle name="20% - 强调文字颜色 5 3 17 9" xfId="8198"/>
    <cellStyle name="20% - 强调文字颜色 5 3 17 9 2" xfId="12448"/>
    <cellStyle name="20% - 强调文字颜色 5 3 17 9 3" xfId="12449"/>
    <cellStyle name="20% - 强调文字颜色 5 3 18" xfId="1416"/>
    <cellStyle name="20% - 强调文字颜色 5 3 18 10" xfId="1431"/>
    <cellStyle name="20% - 强调文字颜色 5 3 18 11" xfId="1463"/>
    <cellStyle name="20% - 强调文字颜色 5 3 18 12" xfId="12451"/>
    <cellStyle name="20% - 强调文字颜色 5 3 18 13" xfId="12452"/>
    <cellStyle name="20% - 强调文字颜色 5 3 18 14" xfId="12453"/>
    <cellStyle name="20% - 强调文字颜色 5 3 18 2" xfId="1481"/>
    <cellStyle name="20% - 强调文字颜色 5 3 18 3" xfId="1575"/>
    <cellStyle name="20% - 强调文字颜色 5 3 18 4" xfId="1580"/>
    <cellStyle name="20% - 强调文字颜色 5 3 18 5" xfId="1595"/>
    <cellStyle name="20% - 强调文字颜色 5 3 18 5 10" xfId="4293"/>
    <cellStyle name="20% - 强调文字颜色 5 3 18 5 11" xfId="3951"/>
    <cellStyle name="20% - 强调文字颜色 5 3 18 5 2" xfId="12457"/>
    <cellStyle name="20% - 强调文字颜色 5 3 18 5 2 2" xfId="12459"/>
    <cellStyle name="20% - 强调文字颜色 5 3 18 5 2 2 2" xfId="12460"/>
    <cellStyle name="20% - 强调文字颜色 5 3 18 5 2 2 3" xfId="8856"/>
    <cellStyle name="20% - 强调文字颜色 5 3 18 5 2 3" xfId="12462"/>
    <cellStyle name="20% - 强调文字颜色 5 3 18 5 2 4" xfId="12463"/>
    <cellStyle name="20% - 强调文字颜色 5 3 18 5 2 5" xfId="12464"/>
    <cellStyle name="20% - 强调文字颜色 5 3 18 5 2 6" xfId="12466"/>
    <cellStyle name="20% - 强调文字颜色 5 3 18 5 2 7" xfId="12469"/>
    <cellStyle name="20% - 强调文字颜色 5 3 18 5 2 8" xfId="4045"/>
    <cellStyle name="20% - 强调文字颜色 5 3 18 5 3" xfId="12474"/>
    <cellStyle name="20% - 强调文字颜色 5 3 18 5 4" xfId="12479"/>
    <cellStyle name="20% - 强调文字颜色 5 3 18 5 5" xfId="12485"/>
    <cellStyle name="20% - 强调文字颜色 5 3 18 5 6" xfId="12489"/>
    <cellStyle name="20% - 强调文字颜色 5 3 18 5 6 2" xfId="11319"/>
    <cellStyle name="20% - 强调文字颜色 5 3 18 5 6 3" xfId="11324"/>
    <cellStyle name="20% - 强调文字颜色 5 3 18 5 7" xfId="12496"/>
    <cellStyle name="20% - 强调文字颜色 5 3 18 5 8" xfId="12500"/>
    <cellStyle name="20% - 强调文字颜色 5 3 18 5 9" xfId="12501"/>
    <cellStyle name="20% - 强调文字颜色 5 3 18 6" xfId="1610"/>
    <cellStyle name="20% - 强调文字颜色 5 3 18 6 2" xfId="12503"/>
    <cellStyle name="20% - 强调文字颜色 5 3 18 6 2 2" xfId="12505"/>
    <cellStyle name="20% - 强调文字颜色 5 3 18 6 2 3" xfId="12507"/>
    <cellStyle name="20% - 强调文字颜色 5 3 18 6 3" xfId="440"/>
    <cellStyle name="20% - 强调文字颜色 5 3 18 6 4" xfId="11138"/>
    <cellStyle name="20% - 强调文字颜色 5 3 18 6 5" xfId="11142"/>
    <cellStyle name="20% - 强调文字颜色 5 3 18 6 6" xfId="11146"/>
    <cellStyle name="20% - 强调文字颜色 5 3 18 6 7" xfId="11148"/>
    <cellStyle name="20% - 强调文字颜色 5 3 18 6 8" xfId="12508"/>
    <cellStyle name="20% - 强调文字颜色 5 3 18 7" xfId="1635"/>
    <cellStyle name="20% - 强调文字颜色 5 3 18 8" xfId="1651"/>
    <cellStyle name="20% - 强调文字颜色 5 3 18 9" xfId="1666"/>
    <cellStyle name="20% - 强调文字颜色 5 3 18 9 2" xfId="12509"/>
    <cellStyle name="20% - 强调文字颜色 5 3 18 9 3" xfId="12511"/>
    <cellStyle name="20% - 强调文字颜色 5 3 19" xfId="1678"/>
    <cellStyle name="20% - 强调文字颜色 5 3 19 10" xfId="11546"/>
    <cellStyle name="20% - 强调文字颜色 5 3 19 11" xfId="11560"/>
    <cellStyle name="20% - 强调文字颜色 5 3 19 12" xfId="3909"/>
    <cellStyle name="20% - 强调文字颜色 5 3 19 13" xfId="2629"/>
    <cellStyle name="20% - 强调文字颜色 5 3 19 14" xfId="11563"/>
    <cellStyle name="20% - 强调文字颜色 5 3 19 2" xfId="12513"/>
    <cellStyle name="20% - 强调文字颜色 5 3 19 3" xfId="12523"/>
    <cellStyle name="20% - 强调文字颜色 5 3 19 4" xfId="12534"/>
    <cellStyle name="20% - 强调文字颜色 5 3 19 5" xfId="12540"/>
    <cellStyle name="20% - 强调文字颜色 5 3 19 5 10" xfId="12542"/>
    <cellStyle name="20% - 强调文字颜色 5 3 19 5 11" xfId="5731"/>
    <cellStyle name="20% - 强调文字颜色 5 3 19 5 2" xfId="12547"/>
    <cellStyle name="20% - 强调文字颜色 5 3 19 5 2 2" xfId="12549"/>
    <cellStyle name="20% - 强调文字颜色 5 3 19 5 2 2 2" xfId="12556"/>
    <cellStyle name="20% - 强调文字颜色 5 3 19 5 2 2 3" xfId="12559"/>
    <cellStyle name="20% - 强调文字颜色 5 3 19 5 2 3" xfId="12561"/>
    <cellStyle name="20% - 强调文字颜色 5 3 19 5 2 4" xfId="12566"/>
    <cellStyle name="20% - 强调文字颜色 5 3 19 5 2 5" xfId="12571"/>
    <cellStyle name="20% - 强调文字颜色 5 3 19 5 2 6" xfId="12576"/>
    <cellStyle name="20% - 强调文字颜色 5 3 19 5 2 7" xfId="10871"/>
    <cellStyle name="20% - 强调文字颜色 5 3 19 5 2 8" xfId="11039"/>
    <cellStyle name="20% - 强调文字颜色 5 3 19 5 3" xfId="12583"/>
    <cellStyle name="20% - 强调文字颜色 5 3 19 5 4" xfId="12588"/>
    <cellStyle name="20% - 强调文字颜色 5 3 19 5 5" xfId="12592"/>
    <cellStyle name="20% - 强调文字颜色 5 3 19 5 6" xfId="12598"/>
    <cellStyle name="20% - 强调文字颜色 5 3 19 5 6 2" xfId="6860"/>
    <cellStyle name="20% - 强调文字颜色 5 3 19 5 6 3" xfId="2320"/>
    <cellStyle name="20% - 强调文字颜色 5 3 19 5 7" xfId="12604"/>
    <cellStyle name="20% - 强调文字颜色 5 3 19 5 8" xfId="12606"/>
    <cellStyle name="20% - 强调文字颜色 5 3 19 5 9" xfId="12609"/>
    <cellStyle name="20% - 强调文字颜色 5 3 19 6" xfId="12612"/>
    <cellStyle name="20% - 强调文字颜色 5 3 19 6 2" xfId="12615"/>
    <cellStyle name="20% - 强调文字颜色 5 3 19 6 2 2" xfId="12618"/>
    <cellStyle name="20% - 强调文字颜色 5 3 19 6 2 3" xfId="12627"/>
    <cellStyle name="20% - 强调文字颜色 5 3 19 6 3" xfId="12639"/>
    <cellStyle name="20% - 强调文字颜色 5 3 19 6 4" xfId="12646"/>
    <cellStyle name="20% - 强调文字颜色 5 3 19 6 5" xfId="12652"/>
    <cellStyle name="20% - 强调文字颜色 5 3 19 6 6" xfId="12658"/>
    <cellStyle name="20% - 强调文字颜色 5 3 19 6 7" xfId="12661"/>
    <cellStyle name="20% - 强调文字颜色 5 3 19 6 8" xfId="12664"/>
    <cellStyle name="20% - 强调文字颜色 5 3 19 7" xfId="12668"/>
    <cellStyle name="20% - 强调文字颜色 5 3 19 8" xfId="1788"/>
    <cellStyle name="20% - 强调文字颜色 5 3 19 9" xfId="2179"/>
    <cellStyle name="20% - 强调文字颜色 5 3 19 9 2" xfId="12670"/>
    <cellStyle name="20% - 强调文字颜色 5 3 19 9 3" xfId="12671"/>
    <cellStyle name="20% - 强调文字颜色 5 3 2" xfId="12672"/>
    <cellStyle name="20% - 强调文字颜色 5 3 2 10" xfId="12673"/>
    <cellStyle name="20% - 强调文字颜色 5 3 2 11" xfId="12674"/>
    <cellStyle name="20% - 强调文字颜色 5 3 2 12" xfId="12675"/>
    <cellStyle name="20% - 强调文字颜色 5 3 2 13" xfId="12677"/>
    <cellStyle name="20% - 强调文字颜色 5 3 2 14" xfId="12679"/>
    <cellStyle name="20% - 强调文字颜色 5 3 2 2" xfId="12680"/>
    <cellStyle name="20% - 强调文字颜色 5 3 2 3" xfId="12681"/>
    <cellStyle name="20% - 强调文字颜色 5 3 2 4" xfId="12682"/>
    <cellStyle name="20% - 强调文字颜色 5 3 2 5" xfId="12683"/>
    <cellStyle name="20% - 强调文字颜色 5 3 2 6" xfId="12684"/>
    <cellStyle name="20% - 强调文字颜色 5 3 2 7" xfId="12685"/>
    <cellStyle name="20% - 强调文字颜色 5 3 2 8" xfId="12689"/>
    <cellStyle name="20% - 强调文字颜色 5 3 2 9" xfId="5099"/>
    <cellStyle name="20% - 强调文字颜色 5 3 20" xfId="1376"/>
    <cellStyle name="20% - 强调文字颜色 5 3 20 10" xfId="12690"/>
    <cellStyle name="20% - 强调文字颜色 5 3 20 11" xfId="12691"/>
    <cellStyle name="20% - 强调文字颜色 5 3 20 12" xfId="8688"/>
    <cellStyle name="20% - 强调文字颜色 5 3 20 13" xfId="8701"/>
    <cellStyle name="20% - 强调文字颜色 5 3 20 14" xfId="8706"/>
    <cellStyle name="20% - 强调文字颜色 5 3 20 2" xfId="8845"/>
    <cellStyle name="20% - 强调文字颜色 5 3 20 3" xfId="6624"/>
    <cellStyle name="20% - 强调文字颜色 5 3 20 4" xfId="6631"/>
    <cellStyle name="20% - 强调文字颜色 5 3 20 5" xfId="6638"/>
    <cellStyle name="20% - 强调文字颜色 5 3 20 5 10" xfId="12693"/>
    <cellStyle name="20% - 强调文字颜色 5 3 20 5 11" xfId="12696"/>
    <cellStyle name="20% - 强调文字颜色 5 3 20 5 2" xfId="12699"/>
    <cellStyle name="20% - 强调文字颜色 5 3 20 5 2 2" xfId="12700"/>
    <cellStyle name="20% - 强调文字颜色 5 3 20 5 2 2 2" xfId="12667"/>
    <cellStyle name="20% - 强调文字颜色 5 3 20 5 2 2 3" xfId="1787"/>
    <cellStyle name="20% - 强调文字颜色 5 3 20 5 2 3" xfId="12701"/>
    <cellStyle name="20% - 强调文字颜色 5 3 20 5 2 4" xfId="12702"/>
    <cellStyle name="20% - 强调文字颜色 5 3 20 5 2 5" xfId="12703"/>
    <cellStyle name="20% - 强调文字颜色 5 3 20 5 2 6" xfId="12704"/>
    <cellStyle name="20% - 强调文字颜色 5 3 20 5 2 7" xfId="12706"/>
    <cellStyle name="20% - 强调文字颜色 5 3 20 5 2 8" xfId="12708"/>
    <cellStyle name="20% - 强调文字颜色 5 3 20 5 3" xfId="12711"/>
    <cellStyle name="20% - 强调文字颜色 5 3 20 5 4" xfId="12715"/>
    <cellStyle name="20% - 强调文字颜色 5 3 20 5 5" xfId="12719"/>
    <cellStyle name="20% - 强调文字颜色 5 3 20 5 6" xfId="12723"/>
    <cellStyle name="20% - 强调文字颜色 5 3 20 5 6 2" xfId="12725"/>
    <cellStyle name="20% - 强调文字颜色 5 3 20 5 6 3" xfId="12726"/>
    <cellStyle name="20% - 强调文字颜色 5 3 20 5 7" xfId="12729"/>
    <cellStyle name="20% - 强调文字颜色 5 3 20 5 8" xfId="12730"/>
    <cellStyle name="20% - 强调文字颜色 5 3 20 5 9" xfId="12731"/>
    <cellStyle name="20% - 强调文字颜色 5 3 20 6" xfId="6644"/>
    <cellStyle name="20% - 强调文字颜色 5 3 20 6 2" xfId="12737"/>
    <cellStyle name="20% - 强调文字颜色 5 3 20 6 2 2" xfId="12740"/>
    <cellStyle name="20% - 强调文字颜色 5 3 20 6 2 3" xfId="12743"/>
    <cellStyle name="20% - 强调文字颜色 5 3 20 6 3" xfId="12750"/>
    <cellStyle name="20% - 强调文字颜色 5 3 20 6 4" xfId="12756"/>
    <cellStyle name="20% - 强调文字颜色 5 3 20 6 5" xfId="12763"/>
    <cellStyle name="20% - 强调文字颜色 5 3 20 6 6" xfId="12773"/>
    <cellStyle name="20% - 强调文字颜色 5 3 20 6 7" xfId="12775"/>
    <cellStyle name="20% - 强调文字颜色 5 3 20 6 8" xfId="6731"/>
    <cellStyle name="20% - 强调文字颜色 5 3 20 7" xfId="6651"/>
    <cellStyle name="20% - 强调文字颜色 5 3 20 8" xfId="324"/>
    <cellStyle name="20% - 强调文字颜色 5 3 20 9" xfId="599"/>
    <cellStyle name="20% - 强调文字颜色 5 3 20 9 2" xfId="12777"/>
    <cellStyle name="20% - 强调文字颜色 5 3 20 9 3" xfId="12779"/>
    <cellStyle name="20% - 强调文字颜色 5 3 3" xfId="12780"/>
    <cellStyle name="20% - 强调文字颜色 5 3 3 10" xfId="12787"/>
    <cellStyle name="20% - 强调文字颜色 5 3 3 11" xfId="12792"/>
    <cellStyle name="20% - 强调文字颜色 5 3 3 12" xfId="12797"/>
    <cellStyle name="20% - 强调文字颜色 5 3 3 13" xfId="12802"/>
    <cellStyle name="20% - 强调文字颜色 5 3 3 14" xfId="12808"/>
    <cellStyle name="20% - 强调文字颜色 5 3 3 2" xfId="12810"/>
    <cellStyle name="20% - 强调文字颜色 5 3 3 3" xfId="12811"/>
    <cellStyle name="20% - 强调文字颜色 5 3 3 4" xfId="12812"/>
    <cellStyle name="20% - 强调文字颜色 5 3 3 5" xfId="12813"/>
    <cellStyle name="20% - 强调文字颜色 5 3 3 6" xfId="12815"/>
    <cellStyle name="20% - 强调文字颜色 5 3 3 7" xfId="12817"/>
    <cellStyle name="20% - 强调文字颜色 5 3 3 8" xfId="12820"/>
    <cellStyle name="20% - 强调文字颜色 5 3 3 9" xfId="12826"/>
    <cellStyle name="20% - 强调文字颜色 5 3 4" xfId="12828"/>
    <cellStyle name="20% - 强调文字颜色 5 3 4 10" xfId="12830"/>
    <cellStyle name="20% - 强调文字颜色 5 3 4 11" xfId="12831"/>
    <cellStyle name="20% - 强调文字颜色 5 3 4 12" xfId="12833"/>
    <cellStyle name="20% - 强调文字颜色 5 3 4 13" xfId="12836"/>
    <cellStyle name="20% - 强调文字颜色 5 3 4 14" xfId="12840"/>
    <cellStyle name="20% - 强调文字颜色 5 3 4 2" xfId="12843"/>
    <cellStyle name="20% - 强调文字颜色 5 3 4 3" xfId="12844"/>
    <cellStyle name="20% - 强调文字颜色 5 3 4 4" xfId="5323"/>
    <cellStyle name="20% - 强调文字颜色 5 3 4 5" xfId="5325"/>
    <cellStyle name="20% - 强调文字颜色 5 3 4 6" xfId="8806"/>
    <cellStyle name="20% - 强调文字颜色 5 3 4 7" xfId="12846"/>
    <cellStyle name="20% - 强调文字颜色 5 3 4 8" xfId="12848"/>
    <cellStyle name="20% - 强调文字颜色 5 3 4 9" xfId="12850"/>
    <cellStyle name="20% - 强调文字颜色 5 3 5" xfId="12851"/>
    <cellStyle name="20% - 强调文字颜色 5 3 6" xfId="12852"/>
    <cellStyle name="20% - 强调文字颜色 5 3 7" xfId="12853"/>
    <cellStyle name="20% - 强调文字颜色 5 3 8" xfId="12856"/>
    <cellStyle name="20% - 强调文字颜色 5 3 9" xfId="12858"/>
    <cellStyle name="20% - 强调文字颜色 5 4" xfId="10913"/>
    <cellStyle name="20% - 强调文字颜色 5 4 10" xfId="10925"/>
    <cellStyle name="20% - 强调文字颜色 5 4 11" xfId="10059"/>
    <cellStyle name="20% - 强调文字颜色 5 4 12" xfId="10067"/>
    <cellStyle name="20% - 强调文字颜色 5 4 13" xfId="2083"/>
    <cellStyle name="20% - 强调文字颜色 5 4 14" xfId="3120"/>
    <cellStyle name="20% - 强调文字颜色 5 4 15" xfId="10119"/>
    <cellStyle name="20% - 强调文字颜色 5 4 16" xfId="10135"/>
    <cellStyle name="20% - 强调文字颜色 5 4 17" xfId="10138"/>
    <cellStyle name="20% - 强调文字颜色 5 4 17 10" xfId="3380"/>
    <cellStyle name="20% - 强调文字颜色 5 4 17 11" xfId="3388"/>
    <cellStyle name="20% - 强调文字颜色 5 4 17 12" xfId="12860"/>
    <cellStyle name="20% - 强调文字颜色 5 4 17 13" xfId="12862"/>
    <cellStyle name="20% - 强调文字颜色 5 4 17 14" xfId="12865"/>
    <cellStyle name="20% - 强调文字颜色 5 4 17 2" xfId="12866"/>
    <cellStyle name="20% - 强调文字颜色 5 4 17 3" xfId="12868"/>
    <cellStyle name="20% - 强调文字颜色 5 4 17 4" xfId="12869"/>
    <cellStyle name="20% - 强调文字颜色 5 4 17 5" xfId="12870"/>
    <cellStyle name="20% - 强调文字颜色 5 4 17 5 10" xfId="12873"/>
    <cellStyle name="20% - 强调文字颜色 5 4 17 5 11" xfId="12875"/>
    <cellStyle name="20% - 强调文字颜色 5 4 17 5 2" xfId="12878"/>
    <cellStyle name="20% - 强调文字颜色 5 4 17 5 2 2" xfId="9561"/>
    <cellStyle name="20% - 强调文字颜色 5 4 17 5 2 2 2" xfId="9564"/>
    <cellStyle name="20% - 强调文字颜色 5 4 17 5 2 2 3" xfId="4707"/>
    <cellStyle name="20% - 强调文字颜色 5 4 17 5 2 3" xfId="9589"/>
    <cellStyle name="20% - 强调文字颜色 5 4 17 5 2 4" xfId="9596"/>
    <cellStyle name="20% - 强调文字颜色 5 4 17 5 2 5" xfId="9604"/>
    <cellStyle name="20% - 强调文字颜色 5 4 17 5 2 6" xfId="11519"/>
    <cellStyle name="20% - 强调文字颜色 5 4 17 5 2 7" xfId="12883"/>
    <cellStyle name="20% - 强调文字颜色 5 4 17 5 2 8" xfId="12888"/>
    <cellStyle name="20% - 强调文字颜色 5 4 17 5 3" xfId="12891"/>
    <cellStyle name="20% - 强调文字颜色 5 4 17 5 4" xfId="12894"/>
    <cellStyle name="20% - 强调文字颜色 5 4 17 5 5" xfId="12897"/>
    <cellStyle name="20% - 强调文字颜色 5 4 17 5 6" xfId="12902"/>
    <cellStyle name="20% - 强调文字颜色 5 4 17 5 6 2" xfId="6615"/>
    <cellStyle name="20% - 强调文字颜色 5 4 17 5 6 3" xfId="5964"/>
    <cellStyle name="20% - 强调文字颜色 5 4 17 5 7" xfId="12907"/>
    <cellStyle name="20% - 强调文字颜色 5 4 17 5 8" xfId="12909"/>
    <cellStyle name="20% - 强调文字颜色 5 4 17 5 9" xfId="12911"/>
    <cellStyle name="20% - 强调文字颜色 5 4 17 6" xfId="12914"/>
    <cellStyle name="20% - 强调文字颜色 5 4 17 6 2" xfId="12060"/>
    <cellStyle name="20% - 强调文字颜色 5 4 17 6 2 2" xfId="12919"/>
    <cellStyle name="20% - 强调文字颜色 5 4 17 6 2 3" xfId="12926"/>
    <cellStyle name="20% - 强调文字颜色 5 4 17 6 3" xfId="12066"/>
    <cellStyle name="20% - 强调文字颜色 5 4 17 6 4" xfId="12071"/>
    <cellStyle name="20% - 强调文字颜色 5 4 17 6 5" xfId="12077"/>
    <cellStyle name="20% - 强调文字颜色 5 4 17 6 6" xfId="2444"/>
    <cellStyle name="20% - 强调文字颜色 5 4 17 6 7" xfId="2447"/>
    <cellStyle name="20% - 强调文字颜色 5 4 17 6 8" xfId="12928"/>
    <cellStyle name="20% - 强调文字颜色 5 4 17 7" xfId="12930"/>
    <cellStyle name="20% - 强调文字颜色 5 4 17 8" xfId="12931"/>
    <cellStyle name="20% - 强调文字颜色 5 4 17 9" xfId="12933"/>
    <cellStyle name="20% - 强调文字颜色 5 4 17 9 2" xfId="12935"/>
    <cellStyle name="20% - 强调文字颜色 5 4 17 9 3" xfId="12937"/>
    <cellStyle name="20% - 强调文字颜色 5 4 18" xfId="10140"/>
    <cellStyle name="20% - 强调文字颜色 5 4 18 10" xfId="12941"/>
    <cellStyle name="20% - 强调文字颜色 5 4 18 11" xfId="12943"/>
    <cellStyle name="20% - 强调文字颜色 5 4 18 12" xfId="12948"/>
    <cellStyle name="20% - 强调文字颜色 5 4 18 13" xfId="12952"/>
    <cellStyle name="20% - 强调文字颜色 5 4 18 14" xfId="12956"/>
    <cellStyle name="20% - 强调文字颜色 5 4 18 2" xfId="7281"/>
    <cellStyle name="20% - 强调文字颜色 5 4 18 3" xfId="10144"/>
    <cellStyle name="20% - 强调文字颜色 5 4 18 4" xfId="12960"/>
    <cellStyle name="20% - 强调文字颜色 5 4 18 5" xfId="12962"/>
    <cellStyle name="20% - 强调文字颜色 5 4 18 5 10" xfId="12965"/>
    <cellStyle name="20% - 强调文字颜色 5 4 18 5 11" xfId="12968"/>
    <cellStyle name="20% - 强调文字颜色 5 4 18 5 2" xfId="12972"/>
    <cellStyle name="20% - 强调文字颜色 5 4 18 5 2 2" xfId="12973"/>
    <cellStyle name="20% - 强调文字颜色 5 4 18 5 2 2 2" xfId="12974"/>
    <cellStyle name="20% - 强调文字颜色 5 4 18 5 2 2 3" xfId="10850"/>
    <cellStyle name="20% - 强调文字颜色 5 4 18 5 2 3" xfId="12975"/>
    <cellStyle name="20% - 强调文字颜色 5 4 18 5 2 4" xfId="12976"/>
    <cellStyle name="20% - 强调文字颜色 5 4 18 5 2 5" xfId="12980"/>
    <cellStyle name="20% - 强调文字颜色 5 4 18 5 2 6" xfId="12985"/>
    <cellStyle name="20% - 强调文字颜色 5 4 18 5 2 7" xfId="12990"/>
    <cellStyle name="20% - 强调文字颜色 5 4 18 5 2 8" xfId="5675"/>
    <cellStyle name="20% - 强调文字颜色 5 4 18 5 3" xfId="681"/>
    <cellStyle name="20% - 强调文字颜色 5 4 18 5 4" xfId="713"/>
    <cellStyle name="20% - 强调文字颜色 5 4 18 5 5" xfId="12997"/>
    <cellStyle name="20% - 强调文字颜色 5 4 18 5 6" xfId="13004"/>
    <cellStyle name="20% - 强调文字颜色 5 4 18 5 6 2" xfId="8977"/>
    <cellStyle name="20% - 强调文字颜色 5 4 18 5 6 3" xfId="8983"/>
    <cellStyle name="20% - 强调文字颜色 5 4 18 5 7" xfId="13011"/>
    <cellStyle name="20% - 强调文字颜色 5 4 18 5 8" xfId="13024"/>
    <cellStyle name="20% - 强调文字颜色 5 4 18 5 9" xfId="13026"/>
    <cellStyle name="20% - 强调文字颜色 5 4 18 6" xfId="13030"/>
    <cellStyle name="20% - 强调文字颜色 5 4 18 6 2" xfId="12147"/>
    <cellStyle name="20% - 强调文字颜色 5 4 18 6 2 2" xfId="13031"/>
    <cellStyle name="20% - 强调文字颜色 5 4 18 6 2 3" xfId="13033"/>
    <cellStyle name="20% - 强调文字颜色 5 4 18 6 3" xfId="12154"/>
    <cellStyle name="20% - 强调文字颜色 5 4 18 6 4" xfId="12160"/>
    <cellStyle name="20% - 强调文字颜色 5 4 18 6 5" xfId="12168"/>
    <cellStyle name="20% - 强调文字颜色 5 4 18 6 6" xfId="12177"/>
    <cellStyle name="20% - 强调文字颜色 5 4 18 6 7" xfId="12186"/>
    <cellStyle name="20% - 强调文字颜色 5 4 18 6 8" xfId="13037"/>
    <cellStyle name="20% - 强调文字颜色 5 4 18 7" xfId="13042"/>
    <cellStyle name="20% - 强调文字颜色 5 4 18 8" xfId="13044"/>
    <cellStyle name="20% - 强调文字颜色 5 4 18 9" xfId="819"/>
    <cellStyle name="20% - 强调文字颜色 5 4 18 9 2" xfId="824"/>
    <cellStyle name="20% - 强调文字颜色 5 4 18 9 3" xfId="857"/>
    <cellStyle name="20% - 强调文字颜色 5 4 19" xfId="12240"/>
    <cellStyle name="20% - 强调文字颜色 5 4 19 10" xfId="13046"/>
    <cellStyle name="20% - 强调文字颜色 5 4 19 11" xfId="13048"/>
    <cellStyle name="20% - 强调文字颜色 5 4 19 12" xfId="13049"/>
    <cellStyle name="20% - 强调文字颜色 5 4 19 13" xfId="13050"/>
    <cellStyle name="20% - 强调文字颜色 5 4 19 14" xfId="13053"/>
    <cellStyle name="20% - 强调文字颜色 5 4 19 2" xfId="13056"/>
    <cellStyle name="20% - 强调文字颜色 5 4 19 3" xfId="13061"/>
    <cellStyle name="20% - 强调文字颜色 5 4 19 4" xfId="13066"/>
    <cellStyle name="20% - 强调文字颜色 5 4 19 5" xfId="13070"/>
    <cellStyle name="20% - 强调文字颜色 5 4 19 5 10" xfId="13071"/>
    <cellStyle name="20% - 强调文字颜色 5 4 19 5 11" xfId="13072"/>
    <cellStyle name="20% - 强调文字颜色 5 4 19 5 2" xfId="13076"/>
    <cellStyle name="20% - 强调文字颜色 5 4 19 5 2 2" xfId="13077"/>
    <cellStyle name="20% - 强调文字颜色 5 4 19 5 2 2 2" xfId="13078"/>
    <cellStyle name="20% - 强调文字颜色 5 4 19 5 2 2 3" xfId="13079"/>
    <cellStyle name="20% - 强调文字颜色 5 4 19 5 2 3" xfId="13082"/>
    <cellStyle name="20% - 强调文字颜色 5 4 19 5 2 4" xfId="13083"/>
    <cellStyle name="20% - 强调文字颜色 5 4 19 5 2 5" xfId="13087"/>
    <cellStyle name="20% - 强调文字颜色 5 4 19 5 2 6" xfId="13091"/>
    <cellStyle name="20% - 强调文字颜色 5 4 19 5 2 7" xfId="13095"/>
    <cellStyle name="20% - 强调文字颜色 5 4 19 5 2 8" xfId="13098"/>
    <cellStyle name="20% - 强调文字颜色 5 4 19 5 3" xfId="13101"/>
    <cellStyle name="20% - 强调文字颜色 5 4 19 5 4" xfId="13104"/>
    <cellStyle name="20% - 强调文字颜色 5 4 19 5 5" xfId="13108"/>
    <cellStyle name="20% - 强调文字颜色 5 4 19 5 6" xfId="13111"/>
    <cellStyle name="20% - 强调文字颜色 5 4 19 5 6 2" xfId="9330"/>
    <cellStyle name="20% - 强调文字颜色 5 4 19 5 6 3" xfId="9338"/>
    <cellStyle name="20% - 强调文字颜色 5 4 19 5 7" xfId="1247"/>
    <cellStyle name="20% - 强调文字颜色 5 4 19 5 8" xfId="1258"/>
    <cellStyle name="20% - 强调文字颜色 5 4 19 5 9" xfId="13114"/>
    <cellStyle name="20% - 强调文字颜色 5 4 19 6" xfId="13118"/>
    <cellStyle name="20% - 强调文字颜色 5 4 19 6 2" xfId="13122"/>
    <cellStyle name="20% - 强调文字颜色 5 4 19 6 2 2" xfId="13124"/>
    <cellStyle name="20% - 强调文字颜色 5 4 19 6 2 3" xfId="13127"/>
    <cellStyle name="20% - 强调文字颜色 5 4 19 6 3" xfId="13131"/>
    <cellStyle name="20% - 强调文字颜色 5 4 19 6 4" xfId="13136"/>
    <cellStyle name="20% - 强调文字颜色 5 4 19 6 5" xfId="13141"/>
    <cellStyle name="20% - 强调文字颜色 5 4 19 6 6" xfId="13146"/>
    <cellStyle name="20% - 强调文字颜色 5 4 19 6 7" xfId="13149"/>
    <cellStyle name="20% - 强调文字颜色 5 4 19 6 8" xfId="13151"/>
    <cellStyle name="20% - 强调文字颜色 5 4 19 7" xfId="6515"/>
    <cellStyle name="20% - 强调文字颜色 5 4 19 8" xfId="6522"/>
    <cellStyle name="20% - 强调文字颜色 5 4 19 9" xfId="1096"/>
    <cellStyle name="20% - 强调文字颜色 5 4 19 9 2" xfId="1117"/>
    <cellStyle name="20% - 强调文字颜色 5 4 19 9 3" xfId="1139"/>
    <cellStyle name="20% - 强调文字颜色 5 4 2" xfId="9778"/>
    <cellStyle name="20% - 强调文字颜色 5 4 20" xfId="10120"/>
    <cellStyle name="20% - 强调文字颜色 5 4 20 10" xfId="11163"/>
    <cellStyle name="20% - 强调文字颜色 5 4 20 11" xfId="11166"/>
    <cellStyle name="20% - 强调文字颜色 5 4 20 12" xfId="13153"/>
    <cellStyle name="20% - 强调文字颜色 5 4 20 13" xfId="13154"/>
    <cellStyle name="20% - 强调文字颜色 5 4 20 14" xfId="13155"/>
    <cellStyle name="20% - 强调文字颜色 5 4 20 2" xfId="10126"/>
    <cellStyle name="20% - 强调文字颜色 5 4 20 3" xfId="7376"/>
    <cellStyle name="20% - 强调文字颜色 5 4 20 4" xfId="7382"/>
    <cellStyle name="20% - 强调文字颜色 5 4 20 5" xfId="7388"/>
    <cellStyle name="20% - 强调文字颜色 5 4 20 5 10" xfId="7577"/>
    <cellStyle name="20% - 强调文字颜色 5 4 20 5 11" xfId="7579"/>
    <cellStyle name="20% - 强调文字颜色 5 4 20 5 2" xfId="13158"/>
    <cellStyle name="20% - 强调文字颜色 5 4 20 5 2 2" xfId="13160"/>
    <cellStyle name="20% - 强调文字颜色 5 4 20 5 2 2 2" xfId="3799"/>
    <cellStyle name="20% - 强调文字颜色 5 4 20 5 2 2 3" xfId="3804"/>
    <cellStyle name="20% - 强调文字颜色 5 4 20 5 2 3" xfId="13162"/>
    <cellStyle name="20% - 强调文字颜色 5 4 20 5 2 4" xfId="13165"/>
    <cellStyle name="20% - 强调文字颜色 5 4 20 5 2 5" xfId="13170"/>
    <cellStyle name="20% - 强调文字颜色 5 4 20 5 2 6" xfId="13177"/>
    <cellStyle name="20% - 强调文字颜色 5 4 20 5 2 7" xfId="13183"/>
    <cellStyle name="20% - 强调文字颜色 5 4 20 5 2 8" xfId="5787"/>
    <cellStyle name="20% - 强调文字颜色 5 4 20 5 3" xfId="13186"/>
    <cellStyle name="20% - 强调文字颜色 5 4 20 5 4" xfId="13190"/>
    <cellStyle name="20% - 强调文字颜色 5 4 20 5 5" xfId="13193"/>
    <cellStyle name="20% - 强调文字颜色 5 4 20 5 6" xfId="9681"/>
    <cellStyle name="20% - 强调文字颜色 5 4 20 5 6 2" xfId="13194"/>
    <cellStyle name="20% - 强调文字颜色 5 4 20 5 6 3" xfId="13196"/>
    <cellStyle name="20% - 强调文字颜色 5 4 20 5 7" xfId="9687"/>
    <cellStyle name="20% - 强调文字颜色 5 4 20 5 8" xfId="13200"/>
    <cellStyle name="20% - 强调文字颜色 5 4 20 5 9" xfId="13204"/>
    <cellStyle name="20% - 强调文字颜色 5 4 20 6" xfId="765"/>
    <cellStyle name="20% - 强调文字颜色 5 4 20 6 2" xfId="13209"/>
    <cellStyle name="20% - 强调文字颜色 5 4 20 6 2 2" xfId="13217"/>
    <cellStyle name="20% - 强调文字颜色 5 4 20 6 2 3" xfId="13226"/>
    <cellStyle name="20% - 强调文字颜色 5 4 20 6 3" xfId="13231"/>
    <cellStyle name="20% - 强调文字颜色 5 4 20 6 4" xfId="13237"/>
    <cellStyle name="20% - 强调文字颜色 5 4 20 6 5" xfId="13240"/>
    <cellStyle name="20% - 强调文字颜色 5 4 20 6 6" xfId="13243"/>
    <cellStyle name="20% - 强调文字颜色 5 4 20 6 7" xfId="13244"/>
    <cellStyle name="20% - 强调文字颜色 5 4 20 6 8" xfId="8308"/>
    <cellStyle name="20% - 强调文字颜色 5 4 20 7" xfId="489"/>
    <cellStyle name="20% - 强调文字颜色 5 4 20 8" xfId="10128"/>
    <cellStyle name="20% - 强调文字颜色 5 4 20 9" xfId="11477"/>
    <cellStyle name="20% - 强调文字颜色 5 4 20 9 2" xfId="13247"/>
    <cellStyle name="20% - 强调文字颜色 5 4 20 9 3" xfId="13251"/>
    <cellStyle name="20% - 强调文字颜色 5 4 3" xfId="9793"/>
    <cellStyle name="20% - 强调文字颜色 5 4 4" xfId="9517"/>
    <cellStyle name="20% - 强调文字颜色 5 4 5" xfId="9530"/>
    <cellStyle name="20% - 强调文字颜色 5 4 6" xfId="9806"/>
    <cellStyle name="20% - 强调文字颜色 5 4 7" xfId="10966"/>
    <cellStyle name="20% - 强调文字颜色 5 4 8" xfId="10971"/>
    <cellStyle name="20% - 强调文字颜色 5 4 9" xfId="10976"/>
    <cellStyle name="20% - 强调文字颜色 5 5" xfId="1165"/>
    <cellStyle name="20% - 强调文字颜色 5 5 10" xfId="12552"/>
    <cellStyle name="20% - 强调文字颜色 5 5 11" xfId="12564"/>
    <cellStyle name="20% - 强调文字颜色 5 5 12" xfId="12569"/>
    <cellStyle name="20% - 强调文字颜色 5 5 13" xfId="12573"/>
    <cellStyle name="20% - 强调文字颜色 5 5 14" xfId="12578"/>
    <cellStyle name="20% - 强调文字颜色 5 5 2" xfId="10981"/>
    <cellStyle name="20% - 强调文字颜色 5 5 3" xfId="10991"/>
    <cellStyle name="20% - 强调文字颜色 5 5 4" xfId="11001"/>
    <cellStyle name="20% - 强调文字颜色 5 5 5" xfId="11012"/>
    <cellStyle name="20% - 强调文字颜色 5 5 6" xfId="11021"/>
    <cellStyle name="20% - 强调文字颜色 5 5 7" xfId="9446"/>
    <cellStyle name="20% - 强调文字颜色 5 5 8" xfId="9456"/>
    <cellStyle name="20% - 强调文字颜色 5 5 9" xfId="13252"/>
    <cellStyle name="20% - 强调文字颜色 5 6" xfId="1188"/>
    <cellStyle name="20% - 强调文字颜色 5 6 10" xfId="3430"/>
    <cellStyle name="20% - 强调文字颜色 5 6 11" xfId="13256"/>
    <cellStyle name="20% - 强调文字颜色 5 6 12" xfId="13258"/>
    <cellStyle name="20% - 强调文字颜色 5 6 13" xfId="11366"/>
    <cellStyle name="20% - 强调文字颜色 5 6 14" xfId="7103"/>
    <cellStyle name="20% - 强调文字颜色 5 6 2" xfId="13266"/>
    <cellStyle name="20% - 强调文字颜色 5 6 3" xfId="11202"/>
    <cellStyle name="20% - 强调文字颜色 5 6 4" xfId="11209"/>
    <cellStyle name="20% - 强调文字颜色 5 6 5" xfId="11213"/>
    <cellStyle name="20% - 强调文字颜色 5 6 6" xfId="11216"/>
    <cellStyle name="20% - 强调文字颜色 5 6 7" xfId="11220"/>
    <cellStyle name="20% - 强调文字颜色 5 6 8" xfId="13268"/>
    <cellStyle name="20% - 强调文字颜色 5 6 9" xfId="13273"/>
    <cellStyle name="20% - 强调文字颜色 5 7" xfId="11034"/>
    <cellStyle name="20% - 强调文字颜色 5 8" xfId="8080"/>
    <cellStyle name="20% - 强调文字颜色 5 9" xfId="13277"/>
    <cellStyle name="20% - 强调文字颜色 6 10" xfId="13281"/>
    <cellStyle name="20% - 强调文字颜色 6 11" xfId="13285"/>
    <cellStyle name="20% - 强调文字颜色 6 12" xfId="13288"/>
    <cellStyle name="20% - 强调文字颜色 6 12 10" xfId="509"/>
    <cellStyle name="20% - 强调文字颜色 6 12 11" xfId="550"/>
    <cellStyle name="20% - 强调文字颜色 6 12 12" xfId="1222"/>
    <cellStyle name="20% - 强调文字颜色 6 12 13" xfId="1233"/>
    <cellStyle name="20% - 强调文字颜色 6 12 14" xfId="7769"/>
    <cellStyle name="20% - 强调文字颜色 6 12 2" xfId="13293"/>
    <cellStyle name="20% - 强调文字颜色 6 12 3" xfId="352"/>
    <cellStyle name="20% - 强调文字颜色 6 12 4" xfId="311"/>
    <cellStyle name="20% - 强调文字颜色 6 12 5" xfId="353"/>
    <cellStyle name="20% - 强调文字颜色 6 12 5 10" xfId="7877"/>
    <cellStyle name="20% - 强调文字颜色 6 12 5 11" xfId="7884"/>
    <cellStyle name="20% - 强调文字颜色 6 12 5 2" xfId="13296"/>
    <cellStyle name="20% - 强调文字颜色 6 12 5 2 2" xfId="8050"/>
    <cellStyle name="20% - 强调文字颜色 6 12 5 2 2 2" xfId="13301"/>
    <cellStyle name="20% - 强调文字颜色 6 12 5 2 2 3" xfId="13302"/>
    <cellStyle name="20% - 强调文字颜色 6 12 5 2 3" xfId="8060"/>
    <cellStyle name="20% - 强调文字颜色 6 12 5 2 4" xfId="9885"/>
    <cellStyle name="20% - 强调文字颜色 6 12 5 2 5" xfId="8778"/>
    <cellStyle name="20% - 强调文字颜色 6 12 5 2 6" xfId="8790"/>
    <cellStyle name="20% - 强调文字颜色 6 12 5 2 7" xfId="8794"/>
    <cellStyle name="20% - 强调文字颜色 6 12 5 2 8" xfId="8801"/>
    <cellStyle name="20% - 强调文字颜色 6 12 5 3" xfId="9623"/>
    <cellStyle name="20% - 强调文字颜色 6 12 5 4" xfId="9628"/>
    <cellStyle name="20% - 强调文字颜色 6 12 5 5" xfId="9633"/>
    <cellStyle name="20% - 强调文字颜色 6 12 5 6" xfId="9637"/>
    <cellStyle name="20% - 强调文字颜色 6 12 5 6 2" xfId="8209"/>
    <cellStyle name="20% - 强调文字颜色 6 12 5 6 3" xfId="8217"/>
    <cellStyle name="20% - 强调文字颜色 6 12 5 7" xfId="9642"/>
    <cellStyle name="20% - 强调文字颜色 6 12 5 8" xfId="13313"/>
    <cellStyle name="20% - 强调文字颜色 6 12 5 9" xfId="13318"/>
    <cellStyle name="20% - 强调文字颜色 6 12 6" xfId="359"/>
    <cellStyle name="20% - 强调文字颜色 6 12 6 2" xfId="13321"/>
    <cellStyle name="20% - 强调文字颜色 6 12 6 2 2" xfId="13324"/>
    <cellStyle name="20% - 强调文字颜色 6 12 6 2 3" xfId="13328"/>
    <cellStyle name="20% - 强调文字颜色 6 12 6 3" xfId="13331"/>
    <cellStyle name="20% - 强调文字颜色 6 12 6 4" xfId="13335"/>
    <cellStyle name="20% - 强调文字颜色 6 12 6 5" xfId="13337"/>
    <cellStyle name="20% - 强调文字颜色 6 12 6 6" xfId="13338"/>
    <cellStyle name="20% - 强调文字颜色 6 12 6 7" xfId="13340"/>
    <cellStyle name="20% - 强调文字颜色 6 12 6 8" xfId="816"/>
    <cellStyle name="20% - 强调文字颜色 6 12 7" xfId="13345"/>
    <cellStyle name="20% - 强调文字颜色 6 12 8" xfId="9212"/>
    <cellStyle name="20% - 强调文字颜色 6 12 9" xfId="9218"/>
    <cellStyle name="20% - 强调文字颜色 6 12 9 2" xfId="13350"/>
    <cellStyle name="20% - 强调文字颜色 6 12 9 3" xfId="13355"/>
    <cellStyle name="20% - 强调文字颜色 6 13" xfId="13358"/>
    <cellStyle name="20% - 强调文字颜色 6 14" xfId="13360"/>
    <cellStyle name="20% - 强调文字颜色 6 15" xfId="13362"/>
    <cellStyle name="20% - 强调文字颜色 6 16" xfId="13368"/>
    <cellStyle name="20% - 强调文字颜色 6 16 10" xfId="13374"/>
    <cellStyle name="20% - 强调文字颜色 6 16 11" xfId="13378"/>
    <cellStyle name="20% - 强调文字颜色 6 16 12" xfId="13384"/>
    <cellStyle name="20% - 强调文字颜色 6 16 13" xfId="13391"/>
    <cellStyle name="20% - 强调文字颜色 6 16 14" xfId="13395"/>
    <cellStyle name="20% - 强调文字颜色 6 16 2" xfId="13400"/>
    <cellStyle name="20% - 强调文字颜色 6 16 3" xfId="13404"/>
    <cellStyle name="20% - 强调文字颜色 6 16 4" xfId="13409"/>
    <cellStyle name="20% - 强调文字颜色 6 16 5" xfId="13415"/>
    <cellStyle name="20% - 强调文字颜色 6 16 5 10" xfId="7599"/>
    <cellStyle name="20% - 强调文字颜色 6 16 5 11" xfId="7929"/>
    <cellStyle name="20% - 强调文字颜色 6 16 5 2" xfId="7928"/>
    <cellStyle name="20% - 强调文字颜色 6 16 5 2 2" xfId="13421"/>
    <cellStyle name="20% - 强调文字颜色 6 16 5 2 2 2" xfId="13426"/>
    <cellStyle name="20% - 强调文字颜色 6 16 5 2 2 3" xfId="9036"/>
    <cellStyle name="20% - 强调文字颜色 6 16 5 2 3" xfId="7094"/>
    <cellStyle name="20% - 强调文字颜色 6 16 5 2 4" xfId="7287"/>
    <cellStyle name="20% - 强调文字颜色 6 16 5 2 5" xfId="7367"/>
    <cellStyle name="20% - 强调文字颜色 6 16 5 2 6" xfId="7436"/>
    <cellStyle name="20% - 强调文字颜色 6 16 5 2 7" xfId="2382"/>
    <cellStyle name="20% - 强调文字颜色 6 16 5 2 8" xfId="2614"/>
    <cellStyle name="20% - 强调文字颜色 6 16 5 3" xfId="5904"/>
    <cellStyle name="20% - 强调文字颜色 6 16 5 4" xfId="5908"/>
    <cellStyle name="20% - 强调文字颜色 6 16 5 5" xfId="5913"/>
    <cellStyle name="20% - 强调文字颜色 6 16 5 6" xfId="272"/>
    <cellStyle name="20% - 强调文字颜色 6 16 5 6 2" xfId="3596"/>
    <cellStyle name="20% - 强调文字颜色 6 16 5 6 3" xfId="3608"/>
    <cellStyle name="20% - 强调文字颜色 6 16 5 7" xfId="5883"/>
    <cellStyle name="20% - 强调文字颜色 6 16 5 8" xfId="5889"/>
    <cellStyle name="20% - 强调文字颜色 6 16 5 9" xfId="5892"/>
    <cellStyle name="20% - 强调文字颜色 6 16 6" xfId="13431"/>
    <cellStyle name="20% - 强调文字颜色 6 16 6 2" xfId="7960"/>
    <cellStyle name="20% - 强调文字颜色 6 16 6 2 2" xfId="13433"/>
    <cellStyle name="20% - 强调文字颜色 6 16 6 2 3" xfId="9619"/>
    <cellStyle name="20% - 强调文字颜色 6 16 6 3" xfId="7967"/>
    <cellStyle name="20% - 强调文字颜色 6 16 6 4" xfId="7974"/>
    <cellStyle name="20% - 强调文字颜色 6 16 6 5" xfId="7981"/>
    <cellStyle name="20% - 强调文字颜色 6 16 6 6" xfId="7990"/>
    <cellStyle name="20% - 强调文字颜色 6 16 6 7" xfId="10565"/>
    <cellStyle name="20% - 强调文字颜色 6 16 6 8" xfId="13435"/>
    <cellStyle name="20% - 强调文字颜色 6 16 7" xfId="13437"/>
    <cellStyle name="20% - 强调文字颜色 6 16 8" xfId="13440"/>
    <cellStyle name="20% - 强调文字颜色 6 16 9" xfId="13443"/>
    <cellStyle name="20% - 强调文字颜色 6 16 9 2" xfId="13445"/>
    <cellStyle name="20% - 强调文字颜色 6 16 9 3" xfId="13448"/>
    <cellStyle name="20% - 强调文字颜色 6 17" xfId="13453"/>
    <cellStyle name="20% - 强调文字颜色 6 17 10" xfId="7493"/>
    <cellStyle name="20% - 强调文字颜色 6 17 11" xfId="7499"/>
    <cellStyle name="20% - 强调文字颜色 6 17 12" xfId="7503"/>
    <cellStyle name="20% - 强调文字颜色 6 17 13" xfId="7525"/>
    <cellStyle name="20% - 强调文字颜色 6 17 14" xfId="7513"/>
    <cellStyle name="20% - 强调文字颜色 6 17 2" xfId="13454"/>
    <cellStyle name="20% - 强调文字颜色 6 17 3" xfId="13455"/>
    <cellStyle name="20% - 强调文字颜色 6 17 4" xfId="13456"/>
    <cellStyle name="20% - 强调文字颜色 6 17 5" xfId="13457"/>
    <cellStyle name="20% - 强调文字颜色 6 17 5 10" xfId="10718"/>
    <cellStyle name="20% - 强调文字颜色 6 17 5 11" xfId="10721"/>
    <cellStyle name="20% - 强调文字颜色 6 17 5 2" xfId="9420"/>
    <cellStyle name="20% - 强调文字颜色 6 17 5 2 2" xfId="1528"/>
    <cellStyle name="20% - 强调文字颜色 6 17 5 2 2 2" xfId="13458"/>
    <cellStyle name="20% - 强调文字颜色 6 17 5 2 2 3" xfId="13461"/>
    <cellStyle name="20% - 强调文字颜色 6 17 5 2 3" xfId="1537"/>
    <cellStyle name="20% - 强调文字颜色 6 17 5 2 4" xfId="1544"/>
    <cellStyle name="20% - 强调文字颜色 6 17 5 2 5" xfId="1555"/>
    <cellStyle name="20% - 强调文字颜色 6 17 5 2 6" xfId="1562"/>
    <cellStyle name="20% - 强调文字颜色 6 17 5 2 7" xfId="10805"/>
    <cellStyle name="20% - 强调文字颜色 6 17 5 2 8" xfId="10808"/>
    <cellStyle name="20% - 强调文字颜色 6 17 5 3" xfId="10241"/>
    <cellStyle name="20% - 强调文字颜色 6 17 5 4" xfId="10247"/>
    <cellStyle name="20% - 强调文字颜色 6 17 5 5" xfId="10254"/>
    <cellStyle name="20% - 强调文字颜色 6 17 5 6" xfId="10261"/>
    <cellStyle name="20% - 强调文字颜色 6 17 5 6 2" xfId="13470"/>
    <cellStyle name="20% - 强调文字颜色 6 17 5 6 3" xfId="13476"/>
    <cellStyle name="20% - 强调文字颜色 6 17 5 7" xfId="13479"/>
    <cellStyle name="20% - 强调文字颜色 6 17 5 8" xfId="6456"/>
    <cellStyle name="20% - 强调文字颜色 6 17 5 9" xfId="6460"/>
    <cellStyle name="20% - 强调文字颜色 6 17 6" xfId="13480"/>
    <cellStyle name="20% - 强调文字颜色 6 17 6 2" xfId="10289"/>
    <cellStyle name="20% - 强调文字颜色 6 17 6 2 2" xfId="13483"/>
    <cellStyle name="20% - 强调文字颜色 6 17 6 2 3" xfId="13490"/>
    <cellStyle name="20% - 强调文字颜色 6 17 6 3" xfId="10296"/>
    <cellStyle name="20% - 强调文字颜色 6 17 6 4" xfId="10300"/>
    <cellStyle name="20% - 强调文字颜色 6 17 6 5" xfId="10306"/>
    <cellStyle name="20% - 强调文字颜色 6 17 6 6" xfId="10314"/>
    <cellStyle name="20% - 强调文字颜色 6 17 6 7" xfId="10601"/>
    <cellStyle name="20% - 强调文字颜色 6 17 6 8" xfId="13493"/>
    <cellStyle name="20% - 强调文字颜色 6 17 7" xfId="13494"/>
    <cellStyle name="20% - 强调文字颜色 6 17 8" xfId="13495"/>
    <cellStyle name="20% - 强调文字颜色 6 17 9" xfId="13496"/>
    <cellStyle name="20% - 强调文字颜色 6 17 9 2" xfId="13499"/>
    <cellStyle name="20% - 强调文字颜色 6 17 9 3" xfId="13501"/>
    <cellStyle name="20% - 强调文字颜色 6 18" xfId="13505"/>
    <cellStyle name="20% - 强调文字颜色 6 18 10" xfId="13506"/>
    <cellStyle name="20% - 强调文字颜色 6 18 11" xfId="10929"/>
    <cellStyle name="20% - 强调文字颜色 6 18 12" xfId="10935"/>
    <cellStyle name="20% - 强调文字颜色 6 18 13" xfId="10939"/>
    <cellStyle name="20% - 强调文字颜色 6 18 14" xfId="10945"/>
    <cellStyle name="20% - 强调文字颜色 6 18 2" xfId="13508"/>
    <cellStyle name="20% - 强调文字颜色 6 18 3" xfId="13509"/>
    <cellStyle name="20% - 强调文字颜色 6 18 4" xfId="13513"/>
    <cellStyle name="20% - 强调文字颜色 6 18 5" xfId="13517"/>
    <cellStyle name="20% - 强调文字颜色 6 18 5 10" xfId="11292"/>
    <cellStyle name="20% - 强调文字颜色 6 18 5 11" xfId="11296"/>
    <cellStyle name="20% - 强调文字颜色 6 18 5 2" xfId="9578"/>
    <cellStyle name="20% - 强调文字颜色 6 18 5 2 2" xfId="612"/>
    <cellStyle name="20% - 强调文字颜色 6 18 5 2 2 2" xfId="2810"/>
    <cellStyle name="20% - 强调文字颜色 6 18 5 2 2 3" xfId="2818"/>
    <cellStyle name="20% - 强调文字颜色 6 18 5 2 3" xfId="648"/>
    <cellStyle name="20% - 强调文字颜色 6 18 5 2 4" xfId="2097"/>
    <cellStyle name="20% - 强调文字颜色 6 18 5 2 5" xfId="2101"/>
    <cellStyle name="20% - 强调文字颜色 6 18 5 2 6" xfId="2106"/>
    <cellStyle name="20% - 强调文字颜色 6 18 5 2 7" xfId="13519"/>
    <cellStyle name="20% - 强调文字颜色 6 18 5 2 8" xfId="7743"/>
    <cellStyle name="20% - 强调文字颜色 6 18 5 3" xfId="11338"/>
    <cellStyle name="20% - 强调文字颜色 6 18 5 4" xfId="11343"/>
    <cellStyle name="20% - 强调文字颜色 6 18 5 5" xfId="11350"/>
    <cellStyle name="20% - 强调文字颜色 6 18 5 6" xfId="10813"/>
    <cellStyle name="20% - 强调文字颜色 6 18 5 6 2" xfId="13521"/>
    <cellStyle name="20% - 强调文字颜色 6 18 5 6 3" xfId="13522"/>
    <cellStyle name="20% - 强调文字颜色 6 18 5 7" xfId="13523"/>
    <cellStyle name="20% - 强调文字颜色 6 18 5 8" xfId="13524"/>
    <cellStyle name="20% - 强调文字颜色 6 18 5 9" xfId="13525"/>
    <cellStyle name="20% - 强调文字颜色 6 18 6" xfId="13526"/>
    <cellStyle name="20% - 强调文字颜色 6 18 6 2" xfId="4485"/>
    <cellStyle name="20% - 强调文字颜色 6 18 6 2 2" xfId="13528"/>
    <cellStyle name="20% - 强调文字颜色 6 18 6 2 3" xfId="13531"/>
    <cellStyle name="20% - 强调文字颜色 6 18 6 3" xfId="4499"/>
    <cellStyle name="20% - 强调文字颜色 6 18 6 4" xfId="4508"/>
    <cellStyle name="20% - 强调文字颜色 6 18 6 5" xfId="11655"/>
    <cellStyle name="20% - 强调文字颜色 6 18 6 6" xfId="11658"/>
    <cellStyle name="20% - 强调文字颜色 6 18 6 7" xfId="10411"/>
    <cellStyle name="20% - 强调文字颜色 6 18 6 8" xfId="10424"/>
    <cellStyle name="20% - 强调文字颜色 6 18 7" xfId="13532"/>
    <cellStyle name="20% - 强调文字颜色 6 18 8" xfId="13534"/>
    <cellStyle name="20% - 强调文字颜色 6 18 9" xfId="10354"/>
    <cellStyle name="20% - 强调文字颜色 6 18 9 2" xfId="9918"/>
    <cellStyle name="20% - 强调文字颜色 6 18 9 3" xfId="10357"/>
    <cellStyle name="20% - 强调文字颜色 6 19" xfId="13541"/>
    <cellStyle name="20% - 强调文字颜色 6 2" xfId="6588"/>
    <cellStyle name="20% - 强调文字颜色 6 2 10" xfId="12239"/>
    <cellStyle name="20% - 强调文字颜色 6 2 11" xfId="8320"/>
    <cellStyle name="20% - 强调文字颜色 6 2 12" xfId="8322"/>
    <cellStyle name="20% - 强调文字颜色 6 2 13" xfId="10823"/>
    <cellStyle name="20% - 强调文字颜色 6 2 14" xfId="13542"/>
    <cellStyle name="20% - 强调文字颜色 6 2 15" xfId="13545"/>
    <cellStyle name="20% - 强调文字颜色 6 2 16" xfId="13550"/>
    <cellStyle name="20% - 强调文字颜色 6 2 17" xfId="13551"/>
    <cellStyle name="20% - 强调文字颜色 6 2 17 10" xfId="6840"/>
    <cellStyle name="20% - 强调文字颜色 6 2 17 11" xfId="13553"/>
    <cellStyle name="20% - 强调文字颜色 6 2 17 12" xfId="13557"/>
    <cellStyle name="20% - 强调文字颜色 6 2 17 13" xfId="13559"/>
    <cellStyle name="20% - 强调文字颜色 6 2 17 14" xfId="13561"/>
    <cellStyle name="20% - 强调文字颜色 6 2 17 2" xfId="6798"/>
    <cellStyle name="20% - 强调文字颜色 6 2 17 3" xfId="6907"/>
    <cellStyle name="20% - 强调文字颜色 6 2 17 4" xfId="13564"/>
    <cellStyle name="20% - 强调文字颜色 6 2 17 5" xfId="13567"/>
    <cellStyle name="20% - 强调文字颜色 6 2 17 5 10" xfId="9386"/>
    <cellStyle name="20% - 强调文字颜色 6 2 17 5 11" xfId="9402"/>
    <cellStyle name="20% - 强调文字颜色 6 2 17 5 2" xfId="13568"/>
    <cellStyle name="20% - 强调文字颜色 6 2 17 5 2 2" xfId="13574"/>
    <cellStyle name="20% - 强调文字颜色 6 2 17 5 2 2 2" xfId="7313"/>
    <cellStyle name="20% - 强调文字颜色 6 2 17 5 2 2 3" xfId="13575"/>
    <cellStyle name="20% - 强调文字颜色 6 2 17 5 2 3" xfId="13576"/>
    <cellStyle name="20% - 强调文字颜色 6 2 17 5 2 4" xfId="13577"/>
    <cellStyle name="20% - 强调文字颜色 6 2 17 5 2 5" xfId="13580"/>
    <cellStyle name="20% - 强调文字颜色 6 2 17 5 2 6" xfId="13583"/>
    <cellStyle name="20% - 强调文字颜色 6 2 17 5 2 7" xfId="13586"/>
    <cellStyle name="20% - 强调文字颜色 6 2 17 5 2 8" xfId="3208"/>
    <cellStyle name="20% - 强调文字颜色 6 2 17 5 3" xfId="13588"/>
    <cellStyle name="20% - 强调文字颜色 6 2 17 5 4" xfId="13593"/>
    <cellStyle name="20% - 强调文字颜色 6 2 17 5 5" xfId="13602"/>
    <cellStyle name="20% - 强调文字颜色 6 2 17 5 6" xfId="13607"/>
    <cellStyle name="20% - 强调文字颜色 6 2 17 5 6 2" xfId="13609"/>
    <cellStyle name="20% - 强调文字颜色 6 2 17 5 6 3" xfId="13611"/>
    <cellStyle name="20% - 强调文字颜色 6 2 17 5 7" xfId="13616"/>
    <cellStyle name="20% - 强调文字颜色 6 2 17 5 8" xfId="2525"/>
    <cellStyle name="20% - 强调文字颜色 6 2 17 5 9" xfId="5132"/>
    <cellStyle name="20% - 强调文字颜色 6 2 17 6" xfId="13622"/>
    <cellStyle name="20% - 强调文字颜色 6 2 17 6 2" xfId="13628"/>
    <cellStyle name="20% - 强调文字颜色 6 2 17 6 2 2" xfId="13631"/>
    <cellStyle name="20% - 强调文字颜色 6 2 17 6 2 3" xfId="13634"/>
    <cellStyle name="20% - 强调文字颜色 6 2 17 6 3" xfId="13640"/>
    <cellStyle name="20% - 强调文字颜色 6 2 17 6 4" xfId="13645"/>
    <cellStyle name="20% - 强调文字颜色 6 2 17 6 5" xfId="13650"/>
    <cellStyle name="20% - 强调文字颜色 6 2 17 6 6" xfId="12626"/>
    <cellStyle name="20% - 强调文字颜色 6 2 17 6 7" xfId="12634"/>
    <cellStyle name="20% - 强调文字颜色 6 2 17 6 8" xfId="13658"/>
    <cellStyle name="20% - 强调文字颜色 6 2 17 7" xfId="13662"/>
    <cellStyle name="20% - 强调文字颜色 6 2 17 8" xfId="13666"/>
    <cellStyle name="20% - 强调文字颜色 6 2 17 9" xfId="13672"/>
    <cellStyle name="20% - 强调文字颜色 6 2 17 9 2" xfId="13675"/>
    <cellStyle name="20% - 强调文字颜色 6 2 17 9 3" xfId="13678"/>
    <cellStyle name="20% - 强调文字颜色 6 2 18" xfId="13679"/>
    <cellStyle name="20% - 强调文字颜色 6 2 18 10" xfId="13681"/>
    <cellStyle name="20% - 强调文字颜色 6 2 18 11" xfId="13683"/>
    <cellStyle name="20% - 强调文字颜色 6 2 18 12" xfId="13685"/>
    <cellStyle name="20% - 强调文字颜色 6 2 18 13" xfId="13687"/>
    <cellStyle name="20% - 强调文字颜色 6 2 18 14" xfId="13689"/>
    <cellStyle name="20% - 强调文字颜色 6 2 18 2" xfId="476"/>
    <cellStyle name="20% - 强调文字颜色 6 2 18 3" xfId="8642"/>
    <cellStyle name="20% - 强调文字颜色 6 2 18 4" xfId="8647"/>
    <cellStyle name="20% - 强调文字颜色 6 2 18 5" xfId="13692"/>
    <cellStyle name="20% - 强调文字颜色 6 2 18 5 10" xfId="10770"/>
    <cellStyle name="20% - 强调文字颜色 6 2 18 5 11" xfId="10774"/>
    <cellStyle name="20% - 强调文字颜色 6 2 18 5 2" xfId="2649"/>
    <cellStyle name="20% - 强调文字颜色 6 2 18 5 2 2" xfId="13695"/>
    <cellStyle name="20% - 强调文字颜色 6 2 18 5 2 2 2" xfId="13698"/>
    <cellStyle name="20% - 强调文字颜色 6 2 18 5 2 2 3" xfId="13699"/>
    <cellStyle name="20% - 强调文字颜色 6 2 18 5 2 3" xfId="13700"/>
    <cellStyle name="20% - 强调文字颜色 6 2 18 5 2 4" xfId="13703"/>
    <cellStyle name="20% - 强调文字颜色 6 2 18 5 2 5" xfId="13706"/>
    <cellStyle name="20% - 强调文字颜色 6 2 18 5 2 6" xfId="13709"/>
    <cellStyle name="20% - 强调文字颜色 6 2 18 5 2 7" xfId="13712"/>
    <cellStyle name="20% - 强调文字颜色 6 2 18 5 2 8" xfId="13715"/>
    <cellStyle name="20% - 强调文字颜色 6 2 18 5 3" xfId="2668"/>
    <cellStyle name="20% - 强调文字颜色 6 2 18 5 4" xfId="3288"/>
    <cellStyle name="20% - 强调文字颜色 6 2 18 5 5" xfId="13718"/>
    <cellStyle name="20% - 强调文字颜色 6 2 18 5 6" xfId="13722"/>
    <cellStyle name="20% - 强调文字颜色 6 2 18 5 6 2" xfId="13727"/>
    <cellStyle name="20% - 强调文字颜色 6 2 18 5 6 3" xfId="13729"/>
    <cellStyle name="20% - 强调文字颜色 6 2 18 5 7" xfId="13730"/>
    <cellStyle name="20% - 强调文字颜色 6 2 18 5 8" xfId="13734"/>
    <cellStyle name="20% - 强调文字颜色 6 2 18 5 9" xfId="13739"/>
    <cellStyle name="20% - 强调文字颜色 6 2 18 6" xfId="13742"/>
    <cellStyle name="20% - 强调文字颜色 6 2 18 6 2" xfId="13747"/>
    <cellStyle name="20% - 强调文字颜色 6 2 18 6 2 2" xfId="13750"/>
    <cellStyle name="20% - 强调文字颜色 6 2 18 6 2 3" xfId="13752"/>
    <cellStyle name="20% - 强调文字颜色 6 2 18 6 3" xfId="13755"/>
    <cellStyle name="20% - 强调文字颜色 6 2 18 6 4" xfId="13758"/>
    <cellStyle name="20% - 强调文字颜色 6 2 18 6 5" xfId="13761"/>
    <cellStyle name="20% - 强调文字颜色 6 2 18 6 6" xfId="13766"/>
    <cellStyle name="20% - 强调文字颜色 6 2 18 6 7" xfId="3754"/>
    <cellStyle name="20% - 强调文字颜色 6 2 18 6 8" xfId="3762"/>
    <cellStyle name="20% - 强调文字颜色 6 2 18 7" xfId="13772"/>
    <cellStyle name="20% - 强调文字颜色 6 2 18 8" xfId="13779"/>
    <cellStyle name="20% - 强调文字颜色 6 2 18 9" xfId="13784"/>
    <cellStyle name="20% - 强调文字颜色 6 2 18 9 2" xfId="13785"/>
    <cellStyle name="20% - 强调文字颜色 6 2 18 9 3" xfId="13786"/>
    <cellStyle name="20% - 强调文字颜色 6 2 19" xfId="13787"/>
    <cellStyle name="20% - 强调文字颜色 6 2 19 10" xfId="12046"/>
    <cellStyle name="20% - 强调文字颜色 6 2 19 11" xfId="12055"/>
    <cellStyle name="20% - 强调文字颜色 6 2 19 12" xfId="12059"/>
    <cellStyle name="20% - 强调文字颜色 6 2 19 13" xfId="12065"/>
    <cellStyle name="20% - 强调文字颜色 6 2 19 14" xfId="12070"/>
    <cellStyle name="20% - 强调文字颜色 6 2 19 2" xfId="13789"/>
    <cellStyle name="20% - 强调文字颜色 6 2 19 3" xfId="13794"/>
    <cellStyle name="20% - 强调文字颜色 6 2 19 4" xfId="13799"/>
    <cellStyle name="20% - 强调文字颜色 6 2 19 5" xfId="13803"/>
    <cellStyle name="20% - 强调文字颜色 6 2 19 5 10" xfId="13806"/>
    <cellStyle name="20% - 强调文字颜色 6 2 19 5 11" xfId="13808"/>
    <cellStyle name="20% - 强调文字颜色 6 2 19 5 2" xfId="13809"/>
    <cellStyle name="20% - 强调文字颜色 6 2 19 5 2 2" xfId="13815"/>
    <cellStyle name="20% - 强调文字颜色 6 2 19 5 2 2 2" xfId="13817"/>
    <cellStyle name="20% - 强调文字颜色 6 2 19 5 2 2 3" xfId="13818"/>
    <cellStyle name="20% - 强调文字颜色 6 2 19 5 2 3" xfId="13819"/>
    <cellStyle name="20% - 强调文字颜色 6 2 19 5 2 4" xfId="10123"/>
    <cellStyle name="20% - 强调文字颜色 6 2 19 5 2 5" xfId="7373"/>
    <cellStyle name="20% - 强调文字颜色 6 2 19 5 2 6" xfId="7379"/>
    <cellStyle name="20% - 强调文字颜色 6 2 19 5 2 7" xfId="7385"/>
    <cellStyle name="20% - 强调文字颜色 6 2 19 5 2 8" xfId="762"/>
    <cellStyle name="20% - 强调文字颜色 6 2 19 5 3" xfId="13821"/>
    <cellStyle name="20% - 强调文字颜色 6 2 19 5 4" xfId="13826"/>
    <cellStyle name="20% - 强调文字颜色 6 2 19 5 5" xfId="13832"/>
    <cellStyle name="20% - 强调文字颜色 6 2 19 5 6" xfId="13839"/>
    <cellStyle name="20% - 强调文字颜色 6 2 19 5 6 2" xfId="13845"/>
    <cellStyle name="20% - 强调文字颜色 6 2 19 5 6 3" xfId="13848"/>
    <cellStyle name="20% - 强调文字颜色 6 2 19 5 7" xfId="13851"/>
    <cellStyle name="20% - 强调文字颜色 6 2 19 5 8" xfId="13857"/>
    <cellStyle name="20% - 强调文字颜色 6 2 19 5 9" xfId="13864"/>
    <cellStyle name="20% - 强调文字颜色 6 2 19 6" xfId="13868"/>
    <cellStyle name="20% - 强调文字颜色 6 2 19 6 2" xfId="13875"/>
    <cellStyle name="20% - 强调文字颜色 6 2 19 6 2 2" xfId="13877"/>
    <cellStyle name="20% - 强调文字颜色 6 2 19 6 2 3" xfId="13879"/>
    <cellStyle name="20% - 强调文字颜色 6 2 19 6 3" xfId="13886"/>
    <cellStyle name="20% - 强调文字颜色 6 2 19 6 4" xfId="13893"/>
    <cellStyle name="20% - 强调文字颜色 6 2 19 6 5" xfId="13897"/>
    <cellStyle name="20% - 强调文字颜色 6 2 19 6 6" xfId="13901"/>
    <cellStyle name="20% - 强调文字颜色 6 2 19 6 7" xfId="13904"/>
    <cellStyle name="20% - 强调文字颜色 6 2 19 6 8" xfId="13907"/>
    <cellStyle name="20% - 强调文字颜色 6 2 19 7" xfId="13911"/>
    <cellStyle name="20% - 强调文字颜色 6 2 19 8" xfId="13915"/>
    <cellStyle name="20% - 强调文字颜色 6 2 19 9" xfId="13919"/>
    <cellStyle name="20% - 强调文字颜色 6 2 19 9 2" xfId="6692"/>
    <cellStyle name="20% - 强调文字颜色 6 2 19 9 3" xfId="13920"/>
    <cellStyle name="20% - 强调文字颜色 6 2 2" xfId="13921"/>
    <cellStyle name="20% - 强调文字颜色 6 2 2 10" xfId="5219"/>
    <cellStyle name="20% - 强调文字颜色 6 2 2 11" xfId="2840"/>
    <cellStyle name="20% - 强调文字颜色 6 2 2 12" xfId="2861"/>
    <cellStyle name="20% - 强调文字颜色 6 2 2 13" xfId="2879"/>
    <cellStyle name="20% - 强调文字颜色 6 2 2 14" xfId="2896"/>
    <cellStyle name="20% - 强调文字颜色 6 2 2 2" xfId="1312"/>
    <cellStyle name="20% - 强调文字颜色 6 2 2 3" xfId="1884"/>
    <cellStyle name="20% - 强调文字颜色 6 2 2 4" xfId="2342"/>
    <cellStyle name="20% - 强调文字颜色 6 2 2 5" xfId="2792"/>
    <cellStyle name="20% - 强调文字颜色 6 2 2 6" xfId="13923"/>
    <cellStyle name="20% - 强调文字颜色 6 2 2 7" xfId="13924"/>
    <cellStyle name="20% - 强调文字颜色 6 2 2 8" xfId="13926"/>
    <cellStyle name="20% - 强调文字颜色 6 2 2 9" xfId="13929"/>
    <cellStyle name="20% - 强调文字颜色 6 2 20" xfId="13546"/>
    <cellStyle name="20% - 强调文字颜色 6 2 20 10" xfId="4151"/>
    <cellStyle name="20% - 强调文字颜色 6 2 20 11" xfId="4157"/>
    <cellStyle name="20% - 强调文字颜色 6 2 20 12" xfId="4162"/>
    <cellStyle name="20% - 强调文字颜色 6 2 20 13" xfId="4186"/>
    <cellStyle name="20% - 强调文字颜色 6 2 20 14" xfId="4193"/>
    <cellStyle name="20% - 强调文字颜色 6 2 20 2" xfId="13931"/>
    <cellStyle name="20% - 强调文字颜色 6 2 20 3" xfId="7812"/>
    <cellStyle name="20% - 强调文字颜色 6 2 20 4" xfId="7822"/>
    <cellStyle name="20% - 强调文字颜色 6 2 20 5" xfId="2025"/>
    <cellStyle name="20% - 强调文字颜色 6 2 20 5 10" xfId="251"/>
    <cellStyle name="20% - 强调文字颜色 6 2 20 5 11" xfId="13935"/>
    <cellStyle name="20% - 强调文字颜色 6 2 20 5 2" xfId="1322"/>
    <cellStyle name="20% - 强调文字颜色 6 2 20 5 2 2" xfId="13936"/>
    <cellStyle name="20% - 强调文字颜色 6 2 20 5 2 2 2" xfId="13939"/>
    <cellStyle name="20% - 强调文字颜色 6 2 20 5 2 2 3" xfId="6700"/>
    <cellStyle name="20% - 强调文字颜色 6 2 20 5 2 3" xfId="13940"/>
    <cellStyle name="20% - 强调文字颜色 6 2 20 5 2 4" xfId="13943"/>
    <cellStyle name="20% - 强调文字颜色 6 2 20 5 2 5" xfId="13945"/>
    <cellStyle name="20% - 强调文字颜色 6 2 20 5 2 6" xfId="13947"/>
    <cellStyle name="20% - 强调文字颜色 6 2 20 5 2 7" xfId="13949"/>
    <cellStyle name="20% - 强调文字颜色 6 2 20 5 2 8" xfId="13951"/>
    <cellStyle name="20% - 强调文字颜色 6 2 20 5 3" xfId="1333"/>
    <cellStyle name="20% - 强调文字颜色 6 2 20 5 4" xfId="1345"/>
    <cellStyle name="20% - 强调文字颜色 6 2 20 5 5" xfId="261"/>
    <cellStyle name="20% - 强调文字颜色 6 2 20 5 6" xfId="1364"/>
    <cellStyle name="20% - 强调文字颜色 6 2 20 5 6 2" xfId="2821"/>
    <cellStyle name="20% - 强调文字颜色 6 2 20 5 6 3" xfId="2827"/>
    <cellStyle name="20% - 强调文字颜色 6 2 20 5 7" xfId="13958"/>
    <cellStyle name="20% - 强调文字颜色 6 2 20 5 8" xfId="13960"/>
    <cellStyle name="20% - 强调文字颜色 6 2 20 5 9" xfId="3068"/>
    <cellStyle name="20% - 强调文字颜色 6 2 20 6" xfId="2037"/>
    <cellStyle name="20% - 强调文字颜色 6 2 20 6 2" xfId="13971"/>
    <cellStyle name="20% - 强调文字颜色 6 2 20 6 2 2" xfId="13976"/>
    <cellStyle name="20% - 强调文字颜色 6 2 20 6 2 3" xfId="13980"/>
    <cellStyle name="20% - 强调文字颜色 6 2 20 6 3" xfId="13990"/>
    <cellStyle name="20% - 强调文字颜色 6 2 20 6 4" xfId="14001"/>
    <cellStyle name="20% - 强调文字颜色 6 2 20 6 5" xfId="12361"/>
    <cellStyle name="20% - 强调文字颜色 6 2 20 6 6" xfId="12373"/>
    <cellStyle name="20% - 强调文字颜色 6 2 20 6 7" xfId="12379"/>
    <cellStyle name="20% - 强调文字颜色 6 2 20 6 8" xfId="12385"/>
    <cellStyle name="20% - 强调文字颜色 6 2 20 7" xfId="8598"/>
    <cellStyle name="20% - 强调文字颜色 6 2 20 8" xfId="8604"/>
    <cellStyle name="20% - 强调文字颜色 6 2 20 9" xfId="8615"/>
    <cellStyle name="20% - 强调文字颜色 6 2 20 9 2" xfId="14009"/>
    <cellStyle name="20% - 强调文字颜色 6 2 20 9 3" xfId="14015"/>
    <cellStyle name="20% - 强调文字颜色 6 2 3" xfId="14017"/>
    <cellStyle name="20% - 强调文字颜色 6 2 3 10" xfId="14021"/>
    <cellStyle name="20% - 强调文字颜色 6 2 3 11" xfId="14023"/>
    <cellStyle name="20% - 强调文字颜色 6 2 3 12" xfId="14025"/>
    <cellStyle name="20% - 强调文字颜色 6 2 3 13" xfId="14029"/>
    <cellStyle name="20% - 强调文字颜色 6 2 3 14" xfId="14034"/>
    <cellStyle name="20% - 强调文字颜色 6 2 3 2" xfId="14036"/>
    <cellStyle name="20% - 强调文字颜色 6 2 3 3" xfId="14037"/>
    <cellStyle name="20% - 强调文字颜色 6 2 3 4" xfId="6260"/>
    <cellStyle name="20% - 强调文字颜色 6 2 3 5" xfId="6269"/>
    <cellStyle name="20% - 强调文字颜色 6 2 3 6" xfId="6277"/>
    <cellStyle name="20% - 强调文字颜色 6 2 3 7" xfId="4826"/>
    <cellStyle name="20% - 强调文字颜色 6 2 3 8" xfId="4849"/>
    <cellStyle name="20% - 强调文字颜色 6 2 3 9" xfId="4862"/>
    <cellStyle name="20% - 强调文字颜色 6 2 4" xfId="14039"/>
    <cellStyle name="20% - 强调文字颜色 6 2 4 10" xfId="14040"/>
    <cellStyle name="20% - 强调文字颜色 6 2 4 11" xfId="14041"/>
    <cellStyle name="20% - 强调文字颜色 6 2 4 12" xfId="14042"/>
    <cellStyle name="20% - 强调文字颜色 6 2 4 13" xfId="14044"/>
    <cellStyle name="20% - 强调文字颜色 6 2 4 14" xfId="14046"/>
    <cellStyle name="20% - 强调文字颜色 6 2 4 2" xfId="14049"/>
    <cellStyle name="20% - 强调文字颜色 6 2 4 3" xfId="14050"/>
    <cellStyle name="20% - 强调文字颜色 6 2 4 4" xfId="14052"/>
    <cellStyle name="20% - 强调文字颜色 6 2 4 5" xfId="14054"/>
    <cellStyle name="20% - 强调文字颜色 6 2 4 6" xfId="6539"/>
    <cellStyle name="20% - 强调文字颜色 6 2 4 7" xfId="6561"/>
    <cellStyle name="20% - 强调文字颜色 6 2 4 8" xfId="6566"/>
    <cellStyle name="20% - 强调文字颜色 6 2 4 9" xfId="6572"/>
    <cellStyle name="20% - 强调文字颜色 6 2 5" xfId="14056"/>
    <cellStyle name="20% - 强调文字颜色 6 2 6" xfId="14058"/>
    <cellStyle name="20% - 强调文字颜色 6 2 7" xfId="14060"/>
    <cellStyle name="20% - 强调文字颜色 6 2 8" xfId="14061"/>
    <cellStyle name="20% - 强调文字颜色 6 2 9" xfId="14064"/>
    <cellStyle name="20% - 强调文字颜色 6 3" xfId="7735"/>
    <cellStyle name="20% - 强调文字颜色 6 3 10" xfId="14065"/>
    <cellStyle name="20% - 强调文字颜色 6 3 11" xfId="14067"/>
    <cellStyle name="20% - 强调文字颜色 6 3 12" xfId="14068"/>
    <cellStyle name="20% - 强调文字颜色 6 3 13" xfId="14069"/>
    <cellStyle name="20% - 强调文字颜色 6 3 14" xfId="14070"/>
    <cellStyle name="20% - 强调文字颜色 6 3 15" xfId="14072"/>
    <cellStyle name="20% - 强调文字颜色 6 3 16" xfId="14076"/>
    <cellStyle name="20% - 强调文字颜色 6 3 17" xfId="14083"/>
    <cellStyle name="20% - 强调文字颜色 6 3 17 10" xfId="6970"/>
    <cellStyle name="20% - 强调文字颜色 6 3 17 11" xfId="7589"/>
    <cellStyle name="20% - 强调文字颜色 6 3 17 12" xfId="7921"/>
    <cellStyle name="20% - 强调文字颜色 6 3 17 13" xfId="14084"/>
    <cellStyle name="20% - 强调文字颜色 6 3 17 14" xfId="14085"/>
    <cellStyle name="20% - 强调文字颜色 6 3 17 2" xfId="9219"/>
    <cellStyle name="20% - 强调文字颜色 6 3 17 2 2" xfId="9243"/>
    <cellStyle name="20% - 强调文字颜色 6 3 17 3" xfId="9442"/>
    <cellStyle name="20% - 强调文字颜色 6 3 17 4" xfId="14086"/>
    <cellStyle name="20% - 强调文字颜色 6 3 17 5" xfId="14087"/>
    <cellStyle name="20% - 强调文字颜色 6 3 17 5 10" xfId="14090"/>
    <cellStyle name="20% - 强调文字颜色 6 3 17 5 11" xfId="14092"/>
    <cellStyle name="20% - 强调文字颜色 6 3 17 5 2" xfId="14093"/>
    <cellStyle name="20% - 强调文字颜色 6 3 17 5 2 2" xfId="4302"/>
    <cellStyle name="20% - 强调文字颜色 6 3 17 5 2 2 2" xfId="12834"/>
    <cellStyle name="20% - 强调文字颜色 6 3 17 5 2 2 3" xfId="12837"/>
    <cellStyle name="20% - 强调文字颜色 6 3 17 5 2 3" xfId="4559"/>
    <cellStyle name="20% - 强调文字颜色 6 3 17 5 2 4" xfId="4580"/>
    <cellStyle name="20% - 强调文字颜色 6 3 17 5 2 5" xfId="14098"/>
    <cellStyle name="20% - 强调文字颜色 6 3 17 5 2 6" xfId="14100"/>
    <cellStyle name="20% - 强调文字颜色 6 3 17 5 2 7" xfId="14103"/>
    <cellStyle name="20% - 强调文字颜色 6 3 17 5 2 8" xfId="14106"/>
    <cellStyle name="20% - 强调文字颜色 6 3 17 5 3" xfId="14108"/>
    <cellStyle name="20% - 强调文字颜色 6 3 17 5 4" xfId="14111"/>
    <cellStyle name="20% - 强调文字颜色 6 3 17 5 5" xfId="14117"/>
    <cellStyle name="20% - 强调文字颜色 6 3 17 5 6" xfId="14121"/>
    <cellStyle name="20% - 强调文字颜色 6 3 17 5 6 2" xfId="14124"/>
    <cellStyle name="20% - 强调文字颜色 6 3 17 5 6 3" xfId="14128"/>
    <cellStyle name="20% - 强调文字颜色 6 3 17 5 7" xfId="14133"/>
    <cellStyle name="20% - 强调文字颜色 6 3 17 5 8" xfId="14134"/>
    <cellStyle name="20% - 强调文字颜色 6 3 17 5 9" xfId="14135"/>
    <cellStyle name="20% - 强调文字颜色 6 3 17 6" xfId="12872"/>
    <cellStyle name="20% - 强调文字颜色 6 3 17 6 2" xfId="14139"/>
    <cellStyle name="20% - 强调文字颜色 6 3 17 6 2 2" xfId="14140"/>
    <cellStyle name="20% - 强调文字颜色 6 3 17 6 2 3" xfId="14142"/>
    <cellStyle name="20% - 强调文字颜色 6 3 17 6 3" xfId="14146"/>
    <cellStyle name="20% - 强调文字颜色 6 3 17 6 4" xfId="14150"/>
    <cellStyle name="20% - 强调文字颜色 6 3 17 6 5" xfId="3578"/>
    <cellStyle name="20% - 强调文字颜色 6 3 17 6 6" xfId="3583"/>
    <cellStyle name="20% - 强调文字颜色 6 3 17 6 7" xfId="3586"/>
    <cellStyle name="20% - 强调文字颜色 6 3 17 6 8" xfId="3601"/>
    <cellStyle name="20% - 强调文字颜色 6 3 17 7" xfId="12874"/>
    <cellStyle name="20% - 强调文字颜色 6 3 17 8" xfId="14152"/>
    <cellStyle name="20% - 强调文字颜色 6 3 17 9" xfId="14155"/>
    <cellStyle name="20% - 强调文字颜色 6 3 17 9 2" xfId="14156"/>
    <cellStyle name="20% - 强调文字颜色 6 3 17 9 3" xfId="14160"/>
    <cellStyle name="20% - 强调文字颜色 6 3 18" xfId="2731"/>
    <cellStyle name="20% - 强调文字颜色 6 3 18 10" xfId="575"/>
    <cellStyle name="20% - 强调文字颜色 6 3 18 11" xfId="418"/>
    <cellStyle name="20% - 强调文字颜色 6 3 18 12" xfId="291"/>
    <cellStyle name="20% - 强调文字颜色 6 3 18 13" xfId="639"/>
    <cellStyle name="20% - 强调文字颜色 6 3 18 14" xfId="670"/>
    <cellStyle name="20% - 强调文字颜色 6 3 18 2" xfId="5353"/>
    <cellStyle name="20% - 强调文字颜色 6 3 18 3" xfId="5403"/>
    <cellStyle name="20% - 强调文字颜色 6 3 18 4" xfId="5418"/>
    <cellStyle name="20% - 强调文字颜色 6 3 18 5" xfId="5431"/>
    <cellStyle name="20% - 强调文字颜色 6 3 18 5 10" xfId="14166"/>
    <cellStyle name="20% - 强调文字颜色 6 3 18 5 11" xfId="14167"/>
    <cellStyle name="20% - 强调文字颜色 6 3 18 5 2" xfId="1932"/>
    <cellStyle name="20% - 强调文字颜色 6 3 18 5 2 2" xfId="14168"/>
    <cellStyle name="20% - 强调文字颜色 6 3 18 5 2 2 2" xfId="14173"/>
    <cellStyle name="20% - 强调文字颜色 6 3 18 5 2 2 3" xfId="14174"/>
    <cellStyle name="20% - 强调文字颜色 6 3 18 5 2 3" xfId="14175"/>
    <cellStyle name="20% - 强调文字颜色 6 3 18 5 2 4" xfId="14177"/>
    <cellStyle name="20% - 强调文字颜色 6 3 18 5 2 5" xfId="14180"/>
    <cellStyle name="20% - 强调文字颜色 6 3 18 5 2 6" xfId="14184"/>
    <cellStyle name="20% - 强调文字颜色 6 3 18 5 2 7" xfId="14188"/>
    <cellStyle name="20% - 强调文字颜色 6 3 18 5 2 8" xfId="8013"/>
    <cellStyle name="20% - 强调文字颜色 6 3 18 5 3" xfId="1962"/>
    <cellStyle name="20% - 强调文字颜色 6 3 18 5 4" xfId="1858"/>
    <cellStyle name="20% - 强调文字颜色 6 3 18 5 5" xfId="13427"/>
    <cellStyle name="20% - 强调文字颜色 6 3 18 5 6" xfId="9037"/>
    <cellStyle name="20% - 强调文字颜色 6 3 18 5 6 2" xfId="7753"/>
    <cellStyle name="20% - 强调文字颜色 6 3 18 5 6 3" xfId="14192"/>
    <cellStyle name="20% - 强调文字颜色 6 3 18 5 7" xfId="9043"/>
    <cellStyle name="20% - 强调文字颜色 6 3 18 5 8" xfId="14193"/>
    <cellStyle name="20% - 强调文字颜色 6 3 18 5 9" xfId="14194"/>
    <cellStyle name="20% - 强调文字颜色 6 3 18 6" xfId="5445"/>
    <cellStyle name="20% - 强调文字颜色 6 3 18 6 2" xfId="14201"/>
    <cellStyle name="20% - 强调文字颜色 6 3 18 6 2 2" xfId="14204"/>
    <cellStyle name="20% - 强调文字颜色 6 3 18 6 2 3" xfId="14207"/>
    <cellStyle name="20% - 强调文字颜色 6 3 18 6 3" xfId="14214"/>
    <cellStyle name="20% - 强调文字颜色 6 3 18 6 4" xfId="14220"/>
    <cellStyle name="20% - 强调文字颜色 6 3 18 6 5" xfId="3748"/>
    <cellStyle name="20% - 强调文字颜色 6 3 18 6 6" xfId="7148"/>
    <cellStyle name="20% - 强调文字颜色 6 3 18 6 7" xfId="7150"/>
    <cellStyle name="20% - 强调文字颜色 6 3 18 6 8" xfId="7156"/>
    <cellStyle name="20% - 强调文字颜色 6 3 18 7" xfId="5461"/>
    <cellStyle name="20% - 强调文字颜色 6 3 18 8" xfId="14223"/>
    <cellStyle name="20% - 强调文字颜色 6 3 18 9" xfId="14227"/>
    <cellStyle name="20% - 强调文字颜色 6 3 18 9 2" xfId="14229"/>
    <cellStyle name="20% - 强调文字颜色 6 3 18 9 3" xfId="14232"/>
    <cellStyle name="20% - 强调文字颜色 6 3 19" xfId="5485"/>
    <cellStyle name="20% - 强调文字颜色 6 3 19 10" xfId="14234"/>
    <cellStyle name="20% - 强调文字颜色 6 3 19 11" xfId="14240"/>
    <cellStyle name="20% - 强调文字颜色 6 3 19 12" xfId="14246"/>
    <cellStyle name="20% - 强调文字颜色 6 3 19 13" xfId="14248"/>
    <cellStyle name="20% - 强调文字颜色 6 3 19 14" xfId="14249"/>
    <cellStyle name="20% - 强调文字颜色 6 3 19 2" xfId="14250"/>
    <cellStyle name="20% - 强调文字颜色 6 3 19 3" xfId="14251"/>
    <cellStyle name="20% - 强调文字颜色 6 3 19 4" xfId="14252"/>
    <cellStyle name="20% - 强调文字颜色 6 3 19 5" xfId="14253"/>
    <cellStyle name="20% - 强调文字颜色 6 3 19 5 10" xfId="14254"/>
    <cellStyle name="20% - 强调文字颜色 6 3 19 5 11" xfId="14255"/>
    <cellStyle name="20% - 强调文字颜色 6 3 19 5 2" xfId="14257"/>
    <cellStyle name="20% - 强调文字颜色 6 3 19 5 2 2" xfId="14260"/>
    <cellStyle name="20% - 强调文字颜色 6 3 19 5 2 2 2" xfId="14263"/>
    <cellStyle name="20% - 强调文字颜色 6 3 19 5 2 2 3" xfId="14266"/>
    <cellStyle name="20% - 强调文字颜色 6 3 19 5 2 3" xfId="14269"/>
    <cellStyle name="20% - 强调文字颜色 6 3 19 5 2 4" xfId="3824"/>
    <cellStyle name="20% - 强调文字颜色 6 3 19 5 2 5" xfId="11588"/>
    <cellStyle name="20% - 强调文字颜色 6 3 19 5 2 6" xfId="11591"/>
    <cellStyle name="20% - 强调文字颜色 6 3 19 5 2 7" xfId="6075"/>
    <cellStyle name="20% - 强调文字颜色 6 3 19 5 2 8" xfId="6079"/>
    <cellStyle name="20% - 强调文字颜色 6 3 19 5 3" xfId="14273"/>
    <cellStyle name="20% - 强调文字颜色 6 3 19 5 4" xfId="14275"/>
    <cellStyle name="20% - 强调文字颜色 6 3 19 5 5" xfId="14277"/>
    <cellStyle name="20% - 强调文字颜色 6 3 19 5 6" xfId="14280"/>
    <cellStyle name="20% - 强调文字颜色 6 3 19 5 6 2" xfId="2621"/>
    <cellStyle name="20% - 强调文字颜色 6 3 19 5 6 3" xfId="2725"/>
    <cellStyle name="20% - 强调文字颜色 6 3 19 5 7" xfId="14284"/>
    <cellStyle name="20% - 强调文字颜色 6 3 19 5 8" xfId="14285"/>
    <cellStyle name="20% - 强调文字颜色 6 3 19 5 9" xfId="14286"/>
    <cellStyle name="20% - 强调文字颜色 6 3 19 6" xfId="14287"/>
    <cellStyle name="20% - 强调文字颜色 6 3 19 6 2" xfId="14290"/>
    <cellStyle name="20% - 强调文字颜色 6 3 19 6 2 2" xfId="14292"/>
    <cellStyle name="20% - 强调文字颜色 6 3 19 6 2 3" xfId="14295"/>
    <cellStyle name="20% - 强调文字颜色 6 3 19 6 3" xfId="3439"/>
    <cellStyle name="20% - 强调文字颜色 6 3 19 6 4" xfId="3457"/>
    <cellStyle name="20% - 强调文字颜色 6 3 19 6 5" xfId="8335"/>
    <cellStyle name="20% - 强调文字颜色 6 3 19 6 6" xfId="8339"/>
    <cellStyle name="20% - 强调文字颜色 6 3 19 6 7" xfId="7099"/>
    <cellStyle name="20% - 强调文字颜色 6 3 19 6 8" xfId="7114"/>
    <cellStyle name="20% - 强调文字颜色 6 3 19 7" xfId="14296"/>
    <cellStyle name="20% - 强调文字颜色 6 3 19 8" xfId="14297"/>
    <cellStyle name="20% - 强调文字颜色 6 3 19 9" xfId="14298"/>
    <cellStyle name="20% - 强调文字颜色 6 3 19 9 2" xfId="14303"/>
    <cellStyle name="20% - 强调文字颜色 6 3 19 9 3" xfId="14309"/>
    <cellStyle name="20% - 强调文字颜色 6 3 2" xfId="14311"/>
    <cellStyle name="20% - 强调文字颜色 6 3 2 10" xfId="11433"/>
    <cellStyle name="20% - 强调文字颜色 6 3 2 11" xfId="11437"/>
    <cellStyle name="20% - 强调文字颜色 6 3 2 12" xfId="11441"/>
    <cellStyle name="20% - 强调文字颜色 6 3 2 13" xfId="14313"/>
    <cellStyle name="20% - 强调文字颜色 6 3 2 14" xfId="14315"/>
    <cellStyle name="20% - 强调文字颜色 6 3 2 2" xfId="13365"/>
    <cellStyle name="20% - 强调文字颜色 6 3 2 3" xfId="13451"/>
    <cellStyle name="20% - 强调文字颜色 6 3 2 4" xfId="13503"/>
    <cellStyle name="20% - 强调文字颜色 6 3 2 5" xfId="13538"/>
    <cellStyle name="20% - 强调文字颜色 6 3 2 6" xfId="14320"/>
    <cellStyle name="20% - 强调文字颜色 6 3 2 7" xfId="14322"/>
    <cellStyle name="20% - 强调文字颜色 6 3 2 8" xfId="7758"/>
    <cellStyle name="20% - 强调文字颜色 6 3 2 9" xfId="7786"/>
    <cellStyle name="20% - 强调文字颜色 6 3 20" xfId="14073"/>
    <cellStyle name="20% - 强调文字颜色 6 3 20 10" xfId="14325"/>
    <cellStyle name="20% - 强调文字颜色 6 3 20 11" xfId="14327"/>
    <cellStyle name="20% - 强调文字颜色 6 3 20 12" xfId="14328"/>
    <cellStyle name="20% - 强调文字颜色 6 3 20 13" xfId="14331"/>
    <cellStyle name="20% - 强调文字颜色 6 3 20 14" xfId="14334"/>
    <cellStyle name="20% - 强调文字颜色 6 3 20 2" xfId="9710"/>
    <cellStyle name="20% - 强调文字颜色 6 3 20 3" xfId="9050"/>
    <cellStyle name="20% - 强调文字颜色 6 3 20 4" xfId="9055"/>
    <cellStyle name="20% - 强调文字颜色 6 3 20 5" xfId="2395"/>
    <cellStyle name="20% - 强调文字颜色 6 3 20 5 10" xfId="7890"/>
    <cellStyle name="20% - 强调文字颜色 6 3 20 5 11" xfId="7896"/>
    <cellStyle name="20% - 强调文字颜色 6 3 20 5 2" xfId="13372"/>
    <cellStyle name="20% - 强调文字颜色 6 3 20 5 2 2" xfId="14340"/>
    <cellStyle name="20% - 强调文字颜色 6 3 20 5 2 2 2" xfId="11987"/>
    <cellStyle name="20% - 强调文字颜色 6 3 20 5 2 2 3" xfId="11990"/>
    <cellStyle name="20% - 强调文字颜色 6 3 20 5 2 3" xfId="14349"/>
    <cellStyle name="20% - 强调文字颜色 6 3 20 5 2 4" xfId="14358"/>
    <cellStyle name="20% - 强调文字颜色 6 3 20 5 2 5" xfId="14363"/>
    <cellStyle name="20% - 强调文字颜色 6 3 20 5 2 6" xfId="14368"/>
    <cellStyle name="20% - 强调文字颜色 6 3 20 5 2 7" xfId="14371"/>
    <cellStyle name="20% - 强调文字颜色 6 3 20 5 2 8" xfId="14375"/>
    <cellStyle name="20% - 强调文字颜色 6 3 20 5 3" xfId="13380"/>
    <cellStyle name="20% - 强调文字颜色 6 3 20 5 4" xfId="13386"/>
    <cellStyle name="20% - 强调文字颜色 6 3 20 5 5" xfId="13392"/>
    <cellStyle name="20% - 强调文字颜色 6 3 20 5 6" xfId="13396"/>
    <cellStyle name="20% - 强调文字颜色 6 3 20 5 6 2" xfId="14379"/>
    <cellStyle name="20% - 强调文字颜色 6 3 20 5 6 3" xfId="14386"/>
    <cellStyle name="20% - 强调文字颜色 6 3 20 5 7" xfId="14389"/>
    <cellStyle name="20% - 强调文字颜色 6 3 20 5 8" xfId="14390"/>
    <cellStyle name="20% - 强调文字颜色 6 3 20 5 9" xfId="14391"/>
    <cellStyle name="20% - 强调文字颜色 6 3 20 6" xfId="2408"/>
    <cellStyle name="20% - 强调文字颜色 6 3 20 6 2" xfId="2563"/>
    <cellStyle name="20% - 强调文字颜色 6 3 20 6 2 2" xfId="5033"/>
    <cellStyle name="20% - 强调文字颜色 6 3 20 6 2 3" xfId="5043"/>
    <cellStyle name="20% - 强调文字颜色 6 3 20 6 3" xfId="14395"/>
    <cellStyle name="20% - 强调文字颜色 6 3 20 6 4" xfId="14398"/>
    <cellStyle name="20% - 强调文字颜色 6 3 20 6 5" xfId="14401"/>
    <cellStyle name="20% - 强调文字颜色 6 3 20 6 6" xfId="14404"/>
    <cellStyle name="20% - 强调文字颜色 6 3 20 6 7" xfId="14409"/>
    <cellStyle name="20% - 强调文字颜色 6 3 20 6 8" xfId="10371"/>
    <cellStyle name="20% - 强调文字颜色 6 3 20 7" xfId="9058"/>
    <cellStyle name="20% - 强调文字颜色 6 3 20 8" xfId="14412"/>
    <cellStyle name="20% - 强调文字颜色 6 3 20 9" xfId="14415"/>
    <cellStyle name="20% - 强调文字颜色 6 3 20 9 2" xfId="2872"/>
    <cellStyle name="20% - 强调文字颜色 6 3 20 9 3" xfId="14416"/>
    <cellStyle name="20% - 强调文字颜色 6 3 3" xfId="14420"/>
    <cellStyle name="20% - 强调文字颜色 6 3 3 10" xfId="11522"/>
    <cellStyle name="20% - 强调文字颜色 6 3 3 11" xfId="11525"/>
    <cellStyle name="20% - 强调文字颜色 6 3 3 12" xfId="11528"/>
    <cellStyle name="20% - 强调文字颜色 6 3 3 13" xfId="14421"/>
    <cellStyle name="20% - 强调文字颜色 6 3 3 14" xfId="14422"/>
    <cellStyle name="20% - 强调文字颜色 6 3 3 2" xfId="11856"/>
    <cellStyle name="20% - 强调文字颜色 6 3 3 3" xfId="14425"/>
    <cellStyle name="20% - 强调文字颜色 6 3 3 4" xfId="14428"/>
    <cellStyle name="20% - 强调文字颜色 6 3 3 5" xfId="14431"/>
    <cellStyle name="20% - 强调文字颜色 6 3 3 6" xfId="14434"/>
    <cellStyle name="20% - 强调文字颜色 6 3 3 7" xfId="14436"/>
    <cellStyle name="20% - 强调文字颜色 6 3 3 8" xfId="4893"/>
    <cellStyle name="20% - 强调文字颜色 6 3 3 9" xfId="7831"/>
    <cellStyle name="20% - 强调文字颜色 6 3 4" xfId="11594"/>
    <cellStyle name="20% - 强调文字颜色 6 3 4 10" xfId="10852"/>
    <cellStyle name="20% - 强调文字颜色 6 3 4 11" xfId="10856"/>
    <cellStyle name="20% - 强调文字颜色 6 3 4 12" xfId="14439"/>
    <cellStyle name="20% - 强调文字颜色 6 3 4 13" xfId="14441"/>
    <cellStyle name="20% - 强调文字颜色 6 3 4 14" xfId="14445"/>
    <cellStyle name="20% - 强调文字颜色 6 3 4 2" xfId="11598"/>
    <cellStyle name="20% - 强调文字颜色 6 3 4 3" xfId="6301"/>
    <cellStyle name="20% - 强调文字颜色 6 3 4 4" xfId="6306"/>
    <cellStyle name="20% - 强调文字颜色 6 3 4 5" xfId="6699"/>
    <cellStyle name="20% - 强调文字颜色 6 3 4 6" xfId="6707"/>
    <cellStyle name="20% - 强调文字颜色 6 3 4 7" xfId="6712"/>
    <cellStyle name="20% - 强调文字颜色 6 3 4 8" xfId="6717"/>
    <cellStyle name="20% - 强调文字颜色 6 3 4 9" xfId="14446"/>
    <cellStyle name="20% - 强调文字颜色 6 3 5" xfId="11600"/>
    <cellStyle name="20% - 强调文字颜色 6 3 6" xfId="11602"/>
    <cellStyle name="20% - 强调文字颜色 6 3 7" xfId="11605"/>
    <cellStyle name="20% - 强调文字颜色 6 3 8" xfId="11607"/>
    <cellStyle name="20% - 强调文字颜色 6 3 9" xfId="11612"/>
    <cellStyle name="20% - 强调文字颜色 6 4" xfId="14447"/>
    <cellStyle name="20% - 强调文字颜色 6 4 10" xfId="14453"/>
    <cellStyle name="20% - 强调文字颜色 6 4 11" xfId="14457"/>
    <cellStyle name="20% - 强调文字颜色 6 4 12" xfId="14462"/>
    <cellStyle name="20% - 强调文字颜色 6 4 13" xfId="14470"/>
    <cellStyle name="20% - 强调文字颜色 6 4 14" xfId="14472"/>
    <cellStyle name="20% - 强调文字颜色 6 4 15" xfId="14474"/>
    <cellStyle name="20% - 强调文字颜色 6 4 16" xfId="14477"/>
    <cellStyle name="20% - 强调文字颜色 6 4 17" xfId="1286"/>
    <cellStyle name="20% - 强调文字颜色 6 4 17 10" xfId="14478"/>
    <cellStyle name="20% - 强调文字颜色 6 4 17 11" xfId="6880"/>
    <cellStyle name="20% - 强调文字颜色 6 4 17 12" xfId="6883"/>
    <cellStyle name="20% - 强调文字颜色 6 4 17 13" xfId="14479"/>
    <cellStyle name="20% - 强调文字颜色 6 4 17 14" xfId="14482"/>
    <cellStyle name="20% - 强调文字颜色 6 4 17 2" xfId="4615"/>
    <cellStyle name="20% - 强调文字颜色 6 4 17 3" xfId="4623"/>
    <cellStyle name="20% - 强调文字颜色 6 4 17 4" xfId="11195"/>
    <cellStyle name="20% - 强调文字颜色 6 4 17 5" xfId="14487"/>
    <cellStyle name="20% - 强调文字颜色 6 4 17 5 10" xfId="14490"/>
    <cellStyle name="20% - 强调文字颜色 6 4 17 5 11" xfId="14493"/>
    <cellStyle name="20% - 强调文字颜色 6 4 17 5 2" xfId="1239"/>
    <cellStyle name="20% - 强调文字颜色 6 4 17 5 2 2" xfId="1243"/>
    <cellStyle name="20% - 强调文字颜色 6 4 17 5 2 2 2" xfId="14494"/>
    <cellStyle name="20% - 强调文字颜色 6 4 17 5 2 2 3" xfId="14496"/>
    <cellStyle name="20% - 强调文字颜色 6 4 17 5 2 3" xfId="1255"/>
    <cellStyle name="20% - 强调文字颜色 6 4 17 5 2 4" xfId="14497"/>
    <cellStyle name="20% - 强调文字颜色 6 4 17 5 2 5" xfId="14498"/>
    <cellStyle name="20% - 强调文字颜色 6 4 17 5 2 6" xfId="14499"/>
    <cellStyle name="20% - 强调文字颜色 6 4 17 5 2 7" xfId="14500"/>
    <cellStyle name="20% - 强调文字颜色 6 4 17 5 2 8" xfId="14501"/>
    <cellStyle name="20% - 强调文字颜色 6 4 17 5 3" xfId="14505"/>
    <cellStyle name="20% - 强调文字颜色 6 4 17 5 4" xfId="14508"/>
    <cellStyle name="20% - 强调文字颜色 6 4 17 5 5" xfId="14511"/>
    <cellStyle name="20% - 强调文字颜色 6 4 17 5 6" xfId="14514"/>
    <cellStyle name="20% - 强调文字颜色 6 4 17 5 6 2" xfId="12855"/>
    <cellStyle name="20% - 强调文字颜色 6 4 17 5 6 3" xfId="12857"/>
    <cellStyle name="20% - 强调文字颜色 6 4 17 5 7" xfId="14517"/>
    <cellStyle name="20% - 强调文字颜色 6 4 17 5 8" xfId="14518"/>
    <cellStyle name="20% - 强调文字颜色 6 4 17 5 9" xfId="14519"/>
    <cellStyle name="20% - 强调文字颜色 6 4 17 6" xfId="12964"/>
    <cellStyle name="20% - 强调文字颜色 6 4 17 6 2" xfId="3292"/>
    <cellStyle name="20% - 强调文字颜色 6 4 17 6 2 2" xfId="3302"/>
    <cellStyle name="20% - 强调文字颜色 6 4 17 6 2 3" xfId="3310"/>
    <cellStyle name="20% - 强调文字颜色 6 4 17 6 3" xfId="13720"/>
    <cellStyle name="20% - 强调文字颜色 6 4 17 6 4" xfId="13724"/>
    <cellStyle name="20% - 强调文字颜色 6 4 17 6 5" xfId="13732"/>
    <cellStyle name="20% - 强调文字颜色 6 4 17 6 6" xfId="13736"/>
    <cellStyle name="20% - 强调文字颜色 6 4 17 6 7" xfId="13737"/>
    <cellStyle name="20% - 强调文字颜色 6 4 17 6 8" xfId="14521"/>
    <cellStyle name="20% - 强调文字颜色 6 4 17 7" xfId="12967"/>
    <cellStyle name="20% - 强调文字颜色 6 4 17 8" xfId="14524"/>
    <cellStyle name="20% - 强调文字颜色 6 4 17 9" xfId="14527"/>
    <cellStyle name="20% - 强调文字颜色 6 4 17 9 2" xfId="4376"/>
    <cellStyle name="20% - 强调文字颜色 6 4 17 9 3" xfId="4390"/>
    <cellStyle name="20% - 强调文字颜色 6 4 18" xfId="1297"/>
    <cellStyle name="20% - 强调文字颜色 6 4 18 10" xfId="4114"/>
    <cellStyle name="20% - 强调文字颜色 6 4 18 11" xfId="4122"/>
    <cellStyle name="20% - 强调文字颜色 6 4 18 12" xfId="4130"/>
    <cellStyle name="20% - 强调文字颜色 6 4 18 13" xfId="4146"/>
    <cellStyle name="20% - 强调文字颜色 6 4 18 14" xfId="4216"/>
    <cellStyle name="20% - 强调文字颜色 6 4 18 2" xfId="9736"/>
    <cellStyle name="20% - 强调文字颜色 6 4 18 3" xfId="14529"/>
    <cellStyle name="20% - 强调文字颜色 6 4 18 4" xfId="14530"/>
    <cellStyle name="20% - 强调文字颜色 6 4 18 5" xfId="14531"/>
    <cellStyle name="20% - 强调文字颜色 6 4 18 5 10" xfId="6175"/>
    <cellStyle name="20% - 强调文字颜色 6 4 18 5 11" xfId="6180"/>
    <cellStyle name="20% - 强调文字颜色 6 4 18 5 2" xfId="8879"/>
    <cellStyle name="20% - 强调文字颜色 6 4 18 5 2 2" xfId="14533"/>
    <cellStyle name="20% - 强调文字颜色 6 4 18 5 2 2 2" xfId="14536"/>
    <cellStyle name="20% - 强调文字颜色 6 4 18 5 2 2 3" xfId="14539"/>
    <cellStyle name="20% - 强调文字颜色 6 4 18 5 2 3" xfId="14542"/>
    <cellStyle name="20% - 强调文字颜色 6 4 18 5 2 4" xfId="14544"/>
    <cellStyle name="20% - 强调文字颜色 6 4 18 5 2 5" xfId="14548"/>
    <cellStyle name="20% - 强调文字颜色 6 4 18 5 2 6" xfId="14551"/>
    <cellStyle name="20% - 强调文字颜色 6 4 18 5 2 7" xfId="14554"/>
    <cellStyle name="20% - 强调文字颜色 6 4 18 5 2 8" xfId="2373"/>
    <cellStyle name="20% - 强调文字颜色 6 4 18 5 3" xfId="7521"/>
    <cellStyle name="20% - 强调文字颜色 6 4 18 5 4" xfId="5595"/>
    <cellStyle name="20% - 强调文字颜色 6 4 18 5 5" xfId="5605"/>
    <cellStyle name="20% - 强调文字颜色 6 4 18 5 6" xfId="14557"/>
    <cellStyle name="20% - 强调文字颜色 6 4 18 5 6 2" xfId="14560"/>
    <cellStyle name="20% - 强调文字颜色 6 4 18 5 6 3" xfId="14564"/>
    <cellStyle name="20% - 强调文字颜色 6 4 18 5 7" xfId="14569"/>
    <cellStyle name="20% - 强调文字颜色 6 4 18 5 8" xfId="14571"/>
    <cellStyle name="20% - 强调文字颜色 6 4 18 5 9" xfId="14573"/>
    <cellStyle name="20% - 强调文字颜色 6 4 18 6" xfId="14575"/>
    <cellStyle name="20% - 强调文字颜色 6 4 18 6 2" xfId="13830"/>
    <cellStyle name="20% - 强调文字颜色 6 4 18 6 2 2" xfId="14578"/>
    <cellStyle name="20% - 强调文字颜色 6 4 18 6 2 3" xfId="14582"/>
    <cellStyle name="20% - 强调文字颜色 6 4 18 6 3" xfId="13837"/>
    <cellStyle name="20% - 强调文字颜色 6 4 18 6 4" xfId="13843"/>
    <cellStyle name="20% - 强调文字颜色 6 4 18 6 5" xfId="13854"/>
    <cellStyle name="20% - 强调文字颜色 6 4 18 6 6" xfId="13860"/>
    <cellStyle name="20% - 强调文字颜色 6 4 18 6 7" xfId="13861"/>
    <cellStyle name="20% - 强调文字颜色 6 4 18 6 8" xfId="14585"/>
    <cellStyle name="20% - 强调文字颜色 6 4 18 7" xfId="14587"/>
    <cellStyle name="20% - 强调文字颜色 6 4 18 8" xfId="14588"/>
    <cellStyle name="20% - 强调文字颜色 6 4 18 9" xfId="3943"/>
    <cellStyle name="20% - 强调文字颜色 6 4 18 9 2" xfId="3947"/>
    <cellStyle name="20% - 强调文字颜色 6 4 18 9 3" xfId="4000"/>
    <cellStyle name="20% - 强调文字颜色 6 4 19" xfId="1308"/>
    <cellStyle name="20% - 强调文字颜色 6 4 19 10" xfId="14589"/>
    <cellStyle name="20% - 强调文字颜色 6 4 19 11" xfId="14590"/>
    <cellStyle name="20% - 强调文字颜色 6 4 19 12" xfId="14592"/>
    <cellStyle name="20% - 强调文字颜色 6 4 19 13" xfId="14594"/>
    <cellStyle name="20% - 强调文字颜色 6 4 19 14" xfId="14595"/>
    <cellStyle name="20% - 强调文字颜色 6 4 19 2" xfId="14596"/>
    <cellStyle name="20% - 强调文字颜色 6 4 19 3" xfId="8089"/>
    <cellStyle name="20% - 强调文字颜色 6 4 19 4" xfId="8106"/>
    <cellStyle name="20% - 强调文字颜色 6 4 19 5" xfId="8113"/>
    <cellStyle name="20% - 强调文字颜色 6 4 19 5 10" xfId="6819"/>
    <cellStyle name="20% - 强调文字颜色 6 4 19 5 11" xfId="6828"/>
    <cellStyle name="20% - 强调文字颜色 6 4 19 5 2" xfId="14601"/>
    <cellStyle name="20% - 强调文字颜色 6 4 19 5 2 2" xfId="14603"/>
    <cellStyle name="20% - 强调文字颜色 6 4 19 5 2 2 2" xfId="11674"/>
    <cellStyle name="20% - 强调文字颜色 6 4 19 5 2 2 3" xfId="11680"/>
    <cellStyle name="20% - 强调文字颜色 6 4 19 5 2 3" xfId="14605"/>
    <cellStyle name="20% - 强调文字颜色 6 4 19 5 2 4" xfId="13119"/>
    <cellStyle name="20% - 强调文字颜色 6 4 19 5 2 5" xfId="13128"/>
    <cellStyle name="20% - 强调文字颜色 6 4 19 5 2 6" xfId="13133"/>
    <cellStyle name="20% - 强调文字颜色 6 4 19 5 2 7" xfId="13138"/>
    <cellStyle name="20% - 强调文字颜色 6 4 19 5 2 8" xfId="13143"/>
    <cellStyle name="20% - 强调文字颜色 6 4 19 5 3" xfId="14609"/>
    <cellStyle name="20% - 强调文字颜色 6 4 19 5 4" xfId="14613"/>
    <cellStyle name="20% - 强调文字颜色 6 4 19 5 5" xfId="14618"/>
    <cellStyle name="20% - 强调文字颜色 6 4 19 5 6" xfId="14622"/>
    <cellStyle name="20% - 强调文字颜色 6 4 19 5 6 2" xfId="14624"/>
    <cellStyle name="20% - 强调文字颜色 6 4 19 5 6 3" xfId="14626"/>
    <cellStyle name="20% - 强调文字颜色 6 4 19 5 7" xfId="14630"/>
    <cellStyle name="20% - 强调文字颜色 6 4 19 5 8" xfId="14633"/>
    <cellStyle name="20% - 强调文字颜色 6 4 19 5 9" xfId="14636"/>
    <cellStyle name="20% - 强调文字颜色 6 4 19 6" xfId="8119"/>
    <cellStyle name="20% - 强调文字颜色 6 4 19 6 2" xfId="14640"/>
    <cellStyle name="20% - 强调文字颜色 6 4 19 6 2 2" xfId="14642"/>
    <cellStyle name="20% - 强调文字颜色 6 4 19 6 2 3" xfId="14643"/>
    <cellStyle name="20% - 强调文字颜色 6 4 19 6 3" xfId="10907"/>
    <cellStyle name="20% - 强调文字颜色 6 4 19 6 4" xfId="10911"/>
    <cellStyle name="20% - 强调文字颜色 6 4 19 6 5" xfId="10659"/>
    <cellStyle name="20% - 强调文字颜色 6 4 19 6 6" xfId="10668"/>
    <cellStyle name="20% - 强调文字颜色 6 4 19 6 7" xfId="10672"/>
    <cellStyle name="20% - 强调文字颜色 6 4 19 6 8" xfId="10678"/>
    <cellStyle name="20% - 强调文字颜色 6 4 19 7" xfId="8124"/>
    <cellStyle name="20% - 强调文字颜色 6 4 19 8" xfId="8130"/>
    <cellStyle name="20% - 强调文字颜色 6 4 19 9" xfId="1810"/>
    <cellStyle name="20% - 强调文字颜色 6 4 19 9 2" xfId="1836"/>
    <cellStyle name="20% - 强调文字颜色 6 4 19 9 3" xfId="1868"/>
    <cellStyle name="20% - 强调文字颜色 6 4 2" xfId="14644"/>
    <cellStyle name="20% - 强调文字颜色 6 4 20" xfId="14475"/>
    <cellStyle name="20% - 强调文字颜色 6 4 20 10" xfId="7536"/>
    <cellStyle name="20% - 强调文字颜色 6 4 20 11" xfId="7548"/>
    <cellStyle name="20% - 强调文字颜色 6 4 20 12" xfId="14646"/>
    <cellStyle name="20% - 强调文字颜色 6 4 20 13" xfId="14652"/>
    <cellStyle name="20% - 强调文字颜色 6 4 20 14" xfId="14659"/>
    <cellStyle name="20% - 强调文字颜色 6 4 20 2" xfId="9999"/>
    <cellStyle name="20% - 强调文字颜色 6 4 20 3" xfId="9787"/>
    <cellStyle name="20% - 强调文字颜色 6 4 20 4" xfId="9802"/>
    <cellStyle name="20% - 强调文字颜色 6 4 20 5" xfId="9525"/>
    <cellStyle name="20% - 强调文字颜色 6 4 20 5 10" xfId="14662"/>
    <cellStyle name="20% - 强调文字颜色 6 4 20 5 11" xfId="14666"/>
    <cellStyle name="20% - 强调文字颜色 6 4 20 5 2" xfId="14670"/>
    <cellStyle name="20% - 强调文字颜色 6 4 20 5 2 2" xfId="839"/>
    <cellStyle name="20% - 强调文字颜色 6 4 20 5 2 2 2" xfId="14672"/>
    <cellStyle name="20% - 强调文字颜色 6 4 20 5 2 2 3" xfId="14673"/>
    <cellStyle name="20% - 强调文字颜色 6 4 20 5 2 3" xfId="866"/>
    <cellStyle name="20% - 强调文字颜色 6 4 20 5 2 4" xfId="851"/>
    <cellStyle name="20% - 强调文字颜色 6 4 20 5 2 5" xfId="14675"/>
    <cellStyle name="20% - 强调文字颜色 6 4 20 5 2 6" xfId="14677"/>
    <cellStyle name="20% - 强调文字颜色 6 4 20 5 2 7" xfId="14679"/>
    <cellStyle name="20% - 强调文字颜色 6 4 20 5 2 8" xfId="14681"/>
    <cellStyle name="20% - 强调文字颜色 6 4 20 5 3" xfId="14685"/>
    <cellStyle name="20% - 强调文字颜色 6 4 20 5 4" xfId="14689"/>
    <cellStyle name="20% - 强调文字颜色 6 4 20 5 5" xfId="14693"/>
    <cellStyle name="20% - 强调文字颜色 6 4 20 5 6" xfId="14697"/>
    <cellStyle name="20% - 强调文字颜色 6 4 20 5 6 2" xfId="14698"/>
    <cellStyle name="20% - 强调文字颜色 6 4 20 5 6 3" xfId="14699"/>
    <cellStyle name="20% - 强调文字颜色 6 4 20 5 7" xfId="14703"/>
    <cellStyle name="20% - 强调文字颜色 6 4 20 5 8" xfId="14705"/>
    <cellStyle name="20% - 强调文字颜色 6 4 20 5 9" xfId="14707"/>
    <cellStyle name="20% - 强调文字颜色 6 4 20 6" xfId="9537"/>
    <cellStyle name="20% - 强调文字颜色 6 4 20 6 2" xfId="11467"/>
    <cellStyle name="20% - 强调文字颜色 6 4 20 6 2 2" xfId="1137"/>
    <cellStyle name="20% - 强调文字颜色 6 4 20 6 2 3" xfId="1149"/>
    <cellStyle name="20% - 强调文字颜色 6 4 20 6 3" xfId="11882"/>
    <cellStyle name="20% - 强调文字颜色 6 4 20 6 4" xfId="14711"/>
    <cellStyle name="20% - 强调文字颜色 6 4 20 6 5" xfId="14714"/>
    <cellStyle name="20% - 强调文字颜色 6 4 20 6 6" xfId="14719"/>
    <cellStyle name="20% - 强调文字颜色 6 4 20 6 7" xfId="14722"/>
    <cellStyle name="20% - 强调文字颜色 6 4 20 6 8" xfId="10573"/>
    <cellStyle name="20% - 强调文字颜色 6 4 20 7" xfId="9812"/>
    <cellStyle name="20% - 强调文字颜色 6 4 20 8" xfId="14725"/>
    <cellStyle name="20% - 强调文字颜色 6 4 20 9" xfId="14730"/>
    <cellStyle name="20% - 强调文字颜色 6 4 20 9 2" xfId="14731"/>
    <cellStyle name="20% - 强调文字颜色 6 4 20 9 3" xfId="14733"/>
    <cellStyle name="20% - 强调文字颜色 6 4 3" xfId="14735"/>
    <cellStyle name="20% - 强调文字颜色 6 4 4" xfId="11629"/>
    <cellStyle name="20% - 强调文字颜色 6 4 5" xfId="11633"/>
    <cellStyle name="20% - 强调文字颜色 6 4 6" xfId="11636"/>
    <cellStyle name="20% - 强调文字颜色 6 4 7" xfId="11639"/>
    <cellStyle name="20% - 强调文字颜色 6 4 8" xfId="11642"/>
    <cellStyle name="20% - 强调文字颜色 6 4 9" xfId="8360"/>
    <cellStyle name="20% - 强调文字颜色 6 5" xfId="14737"/>
    <cellStyle name="20% - 强调文字颜色 6 5 10" xfId="14740"/>
    <cellStyle name="20% - 强调文字颜色 6 5 11" xfId="14742"/>
    <cellStyle name="20% - 强调文字颜色 6 5 12" xfId="14744"/>
    <cellStyle name="20% - 强调文字颜色 6 5 13" xfId="14745"/>
    <cellStyle name="20% - 强调文字颜色 6 5 14" xfId="14746"/>
    <cellStyle name="20% - 强调文字颜色 6 5 2" xfId="14748"/>
    <cellStyle name="20% - 强调文字颜色 6 5 3" xfId="11428"/>
    <cellStyle name="20% - 强调文字颜色 6 5 4" xfId="11430"/>
    <cellStyle name="20% - 强调文字颜色 6 5 5" xfId="11432"/>
    <cellStyle name="20% - 强调文字颜色 6 5 6" xfId="11435"/>
    <cellStyle name="20% - 强调文字颜色 6 5 7" xfId="11439"/>
    <cellStyle name="20% - 强调文字颜色 6 5 8" xfId="14312"/>
    <cellStyle name="20% - 强调文字颜色 6 5 9" xfId="14314"/>
    <cellStyle name="20% - 强调文字颜色 6 6" xfId="2046"/>
    <cellStyle name="20% - 强调文字颜色 6 6 10" xfId="8753"/>
    <cellStyle name="20% - 强调文字颜色 6 6 11" xfId="14749"/>
    <cellStyle name="20% - 强调文字颜色 6 6 12" xfId="14750"/>
    <cellStyle name="20% - 强调文字颜色 6 6 13" xfId="8767"/>
    <cellStyle name="20% - 强调文字颜色 6 6 14" xfId="11918"/>
    <cellStyle name="20% - 强调文字颜色 6 6 2" xfId="14754"/>
    <cellStyle name="20% - 强调文字颜色 6 6 3" xfId="14757"/>
    <cellStyle name="20% - 强调文字颜色 6 6 4" xfId="14761"/>
    <cellStyle name="20% - 强调文字颜色 6 6 5" xfId="14764"/>
    <cellStyle name="20% - 强调文字颜色 6 6 6" xfId="14766"/>
    <cellStyle name="20% - 强调文字颜色 6 6 7" xfId="14768"/>
    <cellStyle name="20% - 强调文字颜色 6 6 8" xfId="14769"/>
    <cellStyle name="20% - 强调文字颜色 6 6 9" xfId="14773"/>
    <cellStyle name="20% - 强调文字颜色 6 7" xfId="2110"/>
    <cellStyle name="20% - 强调文字颜色 6 8" xfId="2132"/>
    <cellStyle name="20% - 强调文字颜色 6 9" xfId="2150"/>
    <cellStyle name="20% - 輔色1" xfId="19"/>
    <cellStyle name="20% - 輔色1 2" xfId="38499"/>
    <cellStyle name="20% - 輔色2" xfId="20"/>
    <cellStyle name="20% - 輔色2 2" xfId="38498"/>
    <cellStyle name="20% - 輔色3" xfId="12514"/>
    <cellStyle name="20% - 輔色4" xfId="12524"/>
    <cellStyle name="20% - 輔色5" xfId="12535"/>
    <cellStyle name="20% - 輔色6" xfId="12541"/>
    <cellStyle name="25*62*210" xfId="38510"/>
    <cellStyle name="40% - Accent1 2" xfId="21"/>
    <cellStyle name="40% - Accent2 2" xfId="22"/>
    <cellStyle name="40% - Accent3 2" xfId="23"/>
    <cellStyle name="40% - Accent4 2" xfId="24"/>
    <cellStyle name="40% - Accent5 2" xfId="25"/>
    <cellStyle name="40% - Accent6 2" xfId="26"/>
    <cellStyle name="40% - 强调文字颜色 1 10" xfId="13862"/>
    <cellStyle name="40% - 强调文字颜色 1 11" xfId="14586"/>
    <cellStyle name="40% - 强调文字颜色 1 12" xfId="14775"/>
    <cellStyle name="40% - 强调文字颜色 1 12 10" xfId="7836"/>
    <cellStyle name="40% - 强调文字颜色 1 12 11" xfId="7848"/>
    <cellStyle name="40% - 强调文字颜色 1 12 12" xfId="7864"/>
    <cellStyle name="40% - 强调文字颜色 1 12 13" xfId="10284"/>
    <cellStyle name="40% - 强调文字颜色 1 12 14" xfId="10292"/>
    <cellStyle name="40% - 强调文字颜色 1 12 2" xfId="13619"/>
    <cellStyle name="40% - 强调文字颜色 1 12 3" xfId="2527"/>
    <cellStyle name="40% - 强调文字颜色 1 12 4" xfId="5130"/>
    <cellStyle name="40% - 强调文字颜色 1 12 5" xfId="14778"/>
    <cellStyle name="40% - 强调文字颜色 1 12 5 10" xfId="14780"/>
    <cellStyle name="40% - 强调文字颜色 1 12 5 11" xfId="14782"/>
    <cellStyle name="40% - 强调文字颜色 1 12 5 2" xfId="10735"/>
    <cellStyle name="40% - 强调文字颜色 1 12 5 2 2" xfId="14785"/>
    <cellStyle name="40% - 强调文字颜色 1 12 5 2 2 2" xfId="14788"/>
    <cellStyle name="40% - 强调文字颜色 1 12 5 2 2 3" xfId="14792"/>
    <cellStyle name="40% - 强调文字颜色 1 12 5 2 3" xfId="14794"/>
    <cellStyle name="40% - 强调文字颜色 1 12 5 2 4" xfId="10697"/>
    <cellStyle name="40% - 强调文字颜色 1 12 5 2 5" xfId="11706"/>
    <cellStyle name="40% - 强调文字颜色 1 12 5 2 6" xfId="11714"/>
    <cellStyle name="40% - 强调文字颜色 1 12 5 2 7" xfId="11722"/>
    <cellStyle name="40% - 强调文字颜色 1 12 5 2 8" xfId="11730"/>
    <cellStyle name="40% - 强调文字颜色 1 12 5 3" xfId="14797"/>
    <cellStyle name="40% - 强调文字颜色 1 12 5 4" xfId="14800"/>
    <cellStyle name="40% - 强调文字颜色 1 12 5 5" xfId="14802"/>
    <cellStyle name="40% - 强调文字颜色 1 12 5 6" xfId="14805"/>
    <cellStyle name="40% - 强调文字颜色 1 12 5 6 2" xfId="14806"/>
    <cellStyle name="40% - 强调文字颜色 1 12 5 6 3" xfId="14807"/>
    <cellStyle name="40% - 强调文字颜色 1 12 5 7" xfId="14810"/>
    <cellStyle name="40% - 强调文字颜色 1 12 5 8" xfId="9135"/>
    <cellStyle name="40% - 强调文字颜色 1 12 5 9" xfId="9161"/>
    <cellStyle name="40% - 强调文字颜色 1 12 6" xfId="14812"/>
    <cellStyle name="40% - 强调文字颜色 1 12 6 2" xfId="14813"/>
    <cellStyle name="40% - 强调文字颜色 1 12 6 2 2" xfId="14814"/>
    <cellStyle name="40% - 强调文字颜色 1 12 6 2 3" xfId="14817"/>
    <cellStyle name="40% - 强调文字颜色 1 12 6 3" xfId="14819"/>
    <cellStyle name="40% - 强调文字颜色 1 12 6 4" xfId="14820"/>
    <cellStyle name="40% - 强调文字颜色 1 12 6 5" xfId="14822"/>
    <cellStyle name="40% - 强调文字颜色 1 12 6 6" xfId="14824"/>
    <cellStyle name="40% - 强调文字颜色 1 12 6 7" xfId="10153"/>
    <cellStyle name="40% - 强调文字颜色 1 12 6 8" xfId="10159"/>
    <cellStyle name="40% - 强调文字颜色 1 12 7" xfId="14826"/>
    <cellStyle name="40% - 强调文字颜色 1 12 8" xfId="14828"/>
    <cellStyle name="40% - 强调文字颜色 1 12 9" xfId="14829"/>
    <cellStyle name="40% - 强调文字颜色 1 12 9 2" xfId="12498"/>
    <cellStyle name="40% - 强调文字颜色 1 12 9 3" xfId="12499"/>
    <cellStyle name="40% - 强调文字颜色 1 13" xfId="14831"/>
    <cellStyle name="40% - 强调文字颜色 1 14" xfId="14832"/>
    <cellStyle name="40% - 强调文字颜色 1 15" xfId="14834"/>
    <cellStyle name="40% - 强调文字颜色 1 16" xfId="14836"/>
    <cellStyle name="40% - 强调文字颜色 1 16 10" xfId="10582"/>
    <cellStyle name="40% - 强调文字颜色 1 16 11" xfId="14837"/>
    <cellStyle name="40% - 强调文字颜色 1 16 12" xfId="14838"/>
    <cellStyle name="40% - 强调文字颜色 1 16 13" xfId="14839"/>
    <cellStyle name="40% - 强调文字颜色 1 16 14" xfId="14840"/>
    <cellStyle name="40% - 强调文字颜色 1 16 2" xfId="14841"/>
    <cellStyle name="40% - 强调文字颜色 1 16 3" xfId="14842"/>
    <cellStyle name="40% - 强调文字颜色 1 16 4" xfId="14843"/>
    <cellStyle name="40% - 强调文字颜色 1 16 5" xfId="14844"/>
    <cellStyle name="40% - 强调文字颜色 1 16 5 10" xfId="5283"/>
    <cellStyle name="40% - 强调文字颜色 1 16 5 11" xfId="6089"/>
    <cellStyle name="40% - 强调文字颜色 1 16 5 2" xfId="1917"/>
    <cellStyle name="40% - 强调文字颜色 1 16 5 2 2" xfId="14846"/>
    <cellStyle name="40% - 强调文字颜色 1 16 5 2 2 2" xfId="14847"/>
    <cellStyle name="40% - 强调文字颜色 1 16 5 2 2 3" xfId="11411"/>
    <cellStyle name="40% - 强调文字颜色 1 16 5 2 3" xfId="14851"/>
    <cellStyle name="40% - 强调文字颜色 1 16 5 2 4" xfId="11817"/>
    <cellStyle name="40% - 强调文字颜色 1 16 5 2 5" xfId="11826"/>
    <cellStyle name="40% - 强调文字颜色 1 16 5 2 6" xfId="11835"/>
    <cellStyle name="40% - 强调文字颜色 1 16 5 2 7" xfId="11840"/>
    <cellStyle name="40% - 强调文字颜色 1 16 5 2 8" xfId="11846"/>
    <cellStyle name="40% - 强调文字颜色 1 16 5 3" xfId="1942"/>
    <cellStyle name="40% - 强调文字颜色 1 16 5 4" xfId="1831"/>
    <cellStyle name="40% - 强调文字颜色 1 16 5 5" xfId="1863"/>
    <cellStyle name="40% - 强调文字颜色 1 16 5 6" xfId="5063"/>
    <cellStyle name="40% - 强调文字颜色 1 16 5 6 2" xfId="3721"/>
    <cellStyle name="40% - 强调文字颜色 1 16 5 6 3" xfId="3736"/>
    <cellStyle name="40% - 强调文字颜色 1 16 5 7" xfId="5072"/>
    <cellStyle name="40% - 强调文字颜色 1 16 5 8" xfId="14855"/>
    <cellStyle name="40% - 强调文字颜色 1 16 5 9" xfId="14859"/>
    <cellStyle name="40% - 强调文字颜色 1 16 6" xfId="10984"/>
    <cellStyle name="40% - 强调文字颜色 1 16 6 2" xfId="6810"/>
    <cellStyle name="40% - 强调文字颜色 1 16 6 2 2" xfId="14860"/>
    <cellStyle name="40% - 强调文字颜色 1 16 6 2 3" xfId="14862"/>
    <cellStyle name="40% - 强调文字颜色 1 16 6 3" xfId="6822"/>
    <cellStyle name="40% - 强调文字颜色 1 16 6 4" xfId="14865"/>
    <cellStyle name="40% - 强调文字颜色 1 16 6 5" xfId="14866"/>
    <cellStyle name="40% - 强调文字颜色 1 16 6 6" xfId="14867"/>
    <cellStyle name="40% - 强调文字颜色 1 16 6 7" xfId="14868"/>
    <cellStyle name="40% - 强调文字颜色 1 16 6 8" xfId="13351"/>
    <cellStyle name="40% - 强调文字颜色 1 16 7" xfId="10994"/>
    <cellStyle name="40% - 强调文字颜色 1 16 8" xfId="11004"/>
    <cellStyle name="40% - 强调文字颜色 1 16 9" xfId="11013"/>
    <cellStyle name="40% - 强调文字颜色 1 16 9 2" xfId="2472"/>
    <cellStyle name="40% - 强调文字颜色 1 16 9 3" xfId="2495"/>
    <cellStyle name="40% - 强调文字颜色 1 17" xfId="14871"/>
    <cellStyle name="40% - 强调文字颜色 1 17 10" xfId="4435"/>
    <cellStyle name="40% - 强调文字颜色 1 17 11" xfId="4446"/>
    <cellStyle name="40% - 强调文字颜色 1 17 12" xfId="4463"/>
    <cellStyle name="40% - 强调文字颜色 1 17 13" xfId="4480"/>
    <cellStyle name="40% - 强调文字颜色 1 17 14" xfId="4493"/>
    <cellStyle name="40% - 强调文字颜色 1 17 2" xfId="2771"/>
    <cellStyle name="40% - 强调文字颜色 1 17 3" xfId="14872"/>
    <cellStyle name="40% - 强调文字颜色 1 17 4" xfId="14875"/>
    <cellStyle name="40% - 强调文字颜色 1 17 5" xfId="14878"/>
    <cellStyle name="40% - 强调文字颜色 1 17 5 10" xfId="14880"/>
    <cellStyle name="40% - 强调文字颜色 1 17 5 11" xfId="14883"/>
    <cellStyle name="40% - 强调文字颜色 1 17 5 2" xfId="3552"/>
    <cellStyle name="40% - 强调文字颜色 1 17 5 2 2" xfId="14885"/>
    <cellStyle name="40% - 强调文字颜色 1 17 5 2 2 2" xfId="3280"/>
    <cellStyle name="40% - 强调文字颜色 1 17 5 2 2 3" xfId="3872"/>
    <cellStyle name="40% - 强调文字颜色 1 17 5 2 3" xfId="3562"/>
    <cellStyle name="40% - 强调文字颜色 1 17 5 2 4" xfId="3811"/>
    <cellStyle name="40% - 强调文字颜色 1 17 5 2 5" xfId="5270"/>
    <cellStyle name="40% - 强调文字颜色 1 17 5 2 6" xfId="5290"/>
    <cellStyle name="40% - 强调文字颜色 1 17 5 2 7" xfId="5300"/>
    <cellStyle name="40% - 强调文字颜色 1 17 5 2 8" xfId="5312"/>
    <cellStyle name="40% - 强调文字颜色 1 17 5 3" xfId="14886"/>
    <cellStyle name="40% - 强调文字颜色 1 17 5 4" xfId="14894"/>
    <cellStyle name="40% - 强调文字颜色 1 17 5 5" xfId="14900"/>
    <cellStyle name="40% - 强调文字颜色 1 17 5 6" xfId="14905"/>
    <cellStyle name="40% - 强调文字颜色 1 17 5 6 2" xfId="14075"/>
    <cellStyle name="40% - 强调文字颜色 1 17 5 6 3" xfId="14080"/>
    <cellStyle name="40% - 强调文字颜色 1 17 5 7" xfId="14910"/>
    <cellStyle name="40% - 强调文字颜色 1 17 5 8" xfId="14239"/>
    <cellStyle name="40% - 强调文字颜色 1 17 5 9" xfId="14245"/>
    <cellStyle name="40% - 强调文字颜色 1 17 6" xfId="13263"/>
    <cellStyle name="40% - 强调文字颜色 1 17 6 2" xfId="14913"/>
    <cellStyle name="40% - 强调文字颜色 1 17 6 2 2" xfId="14916"/>
    <cellStyle name="40% - 强调文字颜色 1 17 6 2 3" xfId="14921"/>
    <cellStyle name="40% - 强调文字颜色 1 17 6 3" xfId="14924"/>
    <cellStyle name="40% - 强调文字颜色 1 17 6 4" xfId="11113"/>
    <cellStyle name="40% - 强调文字颜色 1 17 6 5" xfId="11119"/>
    <cellStyle name="40% - 强调文字颜色 1 17 6 6" xfId="14926"/>
    <cellStyle name="40% - 强调文字颜色 1 17 6 7" xfId="14928"/>
    <cellStyle name="40% - 强调文字颜色 1 17 6 8" xfId="14934"/>
    <cellStyle name="40% - 强调文字颜色 1 17 7" xfId="11199"/>
    <cellStyle name="40% - 强调文字颜色 1 17 8" xfId="11207"/>
    <cellStyle name="40% - 强调文字颜色 1 17 9" xfId="11212"/>
    <cellStyle name="40% - 强调文字颜色 1 17 9 2" xfId="3286"/>
    <cellStyle name="40% - 强调文字颜色 1 17 9 3" xfId="14935"/>
    <cellStyle name="40% - 强调文字颜色 1 18" xfId="14939"/>
    <cellStyle name="40% - 强调文字颜色 1 18 10" xfId="14941"/>
    <cellStyle name="40% - 强调文字颜色 1 18 11" xfId="14946"/>
    <cellStyle name="40% - 强调文字颜色 1 18 12" xfId="12280"/>
    <cellStyle name="40% - 强调文字颜色 1 18 13" xfId="12286"/>
    <cellStyle name="40% - 强调文字颜色 1 18 14" xfId="14950"/>
    <cellStyle name="40% - 强调文字颜色 1 18 2" xfId="14954"/>
    <cellStyle name="40% - 强调文字颜色 1 18 3" xfId="14960"/>
    <cellStyle name="40% - 强调文字颜色 1 18 4" xfId="14966"/>
    <cellStyle name="40% - 强调文字颜色 1 18 5" xfId="14968"/>
    <cellStyle name="40% - 强调文字颜色 1 18 5 10" xfId="3419"/>
    <cellStyle name="40% - 强调文字颜色 1 18 5 11" xfId="3542"/>
    <cellStyle name="40% - 强调文字颜色 1 18 5 2" xfId="14970"/>
    <cellStyle name="40% - 强调文字颜色 1 18 5 2 2" xfId="14972"/>
    <cellStyle name="40% - 强调文字颜色 1 18 5 2 2 2" xfId="9786"/>
    <cellStyle name="40% - 强调文字颜色 1 18 5 2 2 3" xfId="9801"/>
    <cellStyle name="40% - 强调文字颜色 1 18 5 2 3" xfId="1172"/>
    <cellStyle name="40% - 强调文字颜色 1 18 5 2 4" xfId="1185"/>
    <cellStyle name="40% - 强调文字颜色 1 18 5 2 5" xfId="11032"/>
    <cellStyle name="40% - 强调文字颜色 1 18 5 2 6" xfId="8074"/>
    <cellStyle name="40% - 强调文字颜色 1 18 5 2 7" xfId="8137"/>
    <cellStyle name="40% - 强调文字颜色 1 18 5 2 8" xfId="8147"/>
    <cellStyle name="40% - 强调文字颜色 1 18 5 3" xfId="14974"/>
    <cellStyle name="40% - 强调文字颜色 1 18 5 4" xfId="5495"/>
    <cellStyle name="40% - 强调文字颜色 1 18 5 5" xfId="5533"/>
    <cellStyle name="40% - 强调文字颜色 1 18 5 6" xfId="5537"/>
    <cellStyle name="40% - 强调文字颜色 1 18 5 6 2" xfId="14821"/>
    <cellStyle name="40% - 强调文字颜色 1 18 5 6 3" xfId="14823"/>
    <cellStyle name="40% - 强调文字颜色 1 18 5 7" xfId="5541"/>
    <cellStyle name="40% - 强调文字颜色 1 18 5 8" xfId="5545"/>
    <cellStyle name="40% - 强调文字颜色 1 18 5 9" xfId="5551"/>
    <cellStyle name="40% - 强调文字颜色 1 18 6" xfId="14975"/>
    <cellStyle name="40% - 强调文字颜色 1 18 6 2" xfId="14977"/>
    <cellStyle name="40% - 强调文字颜色 1 18 6 2 2" xfId="2486"/>
    <cellStyle name="40% - 强调文字颜色 1 18 6 2 3" xfId="14978"/>
    <cellStyle name="40% - 强调文字颜色 1 18 6 3" xfId="14981"/>
    <cellStyle name="40% - 强调文字颜色 1 18 6 4" xfId="14983"/>
    <cellStyle name="40% - 强调文字颜色 1 18 6 5" xfId="14985"/>
    <cellStyle name="40% - 强调文字颜色 1 18 6 6" xfId="14987"/>
    <cellStyle name="40% - 强调文字颜色 1 18 6 7" xfId="14988"/>
    <cellStyle name="40% - 强调文字颜色 1 18 6 8" xfId="14990"/>
    <cellStyle name="40% - 强调文字颜色 1 18 7" xfId="14991"/>
    <cellStyle name="40% - 强调文字颜色 1 18 8" xfId="14992"/>
    <cellStyle name="40% - 强调文字颜色 1 18 9" xfId="14993"/>
    <cellStyle name="40% - 强调文字颜色 1 18 9 2" xfId="14995"/>
    <cellStyle name="40% - 强调文字颜色 1 18 9 3" xfId="14997"/>
    <cellStyle name="40% - 强调文字颜色 1 19" xfId="14998"/>
    <cellStyle name="40% - 强调文字颜色 1 2" xfId="15005"/>
    <cellStyle name="40% - 强调文字颜色 1 2 10" xfId="10112"/>
    <cellStyle name="40% - 强调文字颜色 1 2 11" xfId="10116"/>
    <cellStyle name="40% - 强调文字颜色 1 2 12" xfId="15007"/>
    <cellStyle name="40% - 强调文字颜色 1 2 13" xfId="15009"/>
    <cellStyle name="40% - 强调文字颜色 1 2 14" xfId="15012"/>
    <cellStyle name="40% - 强调文字颜色 1 2 15" xfId="15015"/>
    <cellStyle name="40% - 强调文字颜色 1 2 16" xfId="15018"/>
    <cellStyle name="40% - 强调文字颜色 1 2 17" xfId="15020"/>
    <cellStyle name="40% - 强调文字颜色 1 2 17 10" xfId="8474"/>
    <cellStyle name="40% - 强调文字颜色 1 2 17 11" xfId="8574"/>
    <cellStyle name="40% - 强调文字颜色 1 2 17 12" xfId="8621"/>
    <cellStyle name="40% - 强调文字颜色 1 2 17 13" xfId="8628"/>
    <cellStyle name="40% - 强调文字颜色 1 2 17 14" xfId="8635"/>
    <cellStyle name="40% - 强调文字颜色 1 2 17 2" xfId="15022"/>
    <cellStyle name="40% - 强调文字颜色 1 2 17 3" xfId="15024"/>
    <cellStyle name="40% - 强调文字颜色 1 2 17 4" xfId="15028"/>
    <cellStyle name="40% - 强调文字颜色 1 2 17 5" xfId="15032"/>
    <cellStyle name="40% - 强调文字颜色 1 2 17 5 10" xfId="5263"/>
    <cellStyle name="40% - 强调文字颜色 1 2 17 5 11" xfId="3557"/>
    <cellStyle name="40% - 强调文字颜色 1 2 17 5 2" xfId="3891"/>
    <cellStyle name="40% - 强调文字颜色 1 2 17 5 2 2" xfId="15034"/>
    <cellStyle name="40% - 强调文字颜色 1 2 17 5 2 2 2" xfId="9858"/>
    <cellStyle name="40% - 强调文字颜色 1 2 17 5 2 2 3" xfId="9863"/>
    <cellStyle name="40% - 强调文字颜色 1 2 17 5 2 3" xfId="15036"/>
    <cellStyle name="40% - 强调文字颜色 1 2 17 5 2 4" xfId="15038"/>
    <cellStyle name="40% - 强调文字颜色 1 2 17 5 2 5" xfId="15039"/>
    <cellStyle name="40% - 强调文字颜色 1 2 17 5 2 6" xfId="15042"/>
    <cellStyle name="40% - 强调文字颜色 1 2 17 5 2 7" xfId="15043"/>
    <cellStyle name="40% - 强调文字颜色 1 2 17 5 2 8" xfId="12694"/>
    <cellStyle name="40% - 强调文字颜色 1 2 17 5 3" xfId="4995"/>
    <cellStyle name="40% - 强调文字颜色 1 2 17 5 4" xfId="11994"/>
    <cellStyle name="40% - 强调文字颜色 1 2 17 5 5" xfId="4166"/>
    <cellStyle name="40% - 强调文字颜色 1 2 17 5 6" xfId="4176"/>
    <cellStyle name="40% - 强调文字颜色 1 2 17 5 6 2" xfId="8069"/>
    <cellStyle name="40% - 强调文字颜色 1 2 17 5 6 3" xfId="8222"/>
    <cellStyle name="40% - 强调文字颜色 1 2 17 5 7" xfId="12010"/>
    <cellStyle name="40% - 强调文字颜色 1 2 17 5 8" xfId="12015"/>
    <cellStyle name="40% - 强调文字颜色 1 2 17 5 9" xfId="8481"/>
    <cellStyle name="40% - 强调文字颜色 1 2 17 6" xfId="15046"/>
    <cellStyle name="40% - 强调文字颜色 1 2 17 6 2" xfId="12838"/>
    <cellStyle name="40% - 强调文字颜色 1 2 17 6 2 2" xfId="15048"/>
    <cellStyle name="40% - 强调文字颜色 1 2 17 6 2 3" xfId="15050"/>
    <cellStyle name="40% - 强调文字颜色 1 2 17 6 3" xfId="15051"/>
    <cellStyle name="40% - 强调文字颜色 1 2 17 6 4" xfId="11613"/>
    <cellStyle name="40% - 强调文字颜色 1 2 17 6 5" xfId="11620"/>
    <cellStyle name="40% - 强调文字颜色 1 2 17 6 6" xfId="10487"/>
    <cellStyle name="40% - 强调文字颜色 1 2 17 6 7" xfId="10495"/>
    <cellStyle name="40% - 强调文字颜色 1 2 17 6 8" xfId="10503"/>
    <cellStyle name="40% - 强调文字颜色 1 2 17 7" xfId="4118"/>
    <cellStyle name="40% - 强调文字颜色 1 2 17 8" xfId="4125"/>
    <cellStyle name="40% - 强调文字颜色 1 2 17 9" xfId="4133"/>
    <cellStyle name="40% - 强调文字颜色 1 2 17 9 2" xfId="2103"/>
    <cellStyle name="40% - 强调文字颜色 1 2 17 9 3" xfId="13518"/>
    <cellStyle name="40% - 强调文字颜色 1 2 18" xfId="15053"/>
    <cellStyle name="40% - 强调文字颜色 1 2 18 10" xfId="13578"/>
    <cellStyle name="40% - 强调文字颜色 1 2 18 11" xfId="13581"/>
    <cellStyle name="40% - 强调文字颜色 1 2 18 12" xfId="13584"/>
    <cellStyle name="40% - 强调文字颜色 1 2 18 13" xfId="13587"/>
    <cellStyle name="40% - 强调文字颜色 1 2 18 14" xfId="3209"/>
    <cellStyle name="40% - 强调文字颜色 1 2 18 2" xfId="15054"/>
    <cellStyle name="40% - 强调文字颜色 1 2 18 3" xfId="15055"/>
    <cellStyle name="40% - 强调文字颜色 1 2 18 4" xfId="15058"/>
    <cellStyle name="40% - 强调文字颜色 1 2 18 5" xfId="15060"/>
    <cellStyle name="40% - 强调文字颜色 1 2 18 5 10" xfId="1803"/>
    <cellStyle name="40% - 强调文字颜色 1 2 18 5 11" xfId="1822"/>
    <cellStyle name="40% - 强调文字颜色 1 2 18 5 2" xfId="15061"/>
    <cellStyle name="40% - 强调文字颜色 1 2 18 5 2 2" xfId="9013"/>
    <cellStyle name="40% - 强调文字颜色 1 2 18 5 2 2 2" xfId="4944"/>
    <cellStyle name="40% - 强调文字颜色 1 2 18 5 2 2 3" xfId="4947"/>
    <cellStyle name="40% - 强调文字颜色 1 2 18 5 2 3" xfId="9020"/>
    <cellStyle name="40% - 强调文字颜色 1 2 18 5 2 4" xfId="9025"/>
    <cellStyle name="40% - 强调文字颜色 1 2 18 5 2 5" xfId="15065"/>
    <cellStyle name="40% - 强调文字颜色 1 2 18 5 2 6" xfId="11254"/>
    <cellStyle name="40% - 强调文字颜色 1 2 18 5 2 7" xfId="11258"/>
    <cellStyle name="40% - 强调文字颜色 1 2 18 5 2 8" xfId="15067"/>
    <cellStyle name="40% - 强调文字颜色 1 2 18 5 3" xfId="15068"/>
    <cellStyle name="40% - 强调文字颜色 1 2 18 5 4" xfId="12047"/>
    <cellStyle name="40% - 强调文字颜色 1 2 18 5 5" xfId="12056"/>
    <cellStyle name="40% - 强调文字颜色 1 2 18 5 6" xfId="12061"/>
    <cellStyle name="40% - 强调文字颜色 1 2 18 5 6 2" xfId="12922"/>
    <cellStyle name="40% - 强调文字颜色 1 2 18 5 6 3" xfId="12925"/>
    <cellStyle name="40% - 强调文字颜色 1 2 18 5 7" xfId="12067"/>
    <cellStyle name="40% - 强调文字颜色 1 2 18 5 8" xfId="12072"/>
    <cellStyle name="40% - 强调文字颜色 1 2 18 5 9" xfId="12075"/>
    <cellStyle name="40% - 强调文字颜色 1 2 18 6" xfId="15073"/>
    <cellStyle name="40% - 强调文字颜色 1 2 18 6 2" xfId="15074"/>
    <cellStyle name="40% - 强调文字颜色 1 2 18 6 2 2" xfId="11661"/>
    <cellStyle name="40% - 强调文字颜色 1 2 18 6 2 3" xfId="11664"/>
    <cellStyle name="40% - 强调文字颜色 1 2 18 6 3" xfId="15077"/>
    <cellStyle name="40% - 强调文字颜色 1 2 18 6 4" xfId="3059"/>
    <cellStyle name="40% - 强调文字颜色 1 2 18 6 5" xfId="3073"/>
    <cellStyle name="40% - 强调文字颜色 1 2 18 6 6" xfId="8204"/>
    <cellStyle name="40% - 强调文字颜色 1 2 18 6 7" xfId="8211"/>
    <cellStyle name="40% - 强调文字颜色 1 2 18 6 8" xfId="12078"/>
    <cellStyle name="40% - 强调文字颜色 1 2 18 7" xfId="15081"/>
    <cellStyle name="40% - 强调文字颜色 1 2 18 8" xfId="15084"/>
    <cellStyle name="40% - 强调文字颜色 1 2 18 9" xfId="15088"/>
    <cellStyle name="40% - 强调文字颜色 1 2 18 9 2" xfId="15090"/>
    <cellStyle name="40% - 强调文字颜色 1 2 18 9 3" xfId="15091"/>
    <cellStyle name="40% - 强调文字颜色 1 2 19" xfId="12407"/>
    <cellStyle name="40% - 强调文字颜色 1 2 19 10" xfId="1107"/>
    <cellStyle name="40% - 强调文字颜色 1 2 19 11" xfId="14971"/>
    <cellStyle name="40% - 强调文字颜色 1 2 19 12" xfId="1171"/>
    <cellStyle name="40% - 强调文字颜色 1 2 19 13" xfId="1184"/>
    <cellStyle name="40% - 强调文字颜色 1 2 19 14" xfId="11030"/>
    <cellStyle name="40% - 强调文字颜色 1 2 19 2" xfId="15092"/>
    <cellStyle name="40% - 强调文字颜色 1 2 19 3" xfId="11161"/>
    <cellStyle name="40% - 强调文字颜色 1 2 19 4" xfId="11168"/>
    <cellStyle name="40% - 强调文字颜色 1 2 19 5" xfId="11170"/>
    <cellStyle name="40% - 强调文字颜色 1 2 19 5 10" xfId="10342"/>
    <cellStyle name="40% - 强调文字颜色 1 2 19 5 11" xfId="10346"/>
    <cellStyle name="40% - 强调文字颜色 1 2 19 5 2" xfId="15093"/>
    <cellStyle name="40% - 强调文字颜色 1 2 19 5 2 2" xfId="13189"/>
    <cellStyle name="40% - 强调文字颜色 1 2 19 5 2 2 2" xfId="7556"/>
    <cellStyle name="40% - 强调文字颜色 1 2 19 5 2 2 3" xfId="7561"/>
    <cellStyle name="40% - 强调文字颜色 1 2 19 5 2 3" xfId="13192"/>
    <cellStyle name="40% - 强调文字颜色 1 2 19 5 2 4" xfId="9680"/>
    <cellStyle name="40% - 强调文字颜色 1 2 19 5 2 5" xfId="9686"/>
    <cellStyle name="40% - 强调文字颜色 1 2 19 5 2 6" xfId="13198"/>
    <cellStyle name="40% - 强调文字颜色 1 2 19 5 2 7" xfId="13202"/>
    <cellStyle name="40% - 强调文字颜色 1 2 19 5 2 8" xfId="15095"/>
    <cellStyle name="40% - 强调文字颜色 1 2 19 5 3" xfId="15097"/>
    <cellStyle name="40% - 强调文字颜色 1 2 19 5 4" xfId="12121"/>
    <cellStyle name="40% - 强调文字颜色 1 2 19 5 5" xfId="12143"/>
    <cellStyle name="40% - 强调文字颜色 1 2 19 5 6" xfId="12150"/>
    <cellStyle name="40% - 强调文字颜色 1 2 19 5 6 2" xfId="13032"/>
    <cellStyle name="40% - 强调文字颜色 1 2 19 5 6 3" xfId="13034"/>
    <cellStyle name="40% - 强调文字颜色 1 2 19 5 7" xfId="12157"/>
    <cellStyle name="40% - 强调文字颜色 1 2 19 5 8" xfId="12164"/>
    <cellStyle name="40% - 强调文字颜色 1 2 19 5 9" xfId="12173"/>
    <cellStyle name="40% - 强调文字颜色 1 2 19 6" xfId="11172"/>
    <cellStyle name="40% - 强调文字颜色 1 2 19 6 2" xfId="15099"/>
    <cellStyle name="40% - 强调文字颜色 1 2 19 6 2 2" xfId="15100"/>
    <cellStyle name="40% - 强调文字颜色 1 2 19 6 2 3" xfId="15102"/>
    <cellStyle name="40% - 强调文字颜色 1 2 19 6 3" xfId="15103"/>
    <cellStyle name="40% - 强调文字颜色 1 2 19 6 4" xfId="1200"/>
    <cellStyle name="40% - 强调文字颜色 1 2 19 6 5" xfId="522"/>
    <cellStyle name="40% - 强调文字颜色 1 2 19 6 6" xfId="6034"/>
    <cellStyle name="40% - 强调文字颜色 1 2 19 6 7" xfId="6040"/>
    <cellStyle name="40% - 强调文字颜色 1 2 19 6 8" xfId="6047"/>
    <cellStyle name="40% - 强调文字颜色 1 2 19 7" xfId="11174"/>
    <cellStyle name="40% - 强调文字颜色 1 2 19 8" xfId="11176"/>
    <cellStyle name="40% - 强调文字颜色 1 2 19 9" xfId="8682"/>
    <cellStyle name="40% - 强调文字颜色 1 2 19 9 2" xfId="15106"/>
    <cellStyle name="40% - 强调文字颜色 1 2 19 9 3" xfId="15107"/>
    <cellStyle name="40% - 强调文字颜色 1 2 2" xfId="15110"/>
    <cellStyle name="40% - 强调文字颜色 1 2 2 10" xfId="14651"/>
    <cellStyle name="40% - 强调文字颜色 1 2 2 11" xfId="14657"/>
    <cellStyle name="40% - 强调文字颜色 1 2 2 12" xfId="15114"/>
    <cellStyle name="40% - 强调文字颜色 1 2 2 13" xfId="15119"/>
    <cellStyle name="40% - 强调文字颜色 1 2 2 14" xfId="15121"/>
    <cellStyle name="40% - 强调文字颜色 1 2 2 2" xfId="7222"/>
    <cellStyle name="40% - 强调文字颜色 1 2 2 3" xfId="7227"/>
    <cellStyle name="40% - 强调文字颜色 1 2 2 4" xfId="7232"/>
    <cellStyle name="40% - 强调文字颜色 1 2 2 5" xfId="7238"/>
    <cellStyle name="40% - 强调文字颜色 1 2 2 6" xfId="7249"/>
    <cellStyle name="40% - 强调文字颜色 1 2 2 7" xfId="15122"/>
    <cellStyle name="40% - 强调文字颜色 1 2 2 8" xfId="15126"/>
    <cellStyle name="40% - 强调文字颜色 1 2 2 9" xfId="15130"/>
    <cellStyle name="40% - 强调文字颜色 1 2 20" xfId="15016"/>
    <cellStyle name="40% - 强调文字颜色 1 2 20 10" xfId="12417"/>
    <cellStyle name="40% - 强调文字颜色 1 2 20 11" xfId="12420"/>
    <cellStyle name="40% - 强调文字颜色 1 2 20 12" xfId="12423"/>
    <cellStyle name="40% - 强调文字颜色 1 2 20 13" xfId="1849"/>
    <cellStyle name="40% - 强调文字颜色 1 2 20 14" xfId="1873"/>
    <cellStyle name="40% - 强调文字颜色 1 2 20 2" xfId="15137"/>
    <cellStyle name="40% - 强调文字颜色 1 2 20 3" xfId="8970"/>
    <cellStyle name="40% - 强调文字颜色 1 2 20 4" xfId="8975"/>
    <cellStyle name="40% - 强调文字颜色 1 2 20 5" xfId="8981"/>
    <cellStyle name="40% - 强调文字颜色 1 2 20 5 10" xfId="12631"/>
    <cellStyle name="40% - 强调文字颜色 1 2 20 5 11" xfId="13654"/>
    <cellStyle name="40% - 强调文字颜色 1 2 20 5 2" xfId="15138"/>
    <cellStyle name="40% - 强调文字颜色 1 2 20 5 2 2" xfId="7429"/>
    <cellStyle name="40% - 强调文字颜色 1 2 20 5 2 2 2" xfId="15139"/>
    <cellStyle name="40% - 强调文字颜色 1 2 20 5 2 2 3" xfId="6068"/>
    <cellStyle name="40% - 强调文字颜色 1 2 20 5 2 3" xfId="13498"/>
    <cellStyle name="40% - 强调文字颜色 1 2 20 5 2 4" xfId="13500"/>
    <cellStyle name="40% - 强调文字颜色 1 2 20 5 2 5" xfId="15141"/>
    <cellStyle name="40% - 强调文字颜色 1 2 20 5 2 6" xfId="15142"/>
    <cellStyle name="40% - 强调文字颜色 1 2 20 5 2 7" xfId="15143"/>
    <cellStyle name="40% - 强调文字颜色 1 2 20 5 2 8" xfId="15145"/>
    <cellStyle name="40% - 强调文字颜色 1 2 20 5 3" xfId="15147"/>
    <cellStyle name="40% - 强调文字颜色 1 2 20 5 4" xfId="12252"/>
    <cellStyle name="40% - 强调文字颜色 1 2 20 5 5" xfId="12269"/>
    <cellStyle name="40% - 强调文字颜色 1 2 20 5 6" xfId="10094"/>
    <cellStyle name="40% - 强调文字颜色 1 2 20 5 6 2" xfId="15148"/>
    <cellStyle name="40% - 强调文字颜色 1 2 20 5 6 3" xfId="15149"/>
    <cellStyle name="40% - 强调文字颜色 1 2 20 5 7" xfId="10102"/>
    <cellStyle name="40% - 强调文字颜色 1 2 20 5 8" xfId="11950"/>
    <cellStyle name="40% - 强调文字颜色 1 2 20 5 9" xfId="11957"/>
    <cellStyle name="40% - 强调文字颜色 1 2 20 6" xfId="6899"/>
    <cellStyle name="40% - 强调文字颜色 1 2 20 6 2" xfId="11231"/>
    <cellStyle name="40% - 强调文字颜色 1 2 20 6 2 2" xfId="9914"/>
    <cellStyle name="40% - 强调文字颜色 1 2 20 6 2 3" xfId="9916"/>
    <cellStyle name="40% - 强调文字颜色 1 2 20 6 3" xfId="11238"/>
    <cellStyle name="40% - 强调文字颜色 1 2 20 6 4" xfId="11243"/>
    <cellStyle name="40% - 强调文字颜色 1 2 20 6 5" xfId="9273"/>
    <cellStyle name="40% - 强调文字颜色 1 2 20 6 6" xfId="9282"/>
    <cellStyle name="40% - 强调文字颜色 1 2 20 6 7" xfId="12293"/>
    <cellStyle name="40% - 强调文字颜色 1 2 20 6 8" xfId="12302"/>
    <cellStyle name="40% - 强调文字颜色 1 2 20 7" xfId="3199"/>
    <cellStyle name="40% - 强调文字颜色 1 2 20 8" xfId="3257"/>
    <cellStyle name="40% - 强调文字颜色 1 2 20 9" xfId="2653"/>
    <cellStyle name="40% - 强调文字颜色 1 2 20 9 2" xfId="15150"/>
    <cellStyle name="40% - 强调文字颜色 1 2 20 9 3" xfId="15151"/>
    <cellStyle name="40% - 强调文字颜色 1 2 3" xfId="15154"/>
    <cellStyle name="40% - 强调文字颜色 1 2 3 10" xfId="10961"/>
    <cellStyle name="40% - 强调文字颜色 1 2 3 11" xfId="10965"/>
    <cellStyle name="40% - 强调文字颜色 1 2 3 12" xfId="15156"/>
    <cellStyle name="40% - 强调文字颜色 1 2 3 13" xfId="2055"/>
    <cellStyle name="40% - 强调文字颜色 1 2 3 14" xfId="2121"/>
    <cellStyle name="40% - 强调文字颜色 1 2 3 2" xfId="7266"/>
    <cellStyle name="40% - 强调文字颜色 1 2 3 3" xfId="7268"/>
    <cellStyle name="40% - 强调文字颜色 1 2 3 4" xfId="7270"/>
    <cellStyle name="40% - 强调文字颜色 1 2 3 5" xfId="7272"/>
    <cellStyle name="40% - 强调文字颜色 1 2 3 6" xfId="15157"/>
    <cellStyle name="40% - 强调文字颜色 1 2 3 7" xfId="15159"/>
    <cellStyle name="40% - 强调文字颜色 1 2 3 8" xfId="15162"/>
    <cellStyle name="40% - 强调文字颜色 1 2 3 9" xfId="5655"/>
    <cellStyle name="40% - 强调文字颜色 1 2 4" xfId="15166"/>
    <cellStyle name="40% - 强调文字颜色 1 2 4 10" xfId="14481"/>
    <cellStyle name="40% - 强调文字颜色 1 2 4 11" xfId="14484"/>
    <cellStyle name="40% - 强调文字颜色 1 2 4 12" xfId="15167"/>
    <cellStyle name="40% - 强调文字颜色 1 2 4 13" xfId="15168"/>
    <cellStyle name="40% - 强调文字颜色 1 2 4 14" xfId="11365"/>
    <cellStyle name="40% - 强调文字颜色 1 2 4 2" xfId="15169"/>
    <cellStyle name="40% - 强调文字颜色 1 2 4 3" xfId="13159"/>
    <cellStyle name="40% - 强调文字颜色 1 2 4 4" xfId="13161"/>
    <cellStyle name="40% - 强调文字颜色 1 2 4 5" xfId="13164"/>
    <cellStyle name="40% - 强调文字颜色 1 2 4 6" xfId="13168"/>
    <cellStyle name="40% - 强调文字颜色 1 2 4 7" xfId="13173"/>
    <cellStyle name="40% - 强调文字颜色 1 2 4 8" xfId="13180"/>
    <cellStyle name="40% - 强调文字颜色 1 2 4 9" xfId="5783"/>
    <cellStyle name="40% - 强调文字颜色 1 2 5" xfId="15173"/>
    <cellStyle name="40% - 强调文字颜色 1 2 6" xfId="7401"/>
    <cellStyle name="40% - 强调文字颜色 1 2 7" xfId="7413"/>
    <cellStyle name="40% - 强调文字颜色 1 2 8" xfId="7422"/>
    <cellStyle name="40% - 强调文字颜色 1 2 9" xfId="246"/>
    <cellStyle name="40% - 强调文字颜色 1 3" xfId="15180"/>
    <cellStyle name="40% - 强调文字颜色 1 3 10" xfId="6523"/>
    <cellStyle name="40% - 强调文字颜色 1 3 11" xfId="1097"/>
    <cellStyle name="40% - 强调文字颜色 1 3 12" xfId="1153"/>
    <cellStyle name="40% - 强调文字颜色 1 3 13" xfId="1164"/>
    <cellStyle name="40% - 强调文字颜色 1 3 14" xfId="1181"/>
    <cellStyle name="40% - 强调文字颜色 1 3 15" xfId="1196"/>
    <cellStyle name="40% - 强调文字颜色 1 3 16" xfId="1213"/>
    <cellStyle name="40% - 强调文字颜色 1 3 17" xfId="536"/>
    <cellStyle name="40% - 强调文字颜色 1 3 17 10" xfId="15181"/>
    <cellStyle name="40% - 强调文字颜色 1 3 17 11" xfId="15184"/>
    <cellStyle name="40% - 强调文字颜色 1 3 17 12" xfId="15186"/>
    <cellStyle name="40% - 强调文字颜色 1 3 17 13" xfId="15188"/>
    <cellStyle name="40% - 强调文字颜色 1 3 17 14" xfId="15190"/>
    <cellStyle name="40% - 强调文字颜色 1 3 17 2" xfId="15193"/>
    <cellStyle name="40% - 强调文字颜色 1 3 17 2 2" xfId="15196"/>
    <cellStyle name="40% - 强调文字颜色 1 3 17 3" xfId="15198"/>
    <cellStyle name="40% - 强调文字颜色 1 3 17 4" xfId="15202"/>
    <cellStyle name="40% - 强调文字颜色 1 3 17 5" xfId="15206"/>
    <cellStyle name="40% - 强调文字颜色 1 3 17 5 10" xfId="15209"/>
    <cellStyle name="40% - 强调文字颜色 1 3 17 5 11" xfId="15135"/>
    <cellStyle name="40% - 强调文字颜色 1 3 17 5 2" xfId="15210"/>
    <cellStyle name="40% - 强调文字颜色 1 3 17 5 2 2" xfId="15213"/>
    <cellStyle name="40% - 强调文字颜色 1 3 17 5 2 2 2" xfId="15214"/>
    <cellStyle name="40% - 强调文字颜色 1 3 17 5 2 2 3" xfId="1115"/>
    <cellStyle name="40% - 强调文字颜色 1 3 17 5 2 3" xfId="15220"/>
    <cellStyle name="40% - 强调文字颜色 1 3 17 5 2 4" xfId="15224"/>
    <cellStyle name="40% - 强调文字颜色 1 3 17 5 2 5" xfId="15227"/>
    <cellStyle name="40% - 强调文字颜色 1 3 17 5 2 6" xfId="15230"/>
    <cellStyle name="40% - 强调文字颜色 1 3 17 5 2 7" xfId="15233"/>
    <cellStyle name="40% - 强调文字颜色 1 3 17 5 2 8" xfId="15235"/>
    <cellStyle name="40% - 强调文字颜色 1 3 17 5 3" xfId="15237"/>
    <cellStyle name="40% - 强调文字颜色 1 3 17 5 4" xfId="12401"/>
    <cellStyle name="40% - 强调文字颜色 1 3 17 5 5" xfId="12424"/>
    <cellStyle name="40% - 强调文字颜色 1 3 17 5 6" xfId="12428"/>
    <cellStyle name="40% - 强调文字颜色 1 3 17 5 6 2" xfId="8427"/>
    <cellStyle name="40% - 强调文字颜色 1 3 17 5 6 3" xfId="8439"/>
    <cellStyle name="40% - 强调文字颜色 1 3 17 5 7" xfId="8418"/>
    <cellStyle name="40% - 强调文字颜色 1 3 17 5 8" xfId="8428"/>
    <cellStyle name="40% - 强调文字颜色 1 3 17 5 9" xfId="8440"/>
    <cellStyle name="40% - 强调文字颜色 1 3 17 6" xfId="15241"/>
    <cellStyle name="40% - 强调文字颜色 1 3 17 6 2" xfId="14443"/>
    <cellStyle name="40% - 强调文字颜色 1 3 17 6 2 2" xfId="11098"/>
    <cellStyle name="40% - 强调文字颜色 1 3 17 6 2 3" xfId="10733"/>
    <cellStyle name="40% - 强调文字颜色 1 3 17 6 3" xfId="15244"/>
    <cellStyle name="40% - 强调文字颜色 1 3 17 6 4" xfId="12438"/>
    <cellStyle name="40% - 强调文字颜色 1 3 17 6 5" xfId="3705"/>
    <cellStyle name="40% - 强调文字颜色 1 3 17 6 6" xfId="3716"/>
    <cellStyle name="40% - 强调文字颜色 1 3 17 6 7" xfId="3728"/>
    <cellStyle name="40% - 强调文字颜色 1 3 17 6 8" xfId="11156"/>
    <cellStyle name="40% - 强调文字颜色 1 3 17 7" xfId="5031"/>
    <cellStyle name="40% - 强调文字颜色 1 3 17 8" xfId="5040"/>
    <cellStyle name="40% - 强调文字颜色 1 3 17 9" xfId="5048"/>
    <cellStyle name="40% - 强调文字颜色 1 3 17 9 2" xfId="15245"/>
    <cellStyle name="40% - 强调文字颜色 1 3 17 9 3" xfId="15246"/>
    <cellStyle name="40% - 强调文字颜色 1 3 18" xfId="15247"/>
    <cellStyle name="40% - 强调文字颜色 1 3 18 10" xfId="13704"/>
    <cellStyle name="40% - 强调文字颜色 1 3 18 11" xfId="13707"/>
    <cellStyle name="40% - 强调文字颜色 1 3 18 12" xfId="13710"/>
    <cellStyle name="40% - 强调文字颜色 1 3 18 13" xfId="13713"/>
    <cellStyle name="40% - 强调文字颜色 1 3 18 14" xfId="13716"/>
    <cellStyle name="40% - 强调文字颜色 1 3 18 2" xfId="15250"/>
    <cellStyle name="40% - 强调文字颜色 1 3 18 3" xfId="15251"/>
    <cellStyle name="40% - 强调文字颜色 1 3 18 4" xfId="8584"/>
    <cellStyle name="40% - 强调文字颜色 1 3 18 5" xfId="8591"/>
    <cellStyle name="40% - 强调文字颜色 1 3 18 5 10" xfId="5194"/>
    <cellStyle name="40% - 强调文字颜色 1 3 18 5 11" xfId="15253"/>
    <cellStyle name="40% - 强调文字颜色 1 3 18 5 2" xfId="15254"/>
    <cellStyle name="40% - 强调文字颜色 1 3 18 5 2 2" xfId="11022"/>
    <cellStyle name="40% - 强调文字颜色 1 3 18 5 2 2 2" xfId="15096"/>
    <cellStyle name="40% - 强调文字颜色 1 3 18 5 2 2 3" xfId="15255"/>
    <cellStyle name="40% - 强调文字颜色 1 3 18 5 2 3" xfId="9448"/>
    <cellStyle name="40% - 强调文字颜色 1 3 18 5 2 4" xfId="9458"/>
    <cellStyle name="40% - 强调文字颜色 1 3 18 5 2 5" xfId="13254"/>
    <cellStyle name="40% - 强调文字颜色 1 3 18 5 2 6" xfId="15257"/>
    <cellStyle name="40% - 强调文字颜色 1 3 18 5 2 7" xfId="15260"/>
    <cellStyle name="40% - 强调文字颜色 1 3 18 5 2 8" xfId="15262"/>
    <cellStyle name="40% - 强调文字颜色 1 3 18 5 3" xfId="15264"/>
    <cellStyle name="40% - 强调文字颜色 1 3 18 5 4" xfId="12456"/>
    <cellStyle name="40% - 强调文字颜色 1 3 18 5 5" xfId="12472"/>
    <cellStyle name="40% - 强调文字颜色 1 3 18 5 6" xfId="12477"/>
    <cellStyle name="40% - 强调文字颜色 1 3 18 5 6 2" xfId="15265"/>
    <cellStyle name="40% - 强调文字颜色 1 3 18 5 6 3" xfId="15266"/>
    <cellStyle name="40% - 强调文字颜色 1 3 18 5 7" xfId="12484"/>
    <cellStyle name="40% - 强调文字颜色 1 3 18 5 8" xfId="12488"/>
    <cellStyle name="40% - 强调文字颜色 1 3 18 5 9" xfId="12494"/>
    <cellStyle name="40% - 强调文字颜色 1 3 18 6" xfId="15269"/>
    <cellStyle name="40% - 强调文字颜色 1 3 18 6 2" xfId="15272"/>
    <cellStyle name="40% - 强调文字颜色 1 3 18 6 2 2" xfId="11436"/>
    <cellStyle name="40% - 强调文字颜色 1 3 18 6 2 3" xfId="11440"/>
    <cellStyle name="40% - 强调文字颜色 1 3 18 6 3" xfId="15274"/>
    <cellStyle name="40% - 强调文字颜色 1 3 18 6 4" xfId="12502"/>
    <cellStyle name="40% - 强调文字颜色 1 3 18 6 5" xfId="437"/>
    <cellStyle name="40% - 强调文字颜色 1 3 18 6 6" xfId="11135"/>
    <cellStyle name="40% - 强调文字颜色 1 3 18 6 7" xfId="11139"/>
    <cellStyle name="40% - 强调文字颜色 1 3 18 6 8" xfId="11143"/>
    <cellStyle name="40% - 强调文字颜色 1 3 18 7" xfId="15277"/>
    <cellStyle name="40% - 强调文字颜色 1 3 18 8" xfId="15278"/>
    <cellStyle name="40% - 强调文字颜色 1 3 18 9" xfId="15287"/>
    <cellStyle name="40% - 强调文字颜色 1 3 18 9 2" xfId="15288"/>
    <cellStyle name="40% - 强调文字颜色 1 3 18 9 3" xfId="15289"/>
    <cellStyle name="40% - 强调文字颜色 1 3 19" xfId="15290"/>
    <cellStyle name="40% - 强调文字颜色 1 3 19 10" xfId="14062"/>
    <cellStyle name="40% - 强调文字颜色 1 3 19 11" xfId="15293"/>
    <cellStyle name="40% - 强调文字颜色 1 3 19 12" xfId="4170"/>
    <cellStyle name="40% - 强调文字颜色 1 3 19 13" xfId="4180"/>
    <cellStyle name="40% - 强调文字颜色 1 3 19 14" xfId="15296"/>
    <cellStyle name="40% - 强调文字颜色 1 3 19 2" xfId="15301"/>
    <cellStyle name="40% - 强调文字颜色 1 3 19 3" xfId="15302"/>
    <cellStyle name="40% - 强调文字颜色 1 3 19 4" xfId="15303"/>
    <cellStyle name="40% - 强调文字颜色 1 3 19 5" xfId="15304"/>
    <cellStyle name="40% - 强调文字颜色 1 3 19 5 10" xfId="7265"/>
    <cellStyle name="40% - 强调文字颜色 1 3 19 5 11" xfId="15308"/>
    <cellStyle name="40% - 强调文字颜色 1 3 19 5 2" xfId="15309"/>
    <cellStyle name="40% - 强调文字颜色 1 3 19 5 2 2" xfId="14688"/>
    <cellStyle name="40% - 强调文字颜色 1 3 19 5 2 2 2" xfId="12323"/>
    <cellStyle name="40% - 强调文字颜色 1 3 19 5 2 2 3" xfId="12327"/>
    <cellStyle name="40% - 强调文字颜色 1 3 19 5 2 3" xfId="14692"/>
    <cellStyle name="40% - 强调文字颜色 1 3 19 5 2 4" xfId="14696"/>
    <cellStyle name="40% - 强调文字颜色 1 3 19 5 2 5" xfId="14702"/>
    <cellStyle name="40% - 强调文字颜色 1 3 19 5 2 6" xfId="14704"/>
    <cellStyle name="40% - 强调文字颜色 1 3 19 5 2 7" xfId="14706"/>
    <cellStyle name="40% - 强调文字颜色 1 3 19 5 2 8" xfId="15311"/>
    <cellStyle name="40% - 强调文字颜色 1 3 19 5 3" xfId="15312"/>
    <cellStyle name="40% - 强调文字颜色 1 3 19 5 4" xfId="12545"/>
    <cellStyle name="40% - 强调文字颜色 1 3 19 5 5" xfId="12582"/>
    <cellStyle name="40% - 强调文字颜色 1 3 19 5 6" xfId="12587"/>
    <cellStyle name="40% - 强调文字颜色 1 3 19 5 6 2" xfId="15318"/>
    <cellStyle name="40% - 强调文字颜色 1 3 19 5 6 3" xfId="15324"/>
    <cellStyle name="40% - 强调文字颜色 1 3 19 5 7" xfId="12591"/>
    <cellStyle name="40% - 强调文字颜色 1 3 19 5 8" xfId="12595"/>
    <cellStyle name="40% - 强调文字颜色 1 3 19 5 9" xfId="12601"/>
    <cellStyle name="40% - 强调文字颜色 1 3 19 6" xfId="15326"/>
    <cellStyle name="40% - 强调文字颜色 1 3 19 6 2" xfId="15327"/>
    <cellStyle name="40% - 强调文字颜色 1 3 19 6 2 2" xfId="15330"/>
    <cellStyle name="40% - 强调文字颜色 1 3 19 6 2 3" xfId="15332"/>
    <cellStyle name="40% - 强调文字颜色 1 3 19 6 3" xfId="15333"/>
    <cellStyle name="40% - 强调文字颜色 1 3 19 6 4" xfId="12614"/>
    <cellStyle name="40% - 强调文字颜色 1 3 19 6 5" xfId="12637"/>
    <cellStyle name="40% - 强调文字颜色 1 3 19 6 6" xfId="12644"/>
    <cellStyle name="40% - 强调文字颜色 1 3 19 6 7" xfId="12650"/>
    <cellStyle name="40% - 强调文字颜色 1 3 19 6 8" xfId="12654"/>
    <cellStyle name="40% - 强调文字颜色 1 3 19 7" xfId="15334"/>
    <cellStyle name="40% - 强调文字颜色 1 3 19 8" xfId="15335"/>
    <cellStyle name="40% - 强调文字颜色 1 3 19 9" xfId="15336"/>
    <cellStyle name="40% - 强调文字颜色 1 3 19 9 2" xfId="15337"/>
    <cellStyle name="40% - 强调文字颜色 1 3 19 9 3" xfId="15338"/>
    <cellStyle name="40% - 强调文字颜色 1 3 2" xfId="15340"/>
    <cellStyle name="40% - 强调文字颜色 1 3 2 10" xfId="15345"/>
    <cellStyle name="40% - 强调文字颜色 1 3 2 11" xfId="15352"/>
    <cellStyle name="40% - 强调文字颜色 1 3 2 12" xfId="5967"/>
    <cellStyle name="40% - 强调文字颜色 1 3 2 13" xfId="5981"/>
    <cellStyle name="40% - 强调文字颜色 1 3 2 14" xfId="5986"/>
    <cellStyle name="40% - 强调文字颜色 1 3 2 2" xfId="496"/>
    <cellStyle name="40% - 强调文字颜色 1 3 2 3" xfId="772"/>
    <cellStyle name="40% - 强调文字颜色 1 3 2 4" xfId="779"/>
    <cellStyle name="40% - 强调文字颜色 1 3 2 5" xfId="794"/>
    <cellStyle name="40% - 强调文字颜色 1 3 2 6" xfId="15355"/>
    <cellStyle name="40% - 强调文字颜色 1 3 2 7" xfId="15357"/>
    <cellStyle name="40% - 强调文字颜色 1 3 2 8" xfId="15359"/>
    <cellStyle name="40% - 强调文字颜色 1 3 2 9" xfId="15361"/>
    <cellStyle name="40% - 强调文字颜色 1 3 20" xfId="1197"/>
    <cellStyle name="40% - 强调文字颜色 1 3 20 10" xfId="12465"/>
    <cellStyle name="40% - 强调文字颜色 1 3 20 11" xfId="12467"/>
    <cellStyle name="40% - 强调文字颜色 1 3 20 12" xfId="12470"/>
    <cellStyle name="40% - 强调文字颜色 1 3 20 13" xfId="4047"/>
    <cellStyle name="40% - 强调文字颜色 1 3 20 14" xfId="4054"/>
    <cellStyle name="40% - 强调文字颜色 1 3 20 2" xfId="15252"/>
    <cellStyle name="40% - 强调文字颜色 1 3 20 3" xfId="10612"/>
    <cellStyle name="40% - 强调文字颜色 1 3 20 4" xfId="10616"/>
    <cellStyle name="40% - 强调文字颜色 1 3 20 5" xfId="15363"/>
    <cellStyle name="40% - 强调文字颜色 1 3 20 5 10" xfId="15365"/>
    <cellStyle name="40% - 强调文字颜色 1 3 20 5 11" xfId="15366"/>
    <cellStyle name="40% - 强调文字颜色 1 3 20 5 2" xfId="15367"/>
    <cellStyle name="40% - 强调文字颜色 1 3 20 5 2 2" xfId="4547"/>
    <cellStyle name="40% - 强调文字颜色 1 3 20 5 2 2 2" xfId="4561"/>
    <cellStyle name="40% - 强调文字颜色 1 3 20 5 2 2 3" xfId="4584"/>
    <cellStyle name="40% - 强调文字颜色 1 3 20 5 2 3" xfId="4601"/>
    <cellStyle name="40% - 强调文字颜色 1 3 20 5 2 4" xfId="4609"/>
    <cellStyle name="40% - 强调文字颜色 1 3 20 5 2 5" xfId="400"/>
    <cellStyle name="40% - 强调文字颜色 1 3 20 5 2 6" xfId="15368"/>
    <cellStyle name="40% - 强调文字颜色 1 3 20 5 2 7" xfId="15369"/>
    <cellStyle name="40% - 强调文字颜色 1 3 20 5 2 8" xfId="13289"/>
    <cellStyle name="40% - 强调文字颜色 1 3 20 5 3" xfId="15370"/>
    <cellStyle name="40% - 强调文字颜色 1 3 20 5 4" xfId="12697"/>
    <cellStyle name="40% - 强调文字颜色 1 3 20 5 5" xfId="12709"/>
    <cellStyle name="40% - 强调文字颜色 1 3 20 5 6" xfId="12713"/>
    <cellStyle name="40% - 强调文字颜色 1 3 20 5 6 2" xfId="15371"/>
    <cellStyle name="40% - 强调文字颜色 1 3 20 5 6 3" xfId="15372"/>
    <cellStyle name="40% - 强调文字颜色 1 3 20 5 7" xfId="12717"/>
    <cellStyle name="40% - 强调文字颜色 1 3 20 5 8" xfId="12720"/>
    <cellStyle name="40% - 强调文字颜色 1 3 20 5 9" xfId="12727"/>
    <cellStyle name="40% - 强调文字颜色 1 3 20 6" xfId="15373"/>
    <cellStyle name="40% - 强调文字颜色 1 3 20 6 2" xfId="7670"/>
    <cellStyle name="40% - 强调文字颜色 1 3 20 6 2 2" xfId="15375"/>
    <cellStyle name="40% - 强调文字颜色 1 3 20 6 2 3" xfId="10543"/>
    <cellStyle name="40% - 强调文字颜色 1 3 20 6 3" xfId="15379"/>
    <cellStyle name="40% - 强调文字颜色 1 3 20 6 4" xfId="12732"/>
    <cellStyle name="40% - 强调文字颜色 1 3 20 6 5" xfId="12745"/>
    <cellStyle name="40% - 强调文字颜色 1 3 20 6 6" xfId="12751"/>
    <cellStyle name="40% - 强调文字颜色 1 3 20 6 7" xfId="12759"/>
    <cellStyle name="40% - 强调文字颜色 1 3 20 6 8" xfId="12768"/>
    <cellStyle name="40% - 强调文字颜色 1 3 20 7" xfId="4136"/>
    <cellStyle name="40% - 强调文字颜色 1 3 20 8" xfId="4205"/>
    <cellStyle name="40% - 强调文字颜色 1 3 20 9" xfId="4265"/>
    <cellStyle name="40% - 强调文字颜色 1 3 20 9 2" xfId="15381"/>
    <cellStyle name="40% - 强调文字颜色 1 3 20 9 3" xfId="15382"/>
    <cellStyle name="40% - 强调文字颜色 1 3 3" xfId="14228"/>
    <cellStyle name="40% - 强调文字颜色 1 3 3 10" xfId="15384"/>
    <cellStyle name="40% - 强调文字颜色 1 3 3 11" xfId="15386"/>
    <cellStyle name="40% - 强调文字颜色 1 3 3 12" xfId="15387"/>
    <cellStyle name="40% - 强调文字颜色 1 3 3 13" xfId="15388"/>
    <cellStyle name="40% - 强调文字颜色 1 3 3 14" xfId="15390"/>
    <cellStyle name="40% - 强调文字颜色 1 3 3 2" xfId="15391"/>
    <cellStyle name="40% - 强调文字颜色 1 3 3 3" xfId="15394"/>
    <cellStyle name="40% - 强调文字颜色 1 3 3 4" xfId="15397"/>
    <cellStyle name="40% - 强调文字颜色 1 3 3 5" xfId="15399"/>
    <cellStyle name="40% - 强调文字颜色 1 3 3 6" xfId="15401"/>
    <cellStyle name="40% - 强调文字颜色 1 3 3 7" xfId="15403"/>
    <cellStyle name="40% - 强调文字颜色 1 3 3 8" xfId="15406"/>
    <cellStyle name="40% - 强调文字颜色 1 3 3 9" xfId="3591"/>
    <cellStyle name="40% - 强调文字颜色 1 3 4" xfId="14231"/>
    <cellStyle name="40% - 强调文字颜色 1 3 4 10" xfId="7776"/>
    <cellStyle name="40% - 强调文字颜色 1 3 4 11" xfId="8749"/>
    <cellStyle name="40% - 强调文字颜色 1 3 4 12" xfId="8755"/>
    <cellStyle name="40% - 强调文字颜色 1 3 4 13" xfId="8759"/>
    <cellStyle name="40% - 强调文字颜色 1 3 4 14" xfId="8764"/>
    <cellStyle name="40% - 强调文字颜色 1 3 4 2" xfId="15412"/>
    <cellStyle name="40% - 强调文字颜色 1 3 4 3" xfId="13212"/>
    <cellStyle name="40% - 强调文字颜色 1 3 4 4" xfId="13221"/>
    <cellStyle name="40% - 强调文字颜色 1 3 4 5" xfId="15415"/>
    <cellStyle name="40% - 强调文字颜色 1 3 4 6" xfId="15422"/>
    <cellStyle name="40% - 强调文字颜色 1 3 4 7" xfId="15346"/>
    <cellStyle name="40% - 强调文字颜色 1 3 4 8" xfId="15353"/>
    <cellStyle name="40% - 强调文字颜色 1 3 4 9" xfId="5968"/>
    <cellStyle name="40% - 强调文字颜色 1 3 5" xfId="15424"/>
    <cellStyle name="40% - 强调文字颜色 1 3 6" xfId="15425"/>
    <cellStyle name="40% - 强调文字颜色 1 3 7" xfId="15426"/>
    <cellStyle name="40% - 强调文字颜色 1 3 8" xfId="15427"/>
    <cellStyle name="40% - 强调文字颜色 1 3 9" xfId="15428"/>
    <cellStyle name="40% - 强调文字颜色 1 4" xfId="7876"/>
    <cellStyle name="40% - 强调文字颜色 1 4 10" xfId="15429"/>
    <cellStyle name="40% - 强调文字颜色 1 4 11" xfId="15433"/>
    <cellStyle name="40% - 强调文字颜色 1 4 12" xfId="15437"/>
    <cellStyle name="40% - 强调文字颜色 1 4 13" xfId="15438"/>
    <cellStyle name="40% - 强调文字颜色 1 4 14" xfId="15439"/>
    <cellStyle name="40% - 强调文字颜色 1 4 15" xfId="15441"/>
    <cellStyle name="40% - 强调文字颜色 1 4 16" xfId="15444"/>
    <cellStyle name="40% - 强调文字颜色 1 4 17" xfId="15446"/>
    <cellStyle name="40% - 强调文字颜色 1 4 17 10" xfId="15448"/>
    <cellStyle name="40% - 强调文字颜色 1 4 17 11" xfId="3979"/>
    <cellStyle name="40% - 强调文字颜色 1 4 17 12" xfId="4911"/>
    <cellStyle name="40% - 强调文字颜色 1 4 17 13" xfId="5213"/>
    <cellStyle name="40% - 强调文字颜色 1 4 17 14" xfId="2836"/>
    <cellStyle name="40% - 强调文字颜色 1 4 17 2" xfId="15449"/>
    <cellStyle name="40% - 强调文字颜色 1 4 17 3" xfId="6737"/>
    <cellStyle name="40% - 强调文字颜色 1 4 17 4" xfId="6747"/>
    <cellStyle name="40% - 强调文字颜色 1 4 17 5" xfId="6758"/>
    <cellStyle name="40% - 强调文字颜色 1 4 17 5 10" xfId="5089"/>
    <cellStyle name="40% - 强调文字颜色 1 4 17 5 11" xfId="9103"/>
    <cellStyle name="40% - 强调文字颜色 1 4 17 5 2" xfId="15450"/>
    <cellStyle name="40% - 强调文字颜色 1 4 17 5 2 2" xfId="3337"/>
    <cellStyle name="40% - 强调文字颜色 1 4 17 5 2 2 2" xfId="9185"/>
    <cellStyle name="40% - 强调文字颜色 1 4 17 5 2 2 3" xfId="6220"/>
    <cellStyle name="40% - 强调文字颜色 1 4 17 5 2 3" xfId="3349"/>
    <cellStyle name="40% - 强调文字颜色 1 4 17 5 2 4" xfId="3365"/>
    <cellStyle name="40% - 强调文字颜色 1 4 17 5 2 5" xfId="9203"/>
    <cellStyle name="40% - 强调文字颜色 1 4 17 5 2 6" xfId="15456"/>
    <cellStyle name="40% - 强调文字颜色 1 4 17 5 2 7" xfId="15459"/>
    <cellStyle name="40% - 强调文字颜色 1 4 17 5 2 8" xfId="15461"/>
    <cellStyle name="40% - 强调文字颜色 1 4 17 5 3" xfId="15462"/>
    <cellStyle name="40% - 强调文字颜色 1 4 17 5 4" xfId="12876"/>
    <cellStyle name="40% - 强调文字颜色 1 4 17 5 5" xfId="12889"/>
    <cellStyle name="40% - 强调文字颜色 1 4 17 5 6" xfId="12892"/>
    <cellStyle name="40% - 强调文字颜色 1 4 17 5 6 2" xfId="14119"/>
    <cellStyle name="40% - 强调文字颜色 1 4 17 5 6 3" xfId="14131"/>
    <cellStyle name="40% - 强调文字颜色 1 4 17 5 7" xfId="12895"/>
    <cellStyle name="40% - 强调文字颜色 1 4 17 5 8" xfId="12899"/>
    <cellStyle name="40% - 强调文字颜色 1 4 17 5 9" xfId="12905"/>
    <cellStyle name="40% - 强调文字颜色 1 4 17 6" xfId="8100"/>
    <cellStyle name="40% - 强调文字颜色 1 4 17 6 2" xfId="12045"/>
    <cellStyle name="40% - 强调文字颜色 1 4 17 6 2 2" xfId="1578"/>
    <cellStyle name="40% - 强调文字颜色 1 4 17 6 2 3" xfId="1593"/>
    <cellStyle name="40% - 强调文字颜色 1 4 17 6 3" xfId="12054"/>
    <cellStyle name="40% - 强调文字颜色 1 4 17 6 4" xfId="12058"/>
    <cellStyle name="40% - 强调文字颜色 1 4 17 6 5" xfId="12063"/>
    <cellStyle name="40% - 强调文字颜色 1 4 17 6 6" xfId="12069"/>
    <cellStyle name="40% - 强调文字颜色 1 4 17 6 7" xfId="12074"/>
    <cellStyle name="40% - 强调文字颜色 1 4 17 6 8" xfId="2441"/>
    <cellStyle name="40% - 强调文字颜色 1 4 17 7" xfId="6199"/>
    <cellStyle name="40% - 强调文字颜色 1 4 17 8" xfId="6208"/>
    <cellStyle name="40% - 强调文字颜色 1 4 17 9" xfId="12099"/>
    <cellStyle name="40% - 强调文字颜色 1 4 17 9 2" xfId="15464"/>
    <cellStyle name="40% - 强调文字颜色 1 4 17 9 3" xfId="15465"/>
    <cellStyle name="40% - 强调文字颜色 1 4 18" xfId="15467"/>
    <cellStyle name="40% - 强调文字颜色 1 4 18 10" xfId="10124"/>
    <cellStyle name="40% - 强调文字颜色 1 4 18 11" xfId="7374"/>
    <cellStyle name="40% - 强调文字颜色 1 4 18 12" xfId="7380"/>
    <cellStyle name="40% - 强调文字颜色 1 4 18 13" xfId="7386"/>
    <cellStyle name="40% - 强调文字颜色 1 4 18 14" xfId="763"/>
    <cellStyle name="40% - 强调文字颜色 1 4 18 2" xfId="15468"/>
    <cellStyle name="40% - 强调文字颜色 1 4 18 3" xfId="7559"/>
    <cellStyle name="40% - 强调文字颜色 1 4 18 4" xfId="7571"/>
    <cellStyle name="40% - 强调文字颜色 1 4 18 5" xfId="12114"/>
    <cellStyle name="40% - 强调文字颜色 1 4 18 5 10" xfId="6985"/>
    <cellStyle name="40% - 强调文字颜色 1 4 18 5 11" xfId="6992"/>
    <cellStyle name="40% - 强调文字颜色 1 4 18 5 2" xfId="11740"/>
    <cellStyle name="40% - 强调文字颜色 1 4 18 5 2 2" xfId="12299"/>
    <cellStyle name="40% - 强调文字颜色 1 4 18 5 2 2 2" xfId="15469"/>
    <cellStyle name="40% - 强调文字颜色 1 4 18 5 2 2 3" xfId="15471"/>
    <cellStyle name="40% - 强调文字颜色 1 4 18 5 2 3" xfId="12306"/>
    <cellStyle name="40% - 强调文字颜色 1 4 18 5 2 4" xfId="12310"/>
    <cellStyle name="40% - 强调文字颜色 1 4 18 5 2 5" xfId="15472"/>
    <cellStyle name="40% - 强调文字颜色 1 4 18 5 2 6" xfId="15474"/>
    <cellStyle name="40% - 强调文字颜色 1 4 18 5 2 7" xfId="15477"/>
    <cellStyle name="40% - 强调文字颜色 1 4 18 5 2 8" xfId="15480"/>
    <cellStyle name="40% - 强调文字颜色 1 4 18 5 3" xfId="15483"/>
    <cellStyle name="40% - 强调文字颜色 1 4 18 5 4" xfId="12970"/>
    <cellStyle name="40% - 强调文字颜色 1 4 18 5 5" xfId="678"/>
    <cellStyle name="40% - 强调文字颜色 1 4 18 5 6" xfId="709"/>
    <cellStyle name="40% - 强调文字颜色 1 4 18 5 6 2" xfId="2695"/>
    <cellStyle name="40% - 强调文字颜色 1 4 18 5 6 3" xfId="1127"/>
    <cellStyle name="40% - 强调文字颜色 1 4 18 5 7" xfId="12993"/>
    <cellStyle name="40% - 强调文字颜色 1 4 18 5 8" xfId="12999"/>
    <cellStyle name="40% - 强调文字颜色 1 4 18 5 9" xfId="13019"/>
    <cellStyle name="40% - 强调文字颜色 1 4 18 6" xfId="12118"/>
    <cellStyle name="40% - 强调文字颜色 1 4 18 6 2" xfId="12123"/>
    <cellStyle name="40% - 强调文字颜色 1 4 18 6 2 2" xfId="10325"/>
    <cellStyle name="40% - 强调文字颜色 1 4 18 6 2 3" xfId="10332"/>
    <cellStyle name="40% - 强调文字颜色 1 4 18 6 3" xfId="12145"/>
    <cellStyle name="40% - 强调文字颜色 1 4 18 6 4" xfId="12152"/>
    <cellStyle name="40% - 强调文字颜色 1 4 18 6 5" xfId="12159"/>
    <cellStyle name="40% - 强调文字颜色 1 4 18 6 6" xfId="12167"/>
    <cellStyle name="40% - 强调文字颜色 1 4 18 6 7" xfId="12176"/>
    <cellStyle name="40% - 强调文字颜色 1 4 18 6 8" xfId="12183"/>
    <cellStyle name="40% - 强调文字颜色 1 4 18 7" xfId="12195"/>
    <cellStyle name="40% - 强调文字颜色 1 4 18 8" xfId="12198"/>
    <cellStyle name="40% - 强调文字颜色 1 4 18 9" xfId="12202"/>
    <cellStyle name="40% - 强调文字颜色 1 4 18 9 2" xfId="15485"/>
    <cellStyle name="40% - 强调文字颜色 1 4 18 9 3" xfId="15490"/>
    <cellStyle name="40% - 强调文字颜色 1 4 19" xfId="15493"/>
    <cellStyle name="40% - 强调文字颜色 1 4 19 10" xfId="5073"/>
    <cellStyle name="40% - 强调文字颜色 1 4 19 11" xfId="15494"/>
    <cellStyle name="40% - 强调文字颜色 1 4 19 12" xfId="4837"/>
    <cellStyle name="40% - 强调文字颜色 1 4 19 13" xfId="4842"/>
    <cellStyle name="40% - 强调文字颜色 1 4 19 14" xfId="15497"/>
    <cellStyle name="40% - 强调文字颜色 1 4 19 2" xfId="15502"/>
    <cellStyle name="40% - 强调文字颜色 1 4 19 3" xfId="15505"/>
    <cellStyle name="40% - 强调文字颜色 1 4 19 4" xfId="15510"/>
    <cellStyle name="40% - 强调文字颜色 1 4 19 5" xfId="15515"/>
    <cellStyle name="40% - 强调文字颜色 1 4 19 5 10" xfId="8828"/>
    <cellStyle name="40% - 强调文字颜色 1 4 19 5 11" xfId="8836"/>
    <cellStyle name="40% - 强调文字颜色 1 4 19 5 2" xfId="15516"/>
    <cellStyle name="40% - 强调文字颜色 1 4 19 5 2 2" xfId="12560"/>
    <cellStyle name="40% - 强调文字颜色 1 4 19 5 2 2 2" xfId="422"/>
    <cellStyle name="40% - 强调文字颜色 1 4 19 5 2 2 3" xfId="15519"/>
    <cellStyle name="40% - 强调文字颜色 1 4 19 5 2 3" xfId="15522"/>
    <cellStyle name="40% - 强调文字颜色 1 4 19 5 2 4" xfId="15526"/>
    <cellStyle name="40% - 强调文字颜色 1 4 19 5 2 5" xfId="15529"/>
    <cellStyle name="40% - 强调文字颜色 1 4 19 5 2 6" xfId="15530"/>
    <cellStyle name="40% - 强调文字颜色 1 4 19 5 2 7" xfId="15532"/>
    <cellStyle name="40% - 强调文字颜色 1 4 19 5 2 8" xfId="15534"/>
    <cellStyle name="40% - 强调文字颜色 1 4 19 5 3" xfId="15538"/>
    <cellStyle name="40% - 强调文字颜色 1 4 19 5 4" xfId="13075"/>
    <cellStyle name="40% - 强调文字颜色 1 4 19 5 5" xfId="13100"/>
    <cellStyle name="40% - 强调文字颜色 1 4 19 5 6" xfId="13103"/>
    <cellStyle name="40% - 强调文字颜色 1 4 19 5 6 2" xfId="15541"/>
    <cellStyle name="40% - 强调文字颜色 1 4 19 5 6 3" xfId="15545"/>
    <cellStyle name="40% - 强调文字颜色 1 4 19 5 7" xfId="13107"/>
    <cellStyle name="40% - 强调文字颜色 1 4 19 5 8" xfId="13110"/>
    <cellStyle name="40% - 强调文字颜色 1 4 19 5 9" xfId="1246"/>
    <cellStyle name="40% - 强调文字颜色 1 4 19 6" xfId="14600"/>
    <cellStyle name="40% - 强调文字颜色 1 4 19 6 2" xfId="14602"/>
    <cellStyle name="40% - 强调文字颜色 1 4 19 6 2 2" xfId="11671"/>
    <cellStyle name="40% - 强调文字颜色 1 4 19 6 2 3" xfId="11677"/>
    <cellStyle name="40% - 强调文字颜色 1 4 19 6 3" xfId="14604"/>
    <cellStyle name="40% - 强调文字颜色 1 4 19 6 4" xfId="13121"/>
    <cellStyle name="40% - 强调文字颜色 1 4 19 6 5" xfId="13130"/>
    <cellStyle name="40% - 强调文字颜色 1 4 19 6 6" xfId="13135"/>
    <cellStyle name="40% - 强调文字颜色 1 4 19 6 7" xfId="13140"/>
    <cellStyle name="40% - 强调文字颜色 1 4 19 6 8" xfId="13145"/>
    <cellStyle name="40% - 强调文字颜色 1 4 19 7" xfId="14608"/>
    <cellStyle name="40% - 强调文字颜色 1 4 19 8" xfId="14612"/>
    <cellStyle name="40% - 强调文字颜色 1 4 19 9" xfId="14616"/>
    <cellStyle name="40% - 强调文字颜色 1 4 19 9 2" xfId="15546"/>
    <cellStyle name="40% - 强调文字颜色 1 4 19 9 3" xfId="15215"/>
    <cellStyle name="40% - 强调文字颜色 1 4 2" xfId="15548"/>
    <cellStyle name="40% - 强调文字颜色 1 4 20" xfId="15442"/>
    <cellStyle name="40% - 强调文字颜色 1 4 20 10" xfId="12575"/>
    <cellStyle name="40% - 强调文字颜色 1 4 20 11" xfId="12580"/>
    <cellStyle name="40% - 强调文字颜色 1 4 20 12" xfId="10874"/>
    <cellStyle name="40% - 强调文字颜色 1 4 20 13" xfId="11042"/>
    <cellStyle name="40% - 强调文字颜色 1 4 20 14" xfId="11054"/>
    <cellStyle name="40% - 强调文字颜色 1 4 20 2" xfId="15305"/>
    <cellStyle name="40% - 强调文字颜色 1 4 20 3" xfId="15550"/>
    <cellStyle name="40% - 强调文字颜色 1 4 20 4" xfId="15552"/>
    <cellStyle name="40% - 强调文字颜色 1 4 20 5" xfId="15554"/>
    <cellStyle name="40% - 强调文字颜色 1 4 20 5 10" xfId="3695"/>
    <cellStyle name="40% - 强调文字颜色 1 4 20 5 11" xfId="3699"/>
    <cellStyle name="40% - 强调文字颜色 1 4 20 5 2" xfId="15556"/>
    <cellStyle name="40% - 强调文字颜色 1 4 20 5 2 2" xfId="7226"/>
    <cellStyle name="40% - 强调文字颜色 1 4 20 5 2 2 2" xfId="4532"/>
    <cellStyle name="40% - 强调文字颜色 1 4 20 5 2 2 3" xfId="4542"/>
    <cellStyle name="40% - 强调文字颜色 1 4 20 5 2 3" xfId="7231"/>
    <cellStyle name="40% - 强调文字颜色 1 4 20 5 2 4" xfId="7240"/>
    <cellStyle name="40% - 强调文字颜色 1 4 20 5 2 5" xfId="7251"/>
    <cellStyle name="40% - 强调文字颜色 1 4 20 5 2 6" xfId="15124"/>
    <cellStyle name="40% - 强调文字颜色 1 4 20 5 2 7" xfId="15128"/>
    <cellStyle name="40% - 强调文字颜色 1 4 20 5 2 8" xfId="15132"/>
    <cellStyle name="40% - 强调文字颜色 1 4 20 5 3" xfId="15558"/>
    <cellStyle name="40% - 强调文字颜色 1 4 20 5 4" xfId="13157"/>
    <cellStyle name="40% - 强调文字颜色 1 4 20 5 5" xfId="13185"/>
    <cellStyle name="40% - 强调文字颜色 1 4 20 5 6" xfId="13188"/>
    <cellStyle name="40% - 强调文字颜色 1 4 20 5 6 2" xfId="7555"/>
    <cellStyle name="40% - 强调文字颜色 1 4 20 5 6 3" xfId="7560"/>
    <cellStyle name="40% - 强调文字颜色 1 4 20 5 7" xfId="13191"/>
    <cellStyle name="40% - 强调文字颜色 1 4 20 5 8" xfId="9679"/>
    <cellStyle name="40% - 强调文字颜色 1 4 20 5 9" xfId="9684"/>
    <cellStyle name="40% - 强调文字颜色 1 4 20 6" xfId="15561"/>
    <cellStyle name="40% - 强调文字颜色 1 4 20 6 2" xfId="15563"/>
    <cellStyle name="40% - 强调文字颜色 1 4 20 6 2 2" xfId="771"/>
    <cellStyle name="40% - 强调文字颜色 1 4 20 6 2 3" xfId="778"/>
    <cellStyle name="40% - 强调文字颜色 1 4 20 6 3" xfId="15566"/>
    <cellStyle name="40% - 强调文字颜色 1 4 20 6 4" xfId="13206"/>
    <cellStyle name="40% - 强调文字颜色 1 4 20 6 5" xfId="13228"/>
    <cellStyle name="40% - 强调文字颜色 1 4 20 6 6" xfId="13232"/>
    <cellStyle name="40% - 强调文字颜色 1 4 20 6 7" xfId="13238"/>
    <cellStyle name="40% - 强调文字颜色 1 4 20 6 8" xfId="13242"/>
    <cellStyle name="40% - 强调文字颜色 1 4 20 7" xfId="7529"/>
    <cellStyle name="40% - 强调文字颜色 1 4 20 8" xfId="5664"/>
    <cellStyle name="40% - 强调文字颜色 1 4 20 9" xfId="15571"/>
    <cellStyle name="40% - 强调文字颜色 1 4 20 9 2" xfId="9470"/>
    <cellStyle name="40% - 强调文字颜色 1 4 20 9 3" xfId="9473"/>
    <cellStyle name="40% - 强调文字颜色 1 4 3" xfId="15573"/>
    <cellStyle name="40% - 强调文字颜色 1 4 4" xfId="15580"/>
    <cellStyle name="40% - 强调文字颜色 1 4 5" xfId="15585"/>
    <cellStyle name="40% - 强调文字颜色 1 4 6" xfId="15588"/>
    <cellStyle name="40% - 强调文字颜色 1 4 7" xfId="15591"/>
    <cellStyle name="40% - 强调文字颜色 1 4 8" xfId="15595"/>
    <cellStyle name="40% - 强调文字颜色 1 4 9" xfId="15599"/>
    <cellStyle name="40% - 强调文字颜色 1 5" xfId="7883"/>
    <cellStyle name="40% - 强调文字颜色 1 5 10" xfId="11214"/>
    <cellStyle name="40% - 强调文字颜色 1 5 11" xfId="11218"/>
    <cellStyle name="40% - 强调文字颜色 1 5 12" xfId="13270"/>
    <cellStyle name="40% - 强调文字颜色 1 5 13" xfId="13275"/>
    <cellStyle name="40% - 强调文字颜色 1 5 14" xfId="10454"/>
    <cellStyle name="40% - 强调文字颜色 1 5 2" xfId="15604"/>
    <cellStyle name="40% - 强调文字颜色 1 5 3" xfId="15608"/>
    <cellStyle name="40% - 强调文字颜色 1 5 4" xfId="15613"/>
    <cellStyle name="40% - 强调文字颜色 1 5 5" xfId="15618"/>
    <cellStyle name="40% - 强调文字颜色 1 5 6" xfId="2635"/>
    <cellStyle name="40% - 强调文字颜色 1 5 7" xfId="9730"/>
    <cellStyle name="40% - 强调文字颜色 1 5 8" xfId="15622"/>
    <cellStyle name="40% - 强调文字颜色 1 5 9" xfId="15626"/>
    <cellStyle name="40% - 强调文字颜色 1 6" xfId="15629"/>
    <cellStyle name="40% - 强调文字颜色 1 6 10" xfId="11323"/>
    <cellStyle name="40% - 强调文字颜色 1 6 11" xfId="11328"/>
    <cellStyle name="40% - 强调文字颜色 1 6 12" xfId="15630"/>
    <cellStyle name="40% - 强调文字颜色 1 6 13" xfId="15631"/>
    <cellStyle name="40% - 强调文字颜色 1 6 14" xfId="15632"/>
    <cellStyle name="40% - 强调文字颜色 1 6 2" xfId="15634"/>
    <cellStyle name="40% - 强调文字颜色 1 6 3" xfId="15639"/>
    <cellStyle name="40% - 强调文字颜色 1 6 4" xfId="15644"/>
    <cellStyle name="40% - 强调文字颜色 1 6 5" xfId="15650"/>
    <cellStyle name="40% - 强调文字颜色 1 6 6" xfId="15655"/>
    <cellStyle name="40% - 强调文字颜色 1 6 7" xfId="15661"/>
    <cellStyle name="40% - 强调文字颜色 1 6 8" xfId="10884"/>
    <cellStyle name="40% - 强调文字颜色 1 6 9" xfId="10894"/>
    <cellStyle name="40% - 强调文字颜色 1 7" xfId="15663"/>
    <cellStyle name="40% - 强调文字颜色 1 8" xfId="15665"/>
    <cellStyle name="40% - 强调文字颜色 1 9" xfId="15670"/>
    <cellStyle name="40% - 强调文字颜色 2 10" xfId="15671"/>
    <cellStyle name="40% - 强调文字颜色 2 11" xfId="693"/>
    <cellStyle name="40% - 强调文字颜色 2 12" xfId="726"/>
    <cellStyle name="40% - 强调文字颜色 2 12 10" xfId="15673"/>
    <cellStyle name="40% - 强调文字颜色 2 12 11" xfId="15675"/>
    <cellStyle name="40% - 强调文字颜色 2 12 12" xfId="15677"/>
    <cellStyle name="40% - 强调文字颜色 2 12 13" xfId="15679"/>
    <cellStyle name="40% - 强调文字颜色 2 12 14" xfId="15681"/>
    <cellStyle name="40% - 强调文字颜色 2 12 2" xfId="15682"/>
    <cellStyle name="40% - 强调文字颜色 2 12 3" xfId="15684"/>
    <cellStyle name="40% - 强调文字颜色 2 12 4" xfId="15686"/>
    <cellStyle name="40% - 强调文字颜色 2 12 5" xfId="15688"/>
    <cellStyle name="40% - 强调文字颜色 2 12 5 10" xfId="15690"/>
    <cellStyle name="40% - 强调文字颜色 2 12 5 11" xfId="15692"/>
    <cellStyle name="40% - 强调文字颜色 2 12 5 2" xfId="6739"/>
    <cellStyle name="40% - 强调文字颜色 2 12 5 2 2" xfId="8035"/>
    <cellStyle name="40% - 强调文字颜色 2 12 5 2 2 2" xfId="7580"/>
    <cellStyle name="40% - 强调文字颜色 2 12 5 2 2 3" xfId="7394"/>
    <cellStyle name="40% - 强调文字颜色 2 12 5 2 3" xfId="8040"/>
    <cellStyle name="40% - 强调文字颜色 2 12 5 2 4" xfId="8046"/>
    <cellStyle name="40% - 强调文字颜色 2 12 5 2 5" xfId="8053"/>
    <cellStyle name="40% - 强调文字颜色 2 12 5 2 6" xfId="9880"/>
    <cellStyle name="40% - 强调文字颜色 2 12 5 2 7" xfId="8775"/>
    <cellStyle name="40% - 强调文字颜色 2 12 5 2 8" xfId="8784"/>
    <cellStyle name="40% - 强调文字颜色 2 12 5 3" xfId="6748"/>
    <cellStyle name="40% - 强调文字颜色 2 12 5 4" xfId="6760"/>
    <cellStyle name="40% - 强调文字颜色 2 12 5 5" xfId="15695"/>
    <cellStyle name="40% - 强调文字颜色 2 12 5 6" xfId="15700"/>
    <cellStyle name="40% - 强调文字颜色 2 12 5 6 2" xfId="3062"/>
    <cellStyle name="40% - 强调文字颜色 2 12 5 6 3" xfId="3076"/>
    <cellStyle name="40% - 强调文字颜色 2 12 5 7" xfId="15705"/>
    <cellStyle name="40% - 强调文字颜色 2 12 5 8" xfId="15709"/>
    <cellStyle name="40% - 强调文字颜色 2 12 5 9" xfId="15713"/>
    <cellStyle name="40% - 强调文字颜色 2 12 6" xfId="15717"/>
    <cellStyle name="40% - 强调文字颜色 2 12 6 2" xfId="7562"/>
    <cellStyle name="40% - 强调文字颜色 2 12 6 2 2" xfId="15719"/>
    <cellStyle name="40% - 强调文字颜色 2 12 6 2 3" xfId="15722"/>
    <cellStyle name="40% - 强调文字颜色 2 12 6 3" xfId="7572"/>
    <cellStyle name="40% - 强调文字颜色 2 12 6 4" xfId="15724"/>
    <cellStyle name="40% - 强调文字颜色 2 12 6 5" xfId="15727"/>
    <cellStyle name="40% - 强调文字颜色 2 12 6 6" xfId="15730"/>
    <cellStyle name="40% - 强调文字颜色 2 12 6 7" xfId="15733"/>
    <cellStyle name="40% - 强调文字颜色 2 12 6 8" xfId="15736"/>
    <cellStyle name="40% - 强调文字颜色 2 12 7" xfId="15739"/>
    <cellStyle name="40% - 强调文字颜色 2 12 8" xfId="15741"/>
    <cellStyle name="40% - 强调文字颜色 2 12 9" xfId="15746"/>
    <cellStyle name="40% - 强调文字颜色 2 12 9 2" xfId="13009"/>
    <cellStyle name="40% - 强调文字颜色 2 12 9 3" xfId="13022"/>
    <cellStyle name="40% - 强调文字颜色 2 13" xfId="751"/>
    <cellStyle name="40% - 强调文字颜色 2 14" xfId="1277"/>
    <cellStyle name="40% - 强调文字颜色 2 15" xfId="1291"/>
    <cellStyle name="40% - 强调文字颜色 2 16" xfId="1301"/>
    <cellStyle name="40% - 强调文字颜色 2 16 10" xfId="10614"/>
    <cellStyle name="40% - 强调文字颜色 2 16 11" xfId="15364"/>
    <cellStyle name="40% - 强调文字颜色 2 16 12" xfId="15374"/>
    <cellStyle name="40% - 强调文字颜色 2 16 13" xfId="4138"/>
    <cellStyle name="40% - 强调文字颜色 2 16 14" xfId="4204"/>
    <cellStyle name="40% - 强调文字颜色 2 16 2" xfId="15749"/>
    <cellStyle name="40% - 强调文字颜色 2 16 3" xfId="15750"/>
    <cellStyle name="40% - 强调文字颜色 2 16 4" xfId="15751"/>
    <cellStyle name="40% - 强调文字颜色 2 16 5" xfId="15753"/>
    <cellStyle name="40% - 强调文字颜色 2 16 5 10" xfId="15756"/>
    <cellStyle name="40% - 强调文字颜色 2 16 5 11" xfId="15758"/>
    <cellStyle name="40% - 强调文字颜色 2 16 5 2" xfId="3321"/>
    <cellStyle name="40% - 强调文字颜色 2 16 5 2 2" xfId="15761"/>
    <cellStyle name="40% - 强调文字颜色 2 16 5 2 2 2" xfId="15767"/>
    <cellStyle name="40% - 强调文字颜色 2 16 5 2 2 3" xfId="12918"/>
    <cellStyle name="40% - 强调文字颜色 2 16 5 2 3" xfId="15770"/>
    <cellStyle name="40% - 强调文字颜色 2 16 5 2 4" xfId="13418"/>
    <cellStyle name="40% - 强调文字颜色 2 16 5 2 5" xfId="7091"/>
    <cellStyle name="40% - 强调文字颜色 2 16 5 2 6" xfId="7286"/>
    <cellStyle name="40% - 强调文字颜色 2 16 5 2 7" xfId="7366"/>
    <cellStyle name="40% - 强调文字颜色 2 16 5 2 8" xfId="7435"/>
    <cellStyle name="40% - 强调文字颜色 2 16 5 3" xfId="3331"/>
    <cellStyle name="40% - 强调文字颜色 2 16 5 4" xfId="3344"/>
    <cellStyle name="40% - 强调文字颜色 2 16 5 5" xfId="3357"/>
    <cellStyle name="40% - 强调文字颜色 2 16 5 6" xfId="3372"/>
    <cellStyle name="40% - 强调文字颜色 2 16 5 6 2" xfId="15404"/>
    <cellStyle name="40% - 强调文字颜色 2 16 5 6 3" xfId="15407"/>
    <cellStyle name="40% - 强调文字颜色 2 16 5 7" xfId="15773"/>
    <cellStyle name="40% - 强调文字颜色 2 16 5 8" xfId="15775"/>
    <cellStyle name="40% - 强调文字颜色 2 16 5 9" xfId="15778"/>
    <cellStyle name="40% - 强调文字颜色 2 16 6" xfId="15780"/>
    <cellStyle name="40% - 强调文字颜色 2 16 6 2" xfId="15781"/>
    <cellStyle name="40% - 强调文字颜色 2 16 6 2 2" xfId="15783"/>
    <cellStyle name="40% - 强调文字颜色 2 16 6 2 3" xfId="15785"/>
    <cellStyle name="40% - 强调文字颜色 2 16 6 3" xfId="15787"/>
    <cellStyle name="40% - 强调文字颜色 2 16 6 4" xfId="15789"/>
    <cellStyle name="40% - 强调文字颜色 2 16 6 5" xfId="15791"/>
    <cellStyle name="40% - 强调文字颜色 2 16 6 6" xfId="15794"/>
    <cellStyle name="40% - 强调文字颜色 2 16 6 7" xfId="15797"/>
    <cellStyle name="40% - 强调文字颜色 2 16 6 8" xfId="15799"/>
    <cellStyle name="40% - 强调文字颜色 2 16 7" xfId="15800"/>
    <cellStyle name="40% - 强调文字颜色 2 16 8" xfId="15801"/>
    <cellStyle name="40% - 强调文字颜色 2 16 9" xfId="15804"/>
    <cellStyle name="40% - 强调文字颜色 2 16 9 2" xfId="15807"/>
    <cellStyle name="40% - 强调文字颜色 2 16 9 3" xfId="15810"/>
    <cellStyle name="40% - 强调文字颜色 2 17" xfId="1311"/>
    <cellStyle name="40% - 强调文字颜色 2 17 10" xfId="1318"/>
    <cellStyle name="40% - 强调文字颜色 2 17 11" xfId="1328"/>
    <cellStyle name="40% - 强调文字颜色 2 17 12" xfId="1340"/>
    <cellStyle name="40% - 强调文字颜色 2 17 13" xfId="256"/>
    <cellStyle name="40% - 强调文字颜色 2 17 14" xfId="1359"/>
    <cellStyle name="40% - 强调文字颜色 2 17 2" xfId="1377"/>
    <cellStyle name="40% - 强调文字颜色 2 17 3" xfId="1389"/>
    <cellStyle name="40% - 强调文字颜色 2 17 4" xfId="1403"/>
    <cellStyle name="40% - 强调文字颜色 2 17 5" xfId="1418"/>
    <cellStyle name="40% - 强调文字颜色 2 17 5 10" xfId="1425"/>
    <cellStyle name="40% - 强调文字颜色 2 17 5 11" xfId="1456"/>
    <cellStyle name="40% - 强调文字颜色 2 17 5 2" xfId="1476"/>
    <cellStyle name="40% - 强调文字颜色 2 17 5 2 2" xfId="1488"/>
    <cellStyle name="40% - 强调文字颜色 2 17 5 2 2 2" xfId="1504"/>
    <cellStyle name="40% - 强调文字颜色 2 17 5 2 2 3" xfId="1518"/>
    <cellStyle name="40% - 强调文字颜色 2 17 5 2 3" xfId="231"/>
    <cellStyle name="40% - 强调文字颜色 2 17 5 2 4" xfId="1526"/>
    <cellStyle name="40% - 强调文字颜色 2 17 5 2 5" xfId="1536"/>
    <cellStyle name="40% - 强调文字颜色 2 17 5 2 6" xfId="1543"/>
    <cellStyle name="40% - 强调文字颜色 2 17 5 2 7" xfId="1554"/>
    <cellStyle name="40% - 强调文字颜色 2 17 5 2 8" xfId="1560"/>
    <cellStyle name="40% - 强调文字颜色 2 17 5 3" xfId="1567"/>
    <cellStyle name="40% - 强调文字颜色 2 17 5 4" xfId="1582"/>
    <cellStyle name="40% - 强调文字颜色 2 17 5 5" xfId="1599"/>
    <cellStyle name="40% - 强调文字颜色 2 17 5 6" xfId="1616"/>
    <cellStyle name="40% - 强调文字颜色 2 17 5 6 2" xfId="1623"/>
    <cellStyle name="40% - 强调文字颜色 2 17 5 6 3" xfId="442"/>
    <cellStyle name="40% - 强调文字颜色 2 17 5 7" xfId="1638"/>
    <cellStyle name="40% - 强调文字颜色 2 17 5 8" xfId="1654"/>
    <cellStyle name="40% - 强调文字颜色 2 17 5 9" xfId="1669"/>
    <cellStyle name="40% - 强调文字颜色 2 17 6" xfId="1681"/>
    <cellStyle name="40% - 强调文字颜色 2 17 6 2" xfId="1686"/>
    <cellStyle name="40% - 强调文字颜色 2 17 6 2 2" xfId="1710"/>
    <cellStyle name="40% - 强调文字颜色 2 17 6 2 3" xfId="1734"/>
    <cellStyle name="40% - 强调文字颜色 2 17 6 3" xfId="1740"/>
    <cellStyle name="40% - 强调文字颜色 2 17 6 4" xfId="1751"/>
    <cellStyle name="40% - 强调文字颜色 2 17 6 5" xfId="1761"/>
    <cellStyle name="40% - 强调文字颜色 2 17 6 6" xfId="382"/>
    <cellStyle name="40% - 强调文字颜色 2 17 6 7" xfId="1772"/>
    <cellStyle name="40% - 强调文字颜色 2 17 6 8" xfId="1778"/>
    <cellStyle name="40% - 强调文字颜色 2 17 7" xfId="1790"/>
    <cellStyle name="40% - 强调文字颜色 2 17 8" xfId="1805"/>
    <cellStyle name="40% - 强调文字颜色 2 17 9" xfId="1824"/>
    <cellStyle name="40% - 强调文字颜色 2 17 9 2" xfId="1848"/>
    <cellStyle name="40% - 强调文字颜色 2 17 9 3" xfId="1872"/>
    <cellStyle name="40% - 强调文字颜色 2 18" xfId="1883"/>
    <cellStyle name="40% - 强调文字颜色 2 18 10" xfId="626"/>
    <cellStyle name="40% - 强调文字颜色 2 18 11" xfId="656"/>
    <cellStyle name="40% - 强调文字颜色 2 18 12" xfId="1897"/>
    <cellStyle name="40% - 强调文字颜色 2 18 13" xfId="1923"/>
    <cellStyle name="40% - 强调文字颜色 2 18 14" xfId="1948"/>
    <cellStyle name="40% - 强调文字颜色 2 18 2" xfId="1969"/>
    <cellStyle name="40% - 强调文字颜色 2 18 3" xfId="1980"/>
    <cellStyle name="40% - 强调文字颜色 2 18 4" xfId="1988"/>
    <cellStyle name="40% - 强调文字颜色 2 18 5" xfId="2008"/>
    <cellStyle name="40% - 强调文字颜色 2 18 5 10" xfId="2023"/>
    <cellStyle name="40% - 强调文字颜色 2 18 5 11" xfId="2035"/>
    <cellStyle name="40% - 强调文字颜色 2 18 5 2" xfId="2052"/>
    <cellStyle name="40% - 强调文字颜色 2 18 5 2 2" xfId="321"/>
    <cellStyle name="40% - 强调文字颜色 2 18 5 2 2 2" xfId="2059"/>
    <cellStyle name="40% - 强调文字颜色 2 18 5 2 2 3" xfId="2088"/>
    <cellStyle name="40% - 强调文字颜色 2 18 5 2 3" xfId="596"/>
    <cellStyle name="40% - 强调文字颜色 2 18 5 2 4" xfId="610"/>
    <cellStyle name="40% - 强调文字颜色 2 18 5 2 5" xfId="644"/>
    <cellStyle name="40% - 强调文字颜色 2 18 5 2 6" xfId="2094"/>
    <cellStyle name="40% - 强调文字颜色 2 18 5 2 7" xfId="2098"/>
    <cellStyle name="40% - 强调文字颜色 2 18 5 2 8" xfId="2102"/>
    <cellStyle name="40% - 强调文字颜色 2 18 5 3" xfId="2117"/>
    <cellStyle name="40% - 强调文字颜色 2 18 5 4" xfId="2142"/>
    <cellStyle name="40% - 强调文字颜色 2 18 5 5" xfId="2160"/>
    <cellStyle name="40% - 强调文字颜色 2 18 5 6" xfId="2169"/>
    <cellStyle name="40% - 强调文字颜色 2 18 5 6 2" xfId="1784"/>
    <cellStyle name="40% - 强调文字颜色 2 18 5 6 3" xfId="2177"/>
    <cellStyle name="40% - 强调文字颜色 2 18 5 7" xfId="2185"/>
    <cellStyle name="40% - 强调文字颜色 2 18 5 8" xfId="2194"/>
    <cellStyle name="40% - 强调文字颜色 2 18 5 9" xfId="2205"/>
    <cellStyle name="40% - 强调文字颜色 2 18 6" xfId="2220"/>
    <cellStyle name="40% - 强调文字颜色 2 18 6 2" xfId="2231"/>
    <cellStyle name="40% - 强调文字颜色 2 18 6 2 2" xfId="722"/>
    <cellStyle name="40% - 强调文字颜色 2 18 6 2 3" xfId="758"/>
    <cellStyle name="40% - 强调文字颜色 2 18 6 3" xfId="2257"/>
    <cellStyle name="40% - 强调文字颜色 2 18 6 4" xfId="2273"/>
    <cellStyle name="40% - 强调文字颜色 2 18 6 5" xfId="2287"/>
    <cellStyle name="40% - 强调文字颜色 2 18 6 6" xfId="835"/>
    <cellStyle name="40% - 强调文字颜色 2 18 6 7" xfId="862"/>
    <cellStyle name="40% - 强调文字颜色 2 18 6 8" xfId="847"/>
    <cellStyle name="40% - 强调文字颜色 2 18 7" xfId="2299"/>
    <cellStyle name="40% - 强调文字颜色 2 18 8" xfId="2307"/>
    <cellStyle name="40% - 强调文字颜色 2 18 9" xfId="2316"/>
    <cellStyle name="40% - 强调文字颜色 2 18 9 2" xfId="2330"/>
    <cellStyle name="40% - 强调文字颜色 2 18 9 3" xfId="2333"/>
    <cellStyle name="40% - 强调文字颜色 2 19" xfId="2341"/>
    <cellStyle name="40% - 强调文字颜色 2 2" xfId="15811"/>
    <cellStyle name="40% - 强调文字颜色 2 2 10" xfId="15812"/>
    <cellStyle name="40% - 强调文字颜色 2 2 11" xfId="15813"/>
    <cellStyle name="40% - 强调文字颜色 2 2 12" xfId="15814"/>
    <cellStyle name="40% - 强调文字颜色 2 2 13" xfId="15815"/>
    <cellStyle name="40% - 强调文字颜色 2 2 14" xfId="15816"/>
    <cellStyle name="40% - 强调文字颜色 2 2 15" xfId="15817"/>
    <cellStyle name="40% - 强调文字颜色 2 2 16" xfId="15819"/>
    <cellStyle name="40% - 强调文字颜色 2 2 17" xfId="15820"/>
    <cellStyle name="40% - 强调文字颜色 2 2 17 10" xfId="4553"/>
    <cellStyle name="40% - 强调文字颜色 2 2 17 11" xfId="4574"/>
    <cellStyle name="40% - 强调文字颜色 2 2 17 12" xfId="15825"/>
    <cellStyle name="40% - 强调文字颜色 2 2 17 13" xfId="15830"/>
    <cellStyle name="40% - 强调文字颜色 2 2 17 14" xfId="15833"/>
    <cellStyle name="40% - 强调文字颜色 2 2 17 2" xfId="5121"/>
    <cellStyle name="40% - 强调文字颜色 2 2 17 3" xfId="15835"/>
    <cellStyle name="40% - 强调文字颜色 2 2 17 4" xfId="15839"/>
    <cellStyle name="40% - 强调文字颜色 2 2 17 5" xfId="15841"/>
    <cellStyle name="40% - 强调文字颜色 2 2 17 5 10" xfId="15846"/>
    <cellStyle name="40% - 强调文字颜色 2 2 17 5 11" xfId="14005"/>
    <cellStyle name="40% - 强调文字颜色 2 2 17 5 2" xfId="15849"/>
    <cellStyle name="40% - 强调文字颜色 2 2 17 5 2 2" xfId="15855"/>
    <cellStyle name="40% - 强调文字颜色 2 2 17 5 2 2 2" xfId="15857"/>
    <cellStyle name="40% - 强调文字颜色 2 2 17 5 2 2 3" xfId="15859"/>
    <cellStyle name="40% - 强调文字颜色 2 2 17 5 2 3" xfId="15864"/>
    <cellStyle name="40% - 强调文字颜色 2 2 17 5 2 4" xfId="13812"/>
    <cellStyle name="40% - 强调文字颜色 2 2 17 5 2 5" xfId="13824"/>
    <cellStyle name="40% - 强调文字颜色 2 2 17 5 2 6" xfId="13829"/>
    <cellStyle name="40% - 强调文字颜色 2 2 17 5 2 7" xfId="13836"/>
    <cellStyle name="40% - 强调文字颜色 2 2 17 5 2 8" xfId="13842"/>
    <cellStyle name="40% - 强调文字颜色 2 2 17 5 3" xfId="15867"/>
    <cellStyle name="40% - 强调文字颜色 2 2 17 5 4" xfId="13572"/>
    <cellStyle name="40% - 强调文字颜色 2 2 17 5 5" xfId="13591"/>
    <cellStyle name="40% - 强调文字颜色 2 2 17 5 6" xfId="13597"/>
    <cellStyle name="40% - 强调文字颜色 2 2 17 5 6 2" xfId="10232"/>
    <cellStyle name="40% - 强调文字颜色 2 2 17 5 6 3" xfId="6029"/>
    <cellStyle name="40% - 强调文字颜色 2 2 17 5 7" xfId="13600"/>
    <cellStyle name="40% - 强调文字颜色 2 2 17 5 8" xfId="13605"/>
    <cellStyle name="40% - 强调文字颜色 2 2 17 5 9" xfId="13614"/>
    <cellStyle name="40% - 强调文字颜色 2 2 17 6" xfId="15870"/>
    <cellStyle name="40% - 强调文字颜色 2 2 17 6 2" xfId="15871"/>
    <cellStyle name="40% - 强调文字颜色 2 2 17 6 2 2" xfId="15875"/>
    <cellStyle name="40% - 强调文字颜色 2 2 17 6 2 3" xfId="15878"/>
    <cellStyle name="40% - 强调文字颜色 2 2 17 6 3" xfId="15880"/>
    <cellStyle name="40% - 强调文字颜色 2 2 17 6 4" xfId="13624"/>
    <cellStyle name="40% - 强调文字颜色 2 2 17 6 5" xfId="13636"/>
    <cellStyle name="40% - 强调文字颜色 2 2 17 6 6" xfId="13642"/>
    <cellStyle name="40% - 强调文字颜色 2 2 17 6 7" xfId="13647"/>
    <cellStyle name="40% - 强调文字颜色 2 2 17 6 8" xfId="12621"/>
    <cellStyle name="40% - 强调文字颜色 2 2 17 7" xfId="869"/>
    <cellStyle name="40% - 强调文字颜色 2 2 17 8" xfId="880"/>
    <cellStyle name="40% - 强调文字颜色 2 2 17 9" xfId="893"/>
    <cellStyle name="40% - 强调文字颜色 2 2 17 9 2" xfId="5694"/>
    <cellStyle name="40% - 强调文字颜色 2 2 17 9 3" xfId="15881"/>
    <cellStyle name="40% - 强调文字颜色 2 2 18" xfId="15883"/>
    <cellStyle name="40% - 强调文字颜色 2 2 18 10" xfId="15885"/>
    <cellStyle name="40% - 强调文字颜色 2 2 18 11" xfId="15886"/>
    <cellStyle name="40% - 强调文字颜色 2 2 18 12" xfId="15887"/>
    <cellStyle name="40% - 强调文字颜色 2 2 18 13" xfId="15888"/>
    <cellStyle name="40% - 强调文字颜色 2 2 18 14" xfId="618"/>
    <cellStyle name="40% - 强调文字颜色 2 2 18 2" xfId="14502"/>
    <cellStyle name="40% - 强调文字颜色 2 2 18 3" xfId="15889"/>
    <cellStyle name="40% - 强调文字颜色 2 2 18 4" xfId="15891"/>
    <cellStyle name="40% - 强调文字颜色 2 2 18 5" xfId="15893"/>
    <cellStyle name="40% - 强调文字颜色 2 2 18 5 10" xfId="15894"/>
    <cellStyle name="40% - 强调文字颜色 2 2 18 5 11" xfId="15895"/>
    <cellStyle name="40% - 强调文字颜色 2 2 18 5 2" xfId="3197"/>
    <cellStyle name="40% - 强调文字颜色 2 2 18 5 2 2" xfId="3226"/>
    <cellStyle name="40% - 强调文字颜色 2 2 18 5 2 2 2" xfId="1998"/>
    <cellStyle name="40% - 强调文字颜色 2 2 18 5 2 2 3" xfId="2214"/>
    <cellStyle name="40% - 强调文字颜色 2 2 18 5 2 3" xfId="3245"/>
    <cellStyle name="40% - 强调文字颜色 2 2 18 5 2 4" xfId="2939"/>
    <cellStyle name="40% - 强调文字颜色 2 2 18 5 2 5" xfId="2019"/>
    <cellStyle name="40% - 强调文字颜色 2 2 18 5 2 6" xfId="2031"/>
    <cellStyle name="40% - 强调文字颜色 2 2 18 5 2 7" xfId="1484"/>
    <cellStyle name="40% - 强调文字颜色 2 2 18 5 2 8" xfId="227"/>
    <cellStyle name="40% - 强调文字颜色 2 2 18 5 3" xfId="3254"/>
    <cellStyle name="40% - 强调文字颜色 2 2 18 5 4" xfId="2651"/>
    <cellStyle name="40% - 强调文字颜色 2 2 18 5 5" xfId="2670"/>
    <cellStyle name="40% - 强调文字颜色 2 2 18 5 6" xfId="3290"/>
    <cellStyle name="40% - 强调文字颜色 2 2 18 5 6 2" xfId="3303"/>
    <cellStyle name="40% - 强调文字颜色 2 2 18 5 6 3" xfId="3308"/>
    <cellStyle name="40% - 强调文字颜色 2 2 18 5 7" xfId="13721"/>
    <cellStyle name="40% - 强调文字颜色 2 2 18 5 8" xfId="13725"/>
    <cellStyle name="40% - 强调文字颜色 2 2 18 5 9" xfId="13733"/>
    <cellStyle name="40% - 强调文字颜色 2 2 18 6" xfId="15898"/>
    <cellStyle name="40% - 强调文字颜色 2 2 18 6 2" xfId="15899"/>
    <cellStyle name="40% - 强调文字颜色 2 2 18 6 2 2" xfId="15902"/>
    <cellStyle name="40% - 强调文字颜色 2 2 18 6 2 3" xfId="15904"/>
    <cellStyle name="40% - 强调文字颜色 2 2 18 6 3" xfId="15905"/>
    <cellStyle name="40% - 强调文字颜色 2 2 18 6 4" xfId="13745"/>
    <cellStyle name="40% - 强调文字颜色 2 2 18 6 5" xfId="13753"/>
    <cellStyle name="40% - 强调文字颜色 2 2 18 6 6" xfId="13756"/>
    <cellStyle name="40% - 强调文字颜色 2 2 18 6 7" xfId="13759"/>
    <cellStyle name="40% - 强调文字颜色 2 2 18 6 8" xfId="13764"/>
    <cellStyle name="40% - 强调文字颜色 2 2 18 7" xfId="15907"/>
    <cellStyle name="40% - 强调文字颜色 2 2 18 8" xfId="15909"/>
    <cellStyle name="40% - 强调文字颜色 2 2 18 9" xfId="15912"/>
    <cellStyle name="40% - 强调文字颜色 2 2 18 9 2" xfId="15914"/>
    <cellStyle name="40% - 强调文字颜色 2 2 18 9 3" xfId="15917"/>
    <cellStyle name="40% - 强调文字颜色 2 2 19" xfId="15920"/>
    <cellStyle name="40% - 强调文字颜色 2 2 19 10" xfId="9298"/>
    <cellStyle name="40% - 强调文字颜色 2 2 19 11" xfId="9305"/>
    <cellStyle name="40% - 强调文字颜色 2 2 19 12" xfId="9326"/>
    <cellStyle name="40% - 强调文字颜色 2 2 19 13" xfId="9335"/>
    <cellStyle name="40% - 强调文字颜色 2 2 19 14" xfId="9344"/>
    <cellStyle name="40% - 强调文字颜色 2 2 19 2" xfId="15923"/>
    <cellStyle name="40% - 强调文字颜色 2 2 19 3" xfId="15924"/>
    <cellStyle name="40% - 强调文字颜色 2 2 19 4" xfId="15925"/>
    <cellStyle name="40% - 强调文字颜色 2 2 19 5" xfId="15847"/>
    <cellStyle name="40% - 强调文字颜色 2 2 19 5 10" xfId="15171"/>
    <cellStyle name="40% - 强调文字颜色 2 2 19 5 11" xfId="7399"/>
    <cellStyle name="40% - 强调文字颜色 2 2 19 5 2" xfId="15852"/>
    <cellStyle name="40% - 强调文字颜色 2 2 19 5 2 2" xfId="15856"/>
    <cellStyle name="40% - 强调文字颜色 2 2 19 5 2 2 2" xfId="15926"/>
    <cellStyle name="40% - 强调文字颜色 2 2 19 5 2 2 3" xfId="15927"/>
    <cellStyle name="40% - 强调文字颜色 2 2 19 5 2 3" xfId="15858"/>
    <cellStyle name="40% - 强调文字颜色 2 2 19 5 2 4" xfId="15929"/>
    <cellStyle name="40% - 强调文字颜色 2 2 19 5 2 5" xfId="15932"/>
    <cellStyle name="40% - 强调文字颜色 2 2 19 5 2 6" xfId="8692"/>
    <cellStyle name="40% - 强调文字颜色 2 2 19 5 2 7" xfId="8694"/>
    <cellStyle name="40% - 强调文字颜色 2 2 19 5 2 8" xfId="15470"/>
    <cellStyle name="40% - 强调文字颜色 2 2 19 5 3" xfId="15861"/>
    <cellStyle name="40% - 强调文字颜色 2 2 19 5 4" xfId="13814"/>
    <cellStyle name="40% - 强调文字颜色 2 2 19 5 5" xfId="13825"/>
    <cellStyle name="40% - 强调文字颜色 2 2 19 5 6" xfId="13831"/>
    <cellStyle name="40% - 强调文字颜色 2 2 19 5 6 2" xfId="14580"/>
    <cellStyle name="40% - 强调文字颜色 2 2 19 5 6 3" xfId="14584"/>
    <cellStyle name="40% - 强调文字颜色 2 2 19 5 7" xfId="13838"/>
    <cellStyle name="40% - 强调文字颜色 2 2 19 5 8" xfId="13844"/>
    <cellStyle name="40% - 强调文字颜色 2 2 19 5 9" xfId="13855"/>
    <cellStyle name="40% - 强调文字颜色 2 2 19 6" xfId="15865"/>
    <cellStyle name="40% - 强调文字颜色 2 2 19 6 2" xfId="15934"/>
    <cellStyle name="40% - 强调文字颜色 2 2 19 6 2 2" xfId="15935"/>
    <cellStyle name="40% - 强调文字颜色 2 2 19 6 2 3" xfId="15937"/>
    <cellStyle name="40% - 强调文字颜色 2 2 19 6 3" xfId="15939"/>
    <cellStyle name="40% - 强调文字颜色 2 2 19 6 4" xfId="13871"/>
    <cellStyle name="40% - 强调文字颜色 2 2 19 6 5" xfId="13882"/>
    <cellStyle name="40% - 强调文字颜色 2 2 19 6 6" xfId="13889"/>
    <cellStyle name="40% - 强调文字颜色 2 2 19 6 7" xfId="13894"/>
    <cellStyle name="40% - 强调文字颜色 2 2 19 6 8" xfId="13899"/>
    <cellStyle name="40% - 强调文字颜色 2 2 19 7" xfId="13569"/>
    <cellStyle name="40% - 强调文字颜色 2 2 19 8" xfId="13589"/>
    <cellStyle name="40% - 强调文字颜色 2 2 19 9" xfId="13594"/>
    <cellStyle name="40% - 强调文字颜色 2 2 19 9 2" xfId="10226"/>
    <cellStyle name="40% - 强调文字颜色 2 2 19 9 3" xfId="6026"/>
    <cellStyle name="40% - 强调文字颜色 2 2 2" xfId="15940"/>
    <cellStyle name="40% - 强调文字颜色 2 2 2 10" xfId="15942"/>
    <cellStyle name="40% - 强调文字颜色 2 2 2 11" xfId="15948"/>
    <cellStyle name="40% - 强调文字颜色 2 2 2 12" xfId="15952"/>
    <cellStyle name="40% - 强调文字颜色 2 2 2 13" xfId="15956"/>
    <cellStyle name="40% - 强调文字颜色 2 2 2 14" xfId="15959"/>
    <cellStyle name="40% - 强调文字颜色 2 2 2 2" xfId="15962"/>
    <cellStyle name="40% - 强调文字颜色 2 2 2 3" xfId="15967"/>
    <cellStyle name="40% - 强调文字颜色 2 2 2 4" xfId="15969"/>
    <cellStyle name="40% - 强调文字颜色 2 2 2 5" xfId="15971"/>
    <cellStyle name="40% - 强调文字颜色 2 2 2 6" xfId="15973"/>
    <cellStyle name="40% - 强调文字颜色 2 2 2 7" xfId="15975"/>
    <cellStyle name="40% - 强调文字颜色 2 2 2 8" xfId="15976"/>
    <cellStyle name="40% - 强调文字颜色 2 2 2 9" xfId="15978"/>
    <cellStyle name="40% - 强调文字颜色 2 2 20" xfId="15818"/>
    <cellStyle name="40% - 强调文字颜色 2 2 20 10" xfId="1071"/>
    <cellStyle name="40% - 强调文字颜色 2 2 20 11" xfId="1091"/>
    <cellStyle name="40% - 强调文字颜色 2 2 20 12" xfId="15979"/>
    <cellStyle name="40% - 强调文字颜色 2 2 20 13" xfId="13444"/>
    <cellStyle name="40% - 强调文字颜色 2 2 20 14" xfId="13446"/>
    <cellStyle name="40% - 强调文字颜色 2 2 20 2" xfId="535"/>
    <cellStyle name="40% - 强调文字颜色 2 2 20 3" xfId="15249"/>
    <cellStyle name="40% - 强调文字颜色 2 2 20 4" xfId="15292"/>
    <cellStyle name="40% - 强调文字颜色 2 2 20 5" xfId="15980"/>
    <cellStyle name="40% - 强调文字颜色 2 2 20 5 10" xfId="15982"/>
    <cellStyle name="40% - 强调文字颜色 2 2 20 5 11" xfId="15984"/>
    <cellStyle name="40% - 强调文字颜色 2 2 20 5 2" xfId="15985"/>
    <cellStyle name="40% - 强调文字颜色 2 2 20 5 2 2" xfId="5801"/>
    <cellStyle name="40% - 强调文字颜色 2 2 20 5 2 2 2" xfId="4233"/>
    <cellStyle name="40% - 强调文字颜色 2 2 20 5 2 2 3" xfId="2067"/>
    <cellStyle name="40% - 强调文字颜色 2 2 20 5 2 3" xfId="8367"/>
    <cellStyle name="40% - 强调文字颜色 2 2 20 5 2 4" xfId="6160"/>
    <cellStyle name="40% - 强调文字颜色 2 2 20 5 2 5" xfId="6163"/>
    <cellStyle name="40% - 强调文字颜色 2 2 20 5 2 6" xfId="15986"/>
    <cellStyle name="40% - 强调文字颜色 2 2 20 5 2 7" xfId="15987"/>
    <cellStyle name="40% - 强调文字颜色 2 2 20 5 2 8" xfId="15988"/>
    <cellStyle name="40% - 强调文字颜色 2 2 20 5 3" xfId="15989"/>
    <cellStyle name="40% - 强调文字颜色 2 2 20 5 4" xfId="1320"/>
    <cellStyle name="40% - 强调文字颜色 2 2 20 5 5" xfId="1331"/>
    <cellStyle name="40% - 强调文字颜色 2 2 20 5 6" xfId="1343"/>
    <cellStyle name="40% - 强调文字颜色 2 2 20 5 6 2" xfId="15991"/>
    <cellStyle name="40% - 强调文字颜色 2 2 20 5 6 3" xfId="15992"/>
    <cellStyle name="40% - 强调文字颜色 2 2 20 5 7" xfId="259"/>
    <cellStyle name="40% - 强调文字颜色 2 2 20 5 8" xfId="1362"/>
    <cellStyle name="40% - 强调文字颜色 2 2 20 5 9" xfId="13956"/>
    <cellStyle name="40% - 强调文字颜色 2 2 20 6" xfId="15140"/>
    <cellStyle name="40% - 强调文字颜色 2 2 20 6 2" xfId="15993"/>
    <cellStyle name="40% - 强调文字颜色 2 2 20 6 2 2" xfId="15997"/>
    <cellStyle name="40% - 强调文字颜色 2 2 20 6 2 3" xfId="11703"/>
    <cellStyle name="40% - 强调文字颜色 2 2 20 6 3" xfId="15998"/>
    <cellStyle name="40% - 强调文字颜色 2 2 20 6 4" xfId="13963"/>
    <cellStyle name="40% - 强调文字颜色 2 2 20 6 5" xfId="13983"/>
    <cellStyle name="40% - 强调文字颜色 2 2 20 6 6" xfId="13993"/>
    <cellStyle name="40% - 强调文字颜色 2 2 20 6 7" xfId="12354"/>
    <cellStyle name="40% - 强调文字颜色 2 2 20 6 8" xfId="12366"/>
    <cellStyle name="40% - 强调文字颜色 2 2 20 7" xfId="6069"/>
    <cellStyle name="40% - 强调文字颜色 2 2 20 8" xfId="1894"/>
    <cellStyle name="40% - 强调文字颜色 2 2 20 9" xfId="1918"/>
    <cellStyle name="40% - 强调文字颜色 2 2 20 9 2" xfId="16003"/>
    <cellStyle name="40% - 强调文字颜色 2 2 20 9 3" xfId="15843"/>
    <cellStyle name="40% - 强调文字颜色 2 2 3" xfId="16004"/>
    <cellStyle name="40% - 强调文字颜色 2 2 3 10" xfId="16007"/>
    <cellStyle name="40% - 强调文字颜色 2 2 3 11" xfId="16010"/>
    <cellStyle name="40% - 强调文字颜色 2 2 3 12" xfId="16013"/>
    <cellStyle name="40% - 强调文字颜色 2 2 3 13" xfId="16015"/>
    <cellStyle name="40% - 强调文字颜色 2 2 3 14" xfId="16017"/>
    <cellStyle name="40% - 强调文字颜色 2 2 3 2" xfId="16018"/>
    <cellStyle name="40% - 强调文字颜色 2 2 3 3" xfId="16020"/>
    <cellStyle name="40% - 强调文字颜色 2 2 3 4" xfId="16021"/>
    <cellStyle name="40% - 强调文字颜色 2 2 3 5" xfId="16022"/>
    <cellStyle name="40% - 强调文字颜色 2 2 3 6" xfId="16023"/>
    <cellStyle name="40% - 强调文字颜色 2 2 3 7" xfId="16024"/>
    <cellStyle name="40% - 强调文字颜色 2 2 3 8" xfId="16025"/>
    <cellStyle name="40% - 强调文字颜色 2 2 3 9" xfId="3709"/>
    <cellStyle name="40% - 强调文字颜色 2 2 4" xfId="16026"/>
    <cellStyle name="40% - 强调文字颜色 2 2 4 10" xfId="16028"/>
    <cellStyle name="40% - 强调文字颜色 2 2 4 11" xfId="16030"/>
    <cellStyle name="40% - 强调文字颜色 2 2 4 12" xfId="14577"/>
    <cellStyle name="40% - 强调文字颜色 2 2 4 13" xfId="14581"/>
    <cellStyle name="40% - 强调文字颜色 2 2 4 14" xfId="12867"/>
    <cellStyle name="40% - 强调文字颜色 2 2 4 2" xfId="13805"/>
    <cellStyle name="40% - 强调文字颜色 2 2 4 3" xfId="13807"/>
    <cellStyle name="40% - 强调文字颜色 2 2 4 4" xfId="16031"/>
    <cellStyle name="40% - 强调文字颜色 2 2 4 5" xfId="16032"/>
    <cellStyle name="40% - 强调文字颜色 2 2 4 6" xfId="16033"/>
    <cellStyle name="40% - 强调文字颜色 2 2 4 7" xfId="16034"/>
    <cellStyle name="40% - 强调文字颜色 2 2 4 8" xfId="16035"/>
    <cellStyle name="40% - 强调文字颜色 2 2 4 9" xfId="16036"/>
    <cellStyle name="40% - 强调文字颜色 2 2 5" xfId="16037"/>
    <cellStyle name="40% - 强调文字颜色 2 2 6" xfId="16038"/>
    <cellStyle name="40% - 强调文字颜色 2 2 7" xfId="319"/>
    <cellStyle name="40% - 强调文字颜色 2 2 8" xfId="1717"/>
    <cellStyle name="40% - 强调文字颜色 2 2 9" xfId="1719"/>
    <cellStyle name="40% - 强调文字颜色 2 3" xfId="16040"/>
    <cellStyle name="40% - 强调文字颜色 2 3 10" xfId="16042"/>
    <cellStyle name="40% - 强调文字颜色 2 3 11" xfId="16044"/>
    <cellStyle name="40% - 强调文字颜色 2 3 12" xfId="15378"/>
    <cellStyle name="40% - 强调文字颜色 2 3 13" xfId="10547"/>
    <cellStyle name="40% - 强调文字颜色 2 3 14" xfId="10550"/>
    <cellStyle name="40% - 强调文字颜色 2 3 15" xfId="16045"/>
    <cellStyle name="40% - 强调文字颜色 2 3 16" xfId="16047"/>
    <cellStyle name="40% - 强调文字颜色 2 3 17" xfId="16048"/>
    <cellStyle name="40% - 强调文字颜色 2 3 17 10" xfId="12165"/>
    <cellStyle name="40% - 强调文字颜色 2 3 17 11" xfId="12174"/>
    <cellStyle name="40% - 强调文字颜色 2 3 17 12" xfId="12181"/>
    <cellStyle name="40% - 强调文字颜色 2 3 17 13" xfId="12190"/>
    <cellStyle name="40% - 强调文字颜色 2 3 17 14" xfId="13040"/>
    <cellStyle name="40% - 强调文字颜色 2 3 17 2" xfId="16051"/>
    <cellStyle name="40% - 强调文字颜色 2 3 17 2 2" xfId="7083"/>
    <cellStyle name="40% - 强调文字颜色 2 3 17 3" xfId="16052"/>
    <cellStyle name="40% - 强调文字颜色 2 3 17 4" xfId="16054"/>
    <cellStyle name="40% - 强调文字颜色 2 3 17 5" xfId="16057"/>
    <cellStyle name="40% - 强调文字颜色 2 3 17 5 10" xfId="6610"/>
    <cellStyle name="40% - 强调文字颜色 2 3 17 5 11" xfId="6613"/>
    <cellStyle name="40% - 强调文字颜色 2 3 17 5 2" xfId="16060"/>
    <cellStyle name="40% - 强调文字颜色 2 3 17 5 2 2" xfId="16067"/>
    <cellStyle name="40% - 强调文字颜色 2 3 17 5 2 2 2" xfId="11229"/>
    <cellStyle name="40% - 强调文字颜色 2 3 17 5 2 2 3" xfId="11235"/>
    <cellStyle name="40% - 强调文字颜色 2 3 17 5 2 3" xfId="16071"/>
    <cellStyle name="40% - 强调文字颜色 2 3 17 5 2 4" xfId="16074"/>
    <cellStyle name="40% - 强调文字颜色 2 3 17 5 2 5" xfId="16080"/>
    <cellStyle name="40% - 强调文字颜色 2 3 17 5 2 6" xfId="16086"/>
    <cellStyle name="40% - 强调文字颜色 2 3 17 5 2 7" xfId="16092"/>
    <cellStyle name="40% - 强调文字颜色 2 3 17 5 2 8" xfId="16098"/>
    <cellStyle name="40% - 强调文字颜色 2 3 17 5 3" xfId="16105"/>
    <cellStyle name="40% - 强调文字颜色 2 3 17 5 4" xfId="14095"/>
    <cellStyle name="40% - 强调文字颜色 2 3 17 5 5" xfId="14110"/>
    <cellStyle name="40% - 强调文字颜色 2 3 17 5 6" xfId="14114"/>
    <cellStyle name="40% - 强调文字颜色 2 3 17 5 6 2" xfId="16110"/>
    <cellStyle name="40% - 强调文字颜色 2 3 17 5 6 3" xfId="16114"/>
    <cellStyle name="40% - 强调文字颜色 2 3 17 5 7" xfId="14116"/>
    <cellStyle name="40% - 强调文字颜色 2 3 17 5 8" xfId="14120"/>
    <cellStyle name="40% - 强调文字颜色 2 3 17 5 9" xfId="14132"/>
    <cellStyle name="40% - 强调文字颜色 2 3 17 6" xfId="16118"/>
    <cellStyle name="40% - 强调文字颜色 2 3 17 6 2" xfId="16119"/>
    <cellStyle name="40% - 强调文字颜色 2 3 17 6 2 2" xfId="9260"/>
    <cellStyle name="40% - 强调文字颜色 2 3 17 6 2 3" xfId="9265"/>
    <cellStyle name="40% - 强调文字颜色 2 3 17 6 3" xfId="16121"/>
    <cellStyle name="40% - 强调文字颜色 2 3 17 6 4" xfId="14136"/>
    <cellStyle name="40% - 强调文字颜色 2 3 17 6 5" xfId="14143"/>
    <cellStyle name="40% - 强调文字颜色 2 3 17 6 6" xfId="14147"/>
    <cellStyle name="40% - 强调文字颜色 2 3 17 6 7" xfId="3574"/>
    <cellStyle name="40% - 强调文字颜色 2 3 17 6 8" xfId="3581"/>
    <cellStyle name="40% - 强调文字颜色 2 3 17 7" xfId="7648"/>
    <cellStyle name="40% - 强调文字颜色 2 3 17 8" xfId="7654"/>
    <cellStyle name="40% - 强调文字颜色 2 3 17 9" xfId="7662"/>
    <cellStyle name="40% - 强调文字颜色 2 3 17 9 2" xfId="10646"/>
    <cellStyle name="40% - 强调文字颜色 2 3 17 9 3" xfId="16124"/>
    <cellStyle name="40% - 强调文字颜色 2 3 18" xfId="16125"/>
    <cellStyle name="40% - 强调文字颜色 2 3 18 10" xfId="16128"/>
    <cellStyle name="40% - 强调文字颜色 2 3 18 11" xfId="16131"/>
    <cellStyle name="40% - 强调文字颜色 2 3 18 12" xfId="16133"/>
    <cellStyle name="40% - 强调文字颜色 2 3 18 13" xfId="16135"/>
    <cellStyle name="40% - 强调文字颜色 2 3 18 14" xfId="16138"/>
    <cellStyle name="40% - 强调文字颜色 2 3 18 2" xfId="16140"/>
    <cellStyle name="40% - 强调文字颜色 2 3 18 3" xfId="16141"/>
    <cellStyle name="40% - 强调文字颜色 2 3 18 4" xfId="16144"/>
    <cellStyle name="40% - 强调文字颜色 2 3 18 5" xfId="16146"/>
    <cellStyle name="40% - 强调文字颜色 2 3 18 5 10" xfId="10571"/>
    <cellStyle name="40% - 强调文字颜色 2 3 18 5 11" xfId="10579"/>
    <cellStyle name="40% - 强调文字颜色 2 3 18 5 2" xfId="664"/>
    <cellStyle name="40% - 强调文字颜色 2 3 18 5 2 2" xfId="6307"/>
    <cellStyle name="40% - 强调文字颜色 2 3 18 5 2 2 2" xfId="6309"/>
    <cellStyle name="40% - 强调文字颜色 2 3 18 5 2 2 3" xfId="6313"/>
    <cellStyle name="40% - 强调文字颜色 2 3 18 5 2 3" xfId="6336"/>
    <cellStyle name="40% - 强调文字颜色 2 3 18 5 2 4" xfId="6339"/>
    <cellStyle name="40% - 强调文字颜色 2 3 18 5 2 5" xfId="6343"/>
    <cellStyle name="40% - 强调文字颜色 2 3 18 5 2 6" xfId="6347"/>
    <cellStyle name="40% - 强调文字颜色 2 3 18 5 2 7" xfId="6355"/>
    <cellStyle name="40% - 强调文字颜色 2 3 18 5 2 8" xfId="6359"/>
    <cellStyle name="40% - 强调文字颜色 2 3 18 5 3" xfId="1907"/>
    <cellStyle name="40% - 强调文字颜色 2 3 18 5 4" xfId="1930"/>
    <cellStyle name="40% - 强调文字颜色 2 3 18 5 5" xfId="1960"/>
    <cellStyle name="40% - 强调文字颜色 2 3 18 5 6" xfId="1856"/>
    <cellStyle name="40% - 强调文字颜色 2 3 18 5 6 2" xfId="6407"/>
    <cellStyle name="40% - 强调文字颜色 2 3 18 5 6 3" xfId="6409"/>
    <cellStyle name="40% - 强调文字颜色 2 3 18 5 7" xfId="13425"/>
    <cellStyle name="40% - 强调文字颜色 2 3 18 5 8" xfId="9035"/>
    <cellStyle name="40% - 强调文字颜色 2 3 18 5 9" xfId="9042"/>
    <cellStyle name="40% - 强调文字颜色 2 3 18 6" xfId="16148"/>
    <cellStyle name="40% - 强调文字颜色 2 3 18 6 2" xfId="16149"/>
    <cellStyle name="40% - 强调文字颜色 2 3 18 6 2 2" xfId="16151"/>
    <cellStyle name="40% - 强调文字颜色 2 3 18 6 2 3" xfId="16154"/>
    <cellStyle name="40% - 强调文字颜色 2 3 18 6 3" xfId="16158"/>
    <cellStyle name="40% - 强调文字颜色 2 3 18 6 4" xfId="14199"/>
    <cellStyle name="40% - 强调文字颜色 2 3 18 6 5" xfId="14213"/>
    <cellStyle name="40% - 强调文字颜色 2 3 18 6 6" xfId="14219"/>
    <cellStyle name="40% - 强调文字颜色 2 3 18 6 7" xfId="3746"/>
    <cellStyle name="40% - 强调文字颜色 2 3 18 6 8" xfId="7146"/>
    <cellStyle name="40% - 强调文字颜色 2 3 18 7" xfId="16160"/>
    <cellStyle name="40% - 强调文字颜色 2 3 18 8" xfId="16162"/>
    <cellStyle name="40% - 强调文字颜色 2 3 18 9" xfId="16164"/>
    <cellStyle name="40% - 强调文字颜色 2 3 18 9 2" xfId="16165"/>
    <cellStyle name="40% - 强调文字颜色 2 3 18 9 3" xfId="15339"/>
    <cellStyle name="40% - 强调文字颜色 2 3 19" xfId="9691"/>
    <cellStyle name="40% - 强调文字颜色 2 3 19 10" xfId="8492"/>
    <cellStyle name="40% - 强调文字颜色 2 3 19 11" xfId="8506"/>
    <cellStyle name="40% - 强调文字颜色 2 3 19 12" xfId="8513"/>
    <cellStyle name="40% - 强调文字颜色 2 3 19 13" xfId="8520"/>
    <cellStyle name="40% - 强调文字颜色 2 3 19 14" xfId="8527"/>
    <cellStyle name="40% - 强调文字颜色 2 3 19 2" xfId="9695"/>
    <cellStyle name="40% - 强调文字颜色 2 3 19 3" xfId="9697"/>
    <cellStyle name="40% - 强调文字颜色 2 3 19 4" xfId="9717"/>
    <cellStyle name="40% - 强调文字颜色 2 3 19 5" xfId="9718"/>
    <cellStyle name="40% - 强调文字颜色 2 3 19 5 10" xfId="16167"/>
    <cellStyle name="40% - 强调文字颜色 2 3 19 5 11" xfId="16170"/>
    <cellStyle name="40% - 强调文字颜色 2 3 19 5 2" xfId="16173"/>
    <cellStyle name="40% - 强调文字颜色 2 3 19 5 2 2" xfId="517"/>
    <cellStyle name="40% - 强调文字颜色 2 3 19 5 2 2 2" xfId="1110"/>
    <cellStyle name="40% - 强调文字颜色 2 3 19 5 2 2 3" xfId="1157"/>
    <cellStyle name="40% - 强调文字颜色 2 3 19 5 2 3" xfId="560"/>
    <cellStyle name="40% - 强调文字颜色 2 3 19 5 2 4" xfId="1219"/>
    <cellStyle name="40% - 强调文字颜色 2 3 19 5 2 5" xfId="1230"/>
    <cellStyle name="40% - 强调文字颜色 2 3 19 5 2 6" xfId="3611"/>
    <cellStyle name="40% - 强调文字颜色 2 3 19 5 2 7" xfId="3616"/>
    <cellStyle name="40% - 强调文字颜色 2 3 19 5 2 8" xfId="3623"/>
    <cellStyle name="40% - 强调文字颜色 2 3 19 5 3" xfId="16174"/>
    <cellStyle name="40% - 强调文字颜色 2 3 19 5 4" xfId="14256"/>
    <cellStyle name="40% - 强调文字颜色 2 3 19 5 5" xfId="14272"/>
    <cellStyle name="40% - 强调文字颜色 2 3 19 5 6" xfId="14274"/>
    <cellStyle name="40% - 强调文字颜色 2 3 19 5 6 2" xfId="1682"/>
    <cellStyle name="40% - 强调文字颜色 2 3 19 5 6 3" xfId="1791"/>
    <cellStyle name="40% - 强调文字颜色 2 3 19 5 7" xfId="14276"/>
    <cellStyle name="40% - 强调文字颜色 2 3 19 5 8" xfId="14279"/>
    <cellStyle name="40% - 强调文字颜色 2 3 19 5 9" xfId="14283"/>
    <cellStyle name="40% - 强调文字颜色 2 3 19 6" xfId="16175"/>
    <cellStyle name="40% - 强调文字颜色 2 3 19 6 2" xfId="16177"/>
    <cellStyle name="40% - 强调文字颜色 2 3 19 6 2 2" xfId="16178"/>
    <cellStyle name="40% - 强调文字颜色 2 3 19 6 2 3" xfId="16182"/>
    <cellStyle name="40% - 强调文字颜色 2 3 19 6 3" xfId="16183"/>
    <cellStyle name="40% - 强调文字颜色 2 3 19 6 4" xfId="14289"/>
    <cellStyle name="40% - 强调文字颜色 2 3 19 6 5" xfId="3437"/>
    <cellStyle name="40% - 强调文字颜色 2 3 19 6 6" xfId="3454"/>
    <cellStyle name="40% - 强调文字颜色 2 3 19 6 7" xfId="8332"/>
    <cellStyle name="40% - 强调文字颜色 2 3 19 6 8" xfId="8336"/>
    <cellStyle name="40% - 强调文字颜色 2 3 19 7" xfId="16184"/>
    <cellStyle name="40% - 强调文字颜色 2 3 19 8" xfId="16185"/>
    <cellStyle name="40% - 强调文字颜色 2 3 19 9" xfId="16186"/>
    <cellStyle name="40% - 强调文字颜色 2 3 19 9 2" xfId="16191"/>
    <cellStyle name="40% - 强调文字颜色 2 3 19 9 3" xfId="16198"/>
    <cellStyle name="40% - 强调文字颜色 2 3 2" xfId="16196"/>
    <cellStyle name="40% - 强调文字颜色 2 3 2 10" xfId="16200"/>
    <cellStyle name="40% - 强调文字颜色 2 3 2 11" xfId="16207"/>
    <cellStyle name="40% - 强调文字颜色 2 3 2 12" xfId="6914"/>
    <cellStyle name="40% - 强调文字颜色 2 3 2 13" xfId="6922"/>
    <cellStyle name="40% - 强调文字颜色 2 3 2 14" xfId="6930"/>
    <cellStyle name="40% - 强调文字颜色 2 3 2 2" xfId="471"/>
    <cellStyle name="40% - 强调文字颜色 2 3 2 3" xfId="201"/>
    <cellStyle name="40% - 强调文字颜色 2 3 2 4" xfId="3787"/>
    <cellStyle name="40% - 强调文字颜色 2 3 2 5" xfId="3797"/>
    <cellStyle name="40% - 强调文字颜色 2 3 2 6" xfId="11998"/>
    <cellStyle name="40% - 强调文字颜色 2 3 2 7" xfId="12001"/>
    <cellStyle name="40% - 强调文字颜色 2 3 2 8" xfId="12004"/>
    <cellStyle name="40% - 强调文字颜色 2 3 2 9" xfId="12007"/>
    <cellStyle name="40% - 强调文字颜色 2 3 20" xfId="16046"/>
    <cellStyle name="40% - 强调文字颜色 2 3 20 10" xfId="16210"/>
    <cellStyle name="40% - 强调文字颜色 2 3 20 11" xfId="16212"/>
    <cellStyle name="40% - 强调文字颜色 2 3 20 12" xfId="16213"/>
    <cellStyle name="40% - 强调文字颜色 2 3 20 13" xfId="16214"/>
    <cellStyle name="40% - 强调文字颜色 2 3 20 14" xfId="16216"/>
    <cellStyle name="40% - 强调文字颜色 2 3 20 2" xfId="16049"/>
    <cellStyle name="40% - 强调文字颜色 2 3 20 3" xfId="16126"/>
    <cellStyle name="40% - 强调文字颜色 2 3 20 4" xfId="9694"/>
    <cellStyle name="40% - 强调文字颜色 2 3 20 5" xfId="9701"/>
    <cellStyle name="40% - 强调文字颜色 2 3 20 5 10" xfId="16221"/>
    <cellStyle name="40% - 强调文字颜色 2 3 20 5 11" xfId="16228"/>
    <cellStyle name="40% - 强调文字颜色 2 3 20 5 2" xfId="16231"/>
    <cellStyle name="40% - 强调文字颜色 2 3 20 5 2 2" xfId="10597"/>
    <cellStyle name="40% - 强调文字颜色 2 3 20 5 2 2 2" xfId="3544"/>
    <cellStyle name="40% - 强调文字颜色 2 3 20 5 2 2 3" xfId="3548"/>
    <cellStyle name="40% - 强调文字颜色 2 3 20 5 2 3" xfId="478"/>
    <cellStyle name="40% - 强调文字颜色 2 3 20 5 2 4" xfId="8645"/>
    <cellStyle name="40% - 强调文字颜色 2 3 20 5 2 5" xfId="8650"/>
    <cellStyle name="40% - 强调文字颜色 2 3 20 5 2 6" xfId="13694"/>
    <cellStyle name="40% - 强调文字颜色 2 3 20 5 2 7" xfId="13744"/>
    <cellStyle name="40% - 强调文字颜色 2 3 20 5 2 8" xfId="13774"/>
    <cellStyle name="40% - 强调文字颜色 2 3 20 5 3" xfId="16232"/>
    <cellStyle name="40% - 强调文字颜色 2 3 20 5 4" xfId="13369"/>
    <cellStyle name="40% - 强调文字颜色 2 3 20 5 5" xfId="13376"/>
    <cellStyle name="40% - 强调文字颜色 2 3 20 5 6" xfId="13382"/>
    <cellStyle name="40% - 强调文字颜色 2 3 20 5 6 2" xfId="7033"/>
    <cellStyle name="40% - 强调文字颜色 2 3 20 5 6 3" xfId="7046"/>
    <cellStyle name="40% - 强调文字颜色 2 3 20 5 7" xfId="13389"/>
    <cellStyle name="40% - 强调文字颜色 2 3 20 5 8" xfId="13393"/>
    <cellStyle name="40% - 强调文字颜色 2 3 20 5 9" xfId="14387"/>
    <cellStyle name="40% - 强调文字颜色 2 3 20 6" xfId="9705"/>
    <cellStyle name="40% - 强调文字颜色 2 3 20 6 2" xfId="4805"/>
    <cellStyle name="40% - 强调文字颜色 2 3 20 6 2 2" xfId="4137"/>
    <cellStyle name="40% - 强调文字颜色 2 3 20 6 2 3" xfId="4202"/>
    <cellStyle name="40% - 强调文字颜色 2 3 20 6 3" xfId="4936"/>
    <cellStyle name="40% - 强调文字颜色 2 3 20 6 4" xfId="2560"/>
    <cellStyle name="40% - 强调文字颜色 2 3 20 6 5" xfId="14392"/>
    <cellStyle name="40% - 强调文字颜色 2 3 20 6 6" xfId="14396"/>
    <cellStyle name="40% - 强调文字颜色 2 3 20 6 7" xfId="14400"/>
    <cellStyle name="40% - 强调文字颜色 2 3 20 6 8" xfId="14402"/>
    <cellStyle name="40% - 强调文字颜色 2 3 20 7" xfId="7469"/>
    <cellStyle name="40% - 强调文字颜色 2 3 20 8" xfId="7476"/>
    <cellStyle name="40% - 强调文字颜色 2 3 20 9" xfId="7293"/>
    <cellStyle name="40% - 强调文字颜色 2 3 20 9 2" xfId="16237"/>
    <cellStyle name="40% - 强调文字颜色 2 3 20 9 3" xfId="2852"/>
    <cellStyle name="40% - 强调文字颜色 2 3 3" xfId="14300"/>
    <cellStyle name="40% - 强调文字颜色 2 3 3 10" xfId="12845"/>
    <cellStyle name="40% - 强调文字颜色 2 3 3 11" xfId="12847"/>
    <cellStyle name="40% - 强调文字颜色 2 3 3 12" xfId="12849"/>
    <cellStyle name="40% - 强调文字颜色 2 3 3 13" xfId="16238"/>
    <cellStyle name="40% - 强调文字颜色 2 3 3 14" xfId="16242"/>
    <cellStyle name="40% - 强调文字颜色 2 3 3 2" xfId="16243"/>
    <cellStyle name="40% - 强调文字颜色 2 3 3 3" xfId="16244"/>
    <cellStyle name="40% - 强调文字颜色 2 3 3 4" xfId="16245"/>
    <cellStyle name="40% - 强调文字颜色 2 3 3 5" xfId="16247"/>
    <cellStyle name="40% - 强调文字颜色 2 3 3 6" xfId="16249"/>
    <cellStyle name="40% - 强调文字颜色 2 3 3 7" xfId="1624"/>
    <cellStyle name="40% - 强调文字颜色 2 3 3 8" xfId="443"/>
    <cellStyle name="40% - 强调文字颜色 2 3 3 9" xfId="13464"/>
    <cellStyle name="40% - 强调文字颜色 2 3 4" xfId="14306"/>
    <cellStyle name="40% - 强调文字颜色 2 3 4 10" xfId="9367"/>
    <cellStyle name="40% - 强调文字颜色 2 3 4 11" xfId="9377"/>
    <cellStyle name="40% - 强调文字颜色 2 3 4 12" xfId="9394"/>
    <cellStyle name="40% - 强调文字颜色 2 3 4 13" xfId="9408"/>
    <cellStyle name="40% - 强调文字颜色 2 3 4 14" xfId="217"/>
    <cellStyle name="40% - 强调文字颜色 2 3 4 2" xfId="8061"/>
    <cellStyle name="40% - 强调文字颜色 2 3 4 3" xfId="8066"/>
    <cellStyle name="40% - 强调文字颜色 2 3 4 4" xfId="8219"/>
    <cellStyle name="40% - 强调文字颜色 2 3 4 5" xfId="8328"/>
    <cellStyle name="40% - 强调文字颜色 2 3 4 6" xfId="8411"/>
    <cellStyle name="40% - 强调文字颜色 2 3 4 7" xfId="16252"/>
    <cellStyle name="40% - 强调文字颜色 2 3 4 8" xfId="16255"/>
    <cellStyle name="40% - 强调文字颜色 2 3 4 9" xfId="16259"/>
    <cellStyle name="40% - 强调文字颜色 2 3 5" xfId="16262"/>
    <cellStyle name="40% - 强调文字颜色 2 3 6" xfId="16265"/>
    <cellStyle name="40% - 强调文字颜色 2 3 7" xfId="4308"/>
    <cellStyle name="40% - 强调文字颜色 2 3 8" xfId="4567"/>
    <cellStyle name="40% - 强调文字颜色 2 3 9" xfId="4593"/>
    <cellStyle name="40% - 强调文字颜色 2 4" xfId="16268"/>
    <cellStyle name="40% - 强调文字颜色 2 4 10" xfId="16272"/>
    <cellStyle name="40% - 强调文字颜色 2 4 11" xfId="16279"/>
    <cellStyle name="40% - 强调文字颜色 2 4 12" xfId="16284"/>
    <cellStyle name="40% - 强调文字颜色 2 4 13" xfId="16288"/>
    <cellStyle name="40% - 强调文字颜色 2 4 14" xfId="16291"/>
    <cellStyle name="40% - 强调文字颜色 2 4 15" xfId="16293"/>
    <cellStyle name="40% - 强调文字颜色 2 4 16" xfId="16295"/>
    <cellStyle name="40% - 强调文字颜色 2 4 17" xfId="16230"/>
    <cellStyle name="40% - 强调文字颜色 2 4 17 10" xfId="16296"/>
    <cellStyle name="40% - 强调文字颜色 2 4 17 11" xfId="16297"/>
    <cellStyle name="40% - 强调文字颜色 2 4 17 12" xfId="16298"/>
    <cellStyle name="40% - 强调文字颜色 2 4 17 13" xfId="16299"/>
    <cellStyle name="40% - 强调文字颜色 2 4 17 14" xfId="16300"/>
    <cellStyle name="40% - 强调文字颜色 2 4 17 2" xfId="10596"/>
    <cellStyle name="40% - 强调文字颜色 2 4 17 3" xfId="477"/>
    <cellStyle name="40% - 强调文字颜色 2 4 17 4" xfId="8643"/>
    <cellStyle name="40% - 强调文字颜色 2 4 17 5" xfId="8648"/>
    <cellStyle name="40% - 强调文字颜色 2 4 17 5 10" xfId="14638"/>
    <cellStyle name="40% - 强调文字颜色 2 4 17 5 11" xfId="16302"/>
    <cellStyle name="40% - 强调文字颜色 2 4 17 5 2" xfId="554"/>
    <cellStyle name="40% - 强调文字颜色 2 4 17 5 2 2" xfId="16304"/>
    <cellStyle name="40% - 强调文字颜色 2 4 17 5 2 2 2" xfId="16306"/>
    <cellStyle name="40% - 强调文字颜色 2 4 17 5 2 2 3" xfId="16308"/>
    <cellStyle name="40% - 强调文字颜色 2 4 17 5 2 3" xfId="16311"/>
    <cellStyle name="40% - 强调文字颜色 2 4 17 5 2 4" xfId="16314"/>
    <cellStyle name="40% - 强调文字颜色 2 4 17 5 2 5" xfId="16319"/>
    <cellStyle name="40% - 强调文字颜色 2 4 17 5 2 6" xfId="16324"/>
    <cellStyle name="40% - 强调文字颜色 2 4 17 5 2 7" xfId="16327"/>
    <cellStyle name="40% - 强调文字颜色 2 4 17 5 2 8" xfId="16330"/>
    <cellStyle name="40% - 强调文字颜色 2 4 17 5 3" xfId="1226"/>
    <cellStyle name="40% - 强调文字颜色 2 4 17 5 4" xfId="1237"/>
    <cellStyle name="40% - 强调文字颜色 2 4 17 5 5" xfId="14503"/>
    <cellStyle name="40% - 强调文字颜色 2 4 17 5 6" xfId="14506"/>
    <cellStyle name="40% - 强调文字颜色 2 4 17 5 6 2" xfId="15431"/>
    <cellStyle name="40% - 强调文字颜色 2 4 17 5 6 3" xfId="15435"/>
    <cellStyle name="40% - 强调文字颜色 2 4 17 5 7" xfId="14509"/>
    <cellStyle name="40% - 强调文字颜色 2 4 17 5 8" xfId="14512"/>
    <cellStyle name="40% - 强调文字颜色 2 4 17 5 9" xfId="14515"/>
    <cellStyle name="40% - 强调文字颜色 2 4 17 6" xfId="13693"/>
    <cellStyle name="40% - 强调文字颜色 2 4 17 6 2" xfId="2650"/>
    <cellStyle name="40% - 强调文字颜色 2 4 17 6 2 2" xfId="13696"/>
    <cellStyle name="40% - 强调文字颜色 2 4 17 6 2 3" xfId="13701"/>
    <cellStyle name="40% - 强调文字颜色 2 4 17 6 3" xfId="2669"/>
    <cellStyle name="40% - 强调文字颜色 2 4 17 6 4" xfId="3289"/>
    <cellStyle name="40% - 强调文字颜色 2 4 17 6 5" xfId="13719"/>
    <cellStyle name="40% - 强调文字颜色 2 4 17 6 6" xfId="13723"/>
    <cellStyle name="40% - 强调文字颜色 2 4 17 6 7" xfId="13731"/>
    <cellStyle name="40% - 强调文字颜色 2 4 17 6 8" xfId="13735"/>
    <cellStyle name="40% - 强调文字颜色 2 4 17 7" xfId="13743"/>
    <cellStyle name="40% - 强调文字颜色 2 4 17 8" xfId="13773"/>
    <cellStyle name="40% - 强调文字颜色 2 4 17 9" xfId="13780"/>
    <cellStyle name="40% - 强调文字颜色 2 4 17 9 2" xfId="4371"/>
    <cellStyle name="40% - 强调文字颜色 2 4 17 9 3" xfId="4372"/>
    <cellStyle name="40% - 强调文字颜色 2 4 18" xfId="16234"/>
    <cellStyle name="40% - 强调文字颜色 2 4 18 10" xfId="16331"/>
    <cellStyle name="40% - 强调文字颜色 2 4 18 11" xfId="16332"/>
    <cellStyle name="40% - 强调文字颜色 2 4 18 12" xfId="16333"/>
    <cellStyle name="40% - 强调文字颜色 2 4 18 13" xfId="15062"/>
    <cellStyle name="40% - 强调文字颜色 2 4 18 14" xfId="15069"/>
    <cellStyle name="40% - 强调文字颜色 2 4 18 2" xfId="16335"/>
    <cellStyle name="40% - 强调文字颜色 2 4 18 3" xfId="13790"/>
    <cellStyle name="40% - 强调文字颜色 2 4 18 4" xfId="13795"/>
    <cellStyle name="40% - 强调文字颜色 2 4 18 5" xfId="13800"/>
    <cellStyle name="40% - 强调文字颜色 2 4 18 5 10" xfId="16340"/>
    <cellStyle name="40% - 强调文字颜色 2 4 18 5 11" xfId="16344"/>
    <cellStyle name="40% - 强调文字颜色 2 4 18 5 2" xfId="8802"/>
    <cellStyle name="40% - 强调文字颜色 2 4 18 5 2 2" xfId="8809"/>
    <cellStyle name="40% - 强调文字颜色 2 4 18 5 2 2 2" xfId="8812"/>
    <cellStyle name="40% - 强调文字颜色 2 4 18 5 2 2 3" xfId="8814"/>
    <cellStyle name="40% - 强调文字颜色 2 4 18 5 2 3" xfId="8825"/>
    <cellStyle name="40% - 强调文字颜色 2 4 18 5 2 4" xfId="8832"/>
    <cellStyle name="40% - 强调文字颜色 2 4 18 5 2 5" xfId="8841"/>
    <cellStyle name="40% - 强调文字颜色 2 4 18 5 2 6" xfId="1373"/>
    <cellStyle name="40% - 强调文字颜色 2 4 18 5 2 7" xfId="1386"/>
    <cellStyle name="40% - 强调文字颜色 2 4 18 5 2 8" xfId="1398"/>
    <cellStyle name="40% - 强调文字颜色 2 4 18 5 3" xfId="8852"/>
    <cellStyle name="40% - 强调文字颜色 2 4 18 5 4" xfId="8876"/>
    <cellStyle name="40% - 强调文字颜色 2 4 18 5 5" xfId="7518"/>
    <cellStyle name="40% - 强调文字颜色 2 4 18 5 6" xfId="5592"/>
    <cellStyle name="40% - 强调文字颜色 2 4 18 5 6 2" xfId="8880"/>
    <cellStyle name="40% - 强调文字颜色 2 4 18 5 6 3" xfId="8886"/>
    <cellStyle name="40% - 强调文字颜色 2 4 18 5 7" xfId="5603"/>
    <cellStyle name="40% - 强调文字颜色 2 4 18 5 8" xfId="14556"/>
    <cellStyle name="40% - 强调文字颜色 2 4 18 5 9" xfId="14568"/>
    <cellStyle name="40% - 强调文字颜色 2 4 18 6" xfId="13804"/>
    <cellStyle name="40% - 强调文字颜色 2 4 18 6 2" xfId="13810"/>
    <cellStyle name="40% - 强调文字颜色 2 4 18 6 2 2" xfId="13816"/>
    <cellStyle name="40% - 强调文字颜色 2 4 18 6 2 3" xfId="13820"/>
    <cellStyle name="40% - 强调文字颜色 2 4 18 6 3" xfId="13822"/>
    <cellStyle name="40% - 强调文字颜色 2 4 18 6 4" xfId="13827"/>
    <cellStyle name="40% - 强调文字颜色 2 4 18 6 5" xfId="13833"/>
    <cellStyle name="40% - 强调文字颜色 2 4 18 6 6" xfId="13840"/>
    <cellStyle name="40% - 强调文字颜色 2 4 18 6 7" xfId="13852"/>
    <cellStyle name="40% - 强调文字颜色 2 4 18 6 8" xfId="13858"/>
    <cellStyle name="40% - 强调文字颜色 2 4 18 7" xfId="13869"/>
    <cellStyle name="40% - 强调文字颜色 2 4 18 8" xfId="13912"/>
    <cellStyle name="40% - 强调文字颜色 2 4 18 9" xfId="13916"/>
    <cellStyle name="40% - 强调文字颜色 2 4 18 9 2" xfId="16345"/>
    <cellStyle name="40% - 强调文字颜色 2 4 18 9 3" xfId="16348"/>
    <cellStyle name="40% - 强调文字颜色 2 4 19" xfId="13371"/>
    <cellStyle name="40% - 强调文字颜色 2 4 19 10" xfId="8689"/>
    <cellStyle name="40% - 强调文字颜色 2 4 19 11" xfId="8698"/>
    <cellStyle name="40% - 强调文字颜色 2 4 19 12" xfId="4970"/>
    <cellStyle name="40% - 强调文字颜色 2 4 19 13" xfId="4973"/>
    <cellStyle name="40% - 强调文字颜色 2 4 19 14" xfId="6257"/>
    <cellStyle name="40% - 强调文字颜色 2 4 19 2" xfId="14335"/>
    <cellStyle name="40% - 强调文字颜色 2 4 19 3" xfId="14344"/>
    <cellStyle name="40% - 强调文字颜色 2 4 19 4" xfId="14354"/>
    <cellStyle name="40% - 强调文字颜色 2 4 19 5" xfId="14362"/>
    <cellStyle name="40% - 强调文字颜色 2 4 19 5 10" xfId="16315"/>
    <cellStyle name="40% - 强调文字颜色 2 4 19 5 11" xfId="16320"/>
    <cellStyle name="40% - 强调文字颜色 2 4 19 5 2" xfId="15507"/>
    <cellStyle name="40% - 强调文字颜色 2 4 19 5 2 2" xfId="13080"/>
    <cellStyle name="40% - 强调文字颜色 2 4 19 5 2 2 2" xfId="13543"/>
    <cellStyle name="40% - 强调文字颜色 2 4 19 5 2 2 3" xfId="13547"/>
    <cellStyle name="40% - 强调文字颜色 2 4 19 5 2 3" xfId="16349"/>
    <cellStyle name="40% - 强调文字颜色 2 4 19 5 2 4" xfId="16351"/>
    <cellStyle name="40% - 强调文字颜色 2 4 19 5 2 5" xfId="16352"/>
    <cellStyle name="40% - 强调文字颜色 2 4 19 5 2 6" xfId="16353"/>
    <cellStyle name="40% - 强调文字颜色 2 4 19 5 2 7" xfId="16354"/>
    <cellStyle name="40% - 强调文字颜色 2 4 19 5 2 8" xfId="16355"/>
    <cellStyle name="40% - 强调文字颜色 2 4 19 5 3" xfId="15512"/>
    <cellStyle name="40% - 强调文字颜色 2 4 19 5 4" xfId="14598"/>
    <cellStyle name="40% - 强调文字颜色 2 4 19 5 5" xfId="14606"/>
    <cellStyle name="40% - 强调文字颜色 2 4 19 5 6" xfId="14610"/>
    <cellStyle name="40% - 强调文字颜色 2 4 19 5 6 2" xfId="16357"/>
    <cellStyle name="40% - 强调文字颜色 2 4 19 5 6 3" xfId="16360"/>
    <cellStyle name="40% - 强调文字颜色 2 4 19 5 7" xfId="14615"/>
    <cellStyle name="40% - 强调文字颜色 2 4 19 5 8" xfId="14620"/>
    <cellStyle name="40% - 强调文字颜色 2 4 19 5 9" xfId="14627"/>
    <cellStyle name="40% - 强调文字颜色 2 4 19 6" xfId="14366"/>
    <cellStyle name="40% - 强调文字颜色 2 4 19 6 2" xfId="16361"/>
    <cellStyle name="40% - 强调文字颜色 2 4 19 6 2 2" xfId="16363"/>
    <cellStyle name="40% - 强调文字颜色 2 4 19 6 2 3" xfId="16365"/>
    <cellStyle name="40% - 强调文字颜色 2 4 19 6 3" xfId="16367"/>
    <cellStyle name="40% - 强调文字颜色 2 4 19 6 4" xfId="14639"/>
    <cellStyle name="40% - 强调文字颜色 2 4 19 6 5" xfId="10905"/>
    <cellStyle name="40% - 强调文字颜色 2 4 19 6 6" xfId="10909"/>
    <cellStyle name="40% - 强调文字颜色 2 4 19 6 7" xfId="10656"/>
    <cellStyle name="40% - 强调文字颜色 2 4 19 6 8" xfId="10665"/>
    <cellStyle name="40% - 强调文字颜色 2 4 19 7" xfId="14369"/>
    <cellStyle name="40% - 强调文字颜色 2 4 19 8" xfId="14372"/>
    <cellStyle name="40% - 强调文字颜色 2 4 19 9" xfId="16368"/>
    <cellStyle name="40% - 强调文字颜色 2 4 19 9 2" xfId="1913"/>
    <cellStyle name="40% - 强调文字颜色 2 4 19 9 3" xfId="1938"/>
    <cellStyle name="40% - 强调文字颜色 2 4 2" xfId="16215"/>
    <cellStyle name="40% - 强调文字颜色 2 4 20" xfId="16294"/>
    <cellStyle name="40% - 强调文字颜色 2 4 20 10" xfId="16370"/>
    <cellStyle name="40% - 强调文字颜色 2 4 20 11" xfId="16371"/>
    <cellStyle name="40% - 强调文字颜色 2 4 20 12" xfId="16372"/>
    <cellStyle name="40% - 强调文字颜色 2 4 20 13" xfId="16373"/>
    <cellStyle name="40% - 强调文字颜色 2 4 20 14" xfId="16374"/>
    <cellStyle name="40% - 强调文字颜色 2 4 20 2" xfId="16136"/>
    <cellStyle name="40% - 强调文字颜色 2 4 20 3" xfId="16139"/>
    <cellStyle name="40% - 强调文字颜色 2 4 20 4" xfId="16378"/>
    <cellStyle name="40% - 强调文字颜色 2 4 20 5" xfId="16381"/>
    <cellStyle name="40% - 强调文字颜色 2 4 20 5 10" xfId="16382"/>
    <cellStyle name="40% - 强调文字颜色 2 4 20 5 11" xfId="16384"/>
    <cellStyle name="40% - 强调文字颜色 2 4 20 5 2" xfId="16385"/>
    <cellStyle name="40% - 强调文字颜色 2 4 20 5 2 2" xfId="8142"/>
    <cellStyle name="40% - 强调文字颜色 2 4 20 5 2 2 2" xfId="16394"/>
    <cellStyle name="40% - 强调文字颜色 2 4 20 5 2 2 3" xfId="16402"/>
    <cellStyle name="40% - 强调文字颜色 2 4 20 5 2 3" xfId="8149"/>
    <cellStyle name="40% - 强调文字颜色 2 4 20 5 2 4" xfId="8158"/>
    <cellStyle name="40% - 强调文字颜色 2 4 20 5 2 5" xfId="8167"/>
    <cellStyle name="40% - 强调文字颜色 2 4 20 5 2 6" xfId="8171"/>
    <cellStyle name="40% - 强调文字颜色 2 4 20 5 2 7" xfId="8176"/>
    <cellStyle name="40% - 强调文字颜色 2 4 20 5 2 8" xfId="16403"/>
    <cellStyle name="40% - 强调文字颜色 2 4 20 5 3" xfId="16405"/>
    <cellStyle name="40% - 强调文字颜色 2 4 20 5 4" xfId="14667"/>
    <cellStyle name="40% - 强调文字颜色 2 4 20 5 5" xfId="14682"/>
    <cellStyle name="40% - 强调文字颜色 2 4 20 5 6" xfId="14686"/>
    <cellStyle name="40% - 强调文字颜色 2 4 20 5 6 2" xfId="12320"/>
    <cellStyle name="40% - 强调文字颜色 2 4 20 5 6 3" xfId="12324"/>
    <cellStyle name="40% - 强调文字颜色 2 4 20 5 7" xfId="14690"/>
    <cellStyle name="40% - 强调文字颜色 2 4 20 5 8" xfId="14694"/>
    <cellStyle name="40% - 强调文字颜色 2 4 20 5 9" xfId="14700"/>
    <cellStyle name="40% - 强调文字颜色 2 4 20 6" xfId="16410"/>
    <cellStyle name="40% - 强调文字颜色 2 4 20 6 2" xfId="11860"/>
    <cellStyle name="40% - 强调文字颜色 2 4 20 6 2 2" xfId="8268"/>
    <cellStyle name="40% - 强调文字颜色 2 4 20 6 2 3" xfId="8274"/>
    <cellStyle name="40% - 强调文字颜色 2 4 20 6 3" xfId="11452"/>
    <cellStyle name="40% - 强调文字颜色 2 4 20 6 4" xfId="11463"/>
    <cellStyle name="40% - 强调文字颜色 2 4 20 6 5" xfId="11876"/>
    <cellStyle name="40% - 强调文字颜色 2 4 20 6 6" xfId="14708"/>
    <cellStyle name="40% - 强调文字颜色 2 4 20 6 7" xfId="14712"/>
    <cellStyle name="40% - 强调文字颜色 2 4 20 6 8" xfId="14715"/>
    <cellStyle name="40% - 强调文字颜色 2 4 20 7" xfId="16413"/>
    <cellStyle name="40% - 强调文字颜色 2 4 20 8" xfId="16416"/>
    <cellStyle name="40% - 强调文字颜色 2 4 20 9" xfId="16418"/>
    <cellStyle name="40% - 强调文字颜色 2 4 20 9 2" xfId="16423"/>
    <cellStyle name="40% - 强调文字颜色 2 4 20 9 3" xfId="16426"/>
    <cellStyle name="40% - 强调文字颜色 2 4 3" xfId="16427"/>
    <cellStyle name="40% - 强调文字颜色 2 4 4" xfId="16428"/>
    <cellStyle name="40% - 强调文字颜色 2 4 5" xfId="16429"/>
    <cellStyle name="40% - 强调文字颜色 2 4 6" xfId="16430"/>
    <cellStyle name="40% - 强调文字颜色 2 4 7" xfId="3757"/>
    <cellStyle name="40% - 强调文字颜色 2 4 8" xfId="5196"/>
    <cellStyle name="40% - 强调文字颜色 2 4 9" xfId="5198"/>
    <cellStyle name="40% - 强调文字颜色 2 5" xfId="16433"/>
    <cellStyle name="40% - 强调文字颜色 2 5 10" xfId="16435"/>
    <cellStyle name="40% - 强调文字颜色 2 5 11" xfId="16436"/>
    <cellStyle name="40% - 强调文字颜色 2 5 12" xfId="16437"/>
    <cellStyle name="40% - 强调文字颜色 2 5 13" xfId="16439"/>
    <cellStyle name="40% - 强调文字颜色 2 5 14" xfId="16444"/>
    <cellStyle name="40% - 强调文字颜色 2 5 2" xfId="4143"/>
    <cellStyle name="40% - 强调文字颜色 2 5 3" xfId="16446"/>
    <cellStyle name="40% - 强调文字颜色 2 5 4" xfId="16448"/>
    <cellStyle name="40% - 强调文字颜色 2 5 5" xfId="16450"/>
    <cellStyle name="40% - 强调文字颜色 2 5 6" xfId="16455"/>
    <cellStyle name="40% - 强调文字颜色 2 5 7" xfId="3961"/>
    <cellStyle name="40% - 强调文字颜色 2 5 8" xfId="3985"/>
    <cellStyle name="40% - 强调文字颜色 2 5 9" xfId="4917"/>
    <cellStyle name="40% - 强调文字颜色 2 6" xfId="16457"/>
    <cellStyle name="40% - 强调文字颜色 2 6 10" xfId="8237"/>
    <cellStyle name="40% - 强调文字颜色 2 6 11" xfId="16459"/>
    <cellStyle name="40% - 强调文字颜色 2 6 12" xfId="16460"/>
    <cellStyle name="40% - 强调文字颜色 2 6 13" xfId="15996"/>
    <cellStyle name="40% - 强调文字颜色 2 6 14" xfId="11702"/>
    <cellStyle name="40% - 强调文字颜色 2 6 2" xfId="7241"/>
    <cellStyle name="40% - 强调文字颜色 2 6 3" xfId="7252"/>
    <cellStyle name="40% - 强调文字颜色 2 6 4" xfId="15125"/>
    <cellStyle name="40% - 强调文字颜色 2 6 5" xfId="15129"/>
    <cellStyle name="40% - 强调文字颜色 2 6 6" xfId="15133"/>
    <cellStyle name="40% - 强调文字颜色 2 6 7" xfId="2956"/>
    <cellStyle name="40% - 强调文字颜色 2 6 8" xfId="2972"/>
    <cellStyle name="40% - 强调文字颜色 2 6 9" xfId="2991"/>
    <cellStyle name="40% - 强调文字颜色 2 7" xfId="12220"/>
    <cellStyle name="40% - 强调文字颜色 2 8" xfId="12223"/>
    <cellStyle name="40% - 强调文字颜色 2 9" xfId="12227"/>
    <cellStyle name="40% - 强调文字颜色 3 10" xfId="9167"/>
    <cellStyle name="40% - 强调文字颜色 3 11" xfId="5241"/>
    <cellStyle name="40% - 强调文字颜色 3 12" xfId="5246"/>
    <cellStyle name="40% - 强调文字颜色 3 12 10" xfId="3410"/>
    <cellStyle name="40% - 强调文字颜色 3 12 11" xfId="1447"/>
    <cellStyle name="40% - 强调文字颜色 3 12 12" xfId="16462"/>
    <cellStyle name="40% - 强调文字颜色 3 12 13" xfId="16464"/>
    <cellStyle name="40% - 强调文字颜色 3 12 14" xfId="16465"/>
    <cellStyle name="40% - 强调文字颜色 3 12 2" xfId="16466"/>
    <cellStyle name="40% - 强调文字颜色 3 12 3" xfId="4817"/>
    <cellStyle name="40% - 强调文字颜色 3 12 4" xfId="4821"/>
    <cellStyle name="40% - 强调文字颜色 3 12 5" xfId="16467"/>
    <cellStyle name="40% - 强调文字颜色 3 12 5 10" xfId="16470"/>
    <cellStyle name="40% - 强调文字颜色 3 12 5 11" xfId="16473"/>
    <cellStyle name="40% - 强调文字颜色 3 12 5 2" xfId="16478"/>
    <cellStyle name="40% - 强调文字颜色 3 12 5 2 2" xfId="16481"/>
    <cellStyle name="40% - 强调文字颜色 3 12 5 2 2 2" xfId="16482"/>
    <cellStyle name="40% - 强调文字颜色 3 12 5 2 2 3" xfId="16484"/>
    <cellStyle name="40% - 强调文字颜色 3 12 5 2 3" xfId="16486"/>
    <cellStyle name="40% - 强调文字颜色 3 12 5 2 4" xfId="14914"/>
    <cellStyle name="40% - 强调文字颜色 3 12 5 2 5" xfId="14925"/>
    <cellStyle name="40% - 强调文字颜色 3 12 5 2 6" xfId="11114"/>
    <cellStyle name="40% - 强调文字颜色 3 12 5 2 7" xfId="11120"/>
    <cellStyle name="40% - 强调文字颜色 3 12 5 2 8" xfId="14927"/>
    <cellStyle name="40% - 强调文字颜色 3 12 5 3" xfId="16489"/>
    <cellStyle name="40% - 强调文字颜色 3 12 5 4" xfId="16494"/>
    <cellStyle name="40% - 强调文字颜色 3 12 5 5" xfId="2640"/>
    <cellStyle name="40% - 强调文字颜色 3 12 5 6" xfId="2685"/>
    <cellStyle name="40% - 强调文字颜色 3 12 5 6 2" xfId="16498"/>
    <cellStyle name="40% - 强调文字颜色 3 12 5 6 3" xfId="10753"/>
    <cellStyle name="40% - 强调文字颜色 3 12 5 7" xfId="2688"/>
    <cellStyle name="40% - 强调文字颜色 3 12 5 8" xfId="2702"/>
    <cellStyle name="40% - 强调文字颜色 3 12 5 9" xfId="1136"/>
    <cellStyle name="40% - 强调文字颜色 3 12 6" xfId="16499"/>
    <cellStyle name="40% - 强调文字颜色 3 12 6 2" xfId="15668"/>
    <cellStyle name="40% - 强调文字颜色 3 12 6 2 2" xfId="16501"/>
    <cellStyle name="40% - 强调文字颜色 3 12 6 2 3" xfId="16504"/>
    <cellStyle name="40% - 强调文字颜色 3 12 6 3" xfId="16507"/>
    <cellStyle name="40% - 强调文字颜色 3 12 6 4" xfId="16509"/>
    <cellStyle name="40% - 强调文字颜色 3 12 6 5" xfId="10649"/>
    <cellStyle name="40% - 强调文字颜色 3 12 6 6" xfId="9192"/>
    <cellStyle name="40% - 强调文字颜色 3 12 6 7" xfId="9197"/>
    <cellStyle name="40% - 强调文字颜色 3 12 6 8" xfId="455"/>
    <cellStyle name="40% - 强调文字颜色 3 12 7" xfId="15047"/>
    <cellStyle name="40% - 强调文字颜色 3 12 8" xfId="15049"/>
    <cellStyle name="40% - 强调文字颜色 3 12 9" xfId="16510"/>
    <cellStyle name="40% - 强调文字颜色 3 12 9 2" xfId="7041"/>
    <cellStyle name="40% - 强调文字颜色 3 12 9 3" xfId="7056"/>
    <cellStyle name="40% - 强调文字颜色 3 13" xfId="5251"/>
    <cellStyle name="40% - 强调文字颜色 3 14" xfId="5334"/>
    <cellStyle name="40% - 强调文字颜色 3 15" xfId="5348"/>
    <cellStyle name="40% - 强调文字颜色 3 16" xfId="3220"/>
    <cellStyle name="40% - 强调文字颜色 3 16 10" xfId="14048"/>
    <cellStyle name="40% - 强调文字颜色 3 16 11" xfId="16512"/>
    <cellStyle name="40% - 强调文字颜色 3 16 12" xfId="16514"/>
    <cellStyle name="40% - 强调文字颜色 3 16 13" xfId="16516"/>
    <cellStyle name="40% - 强调文字颜色 3 16 14" xfId="16517"/>
    <cellStyle name="40% - 强调文字颜色 3 16 2" xfId="6669"/>
    <cellStyle name="40% - 强调文字颜色 3 16 3" xfId="6675"/>
    <cellStyle name="40% - 强调文字颜色 3 16 4" xfId="6681"/>
    <cellStyle name="40% - 强调文字颜色 3 16 5" xfId="6687"/>
    <cellStyle name="40% - 强调文字颜色 3 16 5 10" xfId="10190"/>
    <cellStyle name="40% - 强调文字颜色 3 16 5 11" xfId="10200"/>
    <cellStyle name="40% - 强调文字颜色 3 16 5 2" xfId="6416"/>
    <cellStyle name="40% - 强调文字颜色 3 16 5 2 2" xfId="16518"/>
    <cellStyle name="40% - 强调文字颜色 3 16 5 2 2 2" xfId="642"/>
    <cellStyle name="40% - 强调文字颜色 3 16 5 2 2 3" xfId="3298"/>
    <cellStyle name="40% - 强调文字颜色 3 16 5 2 3" xfId="16520"/>
    <cellStyle name="40% - 强调文字颜色 3 16 5 2 4" xfId="16522"/>
    <cellStyle name="40% - 强调文字颜色 3 16 5 2 5" xfId="16524"/>
    <cellStyle name="40% - 强调文字颜色 3 16 5 2 6" xfId="16526"/>
    <cellStyle name="40% - 强调文字颜色 3 16 5 2 7" xfId="16528"/>
    <cellStyle name="40% - 强调文字颜色 3 16 5 2 8" xfId="15271"/>
    <cellStyle name="40% - 强调文字颜色 3 16 5 3" xfId="6425"/>
    <cellStyle name="40% - 强调文字颜色 3 16 5 4" xfId="6431"/>
    <cellStyle name="40% - 强调文字颜色 3 16 5 5" xfId="6439"/>
    <cellStyle name="40% - 强调文字颜色 3 16 5 6" xfId="6448"/>
    <cellStyle name="40% - 强调文字颜色 3 16 5 6 2" xfId="2867"/>
    <cellStyle name="40% - 强调文字颜色 3 16 5 6 3" xfId="2885"/>
    <cellStyle name="40% - 强调文字颜色 3 16 5 7" xfId="6546"/>
    <cellStyle name="40% - 强调文字颜色 3 16 5 8" xfId="6554"/>
    <cellStyle name="40% - 强调文字颜色 3 16 5 9" xfId="16530"/>
    <cellStyle name="40% - 强调文字颜色 3 16 6" xfId="11107"/>
    <cellStyle name="40% - 强调文字颜色 3 16 6 2" xfId="14890"/>
    <cellStyle name="40% - 强调文字颜色 3 16 6 2 2" xfId="16532"/>
    <cellStyle name="40% - 强调文字颜色 3 16 6 2 3" xfId="16535"/>
    <cellStyle name="40% - 强调文字颜色 3 16 6 3" xfId="14896"/>
    <cellStyle name="40% - 强调文字颜色 3 16 6 4" xfId="14901"/>
    <cellStyle name="40% - 强调文字颜色 3 16 6 5" xfId="14906"/>
    <cellStyle name="40% - 强调文字颜色 3 16 6 6" xfId="14235"/>
    <cellStyle name="40% - 强调文字颜色 3 16 6 7" xfId="14241"/>
    <cellStyle name="40% - 强调文字颜色 3 16 6 8" xfId="14247"/>
    <cellStyle name="40% - 强调文字颜色 3 16 7" xfId="11110"/>
    <cellStyle name="40% - 强调文字颜色 3 16 8" xfId="429"/>
    <cellStyle name="40% - 强调文字颜色 3 16 9" xfId="11126"/>
    <cellStyle name="40% - 强调文字颜色 3 16 9 2" xfId="16539"/>
    <cellStyle name="40% - 强调文字颜色 3 16 9 3" xfId="16543"/>
    <cellStyle name="40% - 强调文字颜色 3 17" xfId="3239"/>
    <cellStyle name="40% - 强调文字颜色 3 17 10" xfId="3498"/>
    <cellStyle name="40% - 强调文字颜色 3 17 11" xfId="3509"/>
    <cellStyle name="40% - 强调文字颜色 3 17 12" xfId="3421"/>
    <cellStyle name="40% - 强调文字颜色 3 17 13" xfId="3442"/>
    <cellStyle name="40% - 强调文字颜色 3 17 14" xfId="3525"/>
    <cellStyle name="40% - 强调文字颜色 3 17 2" xfId="2378"/>
    <cellStyle name="40% - 强调文字颜色 3 17 3" xfId="2611"/>
    <cellStyle name="40% - 强调文字颜色 3 17 4" xfId="2715"/>
    <cellStyle name="40% - 强调文字颜色 3 17 5" xfId="2733"/>
    <cellStyle name="40% - 强调文字颜色 3 17 5 10" xfId="569"/>
    <cellStyle name="40% - 强调文字颜色 3 17 5 11" xfId="413"/>
    <cellStyle name="40% - 强调文字颜色 3 17 5 2" xfId="5361"/>
    <cellStyle name="40% - 强调文字颜色 3 17 5 2 2" xfId="5371"/>
    <cellStyle name="40% - 强调文字颜色 3 17 5 2 2 2" xfId="5377"/>
    <cellStyle name="40% - 强调文字颜色 3 17 5 2 2 3" xfId="1020"/>
    <cellStyle name="40% - 强调文字颜色 3 17 5 2 3" xfId="5390"/>
    <cellStyle name="40% - 强调文字颜色 3 17 5 2 4" xfId="1689"/>
    <cellStyle name="40% - 强调文字颜色 3 17 5 2 5" xfId="1743"/>
    <cellStyle name="40% - 强调文字颜色 3 17 5 2 6" xfId="1753"/>
    <cellStyle name="40% - 强调文字颜色 3 17 5 2 7" xfId="1763"/>
    <cellStyle name="40% - 强调文字颜色 3 17 5 2 8" xfId="384"/>
    <cellStyle name="40% - 强调文字颜色 3 17 5 3" xfId="5399"/>
    <cellStyle name="40% - 强调文字颜色 3 17 5 4" xfId="5412"/>
    <cellStyle name="40% - 强调文字颜色 3 17 5 5" xfId="5425"/>
    <cellStyle name="40% - 强调文字颜色 3 17 5 6" xfId="5439"/>
    <cellStyle name="40% - 强调文字颜色 3 17 5 6 2" xfId="1437"/>
    <cellStyle name="40% - 强调文字颜色 3 17 5 6 3" xfId="1469"/>
    <cellStyle name="40% - 强调文字颜色 3 17 5 7" xfId="5453"/>
    <cellStyle name="40% - 强调文字颜色 3 17 5 8" xfId="5466"/>
    <cellStyle name="40% - 强调文字颜色 3 17 5 9" xfId="5476"/>
    <cellStyle name="40% - 强调文字颜色 3 17 6" xfId="5487"/>
    <cellStyle name="40% - 强调文字颜色 3 17 6 2" xfId="5492"/>
    <cellStyle name="40% - 强调文字颜色 3 17 6 2 2" xfId="5506"/>
    <cellStyle name="40% - 强调文字颜色 3 17 6 2 3" xfId="5522"/>
    <cellStyle name="40% - 强调文字颜色 3 17 6 3" xfId="5531"/>
    <cellStyle name="40% - 强调文字颜色 3 17 6 4" xfId="5535"/>
    <cellStyle name="40% - 强调文字颜色 3 17 6 5" xfId="5539"/>
    <cellStyle name="40% - 强调文字颜色 3 17 6 6" xfId="5543"/>
    <cellStyle name="40% - 强调文字颜色 3 17 6 7" xfId="5548"/>
    <cellStyle name="40% - 强调文字颜色 3 17 6 8" xfId="5554"/>
    <cellStyle name="40% - 强调文字颜色 3 17 7" xfId="5561"/>
    <cellStyle name="40% - 强调文字颜色 3 17 8" xfId="5568"/>
    <cellStyle name="40% - 强调文字颜色 3 17 9" xfId="5574"/>
    <cellStyle name="40% - 强调文字颜色 3 17 9 2" xfId="5596"/>
    <cellStyle name="40% - 强调文字颜色 3 17 9 3" xfId="5606"/>
    <cellStyle name="40% - 强调文字颜色 3 18" xfId="2924"/>
    <cellStyle name="40% - 强调文字颜色 3 18 10" xfId="5612"/>
    <cellStyle name="40% - 强调文字颜色 3 18 11" xfId="3938"/>
    <cellStyle name="40% - 强调文字颜色 3 18 12" xfId="4021"/>
    <cellStyle name="40% - 强调文字颜色 3 18 13" xfId="4030"/>
    <cellStyle name="40% - 强调文字颜色 3 18 14" xfId="4039"/>
    <cellStyle name="40% - 强调文字颜色 3 18 2" xfId="5619"/>
    <cellStyle name="40% - 强调文字颜色 3 18 3" xfId="5626"/>
    <cellStyle name="40% - 强调文字颜色 3 18 4" xfId="5631"/>
    <cellStyle name="40% - 强调文字颜色 3 18 5" xfId="5638"/>
    <cellStyle name="40% - 强调文字颜色 3 18 5 10" xfId="5645"/>
    <cellStyle name="40% - 强调文字颜色 3 18 5 11" xfId="5651"/>
    <cellStyle name="40% - 强调文字颜色 3 18 5 2" xfId="5657"/>
    <cellStyle name="40% - 强调文字颜色 3 18 5 2 2" xfId="5667"/>
    <cellStyle name="40% - 强调文字颜色 3 18 5 2 2 2" xfId="5671"/>
    <cellStyle name="40% - 强调文字颜色 3 18 5 2 2 3" xfId="5679"/>
    <cellStyle name="40% - 强调文字颜色 3 18 5 2 3" xfId="5686"/>
    <cellStyle name="40% - 强调文字颜色 3 18 5 2 4" xfId="5689"/>
    <cellStyle name="40% - 强调文字颜色 3 18 5 2 5" xfId="1706"/>
    <cellStyle name="40% - 强调文字颜色 3 18 5 2 6" xfId="1732"/>
    <cellStyle name="40% - 强调文字颜色 3 18 5 2 7" xfId="5692"/>
    <cellStyle name="40% - 强调文字颜色 3 18 5 2 8" xfId="5696"/>
    <cellStyle name="40% - 强调文字颜色 3 18 5 3" xfId="5699"/>
    <cellStyle name="40% - 强调文字颜色 3 18 5 4" xfId="5707"/>
    <cellStyle name="40% - 强调文字颜色 3 18 5 5" xfId="5712"/>
    <cellStyle name="40% - 强调文字颜色 3 18 5 6" xfId="5724"/>
    <cellStyle name="40% - 强调文字颜色 3 18 5 6 2" xfId="4083"/>
    <cellStyle name="40% - 强调文字颜色 3 18 5 6 3" xfId="4090"/>
    <cellStyle name="40% - 强调文字颜色 3 18 5 7" xfId="5744"/>
    <cellStyle name="40% - 强调文字颜色 3 18 5 8" xfId="5757"/>
    <cellStyle name="40% - 强调文字颜色 3 18 5 9" xfId="5769"/>
    <cellStyle name="40% - 强调文字颜色 3 18 6" xfId="3035"/>
    <cellStyle name="40% - 强调文字颜色 3 18 6 2" xfId="5780"/>
    <cellStyle name="40% - 强调文字颜色 3 18 6 2 2" xfId="5793"/>
    <cellStyle name="40% - 强调文字颜色 3 18 6 2 3" xfId="5805"/>
    <cellStyle name="40% - 强调文字颜色 3 18 6 3" xfId="5813"/>
    <cellStyle name="40% - 强调文字颜色 3 18 6 4" xfId="5821"/>
    <cellStyle name="40% - 强调文字颜色 3 18 6 5" xfId="5828"/>
    <cellStyle name="40% - 强调文字颜色 3 18 6 6" xfId="5834"/>
    <cellStyle name="40% - 强调文字颜色 3 18 6 7" xfId="5838"/>
    <cellStyle name="40% - 强调文字颜色 3 18 6 8" xfId="5842"/>
    <cellStyle name="40% - 强调文字颜色 3 18 7" xfId="3046"/>
    <cellStyle name="40% - 强调文字颜色 3 18 8" xfId="5850"/>
    <cellStyle name="40% - 强调文字颜色 3 18 9" xfId="5856"/>
    <cellStyle name="40% - 强调文字颜色 3 18 9 2" xfId="5865"/>
    <cellStyle name="40% - 强调文字颜色 3 18 9 3" xfId="5870"/>
    <cellStyle name="40% - 强调文字颜色 3 19" xfId="5874"/>
    <cellStyle name="40% - 强调文字颜色 3 2" xfId="16544"/>
    <cellStyle name="40% - 强调文字颜色 3 2 10" xfId="12119"/>
    <cellStyle name="40% - 强调文字颜色 3 2 11" xfId="12141"/>
    <cellStyle name="40% - 强调文字颜色 3 2 12" xfId="12148"/>
    <cellStyle name="40% - 强调文字颜色 3 2 13" xfId="12155"/>
    <cellStyle name="40% - 强调文字颜色 3 2 14" xfId="12161"/>
    <cellStyle name="40% - 强调文字颜色 3 2 15" xfId="12169"/>
    <cellStyle name="40% - 强调文字颜色 3 2 16" xfId="12178"/>
    <cellStyle name="40% - 强调文字颜色 3 2 17" xfId="12187"/>
    <cellStyle name="40% - 强调文字颜色 3 2 17 10" xfId="14724"/>
    <cellStyle name="40% - 强调文字颜色 3 2 17 11" xfId="14729"/>
    <cellStyle name="40% - 强调文字颜色 3 2 17 12" xfId="16548"/>
    <cellStyle name="40% - 强调文字颜色 3 2 17 13" xfId="16552"/>
    <cellStyle name="40% - 强调文字颜色 3 2 17 14" xfId="16555"/>
    <cellStyle name="40% - 强调文字颜色 3 2 17 2" xfId="9823"/>
    <cellStyle name="40% - 强调文字颜色 3 2 17 3" xfId="9829"/>
    <cellStyle name="40% - 强调文字颜色 3 2 17 4" xfId="9838"/>
    <cellStyle name="40% - 强调文字颜色 3 2 17 5" xfId="9847"/>
    <cellStyle name="40% - 强调文字颜色 3 2 17 5 10" xfId="4762"/>
    <cellStyle name="40% - 强调文字颜色 3 2 17 5 11" xfId="4773"/>
    <cellStyle name="40% - 强调文字颜色 3 2 17 5 2" xfId="10381"/>
    <cellStyle name="40% - 强调文字颜色 3 2 17 5 2 2" xfId="7153"/>
    <cellStyle name="40% - 强调文字颜色 3 2 17 5 2 2 2" xfId="15101"/>
    <cellStyle name="40% - 强调文字颜色 3 2 17 5 2 2 3" xfId="16556"/>
    <cellStyle name="40% - 强调文字颜色 3 2 17 5 2 3" xfId="7159"/>
    <cellStyle name="40% - 强调文字颜色 3 2 17 5 2 4" xfId="7163"/>
    <cellStyle name="40% - 强调文字颜色 3 2 17 5 2 5" xfId="7168"/>
    <cellStyle name="40% - 强调文字颜色 3 2 17 5 2 6" xfId="7173"/>
    <cellStyle name="40% - 强调文字颜色 3 2 17 5 2 7" xfId="16559"/>
    <cellStyle name="40% - 强调文字颜色 3 2 17 5 2 8" xfId="15964"/>
    <cellStyle name="40% - 强调文字颜色 3 2 17 5 3" xfId="10385"/>
    <cellStyle name="40% - 强调文字颜色 3 2 17 5 4" xfId="16562"/>
    <cellStyle name="40% - 强调文字颜色 3 2 17 5 5" xfId="16565"/>
    <cellStyle name="40% - 强调文字颜色 3 2 17 5 6" xfId="16567"/>
    <cellStyle name="40% - 强调文字颜色 3 2 17 5 6 2" xfId="15600"/>
    <cellStyle name="40% - 强调文字颜色 3 2 17 5 6 3" xfId="16572"/>
    <cellStyle name="40% - 强调文字颜色 3 2 17 5 7" xfId="16574"/>
    <cellStyle name="40% - 强调文字颜色 3 2 17 5 8" xfId="16577"/>
    <cellStyle name="40% - 强调文字颜色 3 2 17 5 9" xfId="16580"/>
    <cellStyle name="40% - 强调文字颜色 3 2 17 6" xfId="9853"/>
    <cellStyle name="40% - 强调文字颜色 3 2 17 6 2" xfId="10050"/>
    <cellStyle name="40% - 强调文字颜色 3 2 17 6 2 2" xfId="7108"/>
    <cellStyle name="40% - 强调文字颜色 3 2 17 6 2 3" xfId="16582"/>
    <cellStyle name="40% - 强调文字颜色 3 2 17 6 3" xfId="1045"/>
    <cellStyle name="40% - 强调文字颜色 3 2 17 6 4" xfId="1065"/>
    <cellStyle name="40% - 强调文字颜色 3 2 17 6 5" xfId="1088"/>
    <cellStyle name="40% - 强调文字颜色 3 2 17 6 6" xfId="4652"/>
    <cellStyle name="40% - 强调文字颜色 3 2 17 6 7" xfId="4660"/>
    <cellStyle name="40% - 强调文字颜色 3 2 17 6 8" xfId="13125"/>
    <cellStyle name="40% - 强调文字颜色 3 2 17 7" xfId="9476"/>
    <cellStyle name="40% - 强调文字颜色 3 2 17 8" xfId="9482"/>
    <cellStyle name="40% - 强调文字颜色 3 2 17 9" xfId="9487"/>
    <cellStyle name="40% - 强调文字颜色 3 2 17 9 2" xfId="2247"/>
    <cellStyle name="40% - 强调文字颜色 3 2 17 9 3" xfId="16583"/>
    <cellStyle name="40% - 强调文字颜色 3 2 18" xfId="13038"/>
    <cellStyle name="40% - 强调文字颜色 3 2 18 10" xfId="16587"/>
    <cellStyle name="40% - 强调文字颜色 3 2 18 11" xfId="16589"/>
    <cellStyle name="40% - 强调文字颜色 3 2 18 12" xfId="16591"/>
    <cellStyle name="40% - 强调文字颜色 3 2 18 13" xfId="16594"/>
    <cellStyle name="40% - 强调文字颜色 3 2 18 14" xfId="302"/>
    <cellStyle name="40% - 强调文字颜色 3 2 18 2" xfId="16595"/>
    <cellStyle name="40% - 强调文字颜色 3 2 18 3" xfId="16598"/>
    <cellStyle name="40% - 强调文字颜色 3 2 18 4" xfId="16605"/>
    <cellStyle name="40% - 强调文字颜色 3 2 18 5" xfId="16611"/>
    <cellStyle name="40% - 强调文字颜色 3 2 18 5 10" xfId="16614"/>
    <cellStyle name="40% - 强调文字颜色 3 2 18 5 11" xfId="16615"/>
    <cellStyle name="40% - 强调文字颜色 3 2 18 5 2" xfId="16617"/>
    <cellStyle name="40% - 强调文字颜色 3 2 18 5 2 2" xfId="9650"/>
    <cellStyle name="40% - 强调文字颜色 3 2 18 5 2 2 2" xfId="12230"/>
    <cellStyle name="40% - 强调文字颜色 3 2 18 5 2 2 3" xfId="12234"/>
    <cellStyle name="40% - 强调文字颜色 3 2 18 5 2 3" xfId="9657"/>
    <cellStyle name="40% - 强调文字颜色 3 2 18 5 2 4" xfId="3771"/>
    <cellStyle name="40% - 强调文字颜色 3 2 18 5 2 5" xfId="3780"/>
    <cellStyle name="40% - 强调文字颜色 3 2 18 5 2 6" xfId="9125"/>
    <cellStyle name="40% - 强调文字颜色 3 2 18 5 2 7" xfId="3318"/>
    <cellStyle name="40% - 强调文字颜色 3 2 18 5 2 8" xfId="3328"/>
    <cellStyle name="40% - 强调文字颜色 3 2 18 5 3" xfId="16620"/>
    <cellStyle name="40% - 强调文字颜色 3 2 18 5 4" xfId="16625"/>
    <cellStyle name="40% - 强调文字颜色 3 2 18 5 5" xfId="5976"/>
    <cellStyle name="40% - 强调文字颜色 3 2 18 5 6" xfId="9748"/>
    <cellStyle name="40% - 强调文字颜色 3 2 18 5 6 2" xfId="16634"/>
    <cellStyle name="40% - 强调文字颜色 3 2 18 5 6 3" xfId="16063"/>
    <cellStyle name="40% - 强调文字颜色 3 2 18 5 7" xfId="9753"/>
    <cellStyle name="40% - 强调文字颜色 3 2 18 5 8" xfId="9758"/>
    <cellStyle name="40% - 强调文字颜色 3 2 18 5 9" xfId="9763"/>
    <cellStyle name="40% - 强调文字颜色 3 2 18 6" xfId="16639"/>
    <cellStyle name="40% - 强调文字颜色 3 2 18 6 2" xfId="16643"/>
    <cellStyle name="40% - 强调文字颜色 3 2 18 6 2 2" xfId="6486"/>
    <cellStyle name="40% - 强调文字颜色 3 2 18 6 2 3" xfId="6493"/>
    <cellStyle name="40% - 强调文字颜色 3 2 18 6 3" xfId="16648"/>
    <cellStyle name="40% - 强调文字颜色 3 2 18 6 4" xfId="16652"/>
    <cellStyle name="40% - 强调文字颜色 3 2 18 6 5" xfId="6529"/>
    <cellStyle name="40% - 强调文字颜色 3 2 18 6 6" xfId="6533"/>
    <cellStyle name="40% - 强调文字颜色 3 2 18 6 7" xfId="16653"/>
    <cellStyle name="40% - 强调文字颜色 3 2 18 6 8" xfId="16655"/>
    <cellStyle name="40% - 强调文字颜色 3 2 18 7" xfId="16660"/>
    <cellStyle name="40% - 强调文字颜色 3 2 18 8" xfId="6943"/>
    <cellStyle name="40% - 强调文字颜色 3 2 18 9" xfId="6948"/>
    <cellStyle name="40% - 强调文字颜色 3 2 18 9 2" xfId="16662"/>
    <cellStyle name="40% - 强调文字颜色 3 2 18 9 3" xfId="16663"/>
    <cellStyle name="40% - 强调文字颜色 3 2 19" xfId="16666"/>
    <cellStyle name="40% - 强调文字颜色 3 2 19 10" xfId="16668"/>
    <cellStyle name="40% - 强调文字颜色 3 2 19 11" xfId="16669"/>
    <cellStyle name="40% - 强调文字颜色 3 2 19 12" xfId="16670"/>
    <cellStyle name="40% - 强调文字颜色 3 2 19 13" xfId="10394"/>
    <cellStyle name="40% - 强调文字颜色 3 2 19 14" xfId="10397"/>
    <cellStyle name="40% - 强调文字颜色 3 2 19 2" xfId="16671"/>
    <cellStyle name="40% - 强调文字颜色 3 2 19 3" xfId="16676"/>
    <cellStyle name="40% - 强调文字颜色 3 2 19 4" xfId="16629"/>
    <cellStyle name="40% - 强调文字颜色 3 2 19 5" xfId="16058"/>
    <cellStyle name="40% - 强调文字颜色 3 2 19 5 10" xfId="378"/>
    <cellStyle name="40% - 强调文字颜色 3 2 19 5 11" xfId="4745"/>
    <cellStyle name="40% - 强调文字颜色 3 2 19 5 2" xfId="16066"/>
    <cellStyle name="40% - 强调文字颜色 3 2 19 5 2 2" xfId="11225"/>
    <cellStyle name="40% - 强调文字颜色 3 2 19 5 2 2 2" xfId="11503"/>
    <cellStyle name="40% - 强调文字颜色 3 2 19 5 2 2 3" xfId="11506"/>
    <cellStyle name="40% - 强调文字颜色 3 2 19 5 2 3" xfId="11232"/>
    <cellStyle name="40% - 强调文字颜色 3 2 19 5 2 4" xfId="11239"/>
    <cellStyle name="40% - 强调文字颜色 3 2 19 5 2 5" xfId="11244"/>
    <cellStyle name="40% - 强调文字颜色 3 2 19 5 2 6" xfId="9274"/>
    <cellStyle name="40% - 强调文字颜色 3 2 19 5 2 7" xfId="9283"/>
    <cellStyle name="40% - 强调文字颜色 3 2 19 5 2 8" xfId="12294"/>
    <cellStyle name="40% - 强调文字颜色 3 2 19 5 3" xfId="16069"/>
    <cellStyle name="40% - 强调文字颜色 3 2 19 5 4" xfId="16078"/>
    <cellStyle name="40% - 强调文字颜色 3 2 19 5 5" xfId="16084"/>
    <cellStyle name="40% - 强调文字颜色 3 2 19 5 6" xfId="16089"/>
    <cellStyle name="40% - 强调文字颜色 3 2 19 5 6 2" xfId="16678"/>
    <cellStyle name="40% - 强调文字颜色 3 2 19 5 6 3" xfId="467"/>
    <cellStyle name="40% - 强调文字颜色 3 2 19 5 7" xfId="16095"/>
    <cellStyle name="40% - 强调文字颜色 3 2 19 5 8" xfId="16101"/>
    <cellStyle name="40% - 强调文字颜色 3 2 19 5 9" xfId="16681"/>
    <cellStyle name="40% - 强调文字颜色 3 2 19 6" xfId="16103"/>
    <cellStyle name="40% - 强调文字颜色 3 2 19 6 2" xfId="16684"/>
    <cellStyle name="40% - 强调文字颜色 3 2 19 6 2 2" xfId="11946"/>
    <cellStyle name="40% - 强调文字颜色 3 2 19 6 2 3" xfId="16688"/>
    <cellStyle name="40% - 强调文字颜色 3 2 19 6 3" xfId="16689"/>
    <cellStyle name="40% - 强调文字颜色 3 2 19 6 4" xfId="16690"/>
    <cellStyle name="40% - 强调文字颜色 3 2 19 6 5" xfId="16696"/>
    <cellStyle name="40% - 强调文字颜色 3 2 19 6 6" xfId="16701"/>
    <cellStyle name="40% - 强调文字颜色 3 2 19 6 7" xfId="16703"/>
    <cellStyle name="40% - 强调文字颜色 3 2 19 6 8" xfId="16705"/>
    <cellStyle name="40% - 强调文字颜色 3 2 19 7" xfId="14094"/>
    <cellStyle name="40% - 强调文字颜色 3 2 19 8" xfId="14109"/>
    <cellStyle name="40% - 强调文字颜色 3 2 19 9" xfId="14112"/>
    <cellStyle name="40% - 强调文字颜色 3 2 19 9 2" xfId="16107"/>
    <cellStyle name="40% - 强调文字颜色 3 2 19 9 3" xfId="16111"/>
    <cellStyle name="40% - 强调文字颜色 3 2 2" xfId="14381"/>
    <cellStyle name="40% - 强调文字颜色 3 2 2 10" xfId="8018"/>
    <cellStyle name="40% - 强调文字颜色 3 2 2 11" xfId="16708"/>
    <cellStyle name="40% - 强调文字颜色 3 2 2 12" xfId="16712"/>
    <cellStyle name="40% - 强调文字颜色 3 2 2 13" xfId="16715"/>
    <cellStyle name="40% - 强调文字颜色 3 2 2 14" xfId="16717"/>
    <cellStyle name="40% - 强调文字颜色 3 2 2 2" xfId="3323"/>
    <cellStyle name="40% - 强调文字颜色 3 2 2 3" xfId="3334"/>
    <cellStyle name="40% - 强调文字颜色 3 2 2 4" xfId="3346"/>
    <cellStyle name="40% - 强调文字颜色 3 2 2 5" xfId="3362"/>
    <cellStyle name="40% - 强调文字颜色 3 2 2 6" xfId="9201"/>
    <cellStyle name="40% - 强调文字颜色 3 2 2 7" xfId="15454"/>
    <cellStyle name="40% - 强调文字颜色 3 2 2 8" xfId="15457"/>
    <cellStyle name="40% - 强调文字颜色 3 2 2 9" xfId="15460"/>
    <cellStyle name="40% - 强调文字颜色 3 2 20" xfId="12170"/>
    <cellStyle name="40% - 强调文字颜色 3 2 20 10" xfId="13308"/>
    <cellStyle name="40% - 强调文字颜色 3 2 20 11" xfId="13315"/>
    <cellStyle name="40% - 强调文字颜色 3 2 20 12" xfId="16720"/>
    <cellStyle name="40% - 强调文字颜色 3 2 20 13" xfId="16725"/>
    <cellStyle name="40% - 强调文字颜色 3 2 20 14" xfId="16729"/>
    <cellStyle name="40% - 强调文字颜色 3 2 20 2" xfId="4102"/>
    <cellStyle name="40% - 强调文字颜色 3 2 20 3" xfId="5266"/>
    <cellStyle name="40% - 强调文字颜色 3 2 20 4" xfId="9645"/>
    <cellStyle name="40% - 强调文字颜色 3 2 20 5" xfId="9653"/>
    <cellStyle name="40% - 强调文字颜色 3 2 20 5 10" xfId="16732"/>
    <cellStyle name="40% - 强调文字颜色 3 2 20 5 11" xfId="2329"/>
    <cellStyle name="40% - 强调文字颜色 3 2 20 5 2" xfId="8539"/>
    <cellStyle name="40% - 强调文字颜色 3 2 20 5 2 2" xfId="16733"/>
    <cellStyle name="40% - 强调文字颜色 3 2 20 5 2 2 2" xfId="16736"/>
    <cellStyle name="40% - 强调文字颜色 3 2 20 5 2 2 3" xfId="16738"/>
    <cellStyle name="40% - 强调文字颜色 3 2 20 5 2 3" xfId="16739"/>
    <cellStyle name="40% - 强调文字颜色 3 2 20 5 2 4" xfId="16741"/>
    <cellStyle name="40% - 强调文字颜色 3 2 20 5 2 5" xfId="16743"/>
    <cellStyle name="40% - 强调文字颜色 3 2 20 5 2 6" xfId="6016"/>
    <cellStyle name="40% - 强调文字颜色 3 2 20 5 2 7" xfId="6020"/>
    <cellStyle name="40% - 强调文字颜色 3 2 20 5 2 8" xfId="16748"/>
    <cellStyle name="40% - 强调文字颜色 3 2 20 5 3" xfId="2776"/>
    <cellStyle name="40% - 强调文字颜色 3 2 20 5 4" xfId="2784"/>
    <cellStyle name="40% - 强调文字颜色 3 2 20 5 5" xfId="12335"/>
    <cellStyle name="40% - 强调文字颜色 3 2 20 5 6" xfId="16750"/>
    <cellStyle name="40% - 强调文字颜色 3 2 20 5 6 2" xfId="16752"/>
    <cellStyle name="40% - 强调文字颜色 3 2 20 5 6 3" xfId="16753"/>
    <cellStyle name="40% - 强调文字颜色 3 2 20 5 7" xfId="16754"/>
    <cellStyle name="40% - 强调文字颜色 3 2 20 5 8" xfId="16756"/>
    <cellStyle name="40% - 强调文字颜色 3 2 20 5 9" xfId="16758"/>
    <cellStyle name="40% - 强调文字颜色 3 2 20 6" xfId="3767"/>
    <cellStyle name="40% - 强调文字颜色 3 2 20 6 2" xfId="12339"/>
    <cellStyle name="40% - 强调文字颜色 3 2 20 6 2 2" xfId="2354"/>
    <cellStyle name="40% - 强调文字颜色 3 2 20 6 2 3" xfId="13300"/>
    <cellStyle name="40% - 强调文字颜色 3 2 20 6 3" xfId="7204"/>
    <cellStyle name="40% - 强调文字颜色 3 2 20 6 4" xfId="7210"/>
    <cellStyle name="40% - 强调文字颜色 3 2 20 6 5" xfId="7176"/>
    <cellStyle name="40% - 强调文字颜色 3 2 20 6 6" xfId="16761"/>
    <cellStyle name="40% - 强调文字颜色 3 2 20 6 7" xfId="16766"/>
    <cellStyle name="40% - 强调文字颜色 3 2 20 6 8" xfId="16770"/>
    <cellStyle name="40% - 强调文字颜色 3 2 20 7" xfId="3774"/>
    <cellStyle name="40% - 强调文字颜色 3 2 20 8" xfId="9120"/>
    <cellStyle name="40% - 强调文字颜色 3 2 20 9" xfId="3312"/>
    <cellStyle name="40% - 强调文字颜色 3 2 20 9 2" xfId="16772"/>
    <cellStyle name="40% - 强调文字颜色 3 2 20 9 3" xfId="16773"/>
    <cellStyle name="40% - 强调文字颜色 3 2 3" xfId="16774"/>
    <cellStyle name="40% - 强调文字颜色 3 2 3 10" xfId="2501"/>
    <cellStyle name="40% - 强调文字颜色 3 2 3 11" xfId="2509"/>
    <cellStyle name="40% - 强调文字颜色 3 2 3 12" xfId="2517"/>
    <cellStyle name="40% - 强调文字颜色 3 2 3 13" xfId="5124"/>
    <cellStyle name="40% - 强调文字颜色 3 2 3 14" xfId="10724"/>
    <cellStyle name="40% - 强调文字颜色 3 2 3 2" xfId="9256"/>
    <cellStyle name="40% - 强调文字颜色 3 2 3 3" xfId="9346"/>
    <cellStyle name="40% - 强调文字颜色 3 2 3 4" xfId="9421"/>
    <cellStyle name="40% - 强调文字颜色 3 2 3 5" xfId="9425"/>
    <cellStyle name="40% - 强调文字颜色 3 2 3 6" xfId="9434"/>
    <cellStyle name="40% - 强调文字颜色 3 2 3 7" xfId="16388"/>
    <cellStyle name="40% - 强调文字颜色 3 2 3 8" xfId="16396"/>
    <cellStyle name="40% - 强调文字颜色 3 2 3 9" xfId="16776"/>
    <cellStyle name="40% - 强调文字颜色 3 2 4" xfId="16778"/>
    <cellStyle name="40% - 强调文字颜色 3 2 4 10" xfId="6999"/>
    <cellStyle name="40% - 强调文字颜色 3 2 4 11" xfId="2760"/>
    <cellStyle name="40% - 强调文字颜色 3 2 4 12" xfId="11066"/>
    <cellStyle name="40% - 强调文字颜色 3 2 4 13" xfId="11072"/>
    <cellStyle name="40% - 强调文字颜色 3 2 4 14" xfId="4616"/>
    <cellStyle name="40% - 强调文字颜色 3 2 4 2" xfId="9494"/>
    <cellStyle name="40% - 强调文字颜色 3 2 4 3" xfId="9558"/>
    <cellStyle name="40% - 强调文字颜色 3 2 4 4" xfId="9584"/>
    <cellStyle name="40% - 强调文字颜色 3 2 4 5" xfId="9592"/>
    <cellStyle name="40% - 强调文字颜色 3 2 4 6" xfId="9600"/>
    <cellStyle name="40% - 强调文字颜色 3 2 4 7" xfId="11515"/>
    <cellStyle name="40% - 强调文字颜色 3 2 4 8" xfId="12880"/>
    <cellStyle name="40% - 强调文字颜色 3 2 4 9" xfId="12885"/>
    <cellStyle name="40% - 强调文字颜色 3 2 5" xfId="14781"/>
    <cellStyle name="40% - 强调文字颜色 3 2 6" xfId="14783"/>
    <cellStyle name="40% - 强调文字颜色 3 2 7" xfId="3359"/>
    <cellStyle name="40% - 强调文字颜色 3 2 8" xfId="6604"/>
    <cellStyle name="40% - 强调文字颜色 3 2 9" xfId="6618"/>
    <cellStyle name="40% - 强调文字颜色 3 3" xfId="16779"/>
    <cellStyle name="40% - 强调文字颜色 3 3 10" xfId="16782"/>
    <cellStyle name="40% - 强调文字颜色 3 3 11" xfId="16783"/>
    <cellStyle name="40% - 强调文字颜色 3 3 12" xfId="4882"/>
    <cellStyle name="40% - 强调文字颜色 3 3 13" xfId="4887"/>
    <cellStyle name="40% - 强调文字颜色 3 3 14" xfId="16127"/>
    <cellStyle name="40% - 强调文字颜色 3 3 15" xfId="16129"/>
    <cellStyle name="40% - 强调文字颜色 3 3 16" xfId="16132"/>
    <cellStyle name="40% - 强调文字颜色 3 3 17" xfId="16134"/>
    <cellStyle name="40% - 强调文字颜色 3 3 17 10" xfId="16784"/>
    <cellStyle name="40% - 强调文字颜色 3 3 17 11" xfId="10379"/>
    <cellStyle name="40% - 强调文字颜色 3 3 17 12" xfId="10383"/>
    <cellStyle name="40% - 强调文字颜色 3 3 17 13" xfId="16560"/>
    <cellStyle name="40% - 强调文字颜色 3 3 17 14" xfId="16563"/>
    <cellStyle name="40% - 强调文字颜色 3 3 17 2" xfId="7541"/>
    <cellStyle name="40% - 强调文字颜色 3 3 17 2 2" xfId="9605"/>
    <cellStyle name="40% - 强调文字颜色 3 3 17 3" xfId="11749"/>
    <cellStyle name="40% - 强调文字颜色 3 3 17 4" xfId="11758"/>
    <cellStyle name="40% - 强调文字颜色 3 3 17 5" xfId="11767"/>
    <cellStyle name="40% - 强调文字颜色 3 3 17 5 10" xfId="3610"/>
    <cellStyle name="40% - 强调文字颜色 3 3 17 5 11" xfId="3615"/>
    <cellStyle name="40% - 强调文字颜色 3 3 17 5 2" xfId="11776"/>
    <cellStyle name="40% - 强调文字颜色 3 3 17 5 2 2" xfId="16785"/>
    <cellStyle name="40% - 强调文字颜色 3 3 17 5 2 2 2" xfId="15936"/>
    <cellStyle name="40% - 强调文字颜色 3 3 17 5 2 2 3" xfId="16788"/>
    <cellStyle name="40% - 强调文字颜色 3 3 17 5 2 3" xfId="16790"/>
    <cellStyle name="40% - 强调文字颜色 3 3 17 5 2 4" xfId="16791"/>
    <cellStyle name="40% - 强调文字颜色 3 3 17 5 2 5" xfId="16793"/>
    <cellStyle name="40% - 强调文字颜色 3 3 17 5 2 6" xfId="16795"/>
    <cellStyle name="40% - 强调文字颜色 3 3 17 5 2 7" xfId="16796"/>
    <cellStyle name="40% - 强调文字颜色 3 3 17 5 2 8" xfId="16797"/>
    <cellStyle name="40% - 强调文字颜色 3 3 17 5 3" xfId="11784"/>
    <cellStyle name="40% - 强调文字颜色 3 3 17 5 4" xfId="14942"/>
    <cellStyle name="40% - 强调文字颜色 3 3 17 5 5" xfId="14944"/>
    <cellStyle name="40% - 强调文字颜色 3 3 17 5 6" xfId="12283"/>
    <cellStyle name="40% - 强调文字颜色 3 3 17 5 6 2" xfId="16802"/>
    <cellStyle name="40% - 强调文字颜色 3 3 17 5 6 3" xfId="16807"/>
    <cellStyle name="40% - 强调文字颜色 3 3 17 5 7" xfId="12289"/>
    <cellStyle name="40% - 强调文字颜色 3 3 17 5 8" xfId="14952"/>
    <cellStyle name="40% - 强调文字颜色 3 3 17 5 9" xfId="16811"/>
    <cellStyle name="40% - 强调文字颜色 3 3 17 6" xfId="10921"/>
    <cellStyle name="40% - 强调文字颜色 3 3 17 6 2" xfId="15447"/>
    <cellStyle name="40% - 强调文字颜色 3 3 17 6 2 2" xfId="16812"/>
    <cellStyle name="40% - 强调文字颜色 3 3 17 6 2 3" xfId="16814"/>
    <cellStyle name="40% - 强调文字颜色 3 3 17 6 3" xfId="3981"/>
    <cellStyle name="40% - 强调文字颜色 3 3 17 6 4" xfId="4913"/>
    <cellStyle name="40% - 强调文字颜色 3 3 17 6 5" xfId="5215"/>
    <cellStyle name="40% - 强调文字颜色 3 3 17 6 6" xfId="2838"/>
    <cellStyle name="40% - 强调文字颜色 3 3 17 6 7" xfId="2859"/>
    <cellStyle name="40% - 强调文字颜色 3 3 17 6 8" xfId="12034"/>
    <cellStyle name="40% - 强调文字颜色 3 3 17 7" xfId="10053"/>
    <cellStyle name="40% - 强调文字颜色 3 3 17 8" xfId="10061"/>
    <cellStyle name="40% - 强调文字颜色 3 3 17 9" xfId="2080"/>
    <cellStyle name="40% - 强调文字颜色 3 3 17 9 2" xfId="15928"/>
    <cellStyle name="40% - 强调文字颜色 3 3 17 9 3" xfId="15931"/>
    <cellStyle name="40% - 强调文字颜色 3 3 18" xfId="16137"/>
    <cellStyle name="40% - 强调文字颜色 3 3 18 10" xfId="16815"/>
    <cellStyle name="40% - 强调文字颜色 3 3 18 11" xfId="9497"/>
    <cellStyle name="40% - 强调文字颜色 3 3 18 12" xfId="9505"/>
    <cellStyle name="40% - 强调文字颜色 3 3 18 13" xfId="9509"/>
    <cellStyle name="40% - 强调文字颜色 3 3 18 14" xfId="9514"/>
    <cellStyle name="40% - 强调文字颜色 3 3 18 2" xfId="16816"/>
    <cellStyle name="40% - 强调文字颜色 3 3 18 3" xfId="16819"/>
    <cellStyle name="40% - 强调文字颜色 3 3 18 4" xfId="16824"/>
    <cellStyle name="40% - 强调文字颜色 3 3 18 5" xfId="16829"/>
    <cellStyle name="40% - 强调文字颜色 3 3 18 5 10" xfId="16839"/>
    <cellStyle name="40% - 强调文字颜色 3 3 18 5 11" xfId="16842"/>
    <cellStyle name="40% - 强调文字颜色 3 3 18 5 2" xfId="16847"/>
    <cellStyle name="40% - 强调文字颜色 3 3 18 5 2 2" xfId="13261"/>
    <cellStyle name="40% - 强调文字颜色 3 3 18 5 2 2 2" xfId="3263"/>
    <cellStyle name="40% - 强调文字颜色 3 3 18 5 2 2 3" xfId="16850"/>
    <cellStyle name="40% - 强调文字颜色 3 3 18 5 2 3" xfId="11370"/>
    <cellStyle name="40% - 强调文字颜色 3 3 18 5 2 4" xfId="7101"/>
    <cellStyle name="40% - 强调文字颜色 3 3 18 5 2 5" xfId="7116"/>
    <cellStyle name="40% - 强调文字颜色 3 3 18 5 2 6" xfId="7123"/>
    <cellStyle name="40% - 强调文字颜色 3 3 18 5 2 7" xfId="7129"/>
    <cellStyle name="40% - 强调文字颜色 3 3 18 5 2 8" xfId="7137"/>
    <cellStyle name="40% - 强调文字颜色 3 3 18 5 3" xfId="16851"/>
    <cellStyle name="40% - 强调文字颜色 3 3 18 5 4" xfId="16854"/>
    <cellStyle name="40% - 强调文字颜色 3 3 18 5 5" xfId="11311"/>
    <cellStyle name="40% - 强调文字颜色 3 3 18 5 6" xfId="11314"/>
    <cellStyle name="40% - 强调文字颜色 3 3 18 5 6 2" xfId="16857"/>
    <cellStyle name="40% - 强调文字颜色 3 3 18 5 6 3" xfId="11777"/>
    <cellStyle name="40% - 强调文字颜色 3 3 18 5 7" xfId="11317"/>
    <cellStyle name="40% - 强调文字颜色 3 3 18 5 8" xfId="11320"/>
    <cellStyle name="40% - 强调文字颜色 3 3 18 5 9" xfId="11325"/>
    <cellStyle name="40% - 强调文字颜色 3 3 18 6" xfId="16860"/>
    <cellStyle name="40% - 强调文字颜色 3 3 18 6 2" xfId="16862"/>
    <cellStyle name="40% - 强调文字颜色 3 3 18 6 2 2" xfId="14958"/>
    <cellStyle name="40% - 强调文字颜色 3 3 18 6 2 3" xfId="14964"/>
    <cellStyle name="40% - 强调文字颜色 3 3 18 6 3" xfId="16868"/>
    <cellStyle name="40% - 强调文字颜色 3 3 18 6 4" xfId="16874"/>
    <cellStyle name="40% - 强调文字颜色 3 3 18 6 5" xfId="16877"/>
    <cellStyle name="40% - 强调文字颜色 3 3 18 6 6" xfId="16880"/>
    <cellStyle name="40% - 强调文字颜色 3 3 18 6 7" xfId="16883"/>
    <cellStyle name="40% - 强调文字颜色 3 3 18 6 8" xfId="16886"/>
    <cellStyle name="40% - 强调文字颜色 3 3 18 7" xfId="14562"/>
    <cellStyle name="40% - 强调文字颜色 3 3 18 8" xfId="14566"/>
    <cellStyle name="40% - 强调文字颜色 3 3 18 9" xfId="16889"/>
    <cellStyle name="40% - 强调文字颜色 3 3 18 9 2" xfId="16789"/>
    <cellStyle name="40% - 强调文字颜色 3 3 18 9 3" xfId="16890"/>
    <cellStyle name="40% - 强调文字颜色 3 3 19" xfId="16375"/>
    <cellStyle name="40% - 强调文字颜色 3 3 19 10" xfId="16892"/>
    <cellStyle name="40% - 强调文字颜色 3 3 19 11" xfId="11532"/>
    <cellStyle name="40% - 强调文字颜色 3 3 19 12" xfId="11534"/>
    <cellStyle name="40% - 强调文字颜色 3 3 19 13" xfId="11536"/>
    <cellStyle name="40% - 强调文字颜色 3 3 19 14" xfId="11538"/>
    <cellStyle name="40% - 强调文字颜色 3 3 19 2" xfId="16893"/>
    <cellStyle name="40% - 强调文字颜色 3 3 19 3" xfId="16896"/>
    <cellStyle name="40% - 强调文字颜色 3 3 19 4" xfId="16899"/>
    <cellStyle name="40% - 强调文字颜色 3 3 19 5" xfId="16902"/>
    <cellStyle name="40% - 强调文字颜色 3 3 19 5 10" xfId="16906"/>
    <cellStyle name="40% - 强调文字颜色 3 3 19 5 11" xfId="7480"/>
    <cellStyle name="40% - 强调文字颜色 3 3 19 5 2" xfId="16908"/>
    <cellStyle name="40% - 强调文字颜色 3 3 19 5 2 2" xfId="16909"/>
    <cellStyle name="40% - 强调文字颜色 3 3 19 5 2 2 2" xfId="16911"/>
    <cellStyle name="40% - 强调文字颜色 3 3 19 5 2 2 3" xfId="16912"/>
    <cellStyle name="40% - 强调文字颜色 3 3 19 5 2 3" xfId="15994"/>
    <cellStyle name="40% - 强调文字颜色 3 3 19 5 2 4" xfId="15999"/>
    <cellStyle name="40% - 强调文字颜色 3 3 19 5 2 5" xfId="13964"/>
    <cellStyle name="40% - 强调文字颜色 3 3 19 5 2 6" xfId="13984"/>
    <cellStyle name="40% - 强调文字颜色 3 3 19 5 2 7" xfId="13994"/>
    <cellStyle name="40% - 强调文字颜色 3 3 19 5 2 8" xfId="12355"/>
    <cellStyle name="40% - 强调文字颜色 3 3 19 5 3" xfId="16913"/>
    <cellStyle name="40% - 强调文字颜色 3 3 19 5 4" xfId="16914"/>
    <cellStyle name="40% - 强调文字颜色 3 3 19 5 5" xfId="16916"/>
    <cellStyle name="40% - 强调文字颜色 3 3 19 5 6" xfId="16919"/>
    <cellStyle name="40% - 强调文字颜色 3 3 19 5 6 2" xfId="6470"/>
    <cellStyle name="40% - 强调文字颜色 3 3 19 5 6 3" xfId="6283"/>
    <cellStyle name="40% - 强调文字颜色 3 3 19 5 7" xfId="16922"/>
    <cellStyle name="40% - 强调文字颜色 3 3 19 5 8" xfId="16924"/>
    <cellStyle name="40% - 强调文字颜色 3 3 19 5 9" xfId="16926"/>
    <cellStyle name="40% - 强调文字颜色 3 3 19 6" xfId="16927"/>
    <cellStyle name="40% - 强调文字颜色 3 3 19 6 2" xfId="16930"/>
    <cellStyle name="40% - 强调文字颜色 3 3 19 6 2 2" xfId="11914"/>
    <cellStyle name="40% - 强调文字颜色 3 3 19 6 2 3" xfId="11916"/>
    <cellStyle name="40% - 强调文字颜色 3 3 19 6 3" xfId="16932"/>
    <cellStyle name="40% - 强调文字颜色 3 3 19 6 4" xfId="16935"/>
    <cellStyle name="40% - 强调文字颜色 3 3 19 6 5" xfId="16938"/>
    <cellStyle name="40% - 强调文字颜色 3 3 19 6 6" xfId="16940"/>
    <cellStyle name="40% - 强调文字颜色 3 3 19 6 7" xfId="16942"/>
    <cellStyle name="40% - 强调文字颜色 3 3 19 6 8" xfId="16944"/>
    <cellStyle name="40% - 强调文字颜色 3 3 19 7" xfId="16945"/>
    <cellStyle name="40% - 强调文字颜色 3 3 19 8" xfId="16948"/>
    <cellStyle name="40% - 强调文字颜色 3 3 19 9" xfId="16954"/>
    <cellStyle name="40% - 强调文字颜色 3 3 19 9 2" xfId="16958"/>
    <cellStyle name="40% - 强调文字颜色 3 3 19 9 3" xfId="16960"/>
    <cellStyle name="40% - 强调文字颜色 3 3 2" xfId="798"/>
    <cellStyle name="40% - 强调文字颜色 3 3 2 10" xfId="16961"/>
    <cellStyle name="40% - 强调文字颜色 3 3 2 11" xfId="16965"/>
    <cellStyle name="40% - 强调文字颜色 3 3 2 12" xfId="10608"/>
    <cellStyle name="40% - 强调文字颜色 3 3 2 13" xfId="10619"/>
    <cellStyle name="40% - 强调文字颜色 3 3 2 14" xfId="10624"/>
    <cellStyle name="40% - 强调文字颜色 3 3 2 2" xfId="1573"/>
    <cellStyle name="40% - 强调文字颜色 3 3 2 3" xfId="1576"/>
    <cellStyle name="40% - 强调文字颜色 3 3 2 4" xfId="1591"/>
    <cellStyle name="40% - 强调文字颜色 3 3 2 5" xfId="1607"/>
    <cellStyle name="40% - 强调文字颜色 3 3 2 6" xfId="1633"/>
    <cellStyle name="40% - 强调文字颜色 3 3 2 7" xfId="1649"/>
    <cellStyle name="40% - 强调文字颜色 3 3 2 8" xfId="1664"/>
    <cellStyle name="40% - 强调文字颜色 3 3 2 9" xfId="12052"/>
    <cellStyle name="40% - 强调文字颜色 3 3 20" xfId="16130"/>
    <cellStyle name="40% - 强调文字颜色 3 3 20 10" xfId="14403"/>
    <cellStyle name="40% - 强调文字颜色 3 3 20 11" xfId="14407"/>
    <cellStyle name="40% - 强调文字颜色 3 3 20 12" xfId="10368"/>
    <cellStyle name="40% - 强调文字颜色 3 3 20 13" xfId="10374"/>
    <cellStyle name="40% - 强调文字颜色 3 3 20 14" xfId="16967"/>
    <cellStyle name="40% - 强调文字颜色 3 3 20 2" xfId="620"/>
    <cellStyle name="40% - 强调文字颜色 3 3 20 3" xfId="651"/>
    <cellStyle name="40% - 强调文字颜色 3 3 20 4" xfId="16968"/>
    <cellStyle name="40% - 强调文字颜色 3 3 20 5" xfId="16969"/>
    <cellStyle name="40% - 强调文字颜色 3 3 20 5 10" xfId="7428"/>
    <cellStyle name="40% - 强调文字颜色 3 3 20 5 11" xfId="13497"/>
    <cellStyle name="40% - 强调文字颜色 3 3 20 5 2" xfId="16746"/>
    <cellStyle name="40% - 强调文字颜色 3 3 20 5 2 2" xfId="16971"/>
    <cellStyle name="40% - 强调文字颜色 3 3 20 5 2 2 2" xfId="16973"/>
    <cellStyle name="40% - 强调文字颜色 3 3 20 5 2 2 3" xfId="16974"/>
    <cellStyle name="40% - 强调文字颜色 3 3 20 5 2 3" xfId="16976"/>
    <cellStyle name="40% - 强调文字颜色 3 3 20 5 2 4" xfId="16978"/>
    <cellStyle name="40% - 强调文字颜色 3 3 20 5 2 5" xfId="16981"/>
    <cellStyle name="40% - 强调文字颜色 3 3 20 5 2 6" xfId="16984"/>
    <cellStyle name="40% - 强调文字颜色 3 3 20 5 2 7" xfId="16986"/>
    <cellStyle name="40% - 强调文字颜色 3 3 20 5 2 8" xfId="16988"/>
    <cellStyle name="40% - 强调文字颜色 3 3 20 5 3" xfId="6017"/>
    <cellStyle name="40% - 强调文字颜色 3 3 20 5 4" xfId="6021"/>
    <cellStyle name="40% - 强调文字颜色 3 3 20 5 5" xfId="16749"/>
    <cellStyle name="40% - 强调文字颜色 3 3 20 5 6" xfId="16989"/>
    <cellStyle name="40% - 强调文字颜色 3 3 20 5 6 2" xfId="16990"/>
    <cellStyle name="40% - 强调文字颜色 3 3 20 5 6 3" xfId="16991"/>
    <cellStyle name="40% - 强调文字颜色 3 3 20 5 7" xfId="16994"/>
    <cellStyle name="40% - 强调文字颜色 3 3 20 5 8" xfId="16997"/>
    <cellStyle name="40% - 强调文字颜色 3 3 20 5 9" xfId="13697"/>
    <cellStyle name="40% - 强调文字颜色 3 3 20 6" xfId="16998"/>
    <cellStyle name="40% - 强调文字颜色 3 3 20 6 2" xfId="16999"/>
    <cellStyle name="40% - 强调文字颜色 3 3 20 6 2 2" xfId="17001"/>
    <cellStyle name="40% - 强调文字颜色 3 3 20 6 2 3" xfId="13460"/>
    <cellStyle name="40% - 强调文字颜色 3 3 20 6 3" xfId="17004"/>
    <cellStyle name="40% - 强调文字颜色 3 3 20 6 4" xfId="17008"/>
    <cellStyle name="40% - 强调文字颜色 3 3 20 6 5" xfId="17012"/>
    <cellStyle name="40% - 强调文字颜色 3 3 20 6 6" xfId="17017"/>
    <cellStyle name="40% - 强调文字颜色 3 3 20 6 7" xfId="17021"/>
    <cellStyle name="40% - 强调文字颜色 3 3 20 6 8" xfId="14816"/>
    <cellStyle name="40% - 强调文字颜色 3 3 20 7" xfId="9899"/>
    <cellStyle name="40% - 强调文字颜色 3 3 20 8" xfId="9908"/>
    <cellStyle name="40% - 强调文字颜色 3 3 20 9" xfId="4318"/>
    <cellStyle name="40% - 强调文字颜色 3 3 20 9 2" xfId="17023"/>
    <cellStyle name="40% - 强调文字颜色 3 3 20 9 3" xfId="17024"/>
    <cellStyle name="40% - 强调文字颜色 3 3 3" xfId="367"/>
    <cellStyle name="40% - 强调文字颜色 3 3 3 10" xfId="11564"/>
    <cellStyle name="40% - 强调文字颜色 3 3 3 11" xfId="11567"/>
    <cellStyle name="40% - 强调文字颜色 3 3 3 12" xfId="11979"/>
    <cellStyle name="40% - 强调文字颜色 3 3 3 13" xfId="11981"/>
    <cellStyle name="40% - 强调文字颜色 3 3 3 14" xfId="12028"/>
    <cellStyle name="40% - 强调文字颜色 3 3 3 2" xfId="12521"/>
    <cellStyle name="40% - 强调文字颜色 3 3 3 3" xfId="12532"/>
    <cellStyle name="40% - 强调文字颜色 3 3 3 4" xfId="12539"/>
    <cellStyle name="40% - 强调文字颜色 3 3 3 5" xfId="12611"/>
    <cellStyle name="40% - 强调文字颜色 3 3 3 6" xfId="12666"/>
    <cellStyle name="40% - 强调文字颜色 3 3 3 7" xfId="1785"/>
    <cellStyle name="40% - 强调文字颜色 3 3 3 8" xfId="2178"/>
    <cellStyle name="40% - 强调文字颜色 3 3 3 9" xfId="13520"/>
    <cellStyle name="40% - 强调文字颜色 3 3 4" xfId="15759"/>
    <cellStyle name="40% - 强调文字颜色 3 3 4 10" xfId="8838"/>
    <cellStyle name="40% - 强调文字颜色 3 3 4 11" xfId="1370"/>
    <cellStyle name="40% - 强调文字颜色 3 3 4 12" xfId="1383"/>
    <cellStyle name="40% - 强调文字颜色 3 3 4 13" xfId="1395"/>
    <cellStyle name="40% - 强调文字颜色 3 3 4 14" xfId="1411"/>
    <cellStyle name="40% - 强调文字颜色 3 3 4 2" xfId="15766"/>
    <cellStyle name="40% - 强调文字颜色 3 3 4 3" xfId="12917"/>
    <cellStyle name="40% - 强调文字颜色 3 3 4 4" xfId="12923"/>
    <cellStyle name="40% - 强调文字颜色 3 3 4 5" xfId="17025"/>
    <cellStyle name="40% - 强调文字颜色 3 3 4 6" xfId="17026"/>
    <cellStyle name="40% - 强调文字颜色 3 3 4 7" xfId="17027"/>
    <cellStyle name="40% - 强调文字颜色 3 3 4 8" xfId="17028"/>
    <cellStyle name="40% - 强调文字颜色 3 3 4 9" xfId="17029"/>
    <cellStyle name="40% - 强调文字颜色 3 3 5" xfId="15768"/>
    <cellStyle name="40% - 强调文字颜色 3 3 6" xfId="13416"/>
    <cellStyle name="40% - 强调文字颜色 3 3 7" xfId="7090"/>
    <cellStyle name="40% - 强调文字颜色 3 3 8" xfId="7285"/>
    <cellStyle name="40% - 强调文字颜色 3 3 9" xfId="7365"/>
    <cellStyle name="40% - 强调文字颜色 3 4" xfId="17031"/>
    <cellStyle name="40% - 强调文字颜色 3 4 10" xfId="17032"/>
    <cellStyle name="40% - 强调文字颜色 3 4 11" xfId="17033"/>
    <cellStyle name="40% - 强调文字颜色 3 4 12" xfId="17034"/>
    <cellStyle name="40% - 强调文字颜色 3 4 13" xfId="17035"/>
    <cellStyle name="40% - 强调文字颜色 3 4 14" xfId="8491"/>
    <cellStyle name="40% - 强调文字颜色 3 4 15" xfId="8504"/>
    <cellStyle name="40% - 强调文字颜色 3 4 16" xfId="8512"/>
    <cellStyle name="40% - 强调文字颜色 3 4 17" xfId="8519"/>
    <cellStyle name="40% - 强调文字颜色 3 4 17 10" xfId="17037"/>
    <cellStyle name="40% - 强调文字颜色 3 4 17 11" xfId="3183"/>
    <cellStyle name="40% - 强调文字颜色 3 4 17 12" xfId="3187"/>
    <cellStyle name="40% - 强调文字颜色 3 4 17 13" xfId="3190"/>
    <cellStyle name="40% - 强调文字颜色 3 4 17 14" xfId="3194"/>
    <cellStyle name="40% - 强调文字颜色 3 4 17 2" xfId="358"/>
    <cellStyle name="40% - 强调文字颜色 3 4 17 3" xfId="13342"/>
    <cellStyle name="40% - 强调文字颜色 3 4 17 4" xfId="9209"/>
    <cellStyle name="40% - 强调文字颜色 3 4 17 5" xfId="9217"/>
    <cellStyle name="40% - 强调文字颜色 3 4 17 5 10" xfId="17038"/>
    <cellStyle name="40% - 强调文字颜色 3 4 17 5 11" xfId="17039"/>
    <cellStyle name="40% - 强调文字颜色 3 4 17 5 2" xfId="13349"/>
    <cellStyle name="40% - 强调文字颜色 3 4 17 5 2 2" xfId="9088"/>
    <cellStyle name="40% - 强调文字颜色 3 4 17 5 2 2 2" xfId="16685"/>
    <cellStyle name="40% - 强调文字颜色 3 4 17 5 2 2 3" xfId="17040"/>
    <cellStyle name="40% - 强调文字颜色 3 4 17 5 2 3" xfId="3916"/>
    <cellStyle name="40% - 强调文字颜色 3 4 17 5 2 4" xfId="3920"/>
    <cellStyle name="40% - 强调文字颜色 3 4 17 5 2 5" xfId="3922"/>
    <cellStyle name="40% - 强调文字颜色 3 4 17 5 2 6" xfId="3927"/>
    <cellStyle name="40% - 强调文字颜色 3 4 17 5 2 7" xfId="4074"/>
    <cellStyle name="40% - 强调文字颜色 3 4 17 5 2 8" xfId="4104"/>
    <cellStyle name="40% - 强调文字颜色 3 4 17 5 3" xfId="13354"/>
    <cellStyle name="40% - 强调文字颜色 3 4 17 5 4" xfId="11887"/>
    <cellStyle name="40% - 强调文字颜色 3 4 17 5 5" xfId="11890"/>
    <cellStyle name="40% - 强调文字颜色 3 4 17 5 6" xfId="11895"/>
    <cellStyle name="40% - 强调文字颜色 3 4 17 5 6 2" xfId="17042"/>
    <cellStyle name="40% - 强调文字颜色 3 4 17 5 6 3" xfId="17045"/>
    <cellStyle name="40% - 强调文字颜色 3 4 17 5 7" xfId="11900"/>
    <cellStyle name="40% - 强调文字颜色 3 4 17 5 8" xfId="11906"/>
    <cellStyle name="40% - 强调文字颜色 3 4 17 5 9" xfId="17049"/>
    <cellStyle name="40% - 强调文字颜色 3 4 17 6" xfId="14452"/>
    <cellStyle name="40% - 强调文字颜色 3 4 17 6 2" xfId="16623"/>
    <cellStyle name="40% - 强调文字颜色 3 4 17 6 2 2" xfId="9835"/>
    <cellStyle name="40% - 强调文字颜色 3 4 17 6 2 3" xfId="9845"/>
    <cellStyle name="40% - 强调文字颜色 3 4 17 6 3" xfId="5974"/>
    <cellStyle name="40% - 强调文字颜色 3 4 17 6 4" xfId="9747"/>
    <cellStyle name="40% - 强调文字颜色 3 4 17 6 5" xfId="9752"/>
    <cellStyle name="40% - 强调文字颜色 3 4 17 6 6" xfId="9757"/>
    <cellStyle name="40% - 强调文字颜色 3 4 17 6 7" xfId="9762"/>
    <cellStyle name="40% - 强调文字颜色 3 4 17 6 8" xfId="17051"/>
    <cellStyle name="40% - 强调文字颜色 3 4 17 7" xfId="14456"/>
    <cellStyle name="40% - 强调文字颜色 3 4 17 8" xfId="14461"/>
    <cellStyle name="40% - 强调文字颜色 3 4 17 9" xfId="14468"/>
    <cellStyle name="40% - 强调文字颜色 3 4 17 9 2" xfId="14324"/>
    <cellStyle name="40% - 强调文字颜色 3 4 17 9 3" xfId="14326"/>
    <cellStyle name="40% - 强调文字颜色 3 4 18" xfId="8526"/>
    <cellStyle name="40% - 强调文字颜色 3 4 18 10" xfId="17052"/>
    <cellStyle name="40% - 强调文字颜色 3 4 18 11" xfId="17054"/>
    <cellStyle name="40% - 强调文字颜色 3 4 18 12" xfId="17056"/>
    <cellStyle name="40% - 强调文字颜色 3 4 18 13" xfId="17057"/>
    <cellStyle name="40% - 强调文字颜色 3 4 18 14" xfId="17060"/>
    <cellStyle name="40% - 强调文字颜色 3 4 18 2" xfId="17063"/>
    <cellStyle name="40% - 强调文字颜色 3 4 18 3" xfId="17065"/>
    <cellStyle name="40% - 强调文字颜色 3 4 18 4" xfId="17070"/>
    <cellStyle name="40% - 强调文字颜色 3 4 18 5" xfId="17075"/>
    <cellStyle name="40% - 强调文字颜色 3 4 18 5 10" xfId="16188"/>
    <cellStyle name="40% - 强调文字颜色 3 4 18 5 11" xfId="16193"/>
    <cellStyle name="40% - 强调文字颜色 3 4 18 5 2" xfId="14930"/>
    <cellStyle name="40% - 强调文字颜色 3 4 18 5 2 2" xfId="10245"/>
    <cellStyle name="40% - 强调文字颜色 3 4 18 5 2 2 2" xfId="6376"/>
    <cellStyle name="40% - 强调文字颜色 3 4 18 5 2 2 3" xfId="17080"/>
    <cellStyle name="40% - 强调文字颜色 3 4 18 5 2 3" xfId="10251"/>
    <cellStyle name="40% - 强调文字颜色 3 4 18 5 2 4" xfId="10256"/>
    <cellStyle name="40% - 强调文字颜色 3 4 18 5 2 5" xfId="11059"/>
    <cellStyle name="40% - 强调文字颜色 3 4 18 5 2 6" xfId="6452"/>
    <cellStyle name="40% - 强调文字颜色 3 4 18 5 2 7" xfId="17081"/>
    <cellStyle name="40% - 强调文字颜色 3 4 18 5 2 8" xfId="17082"/>
    <cellStyle name="40% - 强调文字颜色 3 4 18 5 3" xfId="17084"/>
    <cellStyle name="40% - 强调文字颜色 3 4 18 5 4" xfId="17090"/>
    <cellStyle name="40% - 强调文字颜色 3 4 18 5 5" xfId="12784"/>
    <cellStyle name="40% - 强调文字颜色 3 4 18 5 6" xfId="12789"/>
    <cellStyle name="40% - 强调文字颜色 3 4 18 5 6 2" xfId="17091"/>
    <cellStyle name="40% - 强调文字颜色 3 4 18 5 6 3" xfId="17094"/>
    <cellStyle name="40% - 强调文字颜色 3 4 18 5 7" xfId="12794"/>
    <cellStyle name="40% - 强调文字颜色 3 4 18 5 8" xfId="12799"/>
    <cellStyle name="40% - 强调文字颜色 3 4 18 5 9" xfId="12805"/>
    <cellStyle name="40% - 强调文字颜色 3 4 18 6" xfId="17097"/>
    <cellStyle name="40% - 强调文字颜色 3 4 18 6 2" xfId="16076"/>
    <cellStyle name="40% - 强调文字颜色 3 4 18 6 2 2" xfId="11348"/>
    <cellStyle name="40% - 强调文字颜色 3 4 18 6 2 3" xfId="11355"/>
    <cellStyle name="40% - 强调文字颜色 3 4 18 6 3" xfId="16082"/>
    <cellStyle name="40% - 强调文字颜色 3 4 18 6 4" xfId="16088"/>
    <cellStyle name="40% - 强调文字颜色 3 4 18 6 5" xfId="16094"/>
    <cellStyle name="40% - 强调文字颜色 3 4 18 6 6" xfId="16100"/>
    <cellStyle name="40% - 强调文字颜色 3 4 18 6 7" xfId="16680"/>
    <cellStyle name="40% - 强调文字颜色 3 4 18 6 8" xfId="17099"/>
    <cellStyle name="40% - 强调文字颜色 3 4 18 7" xfId="17102"/>
    <cellStyle name="40% - 强调文字颜色 3 4 18 8" xfId="17105"/>
    <cellStyle name="40% - 强调文字颜色 3 4 18 9" xfId="17109"/>
    <cellStyle name="40% - 强调文字颜色 3 4 18 9 2" xfId="8818"/>
    <cellStyle name="40% - 强调文字颜色 3 4 18 9 3" xfId="8823"/>
    <cellStyle name="40% - 强调文字颜色 3 4 19" xfId="8533"/>
    <cellStyle name="40% - 强调文字颜色 3 4 19 10" xfId="2825"/>
    <cellStyle name="40% - 强调文字颜色 3 4 19 11" xfId="2829"/>
    <cellStyle name="40% - 强调文字颜色 3 4 19 12" xfId="673"/>
    <cellStyle name="40% - 强调文字颜色 3 4 19 13" xfId="704"/>
    <cellStyle name="40% - 强调文字颜色 3 4 19 14" xfId="735"/>
    <cellStyle name="40% - 强调文字颜色 3 4 19 2" xfId="17110"/>
    <cellStyle name="40% - 强调文字颜色 3 4 19 3" xfId="17111"/>
    <cellStyle name="40% - 强调文字颜色 3 4 19 4" xfId="17113"/>
    <cellStyle name="40% - 强调文字颜色 3 4 19 5" xfId="17115"/>
    <cellStyle name="40% - 强调文字颜色 3 4 19 5 10" xfId="17116"/>
    <cellStyle name="40% - 强调文字颜色 3 4 19 5 11" xfId="17118"/>
    <cellStyle name="40% - 强调文字颜色 3 4 19 5 2" xfId="14989"/>
    <cellStyle name="40% - 强调文字颜色 3 4 19 5 2 2" xfId="7055"/>
    <cellStyle name="40% - 强调文字颜色 3 4 19 5 2 2 2" xfId="17124"/>
    <cellStyle name="40% - 强调文字颜色 3 4 19 5 2 2 3" xfId="17127"/>
    <cellStyle name="40% - 强调文字颜色 3 4 19 5 2 3" xfId="12340"/>
    <cellStyle name="40% - 强调文字颜色 3 4 19 5 2 4" xfId="7205"/>
    <cellStyle name="40% - 强调文字颜色 3 4 19 5 2 5" xfId="7211"/>
    <cellStyle name="40% - 强调文字颜色 3 4 19 5 2 6" xfId="7177"/>
    <cellStyle name="40% - 强调文字颜色 3 4 19 5 2 7" xfId="16762"/>
    <cellStyle name="40% - 强调文字颜色 3 4 19 5 2 8" xfId="16767"/>
    <cellStyle name="40% - 强调文字颜色 3 4 19 5 3" xfId="17130"/>
    <cellStyle name="40% - 强调文字颜色 3 4 19 5 4" xfId="17132"/>
    <cellStyle name="40% - 强调文字颜色 3 4 19 5 5" xfId="17133"/>
    <cellStyle name="40% - 强调文字颜色 3 4 19 5 6" xfId="17134"/>
    <cellStyle name="40% - 强调文字颜色 3 4 19 5 6 2" xfId="17136"/>
    <cellStyle name="40% - 强调文字颜色 3 4 19 5 6 3" xfId="9127"/>
    <cellStyle name="40% - 强调文字颜色 3 4 19 5 7" xfId="17137"/>
    <cellStyle name="40% - 强调文字颜色 3 4 19 5 8" xfId="17138"/>
    <cellStyle name="40% - 强调文字颜色 3 4 19 5 9" xfId="17139"/>
    <cellStyle name="40% - 强调文字颜色 3 4 19 6" xfId="17140"/>
    <cellStyle name="40% - 强调文字颜色 3 4 19 6 2" xfId="17141"/>
    <cellStyle name="40% - 强调文字颜色 3 4 19 6 2 2" xfId="5328"/>
    <cellStyle name="40% - 强调文字颜色 3 4 19 6 2 3" xfId="8808"/>
    <cellStyle name="40% - 强调文字颜色 3 4 19 6 3" xfId="17144"/>
    <cellStyle name="40% - 强调文字颜色 3 4 19 6 4" xfId="17147"/>
    <cellStyle name="40% - 强调文字颜色 3 4 19 6 5" xfId="17151"/>
    <cellStyle name="40% - 强调文字颜色 3 4 19 6 6" xfId="17156"/>
    <cellStyle name="40% - 强调文字颜色 3 4 19 6 7" xfId="1800"/>
    <cellStyle name="40% - 强调文字颜色 3 4 19 6 8" xfId="1820"/>
    <cellStyle name="40% - 强调文字颜色 3 4 19 7" xfId="17158"/>
    <cellStyle name="40% - 强调文字颜色 3 4 19 8" xfId="17160"/>
    <cellStyle name="40% - 强调文字颜色 3 4 19 9" xfId="17162"/>
    <cellStyle name="40% - 强调文字颜色 3 4 19 9 2" xfId="17164"/>
    <cellStyle name="40% - 强调文字颜色 3 4 19 9 3" xfId="17165"/>
    <cellStyle name="40% - 强调文字颜色 3 4 2" xfId="17166"/>
    <cellStyle name="40% - 强调文字颜色 3 4 20" xfId="8505"/>
    <cellStyle name="40% - 强调文字颜色 3 4 20 10" xfId="4634"/>
    <cellStyle name="40% - 强调文字颜色 3 4 20 11" xfId="17168"/>
    <cellStyle name="40% - 强调文字颜色 3 4 20 12" xfId="17169"/>
    <cellStyle name="40% - 强调文字颜色 3 4 20 13" xfId="17171"/>
    <cellStyle name="40% - 强调文字颜色 3 4 20 14" xfId="17173"/>
    <cellStyle name="40% - 强调文字颜色 3 4 20 2" xfId="17175"/>
    <cellStyle name="40% - 强调文字颜色 3 4 20 3" xfId="17177"/>
    <cellStyle name="40% - 强调文字颜色 3 4 20 4" xfId="17179"/>
    <cellStyle name="40% - 强调文字颜色 3 4 20 5" xfId="17181"/>
    <cellStyle name="40% - 强调文字颜色 3 4 20 5 10" xfId="17182"/>
    <cellStyle name="40% - 强调文字颜色 3 4 20 5 11" xfId="17184"/>
    <cellStyle name="40% - 强调文字颜色 3 4 20 5 2" xfId="12687"/>
    <cellStyle name="40% - 强调文字颜色 3 4 20 5 2 2" xfId="3638"/>
    <cellStyle name="40% - 强调文字颜色 3 4 20 5 2 2 2" xfId="17187"/>
    <cellStyle name="40% - 强调文字颜色 3 4 20 5 2 2 3" xfId="9740"/>
    <cellStyle name="40% - 强调文字颜色 3 4 20 5 2 3" xfId="3642"/>
    <cellStyle name="40% - 强调文字颜色 3 4 20 5 2 4" xfId="3645"/>
    <cellStyle name="40% - 强调文字颜色 3 4 20 5 2 5" xfId="3651"/>
    <cellStyle name="40% - 强调文字颜色 3 4 20 5 2 6" xfId="3656"/>
    <cellStyle name="40% - 强调文字颜色 3 4 20 5 2 7" xfId="17192"/>
    <cellStyle name="40% - 强调文字颜色 3 4 20 5 2 8" xfId="17195"/>
    <cellStyle name="40% - 强调文字颜色 3 4 20 5 3" xfId="5097"/>
    <cellStyle name="40% - 强调文字颜色 3 4 20 5 4" xfId="5102"/>
    <cellStyle name="40% - 强调文字颜色 3 4 20 5 5" xfId="12555"/>
    <cellStyle name="40% - 强调文字颜色 3 4 20 5 6" xfId="12558"/>
    <cellStyle name="40% - 强调文字颜色 3 4 20 5 6 2" xfId="420"/>
    <cellStyle name="40% - 强调文字颜色 3 4 20 5 6 3" xfId="15517"/>
    <cellStyle name="40% - 强调文字颜色 3 4 20 5 7" xfId="15521"/>
    <cellStyle name="40% - 强调文字颜色 3 4 20 5 8" xfId="15524"/>
    <cellStyle name="40% - 强调文字颜色 3 4 20 5 9" xfId="15528"/>
    <cellStyle name="40% - 强调文字颜色 3 4 20 6" xfId="17197"/>
    <cellStyle name="40% - 强调文字颜色 3 4 20 6 2" xfId="12818"/>
    <cellStyle name="40% - 强调文字颜色 3 4 20 6 2 2" xfId="4749"/>
    <cellStyle name="40% - 强调文字颜色 3 4 20 6 2 3" xfId="4752"/>
    <cellStyle name="40% - 强调文字颜色 3 4 20 6 3" xfId="12825"/>
    <cellStyle name="40% - 强调文字颜色 3 4 20 6 4" xfId="17201"/>
    <cellStyle name="40% - 强调文字颜色 3 4 20 6 5" xfId="17206"/>
    <cellStyle name="40% - 强调文字颜色 3 4 20 6 6" xfId="17211"/>
    <cellStyle name="40% - 强调文字颜色 3 4 20 6 7" xfId="17216"/>
    <cellStyle name="40% - 强调文字颜色 3 4 20 6 8" xfId="14919"/>
    <cellStyle name="40% - 强调文字颜色 3 4 20 7" xfId="17218"/>
    <cellStyle name="40% - 强调文字颜色 3 4 20 8" xfId="17221"/>
    <cellStyle name="40% - 强调文字颜色 3 4 20 9" xfId="17224"/>
    <cellStyle name="40% - 强调文字颜色 3 4 20 9 2" xfId="17225"/>
    <cellStyle name="40% - 强调文字颜色 3 4 20 9 3" xfId="17227"/>
    <cellStyle name="40% - 强调文字颜色 3 4 3" xfId="17229"/>
    <cellStyle name="40% - 强调文字颜色 3 4 4" xfId="17230"/>
    <cellStyle name="40% - 强调文字颜色 3 4 5" xfId="17232"/>
    <cellStyle name="40% - 强调文字颜色 3 4 6" xfId="17234"/>
    <cellStyle name="40% - 强调文字颜色 3 4 7" xfId="7732"/>
    <cellStyle name="40% - 强调文字颜色 3 4 8" xfId="7888"/>
    <cellStyle name="40% - 强调文字颜色 3 4 9" xfId="7894"/>
    <cellStyle name="40% - 强调文字颜色 3 5" xfId="17236"/>
    <cellStyle name="40% - 强调文字颜色 3 5 10" xfId="17237"/>
    <cellStyle name="40% - 强调文字颜色 3 5 11" xfId="17239"/>
    <cellStyle name="40% - 强调文字颜色 3 5 12" xfId="17241"/>
    <cellStyle name="40% - 强调文字颜色 3 5 13" xfId="17245"/>
    <cellStyle name="40% - 强调文字颜色 3 5 14" xfId="16220"/>
    <cellStyle name="40% - 强调文字颜色 3 5 2" xfId="17249"/>
    <cellStyle name="40% - 强调文字颜色 3 5 3" xfId="17250"/>
    <cellStyle name="40% - 强调文字颜色 3 5 4" xfId="17254"/>
    <cellStyle name="40% - 强调文字颜色 3 5 5" xfId="17259"/>
    <cellStyle name="40% - 强调文字颜色 3 5 6" xfId="17261"/>
    <cellStyle name="40% - 强调文字颜色 3 5 7" xfId="6956"/>
    <cellStyle name="40% - 强调文字颜色 3 5 8" xfId="6965"/>
    <cellStyle name="40% - 强调文字颜色 3 5 9" xfId="7595"/>
    <cellStyle name="40% - 强调文字颜色 3 6" xfId="17263"/>
    <cellStyle name="40% - 强调文字颜色 3 6 10" xfId="17264"/>
    <cellStyle name="40% - 强调文字颜色 3 6 11" xfId="17267"/>
    <cellStyle name="40% - 强调文字颜色 3 6 12" xfId="17270"/>
    <cellStyle name="40% - 强调文字颜色 3 6 13" xfId="6771"/>
    <cellStyle name="40% - 强调文字颜色 3 6 14" xfId="6786"/>
    <cellStyle name="40% - 强调文字颜色 3 6 2" xfId="793"/>
    <cellStyle name="40% - 强调文字颜色 3 6 3" xfId="15354"/>
    <cellStyle name="40% - 强调文字颜色 3 6 4" xfId="15356"/>
    <cellStyle name="40% - 强调文字颜色 3 6 5" xfId="15358"/>
    <cellStyle name="40% - 强调文字颜色 3 6 6" xfId="15360"/>
    <cellStyle name="40% - 强调文字颜色 3 6 7" xfId="7939"/>
    <cellStyle name="40% - 强调文字颜色 3 6 8" xfId="7944"/>
    <cellStyle name="40% - 强调文字颜色 3 6 9" xfId="7952"/>
    <cellStyle name="40% - 强调文字颜色 3 7" xfId="8511"/>
    <cellStyle name="40% - 强调文字颜色 3 8" xfId="8518"/>
    <cellStyle name="40% - 强调文字颜色 3 9" xfId="8525"/>
    <cellStyle name="40% - 强调文字颜色 4 10" xfId="17275"/>
    <cellStyle name="40% - 强调文字颜色 4 11" xfId="3659"/>
    <cellStyle name="40% - 强调文字颜色 4 12" xfId="3669"/>
    <cellStyle name="40% - 强调文字颜色 4 12 10" xfId="4389"/>
    <cellStyle name="40% - 强调文字颜色 4 12 11" xfId="4404"/>
    <cellStyle name="40% - 强调文字颜色 4 12 12" xfId="17278"/>
    <cellStyle name="40% - 强调文字颜色 4 12 13" xfId="17281"/>
    <cellStyle name="40% - 强调文字颜色 4 12 14" xfId="17282"/>
    <cellStyle name="40% - 强调文字颜色 4 12 2" xfId="17285"/>
    <cellStyle name="40% - 强调文字颜色 4 12 3" xfId="3932"/>
    <cellStyle name="40% - 强调文字颜色 4 12 4" xfId="4016"/>
    <cellStyle name="40% - 强调文字颜色 4 12 5" xfId="4027"/>
    <cellStyle name="40% - 强调文字颜色 4 12 5 10" xfId="17288"/>
    <cellStyle name="40% - 强调文字颜色 4 12 5 11" xfId="17291"/>
    <cellStyle name="40% - 强调文字颜色 4 12 5 2" xfId="15420"/>
    <cellStyle name="40% - 强调文字颜色 4 12 5 2 2" xfId="13060"/>
    <cellStyle name="40% - 强调文字颜色 4 12 5 2 2 2" xfId="17292"/>
    <cellStyle name="40% - 强调文字颜色 4 12 5 2 2 3" xfId="17294"/>
    <cellStyle name="40% - 强调文字颜色 4 12 5 2 3" xfId="13065"/>
    <cellStyle name="40% - 强调文字颜色 4 12 5 2 4" xfId="13069"/>
    <cellStyle name="40% - 强调文字颜色 4 12 5 2 5" xfId="13117"/>
    <cellStyle name="40% - 强调文字颜色 4 12 5 2 6" xfId="6514"/>
    <cellStyle name="40% - 强调文字颜色 4 12 5 2 7" xfId="6521"/>
    <cellStyle name="40% - 强调文字颜色 4 12 5 2 8" xfId="1094"/>
    <cellStyle name="40% - 强调文字颜色 4 12 5 3" xfId="15342"/>
    <cellStyle name="40% - 强调文字颜色 4 12 5 4" xfId="15349"/>
    <cellStyle name="40% - 强调文字颜色 4 12 5 5" xfId="5966"/>
    <cellStyle name="40% - 强调文字颜色 4 12 5 6" xfId="5980"/>
    <cellStyle name="40% - 强调文字颜色 4 12 5 6 2" xfId="17295"/>
    <cellStyle name="40% - 强调文字颜色 4 12 5 6 3" xfId="17296"/>
    <cellStyle name="40% - 强调文字颜色 4 12 5 7" xfId="5984"/>
    <cellStyle name="40% - 强调文字颜色 4 12 5 8" xfId="5989"/>
    <cellStyle name="40% - 强调文字颜色 4 12 5 9" xfId="5996"/>
    <cellStyle name="40% - 强调文字颜色 4 12 6" xfId="4038"/>
    <cellStyle name="40% - 强调文字颜色 4 12 6 2" xfId="966"/>
    <cellStyle name="40% - 强调文字颜色 4 12 6 2 2" xfId="6442"/>
    <cellStyle name="40% - 强调文字颜色 4 12 6 2 3" xfId="6542"/>
    <cellStyle name="40% - 强调文字颜色 4 12 6 3" xfId="997"/>
    <cellStyle name="40% - 强调文字颜色 4 12 6 4" xfId="1016"/>
    <cellStyle name="40% - 强调文字颜色 4 12 6 5" xfId="1051"/>
    <cellStyle name="40% - 强调文字颜色 4 12 6 6" xfId="1072"/>
    <cellStyle name="40% - 强调文字颜色 4 12 6 7" xfId="1092"/>
    <cellStyle name="40% - 强调文字颜色 4 12 6 8" xfId="17297"/>
    <cellStyle name="40% - 强调文字颜色 4 12 7" xfId="4051"/>
    <cellStyle name="40% - 强调文字颜色 4 12 8" xfId="4058"/>
    <cellStyle name="40% - 强调文字颜色 4 12 9" xfId="17299"/>
    <cellStyle name="40% - 强调文字颜色 4 12 9 2" xfId="17301"/>
    <cellStyle name="40% - 强调文字颜色 4 12 9 3" xfId="17303"/>
    <cellStyle name="40% - 强调文字颜色 4 13" xfId="17304"/>
    <cellStyle name="40% - 强调文字颜色 4 14" xfId="17307"/>
    <cellStyle name="40% - 强调文字颜色 4 15" xfId="17310"/>
    <cellStyle name="40% - 强调文字颜色 4 16" xfId="17313"/>
    <cellStyle name="40% - 强调文字颜色 4 16 10" xfId="17317"/>
    <cellStyle name="40% - 强调文字颜色 4 16 11" xfId="17319"/>
    <cellStyle name="40% - 强调文字颜色 4 16 12" xfId="17321"/>
    <cellStyle name="40% - 强调文字颜色 4 16 13" xfId="9263"/>
    <cellStyle name="40% - 强调文字颜色 4 16 14" xfId="9267"/>
    <cellStyle name="40% - 强调文字颜色 4 16 2" xfId="17322"/>
    <cellStyle name="40% - 强调文字颜色 4 16 3" xfId="17324"/>
    <cellStyle name="40% - 强调文字颜色 4 16 4" xfId="17325"/>
    <cellStyle name="40% - 强调文字颜色 4 16 5" xfId="17327"/>
    <cellStyle name="40% - 强调文字颜色 4 16 5 10" xfId="17328"/>
    <cellStyle name="40% - 强调文字颜色 4 16 5 11" xfId="17329"/>
    <cellStyle name="40% - 强调文字颜色 4 16 5 2" xfId="8894"/>
    <cellStyle name="40% - 强调文字颜色 4 16 5 2 2" xfId="17332"/>
    <cellStyle name="40% - 强调文字颜色 4 16 5 2 2 2" xfId="16675"/>
    <cellStyle name="40% - 强调文字颜色 4 16 5 2 2 3" xfId="16627"/>
    <cellStyle name="40% - 强调文字颜色 4 16 5 2 3" xfId="17335"/>
    <cellStyle name="40% - 强调文字颜色 4 16 5 2 4" xfId="17338"/>
    <cellStyle name="40% - 强调文字颜色 4 16 5 2 5" xfId="17341"/>
    <cellStyle name="40% - 强调文字颜色 4 16 5 2 6" xfId="17344"/>
    <cellStyle name="40% - 强调文字颜色 4 16 5 2 7" xfId="17349"/>
    <cellStyle name="40% - 强调文字颜色 4 16 5 2 8" xfId="17354"/>
    <cellStyle name="40% - 强调文字颜色 4 16 5 3" xfId="8899"/>
    <cellStyle name="40% - 强调文字颜色 4 16 5 4" xfId="8904"/>
    <cellStyle name="40% - 强调文字颜色 4 16 5 5" xfId="8908"/>
    <cellStyle name="40% - 强调文字颜色 4 16 5 6" xfId="8183"/>
    <cellStyle name="40% - 强调文字颜色 4 16 5 6 2" xfId="17356"/>
    <cellStyle name="40% - 强调文字颜色 4 16 5 6 3" xfId="17359"/>
    <cellStyle name="40% - 强调文字颜色 4 16 5 7" xfId="17365"/>
    <cellStyle name="40% - 强调文字颜色 4 16 5 8" xfId="17366"/>
    <cellStyle name="40% - 强调文字颜色 4 16 5 9" xfId="17367"/>
    <cellStyle name="40% - 强调文字颜色 4 16 6" xfId="17370"/>
    <cellStyle name="40% - 强调文字颜色 4 16 6 2" xfId="1586"/>
    <cellStyle name="40% - 强调文字颜色 4 16 6 2 2" xfId="17372"/>
    <cellStyle name="40% - 强调文字颜色 4 16 6 2 3" xfId="17375"/>
    <cellStyle name="40% - 强调文字颜色 4 16 6 3" xfId="1602"/>
    <cellStyle name="40% - 强调文字颜色 4 16 6 4" xfId="1618"/>
    <cellStyle name="40% - 强调文字颜色 4 16 6 5" xfId="1641"/>
    <cellStyle name="40% - 强调文字颜色 4 16 6 6" xfId="1656"/>
    <cellStyle name="40% - 强调文字颜色 4 16 6 7" xfId="1671"/>
    <cellStyle name="40% - 强调文字颜色 4 16 6 8" xfId="17377"/>
    <cellStyle name="40% - 强调文字颜色 4 16 7" xfId="17380"/>
    <cellStyle name="40% - 强调文字颜色 4 16 8" xfId="17383"/>
    <cellStyle name="40% - 强调文字颜色 4 16 9" xfId="17387"/>
    <cellStyle name="40% - 强调文字颜色 4 16 9 2" xfId="17392"/>
    <cellStyle name="40% - 强调文字颜色 4 16 9 3" xfId="17396"/>
    <cellStyle name="40% - 强调文字颜色 4 17" xfId="17397"/>
    <cellStyle name="40% - 强调文字颜色 4 17 10" xfId="3996"/>
    <cellStyle name="40% - 强调文字颜色 4 17 11" xfId="4005"/>
    <cellStyle name="40% - 强调文字颜色 4 17 12" xfId="2073"/>
    <cellStyle name="40% - 强调文字颜色 4 17 13" xfId="3114"/>
    <cellStyle name="40% - 强调文字颜色 4 17 14" xfId="17401"/>
    <cellStyle name="40% - 强调文字颜色 4 17 2" xfId="17403"/>
    <cellStyle name="40% - 强调文字颜色 4 17 3" xfId="17406"/>
    <cellStyle name="40% - 强调文字颜色 4 17 4" xfId="17409"/>
    <cellStyle name="40% - 强调文字颜色 4 17 5" xfId="17410"/>
    <cellStyle name="40% - 强调文字颜色 4 17 5 10" xfId="17413"/>
    <cellStyle name="40% - 强调文字颜色 4 17 5 11" xfId="17416"/>
    <cellStyle name="40% - 强调文字颜色 4 17 5 2" xfId="8073"/>
    <cellStyle name="40% - 强调文字颜色 4 17 5 2 2" xfId="8090"/>
    <cellStyle name="40% - 强调文字颜色 4 17 5 2 2 2" xfId="8098"/>
    <cellStyle name="40% - 强调文字颜色 4 17 5 2 2 3" xfId="6197"/>
    <cellStyle name="40% - 强调文字颜色 4 17 5 2 3" xfId="8108"/>
    <cellStyle name="40% - 强调文字颜色 4 17 5 2 4" xfId="8115"/>
    <cellStyle name="40% - 强调文字颜色 4 17 5 2 5" xfId="8121"/>
    <cellStyle name="40% - 强调文字颜色 4 17 5 2 6" xfId="8126"/>
    <cellStyle name="40% - 强调文字颜色 4 17 5 2 7" xfId="8132"/>
    <cellStyle name="40% - 强调文字颜色 4 17 5 2 8" xfId="1812"/>
    <cellStyle name="40% - 强调文字颜色 4 17 5 3" xfId="8136"/>
    <cellStyle name="40% - 强调文字颜色 4 17 5 4" xfId="8146"/>
    <cellStyle name="40% - 强调文字颜色 4 17 5 5" xfId="17417"/>
    <cellStyle name="40% - 强调文字颜色 4 17 5 6" xfId="17418"/>
    <cellStyle name="40% - 强调文字颜色 4 17 5 6 2" xfId="17420"/>
    <cellStyle name="40% - 强调文字颜色 4 17 5 6 3" xfId="17422"/>
    <cellStyle name="40% - 强调文字颜色 4 17 5 7" xfId="17423"/>
    <cellStyle name="40% - 强调文字颜色 4 17 5 8" xfId="17425"/>
    <cellStyle name="40% - 强调文字颜色 4 17 5 9" xfId="17427"/>
    <cellStyle name="40% - 强调文字颜色 4 17 6" xfId="3064"/>
    <cellStyle name="40% - 强调文字颜色 4 17 6 2" xfId="2143"/>
    <cellStyle name="40% - 强调文字颜色 4 17 6 2 2" xfId="8185"/>
    <cellStyle name="40% - 强调文字颜色 4 17 6 2 3" xfId="8195"/>
    <cellStyle name="40% - 强调文字颜色 4 17 6 3" xfId="2161"/>
    <cellStyle name="40% - 强调文字颜色 4 17 6 4" xfId="2171"/>
    <cellStyle name="40% - 强调文字颜色 4 17 6 5" xfId="2187"/>
    <cellStyle name="40% - 强调文字颜色 4 17 6 6" xfId="2198"/>
    <cellStyle name="40% - 强调文字颜色 4 17 6 7" xfId="2209"/>
    <cellStyle name="40% - 强调文字颜色 4 17 6 8" xfId="208"/>
    <cellStyle name="40% - 强调文字颜色 4 17 7" xfId="3078"/>
    <cellStyle name="40% - 强调文字颜色 4 17 8" xfId="17430"/>
    <cellStyle name="40% - 强调文字颜色 4 17 9" xfId="17434"/>
    <cellStyle name="40% - 强调文字颜色 4 17 9 2" xfId="17439"/>
    <cellStyle name="40% - 强调文字颜色 4 17 9 3" xfId="17442"/>
    <cellStyle name="40% - 强调文字颜色 4 18" xfId="17445"/>
    <cellStyle name="40% - 强调文字颜色 4 18 10" xfId="2047"/>
    <cellStyle name="40% - 强调文字颜色 4 18 11" xfId="2111"/>
    <cellStyle name="40% - 强调文字颜色 4 18 12" xfId="2129"/>
    <cellStyle name="40% - 强调文字颜色 4 18 13" xfId="2147"/>
    <cellStyle name="40% - 强调文字颜色 4 18 14" xfId="17447"/>
    <cellStyle name="40% - 强调文字颜色 4 18 2" xfId="8227"/>
    <cellStyle name="40% - 强调文字颜色 4 18 3" xfId="8233"/>
    <cellStyle name="40% - 强调文字颜色 4 18 4" xfId="8239"/>
    <cellStyle name="40% - 强调文字颜色 4 18 5" xfId="8242"/>
    <cellStyle name="40% - 强调文字颜色 4 18 5 10" xfId="17452"/>
    <cellStyle name="40% - 强调文字颜色 4 18 5 11" xfId="17454"/>
    <cellStyle name="40% - 强调文字颜色 4 18 5 2" xfId="17455"/>
    <cellStyle name="40% - 强调文字颜色 4 18 5 2 2" xfId="17457"/>
    <cellStyle name="40% - 强调文字颜色 4 18 5 2 2 2" xfId="17460"/>
    <cellStyle name="40% - 强调文字颜色 4 18 5 2 2 3" xfId="17462"/>
    <cellStyle name="40% - 强调文字颜色 4 18 5 2 3" xfId="17464"/>
    <cellStyle name="40% - 强调文字颜色 4 18 5 2 4" xfId="17466"/>
    <cellStyle name="40% - 强调文字颜色 4 18 5 2 5" xfId="17468"/>
    <cellStyle name="40% - 强调文字颜色 4 18 5 2 6" xfId="17470"/>
    <cellStyle name="40% - 强调文字颜色 4 18 5 2 7" xfId="17473"/>
    <cellStyle name="40% - 强调文字颜色 4 18 5 2 8" xfId="2249"/>
    <cellStyle name="40% - 强调文字颜色 4 18 5 3" xfId="17475"/>
    <cellStyle name="40% - 强调文字颜色 4 18 5 4" xfId="8271"/>
    <cellStyle name="40% - 强调文字颜色 4 18 5 5" xfId="8278"/>
    <cellStyle name="40% - 强调文字颜色 4 18 5 6" xfId="8284"/>
    <cellStyle name="40% - 强调文字颜色 4 18 5 6 2" xfId="17476"/>
    <cellStyle name="40% - 强调文字颜色 4 18 5 6 3" xfId="17479"/>
    <cellStyle name="40% - 强调文字颜色 4 18 5 7" xfId="8290"/>
    <cellStyle name="40% - 强调文字颜色 4 18 5 8" xfId="8296"/>
    <cellStyle name="40% - 强调文字颜色 4 18 5 9" xfId="8303"/>
    <cellStyle name="40% - 强调文字颜色 4 18 6" xfId="17481"/>
    <cellStyle name="40% - 强调文字颜色 4 18 6 2" xfId="2543"/>
    <cellStyle name="40% - 强调文字颜色 4 18 6 2 2" xfId="17482"/>
    <cellStyle name="40% - 强调文字颜色 4 18 6 2 3" xfId="17484"/>
    <cellStyle name="40% - 强调文字颜色 4 18 6 3" xfId="2402"/>
    <cellStyle name="40% - 强调文字颜色 4 18 6 4" xfId="2417"/>
    <cellStyle name="40% - 强调文字颜色 4 18 6 5" xfId="2585"/>
    <cellStyle name="40% - 强调文字颜色 4 18 6 6" xfId="2598"/>
    <cellStyle name="40% - 强调文字颜色 4 18 6 7" xfId="2604"/>
    <cellStyle name="40% - 强调文字颜色 4 18 6 8" xfId="17485"/>
    <cellStyle name="40% - 强调文字颜色 4 18 7" xfId="17487"/>
    <cellStyle name="40% - 强调文字颜色 4 18 8" xfId="17488"/>
    <cellStyle name="40% - 强调文字颜色 4 18 9" xfId="17489"/>
    <cellStyle name="40% - 强调文字颜色 4 18 9 2" xfId="17490"/>
    <cellStyle name="40% - 强调文字颜色 4 18 9 3" xfId="8323"/>
    <cellStyle name="40% - 强调文字颜色 4 19" xfId="17493"/>
    <cellStyle name="40% - 强调文字颜色 4 2" xfId="7446"/>
    <cellStyle name="40% - 强调文字颜色 4 2 10" xfId="6317"/>
    <cellStyle name="40% - 强调文字颜色 4 2 11" xfId="6321"/>
    <cellStyle name="40% - 强调文字颜色 4 2 12" xfId="6326"/>
    <cellStyle name="40% - 强调文字颜色 4 2 13" xfId="6332"/>
    <cellStyle name="40% - 强调文字颜色 4 2 14" xfId="3401"/>
    <cellStyle name="40% - 强调文字颜色 4 2 15" xfId="1435"/>
    <cellStyle name="40% - 强调文字颜色 4 2 16" xfId="1466"/>
    <cellStyle name="40% - 强调文字颜色 4 2 17" xfId="17495"/>
    <cellStyle name="40% - 强调文字颜色 4 2 17 10" xfId="12473"/>
    <cellStyle name="40% - 强调文字颜色 4 2 17 11" xfId="12478"/>
    <cellStyle name="40% - 强调文字颜色 4 2 17 12" xfId="12482"/>
    <cellStyle name="40% - 强调文字颜色 4 2 17 13" xfId="12486"/>
    <cellStyle name="40% - 强调文字颜色 4 2 17 14" xfId="12495"/>
    <cellStyle name="40% - 强调文字颜色 4 2 17 2" xfId="11388"/>
    <cellStyle name="40% - 强调文字颜色 4 2 17 3" xfId="11390"/>
    <cellStyle name="40% - 强调文字颜色 4 2 17 4" xfId="11393"/>
    <cellStyle name="40% - 强调文字颜色 4 2 17 5" xfId="11395"/>
    <cellStyle name="40% - 强调文字颜色 4 2 17 5 10" xfId="7608"/>
    <cellStyle name="40% - 强调文字颜色 4 2 17 5 11" xfId="6770"/>
    <cellStyle name="40% - 强调文字颜色 4 2 17 5 2" xfId="17498"/>
    <cellStyle name="40% - 强调文字颜色 4 2 17 5 2 2" xfId="14063"/>
    <cellStyle name="40% - 强调文字颜色 4 2 17 5 2 2 2" xfId="17500"/>
    <cellStyle name="40% - 强调文字颜色 4 2 17 5 2 2 3" xfId="17501"/>
    <cellStyle name="40% - 强调文字颜色 4 2 17 5 2 3" xfId="15295"/>
    <cellStyle name="40% - 强调文字颜色 4 2 17 5 2 4" xfId="4173"/>
    <cellStyle name="40% - 强调文字颜色 4 2 17 5 2 5" xfId="4183"/>
    <cellStyle name="40% - 强调文字颜色 4 2 17 5 2 6" xfId="15299"/>
    <cellStyle name="40% - 强调文字颜色 4 2 17 5 2 7" xfId="17504"/>
    <cellStyle name="40% - 强调文字颜色 4 2 17 5 2 8" xfId="17505"/>
    <cellStyle name="40% - 强调文字颜色 4 2 17 5 3" xfId="17509"/>
    <cellStyle name="40% - 强调文字颜色 4 2 17 5 4" xfId="17511"/>
    <cellStyle name="40% - 强调文字颜色 4 2 17 5 5" xfId="17513"/>
    <cellStyle name="40% - 强调文字颜色 4 2 17 5 6" xfId="17516"/>
    <cellStyle name="40% - 强调文字颜色 4 2 17 5 6 2" xfId="17517"/>
    <cellStyle name="40% - 强调文字颜色 4 2 17 5 6 3" xfId="7745"/>
    <cellStyle name="40% - 强调文字颜色 4 2 17 5 7" xfId="17521"/>
    <cellStyle name="40% - 强调文字颜色 4 2 17 5 8" xfId="17523"/>
    <cellStyle name="40% - 强调文字颜色 4 2 17 5 9" xfId="17525"/>
    <cellStyle name="40% - 强调文字颜色 4 2 17 6" xfId="11399"/>
    <cellStyle name="40% - 强调文字颜色 4 2 17 6 2" xfId="17528"/>
    <cellStyle name="40% - 强调文字颜色 4 2 17 6 2 2" xfId="17326"/>
    <cellStyle name="40% - 强调文字颜色 4 2 17 6 2 3" xfId="17369"/>
    <cellStyle name="40% - 强调文字颜色 4 2 17 6 3" xfId="17530"/>
    <cellStyle name="40% - 强调文字颜色 4 2 17 6 4" xfId="805"/>
    <cellStyle name="40% - 强调文字颜色 4 2 17 6 5" xfId="374"/>
    <cellStyle name="40% - 强调文字颜色 4 2 17 6 6" xfId="17532"/>
    <cellStyle name="40% - 强调文字颜色 4 2 17 6 7" xfId="17534"/>
    <cellStyle name="40% - 强调文字颜色 4 2 17 6 8" xfId="17537"/>
    <cellStyle name="40% - 强调文字颜色 4 2 17 7" xfId="11152"/>
    <cellStyle name="40% - 强调文字颜色 4 2 17 8" xfId="17539"/>
    <cellStyle name="40% - 强调文字颜色 4 2 17 9" xfId="17541"/>
    <cellStyle name="40% - 强调文字颜色 4 2 17 9 2" xfId="17543"/>
    <cellStyle name="40% - 强调文字颜色 4 2 17 9 3" xfId="17547"/>
    <cellStyle name="40% - 强调文字颜色 4 2 18" xfId="17549"/>
    <cellStyle name="40% - 强调文字颜色 4 2 18 10" xfId="17551"/>
    <cellStyle name="40% - 强调文字颜色 4 2 18 11" xfId="17553"/>
    <cellStyle name="40% - 强调文字颜色 4 2 18 12" xfId="17555"/>
    <cellStyle name="40% - 强调文字颜色 4 2 18 13" xfId="17556"/>
    <cellStyle name="40% - 强调文字颜色 4 2 18 14" xfId="17557"/>
    <cellStyle name="40% - 强调文字颜色 4 2 18 2" xfId="1144"/>
    <cellStyle name="40% - 强调文字颜色 4 2 18 3" xfId="2709"/>
    <cellStyle name="40% - 强调文字颜色 4 2 18 4" xfId="3105"/>
    <cellStyle name="40% - 强调文字颜色 4 2 18 5" xfId="3143"/>
    <cellStyle name="40% - 强调文字颜色 4 2 18 5 10" xfId="17558"/>
    <cellStyle name="40% - 强调文字颜色 4 2 18 5 11" xfId="17559"/>
    <cellStyle name="40% - 强调文字颜色 4 2 18 5 2" xfId="17560"/>
    <cellStyle name="40% - 强调文字颜色 4 2 18 5 2 2" xfId="5075"/>
    <cellStyle name="40% - 强调文字颜色 4 2 18 5 2 2 2" xfId="6791"/>
    <cellStyle name="40% - 强调文字颜色 4 2 18 5 2 2 3" xfId="6794"/>
    <cellStyle name="40% - 强调文字颜色 4 2 18 5 2 3" xfId="15496"/>
    <cellStyle name="40% - 强调文字颜色 4 2 18 5 2 4" xfId="4840"/>
    <cellStyle name="40% - 强调文字颜色 4 2 18 5 2 5" xfId="4844"/>
    <cellStyle name="40% - 强调文字颜色 4 2 18 5 2 6" xfId="15500"/>
    <cellStyle name="40% - 强调文字颜色 4 2 18 5 2 7" xfId="17563"/>
    <cellStyle name="40% - 强调文字颜色 4 2 18 5 2 8" xfId="17565"/>
    <cellStyle name="40% - 强调文字颜色 4 2 18 5 3" xfId="17566"/>
    <cellStyle name="40% - 强调文字颜色 4 2 18 5 4" xfId="17567"/>
    <cellStyle name="40% - 强调文字颜色 4 2 18 5 5" xfId="17569"/>
    <cellStyle name="40% - 强调文字颜色 4 2 18 5 6" xfId="17571"/>
    <cellStyle name="40% - 强调文字颜色 4 2 18 5 6 2" xfId="5140"/>
    <cellStyle name="40% - 强调文字颜色 4 2 18 5 6 3" xfId="17574"/>
    <cellStyle name="40% - 强调文字颜色 4 2 18 5 7" xfId="17576"/>
    <cellStyle name="40% - 强调文字颜色 4 2 18 5 8" xfId="17578"/>
    <cellStyle name="40% - 强调文字颜色 4 2 18 5 9" xfId="17581"/>
    <cellStyle name="40% - 强调文字颜色 4 2 18 6" xfId="3155"/>
    <cellStyle name="40% - 强调文字颜色 4 2 18 6 2" xfId="17582"/>
    <cellStyle name="40% - 强调文字颜色 4 2 18 6 2 2" xfId="17584"/>
    <cellStyle name="40% - 强调文字颜色 4 2 18 6 2 3" xfId="17585"/>
    <cellStyle name="40% - 强调文字颜色 4 2 18 6 3" xfId="8963"/>
    <cellStyle name="40% - 强调文字颜色 4 2 18 6 4" xfId="8966"/>
    <cellStyle name="40% - 强调文字颜色 4 2 18 6 5" xfId="4533"/>
    <cellStyle name="40% - 强调文字颜色 4 2 18 6 6" xfId="4544"/>
    <cellStyle name="40% - 强调文字颜色 4 2 18 6 7" xfId="17588"/>
    <cellStyle name="40% - 强调文字颜色 4 2 18 6 8" xfId="17591"/>
    <cellStyle name="40% - 强调文字颜色 4 2 18 7" xfId="3163"/>
    <cellStyle name="40% - 强调文字颜色 4 2 18 8" xfId="17592"/>
    <cellStyle name="40% - 强调文字颜色 4 2 18 9" xfId="17593"/>
    <cellStyle name="40% - 强调文字颜色 4 2 18 9 2" xfId="17596"/>
    <cellStyle name="40% - 强调文字颜色 4 2 18 9 3" xfId="17597"/>
    <cellStyle name="40% - 强调文字颜色 4 2 19" xfId="17598"/>
    <cellStyle name="40% - 强调文字颜色 4 2 19 10" xfId="13323"/>
    <cellStyle name="40% - 强调文字颜色 4 2 19 11" xfId="13327"/>
    <cellStyle name="40% - 强调文字颜色 4 2 19 12" xfId="17600"/>
    <cellStyle name="40% - 强调文字颜色 4 2 19 13" xfId="17603"/>
    <cellStyle name="40% - 强调文字颜色 4 2 19 14" xfId="17606"/>
    <cellStyle name="40% - 强调文字颜色 4 2 19 2" xfId="579"/>
    <cellStyle name="40% - 强调文字颜色 4 2 19 3" xfId="590"/>
    <cellStyle name="40% - 强调文字颜色 4 2 19 4" xfId="513"/>
    <cellStyle name="40% - 强调文字颜色 4 2 19 5" xfId="556"/>
    <cellStyle name="40% - 强调文字颜色 4 2 19 5 10" xfId="1257"/>
    <cellStyle name="40% - 强调文字颜色 4 2 19 5 11" xfId="13113"/>
    <cellStyle name="40% - 强调文字颜色 4 2 19 5 2" xfId="17607"/>
    <cellStyle name="40% - 强调文字颜色 4 2 19 5 2 2" xfId="17611"/>
    <cellStyle name="40% - 强调文字颜色 4 2 19 5 2 2 2" xfId="17614"/>
    <cellStyle name="40% - 强调文字颜色 4 2 19 5 2 2 3" xfId="17619"/>
    <cellStyle name="40% - 强调文字颜色 4 2 19 5 2 3" xfId="17624"/>
    <cellStyle name="40% - 强调文字颜色 4 2 19 5 2 4" xfId="17629"/>
    <cellStyle name="40% - 强调文字颜色 4 2 19 5 2 5" xfId="17633"/>
    <cellStyle name="40% - 强调文字颜色 4 2 19 5 2 6" xfId="17636"/>
    <cellStyle name="40% - 强调文字颜色 4 2 19 5 2 7" xfId="17639"/>
    <cellStyle name="40% - 强调文字颜色 4 2 19 5 2 8" xfId="12350"/>
    <cellStyle name="40% - 强调文字颜色 4 2 19 5 3" xfId="17641"/>
    <cellStyle name="40% - 强调文字颜色 4 2 19 5 4" xfId="17642"/>
    <cellStyle name="40% - 强调文字颜色 4 2 19 5 5" xfId="16316"/>
    <cellStyle name="40% - 强调文字颜色 4 2 19 5 6" xfId="16321"/>
    <cellStyle name="40% - 强调文字颜色 4 2 19 5 6 2" xfId="17643"/>
    <cellStyle name="40% - 强调文字颜色 4 2 19 5 6 3" xfId="17644"/>
    <cellStyle name="40% - 强调文字颜色 4 2 19 5 7" xfId="17645"/>
    <cellStyle name="40% - 强调文字颜色 4 2 19 5 8" xfId="17647"/>
    <cellStyle name="40% - 强调文字颜色 4 2 19 5 9" xfId="17648"/>
    <cellStyle name="40% - 强调文字颜色 4 2 19 6" xfId="1227"/>
    <cellStyle name="40% - 强调文字颜色 4 2 19 6 2" xfId="17650"/>
    <cellStyle name="40% - 强调文字颜色 4 2 19 6 2 2" xfId="12410"/>
    <cellStyle name="40% - 强调文字颜色 4 2 19 6 2 3" xfId="17651"/>
    <cellStyle name="40% - 强调文字颜色 4 2 19 6 3" xfId="17652"/>
    <cellStyle name="40% - 强调文字颜色 4 2 19 6 4" xfId="4929"/>
    <cellStyle name="40% - 强调文字颜色 4 2 19 6 5" xfId="4935"/>
    <cellStyle name="40% - 强调文字颜色 4 2 19 6 6" xfId="5105"/>
    <cellStyle name="40% - 强调文字颜色 4 2 19 6 7" xfId="5111"/>
    <cellStyle name="40% - 强调文字颜色 4 2 19 6 8" xfId="5119"/>
    <cellStyle name="40% - 强调文字颜色 4 2 19 7" xfId="1238"/>
    <cellStyle name="40% - 强调文字颜色 4 2 19 8" xfId="14504"/>
    <cellStyle name="40% - 强调文字颜色 4 2 19 9" xfId="14507"/>
    <cellStyle name="40% - 强调文字颜色 4 2 19 9 2" xfId="15432"/>
    <cellStyle name="40% - 强调文字颜色 4 2 19 9 3" xfId="15436"/>
    <cellStyle name="40% - 强调文字颜色 4 2 2" xfId="12363"/>
    <cellStyle name="40% - 强调文字颜色 4 2 2 10" xfId="3484"/>
    <cellStyle name="40% - 强调文字颜色 4 2 2 11" xfId="3489"/>
    <cellStyle name="40% - 强调文字颜色 4 2 2 12" xfId="17655"/>
    <cellStyle name="40% - 强调文字颜色 4 2 2 13" xfId="17659"/>
    <cellStyle name="40% - 强调文字颜色 4 2 2 14" xfId="8087"/>
    <cellStyle name="40% - 强调文字颜色 4 2 2 2" xfId="12291"/>
    <cellStyle name="40% - 强调文字颜色 4 2 2 3" xfId="12300"/>
    <cellStyle name="40% - 强调文字颜色 4 2 2 4" xfId="12307"/>
    <cellStyle name="40% - 强调文字颜色 4 2 2 5" xfId="12311"/>
    <cellStyle name="40% - 强调文字颜色 4 2 2 6" xfId="15473"/>
    <cellStyle name="40% - 强调文字颜色 4 2 2 7" xfId="15475"/>
    <cellStyle name="40% - 强调文字颜色 4 2 2 8" xfId="15478"/>
    <cellStyle name="40% - 强调文字颜色 4 2 2 9" xfId="15481"/>
    <cellStyle name="40% - 强调文字颜色 4 2 20" xfId="1434"/>
    <cellStyle name="40% - 强调文字颜色 4 2 20 10" xfId="8314"/>
    <cellStyle name="40% - 强调文字颜色 4 2 20 11" xfId="6252"/>
    <cellStyle name="40% - 强调文字颜色 4 2 20 12" xfId="10220"/>
    <cellStyle name="40% - 强调文字颜色 4 2 20 13" xfId="10223"/>
    <cellStyle name="40% - 强调文字颜色 4 2 20 14" xfId="10230"/>
    <cellStyle name="40% - 强调文字颜色 4 2 20 2" xfId="1534"/>
    <cellStyle name="40% - 强调文字颜色 4 2 20 3" xfId="17660"/>
    <cellStyle name="40% - 强调文字颜色 4 2 20 4" xfId="17661"/>
    <cellStyle name="40% - 强调文字颜色 4 2 20 5" xfId="17664"/>
    <cellStyle name="40% - 强调文字颜色 4 2 20 5 10" xfId="17666"/>
    <cellStyle name="40% - 强调文字颜色 4 2 20 5 11" xfId="17668"/>
    <cellStyle name="40% - 强调文字颜色 4 2 20 5 2" xfId="17671"/>
    <cellStyle name="40% - 强调文字颜色 4 2 20 5 2 2" xfId="16760"/>
    <cellStyle name="40% - 强调文字颜色 4 2 20 5 2 2 2" xfId="17674"/>
    <cellStyle name="40% - 强调文字颜色 4 2 20 5 2 2 3" xfId="7761"/>
    <cellStyle name="40% - 强调文字颜色 4 2 20 5 2 3" xfId="17678"/>
    <cellStyle name="40% - 强调文字颜色 4 2 20 5 2 4" xfId="3569"/>
    <cellStyle name="40% - 强调文字颜色 4 2 20 5 2 5" xfId="3819"/>
    <cellStyle name="40% - 强调文字颜色 4 2 20 5 2 6" xfId="5276"/>
    <cellStyle name="40% - 强调文字颜色 4 2 20 5 2 7" xfId="5295"/>
    <cellStyle name="40% - 强调文字颜色 4 2 20 5 2 8" xfId="5307"/>
    <cellStyle name="40% - 强调文字颜色 4 2 20 5 3" xfId="17681"/>
    <cellStyle name="40% - 强调文字颜色 4 2 20 5 4" xfId="5342"/>
    <cellStyle name="40% - 强调文字颜色 4 2 20 5 5" xfId="3219"/>
    <cellStyle name="40% - 强调文字颜色 4 2 20 5 6" xfId="17684"/>
    <cellStyle name="40% - 强调文字颜色 4 2 20 5 6 2" xfId="14071"/>
    <cellStyle name="40% - 强调文字颜色 4 2 20 5 6 3" xfId="14078"/>
    <cellStyle name="40% - 强调文字颜色 4 2 20 5 7" xfId="17687"/>
    <cellStyle name="40% - 强调文字颜色 4 2 20 5 8" xfId="17690"/>
    <cellStyle name="40% - 强调文字颜色 4 2 20 5 9" xfId="17692"/>
    <cellStyle name="40% - 强调文字颜色 4 2 20 6" xfId="17695"/>
    <cellStyle name="40% - 强调文字颜色 4 2 20 6 2" xfId="17696"/>
    <cellStyle name="40% - 强调文字颜色 4 2 20 6 2 2" xfId="17698"/>
    <cellStyle name="40% - 强调文字颜色 4 2 20 6 2 3" xfId="17701"/>
    <cellStyle name="40% - 强调文字颜色 4 2 20 6 3" xfId="17702"/>
    <cellStyle name="40% - 强调文字颜色 4 2 20 6 4" xfId="17703"/>
    <cellStyle name="40% - 强调文字颜色 4 2 20 6 5" xfId="17704"/>
    <cellStyle name="40% - 强调文字颜色 4 2 20 6 6" xfId="15033"/>
    <cellStyle name="40% - 强调文字颜色 4 2 20 6 7" xfId="15035"/>
    <cellStyle name="40% - 强调文字颜色 4 2 20 6 8" xfId="15037"/>
    <cellStyle name="40% - 强调文字颜色 4 2 20 7" xfId="17706"/>
    <cellStyle name="40% - 强调文字颜色 4 2 20 8" xfId="336"/>
    <cellStyle name="40% - 强调文字颜色 4 2 20 9" xfId="17708"/>
    <cellStyle name="40% - 强调文字颜色 4 2 20 9 2" xfId="17710"/>
    <cellStyle name="40% - 强调文字颜色 4 2 20 9 3" xfId="17713"/>
    <cellStyle name="40% - 强调文字颜色 4 2 3" xfId="12380"/>
    <cellStyle name="40% - 强调文字颜色 4 2 3 10" xfId="17718"/>
    <cellStyle name="40% - 强调文字颜色 4 2 3 11" xfId="17721"/>
    <cellStyle name="40% - 强调文字颜色 4 2 3 12" xfId="17722"/>
    <cellStyle name="40% - 强调文字颜色 4 2 3 13" xfId="17725"/>
    <cellStyle name="40% - 强调文字颜色 4 2 3 14" xfId="17727"/>
    <cellStyle name="40% - 强调文字颜色 4 2 3 2" xfId="17729"/>
    <cellStyle name="40% - 强调文字颜色 4 2 3 3" xfId="17732"/>
    <cellStyle name="40% - 强调文字颜色 4 2 3 4" xfId="17734"/>
    <cellStyle name="40% - 强调文字颜色 4 2 3 5" xfId="14861"/>
    <cellStyle name="40% - 强调文字颜色 4 2 3 6" xfId="14863"/>
    <cellStyle name="40% - 强调文字颜色 4 2 3 7" xfId="17737"/>
    <cellStyle name="40% - 强调文字颜色 4 2 3 8" xfId="17741"/>
    <cellStyle name="40% - 强调文字颜色 4 2 3 9" xfId="17742"/>
    <cellStyle name="40% - 强调文字颜色 4 2 4" xfId="12386"/>
    <cellStyle name="40% - 强调文字颜色 4 2 4 10" xfId="17744"/>
    <cellStyle name="40% - 强调文字颜色 4 2 4 11" xfId="17745"/>
    <cellStyle name="40% - 强调文字颜色 4 2 4 12" xfId="17746"/>
    <cellStyle name="40% - 强调文字颜色 4 2 4 13" xfId="17747"/>
    <cellStyle name="40% - 强调文字颜色 4 2 4 14" xfId="17749"/>
    <cellStyle name="40% - 强调文字颜色 4 2 4 2" xfId="17750"/>
    <cellStyle name="40% - 强调文字颜色 4 2 4 3" xfId="17752"/>
    <cellStyle name="40% - 强调文字颜色 4 2 4 4" xfId="17754"/>
    <cellStyle name="40% - 强调文字颜色 4 2 4 5" xfId="17756"/>
    <cellStyle name="40% - 强调文字颜色 4 2 4 6" xfId="17757"/>
    <cellStyle name="40% - 强调文字颜色 4 2 4 7" xfId="17758"/>
    <cellStyle name="40% - 强调文字颜色 4 2 4 8" xfId="17759"/>
    <cellStyle name="40% - 强调文字颜色 4 2 4 9" xfId="5669"/>
    <cellStyle name="40% - 强调文字颜色 4 2 5" xfId="12388"/>
    <cellStyle name="40% - 强调文字颜色 4 2 6" xfId="17760"/>
    <cellStyle name="40% - 强调文字颜色 4 2 7" xfId="17761"/>
    <cellStyle name="40% - 强调文字颜色 4 2 8" xfId="17763"/>
    <cellStyle name="40% - 强调文字颜色 4 2 9" xfId="17765"/>
    <cellStyle name="40% - 强调文字颜色 4 3" xfId="17768"/>
    <cellStyle name="40% - 强调文字颜色 4 3 10" xfId="17769"/>
    <cellStyle name="40% - 强调文字颜色 4 3 11" xfId="17770"/>
    <cellStyle name="40% - 强调文字颜色 4 3 12" xfId="17772"/>
    <cellStyle name="40% - 强调文字颜色 4 3 13" xfId="17774"/>
    <cellStyle name="40% - 强调文字颜色 4 3 14" xfId="17776"/>
    <cellStyle name="40% - 强调文字颜色 4 3 15" xfId="17779"/>
    <cellStyle name="40% - 强调文字颜色 4 3 16" xfId="17782"/>
    <cellStyle name="40% - 强调文字颜色 4 3 17" xfId="17785"/>
    <cellStyle name="40% - 强调文字颜色 4 3 17 10" xfId="1675"/>
    <cellStyle name="40% - 强调文字颜色 4 3 17 11" xfId="17376"/>
    <cellStyle name="40% - 强调文字颜色 4 3 17 12" xfId="17787"/>
    <cellStyle name="40% - 强调文字颜色 4 3 17 13" xfId="17788"/>
    <cellStyle name="40% - 强调文字颜色 4 3 17 14" xfId="17789"/>
    <cellStyle name="40% - 强调文字颜色 4 3 17 2" xfId="8916"/>
    <cellStyle name="40% - 强调文字颜色 4 3 17 2 2" xfId="17790"/>
    <cellStyle name="40% - 强调文字颜色 4 3 17 3" xfId="8918"/>
    <cellStyle name="40% - 强调文字颜色 4 3 17 4" xfId="17792"/>
    <cellStyle name="40% - 强调文字颜色 4 3 17 5" xfId="17793"/>
    <cellStyle name="40% - 强调文字颜色 4 3 17 5 10" xfId="17794"/>
    <cellStyle name="40% - 强调文字颜色 4 3 17 5 11" xfId="17795"/>
    <cellStyle name="40% - 强调文字颜色 4 3 17 5 2" xfId="17092"/>
    <cellStyle name="40% - 强调文字颜色 4 3 17 5 2 2" xfId="17798"/>
    <cellStyle name="40% - 强调文字颜色 4 3 17 5 2 2 2" xfId="12901"/>
    <cellStyle name="40% - 强调文字颜色 4 3 17 5 2 2 3" xfId="12906"/>
    <cellStyle name="40% - 强调文字颜色 4 3 17 5 2 3" xfId="2438"/>
    <cellStyle name="40% - 强调文字颜色 4 3 17 5 2 4" xfId="2461"/>
    <cellStyle name="40% - 强调文字颜色 4 3 17 5 2 5" xfId="2477"/>
    <cellStyle name="40% - 强调文字颜色 4 3 17 5 2 6" xfId="2493"/>
    <cellStyle name="40% - 强调文字颜色 4 3 17 5 2 7" xfId="2500"/>
    <cellStyle name="40% - 强调文字颜色 4 3 17 5 2 8" xfId="2508"/>
    <cellStyle name="40% - 强调文字颜色 4 3 17 5 3" xfId="17801"/>
    <cellStyle name="40% - 强调文字颜色 4 3 17 5 4" xfId="17802"/>
    <cellStyle name="40% - 强调文字颜色 4 3 17 5 5" xfId="17803"/>
    <cellStyle name="40% - 强调文字颜色 4 3 17 5 6" xfId="12741"/>
    <cellStyle name="40% - 强调文字颜色 4 3 17 5 6 2" xfId="17804"/>
    <cellStyle name="40% - 强调文字颜色 4 3 17 5 6 3" xfId="2571"/>
    <cellStyle name="40% - 强调文字颜色 4 3 17 5 7" xfId="12744"/>
    <cellStyle name="40% - 强调文字颜色 4 3 17 5 8" xfId="17806"/>
    <cellStyle name="40% - 强调文字颜色 4 3 17 5 9" xfId="17809"/>
    <cellStyle name="40% - 强调文字颜色 4 3 17 6" xfId="17810"/>
    <cellStyle name="40% - 强调文字颜色 4 3 17 6 2" xfId="17812"/>
    <cellStyle name="40% - 强调文字颜色 4 3 17 6 2 2" xfId="3252"/>
    <cellStyle name="40% - 强调文字颜色 4 3 17 6 2 3" xfId="2646"/>
    <cellStyle name="40% - 强调文字颜色 4 3 17 6 3" xfId="6107"/>
    <cellStyle name="40% - 强调文字颜色 4 3 17 6 4" xfId="6115"/>
    <cellStyle name="40% - 强调文字颜色 4 3 17 6 5" xfId="17815"/>
    <cellStyle name="40% - 强调文字颜色 4 3 17 6 6" xfId="17819"/>
    <cellStyle name="40% - 强调文字颜色 4 3 17 6 7" xfId="17823"/>
    <cellStyle name="40% - 强调文字颜色 4 3 17 6 8" xfId="17826"/>
    <cellStyle name="40% - 强调文字颜色 4 3 17 7" xfId="17827"/>
    <cellStyle name="40% - 强调文字颜色 4 3 17 8" xfId="17829"/>
    <cellStyle name="40% - 强调文字颜色 4 3 17 9" xfId="17830"/>
    <cellStyle name="40% - 强调文字颜色 4 3 17 9 2" xfId="1220"/>
    <cellStyle name="40% - 强调文字颜色 4 3 17 9 3" xfId="1231"/>
    <cellStyle name="40% - 强调文字颜色 4 3 18" xfId="17831"/>
    <cellStyle name="40% - 强调文字颜色 4 3 18 10" xfId="17834"/>
    <cellStyle name="40% - 强调文字颜色 4 3 18 11" xfId="17835"/>
    <cellStyle name="40% - 强调文字颜色 4 3 18 12" xfId="17836"/>
    <cellStyle name="40% - 强调文字颜色 4 3 18 13" xfId="17837"/>
    <cellStyle name="40% - 强调文字颜色 4 3 18 14" xfId="17840"/>
    <cellStyle name="40% - 强调文字颜色 4 3 18 2" xfId="2655"/>
    <cellStyle name="40% - 强调文字颜色 4 3 18 3" xfId="2672"/>
    <cellStyle name="40% - 强调文字颜色 4 3 18 4" xfId="3294"/>
    <cellStyle name="40% - 强调文字颜色 4 3 18 5" xfId="3874"/>
    <cellStyle name="40% - 强调文字颜色 4 3 18 5 10" xfId="17388"/>
    <cellStyle name="40% - 强调文字颜色 4 3 18 5 11" xfId="17393"/>
    <cellStyle name="40% - 强调文字颜色 4 3 18 5 2" xfId="17841"/>
    <cellStyle name="40% - 强调文字颜色 4 3 18 5 2 2" xfId="17846"/>
    <cellStyle name="40% - 强调文字颜色 4 3 18 5 2 2 2" xfId="17850"/>
    <cellStyle name="40% - 强调文字颜色 4 3 18 5 2 2 3" xfId="12688"/>
    <cellStyle name="40% - 强调文字颜色 4 3 18 5 2 3" xfId="17856"/>
    <cellStyle name="40% - 强调文字颜色 4 3 18 5 2 4" xfId="17863"/>
    <cellStyle name="40% - 强调文字颜色 4 3 18 5 2 5" xfId="17869"/>
    <cellStyle name="40% - 强调文字颜色 4 3 18 5 2 6" xfId="17871"/>
    <cellStyle name="40% - 强调文字颜色 4 3 18 5 2 7" xfId="17875"/>
    <cellStyle name="40% - 强调文字颜色 4 3 18 5 2 8" xfId="14789"/>
    <cellStyle name="40% - 强调文字颜色 4 3 18 5 3" xfId="17876"/>
    <cellStyle name="40% - 强调文字颜色 4 3 18 5 4" xfId="17878"/>
    <cellStyle name="40% - 强调文字颜色 4 3 18 5 5" xfId="15208"/>
    <cellStyle name="40% - 强调文字颜色 4 3 18 5 6" xfId="15134"/>
    <cellStyle name="40% - 强调文字颜色 4 3 18 5 6 2" xfId="17879"/>
    <cellStyle name="40% - 强调文字颜色 4 3 18 5 6 3" xfId="17881"/>
    <cellStyle name="40% - 强调文字颜色 4 3 18 5 7" xfId="8971"/>
    <cellStyle name="40% - 强调文字颜色 4 3 18 5 8" xfId="8976"/>
    <cellStyle name="40% - 强调文字颜色 4 3 18 5 9" xfId="8982"/>
    <cellStyle name="40% - 强调文字颜色 4 3 18 6" xfId="3880"/>
    <cellStyle name="40% - 强调文字颜色 4 3 18 6 2" xfId="7673"/>
    <cellStyle name="40% - 强调文字颜色 4 3 18 6 2 2" xfId="910"/>
    <cellStyle name="40% - 强调文字颜色 4 3 18 6 2 3" xfId="945"/>
    <cellStyle name="40% - 强调文字颜色 4 3 18 6 3" xfId="7678"/>
    <cellStyle name="40% - 强调文字颜色 4 3 18 6 4" xfId="9663"/>
    <cellStyle name="40% - 强调文字颜色 4 3 18 6 5" xfId="9676"/>
    <cellStyle name="40% - 强调文字颜色 4 3 18 6 6" xfId="17888"/>
    <cellStyle name="40% - 强调文字颜色 4 3 18 6 7" xfId="9068"/>
    <cellStyle name="40% - 强调文字颜色 4 3 18 6 8" xfId="9078"/>
    <cellStyle name="40% - 强调文字颜色 4 3 18 7" xfId="3888"/>
    <cellStyle name="40% - 强调文字颜色 4 3 18 8" xfId="17891"/>
    <cellStyle name="40% - 强调文字颜色 4 3 18 9" xfId="4566"/>
    <cellStyle name="40% - 强调文字颜色 4 3 18 9 2" xfId="17892"/>
    <cellStyle name="40% - 强调文字颜色 4 3 18 9 3" xfId="17893"/>
    <cellStyle name="40% - 强调文字颜色 4 3 19" xfId="17894"/>
    <cellStyle name="40% - 强调文字颜色 4 3 19 10" xfId="17895"/>
    <cellStyle name="40% - 强调文字颜色 4 3 19 11" xfId="17896"/>
    <cellStyle name="40% - 强调文字颜色 4 3 19 12" xfId="17899"/>
    <cellStyle name="40% - 强调文字颜色 4 3 19 13" xfId="17902"/>
    <cellStyle name="40% - 强调文字颜色 4 3 19 14" xfId="17903"/>
    <cellStyle name="40% - 强调文字颜色 4 3 19 2" xfId="3924"/>
    <cellStyle name="40% - 强调文字颜色 4 3 19 3" xfId="3929"/>
    <cellStyle name="40% - 强调文字颜色 4 3 19 4" xfId="4076"/>
    <cellStyle name="40% - 强调文字颜色 4 3 19 5" xfId="4105"/>
    <cellStyle name="40% - 强调文字颜色 4 3 19 5 10" xfId="13353"/>
    <cellStyle name="40% - 强调文字颜色 4 3 19 5 11" xfId="11886"/>
    <cellStyle name="40% - 强调文字颜色 4 3 19 5 2" xfId="17905"/>
    <cellStyle name="40% - 强调文字颜色 4 3 19 5 2 2" xfId="17907"/>
    <cellStyle name="40% - 强调文字颜色 4 3 19 5 2 2 2" xfId="17908"/>
    <cellStyle name="40% - 强调文字颜色 4 3 19 5 2 2 3" xfId="17909"/>
    <cellStyle name="40% - 强调文字颜色 4 3 19 5 2 3" xfId="17910"/>
    <cellStyle name="40% - 强调文字颜色 4 3 19 5 2 4" xfId="17911"/>
    <cellStyle name="40% - 强调文字颜色 4 3 19 5 2 5" xfId="17912"/>
    <cellStyle name="40% - 强调文字颜色 4 3 19 5 2 6" xfId="17913"/>
    <cellStyle name="40% - 强调文字颜色 4 3 19 5 2 7" xfId="17914"/>
    <cellStyle name="40% - 强调文字颜色 4 3 19 5 2 8" xfId="17915"/>
    <cellStyle name="40% - 强调文字颜色 4 3 19 5 3" xfId="17916"/>
    <cellStyle name="40% - 强调文字颜色 4 3 19 5 4" xfId="17918"/>
    <cellStyle name="40% - 强调文字颜色 4 3 19 5 5" xfId="17920"/>
    <cellStyle name="40% - 强调文字颜色 4 3 19 5 6" xfId="17922"/>
    <cellStyle name="40% - 强调文字颜色 4 3 19 5 6 2" xfId="17923"/>
    <cellStyle name="40% - 强调文字颜色 4 3 19 5 6 3" xfId="17924"/>
    <cellStyle name="40% - 强调文字颜色 4 3 19 5 7" xfId="9766"/>
    <cellStyle name="40% - 强调文字颜色 4 3 19 5 8" xfId="9770"/>
    <cellStyle name="40% - 强调文字颜色 4 3 19 5 9" xfId="305"/>
    <cellStyle name="40% - 强调文字颜色 4 3 19 6" xfId="4107"/>
    <cellStyle name="40% - 强调文字颜色 4 3 19 6 2" xfId="17925"/>
    <cellStyle name="40% - 强调文字颜色 4 3 19 6 2 2" xfId="9888"/>
    <cellStyle name="40% - 强调文字颜色 4 3 19 6 2 3" xfId="9890"/>
    <cellStyle name="40% - 强调文字颜色 4 3 19 6 3" xfId="17929"/>
    <cellStyle name="40% - 强调文字颜色 4 3 19 6 4" xfId="17934"/>
    <cellStyle name="40% - 强调文字颜色 4 3 19 6 5" xfId="17936"/>
    <cellStyle name="40% - 强调文字颜色 4 3 19 6 6" xfId="17937"/>
    <cellStyle name="40% - 强调文字颜色 4 3 19 6 7" xfId="9815"/>
    <cellStyle name="40% - 强调文字颜色 4 3 19 6 8" xfId="9821"/>
    <cellStyle name="40% - 强调文字颜色 4 3 19 7" xfId="3749"/>
    <cellStyle name="40% - 强调文字颜色 4 3 19 8" xfId="17938"/>
    <cellStyle name="40% - 强调文字颜色 4 3 19 9" xfId="17939"/>
    <cellStyle name="40% - 强调文字颜色 4 3 19 9 2" xfId="463"/>
    <cellStyle name="40% - 强调文字颜色 4 3 19 9 3" xfId="17940"/>
    <cellStyle name="40% - 强调文字颜色 4 3 2" xfId="17941"/>
    <cellStyle name="40% - 强调文字颜色 4 3 2 10" xfId="2359"/>
    <cellStyle name="40% - 强调文字颜色 4 3 2 11" xfId="2362"/>
    <cellStyle name="40% - 强调文字颜色 4 3 2 12" xfId="2367"/>
    <cellStyle name="40% - 强调文字颜色 4 3 2 13" xfId="2389"/>
    <cellStyle name="40% - 强调文字颜色 4 3 2 14" xfId="2622"/>
    <cellStyle name="40% - 强调文字颜色 4 3 2 2" xfId="17944"/>
    <cellStyle name="40% - 强调文字颜色 4 3 2 3" xfId="10328"/>
    <cellStyle name="40% - 强调文字颜色 4 3 2 4" xfId="10334"/>
    <cellStyle name="40% - 强调文字颜色 4 3 2 5" xfId="10339"/>
    <cellStyle name="40% - 强调文字颜色 4 3 2 6" xfId="12129"/>
    <cellStyle name="40% - 强调文字颜色 4 3 2 7" xfId="12132"/>
    <cellStyle name="40% - 强调文字颜色 4 3 2 8" xfId="12136"/>
    <cellStyle name="40% - 强调文字颜色 4 3 2 9" xfId="12140"/>
    <cellStyle name="40% - 强调文字颜色 4 3 20" xfId="17778"/>
    <cellStyle name="40% - 强调文字颜色 4 3 20 10" xfId="17945"/>
    <cellStyle name="40% - 强调文字颜色 4 3 20 11" xfId="17948"/>
    <cellStyle name="40% - 强调文字颜色 4 3 20 12" xfId="17950"/>
    <cellStyle name="40% - 强调文字颜色 4 3 20 13" xfId="17953"/>
    <cellStyle name="40% - 强调文字颜色 4 3 20 14" xfId="3300"/>
    <cellStyle name="40% - 强调文字颜色 4 3 20 2" xfId="17477"/>
    <cellStyle name="40% - 强调文字颜色 4 3 20 3" xfId="17955"/>
    <cellStyle name="40% - 强调文字颜色 4 3 20 4" xfId="17957"/>
    <cellStyle name="40% - 强调文字颜色 4 3 20 5" xfId="17958"/>
    <cellStyle name="40% - 强调文字颜色 4 3 20 5 10" xfId="12721"/>
    <cellStyle name="40% - 强调文字颜色 4 3 20 5 11" xfId="12728"/>
    <cellStyle name="40% - 强调文字颜色 4 3 20 5 2" xfId="16979"/>
    <cellStyle name="40% - 强调文字颜色 4 3 20 5 2 2" xfId="17693"/>
    <cellStyle name="40% - 强调文字颜色 4 3 20 5 2 2 2" xfId="17960"/>
    <cellStyle name="40% - 强调文字颜色 4 3 20 5 2 2 3" xfId="17961"/>
    <cellStyle name="40% - 强调文字颜色 4 3 20 5 2 3" xfId="1492"/>
    <cellStyle name="40% - 强调文字颜色 4 3 20 5 2 4" xfId="237"/>
    <cellStyle name="40% - 强调文字颜色 4 3 20 5 2 5" xfId="1533"/>
    <cellStyle name="40% - 强调文字颜色 4 3 20 5 2 6" xfId="1540"/>
    <cellStyle name="40% - 强调文字颜色 4 3 20 5 2 7" xfId="1547"/>
    <cellStyle name="40% - 强调文字颜色 4 3 20 5 2 8" xfId="1558"/>
    <cellStyle name="40% - 强调文字颜色 4 3 20 5 3" xfId="16982"/>
    <cellStyle name="40% - 强调文字颜色 4 3 20 5 4" xfId="16985"/>
    <cellStyle name="40% - 强调文字颜色 4 3 20 5 5" xfId="16987"/>
    <cellStyle name="40% - 强调文字颜色 4 3 20 5 6" xfId="17962"/>
    <cellStyle name="40% - 强调文字颜色 4 3 20 5 6 2" xfId="17963"/>
    <cellStyle name="40% - 强调文字颜色 4 3 20 5 6 3" xfId="1629"/>
    <cellStyle name="40% - 强调文字颜色 4 3 20 5 7" xfId="17964"/>
    <cellStyle name="40% - 强调文字颜色 4 3 20 5 8" xfId="17965"/>
    <cellStyle name="40% - 强调文字颜色 4 3 20 5 9" xfId="17966"/>
    <cellStyle name="40% - 强调文字颜色 4 3 20 6" xfId="17967"/>
    <cellStyle name="40% - 强调文字颜色 4 3 20 6 2" xfId="17969"/>
    <cellStyle name="40% - 强调文字颜色 4 3 20 6 2 2" xfId="17971"/>
    <cellStyle name="40% - 强调文字颜色 4 3 20 6 2 3" xfId="1715"/>
    <cellStyle name="40% - 强调文字颜色 4 3 20 6 3" xfId="17973"/>
    <cellStyle name="40% - 强调文字颜色 4 3 20 6 4" xfId="17974"/>
    <cellStyle name="40% - 强调文字颜色 4 3 20 6 5" xfId="17976"/>
    <cellStyle name="40% - 强调文字颜色 4 3 20 6 6" xfId="17978"/>
    <cellStyle name="40% - 强调文字颜色 4 3 20 6 7" xfId="17979"/>
    <cellStyle name="40% - 强调文字颜色 4 3 20 6 8" xfId="15721"/>
    <cellStyle name="40% - 强调文字颜色 4 3 20 7" xfId="17980"/>
    <cellStyle name="40% - 强调文字颜色 4 3 20 8" xfId="17982"/>
    <cellStyle name="40% - 强调文字颜色 4 3 20 9" xfId="17984"/>
    <cellStyle name="40% - 强调文字颜色 4 3 20 9 2" xfId="17986"/>
    <cellStyle name="40% - 强调文字颜色 4 3 20 9 3" xfId="811"/>
    <cellStyle name="40% - 强调文字颜色 4 3 3" xfId="17987"/>
    <cellStyle name="40% - 强调文字颜色 4 3 3 10" xfId="16564"/>
    <cellStyle name="40% - 强调文字颜色 4 3 3 11" xfId="16566"/>
    <cellStyle name="40% - 强调文字颜色 4 3 3 12" xfId="16573"/>
    <cellStyle name="40% - 强调文字颜色 4 3 3 13" xfId="16576"/>
    <cellStyle name="40% - 强调文字颜色 4 3 3 14" xfId="16579"/>
    <cellStyle name="40% - 强调文字颜色 4 3 3 2" xfId="17988"/>
    <cellStyle name="40% - 强调文字颜色 4 3 3 3" xfId="17990"/>
    <cellStyle name="40% - 强调文字颜色 4 3 3 4" xfId="17992"/>
    <cellStyle name="40% - 强调文字颜色 4 3 3 5" xfId="17998"/>
    <cellStyle name="40% - 强调文字颜色 4 3 3 6" xfId="18001"/>
    <cellStyle name="40% - 强调文字颜色 4 3 3 7" xfId="18004"/>
    <cellStyle name="40% - 强调文字颜色 4 3 3 8" xfId="18007"/>
    <cellStyle name="40% - 强调文字颜色 4 3 3 9" xfId="18010"/>
    <cellStyle name="40% - 强调文字颜色 4 3 4" xfId="15784"/>
    <cellStyle name="40% - 强调文字颜色 4 3 4 10" xfId="18011"/>
    <cellStyle name="40% - 强调文字颜色 4 3 4 11" xfId="18012"/>
    <cellStyle name="40% - 强调文字颜色 4 3 4 12" xfId="9542"/>
    <cellStyle name="40% - 强调文字颜色 4 3 4 13" xfId="9547"/>
    <cellStyle name="40% - 强调文字颜色 4 3 4 14" xfId="9552"/>
    <cellStyle name="40% - 强调文字颜色 4 3 4 2" xfId="13250"/>
    <cellStyle name="40% - 强调文字颜色 4 3 4 3" xfId="18015"/>
    <cellStyle name="40% - 强调文字颜色 4 3 4 4" xfId="18016"/>
    <cellStyle name="40% - 强调文字颜色 4 3 4 5" xfId="18017"/>
    <cellStyle name="40% - 强调文字颜色 4 3 4 6" xfId="18020"/>
    <cellStyle name="40% - 强调文字颜色 4 3 4 7" xfId="6973"/>
    <cellStyle name="40% - 强调文字颜色 4 3 4 8" xfId="6979"/>
    <cellStyle name="40% - 强调文字颜色 4 3 4 9" xfId="6987"/>
    <cellStyle name="40% - 强调文字颜色 4 3 5" xfId="15786"/>
    <cellStyle name="40% - 强调文字颜色 4 3 6" xfId="18024"/>
    <cellStyle name="40% - 强调文字颜色 4 3 7" xfId="18026"/>
    <cellStyle name="40% - 强调文字颜色 4 3 8" xfId="18027"/>
    <cellStyle name="40% - 强调文字颜色 4 3 9" xfId="18028"/>
    <cellStyle name="40% - 强调文字颜色 4 4" xfId="18031"/>
    <cellStyle name="40% - 强调文字颜色 4 4 10" xfId="18033"/>
    <cellStyle name="40% - 强调文字颜色 4 4 11" xfId="18035"/>
    <cellStyle name="40% - 强调文字颜色 4 4 12" xfId="18037"/>
    <cellStyle name="40% - 强调文字颜色 4 4 13" xfId="18039"/>
    <cellStyle name="40% - 强调文字颜色 4 4 14" xfId="18041"/>
    <cellStyle name="40% - 强调文字颜色 4 4 15" xfId="18044"/>
    <cellStyle name="40% - 强调文字颜色 4 4 16" xfId="18045"/>
    <cellStyle name="40% - 强调文字颜色 4 4 17" xfId="18046"/>
    <cellStyle name="40% - 强调文字颜色 4 4 17 10" xfId="18048"/>
    <cellStyle name="40% - 强调文字颜色 4 4 17 11" xfId="18052"/>
    <cellStyle name="40% - 强调文字颜色 4 4 17 12" xfId="18055"/>
    <cellStyle name="40% - 强调文字颜色 4 4 17 13" xfId="18056"/>
    <cellStyle name="40% - 强调文字颜色 4 4 17 14" xfId="18057"/>
    <cellStyle name="40% - 强调文字颜色 4 4 17 2" xfId="18060"/>
    <cellStyle name="40% - 强调文字颜色 4 4 17 3" xfId="18062"/>
    <cellStyle name="40% - 强调文字颜色 4 4 17 4" xfId="9970"/>
    <cellStyle name="40% - 强调文字颜色 4 4 17 5" xfId="9973"/>
    <cellStyle name="40% - 强调文字颜色 4 4 17 5 10" xfId="18064"/>
    <cellStyle name="40% - 强调文字颜色 4 4 17 5 11" xfId="18065"/>
    <cellStyle name="40% - 强调文字颜色 4 4 17 5 2" xfId="18066"/>
    <cellStyle name="40% - 强调文字颜色 4 4 17 5 2 2" xfId="16951"/>
    <cellStyle name="40% - 强调文字颜色 4 4 17 5 2 2 2" xfId="16957"/>
    <cellStyle name="40% - 强调文字颜色 4 4 17 5 2 2 3" xfId="16959"/>
    <cellStyle name="40% - 强调文字颜色 4 4 17 5 2 3" xfId="5914"/>
    <cellStyle name="40% - 强调文字颜色 4 4 17 5 2 4" xfId="5928"/>
    <cellStyle name="40% - 强调文字颜色 4 4 17 5 2 5" xfId="690"/>
    <cellStyle name="40% - 强调文字颜色 4 4 17 5 2 6" xfId="721"/>
    <cellStyle name="40% - 强调文字颜色 4 4 17 5 2 7" xfId="750"/>
    <cellStyle name="40% - 强调文字颜色 4 4 17 5 2 8" xfId="1276"/>
    <cellStyle name="40% - 强调文字颜色 4 4 17 5 3" xfId="18068"/>
    <cellStyle name="40% - 强调文字颜色 4 4 17 5 4" xfId="18069"/>
    <cellStyle name="40% - 强调文字颜色 4 4 17 5 5" xfId="18070"/>
    <cellStyle name="40% - 强调文字颜色 4 4 17 5 6" xfId="18072"/>
    <cellStyle name="40% - 强调文字颜色 4 4 17 5 6 2" xfId="18074"/>
    <cellStyle name="40% - 强调文字颜色 4 4 17 5 6 3" xfId="2285"/>
    <cellStyle name="40% - 强调文字颜色 4 4 17 5 7" xfId="11688"/>
    <cellStyle name="40% - 强调文字颜色 4 4 17 5 8" xfId="11691"/>
    <cellStyle name="40% - 强调文字颜色 4 4 17 5 9" xfId="11694"/>
    <cellStyle name="40% - 强调文字颜色 4 4 17 6" xfId="6911"/>
    <cellStyle name="40% - 强调文字颜色 4 4 17 6 2" xfId="8230"/>
    <cellStyle name="40% - 强调文字颜色 4 4 17 6 2 2" xfId="18075"/>
    <cellStyle name="40% - 强调文字颜色 4 4 17 6 2 3" xfId="5969"/>
    <cellStyle name="40% - 强调文字颜色 4 4 17 6 3" xfId="18080"/>
    <cellStyle name="40% - 强调文字颜色 4 4 17 6 4" xfId="18084"/>
    <cellStyle name="40% - 强调文字颜色 4 4 17 6 5" xfId="18087"/>
    <cellStyle name="40% - 强调文字颜色 4 4 17 6 6" xfId="18090"/>
    <cellStyle name="40% - 强调文字颜色 4 4 17 6 7" xfId="18093"/>
    <cellStyle name="40% - 强调文字颜色 4 4 17 6 8" xfId="18094"/>
    <cellStyle name="40% - 强调文字颜色 4 4 17 7" xfId="6920"/>
    <cellStyle name="40% - 强调文字颜色 4 4 17 8" xfId="6928"/>
    <cellStyle name="40% - 强调文字颜色 4 4 17 9" xfId="4957"/>
    <cellStyle name="40% - 强调文字颜色 4 4 17 9 2" xfId="18096"/>
    <cellStyle name="40% - 强调文字颜色 4 4 17 9 3" xfId="18098"/>
    <cellStyle name="40% - 强调文字颜色 4 4 18" xfId="18100"/>
    <cellStyle name="40% - 强调文字颜色 4 4 18 10" xfId="18101"/>
    <cellStyle name="40% - 强调文字颜色 4 4 18 11" xfId="18102"/>
    <cellStyle name="40% - 强调文字颜色 4 4 18 12" xfId="18104"/>
    <cellStyle name="40% - 强调文字颜色 4 4 18 13" xfId="18106"/>
    <cellStyle name="40% - 强调文字颜色 4 4 18 14" xfId="18109"/>
    <cellStyle name="40% - 强调文字颜色 4 4 18 2" xfId="4266"/>
    <cellStyle name="40% - 强调文字颜色 4 4 18 3" xfId="4277"/>
    <cellStyle name="40% - 强调文字颜色 4 4 18 4" xfId="4294"/>
    <cellStyle name="40% - 强调文字颜色 4 4 18 5" xfId="3952"/>
    <cellStyle name="40% - 强调文字颜色 4 4 18 5 10" xfId="6010"/>
    <cellStyle name="40% - 强调文字颜色 4 4 18 5 11" xfId="18113"/>
    <cellStyle name="40% - 强调文字颜色 4 4 18 5 2" xfId="18116"/>
    <cellStyle name="40% - 强调文字颜色 4 4 18 5 2 2" xfId="18118"/>
    <cellStyle name="40% - 强调文字颜色 4 4 18 5 2 2 2" xfId="18119"/>
    <cellStyle name="40% - 强调文字颜色 4 4 18 5 2 2 3" xfId="18120"/>
    <cellStyle name="40% - 强调文字颜色 4 4 18 5 2 3" xfId="18121"/>
    <cellStyle name="40% - 强调文字颜色 4 4 18 5 2 4" xfId="18122"/>
    <cellStyle name="40% - 强调文字颜色 4 4 18 5 2 5" xfId="17286"/>
    <cellStyle name="40% - 强调文字颜色 4 4 18 5 2 6" xfId="17289"/>
    <cellStyle name="40% - 强调文字颜色 4 4 18 5 2 7" xfId="2659"/>
    <cellStyle name="40% - 强调文字颜色 4 4 18 5 2 8" xfId="3277"/>
    <cellStyle name="40% - 强调文字颜色 4 4 18 5 3" xfId="18123"/>
    <cellStyle name="40% - 强调文字颜色 4 4 18 5 4" xfId="18125"/>
    <cellStyle name="40% - 强调文字颜色 4 4 18 5 5" xfId="18127"/>
    <cellStyle name="40% - 强调文字颜色 4 4 18 5 6" xfId="18129"/>
    <cellStyle name="40% - 强调文字颜色 4 4 18 5 6 2" xfId="18132"/>
    <cellStyle name="40% - 强调文字颜色 4 4 18 5 6 3" xfId="18135"/>
    <cellStyle name="40% - 强调文字颜色 4 4 18 5 7" xfId="18138"/>
    <cellStyle name="40% - 强调文字颜色 4 4 18 5 8" xfId="18141"/>
    <cellStyle name="40% - 强调文字颜色 4 4 18 5 9" xfId="18144"/>
    <cellStyle name="40% - 强调文字颜色 4 4 18 6" xfId="3971"/>
    <cellStyle name="40% - 强调文字颜色 4 4 18 6 2" xfId="16312"/>
    <cellStyle name="40% - 强调文字颜色 4 4 18 6 2 2" xfId="18147"/>
    <cellStyle name="40% - 强调文字颜色 4 4 18 6 2 3" xfId="18149"/>
    <cellStyle name="40% - 强调文字颜色 4 4 18 6 3" xfId="16317"/>
    <cellStyle name="40% - 强调文字颜色 4 4 18 6 4" xfId="16322"/>
    <cellStyle name="40% - 强调文字颜色 4 4 18 6 5" xfId="16325"/>
    <cellStyle name="40% - 强调文字颜色 4 4 18 6 6" xfId="16328"/>
    <cellStyle name="40% - 强调文字颜色 4 4 18 6 7" xfId="18151"/>
    <cellStyle name="40% - 强调文字颜色 4 4 18 6 8" xfId="18154"/>
    <cellStyle name="40% - 强调文字颜色 4 4 18 7" xfId="4899"/>
    <cellStyle name="40% - 强调文字颜色 4 4 18 8" xfId="18156"/>
    <cellStyle name="40% - 强调文字颜色 4 4 18 9" xfId="18158"/>
    <cellStyle name="40% - 强调文字颜色 4 4 18 9 2" xfId="18159"/>
    <cellStyle name="40% - 强调文字颜色 4 4 18 9 3" xfId="18161"/>
    <cellStyle name="40% - 强调文字颜色 4 4 19" xfId="18164"/>
    <cellStyle name="40% - 强调文字颜色 4 4 19 10" xfId="18166"/>
    <cellStyle name="40% - 强调文字颜色 4 4 19 11" xfId="18167"/>
    <cellStyle name="40% - 强调文字颜色 4 4 19 12" xfId="18169"/>
    <cellStyle name="40% - 强调文字颜色 4 4 19 13" xfId="18171"/>
    <cellStyle name="40% - 强调文字颜色 4 4 19 14" xfId="18172"/>
    <cellStyle name="40% - 强调文字颜色 4 4 19 2" xfId="4398"/>
    <cellStyle name="40% - 强调文字颜色 4 4 19 3" xfId="4409"/>
    <cellStyle name="40% - 强调文字颜色 4 4 19 4" xfId="2923"/>
    <cellStyle name="40% - 强调文字颜色 4 4 19 5" xfId="2950"/>
    <cellStyle name="40% - 强调文字颜色 4 4 19 5 10" xfId="18173"/>
    <cellStyle name="40% - 强调文字颜色 4 4 19 5 11" xfId="18174"/>
    <cellStyle name="40% - 强调文字颜色 4 4 19 5 2" xfId="18176"/>
    <cellStyle name="40% - 强调文字颜色 4 4 19 5 2 2" xfId="18178"/>
    <cellStyle name="40% - 强调文字颜色 4 4 19 5 2 2 2" xfId="18179"/>
    <cellStyle name="40% - 强调文字颜色 4 4 19 5 2 2 3" xfId="18180"/>
    <cellStyle name="40% - 强调文字颜色 4 4 19 5 2 3" xfId="18181"/>
    <cellStyle name="40% - 强调文字颜色 4 4 19 5 2 4" xfId="18182"/>
    <cellStyle name="40% - 强调文字颜色 4 4 19 5 2 5" xfId="17411"/>
    <cellStyle name="40% - 强调文字颜色 4 4 19 5 2 6" xfId="17414"/>
    <cellStyle name="40% - 强调文字颜色 4 4 19 5 2 7" xfId="18183"/>
    <cellStyle name="40% - 强调文字颜色 4 4 19 5 2 8" xfId="18184"/>
    <cellStyle name="40% - 强调文字颜色 4 4 19 5 3" xfId="18185"/>
    <cellStyle name="40% - 强调文字颜色 4 4 19 5 4" xfId="18186"/>
    <cellStyle name="40% - 强调文字颜色 4 4 19 5 5" xfId="18187"/>
    <cellStyle name="40% - 强调文字颜色 4 4 19 5 6" xfId="3267"/>
    <cellStyle name="40% - 强调文字颜色 4 4 19 5 6 2" xfId="18190"/>
    <cellStyle name="40% - 强调文字颜色 4 4 19 5 6 3" xfId="18192"/>
    <cellStyle name="40% - 强调文字颜色 4 4 19 5 7" xfId="3413"/>
    <cellStyle name="40% - 强调文字颜色 4 4 19 5 8" xfId="3414"/>
    <cellStyle name="40% - 强调文字颜色 4 4 19 5 9" xfId="3418"/>
    <cellStyle name="40% - 强调文字颜色 4 4 19 6" xfId="2963"/>
    <cellStyle name="40% - 强调文字颜色 4 4 19 6 2" xfId="13702"/>
    <cellStyle name="40% - 强调文字颜色 4 4 19 6 2 2" xfId="18193"/>
    <cellStyle name="40% - 强调文字颜色 4 4 19 6 2 3" xfId="18194"/>
    <cellStyle name="40% - 强调文字颜色 4 4 19 6 3" xfId="13705"/>
    <cellStyle name="40% - 强调文字颜色 4 4 19 6 4" xfId="13708"/>
    <cellStyle name="40% - 强调文字颜色 4 4 19 6 5" xfId="13711"/>
    <cellStyle name="40% - 强调文字颜色 4 4 19 6 6" xfId="13717"/>
    <cellStyle name="40% - 强调文字颜色 4 4 19 6 7" xfId="11377"/>
    <cellStyle name="40% - 强调文字颜色 4 4 19 6 8" xfId="11387"/>
    <cellStyle name="40% - 强调文字颜色 4 4 19 7" xfId="2986"/>
    <cellStyle name="40% - 强调文字颜色 4 4 19 8" xfId="18195"/>
    <cellStyle name="40% - 强调文字颜色 4 4 19 9" xfId="18196"/>
    <cellStyle name="40% - 强调文字颜色 4 4 19 9 2" xfId="18197"/>
    <cellStyle name="40% - 强调文字颜色 4 4 19 9 3" xfId="18199"/>
    <cellStyle name="40% - 强调文字颜色 4 4 2" xfId="18200"/>
    <cellStyle name="40% - 强调文字颜色 4 4 20" xfId="18043"/>
    <cellStyle name="40% - 强调文字颜色 4 4 20 10" xfId="18202"/>
    <cellStyle name="40% - 强调文字颜色 4 4 20 11" xfId="18203"/>
    <cellStyle name="40% - 强调文字颜色 4 4 20 12" xfId="16027"/>
    <cellStyle name="40% - 强调文字颜色 4 4 20 13" xfId="16029"/>
    <cellStyle name="40% - 强调文字颜色 4 4 20 14" xfId="14576"/>
    <cellStyle name="40% - 强调文字颜色 4 4 20 2" xfId="18205"/>
    <cellStyle name="40% - 强调文字颜色 4 4 20 3" xfId="18208"/>
    <cellStyle name="40% - 强调文字颜色 4 4 20 4" xfId="18212"/>
    <cellStyle name="40% - 强调文字颜色 4 4 20 5" xfId="18218"/>
    <cellStyle name="40% - 强调文字颜色 4 4 20 5 10" xfId="18220"/>
    <cellStyle name="40% - 强调文字颜色 4 4 20 5 11" xfId="18222"/>
    <cellStyle name="40% - 强调文字颜色 4 4 20 5 2" xfId="18225"/>
    <cellStyle name="40% - 强调文字颜色 4 4 20 5 2 2" xfId="18227"/>
    <cellStyle name="40% - 强调文字颜色 4 4 20 5 2 2 2" xfId="6708"/>
    <cellStyle name="40% - 强调文字颜色 4 4 20 5 2 2 3" xfId="6713"/>
    <cellStyle name="40% - 强调文字颜色 4 4 20 5 2 3" xfId="5376"/>
    <cellStyle name="40% - 强调文字颜色 4 4 20 5 2 4" xfId="5396"/>
    <cellStyle name="40% - 强调文字颜色 4 4 20 5 2 5" xfId="1697"/>
    <cellStyle name="40% - 强调文字颜色 4 4 20 5 2 6" xfId="1750"/>
    <cellStyle name="40% - 强调文字颜色 4 4 20 5 2 7" xfId="1760"/>
    <cellStyle name="40% - 强调文字颜色 4 4 20 5 2 8" xfId="1770"/>
    <cellStyle name="40% - 强调文字颜色 4 4 20 5 3" xfId="18230"/>
    <cellStyle name="40% - 强调文字颜色 4 4 20 5 4" xfId="18233"/>
    <cellStyle name="40% - 强调文字颜色 4 4 20 5 5" xfId="3379"/>
    <cellStyle name="40% - 强调文字颜色 4 4 20 5 6" xfId="3387"/>
    <cellStyle name="40% - 强调文字颜色 4 4 20 5 6 2" xfId="3404"/>
    <cellStyle name="40% - 强调文字颜色 4 4 20 5 6 3" xfId="1442"/>
    <cellStyle name="40% - 强调文字颜色 4 4 20 5 7" xfId="12859"/>
    <cellStyle name="40% - 强调文字颜色 4 4 20 5 8" xfId="12861"/>
    <cellStyle name="40% - 强调文字颜色 4 4 20 5 9" xfId="12864"/>
    <cellStyle name="40% - 强调文字颜色 4 4 20 6" xfId="18238"/>
    <cellStyle name="40% - 强调文字颜色 4 4 20 6 2" xfId="18239"/>
    <cellStyle name="40% - 强调文字颜色 4 4 20 6 2 2" xfId="10280"/>
    <cellStyle name="40% - 强调文字颜色 4 4 20 6 2 3" xfId="5513"/>
    <cellStyle name="40% - 强调文字颜色 4 4 20 6 3" xfId="18242"/>
    <cellStyle name="40% - 强调文字颜色 4 4 20 6 4" xfId="18245"/>
    <cellStyle name="40% - 强调文字颜色 4 4 20 6 5" xfId="18247"/>
    <cellStyle name="40% - 强调文字颜色 4 4 20 6 6" xfId="18249"/>
    <cellStyle name="40% - 强调文字颜色 4 4 20 6 7" xfId="18251"/>
    <cellStyle name="40% - 强调文字颜色 4 4 20 6 8" xfId="1711"/>
    <cellStyle name="40% - 强调文字颜色 4 4 20 7" xfId="18256"/>
    <cellStyle name="40% - 强调文字颜色 4 4 20 8" xfId="18261"/>
    <cellStyle name="40% - 强调文字颜色 4 4 20 9" xfId="18265"/>
    <cellStyle name="40% - 强调文字颜色 4 4 20 9 2" xfId="5611"/>
    <cellStyle name="40% - 强调文字颜色 4 4 20 9 3" xfId="3937"/>
    <cellStyle name="40% - 强调文字颜色 4 4 3" xfId="18266"/>
    <cellStyle name="40% - 强调文字颜色 4 4 4" xfId="18267"/>
    <cellStyle name="40% - 强调文字颜色 4 4 5" xfId="18268"/>
    <cellStyle name="40% - 强调文字颜色 4 4 6" xfId="18269"/>
    <cellStyle name="40% - 强调文字颜色 4 4 7" xfId="9297"/>
    <cellStyle name="40% - 强调文字颜色 4 4 8" xfId="9304"/>
    <cellStyle name="40% - 强调文字颜色 4 4 9" xfId="9324"/>
    <cellStyle name="40% - 强调文字颜色 4 5" xfId="18270"/>
    <cellStyle name="40% - 强调文字颜色 4 5 10" xfId="18273"/>
    <cellStyle name="40% - 强调文字颜色 4 5 11" xfId="18277"/>
    <cellStyle name="40% - 强调文字颜色 4 5 12" xfId="18281"/>
    <cellStyle name="40% - 强调文字颜色 4 5 13" xfId="18286"/>
    <cellStyle name="40% - 强调文字颜色 4 5 14" xfId="18291"/>
    <cellStyle name="40% - 强调文字颜色 4 5 2" xfId="18292"/>
    <cellStyle name="40% - 强调文字颜色 4 5 3" xfId="18293"/>
    <cellStyle name="40% - 强调文字颜色 4 5 4" xfId="18295"/>
    <cellStyle name="40% - 强调文字颜色 4 5 5" xfId="18297"/>
    <cellStyle name="40% - 强调文字颜色 4 5 6" xfId="9375"/>
    <cellStyle name="40% - 强调文字颜色 4 5 7" xfId="9385"/>
    <cellStyle name="40% - 强调文字颜色 4 5 8" xfId="9401"/>
    <cellStyle name="40% - 强调文字颜色 4 5 9" xfId="18298"/>
    <cellStyle name="40% - 强调文字颜色 4 6" xfId="18301"/>
    <cellStyle name="40% - 强调文字颜色 4 6 10" xfId="6570"/>
    <cellStyle name="40% - 强调文字颜色 4 6 11" xfId="18303"/>
    <cellStyle name="40% - 强调文字颜色 4 6 12" xfId="18307"/>
    <cellStyle name="40% - 强调文字颜色 4 6 13" xfId="18311"/>
    <cellStyle name="40% - 强调文字颜色 4 6 14" xfId="18315"/>
    <cellStyle name="40% - 强调文字颜色 4 6 2" xfId="1947"/>
    <cellStyle name="40% - 强调文字颜色 4 6 3" xfId="18316"/>
    <cellStyle name="40% - 强调文字颜色 4 6 4" xfId="18317"/>
    <cellStyle name="40% - 强调文字颜色 4 6 5" xfId="18318"/>
    <cellStyle name="40% - 强调文字颜色 4 6 6" xfId="18319"/>
    <cellStyle name="40% - 强调文字颜色 4 6 7" xfId="7837"/>
    <cellStyle name="40% - 强调文字颜色 4 6 8" xfId="7849"/>
    <cellStyle name="40% - 强调文字颜色 4 6 9" xfId="7860"/>
    <cellStyle name="40% - 强调文字颜色 4 7" xfId="7023"/>
    <cellStyle name="40% - 强调文字颜色 4 8" xfId="7031"/>
    <cellStyle name="40% - 强调文字颜色 4 9" xfId="7044"/>
    <cellStyle name="40% - 强调文字颜色 5 10" xfId="12543"/>
    <cellStyle name="40% - 强调文字颜色 5 11" xfId="5732"/>
    <cellStyle name="40% - 强调文字颜色 5 12" xfId="18320"/>
    <cellStyle name="40% - 强调文字颜色 5 12 10" xfId="5107"/>
    <cellStyle name="40% - 强调文字颜色 5 12 11" xfId="5114"/>
    <cellStyle name="40% - 强调文字颜色 5 12 12" xfId="18323"/>
    <cellStyle name="40% - 强调文字颜色 5 12 13" xfId="18327"/>
    <cellStyle name="40% - 强调文字颜色 5 12 14" xfId="18330"/>
    <cellStyle name="40% - 强调文字颜色 5 12 2" xfId="17917"/>
    <cellStyle name="40% - 强调文字颜色 5 12 3" xfId="17919"/>
    <cellStyle name="40% - 强调文字颜色 5 12 4" xfId="17921"/>
    <cellStyle name="40% - 强调文字颜色 5 12 5" xfId="9765"/>
    <cellStyle name="40% - 强调文字颜色 5 12 5 10" xfId="18334"/>
    <cellStyle name="40% - 强调文字颜色 5 12 5 11" xfId="18338"/>
    <cellStyle name="40% - 强调文字颜色 5 12 5 2" xfId="18345"/>
    <cellStyle name="40% - 强调文字颜色 5 12 5 2 2" xfId="2759"/>
    <cellStyle name="40% - 强调文字颜色 5 12 5 2 2 2" xfId="2775"/>
    <cellStyle name="40% - 强调文字颜色 5 12 5 2 2 3" xfId="2783"/>
    <cellStyle name="40% - 强调文字颜色 5 12 5 2 3" xfId="7202"/>
    <cellStyle name="40% - 强调文字颜色 5 12 5 2 4" xfId="18349"/>
    <cellStyle name="40% - 强调文字颜色 5 12 5 2 5" xfId="18353"/>
    <cellStyle name="40% - 强调文字颜色 5 12 5 2 6" xfId="18355"/>
    <cellStyle name="40% - 强调文字颜色 5 12 5 2 7" xfId="18357"/>
    <cellStyle name="40% - 强调文字颜色 5 12 5 2 8" xfId="345"/>
    <cellStyle name="40% - 强调文字颜色 5 12 5 3" xfId="18359"/>
    <cellStyle name="40% - 强调文字颜色 5 12 5 4" xfId="18361"/>
    <cellStyle name="40% - 强调文字颜色 5 12 5 5" xfId="6916"/>
    <cellStyle name="40% - 强调文字颜色 5 12 5 6" xfId="6924"/>
    <cellStyle name="40% - 强调文字颜色 5 12 5 6 2" xfId="18364"/>
    <cellStyle name="40% - 强调文字颜色 5 12 5 6 3" xfId="18366"/>
    <cellStyle name="40% - 强调文字颜色 5 12 5 7" xfId="6933"/>
    <cellStyle name="40% - 强调文字颜色 5 12 5 8" xfId="4965"/>
    <cellStyle name="40% - 强调文字颜色 5 12 5 9" xfId="4984"/>
    <cellStyle name="40% - 强调文字颜色 5 12 6" xfId="9769"/>
    <cellStyle name="40% - 强调文字颜色 5 12 6 2" xfId="4283"/>
    <cellStyle name="40% - 强调文字颜色 5 12 6 2 2" xfId="16718"/>
    <cellStyle name="40% - 强调文字颜色 5 12 6 2 3" xfId="16723"/>
    <cellStyle name="40% - 强调文字颜色 5 12 6 3" xfId="4290"/>
    <cellStyle name="40% - 强调文字颜色 5 12 6 4" xfId="3948"/>
    <cellStyle name="40% - 强调文字颜色 5 12 6 5" xfId="3968"/>
    <cellStyle name="40% - 强调文字颜色 5 12 6 6" xfId="4905"/>
    <cellStyle name="40% - 强调文字颜色 5 12 6 7" xfId="5207"/>
    <cellStyle name="40% - 强调文字颜色 5 12 6 8" xfId="18371"/>
    <cellStyle name="40% - 强调文字颜色 5 12 7" xfId="304"/>
    <cellStyle name="40% - 强调文字颜色 5 12 8" xfId="7077"/>
    <cellStyle name="40% - 强调文字颜色 5 12 9" xfId="7085"/>
    <cellStyle name="40% - 强调文字颜色 5 12 9 2" xfId="12814"/>
    <cellStyle name="40% - 强调文字颜色 5 12 9 3" xfId="12816"/>
    <cellStyle name="40% - 强调文字颜色 5 13" xfId="18373"/>
    <cellStyle name="40% - 强调文字颜色 5 14" xfId="18375"/>
    <cellStyle name="40% - 强调文字颜色 5 15" xfId="18377"/>
    <cellStyle name="40% - 强调文字颜色 5 16" xfId="18379"/>
    <cellStyle name="40% - 强调文字颜色 5 16 10" xfId="18381"/>
    <cellStyle name="40% - 强调文字颜色 5 16 11" xfId="5028"/>
    <cellStyle name="40% - 强调文字颜色 5 16 12" xfId="6506"/>
    <cellStyle name="40% - 强调文字颜色 5 16 13" xfId="16153"/>
    <cellStyle name="40% - 强调文字颜色 5 16 14" xfId="16155"/>
    <cellStyle name="40% - 强调文字颜色 5 16 2" xfId="18382"/>
    <cellStyle name="40% - 强调文字颜色 5 16 3" xfId="18383"/>
    <cellStyle name="40% - 强调文字颜色 5 16 4" xfId="18385"/>
    <cellStyle name="40% - 强调文字颜色 5 16 5" xfId="18387"/>
    <cellStyle name="40% - 强调文字颜色 5 16 5 10" xfId="16792"/>
    <cellStyle name="40% - 强调文字颜色 5 16 5 11" xfId="16794"/>
    <cellStyle name="40% - 强调文字颜色 5 16 5 2" xfId="10886"/>
    <cellStyle name="40% - 强调文字颜色 5 16 5 2 2" xfId="18388"/>
    <cellStyle name="40% - 强调文字颜色 5 16 5 2 2 2" xfId="2524"/>
    <cellStyle name="40% - 强调文字颜色 5 16 5 2 2 3" xfId="5131"/>
    <cellStyle name="40% - 强调文字颜色 5 16 5 2 3" xfId="18390"/>
    <cellStyle name="40% - 强调文字颜色 5 16 5 2 4" xfId="18392"/>
    <cellStyle name="40% - 强调文字颜色 5 16 5 2 5" xfId="18394"/>
    <cellStyle name="40% - 强调文字颜色 5 16 5 2 6" xfId="18396"/>
    <cellStyle name="40% - 强调文字颜色 5 16 5 2 7" xfId="18398"/>
    <cellStyle name="40% - 强调文字颜色 5 16 5 2 8" xfId="18400"/>
    <cellStyle name="40% - 强调文字颜色 5 16 5 3" xfId="10896"/>
    <cellStyle name="40% - 强调文字颜色 5 16 5 4" xfId="10899"/>
    <cellStyle name="40% - 强调文字颜色 5 16 5 5" xfId="10901"/>
    <cellStyle name="40% - 强调文字颜色 5 16 5 6" xfId="10903"/>
    <cellStyle name="40% - 强调文字颜色 5 16 5 6 2" xfId="18401"/>
    <cellStyle name="40% - 强调文字颜色 5 16 5 6 3" xfId="18404"/>
    <cellStyle name="40% - 强调文字颜色 5 16 5 7" xfId="18406"/>
    <cellStyle name="40% - 强调文字颜色 5 16 5 8" xfId="18407"/>
    <cellStyle name="40% - 强调文字颜色 5 16 5 9" xfId="1217"/>
    <cellStyle name="40% - 强调文字颜色 5 16 6" xfId="18409"/>
    <cellStyle name="40% - 强调文字颜色 5 16 6 2" xfId="5414"/>
    <cellStyle name="40% - 强调文字颜色 5 16 6 2 2" xfId="18410"/>
    <cellStyle name="40% - 强调文字颜色 5 16 6 2 3" xfId="18414"/>
    <cellStyle name="40% - 强调文字颜色 5 16 6 3" xfId="5427"/>
    <cellStyle name="40% - 强调文字颜色 5 16 6 4" xfId="5442"/>
    <cellStyle name="40% - 强调文字颜色 5 16 6 5" xfId="5458"/>
    <cellStyle name="40% - 强调文字颜色 5 16 6 6" xfId="5471"/>
    <cellStyle name="40% - 强调文字颜色 5 16 6 7" xfId="5480"/>
    <cellStyle name="40% - 强调文字颜色 5 16 6 8" xfId="6856"/>
    <cellStyle name="40% - 强调文字颜色 5 16 7" xfId="18416"/>
    <cellStyle name="40% - 强调文字颜色 5 16 8" xfId="18419"/>
    <cellStyle name="40% - 强调文字颜色 5 16 9" xfId="18421"/>
    <cellStyle name="40% - 强调文字颜色 5 16 9 2" xfId="18423"/>
    <cellStyle name="40% - 强调文字颜色 5 16 9 3" xfId="18425"/>
    <cellStyle name="40% - 强调文字颜色 5 17" xfId="18427"/>
    <cellStyle name="40% - 强调文字颜色 5 17 10" xfId="18428"/>
    <cellStyle name="40% - 强调文字颜色 5 17 11" xfId="18429"/>
    <cellStyle name="40% - 强调文字颜色 5 17 12" xfId="18430"/>
    <cellStyle name="40% - 强调文字颜色 5 17 13" xfId="18433"/>
    <cellStyle name="40% - 强调文字颜色 5 17 14" xfId="18436"/>
    <cellStyle name="40% - 强调文字颜色 5 17 2" xfId="18437"/>
    <cellStyle name="40% - 强调文字颜色 5 17 3" xfId="18438"/>
    <cellStyle name="40% - 强调文字颜色 5 17 4" xfId="18439"/>
    <cellStyle name="40% - 强调文字颜色 5 17 5" xfId="18440"/>
    <cellStyle name="40% - 强调文字颜色 5 17 5 10" xfId="18442"/>
    <cellStyle name="40% - 强调文字颜色 5 17 5 11" xfId="18444"/>
    <cellStyle name="40% - 强调文字颜色 5 17 5 2" xfId="2978"/>
    <cellStyle name="40% - 强调文字颜色 5 17 5 2 2" xfId="10409"/>
    <cellStyle name="40% - 强调文字颜色 5 17 5 2 2 2" xfId="17679"/>
    <cellStyle name="40% - 强调文字颜色 5 17 5 2 2 3" xfId="5343"/>
    <cellStyle name="40% - 强调文字颜色 5 17 5 2 3" xfId="10423"/>
    <cellStyle name="40% - 强调文字颜色 5 17 5 2 4" xfId="18447"/>
    <cellStyle name="40% - 强调文字颜色 5 17 5 2 5" xfId="18450"/>
    <cellStyle name="40% - 强调文字颜色 5 17 5 2 6" xfId="18454"/>
    <cellStyle name="40% - 强调文字颜色 5 17 5 2 7" xfId="18457"/>
    <cellStyle name="40% - 强调文字颜色 5 17 5 2 8" xfId="6872"/>
    <cellStyle name="40% - 强调文字颜色 5 17 5 3" xfId="2997"/>
    <cellStyle name="40% - 强调文字颜色 5 17 5 4" xfId="3002"/>
    <cellStyle name="40% - 强调文字颜色 5 17 5 5" xfId="3012"/>
    <cellStyle name="40% - 强调文字颜色 5 17 5 6" xfId="3021"/>
    <cellStyle name="40% - 强调文字颜色 5 17 5 6 2" xfId="18458"/>
    <cellStyle name="40% - 强调文字颜色 5 17 5 6 3" xfId="18460"/>
    <cellStyle name="40% - 强调文字颜色 5 17 5 7" xfId="5226"/>
    <cellStyle name="40% - 强调文字颜色 5 17 5 8" xfId="5232"/>
    <cellStyle name="40% - 强调文字颜色 5 17 5 9" xfId="4662"/>
    <cellStyle name="40% - 强调文字颜色 5 17 6" xfId="18463"/>
    <cellStyle name="40% - 强调文字颜色 5 17 6 2" xfId="5708"/>
    <cellStyle name="40% - 强调文字颜色 5 17 6 2 2" xfId="10453"/>
    <cellStyle name="40% - 强调文字颜色 5 17 6 2 3" xfId="18469"/>
    <cellStyle name="40% - 强调文字颜色 5 17 6 3" xfId="5714"/>
    <cellStyle name="40% - 强调文字颜色 5 17 6 4" xfId="5728"/>
    <cellStyle name="40% - 强调文字颜色 5 17 6 5" xfId="5749"/>
    <cellStyle name="40% - 强调文字颜色 5 17 6 6" xfId="5759"/>
    <cellStyle name="40% - 强调文字颜色 5 17 6 7" xfId="5770"/>
    <cellStyle name="40% - 强调文字颜色 5 17 6 8" xfId="18470"/>
    <cellStyle name="40% - 强调文字颜色 5 17 7" xfId="18472"/>
    <cellStyle name="40% - 强调文字颜色 5 17 8" xfId="18473"/>
    <cellStyle name="40% - 强调文字颜色 5 17 9" xfId="18474"/>
    <cellStyle name="40% - 强调文字颜色 5 17 9 2" xfId="18478"/>
    <cellStyle name="40% - 强调文字颜色 5 17 9 3" xfId="18480"/>
    <cellStyle name="40% - 强调文字颜色 5 18" xfId="18483"/>
    <cellStyle name="40% - 强调文字颜色 5 18 10" xfId="10486"/>
    <cellStyle name="40% - 强调文字颜色 5 18 11" xfId="10494"/>
    <cellStyle name="40% - 强调文字颜色 5 18 12" xfId="10502"/>
    <cellStyle name="40% - 强调文字颜色 5 18 13" xfId="10523"/>
    <cellStyle name="40% - 强调文字颜色 5 18 14" xfId="18486"/>
    <cellStyle name="40% - 强调文字颜色 5 18 2" xfId="18487"/>
    <cellStyle name="40% - 强调文字颜色 5 18 3" xfId="18489"/>
    <cellStyle name="40% - 强调文字颜色 5 18 4" xfId="18491"/>
    <cellStyle name="40% - 强调文字颜色 5 18 5" xfId="18494"/>
    <cellStyle name="40% - 强调文字颜色 5 18 5 10" xfId="18498"/>
    <cellStyle name="40% - 强调文字颜色 5 18 5 11" xfId="18500"/>
    <cellStyle name="40% - 强调文字颜色 5 18 5 2" xfId="7949"/>
    <cellStyle name="40% - 强调文字颜色 5 18 5 2 2" xfId="18503"/>
    <cellStyle name="40% - 强调文字颜色 5 18 5 2 2 2" xfId="18505"/>
    <cellStyle name="40% - 强调文字颜色 5 18 5 2 2 3" xfId="18508"/>
    <cellStyle name="40% - 强调文字颜色 5 18 5 2 3" xfId="18512"/>
    <cellStyle name="40% - 强调文字颜色 5 18 5 2 4" xfId="18515"/>
    <cellStyle name="40% - 强调文字颜色 5 18 5 2 5" xfId="18518"/>
    <cellStyle name="40% - 强调文字颜色 5 18 5 2 6" xfId="18521"/>
    <cellStyle name="40% - 强调文字颜色 5 18 5 2 7" xfId="18524"/>
    <cellStyle name="40% - 强调文字颜色 5 18 5 2 8" xfId="17546"/>
    <cellStyle name="40% - 强调文字颜色 5 18 5 3" xfId="7957"/>
    <cellStyle name="40% - 强调文字颜色 5 18 5 4" xfId="7961"/>
    <cellStyle name="40% - 强调文字颜色 5 18 5 5" xfId="7968"/>
    <cellStyle name="40% - 强调文字颜色 5 18 5 6" xfId="7975"/>
    <cellStyle name="40% - 强调文字颜色 5 18 5 6 2" xfId="18525"/>
    <cellStyle name="40% - 强调文字颜色 5 18 5 6 3" xfId="9389"/>
    <cellStyle name="40% - 强调文字颜色 5 18 5 7" xfId="7982"/>
    <cellStyle name="40% - 强调文字颜色 5 18 5 8" xfId="7988"/>
    <cellStyle name="40% - 强调文字颜色 5 18 5 9" xfId="10563"/>
    <cellStyle name="40% - 强调文字颜色 5 18 6" xfId="18529"/>
    <cellStyle name="40% - 强调文字颜色 5 18 6 2" xfId="5936"/>
    <cellStyle name="40% - 强调文字颜色 5 18 6 2 2" xfId="10570"/>
    <cellStyle name="40% - 强调文字颜色 5 18 6 2 3" xfId="10578"/>
    <cellStyle name="40% - 强调文字颜色 5 18 6 3" xfId="5948"/>
    <cellStyle name="40% - 强调文字颜色 5 18 6 4" xfId="5957"/>
    <cellStyle name="40% - 强调文字颜色 5 18 6 5" xfId="1499"/>
    <cellStyle name="40% - 强调文字颜色 5 18 6 6" xfId="1514"/>
    <cellStyle name="40% - 强调文字颜色 5 18 6 7" xfId="4420"/>
    <cellStyle name="40% - 强调文字颜色 5 18 6 8" xfId="18534"/>
    <cellStyle name="40% - 强调文字颜色 5 18 7" xfId="18538"/>
    <cellStyle name="40% - 强调文字颜色 5 18 8" xfId="6780"/>
    <cellStyle name="40% - 强调文字颜色 5 18 9" xfId="7617"/>
    <cellStyle name="40% - 强调文字颜色 5 18 9 2" xfId="562"/>
    <cellStyle name="40% - 强调文字颜色 5 18 9 3" xfId="407"/>
    <cellStyle name="40% - 强调文字颜色 5 19" xfId="18540"/>
    <cellStyle name="40% - 强调文字颜色 5 2" xfId="12548"/>
    <cellStyle name="40% - 强调文字颜色 5 2 10" xfId="18541"/>
    <cellStyle name="40% - 强调文字颜色 5 2 11" xfId="18545"/>
    <cellStyle name="40% - 强调文字颜色 5 2 12" xfId="18549"/>
    <cellStyle name="40% - 强调文字颜色 5 2 13" xfId="18553"/>
    <cellStyle name="40% - 强调文字颜色 5 2 14" xfId="18556"/>
    <cellStyle name="40% - 强调文字颜色 5 2 15" xfId="18562"/>
    <cellStyle name="40% - 强调文字颜色 5 2 16" xfId="16642"/>
    <cellStyle name="40% - 强调文字颜色 5 2 17" xfId="16647"/>
    <cellStyle name="40% - 强调文字颜色 5 2 17 10" xfId="2347"/>
    <cellStyle name="40% - 强调文字颜色 5 2 17 11" xfId="2356"/>
    <cellStyle name="40% - 强调文字颜色 5 2 17 12" xfId="18568"/>
    <cellStyle name="40% - 强调文字颜色 5 2 17 13" xfId="18572"/>
    <cellStyle name="40% - 强调文字颜色 5 2 17 14" xfId="18576"/>
    <cellStyle name="40% - 强调文字颜色 5 2 17 2" xfId="18581"/>
    <cellStyle name="40% - 强调文字颜色 5 2 17 3" xfId="18586"/>
    <cellStyle name="40% - 强调文字颜色 5 2 17 4" xfId="18589"/>
    <cellStyle name="40% - 强调文字颜色 5 2 17 5" xfId="5369"/>
    <cellStyle name="40% - 强调文字颜色 5 2 17 5 10" xfId="5436"/>
    <cellStyle name="40% - 强调文字颜色 5 2 17 5 11" xfId="5450"/>
    <cellStyle name="40% - 强调文字颜色 5 2 17 5 2" xfId="18591"/>
    <cellStyle name="40% - 强调文字颜色 5 2 17 5 2 2" xfId="7629"/>
    <cellStyle name="40% - 强调文字颜色 5 2 17 5 2 2 2" xfId="18592"/>
    <cellStyle name="40% - 强调文字颜色 5 2 17 5 2 2 3" xfId="18593"/>
    <cellStyle name="40% - 强调文字颜色 5 2 17 5 2 3" xfId="8928"/>
    <cellStyle name="40% - 强调文字颜色 5 2 17 5 2 4" xfId="915"/>
    <cellStyle name="40% - 强调文字颜色 5 2 17 5 2 5" xfId="954"/>
    <cellStyle name="40% - 强调文字颜色 5 2 17 5 2 6" xfId="990"/>
    <cellStyle name="40% - 强调文字颜色 5 2 17 5 2 7" xfId="1012"/>
    <cellStyle name="40% - 强调文字颜色 5 2 17 5 2 8" xfId="1050"/>
    <cellStyle name="40% - 强调文字颜色 5 2 17 5 3" xfId="18595"/>
    <cellStyle name="40% - 强调文字颜色 5 2 17 5 4" xfId="18598"/>
    <cellStyle name="40% - 强调文字颜色 5 2 17 5 5" xfId="18603"/>
    <cellStyle name="40% - 强调文字颜色 5 2 17 5 6" xfId="18605"/>
    <cellStyle name="40% - 强调文字颜色 5 2 17 5 6 2" xfId="18611"/>
    <cellStyle name="40% - 强调文字颜色 5 2 17 5 6 3" xfId="18620"/>
    <cellStyle name="40% - 强调文字颜色 5 2 17 5 7" xfId="18622"/>
    <cellStyle name="40% - 强调文字颜色 5 2 17 5 8" xfId="18624"/>
    <cellStyle name="40% - 强调文字颜色 5 2 17 5 9" xfId="16475"/>
    <cellStyle name="40% - 强调文字颜色 5 2 17 6" xfId="5387"/>
    <cellStyle name="40% - 强调文字颜色 5 2 17 6 2" xfId="18625"/>
    <cellStyle name="40% - 强调文字颜色 5 2 17 6 2 2" xfId="18629"/>
    <cellStyle name="40% - 强调文字颜色 5 2 17 6 2 3" xfId="18635"/>
    <cellStyle name="40% - 强调文字颜色 5 2 17 6 3" xfId="18636"/>
    <cellStyle name="40% - 强调文字颜色 5 2 17 6 4" xfId="7878"/>
    <cellStyle name="40% - 强调文字颜色 5 2 17 6 5" xfId="7885"/>
    <cellStyle name="40% - 强调文字颜色 5 2 17 6 6" xfId="18639"/>
    <cellStyle name="40% - 强调文字颜色 5 2 17 6 7" xfId="18642"/>
    <cellStyle name="40% - 强调文字颜色 5 2 17 6 8" xfId="18645"/>
    <cellStyle name="40% - 强调文字颜色 5 2 17 7" xfId="18648"/>
    <cellStyle name="40% - 强调文字颜色 5 2 17 8" xfId="12520"/>
    <cellStyle name="40% - 强调文字颜色 5 2 17 9" xfId="12529"/>
    <cellStyle name="40% - 强调文字颜色 5 2 17 9 2" xfId="18651"/>
    <cellStyle name="40% - 强调文字颜色 5 2 17 9 3" xfId="14171"/>
    <cellStyle name="40% - 强调文字颜色 5 2 18" xfId="16651"/>
    <cellStyle name="40% - 强调文字颜色 5 2 18 10" xfId="18653"/>
    <cellStyle name="40% - 强调文字颜色 5 2 18 11" xfId="18655"/>
    <cellStyle name="40% - 强调文字颜色 5 2 18 12" xfId="18657"/>
    <cellStyle name="40% - 强调文字颜色 5 2 18 13" xfId="18659"/>
    <cellStyle name="40% - 强调文字颜色 5 2 18 14" xfId="9984"/>
    <cellStyle name="40% - 强调文字颜色 5 2 18 2" xfId="743"/>
    <cellStyle name="40% - 强调文字颜色 5 2 18 3" xfId="1269"/>
    <cellStyle name="40% - 强调文字颜色 5 2 18 4" xfId="6097"/>
    <cellStyle name="40% - 强调文字颜色 5 2 18 5" xfId="6141"/>
    <cellStyle name="40% - 强调文字颜色 5 2 18 5 10" xfId="18660"/>
    <cellStyle name="40% - 强调文字颜色 5 2 18 5 11" xfId="18661"/>
    <cellStyle name="40% - 强调文字颜色 5 2 18 5 2" xfId="18664"/>
    <cellStyle name="40% - 强调文字颜色 5 2 18 5 2 2" xfId="7682"/>
    <cellStyle name="40% - 强调文字颜色 5 2 18 5 2 2 2" xfId="1155"/>
    <cellStyle name="40% - 强调文字颜色 5 2 18 5 2 2 3" xfId="18665"/>
    <cellStyle name="40% - 强调文字颜色 5 2 18 5 2 3" xfId="9667"/>
    <cellStyle name="40% - 强调文字颜色 5 2 18 5 2 4" xfId="9672"/>
    <cellStyle name="40% - 强调文字颜色 5 2 18 5 2 5" xfId="17884"/>
    <cellStyle name="40% - 强调文字颜色 5 2 18 5 2 6" xfId="9063"/>
    <cellStyle name="40% - 强调文字颜色 5 2 18 5 2 7" xfId="9070"/>
    <cellStyle name="40% - 强调文字颜色 5 2 18 5 2 8" xfId="9083"/>
    <cellStyle name="40% - 强调文字颜色 5 2 18 5 3" xfId="18668"/>
    <cellStyle name="40% - 强调文字颜色 5 2 18 5 4" xfId="18672"/>
    <cellStyle name="40% - 强调文字颜色 5 2 18 5 5" xfId="18677"/>
    <cellStyle name="40% - 强调文字颜色 5 2 18 5 6" xfId="18680"/>
    <cellStyle name="40% - 强调文字颜色 5 2 18 5 6 2" xfId="14663"/>
    <cellStyle name="40% - 强调文字颜色 5 2 18 5 6 3" xfId="18681"/>
    <cellStyle name="40% - 强调文字颜色 5 2 18 5 7" xfId="18684"/>
    <cellStyle name="40% - 强调文字颜色 5 2 18 5 8" xfId="18687"/>
    <cellStyle name="40% - 强调文字颜色 5 2 18 5 9" xfId="18689"/>
    <cellStyle name="40% - 强调文字颜色 5 2 18 6" xfId="6149"/>
    <cellStyle name="40% - 强调文字颜色 5 2 18 6 2" xfId="18690"/>
    <cellStyle name="40% - 强调文字颜色 5 2 18 6 2 2" xfId="17927"/>
    <cellStyle name="40% - 强调文字颜色 5 2 18 6 2 3" xfId="17931"/>
    <cellStyle name="40% - 强调文字颜色 5 2 18 6 3" xfId="18692"/>
    <cellStyle name="40% - 强调文字颜色 5 2 18 6 4" xfId="18694"/>
    <cellStyle name="40% - 强调文字颜色 5 2 18 6 5" xfId="7803"/>
    <cellStyle name="40% - 强调文字颜色 5 2 18 6 6" xfId="7807"/>
    <cellStyle name="40% - 强调文字颜色 5 2 18 6 7" xfId="18697"/>
    <cellStyle name="40% - 强调文字颜色 5 2 18 6 8" xfId="18698"/>
    <cellStyle name="40% - 强调文字颜色 5 2 18 7" xfId="6157"/>
    <cellStyle name="40% - 强调文字颜色 5 2 18 8" xfId="15765"/>
    <cellStyle name="40% - 强调文字颜色 5 2 18 9" xfId="12916"/>
    <cellStyle name="40% - 强调文字颜色 5 2 18 9 2" xfId="18699"/>
    <cellStyle name="40% - 强调文字颜色 5 2 18 9 3" xfId="18700"/>
    <cellStyle name="40% - 强调文字颜色 5 2 19" xfId="6528"/>
    <cellStyle name="40% - 强调文字颜色 5 2 19 10" xfId="18703"/>
    <cellStyle name="40% - 强调文字颜色 5 2 19 11" xfId="18706"/>
    <cellStyle name="40% - 强调文字颜色 5 2 19 12" xfId="18709"/>
    <cellStyle name="40% - 强调文字颜色 5 2 19 13" xfId="18712"/>
    <cellStyle name="40% - 强调文字颜色 5 2 19 14" xfId="18715"/>
    <cellStyle name="40% - 强调文字颜色 5 2 19 2" xfId="6174"/>
    <cellStyle name="40% - 强调文字颜色 5 2 19 3" xfId="6179"/>
    <cellStyle name="40% - 强调文字颜色 5 2 19 4" xfId="6215"/>
    <cellStyle name="40% - 强调文字颜色 5 2 19 5" xfId="6241"/>
    <cellStyle name="40% - 强调文字颜色 5 2 19 5 10" xfId="18716"/>
    <cellStyle name="40% - 强调文字颜色 5 2 19 5 11" xfId="18718"/>
    <cellStyle name="40% - 强调文字颜色 5 2 19 5 2" xfId="18720"/>
    <cellStyle name="40% - 强调文字颜色 5 2 19 5 2 2" xfId="9373"/>
    <cellStyle name="40% - 强调文字颜色 5 2 19 5 2 2 2" xfId="13925"/>
    <cellStyle name="40% - 强调文字颜色 5 2 19 5 2 2 3" xfId="13928"/>
    <cellStyle name="40% - 强调文字颜色 5 2 19 5 2 3" xfId="9379"/>
    <cellStyle name="40% - 强调文字颜色 5 2 19 5 2 4" xfId="9400"/>
    <cellStyle name="40% - 强调文字颜色 5 2 19 5 2 5" xfId="18724"/>
    <cellStyle name="40% - 强调文字颜色 5 2 19 5 2 6" xfId="222"/>
    <cellStyle name="40% - 强调文字颜色 5 2 19 5 2 7" xfId="9418"/>
    <cellStyle name="40% - 强调文字颜色 5 2 19 5 2 8" xfId="10239"/>
    <cellStyle name="40% - 强调文字颜色 5 2 19 5 3" xfId="18726"/>
    <cellStyle name="40% - 强调文字颜色 5 2 19 5 4" xfId="18729"/>
    <cellStyle name="40% - 强调文字颜色 5 2 19 5 5" xfId="18733"/>
    <cellStyle name="40% - 强调文字颜色 5 2 19 5 6" xfId="18735"/>
    <cellStyle name="40% - 强调文字颜色 5 2 19 5 6 2" xfId="7409"/>
    <cellStyle name="40% - 强调文字颜色 5 2 19 5 6 3" xfId="7420"/>
    <cellStyle name="40% - 强调文字颜色 5 2 19 5 7" xfId="18737"/>
    <cellStyle name="40% - 强调文字颜色 5 2 19 5 8" xfId="18739"/>
    <cellStyle name="40% - 强调文字颜色 5 2 19 5 9" xfId="18741"/>
    <cellStyle name="40% - 强调文字颜色 5 2 19 6" xfId="6245"/>
    <cellStyle name="40% - 强调文字颜色 5 2 19 6 2" xfId="18742"/>
    <cellStyle name="40% - 强调文字颜色 5 2 19 6 2 2" xfId="4708"/>
    <cellStyle name="40% - 强调文字颜色 5 2 19 6 2 3" xfId="4714"/>
    <cellStyle name="40% - 强调文字颜色 5 2 19 6 3" xfId="18743"/>
    <cellStyle name="40% - 强调文字颜色 5 2 19 6 4" xfId="7537"/>
    <cellStyle name="40% - 强调文字颜色 5 2 19 6 5" xfId="7549"/>
    <cellStyle name="40% - 强调文字颜色 5 2 19 6 6" xfId="14647"/>
    <cellStyle name="40% - 强调文字颜色 5 2 19 6 7" xfId="14653"/>
    <cellStyle name="40% - 强调文字颜色 5 2 19 6 8" xfId="14660"/>
    <cellStyle name="40% - 强调文字颜色 5 2 19 7" xfId="6249"/>
    <cellStyle name="40% - 强调文字颜色 5 2 19 8" xfId="18745"/>
    <cellStyle name="40% - 强调文字颜色 5 2 19 9" xfId="18746"/>
    <cellStyle name="40% - 强调文字颜色 5 2 19 9 2" xfId="18747"/>
    <cellStyle name="40% - 强调文字颜色 5 2 19 9 3" xfId="18748"/>
    <cellStyle name="40% - 强调文字颜色 5 2 2" xfId="12550"/>
    <cellStyle name="40% - 强调文字颜色 5 2 2 10" xfId="18751"/>
    <cellStyle name="40% - 强调文字颜色 5 2 2 11" xfId="18758"/>
    <cellStyle name="40% - 强调文字颜色 5 2 2 12" xfId="18760"/>
    <cellStyle name="40% - 强调文字颜色 5 2 2 13" xfId="18762"/>
    <cellStyle name="40% - 强调文字颜色 5 2 2 14" xfId="11306"/>
    <cellStyle name="40% - 强调文字颜色 5 2 2 2" xfId="12554"/>
    <cellStyle name="40% - 强调文字颜色 5 2 2 3" xfId="12557"/>
    <cellStyle name="40% - 强调文字颜色 5 2 2 4" xfId="15520"/>
    <cellStyle name="40% - 强调文字颜色 5 2 2 5" xfId="15523"/>
    <cellStyle name="40% - 强调文字颜色 5 2 2 6" xfId="15527"/>
    <cellStyle name="40% - 强调文字颜色 5 2 2 7" xfId="15531"/>
    <cellStyle name="40% - 强调文字颜色 5 2 2 8" xfId="15533"/>
    <cellStyle name="40% - 强调文字颜色 5 2 2 9" xfId="15536"/>
    <cellStyle name="40% - 强调文字颜色 5 2 20" xfId="18561"/>
    <cellStyle name="40% - 强调文字颜色 5 2 20 10" xfId="264"/>
    <cellStyle name="40% - 强调文字颜色 5 2 20 11" xfId="1367"/>
    <cellStyle name="40% - 强调文字颜色 5 2 20 12" xfId="13959"/>
    <cellStyle name="40% - 强调文字颜色 5 2 20 13" xfId="13961"/>
    <cellStyle name="40% - 强调文字颜色 5 2 20 14" xfId="3069"/>
    <cellStyle name="40% - 强调文字颜色 5 2 20 2" xfId="18767"/>
    <cellStyle name="40% - 强调文字颜色 5 2 20 3" xfId="18770"/>
    <cellStyle name="40% - 强调文字颜色 5 2 20 4" xfId="18772"/>
    <cellStyle name="40% - 强调文字颜色 5 2 20 5" xfId="18775"/>
    <cellStyle name="40% - 强调文字颜色 5 2 20 5 10" xfId="18776"/>
    <cellStyle name="40% - 强调文字颜色 5 2 20 5 11" xfId="7650"/>
    <cellStyle name="40% - 强调文字颜色 5 2 20 5 2" xfId="18779"/>
    <cellStyle name="40% - 强调文字颜色 5 2 20 5 2 2" xfId="15484"/>
    <cellStyle name="40% - 强调文字颜色 5 2 20 5 2 2 2" xfId="17731"/>
    <cellStyle name="40% - 强调文字颜色 5 2 20 5 2 2 3" xfId="17733"/>
    <cellStyle name="40% - 强调文字颜色 5 2 20 5 2 3" xfId="12971"/>
    <cellStyle name="40% - 强调文字颜色 5 2 20 5 2 4" xfId="680"/>
    <cellStyle name="40% - 强调文字颜色 5 2 20 5 2 5" xfId="712"/>
    <cellStyle name="40% - 强调文字颜色 5 2 20 5 2 6" xfId="12996"/>
    <cellStyle name="40% - 强调文字颜色 5 2 20 5 2 7" xfId="13001"/>
    <cellStyle name="40% - 强调文字颜色 5 2 20 5 2 8" xfId="13015"/>
    <cellStyle name="40% - 强调文字颜色 5 2 20 5 3" xfId="18783"/>
    <cellStyle name="40% - 强调文字颜色 5 2 20 5 4" xfId="9312"/>
    <cellStyle name="40% - 强调文字颜色 5 2 20 5 5" xfId="9316"/>
    <cellStyle name="40% - 强调文字颜色 5 2 20 5 6" xfId="18785"/>
    <cellStyle name="40% - 强调文字颜色 5 2 20 5 6 2" xfId="15489"/>
    <cellStyle name="40% - 强调文字颜色 5 2 20 5 6 3" xfId="18788"/>
    <cellStyle name="40% - 强调文字颜色 5 2 20 5 7" xfId="18789"/>
    <cellStyle name="40% - 强调文字颜色 5 2 20 5 8" xfId="18790"/>
    <cellStyle name="40% - 强调文字颜色 5 2 20 5 9" xfId="18228"/>
    <cellStyle name="40% - 强调文字颜色 5 2 20 6" xfId="18792"/>
    <cellStyle name="40% - 强调文字颜色 5 2 20 6 2" xfId="18793"/>
    <cellStyle name="40% - 强调文字颜色 5 2 20 6 2 2" xfId="15537"/>
    <cellStyle name="40% - 强调文字颜色 5 2 20 6 2 3" xfId="13073"/>
    <cellStyle name="40% - 强调文字颜色 5 2 20 6 3" xfId="18794"/>
    <cellStyle name="40% - 强调文字颜色 5 2 20 6 4" xfId="18795"/>
    <cellStyle name="40% - 强调文字颜色 5 2 20 6 5" xfId="18796"/>
    <cellStyle name="40% - 强调文字颜色 5 2 20 6 6" xfId="15212"/>
    <cellStyle name="40% - 强调文字颜色 5 2 20 6 7" xfId="15219"/>
    <cellStyle name="40% - 强调文字颜色 5 2 20 6 8" xfId="15223"/>
    <cellStyle name="40% - 强调文字颜色 5 2 20 7" xfId="18798"/>
    <cellStyle name="40% - 强调文字颜色 5 2 20 8" xfId="18800"/>
    <cellStyle name="40% - 强调文字颜色 5 2 20 9" xfId="18803"/>
    <cellStyle name="40% - 强调文字颜色 5 2 20 9 2" xfId="17453"/>
    <cellStyle name="40% - 强调文字颜色 5 2 20 9 3" xfId="18804"/>
    <cellStyle name="40% - 强调文字颜色 5 2 3" xfId="12562"/>
    <cellStyle name="40% - 强调文字颜色 5 2 3 10" xfId="18805"/>
    <cellStyle name="40% - 强调文字颜色 5 2 3 11" xfId="18806"/>
    <cellStyle name="40% - 强调文字颜色 5 2 3 12" xfId="18808"/>
    <cellStyle name="40% - 强调文字颜色 5 2 3 13" xfId="18812"/>
    <cellStyle name="40% - 强调文字颜色 5 2 3 14" xfId="18816"/>
    <cellStyle name="40% - 强调文字颜色 5 2 3 2" xfId="17205"/>
    <cellStyle name="40% - 强调文字颜色 5 2 3 3" xfId="17210"/>
    <cellStyle name="40% - 强调文字颜色 5 2 3 4" xfId="17215"/>
    <cellStyle name="40% - 强调文字颜色 5 2 3 5" xfId="14918"/>
    <cellStyle name="40% - 强调文字颜色 5 2 3 6" xfId="14923"/>
    <cellStyle name="40% - 强调文字颜色 5 2 3 7" xfId="18824"/>
    <cellStyle name="40% - 强调文字颜色 5 2 3 8" xfId="18826"/>
    <cellStyle name="40% - 强调文字颜色 5 2 3 9" xfId="18827"/>
    <cellStyle name="40% - 强调文字颜色 5 2 4" xfId="12567"/>
    <cellStyle name="40% - 强调文字颜色 5 2 4 10" xfId="18828"/>
    <cellStyle name="40% - 强调文字颜色 5 2 4 11" xfId="18829"/>
    <cellStyle name="40% - 强调文字颜色 5 2 4 12" xfId="18831"/>
    <cellStyle name="40% - 强调文字颜色 5 2 4 13" xfId="18833"/>
    <cellStyle name="40% - 强调文字颜色 5 2 4 14" xfId="18836"/>
    <cellStyle name="40% - 强调文字颜色 5 2 4 2" xfId="16240"/>
    <cellStyle name="40% - 强调文字颜色 5 2 4 3" xfId="18841"/>
    <cellStyle name="40% - 强调文字颜色 5 2 4 4" xfId="18844"/>
    <cellStyle name="40% - 强调文字颜色 5 2 4 5" xfId="18847"/>
    <cellStyle name="40% - 强调文字颜色 5 2 4 6" xfId="18849"/>
    <cellStyle name="40% - 强调文字颜色 5 2 4 7" xfId="18850"/>
    <cellStyle name="40% - 强调文字颜色 5 2 4 8" xfId="18851"/>
    <cellStyle name="40% - 强调文字颜色 5 2 4 9" xfId="18852"/>
    <cellStyle name="40% - 强调文字颜色 5 2 5" xfId="12572"/>
    <cellStyle name="40% - 强调文字颜色 5 2 6" xfId="12577"/>
    <cellStyle name="40% - 强调文字颜色 5 2 7" xfId="10872"/>
    <cellStyle name="40% - 强调文字颜色 5 2 8" xfId="11040"/>
    <cellStyle name="40% - 强调文字颜色 5 2 9" xfId="11053"/>
    <cellStyle name="40% - 强调文字颜色 5 3" xfId="12585"/>
    <cellStyle name="40% - 强调文字颜色 5 3 10" xfId="2567"/>
    <cellStyle name="40% - 强调文字颜色 5 3 11" xfId="2579"/>
    <cellStyle name="40% - 强调文字颜色 5 3 12" xfId="18853"/>
    <cellStyle name="40% - 强调文字颜色 5 3 13" xfId="18854"/>
    <cellStyle name="40% - 强调文字颜色 5 3 14" xfId="18858"/>
    <cellStyle name="40% - 强调文字颜色 5 3 15" xfId="18861"/>
    <cellStyle name="40% - 强调文字颜色 5 3 16" xfId="18863"/>
    <cellStyle name="40% - 强调文字颜色 5 3 17" xfId="18867"/>
    <cellStyle name="40% - 强调文字颜色 5 3 17 10" xfId="5890"/>
    <cellStyle name="40% - 强调文字颜色 5 3 17 11" xfId="5896"/>
    <cellStyle name="40% - 强调文字颜色 5 3 17 12" xfId="18871"/>
    <cellStyle name="40% - 强调文字颜色 5 3 17 13" xfId="18874"/>
    <cellStyle name="40% - 强调文字颜色 5 3 17 14" xfId="18876"/>
    <cellStyle name="40% - 强调文字颜色 5 3 17 2" xfId="18883"/>
    <cellStyle name="40% - 强调文字颜色 5 3 17 2 2" xfId="7909"/>
    <cellStyle name="40% - 强调文字颜色 5 3 17 3" xfId="18886"/>
    <cellStyle name="40% - 强调文字颜色 5 3 17 4" xfId="18888"/>
    <cellStyle name="40% - 强调文字颜色 5 3 17 5" xfId="13847"/>
    <cellStyle name="40% - 强调文字颜色 5 3 17 5 10" xfId="18889"/>
    <cellStyle name="40% - 强调文字颜色 5 3 17 5 11" xfId="18890"/>
    <cellStyle name="40% - 强调文字颜色 5 3 17 5 2" xfId="18892"/>
    <cellStyle name="40% - 强调文字颜色 5 3 17 5 2 2" xfId="18894"/>
    <cellStyle name="40% - 强调文字颜色 5 3 17 5 2 2 2" xfId="5301"/>
    <cellStyle name="40% - 强调文字颜色 5 3 17 5 2 2 3" xfId="5313"/>
    <cellStyle name="40% - 强调文字颜色 5 3 17 5 2 3" xfId="18896"/>
    <cellStyle name="40% - 强调文字颜色 5 3 17 5 2 4" xfId="5717"/>
    <cellStyle name="40% - 强调文字颜色 5 3 17 5 2 5" xfId="5739"/>
    <cellStyle name="40% - 强调文字颜色 5 3 17 5 2 6" xfId="18899"/>
    <cellStyle name="40% - 强调文字颜色 5 3 17 5 2 7" xfId="18901"/>
    <cellStyle name="40% - 强调文字颜色 5 3 17 5 2 8" xfId="18904"/>
    <cellStyle name="40% - 强调文字颜色 5 3 17 5 3" xfId="18906"/>
    <cellStyle name="40% - 强调文字颜色 5 3 17 5 4" xfId="18908"/>
    <cellStyle name="40% - 强调文字颜色 5 3 17 5 5" xfId="18911"/>
    <cellStyle name="40% - 强调文字颜色 5 3 17 5 6" xfId="13215"/>
    <cellStyle name="40% - 强调文字颜色 5 3 17 5 6 2" xfId="18913"/>
    <cellStyle name="40% - 强调文字颜色 5 3 17 5 6 3" xfId="18917"/>
    <cellStyle name="40% - 强调文字颜色 5 3 17 5 7" xfId="13224"/>
    <cellStyle name="40% - 强调文字颜色 5 3 17 5 8" xfId="18919"/>
    <cellStyle name="40% - 强调文字颜色 5 3 17 5 9" xfId="15417"/>
    <cellStyle name="40% - 强调文字颜色 5 3 17 6" xfId="13850"/>
    <cellStyle name="40% - 强调文字颜色 5 3 17 6 2" xfId="18922"/>
    <cellStyle name="40% - 强调文字颜色 5 3 17 6 2 2" xfId="18923"/>
    <cellStyle name="40% - 强调文字颜色 5 3 17 6 2 3" xfId="18925"/>
    <cellStyle name="40% - 强调文字颜色 5 3 17 6 3" xfId="6774"/>
    <cellStyle name="40% - 强调文字颜色 5 3 17 6 4" xfId="6788"/>
    <cellStyle name="40% - 强调文字颜色 5 3 17 6 5" xfId="18926"/>
    <cellStyle name="40% - 强调文字颜色 5 3 17 6 6" xfId="18928"/>
    <cellStyle name="40% - 强调文字颜色 5 3 17 6 7" xfId="820"/>
    <cellStyle name="40% - 强调文字颜色 5 3 17 6 8" xfId="926"/>
    <cellStyle name="40% - 强调文字颜色 5 3 17 7" xfId="18932"/>
    <cellStyle name="40% - 强调文字颜色 5 3 17 8" xfId="18934"/>
    <cellStyle name="40% - 强调文字颜色 5 3 17 9" xfId="18936"/>
    <cellStyle name="40% - 强调文字颜色 5 3 17 9 2" xfId="18938"/>
    <cellStyle name="40% - 强调文字颜色 5 3 17 9 3" xfId="18941"/>
    <cellStyle name="40% - 强调文字颜色 5 3 18" xfId="18943"/>
    <cellStyle name="40% - 强调文字颜色 5 3 18 10" xfId="18946"/>
    <cellStyle name="40% - 强调文字颜色 5 3 18 11" xfId="18947"/>
    <cellStyle name="40% - 强调文字颜色 5 3 18 12" xfId="18948"/>
    <cellStyle name="40% - 强调文字颜色 5 3 18 13" xfId="18949"/>
    <cellStyle name="40% - 强调文字颜色 5 3 18 14" xfId="18950"/>
    <cellStyle name="40% - 强调文字颜色 5 3 18 2" xfId="1920"/>
    <cellStyle name="40% - 强调文字颜色 5 3 18 3" xfId="1944"/>
    <cellStyle name="40% - 强调文字颜色 5 3 18 4" xfId="1832"/>
    <cellStyle name="40% - 强调文字颜色 5 3 18 5" xfId="1864"/>
    <cellStyle name="40% - 强调文字颜色 5 3 18 5 10" xfId="18951"/>
    <cellStyle name="40% - 强调文字颜色 5 3 18 5 11" xfId="18953"/>
    <cellStyle name="40% - 强调文字颜色 5 3 18 5 2" xfId="18956"/>
    <cellStyle name="40% - 强调文字颜色 5 3 18 5 2 2" xfId="18959"/>
    <cellStyle name="40% - 强调文字颜色 5 3 18 5 2 2 2" xfId="3203"/>
    <cellStyle name="40% - 强调文字颜色 5 3 18 5 2 2 3" xfId="18961"/>
    <cellStyle name="40% - 强调文字颜色 5 3 18 5 2 3" xfId="18965"/>
    <cellStyle name="40% - 强调文字颜色 5 3 18 5 2 4" xfId="18969"/>
    <cellStyle name="40% - 强调文字颜色 5 3 18 5 2 5" xfId="18972"/>
    <cellStyle name="40% - 强调文字颜色 5 3 18 5 2 6" xfId="18975"/>
    <cellStyle name="40% - 强调文字颜色 5 3 18 5 2 7" xfId="18978"/>
    <cellStyle name="40% - 强调文字颜色 5 3 18 5 2 8" xfId="7583"/>
    <cellStyle name="40% - 强调文字颜色 5 3 18 5 3" xfId="18981"/>
    <cellStyle name="40% - 强调文字颜色 5 3 18 5 4" xfId="18982"/>
    <cellStyle name="40% - 强调文字颜色 5 3 18 5 5" xfId="18983"/>
    <cellStyle name="40% - 强调文字颜色 5 3 18 5 6" xfId="18984"/>
    <cellStyle name="40% - 强调文字颜色 5 3 18 5 6 2" xfId="18985"/>
    <cellStyle name="40% - 强调文字颜色 5 3 18 5 6 3" xfId="18987"/>
    <cellStyle name="40% - 强调文字颜色 5 3 18 5 7" xfId="18988"/>
    <cellStyle name="40% - 强调文字颜色 5 3 18 5 8" xfId="18989"/>
    <cellStyle name="40% - 强调文字颜色 5 3 18 5 9" xfId="18990"/>
    <cellStyle name="40% - 强调文字颜色 5 3 18 6" xfId="5064"/>
    <cellStyle name="40% - 强调文字颜色 5 3 18 6 2" xfId="18996"/>
    <cellStyle name="40% - 强调文字颜色 5 3 18 6 2 2" xfId="18999"/>
    <cellStyle name="40% - 强调文字颜色 5 3 18 6 2 3" xfId="19004"/>
    <cellStyle name="40% - 强调文字颜色 5 3 18 6 3" xfId="18958"/>
    <cellStyle name="40% - 强调文字颜色 5 3 18 6 4" xfId="18964"/>
    <cellStyle name="40% - 强调文字颜色 5 3 18 6 5" xfId="18968"/>
    <cellStyle name="40% - 强调文字颜色 5 3 18 6 6" xfId="18971"/>
    <cellStyle name="40% - 强调文字颜色 5 3 18 6 7" xfId="18974"/>
    <cellStyle name="40% - 强调文字颜色 5 3 18 6 8" xfId="18977"/>
    <cellStyle name="40% - 强调文字颜色 5 3 18 7" xfId="5074"/>
    <cellStyle name="40% - 强调文字颜色 5 3 18 8" xfId="15495"/>
    <cellStyle name="40% - 强调文字颜色 5 3 18 9" xfId="4839"/>
    <cellStyle name="40% - 强调文字颜色 5 3 18 9 2" xfId="19006"/>
    <cellStyle name="40% - 强调文字颜色 5 3 18 9 3" xfId="19008"/>
    <cellStyle name="40% - 强调文字颜色 5 3 19" xfId="19010"/>
    <cellStyle name="40% - 强调文字颜色 5 3 19 10" xfId="19014"/>
    <cellStyle name="40% - 强调文字颜色 5 3 19 11" xfId="19015"/>
    <cellStyle name="40% - 强调文字颜色 5 3 19 12" xfId="19017"/>
    <cellStyle name="40% - 强调文字颜色 5 3 19 13" xfId="19018"/>
    <cellStyle name="40% - 强调文字颜色 5 3 19 14" xfId="19019"/>
    <cellStyle name="40% - 强调文字颜色 5 3 19 2" xfId="6818"/>
    <cellStyle name="40% - 强调文字颜色 5 3 19 3" xfId="6827"/>
    <cellStyle name="40% - 强调文字颜色 5 3 19 4" xfId="6867"/>
    <cellStyle name="40% - 强调文字颜色 5 3 19 5" xfId="6888"/>
    <cellStyle name="40% - 强调文字颜色 5 3 19 5 10" xfId="10493"/>
    <cellStyle name="40% - 强调文字颜色 5 3 19 5 11" xfId="10501"/>
    <cellStyle name="40% - 强调文字颜色 5 3 19 5 2" xfId="19021"/>
    <cellStyle name="40% - 强调文字颜色 5 3 19 5 2 2" xfId="2718"/>
    <cellStyle name="40% - 强调文字颜色 5 3 19 5 2 2 2" xfId="19024"/>
    <cellStyle name="40% - 强调文字颜色 5 3 19 5 2 2 3" xfId="19026"/>
    <cellStyle name="40% - 强调文字颜色 5 3 19 5 2 3" xfId="2736"/>
    <cellStyle name="40% - 强调文字颜色 5 3 19 5 2 4" xfId="5488"/>
    <cellStyle name="40% - 强调文字颜色 5 3 19 5 2 5" xfId="5562"/>
    <cellStyle name="40% - 强调文字颜色 5 3 19 5 2 6" xfId="5569"/>
    <cellStyle name="40% - 强调文字颜色 5 3 19 5 2 7" xfId="5576"/>
    <cellStyle name="40% - 强调文字颜色 5 3 19 5 2 8" xfId="19028"/>
    <cellStyle name="40% - 强调文字颜色 5 3 19 5 3" xfId="19030"/>
    <cellStyle name="40% - 强调文字颜色 5 3 19 5 4" xfId="19032"/>
    <cellStyle name="40% - 强调文字颜色 5 3 19 5 5" xfId="19034"/>
    <cellStyle name="40% - 强调文字颜色 5 3 19 5 6" xfId="19037"/>
    <cellStyle name="40% - 强调文字颜色 5 3 19 5 6 2" xfId="4419"/>
    <cellStyle name="40% - 强调文字颜色 5 3 19 5 6 3" xfId="18533"/>
    <cellStyle name="40% - 强调文字颜色 5 3 19 5 7" xfId="19040"/>
    <cellStyle name="40% - 强调文字颜色 5 3 19 5 8" xfId="19042"/>
    <cellStyle name="40% - 强调文字颜色 5 3 19 5 9" xfId="19044"/>
    <cellStyle name="40% - 强调文字颜色 5 3 19 6" xfId="6892"/>
    <cellStyle name="40% - 强调文字颜色 5 3 19 6 2" xfId="19045"/>
    <cellStyle name="40% - 强调文字颜色 5 3 19 6 2 2" xfId="9865"/>
    <cellStyle name="40% - 强调文字颜色 5 3 19 6 2 3" xfId="9873"/>
    <cellStyle name="40% - 强调文字颜色 5 3 19 6 3" xfId="18998"/>
    <cellStyle name="40% - 强调文字颜色 5 3 19 6 4" xfId="19002"/>
    <cellStyle name="40% - 强调文字颜色 5 3 19 6 5" xfId="19046"/>
    <cellStyle name="40% - 强调文字颜色 5 3 19 6 6" xfId="19047"/>
    <cellStyle name="40% - 强调文字颜色 5 3 19 6 7" xfId="15943"/>
    <cellStyle name="40% - 强调文字颜色 5 3 19 6 8" xfId="15950"/>
    <cellStyle name="40% - 强调文字颜色 5 3 19 7" xfId="6896"/>
    <cellStyle name="40% - 强调文字颜色 5 3 19 8" xfId="19051"/>
    <cellStyle name="40% - 强调文字颜色 5 3 19 9" xfId="19054"/>
    <cellStyle name="40% - 强调文字颜色 5 3 19 9 2" xfId="19056"/>
    <cellStyle name="40% - 强调文字颜色 5 3 19 9 3" xfId="19058"/>
    <cellStyle name="40% - 强调文字颜色 5 3 2" xfId="19059"/>
    <cellStyle name="40% - 强调文字颜色 5 3 2 10" xfId="4449"/>
    <cellStyle name="40% - 强调文字颜色 5 3 2 11" xfId="4465"/>
    <cellStyle name="40% - 强调文字颜色 5 3 2 12" xfId="4478"/>
    <cellStyle name="40% - 强调文字颜色 5 3 2 13" xfId="4491"/>
    <cellStyle name="40% - 强调文字颜色 5 3 2 14" xfId="19061"/>
    <cellStyle name="40% - 强调文字颜色 5 3 2 2" xfId="19063"/>
    <cellStyle name="40% - 强调文字颜色 5 3 2 3" xfId="11673"/>
    <cellStyle name="40% - 强调文字颜色 5 3 2 4" xfId="11679"/>
    <cellStyle name="40% - 强调文字颜色 5 3 2 5" xfId="19065"/>
    <cellStyle name="40% - 强调文字颜色 5 3 2 6" xfId="19066"/>
    <cellStyle name="40% - 强调文字颜色 5 3 2 7" xfId="18365"/>
    <cellStyle name="40% - 强调文字颜色 5 3 2 8" xfId="18367"/>
    <cellStyle name="40% - 强调文字颜色 5 3 2 9" xfId="19067"/>
    <cellStyle name="40% - 强调文字颜色 5 3 20" xfId="18860"/>
    <cellStyle name="40% - 强调文字颜色 5 3 20 10" xfId="3445"/>
    <cellStyle name="40% - 强调文字颜色 5 3 20 11" xfId="3528"/>
    <cellStyle name="40% - 强调文字颜色 5 3 20 12" xfId="3535"/>
    <cellStyle name="40% - 强调文字颜色 5 3 20 13" xfId="5380"/>
    <cellStyle name="40% - 强调文字颜色 5 3 20 14" xfId="1023"/>
    <cellStyle name="40% - 强调文字颜色 5 3 20 2" xfId="19071"/>
    <cellStyle name="40% - 强调文字颜色 5 3 20 3" xfId="19073"/>
    <cellStyle name="40% - 强调文字颜色 5 3 20 4" xfId="19074"/>
    <cellStyle name="40% - 强调文字颜色 5 3 20 5" xfId="19075"/>
    <cellStyle name="40% - 强调文字颜色 5 3 20 5 10" xfId="19076"/>
    <cellStyle name="40% - 强调文字颜色 5 3 20 5 11" xfId="19078"/>
    <cellStyle name="40% - 强调文字颜色 5 3 20 5 2" xfId="3646"/>
    <cellStyle name="40% - 强调文字颜色 5 3 20 5 2 2" xfId="8851"/>
    <cellStyle name="40% - 强调文字颜色 5 3 20 5 2 2 2" xfId="7507"/>
    <cellStyle name="40% - 强调文字颜色 5 3 20 5 2 2 3" xfId="5583"/>
    <cellStyle name="40% - 强调文字颜色 5 3 20 5 2 3" xfId="8875"/>
    <cellStyle name="40% - 强调文字颜色 5 3 20 5 2 4" xfId="7516"/>
    <cellStyle name="40% - 强调文字颜色 5 3 20 5 2 5" xfId="5590"/>
    <cellStyle name="40% - 强调文字颜色 5 3 20 5 2 6" xfId="5602"/>
    <cellStyle name="40% - 强调文字颜色 5 3 20 5 2 7" xfId="14555"/>
    <cellStyle name="40% - 强调文字颜色 5 3 20 5 2 8" xfId="14567"/>
    <cellStyle name="40% - 强调文字颜色 5 3 20 5 3" xfId="3654"/>
    <cellStyle name="40% - 强调文字颜色 5 3 20 5 4" xfId="17190"/>
    <cellStyle name="40% - 强调文字颜色 5 3 20 5 5" xfId="17193"/>
    <cellStyle name="40% - 强调文字颜色 5 3 20 5 6" xfId="19080"/>
    <cellStyle name="40% - 强调文字颜色 5 3 20 5 6 2" xfId="16347"/>
    <cellStyle name="40% - 强调文字颜色 5 3 20 5 6 3" xfId="19082"/>
    <cellStyle name="40% - 强调文字颜色 5 3 20 5 7" xfId="19083"/>
    <cellStyle name="40% - 强调文字颜色 5 3 20 5 8" xfId="19085"/>
    <cellStyle name="40% - 强调文字颜色 5 3 20 5 9" xfId="19087"/>
    <cellStyle name="40% - 强调文字颜色 5 3 20 6" xfId="19088"/>
    <cellStyle name="40% - 强调文字颜色 5 3 20 6 2" xfId="19089"/>
    <cellStyle name="40% - 强调文字颜色 5 3 20 6 2 2" xfId="15511"/>
    <cellStyle name="40% - 强调文字颜色 5 3 20 6 2 3" xfId="14597"/>
    <cellStyle name="40% - 强调文字颜色 5 3 20 6 3" xfId="19090"/>
    <cellStyle name="40% - 强调文字颜色 5 3 20 6 4" xfId="19091"/>
    <cellStyle name="40% - 强调文字颜色 5 3 20 6 5" xfId="19092"/>
    <cellStyle name="40% - 强调文字颜色 5 3 20 6 6" xfId="19093"/>
    <cellStyle name="40% - 强调文字颜色 5 3 20 6 7" xfId="19095"/>
    <cellStyle name="40% - 强调文字颜色 5 3 20 6 8" xfId="16502"/>
    <cellStyle name="40% - 强调文字颜色 5 3 20 7" xfId="19096"/>
    <cellStyle name="40% - 强调文字颜色 5 3 20 8" xfId="19097"/>
    <cellStyle name="40% - 强调文字颜色 5 3 20 9" xfId="19099"/>
    <cellStyle name="40% - 强调文字颜色 5 3 20 9 2" xfId="19100"/>
    <cellStyle name="40% - 强调文字颜色 5 3 20 9 3" xfId="19101"/>
    <cellStyle name="40% - 强调文字颜色 5 3 3" xfId="19103"/>
    <cellStyle name="40% - 强调文字颜色 5 3 3 10" xfId="14943"/>
    <cellStyle name="40% - 强调文字颜色 5 3 3 11" xfId="12282"/>
    <cellStyle name="40% - 强调文字颜色 5 3 3 12" xfId="12288"/>
    <cellStyle name="40% - 强调文字颜色 5 3 3 13" xfId="14951"/>
    <cellStyle name="40% - 强调文字颜色 5 3 3 14" xfId="16810"/>
    <cellStyle name="40% - 强调文字颜色 5 3 3 2" xfId="19105"/>
    <cellStyle name="40% - 强调文字颜色 5 3 3 3" xfId="19106"/>
    <cellStyle name="40% - 强调文字颜色 5 3 3 4" xfId="19107"/>
    <cellStyle name="40% - 强调文字颜色 5 3 3 5" xfId="19108"/>
    <cellStyle name="40% - 强调文字颜色 5 3 3 6" xfId="19110"/>
    <cellStyle name="40% - 强调文字颜色 5 3 3 7" xfId="19112"/>
    <cellStyle name="40% - 强调文字颜色 5 3 3 8" xfId="19114"/>
    <cellStyle name="40% - 强调文字颜色 5 3 3 9" xfId="19116"/>
    <cellStyle name="40% - 强调文字颜色 5 3 4" xfId="19117"/>
    <cellStyle name="40% - 强调文字颜色 5 3 4 10" xfId="19118"/>
    <cellStyle name="40% - 强调文字颜色 5 3 4 11" xfId="19119"/>
    <cellStyle name="40% - 强调文字颜色 5 3 4 12" xfId="19120"/>
    <cellStyle name="40% - 强调文字颜色 5 3 4 13" xfId="19121"/>
    <cellStyle name="40% - 强调文字颜色 5 3 4 14" xfId="19124"/>
    <cellStyle name="40% - 强调文字颜色 5 3 4 2" xfId="19126"/>
    <cellStyle name="40% - 强调文字颜色 5 3 4 3" xfId="19128"/>
    <cellStyle name="40% - 强调文字颜色 5 3 4 4" xfId="19130"/>
    <cellStyle name="40% - 强调文字颜色 5 3 4 5" xfId="19132"/>
    <cellStyle name="40% - 强调文字颜色 5 3 4 6" xfId="19134"/>
    <cellStyle name="40% - 强调文字颜色 5 3 4 7" xfId="19135"/>
    <cellStyle name="40% - 强调文字颜色 5 3 4 8" xfId="19137"/>
    <cellStyle name="40% - 强调文字颜色 5 3 4 9" xfId="19139"/>
    <cellStyle name="40% - 强调文字颜色 5 3 5" xfId="19141"/>
    <cellStyle name="40% - 强调文字颜色 5 3 6" xfId="19142"/>
    <cellStyle name="40% - 强调文字颜色 5 3 7" xfId="19144"/>
    <cellStyle name="40% - 强调文字颜色 5 3 8" xfId="19146"/>
    <cellStyle name="40% - 强调文字颜色 5 3 9" xfId="19147"/>
    <cellStyle name="40% - 强调文字颜色 5 4" xfId="12589"/>
    <cellStyle name="40% - 强调文字颜色 5 4 10" xfId="9774"/>
    <cellStyle name="40% - 强调文字颜色 5 4 11" xfId="9241"/>
    <cellStyle name="40% - 强调文字颜色 5 4 12" xfId="9250"/>
    <cellStyle name="40% - 强调文字颜色 5 4 13" xfId="19149"/>
    <cellStyle name="40% - 强调文字颜色 5 4 14" xfId="19151"/>
    <cellStyle name="40% - 强调文字颜色 5 4 15" xfId="19154"/>
    <cellStyle name="40% - 强调文字颜色 5 4 16" xfId="19155"/>
    <cellStyle name="40% - 强调文字颜色 5 4 17" xfId="9432"/>
    <cellStyle name="40% - 强调文字颜色 5 4 17 10" xfId="7096"/>
    <cellStyle name="40% - 强调文字颜色 5 4 17 11" xfId="7110"/>
    <cellStyle name="40% - 强调文字颜色 5 4 17 12" xfId="19156"/>
    <cellStyle name="40% - 强调文字颜色 5 4 17 13" xfId="19159"/>
    <cellStyle name="40% - 强调文字颜色 5 4 17 14" xfId="19162"/>
    <cellStyle name="40% - 强调文字颜色 5 4 17 2" xfId="19169"/>
    <cellStyle name="40% - 强调文字颜色 5 4 17 3" xfId="19174"/>
    <cellStyle name="40% - 强调文字颜色 5 4 17 4" xfId="19178"/>
    <cellStyle name="40% - 强调文字颜色 5 4 17 5" xfId="19182"/>
    <cellStyle name="40% - 强调文字颜色 5 4 17 5 10" xfId="13235"/>
    <cellStyle name="40% - 强调文字颜色 5 4 17 5 11" xfId="13239"/>
    <cellStyle name="40% - 强调文字颜色 5 4 17 5 2" xfId="19183"/>
    <cellStyle name="40% - 强调文字颜色 5 4 17 5 2 2" xfId="15744"/>
    <cellStyle name="40% - 强调文字颜色 5 4 17 5 2 2 2" xfId="13008"/>
    <cellStyle name="40% - 强调文字颜色 5 4 17 5 2 2 3" xfId="13021"/>
    <cellStyle name="40% - 强调文字颜色 5 4 17 5 2 3" xfId="16269"/>
    <cellStyle name="40% - 强调文字颜色 5 4 17 5 2 4" xfId="16276"/>
    <cellStyle name="40% - 强调文字颜色 5 4 17 5 2 5" xfId="16282"/>
    <cellStyle name="40% - 强调文字颜色 5 4 17 5 2 6" xfId="16286"/>
    <cellStyle name="40% - 强调文字颜色 5 4 17 5 2 7" xfId="16289"/>
    <cellStyle name="40% - 强调文字颜色 5 4 17 5 2 8" xfId="16292"/>
    <cellStyle name="40% - 强调文字颜色 5 4 17 5 3" xfId="19185"/>
    <cellStyle name="40% - 强调文字颜色 5 4 17 5 4" xfId="19186"/>
    <cellStyle name="40% - 强调文字颜色 5 4 17 5 5" xfId="19187"/>
    <cellStyle name="40% - 强调文字颜色 5 4 17 5 6" xfId="19188"/>
    <cellStyle name="40% - 强调文字颜色 5 4 17 5 6 2" xfId="15802"/>
    <cellStyle name="40% - 强调文字颜色 5 4 17 5 6 3" xfId="19189"/>
    <cellStyle name="40% - 强调文字颜色 5 4 17 5 7" xfId="19190"/>
    <cellStyle name="40% - 强调文字颜色 5 4 17 5 8" xfId="19191"/>
    <cellStyle name="40% - 强调文字颜色 5 4 17 5 9" xfId="18340"/>
    <cellStyle name="40% - 强调文字颜色 5 4 17 6" xfId="19195"/>
    <cellStyle name="40% - 强调文字颜色 5 4 17 6 2" xfId="19197"/>
    <cellStyle name="40% - 强调文字颜色 5 4 17 6 2 2" xfId="19199"/>
    <cellStyle name="40% - 强调文字颜色 5 4 17 6 2 3" xfId="19203"/>
    <cellStyle name="40% - 强调文字颜色 5 4 17 6 3" xfId="19206"/>
    <cellStyle name="40% - 强调文字颜色 5 4 17 6 4" xfId="19209"/>
    <cellStyle name="40% - 强调文字颜色 5 4 17 6 5" xfId="19212"/>
    <cellStyle name="40% - 强调文字颜色 5 4 17 6 6" xfId="19213"/>
    <cellStyle name="40% - 强调文字颜色 5 4 17 6 7" xfId="4211"/>
    <cellStyle name="40% - 强调文字颜色 5 4 17 6 8" xfId="4271"/>
    <cellStyle name="40% - 强调文字颜色 5 4 17 7" xfId="19217"/>
    <cellStyle name="40% - 强调文字颜色 5 4 17 8" xfId="19220"/>
    <cellStyle name="40% - 强调文字颜色 5 4 17 9" xfId="19224"/>
    <cellStyle name="40% - 强调文字颜色 5 4 17 9 2" xfId="19227"/>
    <cellStyle name="40% - 强调文字颜色 5 4 17 9 3" xfId="19230"/>
    <cellStyle name="40% - 强调文字颜色 5 4 18" xfId="9441"/>
    <cellStyle name="40% - 强调文字颜色 5 4 18 10" xfId="3986"/>
    <cellStyle name="40% - 强调文字颜色 5 4 18 11" xfId="4918"/>
    <cellStyle name="40% - 强调文字颜色 5 4 18 12" xfId="5220"/>
    <cellStyle name="40% - 强调文字颜色 5 4 18 13" xfId="2841"/>
    <cellStyle name="40% - 强调文字颜色 5 4 18 14" xfId="2863"/>
    <cellStyle name="40% - 强调文字颜色 5 4 18 2" xfId="7295"/>
    <cellStyle name="40% - 强调文字颜色 5 4 18 3" xfId="7304"/>
    <cellStyle name="40% - 强调文字颜色 5 4 18 4" xfId="7320"/>
    <cellStyle name="40% - 强调文字颜色 5 4 18 5" xfId="7327"/>
    <cellStyle name="40% - 强调文字颜色 5 4 18 5 10" xfId="19231"/>
    <cellStyle name="40% - 强调文字颜色 5 4 18 5 11" xfId="19236"/>
    <cellStyle name="40% - 强调文字颜色 5 4 18 5 2" xfId="19237"/>
    <cellStyle name="40% - 强调文字颜色 5 4 18 5 2 2" xfId="19242"/>
    <cellStyle name="40% - 强调文字颜色 5 4 18 5 2 2 2" xfId="10956"/>
    <cellStyle name="40% - 强调文字颜色 5 4 18 5 2 2 3" xfId="19246"/>
    <cellStyle name="40% - 强调文字颜色 5 4 18 5 2 3" xfId="19251"/>
    <cellStyle name="40% - 强调文字颜色 5 4 18 5 2 4" xfId="19255"/>
    <cellStyle name="40% - 强调文字颜色 5 4 18 5 2 5" xfId="19259"/>
    <cellStyle name="40% - 强调文字颜色 5 4 18 5 2 6" xfId="19263"/>
    <cellStyle name="40% - 强调文字颜色 5 4 18 5 2 7" xfId="19267"/>
    <cellStyle name="40% - 强调文字颜色 5 4 18 5 2 8" xfId="1506"/>
    <cellStyle name="40% - 强调文字颜色 5 4 18 5 3" xfId="19270"/>
    <cellStyle name="40% - 强调文字颜色 5 4 18 5 4" xfId="19271"/>
    <cellStyle name="40% - 强调文字颜色 5 4 18 5 5" xfId="19272"/>
    <cellStyle name="40% - 强调文字颜色 5 4 18 5 6" xfId="19273"/>
    <cellStyle name="40% - 强调文字颜色 5 4 18 5 6 2" xfId="19274"/>
    <cellStyle name="40% - 强调文字颜色 5 4 18 5 6 3" xfId="19276"/>
    <cellStyle name="40% - 强调文字颜色 5 4 18 5 7" xfId="19277"/>
    <cellStyle name="40% - 强调文字颜色 5 4 18 5 8" xfId="9895"/>
    <cellStyle name="40% - 强调文字颜色 5 4 18 5 9" xfId="9904"/>
    <cellStyle name="40% - 强调文字颜色 5 4 18 6" xfId="7336"/>
    <cellStyle name="40% - 强调文字颜色 5 4 18 6 2" xfId="19281"/>
    <cellStyle name="40% - 强调文字颜色 5 4 18 6 2 2" xfId="19283"/>
    <cellStyle name="40% - 强调文字颜色 5 4 18 6 2 3" xfId="19288"/>
    <cellStyle name="40% - 强调文字颜色 5 4 18 6 3" xfId="19294"/>
    <cellStyle name="40% - 强调文字颜色 5 4 18 6 4" xfId="19298"/>
    <cellStyle name="40% - 强调文字颜色 5 4 18 6 5" xfId="19302"/>
    <cellStyle name="40% - 强调文字颜色 5 4 18 6 6" xfId="19303"/>
    <cellStyle name="40% - 强调文字颜色 5 4 18 6 7" xfId="19305"/>
    <cellStyle name="40% - 强调文字颜色 5 4 18 6 8" xfId="19307"/>
    <cellStyle name="40% - 强调文字颜色 5 4 18 7" xfId="7345"/>
    <cellStyle name="40% - 强调文字颜色 5 4 18 8" xfId="19308"/>
    <cellStyle name="40% - 强调文字颜色 5 4 18 9" xfId="19309"/>
    <cellStyle name="40% - 强调文字颜色 5 4 18 9 2" xfId="19310"/>
    <cellStyle name="40% - 强调文字颜色 5 4 18 9 3" xfId="19312"/>
    <cellStyle name="40% - 强调文字颜色 5 4 19" xfId="19314"/>
    <cellStyle name="40% - 强调文字颜色 5 4 19 10" xfId="18476"/>
    <cellStyle name="40% - 强调文字颜色 5 4 19 11" xfId="18479"/>
    <cellStyle name="40% - 强调文字颜色 5 4 19 12" xfId="19315"/>
    <cellStyle name="40% - 强调文字颜色 5 4 19 13" xfId="19316"/>
    <cellStyle name="40% - 强调文字颜色 5 4 19 14" xfId="19317"/>
    <cellStyle name="40% - 强调文字颜色 5 4 19 2" xfId="7393"/>
    <cellStyle name="40% - 强调文字颜色 5 4 19 3" xfId="7407"/>
    <cellStyle name="40% - 强调文字颜色 5 4 19 4" xfId="7417"/>
    <cellStyle name="40% - 强调文字颜色 5 4 19 5" xfId="239"/>
    <cellStyle name="40% - 强调文字颜色 5 4 19 5 10" xfId="7042"/>
    <cellStyle name="40% - 强调文字颜色 5 4 19 5 11" xfId="7057"/>
    <cellStyle name="40% - 强调文字颜色 5 4 19 5 2" xfId="19318"/>
    <cellStyle name="40% - 强调文字颜色 5 4 19 5 2 2" xfId="438"/>
    <cellStyle name="40% - 强调文字颜色 5 4 19 5 2 2 2" xfId="19319"/>
    <cellStyle name="40% - 强调文字颜色 5 4 19 5 2 2 3" xfId="19320"/>
    <cellStyle name="40% - 强调文字颜色 5 4 19 5 2 3" xfId="11136"/>
    <cellStyle name="40% - 强调文字颜色 5 4 19 5 2 4" xfId="11140"/>
    <cellStyle name="40% - 强调文字颜色 5 4 19 5 2 5" xfId="11144"/>
    <cellStyle name="40% - 强调文字颜色 5 4 19 5 2 6" xfId="19321"/>
    <cellStyle name="40% - 强调文字颜色 5 4 19 5 2 7" xfId="19322"/>
    <cellStyle name="40% - 强调文字颜色 5 4 19 5 2 8" xfId="19323"/>
    <cellStyle name="40% - 强调文字颜色 5 4 19 5 3" xfId="19324"/>
    <cellStyle name="40% - 强调文字颜色 5 4 19 5 4" xfId="19325"/>
    <cellStyle name="40% - 强调文字颜色 5 4 19 5 5" xfId="19326"/>
    <cellStyle name="40% - 强调文字颜色 5 4 19 5 6" xfId="19327"/>
    <cellStyle name="40% - 强调文字颜色 5 4 19 5 6 2" xfId="17550"/>
    <cellStyle name="40% - 强调文字颜色 5 4 19 5 6 3" xfId="17552"/>
    <cellStyle name="40% - 强调文字颜色 5 4 19 5 7" xfId="19328"/>
    <cellStyle name="40% - 强调文字颜色 5 4 19 5 8" xfId="19329"/>
    <cellStyle name="40% - 强调文字颜色 5 4 19 5 9" xfId="19332"/>
    <cellStyle name="40% - 强调文字颜色 5 4 19 6" xfId="5918"/>
    <cellStyle name="40% - 强调文字颜色 5 4 19 6 2" xfId="14178"/>
    <cellStyle name="40% - 强调文字颜色 5 4 19 6 2 2" xfId="12635"/>
    <cellStyle name="40% - 强调文字颜色 5 4 19 6 2 3" xfId="12642"/>
    <cellStyle name="40% - 强调文字颜色 5 4 19 6 3" xfId="14181"/>
    <cellStyle name="40% - 强调文字颜色 5 4 19 6 4" xfId="14185"/>
    <cellStyle name="40% - 强调文字颜色 5 4 19 6 5" xfId="14189"/>
    <cellStyle name="40% - 强调文字颜色 5 4 19 6 6" xfId="8015"/>
    <cellStyle name="40% - 强调文字颜色 5 4 19 6 7" xfId="8019"/>
    <cellStyle name="40% - 强调文字颜色 5 4 19 6 8" xfId="16710"/>
    <cellStyle name="40% - 强调文字颜色 5 4 19 7" xfId="7424"/>
    <cellStyle name="40% - 强调文字颜色 5 4 19 8" xfId="19334"/>
    <cellStyle name="40% - 强调文字颜色 5 4 19 9" xfId="19335"/>
    <cellStyle name="40% - 强调文字颜色 5 4 19 9 2" xfId="19336"/>
    <cellStyle name="40% - 强调文字颜色 5 4 19 9 3" xfId="19338"/>
    <cellStyle name="40% - 强调文字颜色 5 4 2" xfId="19341"/>
    <cellStyle name="40% - 强调文字颜色 5 4 20" xfId="19153"/>
    <cellStyle name="40% - 强调文字颜色 5 4 20 10" xfId="3110"/>
    <cellStyle name="40% - 强调文字颜色 5 4 20 11" xfId="4012"/>
    <cellStyle name="40% - 强调文字颜色 5 4 20 12" xfId="19343"/>
    <cellStyle name="40% - 强调文字颜色 5 4 20 13" xfId="19344"/>
    <cellStyle name="40% - 强调文字颜色 5 4 20 14" xfId="19346"/>
    <cellStyle name="40% - 强调文字颜色 5 4 20 2" xfId="9354"/>
    <cellStyle name="40% - 强调文字颜色 5 4 20 3" xfId="9370"/>
    <cellStyle name="40% - 强调文字颜色 5 4 20 4" xfId="9380"/>
    <cellStyle name="40% - 强调文字颜色 5 4 20 5" xfId="9396"/>
    <cellStyle name="40% - 强调文字颜色 5 4 20 5 10" xfId="19348"/>
    <cellStyle name="40% - 强调文字颜色 5 4 20 5 11" xfId="19350"/>
    <cellStyle name="40% - 强调文字颜色 5 4 20 5 2" xfId="6564"/>
    <cellStyle name="40% - 强调文字颜色 5 4 20 5 2 2" xfId="17083"/>
    <cellStyle name="40% - 强调文字颜色 5 4 20 5 2 2 2" xfId="19352"/>
    <cellStyle name="40% - 强调文字颜色 5 4 20 5 2 2 3" xfId="17791"/>
    <cellStyle name="40% - 强调文字颜色 5 4 20 5 2 3" xfId="17089"/>
    <cellStyle name="40% - 强调文字颜色 5 4 20 5 2 4" xfId="12783"/>
    <cellStyle name="40% - 强调文字颜色 5 4 20 5 2 5" xfId="12788"/>
    <cellStyle name="40% - 强调文字颜色 5 4 20 5 2 6" xfId="12793"/>
    <cellStyle name="40% - 强调文字颜色 5 4 20 5 2 7" xfId="12798"/>
    <cellStyle name="40% - 强调文字颜色 5 4 20 5 2 8" xfId="12803"/>
    <cellStyle name="40% - 强调文字颜色 5 4 20 5 3" xfId="6569"/>
    <cellStyle name="40% - 强调文字颜色 5 4 20 5 4" xfId="18302"/>
    <cellStyle name="40% - 强调文字颜色 5 4 20 5 5" xfId="18306"/>
    <cellStyle name="40% - 强调文字颜色 5 4 20 5 6" xfId="18310"/>
    <cellStyle name="40% - 强调文字颜色 5 4 20 5 6 2" xfId="8822"/>
    <cellStyle name="40% - 强调文字颜色 5 4 20 5 6 3" xfId="19353"/>
    <cellStyle name="40% - 强调文字颜色 5 4 20 5 7" xfId="18314"/>
    <cellStyle name="40% - 强调文字颜色 5 4 20 5 8" xfId="19355"/>
    <cellStyle name="40% - 强调文字颜色 5 4 20 5 9" xfId="19358"/>
    <cellStyle name="40% - 强调文字颜色 5 4 20 6" xfId="18721"/>
    <cellStyle name="40% - 强调文字颜色 5 4 20 6 2" xfId="19359"/>
    <cellStyle name="40% - 强调文字颜色 5 4 20 6 2 2" xfId="17128"/>
    <cellStyle name="40% - 强调文字颜色 5 4 20 6 2 3" xfId="17131"/>
    <cellStyle name="40% - 强调文字颜色 5 4 20 6 3" xfId="19360"/>
    <cellStyle name="40% - 强调文字颜色 5 4 20 6 4" xfId="19361"/>
    <cellStyle name="40% - 强调文字颜色 5 4 20 6 5" xfId="19362"/>
    <cellStyle name="40% - 强调文字颜色 5 4 20 6 6" xfId="19363"/>
    <cellStyle name="40% - 强调文字颜色 5 4 20 6 7" xfId="19366"/>
    <cellStyle name="40% - 强调文字颜色 5 4 20 6 8" xfId="5507"/>
    <cellStyle name="40% - 强调文字颜色 5 4 20 7" xfId="218"/>
    <cellStyle name="40% - 强调文字颜色 5 4 20 8" xfId="9413"/>
    <cellStyle name="40% - 强调文字颜色 5 4 20 9" xfId="10233"/>
    <cellStyle name="40% - 强调文字颜色 5 4 20 9 2" xfId="19368"/>
    <cellStyle name="40% - 强调文字颜色 5 4 20 9 3" xfId="19370"/>
    <cellStyle name="40% - 强调文字颜色 5 4 3" xfId="19372"/>
    <cellStyle name="40% - 强调文字颜色 5 4 4" xfId="19373"/>
    <cellStyle name="40% - 强调文字颜色 5 4 5" xfId="19375"/>
    <cellStyle name="40% - 强调文字颜色 5 4 6" xfId="19377"/>
    <cellStyle name="40% - 强调文字颜色 5 4 7" xfId="19380"/>
    <cellStyle name="40% - 强调文字颜色 5 4 8" xfId="19383"/>
    <cellStyle name="40% - 强调文字颜色 5 4 9" xfId="19386"/>
    <cellStyle name="40% - 强调文字颜色 5 5" xfId="12593"/>
    <cellStyle name="40% - 强调文字颜色 5 5 10" xfId="19390"/>
    <cellStyle name="40% - 强调文字颜色 5 5 11" xfId="19392"/>
    <cellStyle name="40% - 强调文字颜色 5 5 12" xfId="19394"/>
    <cellStyle name="40% - 强调文字颜色 5 5 13" xfId="19397"/>
    <cellStyle name="40% - 强调文字颜色 5 5 14" xfId="6609"/>
    <cellStyle name="40% - 强调文字颜色 5 5 2" xfId="19398"/>
    <cellStyle name="40% - 强调文字颜色 5 5 3" xfId="19399"/>
    <cellStyle name="40% - 强调文字颜色 5 5 4" xfId="19400"/>
    <cellStyle name="40% - 强调文字颜色 5 5 5" xfId="19402"/>
    <cellStyle name="40% - 强调文字颜色 5 5 6" xfId="19404"/>
    <cellStyle name="40% - 强调文字颜色 5 5 7" xfId="19406"/>
    <cellStyle name="40% - 强调文字颜色 5 5 8" xfId="19408"/>
    <cellStyle name="40% - 强调文字颜色 5 5 9" xfId="19410"/>
    <cellStyle name="40% - 强调文字颜色 5 6" xfId="12599"/>
    <cellStyle name="40% - 强调文字颜色 5 6 10" xfId="18610"/>
    <cellStyle name="40% - 强调文字颜色 5 6 11" xfId="18619"/>
    <cellStyle name="40% - 强调文字颜色 5 6 12" xfId="19418"/>
    <cellStyle name="40% - 强调文字颜色 5 6 13" xfId="17613"/>
    <cellStyle name="40% - 强调文字颜色 5 6 14" xfId="17618"/>
    <cellStyle name="40% - 强调文字颜色 5 6 2" xfId="6861"/>
    <cellStyle name="40% - 强调文字颜色 5 6 3" xfId="2321"/>
    <cellStyle name="40% - 强调文字颜色 5 6 4" xfId="19419"/>
    <cellStyle name="40% - 强调文字颜色 5 6 5" xfId="19420"/>
    <cellStyle name="40% - 强调文字颜色 5 6 6" xfId="19421"/>
    <cellStyle name="40% - 强调文字颜色 5 6 7" xfId="4436"/>
    <cellStyle name="40% - 强调文字颜色 5 6 8" xfId="4447"/>
    <cellStyle name="40% - 强调文字颜色 5 6 9" xfId="4464"/>
    <cellStyle name="40% - 强调文字颜色 5 7" xfId="12605"/>
    <cellStyle name="40% - 强调文字颜色 5 8" xfId="12608"/>
    <cellStyle name="40% - 强调文字颜色 5 9" xfId="12610"/>
    <cellStyle name="40% - 强调文字颜色 6 10" xfId="10670"/>
    <cellStyle name="40% - 强调文字颜色 6 11" xfId="10681"/>
    <cellStyle name="40% - 强调文字颜色 6 12" xfId="19426"/>
    <cellStyle name="40% - 强调文字颜色 6 12 10" xfId="1979"/>
    <cellStyle name="40% - 强调文字颜色 6 12 11" xfId="1985"/>
    <cellStyle name="40% - 强调文字颜色 6 12 12" xfId="2005"/>
    <cellStyle name="40% - 强调文字颜色 6 12 13" xfId="2218"/>
    <cellStyle name="40% - 强调文字颜色 6 12 14" xfId="2297"/>
    <cellStyle name="40% - 强调文字颜色 6 12 2" xfId="3094"/>
    <cellStyle name="40% - 强调文字颜色 6 12 3" xfId="6164"/>
    <cellStyle name="40% - 强调文字颜色 6 12 4" xfId="19428"/>
    <cellStyle name="40% - 强调文字颜色 6 12 5" xfId="19430"/>
    <cellStyle name="40% - 强调文字颜色 6 12 5 10" xfId="19433"/>
    <cellStyle name="40% - 强调文字颜色 6 12 5 11" xfId="19435"/>
    <cellStyle name="40% - 强调文字颜色 6 12 5 2" xfId="12455"/>
    <cellStyle name="40% - 强调文字颜色 6 12 5 2 2" xfId="19436"/>
    <cellStyle name="40% - 强调文字颜色 6 12 5 2 2 2" xfId="11707"/>
    <cellStyle name="40% - 强调文字颜色 6 12 5 2 2 3" xfId="11715"/>
    <cellStyle name="40% - 强调文字颜色 6 12 5 2 3" xfId="19439"/>
    <cellStyle name="40% - 强调文字颜色 6 12 5 2 4" xfId="19440"/>
    <cellStyle name="40% - 强调文字颜色 6 12 5 2 5" xfId="19441"/>
    <cellStyle name="40% - 强调文字颜色 6 12 5 2 6" xfId="19443"/>
    <cellStyle name="40% - 强调文字颜色 6 12 5 2 7" xfId="17673"/>
    <cellStyle name="40% - 强调文字颜色 6 12 5 2 8" xfId="7768"/>
    <cellStyle name="40% - 强调文字颜色 6 12 5 3" xfId="19446"/>
    <cellStyle name="40% - 强调文字颜色 6 12 5 4" xfId="19448"/>
    <cellStyle name="40% - 强调文字颜色 6 12 5 5" xfId="10609"/>
    <cellStyle name="40% - 强调文字颜色 6 12 5 6" xfId="10621"/>
    <cellStyle name="40% - 强调文字颜色 6 12 5 6 2" xfId="19449"/>
    <cellStyle name="40% - 强调文字颜色 6 12 5 6 3" xfId="19451"/>
    <cellStyle name="40% - 强调文字颜色 6 12 5 7" xfId="10626"/>
    <cellStyle name="40% - 强调文字颜色 6 12 5 8" xfId="10630"/>
    <cellStyle name="40% - 强调文字颜色 6 12 5 9" xfId="10634"/>
    <cellStyle name="40% - 强调文字颜色 6 12 6" xfId="19453"/>
    <cellStyle name="40% - 强调文字颜色 6 12 6 2" xfId="7308"/>
    <cellStyle name="40% - 强调文字颜色 6 12 6 2 2" xfId="19454"/>
    <cellStyle name="40% - 强调文字颜色 6 12 6 2 3" xfId="19455"/>
    <cellStyle name="40% - 强调文字颜色 6 12 6 3" xfId="7322"/>
    <cellStyle name="40% - 强调文字颜色 6 12 6 4" xfId="7332"/>
    <cellStyle name="40% - 强调文字颜色 6 12 6 5" xfId="7340"/>
    <cellStyle name="40% - 强调文字颜色 6 12 6 6" xfId="7349"/>
    <cellStyle name="40% - 强调文字颜色 6 12 6 7" xfId="7356"/>
    <cellStyle name="40% - 强调文字颜色 6 12 6 8" xfId="19458"/>
    <cellStyle name="40% - 强调文字颜色 6 12 7" xfId="19460"/>
    <cellStyle name="40% - 强调文字颜色 6 12 8" xfId="19463"/>
    <cellStyle name="40% - 强调文字颜色 6 12 9" xfId="18702"/>
    <cellStyle name="40% - 强调文字颜色 6 12 9 2" xfId="19466"/>
    <cellStyle name="40% - 强调文字颜色 6 12 9 3" xfId="19471"/>
    <cellStyle name="40% - 强调文字颜色 6 13" xfId="19475"/>
    <cellStyle name="40% - 强调文字颜色 6 14" xfId="19478"/>
    <cellStyle name="40% - 强调文字颜色 6 15" xfId="19480"/>
    <cellStyle name="40% - 强调文字颜色 6 16" xfId="19481"/>
    <cellStyle name="40% - 强调文字颜色 6 16 10" xfId="2999"/>
    <cellStyle name="40% - 强调文字颜色 6 16 11" xfId="19482"/>
    <cellStyle name="40% - 强调文字颜色 6 16 12" xfId="19483"/>
    <cellStyle name="40% - 强调文字颜色 6 16 13" xfId="16179"/>
    <cellStyle name="40% - 强调文字颜色 6 16 14" xfId="16180"/>
    <cellStyle name="40% - 强调文字颜色 6 16 2" xfId="19484"/>
    <cellStyle name="40% - 强调文字颜色 6 16 3" xfId="19486"/>
    <cellStyle name="40% - 强调文字颜色 6 16 4" xfId="19488"/>
    <cellStyle name="40% - 强调文字颜色 6 16 5" xfId="19489"/>
    <cellStyle name="40% - 强调文字颜色 6 16 5 10" xfId="19490"/>
    <cellStyle name="40% - 强调文字颜色 6 16 5 11" xfId="6738"/>
    <cellStyle name="40% - 强调文字颜色 6 16 5 2" xfId="12212"/>
    <cellStyle name="40% - 强调文字颜色 6 16 5 2 2" xfId="4583"/>
    <cellStyle name="40% - 强调文字颜色 6 16 5 2 2 2" xfId="19491"/>
    <cellStyle name="40% - 强调文字颜色 6 16 5 2 2 3" xfId="19493"/>
    <cellStyle name="40% - 强调文字颜色 6 16 5 2 3" xfId="19494"/>
    <cellStyle name="40% - 强调文字颜色 6 16 5 2 4" xfId="19496"/>
    <cellStyle name="40% - 强调文字颜色 6 16 5 2 5" xfId="19498"/>
    <cellStyle name="40% - 强调文字颜色 6 16 5 2 6" xfId="19500"/>
    <cellStyle name="40% - 强调文字颜色 6 16 5 2 7" xfId="19502"/>
    <cellStyle name="40% - 强调文字颜色 6 16 5 2 8" xfId="19503"/>
    <cellStyle name="40% - 强调文字颜色 6 16 5 3" xfId="4647"/>
    <cellStyle name="40% - 强调文字颜色 6 16 5 4" xfId="4655"/>
    <cellStyle name="40% - 强调文字颜色 6 16 5 5" xfId="12214"/>
    <cellStyle name="40% - 强调文字颜色 6 16 5 6" xfId="12216"/>
    <cellStyle name="40% - 强调文字颜色 6 16 5 6 2" xfId="19504"/>
    <cellStyle name="40% - 强调文字颜色 6 16 5 6 3" xfId="19505"/>
    <cellStyle name="40% - 强调文字颜色 6 16 5 7" xfId="19506"/>
    <cellStyle name="40% - 强调文字颜色 6 16 5 8" xfId="19507"/>
    <cellStyle name="40% - 强调文字颜色 6 16 5 9" xfId="14035"/>
    <cellStyle name="40% - 强调文字颜色 6 16 6" xfId="16386"/>
    <cellStyle name="40% - 强调文字颜色 6 16 6 2" xfId="8143"/>
    <cellStyle name="40% - 强调文字颜色 6 16 6 2 2" xfId="16392"/>
    <cellStyle name="40% - 强调文字颜色 6 16 6 2 3" xfId="16400"/>
    <cellStyle name="40% - 强调文字颜色 6 16 6 3" xfId="8151"/>
    <cellStyle name="40% - 强调文字颜色 6 16 6 4" xfId="8160"/>
    <cellStyle name="40% - 强调文字颜色 6 16 6 5" xfId="8168"/>
    <cellStyle name="40% - 强调文字颜色 6 16 6 6" xfId="8172"/>
    <cellStyle name="40% - 强调文字颜色 6 16 6 7" xfId="8177"/>
    <cellStyle name="40% - 强调文字颜色 6 16 6 8" xfId="16404"/>
    <cellStyle name="40% - 强调文字颜色 6 16 7" xfId="16407"/>
    <cellStyle name="40% - 强调文字颜色 6 16 8" xfId="14669"/>
    <cellStyle name="40% - 强调文字颜色 6 16 9" xfId="14684"/>
    <cellStyle name="40% - 强调文字颜色 6 16 9 2" xfId="9166"/>
    <cellStyle name="40% - 强调文字颜色 6 16 9 3" xfId="5240"/>
    <cellStyle name="40% - 强调文字颜色 6 17" xfId="19508"/>
    <cellStyle name="40% - 强调文字颜色 6 17 10" xfId="19509"/>
    <cellStyle name="40% - 强调文字颜色 6 17 11" xfId="19512"/>
    <cellStyle name="40% - 强调文字颜色 6 17 12" xfId="19515"/>
    <cellStyle name="40% - 强调文字颜色 6 17 13" xfId="19518"/>
    <cellStyle name="40% - 强调文字颜色 6 17 14" xfId="19521"/>
    <cellStyle name="40% - 强调文字颜色 6 17 2" xfId="4829"/>
    <cellStyle name="40% - 强调文字颜色 6 17 3" xfId="4852"/>
    <cellStyle name="40% - 强调文字颜色 6 17 4" xfId="19526"/>
    <cellStyle name="40% - 强调文字颜色 6 17 5" xfId="19532"/>
    <cellStyle name="40% - 强调文字颜色 6 17 5 10" xfId="19533"/>
    <cellStyle name="40% - 强调文字颜色 6 17 5 11" xfId="1475"/>
    <cellStyle name="40% - 强调文字颜色 6 17 5 2" xfId="19534"/>
    <cellStyle name="40% - 强调文字颜色 6 17 5 2 2" xfId="11815"/>
    <cellStyle name="40% - 强调文字颜色 6 17 5 2 2 2" xfId="8059"/>
    <cellStyle name="40% - 强调文字颜色 6 17 5 2 2 3" xfId="9884"/>
    <cellStyle name="40% - 强调文字颜色 6 17 5 2 3" xfId="11824"/>
    <cellStyle name="40% - 强调文字颜色 6 17 5 2 4" xfId="11833"/>
    <cellStyle name="40% - 强调文字颜色 6 17 5 2 5" xfId="11838"/>
    <cellStyle name="40% - 强调文字颜色 6 17 5 2 6" xfId="11843"/>
    <cellStyle name="40% - 强调文字颜色 6 17 5 2 7" xfId="19535"/>
    <cellStyle name="40% - 强调文字颜色 6 17 5 2 8" xfId="9350"/>
    <cellStyle name="40% - 强调文字颜色 6 17 5 3" xfId="19536"/>
    <cellStyle name="40% - 强调文字颜色 6 17 5 4" xfId="19537"/>
    <cellStyle name="40% - 强调文字颜色 6 17 5 5" xfId="19538"/>
    <cellStyle name="40% - 强调文字颜色 6 17 5 6" xfId="19540"/>
    <cellStyle name="40% - 强调文字颜色 6 17 5 6 2" xfId="19541"/>
    <cellStyle name="40% - 强调文字颜色 6 17 5 6 3" xfId="19543"/>
    <cellStyle name="40% - 强调文字颜色 6 17 5 7" xfId="19545"/>
    <cellStyle name="40% - 强调文字颜色 6 17 5 8" xfId="19547"/>
    <cellStyle name="40% - 强调文字颜色 6 17 5 9" xfId="11855"/>
    <cellStyle name="40% - 强调文字颜色 6 17 6" xfId="11863"/>
    <cellStyle name="40% - 强调文字颜色 6 17 6 2" xfId="8269"/>
    <cellStyle name="40% - 强调文字颜色 6 17 6 2 2" xfId="17735"/>
    <cellStyle name="40% - 强调文字颜色 6 17 6 2 3" xfId="17738"/>
    <cellStyle name="40% - 强调文字颜色 6 17 6 3" xfId="8275"/>
    <cellStyle name="40% - 强调文字颜色 6 17 6 4" xfId="8282"/>
    <cellStyle name="40% - 强调文字颜色 6 17 6 5" xfId="8288"/>
    <cellStyle name="40% - 强调文字颜色 6 17 6 6" xfId="8294"/>
    <cellStyle name="40% - 强调文字颜色 6 17 6 7" xfId="8301"/>
    <cellStyle name="40% - 强调文字颜色 6 17 6 8" xfId="19550"/>
    <cellStyle name="40% - 强调文字颜色 6 17 7" xfId="11455"/>
    <cellStyle name="40% - 强调文字颜色 6 17 8" xfId="11466"/>
    <cellStyle name="40% - 强调文字颜色 6 17 9" xfId="11878"/>
    <cellStyle name="40% - 强调文字颜色 6 17 9 2" xfId="547"/>
    <cellStyle name="40% - 强调文字颜色 6 17 9 3" xfId="585"/>
    <cellStyle name="40% - 强调文字颜色 6 18" xfId="19551"/>
    <cellStyle name="40% - 强调文字颜色 6 18 10" xfId="11885"/>
    <cellStyle name="40% - 强调文字颜色 6 18 11" xfId="11892"/>
    <cellStyle name="40% - 强调文字颜色 6 18 12" xfId="11897"/>
    <cellStyle name="40% - 强调文字颜色 6 18 13" xfId="11902"/>
    <cellStyle name="40% - 强调文字颜色 6 18 14" xfId="11909"/>
    <cellStyle name="40% - 强调文字颜色 6 18 2" xfId="19553"/>
    <cellStyle name="40% - 强调文字颜色 6 18 3" xfId="19555"/>
    <cellStyle name="40% - 强调文字颜色 6 18 4" xfId="19557"/>
    <cellStyle name="40% - 强调文字颜色 6 18 5" xfId="19561"/>
    <cellStyle name="40% - 强调文字颜色 6 18 5 10" xfId="19333"/>
    <cellStyle name="40% - 强调文字颜色 6 18 5 11" xfId="19564"/>
    <cellStyle name="40% - 强调文字颜色 6 18 5 2" xfId="8769"/>
    <cellStyle name="40% - 强调文字颜色 6 18 5 2 2" xfId="3810"/>
    <cellStyle name="40% - 强调文字颜色 6 18 5 2 2 2" xfId="4208"/>
    <cellStyle name="40% - 强调文字颜色 6 18 5 2 2 3" xfId="4268"/>
    <cellStyle name="40% - 强调文字颜色 6 18 5 2 3" xfId="5269"/>
    <cellStyle name="40% - 强调文字颜色 6 18 5 2 4" xfId="5289"/>
    <cellStyle name="40% - 强调文字颜色 6 18 5 2 5" xfId="5299"/>
    <cellStyle name="40% - 强调文字颜色 6 18 5 2 6" xfId="5311"/>
    <cellStyle name="40% - 强调文字颜色 6 18 5 2 7" xfId="19566"/>
    <cellStyle name="40% - 强调文字颜色 6 18 5 2 8" xfId="18649"/>
    <cellStyle name="40% - 强调文字颜色 6 18 5 3" xfId="11921"/>
    <cellStyle name="40% - 强调文字颜色 6 18 5 4" xfId="19569"/>
    <cellStyle name="40% - 强调文字颜色 6 18 5 5" xfId="19572"/>
    <cellStyle name="40% - 强调文字颜色 6 18 5 6" xfId="19575"/>
    <cellStyle name="40% - 强调文字颜色 6 18 5 6 2" xfId="19576"/>
    <cellStyle name="40% - 强调文字颜色 6 18 5 6 3" xfId="19578"/>
    <cellStyle name="40% - 强调文字颜色 6 18 5 7" xfId="19582"/>
    <cellStyle name="40% - 强调文字颜色 6 18 5 8" xfId="19586"/>
    <cellStyle name="40% - 强调文字颜色 6 18 5 9" xfId="19590"/>
    <cellStyle name="40% - 强调文字颜色 6 18 6" xfId="19595"/>
    <cellStyle name="40% - 强调文字颜色 6 18 6 2" xfId="8371"/>
    <cellStyle name="40% - 强调文字颜色 6 18 6 2 2" xfId="18820"/>
    <cellStyle name="40% - 强调文字颜色 6 18 6 2 3" xfId="18825"/>
    <cellStyle name="40% - 强调文字颜色 6 18 6 3" xfId="8379"/>
    <cellStyle name="40% - 强调文字颜色 6 18 6 4" xfId="8387"/>
    <cellStyle name="40% - 强调文字颜色 6 18 6 5" xfId="8395"/>
    <cellStyle name="40% - 强调文字颜色 6 18 6 6" xfId="8400"/>
    <cellStyle name="40% - 强调文字颜色 6 18 6 7" xfId="5146"/>
    <cellStyle name="40% - 强调文字颜色 6 18 6 8" xfId="19599"/>
    <cellStyle name="40% - 强调文字颜色 6 18 7" xfId="19603"/>
    <cellStyle name="40% - 强调文字颜色 6 18 8" xfId="19606"/>
    <cellStyle name="40% - 强调文字颜色 6 18 9" xfId="19611"/>
    <cellStyle name="40% - 强调文字颜色 6 18 9 2" xfId="19615"/>
    <cellStyle name="40% - 强调文字颜色 6 18 9 3" xfId="19617"/>
    <cellStyle name="40% - 强调文字颜色 6 19" xfId="19618"/>
    <cellStyle name="40% - 强调文字颜色 6 2" xfId="12617"/>
    <cellStyle name="40% - 强调文字颜色 6 2 10" xfId="2355"/>
    <cellStyle name="40% - 强调文字颜色 6 2 11" xfId="18567"/>
    <cellStyle name="40% - 强调文字颜色 6 2 12" xfId="18571"/>
    <cellStyle name="40% - 强调文字颜色 6 2 13" xfId="18575"/>
    <cellStyle name="40% - 强调文字颜色 6 2 14" xfId="19620"/>
    <cellStyle name="40% - 强调文字颜色 6 2 15" xfId="19623"/>
    <cellStyle name="40% - 强调文字颜色 6 2 16" xfId="19625"/>
    <cellStyle name="40% - 强调文字颜色 6 2 17" xfId="19629"/>
    <cellStyle name="40% - 强调文字颜色 6 2 17 10" xfId="19634"/>
    <cellStyle name="40% - 强调文字颜色 6 2 17 11" xfId="6552"/>
    <cellStyle name="40% - 强调文字颜色 6 2 17 12" xfId="6558"/>
    <cellStyle name="40% - 强调文字颜色 6 2 17 13" xfId="19637"/>
    <cellStyle name="40% - 强调文字颜色 6 2 17 14" xfId="19641"/>
    <cellStyle name="40% - 强调文字颜色 6 2 17 2" xfId="19644"/>
    <cellStyle name="40% - 强调文字颜色 6 2 17 3" xfId="19645"/>
    <cellStyle name="40% - 强调文字颜色 6 2 17 4" xfId="17186"/>
    <cellStyle name="40% - 强调文字颜色 6 2 17 5" xfId="9738"/>
    <cellStyle name="40% - 强调文字颜色 6 2 17 5 10" xfId="19648"/>
    <cellStyle name="40% - 强调文字颜色 6 2 17 5 11" xfId="19651"/>
    <cellStyle name="40% - 强调文字颜色 6 2 17 5 2" xfId="10914"/>
    <cellStyle name="40% - 强调文字颜色 6 2 17 5 2 2" xfId="9779"/>
    <cellStyle name="40% - 强调文字颜色 6 2 17 5 2 2 2" xfId="10926"/>
    <cellStyle name="40% - 强调文字颜色 6 2 17 5 2 2 3" xfId="10932"/>
    <cellStyle name="40% - 强调文字颜色 6 2 17 5 2 3" xfId="9794"/>
    <cellStyle name="40% - 强调文字颜色 6 2 17 5 2 4" xfId="9519"/>
    <cellStyle name="40% - 强调文字颜色 6 2 17 5 2 5" xfId="9532"/>
    <cellStyle name="40% - 强调文字颜色 6 2 17 5 2 6" xfId="9808"/>
    <cellStyle name="40% - 强调文字颜色 6 2 17 5 2 7" xfId="10968"/>
    <cellStyle name="40% - 强调文字颜色 6 2 17 5 2 8" xfId="10973"/>
    <cellStyle name="40% - 强调文字颜色 6 2 17 5 3" xfId="1166"/>
    <cellStyle name="40% - 强调文字颜色 6 2 17 5 4" xfId="1189"/>
    <cellStyle name="40% - 强调文字颜色 6 2 17 5 5" xfId="11035"/>
    <cellStyle name="40% - 强调文字颜色 6 2 17 5 6" xfId="8081"/>
    <cellStyle name="40% - 强调文字颜色 6 2 17 5 6 2" xfId="19653"/>
    <cellStyle name="40% - 强调文字颜色 6 2 17 5 6 3" xfId="19655"/>
    <cellStyle name="40% - 强调文字颜色 6 2 17 5 7" xfId="13278"/>
    <cellStyle name="40% - 强调文字颜色 6 2 17 5 8" xfId="19657"/>
    <cellStyle name="40% - 强调文字颜色 6 2 17 5 9" xfId="8154"/>
    <cellStyle name="40% - 强调文字颜色 6 2 17 6" xfId="9742"/>
    <cellStyle name="40% - 强调文字颜色 6 2 17 6 2" xfId="14449"/>
    <cellStyle name="40% - 强调文字颜色 6 2 17 6 2 2" xfId="14645"/>
    <cellStyle name="40% - 强调文字颜色 6 2 17 6 2 3" xfId="14736"/>
    <cellStyle name="40% - 强调文字颜色 6 2 17 6 3" xfId="14739"/>
    <cellStyle name="40% - 强调文字颜色 6 2 17 6 4" xfId="2044"/>
    <cellStyle name="40% - 强调文字颜色 6 2 17 6 5" xfId="2108"/>
    <cellStyle name="40% - 强调文字颜色 6 2 17 6 6" xfId="2133"/>
    <cellStyle name="40% - 强调文字颜色 6 2 17 6 7" xfId="2152"/>
    <cellStyle name="40% - 强调文字颜色 6 2 17 6 8" xfId="17451"/>
    <cellStyle name="40% - 强调文字颜色 6 2 17 7" xfId="19658"/>
    <cellStyle name="40% - 强调文字颜色 6 2 17 8" xfId="19659"/>
    <cellStyle name="40% - 强调文字颜色 6 2 17 9" xfId="19660"/>
    <cellStyle name="40% - 强调文字颜色 6 2 17 9 2" xfId="19663"/>
    <cellStyle name="40% - 强调文字颜色 6 2 17 9 3" xfId="19665"/>
    <cellStyle name="40% - 强调文字颜色 6 2 18" xfId="19667"/>
    <cellStyle name="40% - 强调文字颜色 6 2 18 10" xfId="4579"/>
    <cellStyle name="40% - 强调文字颜色 6 2 18 11" xfId="14097"/>
    <cellStyle name="40% - 强调文字颜色 6 2 18 12" xfId="14099"/>
    <cellStyle name="40% - 强调文字颜色 6 2 18 13" xfId="14102"/>
    <cellStyle name="40% - 强调文字颜色 6 2 18 14" xfId="14105"/>
    <cellStyle name="40% - 强调文字颜色 6 2 18 2" xfId="8471"/>
    <cellStyle name="40% - 强调文字颜色 6 2 18 3" xfId="8476"/>
    <cellStyle name="40% - 强调文字颜色 6 2 18 4" xfId="8576"/>
    <cellStyle name="40% - 强调文字颜色 6 2 18 5" xfId="8623"/>
    <cellStyle name="40% - 强调文字颜色 6 2 18 5 10" xfId="6297"/>
    <cellStyle name="40% - 强调文字颜色 6 2 18 5 11" xfId="636"/>
    <cellStyle name="40% - 强调文字颜色 6 2 18 5 2" xfId="16377"/>
    <cellStyle name="40% - 强调文字颜色 6 2 18 5 2 2" xfId="16895"/>
    <cellStyle name="40% - 强调文字颜色 6 2 18 5 2 2 2" xfId="19676"/>
    <cellStyle name="40% - 强调文字颜色 6 2 18 5 2 2 3" xfId="19679"/>
    <cellStyle name="40% - 强调文字颜色 6 2 18 5 2 3" xfId="16898"/>
    <cellStyle name="40% - 强调文字颜色 6 2 18 5 2 4" xfId="16901"/>
    <cellStyle name="40% - 强调文字颜色 6 2 18 5 2 5" xfId="16904"/>
    <cellStyle name="40% - 强调文字颜色 6 2 18 5 2 6" xfId="16929"/>
    <cellStyle name="40% - 强调文字颜色 6 2 18 5 2 7" xfId="16947"/>
    <cellStyle name="40% - 强调文字颜色 6 2 18 5 2 8" xfId="16950"/>
    <cellStyle name="40% - 强调文字颜色 6 2 18 5 3" xfId="16380"/>
    <cellStyle name="40% - 强调文字颜色 6 2 18 5 4" xfId="16409"/>
    <cellStyle name="40% - 强调文字颜色 6 2 18 5 5" xfId="16412"/>
    <cellStyle name="40% - 强调文字颜色 6 2 18 5 6" xfId="16415"/>
    <cellStyle name="40% - 强调文字颜色 6 2 18 5 6 2" xfId="19681"/>
    <cellStyle name="40% - 强调文字颜色 6 2 18 5 6 3" xfId="19684"/>
    <cellStyle name="40% - 强调文字颜色 6 2 18 5 7" xfId="16420"/>
    <cellStyle name="40% - 强调文字颜色 6 2 18 5 8" xfId="19688"/>
    <cellStyle name="40% - 强调文字颜色 6 2 18 5 9" xfId="19690"/>
    <cellStyle name="40% - 强调文字颜色 6 2 18 6" xfId="8630"/>
    <cellStyle name="40% - 强调文字颜色 6 2 18 6 2" xfId="6904"/>
    <cellStyle name="40% - 强调文字颜色 6 2 18 6 2 2" xfId="867"/>
    <cellStyle name="40% - 强调文字颜色 6 2 18 6 2 3" xfId="878"/>
    <cellStyle name="40% - 强调文字颜色 6 2 18 6 3" xfId="13562"/>
    <cellStyle name="40% - 强调文字颜色 6 2 18 6 4" xfId="13565"/>
    <cellStyle name="40% - 强调文字颜色 6 2 18 6 5" xfId="13620"/>
    <cellStyle name="40% - 强调文字颜色 6 2 18 6 6" xfId="13659"/>
    <cellStyle name="40% - 强调文字颜色 6 2 18 6 7" xfId="13663"/>
    <cellStyle name="40% - 强调文字颜色 6 2 18 6 8" xfId="13667"/>
    <cellStyle name="40% - 强调文字颜色 6 2 18 7" xfId="8637"/>
    <cellStyle name="40% - 强调文字颜色 6 2 18 8" xfId="19692"/>
    <cellStyle name="40% - 强调文字颜色 6 2 18 9" xfId="19694"/>
    <cellStyle name="40% - 强调文字颜色 6 2 18 9 2" xfId="14353"/>
    <cellStyle name="40% - 强调文字颜色 6 2 18 9 3" xfId="14361"/>
    <cellStyle name="40% - 强调文字颜色 6 2 19" xfId="19696"/>
    <cellStyle name="40% - 强调文字颜色 6 2 19 10" xfId="6653"/>
    <cellStyle name="40% - 强调文字颜色 6 2 19 11" xfId="326"/>
    <cellStyle name="40% - 强调文字颜色 6 2 19 12" xfId="601"/>
    <cellStyle name="40% - 强调文字颜色 6 2 19 13" xfId="615"/>
    <cellStyle name="40% - 强调文字颜色 6 2 19 14" xfId="646"/>
    <cellStyle name="40% - 强调文字颜色 6 2 19 2" xfId="8679"/>
    <cellStyle name="40% - 强调文字颜色 6 2 19 3" xfId="2891"/>
    <cellStyle name="40% - 强调文字颜色 6 2 19 4" xfId="2903"/>
    <cellStyle name="40% - 强调文字颜色 6 2 19 5" xfId="3460"/>
    <cellStyle name="40% - 强调文字颜色 6 2 19 5 10" xfId="883"/>
    <cellStyle name="40% - 强调文字颜色 6 2 19 5 11" xfId="896"/>
    <cellStyle name="40% - 强调文字颜色 6 2 19 5 2" xfId="19699"/>
    <cellStyle name="40% - 强调文字颜色 6 2 19 5 2 2" xfId="19702"/>
    <cellStyle name="40% - 强调文字颜色 6 2 19 5 2 2 2" xfId="5636"/>
    <cellStyle name="40% - 强调文字颜色 6 2 19 5 2 2 3" xfId="3031"/>
    <cellStyle name="40% - 强调文字颜色 6 2 19 5 2 3" xfId="19704"/>
    <cellStyle name="40% - 强调文字颜色 6 2 19 5 2 4" xfId="19706"/>
    <cellStyle name="40% - 强调文字颜色 6 2 19 5 2 5" xfId="19708"/>
    <cellStyle name="40% - 强调文字颜色 6 2 19 5 2 6" xfId="19710"/>
    <cellStyle name="40% - 强调文字颜色 6 2 19 5 2 7" xfId="19713"/>
    <cellStyle name="40% - 强调文字颜色 6 2 19 5 2 8" xfId="19716"/>
    <cellStyle name="40% - 强调文字颜色 6 2 19 5 3" xfId="19718"/>
    <cellStyle name="40% - 强调文字颜色 6 2 19 5 4" xfId="19720"/>
    <cellStyle name="40% - 强调文字颜色 6 2 19 5 5" xfId="19722"/>
    <cellStyle name="40% - 强调文字颜色 6 2 19 5 6" xfId="4551"/>
    <cellStyle name="40% - 强调文字颜色 6 2 19 5 6 2" xfId="17510"/>
    <cellStyle name="40% - 强调文字颜色 6 2 19 5 6 3" xfId="17512"/>
    <cellStyle name="40% - 强调文字颜色 6 2 19 5 7" xfId="4572"/>
    <cellStyle name="40% - 强调文字颜色 6 2 19 5 8" xfId="15823"/>
    <cellStyle name="40% - 强调文字颜色 6 2 19 5 9" xfId="15828"/>
    <cellStyle name="40% - 强调文字颜色 6 2 19 6" xfId="3469"/>
    <cellStyle name="40% - 强调文字颜色 6 2 19 6 2" xfId="19725"/>
    <cellStyle name="40% - 强调文字颜色 6 2 19 6 2 2" xfId="19727"/>
    <cellStyle name="40% - 强调文字颜色 6 2 19 6 2 3" xfId="19729"/>
    <cellStyle name="40% - 强调文字颜色 6 2 19 6 3" xfId="19732"/>
    <cellStyle name="40% - 强调文字颜色 6 2 19 6 4" xfId="19735"/>
    <cellStyle name="40% - 强调文字颜色 6 2 19 6 5" xfId="19736"/>
    <cellStyle name="40% - 强调文字颜色 6 2 19 6 6" xfId="19738"/>
    <cellStyle name="40% - 强调文字颜色 6 2 19 6 7" xfId="19740"/>
    <cellStyle name="40% - 强调文字颜色 6 2 19 6 8" xfId="19742"/>
    <cellStyle name="40% - 强调文字颜色 6 2 19 7" xfId="3478"/>
    <cellStyle name="40% - 强调文字颜色 6 2 19 8" xfId="19744"/>
    <cellStyle name="40% - 强调文字颜色 6 2 19 9" xfId="19746"/>
    <cellStyle name="40% - 强调文字颜色 6 2 19 9 2" xfId="5047"/>
    <cellStyle name="40% - 强调文字颜色 6 2 19 9 3" xfId="19749"/>
    <cellStyle name="40% - 强调文字颜色 6 2 2" xfId="12619"/>
    <cellStyle name="40% - 强调文字颜色 6 2 2 10" xfId="19753"/>
    <cellStyle name="40% - 强调文字颜色 6 2 2 11" xfId="19756"/>
    <cellStyle name="40% - 强调文字颜色 6 2 2 12" xfId="19757"/>
    <cellStyle name="40% - 强调文字颜色 6 2 2 13" xfId="19759"/>
    <cellStyle name="40% - 强调文字颜色 6 2 2 14" xfId="11644"/>
    <cellStyle name="40% - 强调文字颜色 6 2 2 2" xfId="19762"/>
    <cellStyle name="40% - 强调文字颜色 6 2 2 3" xfId="19763"/>
    <cellStyle name="40% - 强调文字颜色 6 2 2 4" xfId="19764"/>
    <cellStyle name="40% - 强调文字颜色 6 2 2 5" xfId="19765"/>
    <cellStyle name="40% - 强调文字颜色 6 2 2 6" xfId="19766"/>
    <cellStyle name="40% - 强调文字颜色 6 2 2 7" xfId="19768"/>
    <cellStyle name="40% - 强调文字颜色 6 2 2 8" xfId="19770"/>
    <cellStyle name="40% - 强调文字颜色 6 2 2 9" xfId="19772"/>
    <cellStyle name="40% - 强调文字颜色 6 2 20" xfId="19622"/>
    <cellStyle name="40% - 强调文字颜色 6 2 20 10" xfId="9603"/>
    <cellStyle name="40% - 强调文字颜色 6 2 20 11" xfId="11518"/>
    <cellStyle name="40% - 强调文字颜色 6 2 20 12" xfId="12882"/>
    <cellStyle name="40% - 强调文字颜色 6 2 20 13" xfId="12887"/>
    <cellStyle name="40% - 强调文字颜色 6 2 20 14" xfId="19773"/>
    <cellStyle name="40% - 强调文字颜色 6 2 20 2" xfId="9104"/>
    <cellStyle name="40% - 强调文字颜色 6 2 20 3" xfId="9106"/>
    <cellStyle name="40% - 强调文字颜色 6 2 20 4" xfId="9108"/>
    <cellStyle name="40% - 强调文字颜色 6 2 20 5" xfId="9111"/>
    <cellStyle name="40% - 强调文字颜色 6 2 20 5 10" xfId="14294"/>
    <cellStyle name="40% - 强调文字颜色 6 2 20 5 11" xfId="19775"/>
    <cellStyle name="40% - 强调文字颜色 6 2 20 5 2" xfId="19777"/>
    <cellStyle name="40% - 强调文字颜色 6 2 20 5 2 2" xfId="19779"/>
    <cellStyle name="40% - 强调文字颜色 6 2 20 5 2 2 2" xfId="11276"/>
    <cellStyle name="40% - 强调文字颜色 6 2 20 5 2 2 3" xfId="11281"/>
    <cellStyle name="40% - 强调文字颜色 6 2 20 5 2 3" xfId="19781"/>
    <cellStyle name="40% - 强调文字颜色 6 2 20 5 2 4" xfId="9179"/>
    <cellStyle name="40% - 强调文字颜色 6 2 20 5 2 5" xfId="9183"/>
    <cellStyle name="40% - 强调文字颜色 6 2 20 5 2 6" xfId="19784"/>
    <cellStyle name="40% - 强调文字颜色 6 2 20 5 2 7" xfId="19786"/>
    <cellStyle name="40% - 强调文字颜色 6 2 20 5 2 8" xfId="19788"/>
    <cellStyle name="40% - 强调文字颜色 6 2 20 5 3" xfId="19790"/>
    <cellStyle name="40% - 强调文字颜色 6 2 20 5 4" xfId="3465"/>
    <cellStyle name="40% - 强调文字颜色 6 2 20 5 5" xfId="3474"/>
    <cellStyle name="40% - 强调文字颜色 6 2 20 5 6" xfId="19792"/>
    <cellStyle name="40% - 强调文字颜色 6 2 20 5 6 2" xfId="19794"/>
    <cellStyle name="40% - 强调文字颜色 6 2 20 5 6 3" xfId="19796"/>
    <cellStyle name="40% - 强调文字颜色 6 2 20 5 7" xfId="19798"/>
    <cellStyle name="40% - 强调文字颜色 6 2 20 5 8" xfId="19801"/>
    <cellStyle name="40% - 强调文字颜色 6 2 20 5 9" xfId="19804"/>
    <cellStyle name="40% - 强调文字颜色 6 2 20 6" xfId="9113"/>
    <cellStyle name="40% - 强调文字颜色 6 2 20 6 2" xfId="3775"/>
    <cellStyle name="40% - 强调文字颜色 6 2 20 6 2 2" xfId="9115"/>
    <cellStyle name="40% - 强调文字颜色 6 2 20 6 2 3" xfId="19805"/>
    <cellStyle name="40% - 强调文字颜色 6 2 20 6 3" xfId="9121"/>
    <cellStyle name="40% - 强调文字颜色 6 2 20 6 4" xfId="3314"/>
    <cellStyle name="40% - 强调文字颜色 6 2 20 6 5" xfId="3325"/>
    <cellStyle name="40% - 强调文字颜色 6 2 20 6 6" xfId="3336"/>
    <cellStyle name="40% - 强调文字颜色 6 2 20 6 7" xfId="3348"/>
    <cellStyle name="40% - 强调文字颜色 6 2 20 6 8" xfId="3364"/>
    <cellStyle name="40% - 强调文字颜色 6 2 20 7" xfId="9220"/>
    <cellStyle name="40% - 强调文字颜色 6 2 20 8" xfId="9443"/>
    <cellStyle name="40% - 强调文字颜色 6 2 20 9" xfId="19807"/>
    <cellStyle name="40% - 强调文字颜色 6 2 20 9 2" xfId="19808"/>
    <cellStyle name="40% - 强调文字颜色 6 2 20 9 3" xfId="19809"/>
    <cellStyle name="40% - 强调文字颜色 6 2 3" xfId="12628"/>
    <cellStyle name="40% - 强调文字颜色 6 2 3 10" xfId="19811"/>
    <cellStyle name="40% - 强调文字颜色 6 2 3 11" xfId="19812"/>
    <cellStyle name="40% - 强调文字颜色 6 2 3 12" xfId="19813"/>
    <cellStyle name="40% - 强调文字颜色 6 2 3 13" xfId="19814"/>
    <cellStyle name="40% - 强调文字颜色 6 2 3 14" xfId="19816"/>
    <cellStyle name="40% - 强调文字颜色 6 2 3 2" xfId="19817"/>
    <cellStyle name="40% - 强调文字颜色 6 2 3 3" xfId="19818"/>
    <cellStyle name="40% - 强调文字颜色 6 2 3 4" xfId="19819"/>
    <cellStyle name="40% - 强调文字颜色 6 2 3 5" xfId="2487"/>
    <cellStyle name="40% - 强调文字颜色 6 2 3 6" xfId="14979"/>
    <cellStyle name="40% - 强调文字颜色 6 2 3 7" xfId="19820"/>
    <cellStyle name="40% - 强调文字颜色 6 2 3 8" xfId="19821"/>
    <cellStyle name="40% - 强调文字颜色 6 2 3 9" xfId="17456"/>
    <cellStyle name="40% - 强调文字颜色 6 2 4" xfId="13651"/>
    <cellStyle name="40% - 强调文字颜色 6 2 4 10" xfId="19823"/>
    <cellStyle name="40% - 强调文字颜色 6 2 4 11" xfId="19824"/>
    <cellStyle name="40% - 强调文字颜色 6 2 4 12" xfId="19827"/>
    <cellStyle name="40% - 强调文字颜色 6 2 4 13" xfId="19830"/>
    <cellStyle name="40% - 强调文字颜色 6 2 4 14" xfId="19833"/>
    <cellStyle name="40% - 强调文字颜色 6 2 4 2" xfId="430"/>
    <cellStyle name="40% - 强调文字颜色 6 2 4 3" xfId="19835"/>
    <cellStyle name="40% - 强调文字颜色 6 2 4 4" xfId="19839"/>
    <cellStyle name="40% - 强调文字颜色 6 2 4 5" xfId="19845"/>
    <cellStyle name="40% - 强调文字颜色 6 2 4 6" xfId="19851"/>
    <cellStyle name="40% - 强调文字颜色 6 2 4 7" xfId="2426"/>
    <cellStyle name="40% - 强调文字颜色 6 2 4 8" xfId="2537"/>
    <cellStyle name="40% - 强调文字颜色 6 2 4 9" xfId="2546"/>
    <cellStyle name="40% - 强调文字颜色 6 2 5" xfId="19853"/>
    <cellStyle name="40% - 强调文字颜色 6 2 6" xfId="19854"/>
    <cellStyle name="40% - 强调文字颜色 6 2 7" xfId="19858"/>
    <cellStyle name="40% - 强调文字颜色 6 2 8" xfId="19861"/>
    <cellStyle name="40% - 强调文字颜色 6 2 9" xfId="19864"/>
    <cellStyle name="40% - 强调文字颜色 6 3" xfId="12641"/>
    <cellStyle name="40% - 强调文字颜色 6 3 10" xfId="18654"/>
    <cellStyle name="40% - 强调文字颜色 6 3 11" xfId="18656"/>
    <cellStyle name="40% - 强调文字颜色 6 3 12" xfId="18658"/>
    <cellStyle name="40% - 强调文字颜色 6 3 13" xfId="9983"/>
    <cellStyle name="40% - 强调文字颜色 6 3 14" xfId="10007"/>
    <cellStyle name="40% - 强调文字颜色 6 3 15" xfId="10010"/>
    <cellStyle name="40% - 强调文字颜色 6 3 16" xfId="10012"/>
    <cellStyle name="40% - 强调文字颜色 6 3 17" xfId="10016"/>
    <cellStyle name="40% - 强调文字颜色 6 3 17 10" xfId="19865"/>
    <cellStyle name="40% - 强调文字颜色 6 3 17 11" xfId="19869"/>
    <cellStyle name="40% - 强调文字颜色 6 3 17 12" xfId="19871"/>
    <cellStyle name="40% - 强调文字颜色 6 3 17 13" xfId="19873"/>
    <cellStyle name="40% - 强调文字颜色 6 3 17 14" xfId="19875"/>
    <cellStyle name="40% - 强调文字颜色 6 3 17 2" xfId="3464"/>
    <cellStyle name="40% - 强调文字颜色 6 3 17 2 2" xfId="19877"/>
    <cellStyle name="40% - 强调文字颜色 6 3 17 3" xfId="3473"/>
    <cellStyle name="40% - 强调文字颜色 6 3 17 4" xfId="19791"/>
    <cellStyle name="40% - 强调文字颜色 6 3 17 5" xfId="19797"/>
    <cellStyle name="40% - 强调文字颜色 6 3 17 5 10" xfId="16826"/>
    <cellStyle name="40% - 强调文字颜色 6 3 17 5 11" xfId="16831"/>
    <cellStyle name="40% - 强调文字颜色 6 3 17 5 2" xfId="19878"/>
    <cellStyle name="40% - 强调文字颜色 6 3 17 5 2 2" xfId="12253"/>
    <cellStyle name="40% - 强调文字颜色 6 3 17 5 2 2 2" xfId="19632"/>
    <cellStyle name="40% - 强调文字颜色 6 3 17 5 2 2 3" xfId="19670"/>
    <cellStyle name="40% - 强调文字颜色 6 3 17 5 2 3" xfId="12270"/>
    <cellStyle name="40% - 强调文字颜色 6 3 17 5 2 4" xfId="10095"/>
    <cellStyle name="40% - 强调文字颜色 6 3 17 5 2 5" xfId="10103"/>
    <cellStyle name="40% - 强调文字颜色 6 3 17 5 2 6" xfId="11951"/>
    <cellStyle name="40% - 强调文字颜色 6 3 17 5 2 7" xfId="11958"/>
    <cellStyle name="40% - 强调文字颜色 6 3 17 5 2 8" xfId="19881"/>
    <cellStyle name="40% - 强调文字颜色 6 3 17 5 3" xfId="19882"/>
    <cellStyle name="40% - 强调文字颜色 6 3 17 5 4" xfId="19884"/>
    <cellStyle name="40% - 强调文字颜色 6 3 17 5 5" xfId="19886"/>
    <cellStyle name="40% - 强调文字颜色 6 3 17 5 6" xfId="19888"/>
    <cellStyle name="40% - 强调文字颜色 6 3 17 5 6 2" xfId="19889"/>
    <cellStyle name="40% - 强调文字颜色 6 3 17 5 6 3" xfId="19890"/>
    <cellStyle name="40% - 强调文字颜色 6 3 17 5 7" xfId="19891"/>
    <cellStyle name="40% - 强调文字颜色 6 3 17 5 8" xfId="19892"/>
    <cellStyle name="40% - 强调文字颜色 6 3 17 5 9" xfId="19893"/>
    <cellStyle name="40% - 强调文字颜色 6 3 17 6" xfId="19800"/>
    <cellStyle name="40% - 强调文字颜色 6 3 17 6 2" xfId="19895"/>
    <cellStyle name="40% - 强调文字颜色 6 3 17 6 2 2" xfId="19896"/>
    <cellStyle name="40% - 强调文字颜色 6 3 17 6 2 3" xfId="19897"/>
    <cellStyle name="40% - 强调文字颜色 6 3 17 6 3" xfId="7530"/>
    <cellStyle name="40% - 强调文字颜色 6 3 17 6 4" xfId="5665"/>
    <cellStyle name="40% - 强调文字颜色 6 3 17 6 5" xfId="19898"/>
    <cellStyle name="40% - 强调文字颜色 6 3 17 6 6" xfId="19900"/>
    <cellStyle name="40% - 强调文字颜色 6 3 17 6 7" xfId="19902"/>
    <cellStyle name="40% - 强调文字颜色 6 3 17 6 8" xfId="5734"/>
    <cellStyle name="40% - 强调文字颜色 6 3 17 7" xfId="19803"/>
    <cellStyle name="40% - 强调文字颜色 6 3 17 8" xfId="8092"/>
    <cellStyle name="40% - 强调文字颜色 6 3 17 9" xfId="8111"/>
    <cellStyle name="40% - 强调文字颜色 6 3 17 9 2" xfId="19904"/>
    <cellStyle name="40% - 强调文字颜色 6 3 17 9 3" xfId="19908"/>
    <cellStyle name="40% - 强调文字颜色 6 3 18" xfId="10020"/>
    <cellStyle name="40% - 强调文字颜色 6 3 18 10" xfId="14176"/>
    <cellStyle name="40% - 强调文字颜色 6 3 18 11" xfId="14179"/>
    <cellStyle name="40% - 强调文字颜色 6 3 18 12" xfId="14183"/>
    <cellStyle name="40% - 强调文字颜色 6 3 18 13" xfId="14187"/>
    <cellStyle name="40% - 强调文字颜色 6 3 18 14" xfId="8012"/>
    <cellStyle name="40% - 强调文字颜色 6 3 18 2" xfId="3313"/>
    <cellStyle name="40% - 强调文字颜色 6 3 18 3" xfId="3324"/>
    <cellStyle name="40% - 强调文字颜色 6 3 18 4" xfId="3335"/>
    <cellStyle name="40% - 强调文字颜色 6 3 18 5" xfId="3347"/>
    <cellStyle name="40% - 强调文字颜色 6 3 18 5 10" xfId="17068"/>
    <cellStyle name="40% - 强调文字颜色 6 3 18 5 11" xfId="17073"/>
    <cellStyle name="40% - 强调文字颜色 6 3 18 5 2" xfId="17178"/>
    <cellStyle name="40% - 强调文字颜色 6 3 18 5 2 2" xfId="19910"/>
    <cellStyle name="40% - 强调文字颜色 6 3 18 5 2 2 2" xfId="19911"/>
    <cellStyle name="40% - 强调文字颜色 6 3 18 5 2 2 3" xfId="19914"/>
    <cellStyle name="40% - 强调文字颜色 6 3 18 5 2 3" xfId="19915"/>
    <cellStyle name="40% - 强调文字颜色 6 3 18 5 2 4" xfId="19919"/>
    <cellStyle name="40% - 强调文字颜色 6 3 18 5 2 5" xfId="3008"/>
    <cellStyle name="40% - 强调文字颜色 6 3 18 5 2 6" xfId="3017"/>
    <cellStyle name="40% - 强调文字颜色 6 3 18 5 2 7" xfId="19920"/>
    <cellStyle name="40% - 强调文字颜色 6 3 18 5 2 8" xfId="16483"/>
    <cellStyle name="40% - 强调文字颜色 6 3 18 5 3" xfId="17180"/>
    <cellStyle name="40% - 强调文字颜色 6 3 18 5 4" xfId="17196"/>
    <cellStyle name="40% - 强调文字颜色 6 3 18 5 5" xfId="17217"/>
    <cellStyle name="40% - 强调文字颜色 6 3 18 5 6" xfId="17219"/>
    <cellStyle name="40% - 强调文字颜色 6 3 18 5 6 2" xfId="19921"/>
    <cellStyle name="40% - 强调文字颜色 6 3 18 5 6 3" xfId="19923"/>
    <cellStyle name="40% - 强调文字颜色 6 3 18 5 7" xfId="17222"/>
    <cellStyle name="40% - 强调文字颜色 6 3 18 5 8" xfId="19925"/>
    <cellStyle name="40% - 强调文字颜色 6 3 18 5 9" xfId="19927"/>
    <cellStyle name="40% - 强调文字颜色 6 3 18 6" xfId="3363"/>
    <cellStyle name="40% - 强调文字颜色 6 3 18 6 2" xfId="19933"/>
    <cellStyle name="40% - 强调文字颜色 6 3 18 6 2 2" xfId="19938"/>
    <cellStyle name="40% - 强调文字颜色 6 3 18 6 2 3" xfId="19941"/>
    <cellStyle name="40% - 强调文字颜色 6 3 18 6 3" xfId="19238"/>
    <cellStyle name="40% - 强调文字颜色 6 3 18 6 4" xfId="19247"/>
    <cellStyle name="40% - 强调文字颜色 6 3 18 6 5" xfId="19253"/>
    <cellStyle name="40% - 强调文字颜色 6 3 18 6 6" xfId="19257"/>
    <cellStyle name="40% - 强调文字颜色 6 3 18 6 7" xfId="19261"/>
    <cellStyle name="40% - 强调文字颜色 6 3 18 6 8" xfId="19265"/>
    <cellStyle name="40% - 强调文字颜色 6 3 18 7" xfId="9202"/>
    <cellStyle name="40% - 强调文字颜色 6 3 18 8" xfId="15455"/>
    <cellStyle name="40% - 强调文字颜色 6 3 18 9" xfId="15458"/>
    <cellStyle name="40% - 强调文字颜色 6 3 18 9 2" xfId="17112"/>
    <cellStyle name="40% - 强调文字颜色 6 3 18 9 3" xfId="17114"/>
    <cellStyle name="40% - 强调文字颜色 6 3 19" xfId="10026"/>
    <cellStyle name="40% - 强调文字颜色 6 3 19 10" xfId="17800"/>
    <cellStyle name="40% - 强调文字颜色 6 3 19 11" xfId="2436"/>
    <cellStyle name="40% - 强调文字颜色 6 3 19 12" xfId="2459"/>
    <cellStyle name="40% - 强调文字颜色 6 3 19 13" xfId="2475"/>
    <cellStyle name="40% - 强调文字颜色 6 3 19 14" xfId="2491"/>
    <cellStyle name="40% - 强调文字颜色 6 3 19 2" xfId="9254"/>
    <cellStyle name="40% - 强调文字颜色 6 3 19 3" xfId="9258"/>
    <cellStyle name="40% - 强调文字颜色 6 3 19 4" xfId="9347"/>
    <cellStyle name="40% - 强调文字颜色 6 3 19 5" xfId="9423"/>
    <cellStyle name="40% - 强调文字颜色 6 3 19 5 10" xfId="2151"/>
    <cellStyle name="40% - 强调文字颜色 6 3 19 5 11" xfId="17450"/>
    <cellStyle name="40% - 强调文字颜色 6 3 19 5 2" xfId="19943"/>
    <cellStyle name="40% - 强调文字颜色 6 3 19 5 2 2" xfId="19946"/>
    <cellStyle name="40% - 强调文字颜色 6 3 19 5 2 2 2" xfId="7783"/>
    <cellStyle name="40% - 强调文字颜色 6 3 19 5 2 2 3" xfId="7789"/>
    <cellStyle name="40% - 强调文字颜色 6 3 19 5 2 3" xfId="19949"/>
    <cellStyle name="40% - 强调文字颜色 6 3 19 5 2 4" xfId="19950"/>
    <cellStyle name="40% - 强调文字颜色 6 3 19 5 2 5" xfId="19951"/>
    <cellStyle name="40% - 强调文字颜色 6 3 19 5 2 6" xfId="19952"/>
    <cellStyle name="40% - 强调文字颜色 6 3 19 5 2 7" xfId="19953"/>
    <cellStyle name="40% - 强调文字颜色 6 3 19 5 2 8" xfId="19954"/>
    <cellStyle name="40% - 强调文字颜色 6 3 19 5 3" xfId="19957"/>
    <cellStyle name="40% - 强调文字颜色 6 3 19 5 4" xfId="19960"/>
    <cellStyle name="40% - 强调文字颜色 6 3 19 5 5" xfId="19964"/>
    <cellStyle name="40% - 强调文字颜色 6 3 19 5 6" xfId="19969"/>
    <cellStyle name="40% - 强调文字颜色 6 3 19 5 6 2" xfId="18596"/>
    <cellStyle name="40% - 强调文字颜色 6 3 19 5 6 3" xfId="18599"/>
    <cellStyle name="40% - 强调文字颜色 6 3 19 5 7" xfId="19975"/>
    <cellStyle name="40% - 强调文字颜色 6 3 19 5 8" xfId="19980"/>
    <cellStyle name="40% - 强调文字颜色 6 3 19 5 9" xfId="19984"/>
    <cellStyle name="40% - 强调文字颜色 6 3 19 6" xfId="9427"/>
    <cellStyle name="40% - 强调文字颜色 6 3 19 6 2" xfId="19987"/>
    <cellStyle name="40% - 强调文字颜色 6 3 19 6 2 2" xfId="19989"/>
    <cellStyle name="40% - 强调文字颜色 6 3 19 6 2 3" xfId="19991"/>
    <cellStyle name="40% - 强调文字颜色 6 3 19 6 3" xfId="19285"/>
    <cellStyle name="40% - 强调文字颜色 6 3 19 6 4" xfId="19289"/>
    <cellStyle name="40% - 强调文字颜色 6 3 19 6 5" xfId="19992"/>
    <cellStyle name="40% - 强调文字颜色 6 3 19 6 6" xfId="19993"/>
    <cellStyle name="40% - 强调文字颜色 6 3 19 6 7" xfId="19994"/>
    <cellStyle name="40% - 强调文字颜色 6 3 19 6 8" xfId="19995"/>
    <cellStyle name="40% - 强调文字颜色 6 3 19 7" xfId="9436"/>
    <cellStyle name="40% - 强调文字颜色 6 3 19 8" xfId="16391"/>
    <cellStyle name="40% - 强调文字颜色 6 3 19 9" xfId="16399"/>
    <cellStyle name="40% - 强调文字颜色 6 3 19 9 2" xfId="7661"/>
    <cellStyle name="40% - 强调文字颜色 6 3 19 9 3" xfId="20000"/>
    <cellStyle name="40% - 强调文字颜色 6 3 2" xfId="20002"/>
    <cellStyle name="40% - 强调文字颜色 6 3 2 10" xfId="19511"/>
    <cellStyle name="40% - 强调文字颜色 6 3 2 11" xfId="19514"/>
    <cellStyle name="40% - 强调文字颜色 6 3 2 12" xfId="19517"/>
    <cellStyle name="40% - 强调文字颜色 6 3 2 13" xfId="19520"/>
    <cellStyle name="40% - 强调文字颜色 6 3 2 14" xfId="20008"/>
    <cellStyle name="40% - 强调文字颜色 6 3 2 2" xfId="553"/>
    <cellStyle name="40% - 强调文字颜色 6 3 2 3" xfId="1225"/>
    <cellStyle name="40% - 强调文字颜色 6 3 2 4" xfId="1236"/>
    <cellStyle name="40% - 强调文字颜色 6 3 2 5" xfId="7772"/>
    <cellStyle name="40% - 强调文字颜色 6 3 2 6" xfId="7780"/>
    <cellStyle name="40% - 强调文字颜色 6 3 2 7" xfId="20010"/>
    <cellStyle name="40% - 强调文字颜色 6 3 2 8" xfId="20012"/>
    <cellStyle name="40% - 强调文字颜色 6 3 2 9" xfId="20013"/>
    <cellStyle name="40% - 强调文字颜色 6 3 20" xfId="10009"/>
    <cellStyle name="40% - 强调文字颜色 6 3 20 10" xfId="12979"/>
    <cellStyle name="40% - 强调文字颜色 6 3 20 11" xfId="12983"/>
    <cellStyle name="40% - 强调文字颜色 6 3 20 12" xfId="12988"/>
    <cellStyle name="40% - 强调文字颜色 6 3 20 13" xfId="5674"/>
    <cellStyle name="40% - 强调文字颜色 6 3 20 14" xfId="5681"/>
    <cellStyle name="40% - 强调文字颜色 6 3 20 2" xfId="6994"/>
    <cellStyle name="40% - 强调文字颜色 6 3 20 3" xfId="7002"/>
    <cellStyle name="40% - 强调文字颜色 6 3 20 4" xfId="2763"/>
    <cellStyle name="40% - 强调文字颜色 6 3 20 5" xfId="11069"/>
    <cellStyle name="40% - 强调文字颜色 6 3 20 5 10" xfId="20015"/>
    <cellStyle name="40% - 强调文字颜色 6 3 20 5 11" xfId="20017"/>
    <cellStyle name="40% - 强调文字颜色 6 3 20 5 2" xfId="20018"/>
    <cellStyle name="40% - 强调文字颜色 6 3 20 5 2 2" xfId="20019"/>
    <cellStyle name="40% - 强调文字颜色 6 3 20 5 2 2 2" xfId="17994"/>
    <cellStyle name="40% - 强调文字颜色 6 3 20 5 2 2 3" xfId="17997"/>
    <cellStyle name="40% - 强调文字颜色 6 3 20 5 2 3" xfId="20020"/>
    <cellStyle name="40% - 强调文字颜色 6 3 20 5 2 4" xfId="9945"/>
    <cellStyle name="40% - 强调文字颜色 6 3 20 5 2 5" xfId="9947"/>
    <cellStyle name="40% - 强调文字颜色 6 3 20 5 2 6" xfId="20021"/>
    <cellStyle name="40% - 强调文字颜色 6 3 20 5 2 7" xfId="20023"/>
    <cellStyle name="40% - 强调文字颜色 6 3 20 5 2 8" xfId="20025"/>
    <cellStyle name="40% - 强调文字颜色 6 3 20 5 3" xfId="20026"/>
    <cellStyle name="40% - 强调文字颜色 6 3 20 5 4" xfId="20027"/>
    <cellStyle name="40% - 强调文字颜色 6 3 20 5 5" xfId="20028"/>
    <cellStyle name="40% - 强调文字颜色 6 3 20 5 6" xfId="20029"/>
    <cellStyle name="40% - 强调文字颜色 6 3 20 5 6 2" xfId="20030"/>
    <cellStyle name="40% - 强调文字颜色 6 3 20 5 6 3" xfId="20031"/>
    <cellStyle name="40% - 强调文字颜色 6 3 20 5 7" xfId="20032"/>
    <cellStyle name="40% - 强调文字颜色 6 3 20 5 8" xfId="20033"/>
    <cellStyle name="40% - 强调文字颜色 6 3 20 5 9" xfId="20034"/>
    <cellStyle name="40% - 强调文字颜色 6 3 20 6" xfId="11074"/>
    <cellStyle name="40% - 强调文字颜色 6 3 20 6 2" xfId="11080"/>
    <cellStyle name="40% - 强调文字颜色 6 3 20 6 2 2" xfId="11085"/>
    <cellStyle name="40% - 强调文字颜色 6 3 20 6 2 3" xfId="20035"/>
    <cellStyle name="40% - 强调文字颜色 6 3 20 6 3" xfId="337"/>
    <cellStyle name="40% - 强调文字颜色 6 3 20 6 4" xfId="6417"/>
    <cellStyle name="40% - 强调文字颜色 6 3 20 6 5" xfId="6419"/>
    <cellStyle name="40% - 强调文字颜色 6 3 20 6 6" xfId="6426"/>
    <cellStyle name="40% - 强调文字颜色 6 3 20 6 7" xfId="6435"/>
    <cellStyle name="40% - 强调文字颜色 6 3 20 6 8" xfId="6443"/>
    <cellStyle name="40% - 强调文字颜色 6 3 20 7" xfId="4617"/>
    <cellStyle name="40% - 强调文字颜色 6 3 20 8" xfId="4624"/>
    <cellStyle name="40% - 强调文字颜色 6 3 20 9" xfId="11196"/>
    <cellStyle name="40% - 强调文字颜色 6 3 20 9 2" xfId="20036"/>
    <cellStyle name="40% - 强调文字颜色 6 3 20 9 3" xfId="20037"/>
    <cellStyle name="40% - 强调文字颜色 6 3 3" xfId="20039"/>
    <cellStyle name="40% - 强调文字颜色 6 3 3 10" xfId="11889"/>
    <cellStyle name="40% - 强调文字颜色 6 3 3 11" xfId="11894"/>
    <cellStyle name="40% - 强调文字颜色 6 3 3 12" xfId="11899"/>
    <cellStyle name="40% - 强调文字颜色 6 3 3 13" xfId="11905"/>
    <cellStyle name="40% - 强调文字颜色 6 3 3 14" xfId="17048"/>
    <cellStyle name="40% - 强调文字颜色 6 3 3 2" xfId="2642"/>
    <cellStyle name="40% - 强调文字颜色 6 3 3 3" xfId="2662"/>
    <cellStyle name="40% - 强调文字颜色 6 3 3 4" xfId="3281"/>
    <cellStyle name="40% - 强调文字颜色 6 3 3 5" xfId="20044"/>
    <cellStyle name="40% - 强调文字颜色 6 3 3 6" xfId="20047"/>
    <cellStyle name="40% - 强调文字颜色 6 3 3 7" xfId="20050"/>
    <cellStyle name="40% - 强调文字颜色 6 3 3 8" xfId="20053"/>
    <cellStyle name="40% - 强调文字颜色 6 3 3 9" xfId="20057"/>
    <cellStyle name="40% - 强调文字颜色 6 3 4" xfId="20058"/>
    <cellStyle name="40% - 强调文字颜色 6 3 4 10" xfId="20059"/>
    <cellStyle name="40% - 强调文字颜色 6 3 4 11" xfId="20060"/>
    <cellStyle name="40% - 强调文字颜色 6 3 4 12" xfId="11942"/>
    <cellStyle name="40% - 强调文字颜色 6 3 4 13" xfId="11945"/>
    <cellStyle name="40% - 强调文字颜色 6 3 4 14" xfId="16687"/>
    <cellStyle name="40% - 强调文字颜色 6 3 4 2" xfId="6128"/>
    <cellStyle name="40% - 强调文字颜色 6 3 4 3" xfId="6133"/>
    <cellStyle name="40% - 强调文字颜色 6 3 4 4" xfId="20062"/>
    <cellStyle name="40% - 强调文字颜色 6 3 4 5" xfId="20065"/>
    <cellStyle name="40% - 强调文字颜色 6 3 4 6" xfId="20068"/>
    <cellStyle name="40% - 强调文字颜色 6 3 4 7" xfId="16199"/>
    <cellStyle name="40% - 强调文字颜色 6 3 4 8" xfId="16206"/>
    <cellStyle name="40% - 强调文字颜色 6 3 4 9" xfId="6913"/>
    <cellStyle name="40% - 强调文字颜色 6 3 5" xfId="20071"/>
    <cellStyle name="40% - 强调文字颜色 6 3 6" xfId="20072"/>
    <cellStyle name="40% - 强调文字颜色 6 3 7" xfId="20073"/>
    <cellStyle name="40% - 强调文字颜色 6 3 8" xfId="20074"/>
    <cellStyle name="40% - 强调文字颜色 6 3 9" xfId="20076"/>
    <cellStyle name="40% - 强调文字颜色 6 4" xfId="12648"/>
    <cellStyle name="40% - 强调文字颜色 6 4 10" xfId="18705"/>
    <cellStyle name="40% - 强调文字颜色 6 4 11" xfId="18708"/>
    <cellStyle name="40% - 强调文字颜色 6 4 12" xfId="18711"/>
    <cellStyle name="40% - 强调文字颜色 6 4 13" xfId="18714"/>
    <cellStyle name="40% - 强调文字颜色 6 4 14" xfId="20078"/>
    <cellStyle name="40% - 强调文字颜色 6 4 15" xfId="20081"/>
    <cellStyle name="40% - 强调文字颜色 6 4 16" xfId="20085"/>
    <cellStyle name="40% - 强调文字颜色 6 4 17" xfId="20087"/>
    <cellStyle name="40% - 强调文字颜色 6 4 17 10" xfId="17813"/>
    <cellStyle name="40% - 强调文字颜色 6 4 17 11" xfId="6110"/>
    <cellStyle name="40% - 强调文字颜色 6 4 17 12" xfId="6117"/>
    <cellStyle name="40% - 强调文字颜色 6 4 17 13" xfId="17816"/>
    <cellStyle name="40% - 强调文字颜色 6 4 17 14" xfId="17820"/>
    <cellStyle name="40% - 强调文字颜色 6 4 17 2" xfId="20091"/>
    <cellStyle name="40% - 强调文字颜色 6 4 17 3" xfId="20094"/>
    <cellStyle name="40% - 强调文字颜色 6 4 17 4" xfId="20097"/>
    <cellStyle name="40% - 强调文字颜色 6 4 17 5" xfId="20099"/>
    <cellStyle name="40% - 强调文字颜色 6 4 17 5 10" xfId="12433"/>
    <cellStyle name="40% - 强调文字颜色 6 4 17 5 11" xfId="12445"/>
    <cellStyle name="40% - 强调文字颜色 6 4 17 5 2" xfId="2027"/>
    <cellStyle name="40% - 强调文字颜色 6 4 17 5 2 2" xfId="1317"/>
    <cellStyle name="40% - 强调文字颜色 6 4 17 5 2 2 2" xfId="20101"/>
    <cellStyle name="40% - 强调文字颜色 6 4 17 5 2 2 3" xfId="20103"/>
    <cellStyle name="40% - 强调文字颜色 6 4 17 5 2 3" xfId="1327"/>
    <cellStyle name="40% - 强调文字颜色 6 4 17 5 2 4" xfId="1339"/>
    <cellStyle name="40% - 强调文字颜色 6 4 17 5 2 5" xfId="255"/>
    <cellStyle name="40% - 强调文字颜色 6 4 17 5 2 6" xfId="1358"/>
    <cellStyle name="40% - 强调文字颜色 6 4 17 5 2 7" xfId="13953"/>
    <cellStyle name="40% - 强调文字颜色 6 4 17 5 2 8" xfId="20107"/>
    <cellStyle name="40% - 强调文字颜色 6 4 17 5 3" xfId="2039"/>
    <cellStyle name="40% - 强调文字颜色 6 4 17 5 4" xfId="20109"/>
    <cellStyle name="40% - 强调文字颜色 6 4 17 5 5" xfId="20114"/>
    <cellStyle name="40% - 强调文字颜色 6 4 17 5 6" xfId="20120"/>
    <cellStyle name="40% - 强调文字颜色 6 4 17 5 6 2" xfId="20125"/>
    <cellStyle name="40% - 强调文字颜色 6 4 17 5 6 3" xfId="20129"/>
    <cellStyle name="40% - 强调文字颜色 6 4 17 5 7" xfId="20132"/>
    <cellStyle name="40% - 强调文字颜色 6 4 17 5 8" xfId="9142"/>
    <cellStyle name="40% - 强调文字颜色 6 4 17 5 9" xfId="9152"/>
    <cellStyle name="40% - 强调文字颜色 6 4 17 6" xfId="17459"/>
    <cellStyle name="40% - 强调文字颜色 6 4 17 6 2" xfId="20137"/>
    <cellStyle name="40% - 强调文字颜色 6 4 17 6 2 2" xfId="11866"/>
    <cellStyle name="40% - 强调文字颜色 6 4 17 6 2 3" xfId="11458"/>
    <cellStyle name="40% - 强调文字颜色 6 4 17 6 3" xfId="20140"/>
    <cellStyle name="40% - 强调文字颜色 6 4 17 6 4" xfId="20143"/>
    <cellStyle name="40% - 强调文字颜色 6 4 17 6 5" xfId="20148"/>
    <cellStyle name="40% - 强调文字颜色 6 4 17 6 6" xfId="20151"/>
    <cellStyle name="40% - 强调文字颜色 6 4 17 6 7" xfId="20154"/>
    <cellStyle name="40% - 强调文字颜色 6 4 17 6 8" xfId="20156"/>
    <cellStyle name="40% - 强调文字颜色 6 4 17 7" xfId="17461"/>
    <cellStyle name="40% - 强调文字颜色 6 4 17 8" xfId="20158"/>
    <cellStyle name="40% - 强调文字颜色 6 4 17 9" xfId="20159"/>
    <cellStyle name="40% - 强调文字颜色 6 4 17 9 2" xfId="20160"/>
    <cellStyle name="40% - 强调文字颜色 6 4 17 9 3" xfId="20163"/>
    <cellStyle name="40% - 强调文字颜色 6 4 18" xfId="20167"/>
    <cellStyle name="40% - 强调文字颜色 6 4 18 10" xfId="3823"/>
    <cellStyle name="40% - 强调文字颜色 6 4 18 11" xfId="11587"/>
    <cellStyle name="40% - 强调文字颜色 6 4 18 12" xfId="11590"/>
    <cellStyle name="40% - 强调文字颜色 6 4 18 13" xfId="6074"/>
    <cellStyle name="40% - 强调文字颜色 6 4 18 14" xfId="6078"/>
    <cellStyle name="40% - 强调文字颜色 6 4 18 2" xfId="4319"/>
    <cellStyle name="40% - 强调文字颜色 6 4 18 3" xfId="4326"/>
    <cellStyle name="40% - 强调文字颜色 6 4 18 4" xfId="4335"/>
    <cellStyle name="40% - 强调文字颜色 6 4 18 5" xfId="485"/>
    <cellStyle name="40% - 强调文字颜色 6 4 18 5 10" xfId="12913"/>
    <cellStyle name="40% - 强调文字颜色 6 4 18 5 11" xfId="12929"/>
    <cellStyle name="40% - 强调文字颜色 6 4 18 5 2" xfId="18213"/>
    <cellStyle name="40% - 强调文字颜色 6 4 18 5 2 2" xfId="3497"/>
    <cellStyle name="40% - 强调文字颜色 6 4 18 5 2 2 2" xfId="20168"/>
    <cellStyle name="40% - 强调文字颜色 6 4 18 5 2 2 3" xfId="20169"/>
    <cellStyle name="40% - 强调文字颜色 6 4 18 5 2 3" xfId="3508"/>
    <cellStyle name="40% - 强调文字颜色 6 4 18 5 2 4" xfId="3420"/>
    <cellStyle name="40% - 强调文字颜色 6 4 18 5 2 5" xfId="3441"/>
    <cellStyle name="40% - 强调文字颜色 6 4 18 5 2 6" xfId="3524"/>
    <cellStyle name="40% - 强调文字颜色 6 4 18 5 2 7" xfId="20170"/>
    <cellStyle name="40% - 强调文字颜色 6 4 18 5 2 8" xfId="5378"/>
    <cellStyle name="40% - 强调文字颜色 6 4 18 5 3" xfId="18215"/>
    <cellStyle name="40% - 强调文字颜色 6 4 18 5 4" xfId="18235"/>
    <cellStyle name="40% - 强调文字颜色 6 4 18 5 5" xfId="18252"/>
    <cellStyle name="40% - 强调文字颜色 6 4 18 5 6" xfId="18258"/>
    <cellStyle name="40% - 强调文字颜色 6 4 18 5 6 2" xfId="20172"/>
    <cellStyle name="40% - 强调文字颜色 6 4 18 5 6 3" xfId="20173"/>
    <cellStyle name="40% - 强调文字颜色 6 4 18 5 7" xfId="18263"/>
    <cellStyle name="40% - 强调文字颜色 6 4 18 5 8" xfId="20175"/>
    <cellStyle name="40% - 强调文字颜色 6 4 18 5 9" xfId="11381"/>
    <cellStyle name="40% - 强调文字颜色 6 4 18 6" xfId="4344"/>
    <cellStyle name="40% - 强调文字颜色 6 4 18 6 2" xfId="3885"/>
    <cellStyle name="40% - 强调文字颜色 6 4 18 6 2 2" xfId="3854"/>
    <cellStyle name="40% - 强调文字颜色 6 4 18 6 2 3" xfId="3896"/>
    <cellStyle name="40% - 强调文字颜色 6 4 18 6 3" xfId="4306"/>
    <cellStyle name="40% - 强调文字颜色 6 4 18 6 4" xfId="4555"/>
    <cellStyle name="40% - 强调文字颜色 6 4 18 6 5" xfId="4576"/>
    <cellStyle name="40% - 强调文字颜色 6 4 18 6 6" xfId="20176"/>
    <cellStyle name="40% - 强调文字颜色 6 4 18 6 7" xfId="20177"/>
    <cellStyle name="40% - 强调文字颜色 6 4 18 6 8" xfId="20178"/>
    <cellStyle name="40% - 强调文字颜色 6 4 18 7" xfId="9964"/>
    <cellStyle name="40% - 强调文字颜色 6 4 18 8" xfId="20179"/>
    <cellStyle name="40% - 强调文字颜色 6 4 18 9" xfId="20181"/>
    <cellStyle name="40% - 强调文字颜色 6 4 18 9 2" xfId="2920"/>
    <cellStyle name="40% - 强调文字颜色 6 4 18 9 3" xfId="2946"/>
    <cellStyle name="40% - 强调文字颜色 6 4 19" xfId="20185"/>
    <cellStyle name="40% - 强调文字颜色 6 4 19 10" xfId="17848"/>
    <cellStyle name="40% - 强调文字颜色 6 4 19 11" xfId="17857"/>
    <cellStyle name="40% - 强调文字颜色 6 4 19 12" xfId="17864"/>
    <cellStyle name="40% - 强调文字颜色 6 4 19 13" xfId="17870"/>
    <cellStyle name="40% - 强调文字颜色 6 4 19 14" xfId="17872"/>
    <cellStyle name="40% - 强调文字颜色 6 4 19 2" xfId="9976"/>
    <cellStyle name="40% - 强调文字颜色 6 4 19 3" xfId="9980"/>
    <cellStyle name="40% - 强调文字颜色 6 4 19 4" xfId="10033"/>
    <cellStyle name="40% - 强调文字颜色 6 4 19 5" xfId="10036"/>
    <cellStyle name="40% - 强调文字颜色 6 4 19 5 10" xfId="20189"/>
    <cellStyle name="40% - 强调文字颜色 6 4 19 5 11" xfId="20193"/>
    <cellStyle name="40% - 强调文字颜色 6 4 19 5 2" xfId="20194"/>
    <cellStyle name="40% - 强调文字颜色 6 4 19 5 2 2" xfId="3995"/>
    <cellStyle name="40% - 强调文字颜色 6 4 19 5 2 2 2" xfId="2957"/>
    <cellStyle name="40% - 强调文字颜色 6 4 19 5 2 2 3" xfId="2976"/>
    <cellStyle name="40% - 强调文字颜色 6 4 19 5 2 3" xfId="4004"/>
    <cellStyle name="40% - 强调文字颜色 6 4 19 5 2 4" xfId="2072"/>
    <cellStyle name="40% - 强调文字颜色 6 4 19 5 2 5" xfId="3113"/>
    <cellStyle name="40% - 强调文字颜色 6 4 19 5 2 6" xfId="17400"/>
    <cellStyle name="40% - 强调文字颜色 6 4 19 5 2 7" xfId="20196"/>
    <cellStyle name="40% - 强调文字颜色 6 4 19 5 2 8" xfId="20198"/>
    <cellStyle name="40% - 强调文字颜色 6 4 19 5 3" xfId="20199"/>
    <cellStyle name="40% - 强调文字颜色 6 4 19 5 4" xfId="20201"/>
    <cellStyle name="40% - 强调文字颜色 6 4 19 5 5" xfId="20202"/>
    <cellStyle name="40% - 强调文字颜色 6 4 19 5 6" xfId="20204"/>
    <cellStyle name="40% - 强调文字颜色 6 4 19 5 6 2" xfId="1187"/>
    <cellStyle name="40% - 强调文字颜色 6 4 19 5 6 3" xfId="11033"/>
    <cellStyle name="40% - 强调文字颜色 6 4 19 5 7" xfId="20206"/>
    <cellStyle name="40% - 强调文字颜色 6 4 19 5 8" xfId="20207"/>
    <cellStyle name="40% - 强调文字颜色 6 4 19 5 9" xfId="20208"/>
    <cellStyle name="40% - 强调文字颜色 6 4 19 6" xfId="10042"/>
    <cellStyle name="40% - 强调文字颜色 6 4 19 6 2" xfId="14545"/>
    <cellStyle name="40% - 强调文字颜色 6 4 19 6 2 2" xfId="20210"/>
    <cellStyle name="40% - 强调文字颜色 6 4 19 6 2 3" xfId="20212"/>
    <cellStyle name="40% - 强调文字颜色 6 4 19 6 3" xfId="14549"/>
    <cellStyle name="40% - 强调文字颜色 6 4 19 6 4" xfId="14552"/>
    <cellStyle name="40% - 强调文字颜色 6 4 19 6 5" xfId="14553"/>
    <cellStyle name="40% - 强调文字颜色 6 4 19 6 6" xfId="2372"/>
    <cellStyle name="40% - 强调文字颜色 6 4 19 6 7" xfId="2393"/>
    <cellStyle name="40% - 强调文字颜色 6 4 19 6 8" xfId="20213"/>
    <cellStyle name="40% - 强调文字颜色 6 4 19 7" xfId="7194"/>
    <cellStyle name="40% - 强调文字颜色 6 4 19 8" xfId="20214"/>
    <cellStyle name="40% - 强调文字颜色 6 4 19 9" xfId="20215"/>
    <cellStyle name="40% - 强调文字颜色 6 4 19 9 2" xfId="2079"/>
    <cellStyle name="40% - 强调文字颜色 6 4 19 9 3" xfId="20217"/>
    <cellStyle name="40% - 强调文字颜色 6 4 2" xfId="20219"/>
    <cellStyle name="40% - 强调文字颜色 6 4 20" xfId="20080"/>
    <cellStyle name="40% - 强调文字颜色 6 4 20 10" xfId="13085"/>
    <cellStyle name="40% - 强调文字颜色 6 4 20 11" xfId="13089"/>
    <cellStyle name="40% - 强调文字颜色 6 4 20 12" xfId="13093"/>
    <cellStyle name="40% - 强调文字颜色 6 4 20 13" xfId="13096"/>
    <cellStyle name="40% - 强调文字颜色 6 4 20 14" xfId="20221"/>
    <cellStyle name="40% - 强调文字颜色 6 4 20 2" xfId="8831"/>
    <cellStyle name="40% - 强调文字颜色 6 4 20 3" xfId="8840"/>
    <cellStyle name="40% - 强调文字颜色 6 4 20 4" xfId="1371"/>
    <cellStyle name="40% - 强调文字颜色 6 4 20 5" xfId="1384"/>
    <cellStyle name="40% - 强调文字颜色 6 4 20 5 10" xfId="20222"/>
    <cellStyle name="40% - 强调文字颜色 6 4 20 5 11" xfId="20225"/>
    <cellStyle name="40% - 强调文字颜色 6 4 20 5 2" xfId="20228"/>
    <cellStyle name="40% - 强调文字颜色 6 4 20 5 2 2" xfId="20231"/>
    <cellStyle name="40% - 强调文字颜色 6 4 20 5 2 2 2" xfId="20232"/>
    <cellStyle name="40% - 强调文字颜色 6 4 20 5 2 2 3" xfId="20233"/>
    <cellStyle name="40% - 强调文字颜色 6 4 20 5 2 3" xfId="20237"/>
    <cellStyle name="40% - 强调文字颜色 6 4 20 5 2 4" xfId="20240"/>
    <cellStyle name="40% - 强调文字颜色 6 4 20 5 2 5" xfId="20242"/>
    <cellStyle name="40% - 强调文字颜色 6 4 20 5 2 6" xfId="20244"/>
    <cellStyle name="40% - 强调文字颜色 6 4 20 5 2 7" xfId="20246"/>
    <cellStyle name="40% - 强调文字颜色 6 4 20 5 2 8" xfId="20250"/>
    <cellStyle name="40% - 强调文字颜色 6 4 20 5 3" xfId="20252"/>
    <cellStyle name="40% - 强调文字颜色 6 4 20 5 4" xfId="9012"/>
    <cellStyle name="40% - 强调文字颜色 6 4 20 5 5" xfId="9019"/>
    <cellStyle name="40% - 强调文字颜色 6 4 20 5 6" xfId="9023"/>
    <cellStyle name="40% - 强调文字颜色 6 4 20 5 6 2" xfId="20253"/>
    <cellStyle name="40% - 强调文字颜色 6 4 20 5 6 3" xfId="20256"/>
    <cellStyle name="40% - 强调文字颜色 6 4 20 5 7" xfId="15063"/>
    <cellStyle name="40% - 强调文字颜色 6 4 20 5 8" xfId="11251"/>
    <cellStyle name="40% - 强调文字颜色 6 4 20 5 9" xfId="11255"/>
    <cellStyle name="40% - 强调文字颜色 6 4 20 6" xfId="1396"/>
    <cellStyle name="40% - 强调文字颜色 6 4 20 6 2" xfId="12390"/>
    <cellStyle name="40% - 强调文字颜色 6 4 20 6 2 2" xfId="12392"/>
    <cellStyle name="40% - 强调文字颜色 6 4 20 6 2 3" xfId="20258"/>
    <cellStyle name="40% - 强调文字颜色 6 4 20 6 3" xfId="12394"/>
    <cellStyle name="40% - 强调文字颜色 6 4 20 6 4" xfId="12396"/>
    <cellStyle name="40% - 强调文字颜色 6 4 20 6 5" xfId="12398"/>
    <cellStyle name="40% - 强调文字颜色 6 4 20 6 6" xfId="12434"/>
    <cellStyle name="40% - 强调文字颜色 6 4 20 6 7" xfId="12446"/>
    <cellStyle name="40% - 强调文字颜色 6 4 20 6 8" xfId="8186"/>
    <cellStyle name="40% - 强调文字颜色 6 4 20 7" xfId="1412"/>
    <cellStyle name="40% - 强调文字颜色 6 4 20 8" xfId="1676"/>
    <cellStyle name="40% - 强调文字颜色 6 4 20 9" xfId="20259"/>
    <cellStyle name="40% - 强调文字颜色 6 4 20 9 2" xfId="20262"/>
    <cellStyle name="40% - 强调文字颜色 6 4 20 9 3" xfId="20267"/>
    <cellStyle name="40% - 强调文字颜色 6 4 3" xfId="20273"/>
    <cellStyle name="40% - 强调文字颜色 6 4 4" xfId="20275"/>
    <cellStyle name="40% - 强调文字颜色 6 4 5" xfId="20278"/>
    <cellStyle name="40% - 强调文字颜色 6 4 6" xfId="20281"/>
    <cellStyle name="40% - 强调文字颜色 6 4 7" xfId="9781"/>
    <cellStyle name="40% - 强调文字颜色 6 4 8" xfId="9796"/>
    <cellStyle name="40% - 强调文字颜色 6 4 9" xfId="9522"/>
    <cellStyle name="40% - 强调文字颜色 6 5" xfId="12653"/>
    <cellStyle name="40% - 强调文字颜色 6 5 10" xfId="14710"/>
    <cellStyle name="40% - 强调文字颜色 6 5 11" xfId="14713"/>
    <cellStyle name="40% - 强调文字颜色 6 5 12" xfId="14716"/>
    <cellStyle name="40% - 强调文字颜色 6 5 13" xfId="20285"/>
    <cellStyle name="40% - 强调文字颜色 6 5 14" xfId="10569"/>
    <cellStyle name="40% - 强调文字颜色 6 5 2" xfId="20286"/>
    <cellStyle name="40% - 强调文字颜色 6 5 3" xfId="20288"/>
    <cellStyle name="40% - 强调文字颜色 6 5 4" xfId="20290"/>
    <cellStyle name="40% - 强调文字颜色 6 5 5" xfId="20293"/>
    <cellStyle name="40% - 强调文字颜色 6 5 6" xfId="20296"/>
    <cellStyle name="40% - 强调文字颜色 6 5 7" xfId="10987"/>
    <cellStyle name="40% - 强调文字颜色 6 5 8" xfId="10997"/>
    <cellStyle name="40% - 强调文字颜色 6 5 9" xfId="11007"/>
    <cellStyle name="40% - 强调文字颜色 6 6" xfId="12659"/>
    <cellStyle name="40% - 强调文字颜色 6 6 10" xfId="6863"/>
    <cellStyle name="40% - 强调文字颜色 6 6 11" xfId="2324"/>
    <cellStyle name="40% - 强调文字颜色 6 6 12" xfId="20300"/>
    <cellStyle name="40% - 强调文字颜色 6 6 13" xfId="20306"/>
    <cellStyle name="40% - 强调文字颜色 6 6 14" xfId="20312"/>
    <cellStyle name="40% - 强调文字颜色 6 6 2" xfId="20315"/>
    <cellStyle name="40% - 强调文字颜色 6 6 3" xfId="20320"/>
    <cellStyle name="40% - 强调文字颜色 6 6 4" xfId="20324"/>
    <cellStyle name="40% - 强调文字颜色 6 6 5" xfId="20330"/>
    <cellStyle name="40% - 强调文字颜色 6 6 6" xfId="20335"/>
    <cellStyle name="40% - 强调文字颜色 6 6 7" xfId="20340"/>
    <cellStyle name="40% - 强调文字颜色 6 6 8" xfId="20345"/>
    <cellStyle name="40% - 强调文字颜色 6 6 9" xfId="20349"/>
    <cellStyle name="40% - 强调文字颜色 6 7" xfId="12662"/>
    <cellStyle name="40% - 强调文字颜色 6 8" xfId="12665"/>
    <cellStyle name="40% - 强调文字颜色 6 9" xfId="20350"/>
    <cellStyle name="40% - 輔色1" xfId="20353"/>
    <cellStyle name="40% - 輔色2" xfId="20354"/>
    <cellStyle name="40% - 輔色3" xfId="20355"/>
    <cellStyle name="40% - 輔色4" xfId="20356"/>
    <cellStyle name="40% - 輔色5" xfId="27"/>
    <cellStyle name="40% - 輔色5 2" xfId="38497"/>
    <cellStyle name="40% - 輔色6" xfId="28"/>
    <cellStyle name="40% - 輔色6 2" xfId="38496"/>
    <cellStyle name="60% - Accent1 2" xfId="29"/>
    <cellStyle name="60% - Accent2 2" xfId="30"/>
    <cellStyle name="60% - Accent3 2" xfId="31"/>
    <cellStyle name="60% - Accent4 2" xfId="32"/>
    <cellStyle name="60% - Accent5 2" xfId="33"/>
    <cellStyle name="60% - Accent6 2" xfId="34"/>
    <cellStyle name="60% - 强调文字颜色 1 10" xfId="5420"/>
    <cellStyle name="60% - 强调文字颜色 1 11" xfId="5433"/>
    <cellStyle name="60% - 强调文字颜色 1 12" xfId="5447"/>
    <cellStyle name="60% - 强调文字颜色 1 12 10" xfId="10421"/>
    <cellStyle name="60% - 强调文字颜色 1 12 11" xfId="18445"/>
    <cellStyle name="60% - 强调文字颜色 1 12 12" xfId="18448"/>
    <cellStyle name="60% - 强调文字颜色 1 12 13" xfId="18451"/>
    <cellStyle name="60% - 强调文字颜色 1 12 14" xfId="18455"/>
    <cellStyle name="60% - 强调文字颜色 1 12 2" xfId="14197"/>
    <cellStyle name="60% - 强调文字颜色 1 12 3" xfId="14211"/>
    <cellStyle name="60% - 强调文字颜色 1 12 4" xfId="14217"/>
    <cellStyle name="60% - 强调文字颜色 1 12 5" xfId="3744"/>
    <cellStyle name="60% - 强调文字颜色 1 12 5 10" xfId="4360"/>
    <cellStyle name="60% - 强调文字颜色 1 12 5 11" xfId="4368"/>
    <cellStyle name="60% - 强调文字颜色 1 12 5 2" xfId="18432"/>
    <cellStyle name="60% - 强调文字颜色 1 12 5 2 2" xfId="2724"/>
    <cellStyle name="60% - 强调文字颜色 1 12 5 2 2 2" xfId="10650"/>
    <cellStyle name="60% - 强调文字颜色 1 12 5 2 2 3" xfId="9189"/>
    <cellStyle name="60% - 强调文字颜色 1 12 5 2 3" xfId="2745"/>
    <cellStyle name="60% - 强调文字颜色 1 12 5 2 4" xfId="2753"/>
    <cellStyle name="60% - 强调文字颜色 1 12 5 2 5" xfId="20361"/>
    <cellStyle name="60% - 强调文字颜色 1 12 5 2 6" xfId="20366"/>
    <cellStyle name="60% - 强调文字颜色 1 12 5 2 7" xfId="20367"/>
    <cellStyle name="60% - 强调文字颜色 1 12 5 2 8" xfId="20368"/>
    <cellStyle name="60% - 强调文字颜色 1 12 5 3" xfId="18435"/>
    <cellStyle name="60% - 强调文字颜色 1 12 5 4" xfId="20369"/>
    <cellStyle name="60% - 强调文字颜色 1 12 5 5" xfId="20370"/>
    <cellStyle name="60% - 强调文字颜色 1 12 5 6" xfId="20371"/>
    <cellStyle name="60% - 强调文字颜色 1 12 5 6 2" xfId="11684"/>
    <cellStyle name="60% - 强调文字颜色 1 12 5 6 3" xfId="20373"/>
    <cellStyle name="60% - 强调文字颜色 1 12 5 7" xfId="20374"/>
    <cellStyle name="60% - 强调文字颜色 1 12 5 8" xfId="20375"/>
    <cellStyle name="60% - 强调文字颜色 1 12 5 9" xfId="20376"/>
    <cellStyle name="60% - 强调文字颜色 1 12 6" xfId="7144"/>
    <cellStyle name="60% - 强调文字颜色 1 12 6 2" xfId="20380"/>
    <cellStyle name="60% - 强调文字颜色 1 12 6 2 2" xfId="13310"/>
    <cellStyle name="60% - 强调文字颜色 1 12 6 2 3" xfId="13317"/>
    <cellStyle name="60% - 强调文字颜色 1 12 6 3" xfId="20383"/>
    <cellStyle name="60% - 强调文字颜色 1 12 6 4" xfId="20385"/>
    <cellStyle name="60% - 强调文字颜色 1 12 6 5" xfId="20388"/>
    <cellStyle name="60% - 强调文字颜色 1 12 6 6" xfId="20391"/>
    <cellStyle name="60% - 强调文字颜色 1 12 6 7" xfId="20394"/>
    <cellStyle name="60% - 强调文字颜色 1 12 6 8" xfId="20397"/>
    <cellStyle name="60% - 强调文字颜色 1 12 7" xfId="20400"/>
    <cellStyle name="60% - 强调文字颜色 1 12 8" xfId="7152"/>
    <cellStyle name="60% - 强调文字颜色 1 12 9" xfId="7158"/>
    <cellStyle name="60% - 强调文字颜色 1 12 9 2" xfId="8479"/>
    <cellStyle name="60% - 强调文字颜色 1 12 9 3" xfId="8485"/>
    <cellStyle name="60% - 强调文字颜色 1 13" xfId="5463"/>
    <cellStyle name="60% - 强调文字颜色 1 14" xfId="20401"/>
    <cellStyle name="60% - 强调文字颜色 1 15" xfId="20403"/>
    <cellStyle name="60% - 强调文字颜色 1 16" xfId="20405"/>
    <cellStyle name="60% - 强调文字颜色 1 16 10" xfId="15440"/>
    <cellStyle name="60% - 强调文字颜色 1 16 11" xfId="15443"/>
    <cellStyle name="60% - 强调文字颜色 1 16 12" xfId="15445"/>
    <cellStyle name="60% - 强调文字颜色 1 16 13" xfId="15466"/>
    <cellStyle name="60% - 强调文字颜色 1 16 14" xfId="15491"/>
    <cellStyle name="60% - 强调文字颜色 1 16 2" xfId="15576"/>
    <cellStyle name="60% - 强调文字颜色 1 16 3" xfId="15579"/>
    <cellStyle name="60% - 强调文字颜色 1 16 4" xfId="15584"/>
    <cellStyle name="60% - 强调文字颜色 1 16 5" xfId="15587"/>
    <cellStyle name="60% - 强调文字颜色 1 16 5 10" xfId="20407"/>
    <cellStyle name="60% - 强调文字颜色 1 16 5 11" xfId="20408"/>
    <cellStyle name="60% - 强调文字颜色 1 16 5 2" xfId="20411"/>
    <cellStyle name="60% - 强调文字颜色 1 16 5 2 2" xfId="20248"/>
    <cellStyle name="60% - 强调文字颜色 1 16 5 2 2 2" xfId="7069"/>
    <cellStyle name="60% - 强调文字颜色 1 16 5 2 2 3" xfId="7073"/>
    <cellStyle name="60% - 强调文字颜色 1 16 5 2 3" xfId="2450"/>
    <cellStyle name="60% - 强调文字颜色 1 16 5 2 4" xfId="3522"/>
    <cellStyle name="60% - 强调文字颜色 1 16 5 2 5" xfId="20414"/>
    <cellStyle name="60% - 强调文字颜色 1 16 5 2 6" xfId="20417"/>
    <cellStyle name="60% - 强调文字颜色 1 16 5 2 7" xfId="20420"/>
    <cellStyle name="60% - 强调文字颜色 1 16 5 2 8" xfId="20423"/>
    <cellStyle name="60% - 强调文字颜色 1 16 5 3" xfId="20426"/>
    <cellStyle name="60% - 强调文字颜色 1 16 5 4" xfId="20428"/>
    <cellStyle name="60% - 强调文字颜色 1 16 5 5" xfId="17122"/>
    <cellStyle name="60% - 强调文字颜色 1 16 5 6" xfId="17126"/>
    <cellStyle name="60% - 强调文字颜色 1 16 5 6 2" xfId="20429"/>
    <cellStyle name="60% - 强调文字颜色 1 16 5 6 3" xfId="20430"/>
    <cellStyle name="60% - 强调文字颜色 1 16 5 7" xfId="20432"/>
    <cellStyle name="60% - 强调文字颜色 1 16 5 8" xfId="20435"/>
    <cellStyle name="60% - 强调文字颜色 1 16 5 9" xfId="20437"/>
    <cellStyle name="60% - 强调文字颜色 1 16 6" xfId="15590"/>
    <cellStyle name="60% - 强调文字颜色 1 16 6 2" xfId="20441"/>
    <cellStyle name="60% - 强调文字颜色 1 16 6 2 2" xfId="20442"/>
    <cellStyle name="60% - 强调文字颜色 1 16 6 2 3" xfId="20443"/>
    <cellStyle name="60% - 强调文字颜色 1 16 6 3" xfId="20446"/>
    <cellStyle name="60% - 强调文字颜色 1 16 6 4" xfId="20447"/>
    <cellStyle name="60% - 强调文字颜色 1 16 6 5" xfId="2349"/>
    <cellStyle name="60% - 强调文字颜色 1 16 6 6" xfId="13299"/>
    <cellStyle name="60% - 强调文字颜色 1 16 6 7" xfId="13306"/>
    <cellStyle name="60% - 强调文字颜色 1 16 6 8" xfId="19469"/>
    <cellStyle name="60% - 强调文字颜色 1 16 7" xfId="15594"/>
    <cellStyle name="60% - 强调文字颜色 1 16 8" xfId="15598"/>
    <cellStyle name="60% - 强调文字颜色 1 16 9" xfId="16571"/>
    <cellStyle name="60% - 强调文字颜色 1 16 9 2" xfId="20453"/>
    <cellStyle name="60% - 强调文字颜色 1 16 9 3" xfId="20455"/>
    <cellStyle name="60% - 强调文字颜色 1 17" xfId="20456"/>
    <cellStyle name="60% - 强调文字颜色 1 17 10" xfId="18465"/>
    <cellStyle name="60% - 强调文字颜色 1 17 11" xfId="16834"/>
    <cellStyle name="60% - 强调文字颜色 1 17 12" xfId="16844"/>
    <cellStyle name="60% - 强调文字颜色 1 17 13" xfId="20461"/>
    <cellStyle name="60% - 强调文字颜色 1 17 14" xfId="20463"/>
    <cellStyle name="60% - 强调文字颜色 1 17 2" xfId="15605"/>
    <cellStyle name="60% - 强调文字颜色 1 17 3" xfId="15609"/>
    <cellStyle name="60% - 强调文字颜色 1 17 4" xfId="15614"/>
    <cellStyle name="60% - 强调文字颜色 1 17 5" xfId="2631"/>
    <cellStyle name="60% - 强调文字颜色 1 17 5 10" xfId="7169"/>
    <cellStyle name="60% - 强调文字颜色 1 17 5 11" xfId="7174"/>
    <cellStyle name="60% - 强调文字颜色 1 17 5 2" xfId="20465"/>
    <cellStyle name="60% - 强调文字颜色 1 17 5 2 2" xfId="20466"/>
    <cellStyle name="60% - 强调文字颜色 1 17 5 2 2 2" xfId="20467"/>
    <cellStyle name="60% - 强调文字颜色 1 17 5 2 2 3" xfId="3408"/>
    <cellStyle name="60% - 强调文字颜色 1 17 5 2 3" xfId="20470"/>
    <cellStyle name="60% - 强调文字颜色 1 17 5 2 4" xfId="10416"/>
    <cellStyle name="60% - 强调文字颜色 1 17 5 2 5" xfId="10430"/>
    <cellStyle name="60% - 强调文字颜色 1 17 5 2 6" xfId="10436"/>
    <cellStyle name="60% - 强调文字颜色 1 17 5 2 7" xfId="10442"/>
    <cellStyle name="60% - 强调文字颜色 1 17 5 2 8" xfId="10445"/>
    <cellStyle name="60% - 强调文字颜色 1 17 5 3" xfId="20472"/>
    <cellStyle name="60% - 强调文字颜色 1 17 5 4" xfId="20473"/>
    <cellStyle name="60% - 强调文字颜色 1 17 5 5" xfId="20475"/>
    <cellStyle name="60% - 强调文字颜色 1 17 5 6" xfId="20477"/>
    <cellStyle name="60% - 强调文字颜色 1 17 5 6 2" xfId="20479"/>
    <cellStyle name="60% - 强调文字颜色 1 17 5 6 3" xfId="20480"/>
    <cellStyle name="60% - 强调文字颜色 1 17 5 7" xfId="20481"/>
    <cellStyle name="60% - 强调文字颜色 1 17 5 8" xfId="20483"/>
    <cellStyle name="60% - 强调文字颜色 1 17 5 9" xfId="20486"/>
    <cellStyle name="60% - 强调文字颜色 1 17 6" xfId="9726"/>
    <cellStyle name="60% - 强调文字颜色 1 17 6 2" xfId="20489"/>
    <cellStyle name="60% - 强调文字颜色 1 17 6 2 2" xfId="20493"/>
    <cellStyle name="60% - 强调文字颜色 1 17 6 2 3" xfId="20495"/>
    <cellStyle name="60% - 强调文字颜色 1 17 6 3" xfId="20496"/>
    <cellStyle name="60% - 强调文字颜色 1 17 6 4" xfId="20498"/>
    <cellStyle name="60% - 强调文字颜色 1 17 6 5" xfId="20500"/>
    <cellStyle name="60% - 强调文字颜色 1 17 6 6" xfId="20502"/>
    <cellStyle name="60% - 强调文字颜色 1 17 6 7" xfId="16856"/>
    <cellStyle name="60% - 强调文字颜色 1 17 6 8" xfId="11775"/>
    <cellStyle name="60% - 强调文字颜色 1 17 7" xfId="15620"/>
    <cellStyle name="60% - 强调文字颜色 1 17 8" xfId="15624"/>
    <cellStyle name="60% - 强调文字颜色 1 17 9" xfId="20504"/>
    <cellStyle name="60% - 强调文字颜色 1 17 9 2" xfId="8683"/>
    <cellStyle name="60% - 强调文字颜色 1 17 9 3" xfId="8685"/>
    <cellStyle name="60% - 强调文字颜色 1 18" xfId="20506"/>
    <cellStyle name="60% - 强调文字颜色 1 18 10" xfId="20508"/>
    <cellStyle name="60% - 强调文字颜色 1 18 11" xfId="20510"/>
    <cellStyle name="60% - 强调文字颜色 1 18 12" xfId="20513"/>
    <cellStyle name="60% - 强调文字颜色 1 18 13" xfId="20515"/>
    <cellStyle name="60% - 强调文字颜色 1 18 14" xfId="20517"/>
    <cellStyle name="60% - 强调文字颜色 1 18 2" xfId="15635"/>
    <cellStyle name="60% - 强调文字颜色 1 18 3" xfId="15640"/>
    <cellStyle name="60% - 强调文字颜色 1 18 4" xfId="15645"/>
    <cellStyle name="60% - 强调文字颜色 1 18 5" xfId="15651"/>
    <cellStyle name="60% - 强调文字颜色 1 18 5 10" xfId="9222"/>
    <cellStyle name="60% - 强调文字颜色 1 18 5 11" xfId="9227"/>
    <cellStyle name="60% - 强调文字颜色 1 18 5 2" xfId="20519"/>
    <cellStyle name="60% - 强调文字颜色 1 18 5 2 2" xfId="20106"/>
    <cellStyle name="60% - 强调文字颜色 1 18 5 2 2 2" xfId="20520"/>
    <cellStyle name="60% - 强调文字颜色 1 18 5 2 2 3" xfId="20523"/>
    <cellStyle name="60% - 强调文字颜色 1 18 5 2 3" xfId="3071"/>
    <cellStyle name="60% - 强调文字颜色 1 18 5 2 4" xfId="3082"/>
    <cellStyle name="60% - 强调文字颜色 1 18 5 2 5" xfId="10553"/>
    <cellStyle name="60% - 强调文字颜色 1 18 5 2 6" xfId="10555"/>
    <cellStyle name="60% - 强调文字颜色 1 18 5 2 7" xfId="10557"/>
    <cellStyle name="60% - 强调文字颜色 1 18 5 2 8" xfId="10559"/>
    <cellStyle name="60% - 强调文字颜色 1 18 5 3" xfId="20525"/>
    <cellStyle name="60% - 强调文字颜色 1 18 5 4" xfId="15782"/>
    <cellStyle name="60% - 强调文字颜色 1 18 5 5" xfId="15788"/>
    <cellStyle name="60% - 强调文字颜色 1 18 5 6" xfId="15790"/>
    <cellStyle name="60% - 强调文字颜色 1 18 5 6 2" xfId="18294"/>
    <cellStyle name="60% - 强调文字颜色 1 18 5 6 3" xfId="18296"/>
    <cellStyle name="60% - 强调文字颜色 1 18 5 7" xfId="15793"/>
    <cellStyle name="60% - 强调文字颜色 1 18 5 8" xfId="15796"/>
    <cellStyle name="60% - 强调文字颜色 1 18 5 9" xfId="15798"/>
    <cellStyle name="60% - 强调文字颜色 1 18 6" xfId="15656"/>
    <cellStyle name="60% - 强调文字颜色 1 18 6 2" xfId="20527"/>
    <cellStyle name="60% - 强调文字颜色 1 18 6 2 2" xfId="14718"/>
    <cellStyle name="60% - 强调文字颜色 1 18 6 2 3" xfId="14721"/>
    <cellStyle name="60% - 强调文字颜色 1 18 6 3" xfId="20530"/>
    <cellStyle name="60% - 强调文字颜色 1 18 6 4" xfId="20533"/>
    <cellStyle name="60% - 强调文字颜色 1 18 6 5" xfId="20536"/>
    <cellStyle name="60% - 强调文字颜色 1 18 6 6" xfId="20539"/>
    <cellStyle name="60% - 强调文字颜色 1 18 6 7" xfId="20542"/>
    <cellStyle name="60% - 强调文字颜色 1 18 6 8" xfId="16846"/>
    <cellStyle name="60% - 强调文字颜色 1 18 7" xfId="10878"/>
    <cellStyle name="60% - 强调文字颜色 1 18 8" xfId="10888"/>
    <cellStyle name="60% - 强调文字颜色 1 18 9" xfId="20546"/>
    <cellStyle name="60% - 强调文字颜色 1 18 9 2" xfId="20547"/>
    <cellStyle name="60% - 强调文字颜色 1 18 9 3" xfId="20548"/>
    <cellStyle name="60% - 强调文字颜色 1 19" xfId="20549"/>
    <cellStyle name="60% - 强调文字颜色 1 2" xfId="9870"/>
    <cellStyle name="60% - 强调文字颜色 1 2 10" xfId="20553"/>
    <cellStyle name="60% - 强调文字颜色 1 2 11" xfId="20554"/>
    <cellStyle name="60% - 强调文字颜色 1 2 12" xfId="20556"/>
    <cellStyle name="60% - 强调文字颜色 1 2 13" xfId="20558"/>
    <cellStyle name="60% - 强调文字颜色 1 2 14" xfId="20560"/>
    <cellStyle name="60% - 强调文字颜色 1 2 15" xfId="20563"/>
    <cellStyle name="60% - 强调文字颜色 1 2 16" xfId="20567"/>
    <cellStyle name="60% - 强调文字颜色 1 2 17" xfId="20571"/>
    <cellStyle name="60% - 强调文字颜色 1 2 17 10" xfId="20573"/>
    <cellStyle name="60% - 强调文字颜色 1 2 17 11" xfId="20575"/>
    <cellStyle name="60% - 强调文字颜色 1 2 17 12" xfId="20577"/>
    <cellStyle name="60% - 强调文字颜色 1 2 17 13" xfId="20579"/>
    <cellStyle name="60% - 强调文字颜色 1 2 17 14" xfId="20581"/>
    <cellStyle name="60% - 强调文字颜色 1 2 17 2" xfId="20582"/>
    <cellStyle name="60% - 强调文字颜色 1 2 17 3" xfId="20583"/>
    <cellStyle name="60% - 强调文字颜色 1 2 17 4" xfId="20584"/>
    <cellStyle name="60% - 强调文字颜色 1 2 17 5" xfId="20585"/>
    <cellStyle name="60% - 强调文字颜色 1 2 17 5 10" xfId="4810"/>
    <cellStyle name="60% - 强调文字颜色 1 2 17 5 11" xfId="8937"/>
    <cellStyle name="60% - 强调文字颜色 1 2 17 5 2" xfId="3532"/>
    <cellStyle name="60% - 强调文字颜色 1 2 17 5 2 2" xfId="16123"/>
    <cellStyle name="60% - 强调文字颜色 1 2 17 5 2 2 2" xfId="20586"/>
    <cellStyle name="60% - 强调文字颜色 1 2 17 5 2 2 3" xfId="20587"/>
    <cellStyle name="60% - 强调文字颜色 1 2 17 5 2 3" xfId="14138"/>
    <cellStyle name="60% - 强调文字颜色 1 2 17 5 2 4" xfId="14145"/>
    <cellStyle name="60% - 强调文字颜色 1 2 17 5 2 5" xfId="14149"/>
    <cellStyle name="60% - 强调文字颜色 1 2 17 5 2 6" xfId="3576"/>
    <cellStyle name="60% - 强调文字颜色 1 2 17 5 2 7" xfId="3580"/>
    <cellStyle name="60% - 强调文字颜色 1 2 17 5 2 8" xfId="20588"/>
    <cellStyle name="60% - 强调文字颜色 1 2 17 5 3" xfId="3538"/>
    <cellStyle name="60% - 强调文字颜色 1 2 17 5 4" xfId="20589"/>
    <cellStyle name="60% - 强调文字颜色 1 2 17 5 5" xfId="20592"/>
    <cellStyle name="60% - 强调文字颜色 1 2 17 5 6" xfId="20593"/>
    <cellStyle name="60% - 强调文字颜色 1 2 17 5 6 2" xfId="20595"/>
    <cellStyle name="60% - 强调文字颜色 1 2 17 5 6 3" xfId="20597"/>
    <cellStyle name="60% - 强调文字颜色 1 2 17 5 7" xfId="20599"/>
    <cellStyle name="60% - 强调文字颜色 1 2 17 5 8" xfId="20600"/>
    <cellStyle name="60% - 强调文字颜色 1 2 17 5 9" xfId="20601"/>
    <cellStyle name="60% - 强调文字颜色 1 2 17 6" xfId="20602"/>
    <cellStyle name="60% - 强调文字颜色 1 2 17 6 2" xfId="20604"/>
    <cellStyle name="60% - 强调文字颜色 1 2 17 6 2 2" xfId="16157"/>
    <cellStyle name="60% - 强调文字颜色 1 2 17 6 2 3" xfId="14196"/>
    <cellStyle name="60% - 强调文字颜色 1 2 17 6 3" xfId="20607"/>
    <cellStyle name="60% - 强调文字颜色 1 2 17 6 4" xfId="15001"/>
    <cellStyle name="60% - 强调文字颜色 1 2 17 6 5" xfId="15174"/>
    <cellStyle name="60% - 强调文字颜色 1 2 17 6 6" xfId="7874"/>
    <cellStyle name="60% - 强调文字颜色 1 2 17 6 7" xfId="7881"/>
    <cellStyle name="60% - 强调文字颜色 1 2 17 6 8" xfId="15627"/>
    <cellStyle name="60% - 强调文字颜色 1 2 17 7" xfId="20610"/>
    <cellStyle name="60% - 强调文字颜色 1 2 17 8" xfId="20612"/>
    <cellStyle name="60% - 强调文字颜色 1 2 17 9" xfId="20614"/>
    <cellStyle name="60% - 强调文字颜色 1 2 17 9 2" xfId="5316"/>
    <cellStyle name="60% - 强调文字颜色 1 2 17 9 3" xfId="7443"/>
    <cellStyle name="60% - 强调文字颜色 1 2 18" xfId="20616"/>
    <cellStyle name="60% - 强调文字颜色 1 2 18 10" xfId="14772"/>
    <cellStyle name="60% - 强调文字颜色 1 2 18 11" xfId="20620"/>
    <cellStyle name="60% - 强调文字颜色 1 2 18 12" xfId="20623"/>
    <cellStyle name="60% - 强调文字颜色 1 2 18 13" xfId="20626"/>
    <cellStyle name="60% - 强调文字颜色 1 2 18 14" xfId="20630"/>
    <cellStyle name="60% - 强调文字颜色 1 2 18 2" xfId="20632"/>
    <cellStyle name="60% - 强调文字颜色 1 2 18 3" xfId="20633"/>
    <cellStyle name="60% - 强调文字颜色 1 2 18 4" xfId="20634"/>
    <cellStyle name="60% - 强调文字颜色 1 2 18 5" xfId="20635"/>
    <cellStyle name="60% - 强调文字颜色 1 2 18 5 10" xfId="20636"/>
    <cellStyle name="60% - 强调文字颜色 1 2 18 5 11" xfId="20637"/>
    <cellStyle name="60% - 强调文字颜色 1 2 18 5 2" xfId="20638"/>
    <cellStyle name="60% - 强调文字颜色 1 2 18 5 2 2" xfId="20640"/>
    <cellStyle name="60% - 强调文字颜色 1 2 18 5 2 2 2" xfId="16616"/>
    <cellStyle name="60% - 强调文字颜色 1 2 18 5 2 2 3" xfId="20642"/>
    <cellStyle name="60% - 强调文字颜色 1 2 18 5 2 3" xfId="20643"/>
    <cellStyle name="60% - 强调文字颜色 1 2 18 5 2 4" xfId="20644"/>
    <cellStyle name="60% - 强调文字颜色 1 2 18 5 2 5" xfId="20645"/>
    <cellStyle name="60% - 强调文字颜色 1 2 18 5 2 6" xfId="20646"/>
    <cellStyle name="60% - 强调文字颜色 1 2 18 5 2 7" xfId="20648"/>
    <cellStyle name="60% - 强调文字颜色 1 2 18 5 2 8" xfId="20650"/>
    <cellStyle name="60% - 强调文字颜色 1 2 18 5 3" xfId="20651"/>
    <cellStyle name="60% - 强调文字颜色 1 2 18 5 4" xfId="20653"/>
    <cellStyle name="60% - 强调文字颜色 1 2 18 5 5" xfId="20655"/>
    <cellStyle name="60% - 强调文字颜色 1 2 18 5 6" xfId="19196"/>
    <cellStyle name="60% - 强调文字颜色 1 2 18 5 6 2" xfId="19198"/>
    <cellStyle name="60% - 强调文字颜色 1 2 18 5 6 3" xfId="19202"/>
    <cellStyle name="60% - 强调文字颜色 1 2 18 5 7" xfId="19205"/>
    <cellStyle name="60% - 强调文字颜色 1 2 18 5 8" xfId="19208"/>
    <cellStyle name="60% - 强调文字颜色 1 2 18 5 9" xfId="19211"/>
    <cellStyle name="60% - 强调文字颜色 1 2 18 6" xfId="20657"/>
    <cellStyle name="60% - 强调文字颜色 1 2 18 6 2" xfId="20659"/>
    <cellStyle name="60% - 强调文字颜色 1 2 18 6 2 2" xfId="20663"/>
    <cellStyle name="60% - 强调文字颜色 1 2 18 6 2 3" xfId="20666"/>
    <cellStyle name="60% - 强调文字颜色 1 2 18 6 3" xfId="20668"/>
    <cellStyle name="60% - 强调文字颜色 1 2 18 6 4" xfId="20671"/>
    <cellStyle name="60% - 强调文字颜色 1 2 18 6 5" xfId="20674"/>
    <cellStyle name="60% - 强调文字颜色 1 2 18 6 6" xfId="20676"/>
    <cellStyle name="60% - 强调文字颜色 1 2 18 6 7" xfId="20678"/>
    <cellStyle name="60% - 强调文字颜色 1 2 18 6 8" xfId="20680"/>
    <cellStyle name="60% - 强调文字颜色 1 2 18 7" xfId="20683"/>
    <cellStyle name="60% - 强调文字颜色 1 2 18 8" xfId="20685"/>
    <cellStyle name="60% - 强调文字颜色 1 2 18 9" xfId="1325"/>
    <cellStyle name="60% - 强调文字颜色 1 2 18 9 2" xfId="13938"/>
    <cellStyle name="60% - 强调文字颜色 1 2 18 9 3" xfId="13942"/>
    <cellStyle name="60% - 强调文字颜色 1 2 19" xfId="20687"/>
    <cellStyle name="60% - 强调文字颜色 1 2 19 10" xfId="15195"/>
    <cellStyle name="60% - 强调文字颜色 1 2 19 11" xfId="20689"/>
    <cellStyle name="60% - 强调文字颜色 1 2 19 12" xfId="20690"/>
    <cellStyle name="60% - 强调文字颜色 1 2 19 13" xfId="20691"/>
    <cellStyle name="60% - 强调文字颜色 1 2 19 14" xfId="20693"/>
    <cellStyle name="60% - 强调文字颜色 1 2 19 2" xfId="20695"/>
    <cellStyle name="60% - 强调文字颜色 1 2 19 3" xfId="20696"/>
    <cellStyle name="60% - 强调文字颜色 1 2 19 4" xfId="20697"/>
    <cellStyle name="60% - 强调文字颜色 1 2 19 5" xfId="20698"/>
    <cellStyle name="60% - 强调文字颜色 1 2 19 5 10" xfId="20699"/>
    <cellStyle name="60% - 强调文字颜色 1 2 19 5 11" xfId="20700"/>
    <cellStyle name="60% - 强调文字颜色 1 2 19 5 2" xfId="17874"/>
    <cellStyle name="60% - 强调文字颜色 1 2 19 5 2 2" xfId="20701"/>
    <cellStyle name="60% - 强调文字颜色 1 2 19 5 2 2 2" xfId="16840"/>
    <cellStyle name="60% - 强调文字颜色 1 2 19 5 2 2 3" xfId="20458"/>
    <cellStyle name="60% - 强调文字颜色 1 2 19 5 2 3" xfId="20702"/>
    <cellStyle name="60% - 强调文字颜色 1 2 19 5 2 4" xfId="20703"/>
    <cellStyle name="60% - 强调文字颜色 1 2 19 5 2 5" xfId="20704"/>
    <cellStyle name="60% - 强调文字颜色 1 2 19 5 2 6" xfId="20705"/>
    <cellStyle name="60% - 强调文字颜色 1 2 19 5 2 7" xfId="20706"/>
    <cellStyle name="60% - 强调文字颜色 1 2 19 5 2 8" xfId="20707"/>
    <cellStyle name="60% - 强调文字颜色 1 2 19 5 3" xfId="14787"/>
    <cellStyle name="60% - 强调文字颜色 1 2 19 5 4" xfId="14791"/>
    <cellStyle name="60% - 强调文字颜色 1 2 19 5 5" xfId="20713"/>
    <cellStyle name="60% - 强调文字颜色 1 2 19 5 6" xfId="19280"/>
    <cellStyle name="60% - 强调文字颜色 1 2 19 5 6 2" xfId="19286"/>
    <cellStyle name="60% - 强调文字颜色 1 2 19 5 6 3" xfId="19290"/>
    <cellStyle name="60% - 强调文字颜色 1 2 19 5 7" xfId="19293"/>
    <cellStyle name="60% - 强调文字颜色 1 2 19 5 8" xfId="19297"/>
    <cellStyle name="60% - 强调文字颜色 1 2 19 5 9" xfId="19301"/>
    <cellStyle name="60% - 强调文字颜色 1 2 19 6" xfId="20715"/>
    <cellStyle name="60% - 强调文字颜色 1 2 19 6 2" xfId="20718"/>
    <cellStyle name="60% - 强调文字颜色 1 2 19 6 2 2" xfId="20720"/>
    <cellStyle name="60% - 强调文字颜色 1 2 19 6 2 3" xfId="20722"/>
    <cellStyle name="60% - 强调文字颜色 1 2 19 6 3" xfId="20725"/>
    <cellStyle name="60% - 强调文字颜色 1 2 19 6 4" xfId="20726"/>
    <cellStyle name="60% - 强调文字颜色 1 2 19 6 5" xfId="20728"/>
    <cellStyle name="60% - 强调文字颜色 1 2 19 6 6" xfId="7540"/>
    <cellStyle name="60% - 强调文字颜色 1 2 19 6 7" xfId="7552"/>
    <cellStyle name="60% - 强调文字颜色 1 2 19 6 8" xfId="20730"/>
    <cellStyle name="60% - 强调文字颜色 1 2 19 7" xfId="20732"/>
    <cellStyle name="60% - 强调文字颜色 1 2 19 8" xfId="20736"/>
    <cellStyle name="60% - 强调文字颜色 1 2 19 9" xfId="13973"/>
    <cellStyle name="60% - 强调文字颜色 1 2 19 9 2" xfId="13977"/>
    <cellStyle name="60% - 强调文字颜色 1 2 19 9 3" xfId="13981"/>
    <cellStyle name="60% - 强调文字颜色 1 2 2" xfId="18492"/>
    <cellStyle name="60% - 强调文字颜色 1 2 2 10" xfId="18496"/>
    <cellStyle name="60% - 强调文字颜色 1 2 2 11" xfId="18499"/>
    <cellStyle name="60% - 强调文字颜色 1 2 2 12" xfId="1111"/>
    <cellStyle name="60% - 强调文字颜色 1 2 2 13" xfId="1158"/>
    <cellStyle name="60% - 强调文字颜色 1 2 2 14" xfId="1174"/>
    <cellStyle name="60% - 强调文字颜色 1 2 2 2" xfId="7946"/>
    <cellStyle name="60% - 强调文字颜色 1 2 2 3" xfId="7954"/>
    <cellStyle name="60% - 强调文字颜色 1 2 2 4" xfId="7958"/>
    <cellStyle name="60% - 强调文字颜色 1 2 2 5" xfId="7965"/>
    <cellStyle name="60% - 强调文字颜色 1 2 2 6" xfId="7972"/>
    <cellStyle name="60% - 强调文字颜色 1 2 2 7" xfId="7979"/>
    <cellStyle name="60% - 强调文字颜色 1 2 2 8" xfId="7986"/>
    <cellStyle name="60% - 强调文字颜色 1 2 2 9" xfId="10562"/>
    <cellStyle name="60% - 强调文字颜色 1 2 20" xfId="20562"/>
    <cellStyle name="60% - 强调文字颜色 1 2 20 10" xfId="20739"/>
    <cellStyle name="60% - 强调文字颜色 1 2 20 11" xfId="20742"/>
    <cellStyle name="60% - 强调文字颜色 1 2 20 12" xfId="20745"/>
    <cellStyle name="60% - 强调文字颜色 1 2 20 13" xfId="20748"/>
    <cellStyle name="60% - 强调文字颜色 1 2 20 14" xfId="20753"/>
    <cellStyle name="60% - 强调文字颜色 1 2 20 2" xfId="17514"/>
    <cellStyle name="60% - 强调文字颜色 1 2 20 3" xfId="17519"/>
    <cellStyle name="60% - 强调文字颜色 1 2 20 4" xfId="17522"/>
    <cellStyle name="60% - 强调文字颜色 1 2 20 5" xfId="17524"/>
    <cellStyle name="60% - 强调文字颜色 1 2 20 5 10" xfId="20759"/>
    <cellStyle name="60% - 强调文字颜色 1 2 20 5 11" xfId="20763"/>
    <cellStyle name="60% - 强调文字颜色 1 2 20 5 2" xfId="20765"/>
    <cellStyle name="60% - 强调文字颜色 1 2 20 5 2 2" xfId="20766"/>
    <cellStyle name="60% - 强调文字颜色 1 2 20 5 2 2 2" xfId="20767"/>
    <cellStyle name="60% - 强调文字颜色 1 2 20 5 2 2 3" xfId="12669"/>
    <cellStyle name="60% - 强调文字颜色 1 2 20 5 2 3" xfId="20768"/>
    <cellStyle name="60% - 强调文字颜色 1 2 20 5 2 4" xfId="20769"/>
    <cellStyle name="60% - 强调文字颜色 1 2 20 5 2 5" xfId="20771"/>
    <cellStyle name="60% - 强调文字颜色 1 2 20 5 2 6" xfId="20773"/>
    <cellStyle name="60% - 强调文字颜色 1 2 20 5 2 7" xfId="20777"/>
    <cellStyle name="60% - 强调文字颜色 1 2 20 5 2 8" xfId="20780"/>
    <cellStyle name="60% - 强调文字颜色 1 2 20 5 3" xfId="20781"/>
    <cellStyle name="60% - 强调文字颜色 1 2 20 5 4" xfId="20782"/>
    <cellStyle name="60% - 强调文字颜色 1 2 20 5 5" xfId="20784"/>
    <cellStyle name="60% - 强调文字颜色 1 2 20 5 6" xfId="20786"/>
    <cellStyle name="60% - 强调文字颜色 1 2 20 5 6 2" xfId="520"/>
    <cellStyle name="60% - 强调文字颜色 1 2 20 5 6 3" xfId="6032"/>
    <cellStyle name="60% - 强调文字颜色 1 2 20 5 7" xfId="20787"/>
    <cellStyle name="60% - 强调文字颜色 1 2 20 5 8" xfId="20788"/>
    <cellStyle name="60% - 强调文字颜色 1 2 20 5 9" xfId="20790"/>
    <cellStyle name="60% - 强调文字颜色 1 2 20 6" xfId="20792"/>
    <cellStyle name="60% - 强调文字颜色 1 2 20 6 2" xfId="14423"/>
    <cellStyle name="60% - 强调文字颜色 1 2 20 6 2 2" xfId="20793"/>
    <cellStyle name="60% - 强调文字颜色 1 2 20 6 2 3" xfId="17293"/>
    <cellStyle name="60% - 强调文字颜色 1 2 20 6 3" xfId="20794"/>
    <cellStyle name="60% - 强调文字颜色 1 2 20 6 4" xfId="20795"/>
    <cellStyle name="60% - 强调文字颜色 1 2 20 6 5" xfId="20796"/>
    <cellStyle name="60% - 强调文字颜色 1 2 20 6 6" xfId="20797"/>
    <cellStyle name="60% - 强调文字颜色 1 2 20 6 7" xfId="20798"/>
    <cellStyle name="60% - 强调文字颜色 1 2 20 6 8" xfId="20799"/>
    <cellStyle name="60% - 强调文字颜色 1 2 20 7" xfId="18131"/>
    <cellStyle name="60% - 强调文字颜色 1 2 20 8" xfId="18134"/>
    <cellStyle name="60% - 强调文字颜色 1 2 20 9" xfId="20800"/>
    <cellStyle name="60% - 强调文字颜色 1 2 20 9 2" xfId="20802"/>
    <cellStyle name="60% - 强调文字颜色 1 2 20 9 3" xfId="8245"/>
    <cellStyle name="60% - 强调文字颜色 1 2 3" xfId="18526"/>
    <cellStyle name="60% - 强调文字颜色 1 2 3 10" xfId="20805"/>
    <cellStyle name="60% - 强调文字颜色 1 2 3 11" xfId="20808"/>
    <cellStyle name="60% - 强调文字颜色 1 2 3 12" xfId="20811"/>
    <cellStyle name="60% - 强调文字颜色 1 2 3 13" xfId="20814"/>
    <cellStyle name="60% - 强调文字颜色 1 2 3 14" xfId="20816"/>
    <cellStyle name="60% - 强调文字颜色 1 2 3 2" xfId="5934"/>
    <cellStyle name="60% - 强调文字颜色 1 2 3 3" xfId="5946"/>
    <cellStyle name="60% - 强调文字颜色 1 2 3 4" xfId="5954"/>
    <cellStyle name="60% - 强调文字颜色 1 2 3 5" xfId="1496"/>
    <cellStyle name="60% - 强调文字颜色 1 2 3 6" xfId="1511"/>
    <cellStyle name="60% - 强调文字颜色 1 2 3 7" xfId="4416"/>
    <cellStyle name="60% - 强调文字颜色 1 2 3 8" xfId="18530"/>
    <cellStyle name="60% - 强调文字颜色 1 2 3 9" xfId="20819"/>
    <cellStyle name="60% - 强调文字颜色 1 2 4" xfId="18535"/>
    <cellStyle name="60% - 强调文字颜色 1 2 4 10" xfId="20820"/>
    <cellStyle name="60% - 强调文字颜色 1 2 4 11" xfId="20821"/>
    <cellStyle name="60% - 强调文字颜色 1 2 4 12" xfId="20823"/>
    <cellStyle name="60% - 强调文字颜色 1 2 4 13" xfId="20825"/>
    <cellStyle name="60% - 强调文字颜色 1 2 4 14" xfId="18059"/>
    <cellStyle name="60% - 强调文字颜色 1 2 4 2" xfId="5985"/>
    <cellStyle name="60% - 强调文字颜色 1 2 4 3" xfId="5990"/>
    <cellStyle name="60% - 强调文字颜色 1 2 4 4" xfId="5997"/>
    <cellStyle name="60% - 强调文字颜色 1 2 4 5" xfId="6002"/>
    <cellStyle name="60% - 强调文字颜色 1 2 4 6" xfId="6006"/>
    <cellStyle name="60% - 强调文字颜色 1 2 4 7" xfId="18112"/>
    <cellStyle name="60% - 强调文字颜色 1 2 4 8" xfId="20827"/>
    <cellStyle name="60% - 强调文字颜色 1 2 4 9" xfId="20831"/>
    <cellStyle name="60% - 强调文字颜色 1 2 5" xfId="6776"/>
    <cellStyle name="60% - 强调文字颜色 1 2 6" xfId="7613"/>
    <cellStyle name="60% - 强调文字颜色 1 2 7" xfId="7624"/>
    <cellStyle name="60% - 强调文字颜色 1 2 8" xfId="8921"/>
    <cellStyle name="60% - 强调文字颜色 1 2 9" xfId="919"/>
    <cellStyle name="60% - 强调文字颜色 1 3" xfId="20832"/>
    <cellStyle name="60% - 强调文字颜色 1 3 10" xfId="1645"/>
    <cellStyle name="60% - 强调文字颜色 1 3 11" xfId="1660"/>
    <cellStyle name="60% - 强调文字颜色 1 3 12" xfId="12049"/>
    <cellStyle name="60% - 强调文字颜色 1 3 13" xfId="9922"/>
    <cellStyle name="60% - 强调文字颜色 1 3 14" xfId="9924"/>
    <cellStyle name="60% - 强调文字颜色 1 3 15" xfId="9927"/>
    <cellStyle name="60% - 强调文字颜色 1 3 16" xfId="9929"/>
    <cellStyle name="60% - 强调文字颜色 1 3 17" xfId="9931"/>
    <cellStyle name="60% - 强调文字颜色 1 3 17 10" xfId="13055"/>
    <cellStyle name="60% - 强调文字颜色 1 3 17 11" xfId="13057"/>
    <cellStyle name="60% - 强调文字颜色 1 3 17 12" xfId="13062"/>
    <cellStyle name="60% - 强调文字颜色 1 3 17 13" xfId="13067"/>
    <cellStyle name="60% - 强调文字颜色 1 3 17 14" xfId="13115"/>
    <cellStyle name="60% - 强调文字颜色 1 3 17 2" xfId="20834"/>
    <cellStyle name="60% - 强调文字颜色 1 3 17 2 2" xfId="20837"/>
    <cellStyle name="60% - 强调文字颜色 1 3 17 3" xfId="13322"/>
    <cellStyle name="60% - 强调文字颜色 1 3 17 4" xfId="13326"/>
    <cellStyle name="60% - 强调文字颜色 1 3 17 5" xfId="17599"/>
    <cellStyle name="60% - 强调文字颜色 1 3 17 5 10" xfId="8703"/>
    <cellStyle name="60% - 强调文字颜色 1 3 17 5 11" xfId="8708"/>
    <cellStyle name="60% - 强调文字颜色 1 3 17 5 2" xfId="20839"/>
    <cellStyle name="60% - 强调文字颜色 1 3 17 5 2 2" xfId="3978"/>
    <cellStyle name="60% - 强调文字颜色 1 3 17 5 2 2 2" xfId="20840"/>
    <cellStyle name="60% - 强调文字颜色 1 3 17 5 2 2 3" xfId="20801"/>
    <cellStyle name="60% - 强调文字颜色 1 3 17 5 2 3" xfId="4910"/>
    <cellStyle name="60% - 强调文字颜色 1 3 17 5 2 4" xfId="5212"/>
    <cellStyle name="60% - 强调文字颜色 1 3 17 5 2 5" xfId="2835"/>
    <cellStyle name="60% - 强调文字颜色 1 3 17 5 2 6" xfId="2856"/>
    <cellStyle name="60% - 强调文字颜色 1 3 17 5 2 7" xfId="12036"/>
    <cellStyle name="60% - 强调文字颜色 1 3 17 5 2 8" xfId="12038"/>
    <cellStyle name="60% - 强调文字颜色 1 3 17 5 3" xfId="404"/>
    <cellStyle name="60% - 强调文字颜色 1 3 17 5 4" xfId="20843"/>
    <cellStyle name="60% - 强调文字颜色 1 3 17 5 5" xfId="20846"/>
    <cellStyle name="60% - 强调文字颜色 1 3 17 5 6" xfId="20849"/>
    <cellStyle name="60% - 强调文字颜色 1 3 17 5 6 2" xfId="20851"/>
    <cellStyle name="60% - 强调文字颜色 1 3 17 5 6 3" xfId="20853"/>
    <cellStyle name="60% - 强调文字颜色 1 3 17 5 7" xfId="15411"/>
    <cellStyle name="60% - 强调文字颜色 1 3 17 5 8" xfId="13211"/>
    <cellStyle name="60% - 强调文字颜色 1 3 17 5 9" xfId="13220"/>
    <cellStyle name="60% - 强调文字颜色 1 3 17 6" xfId="17602"/>
    <cellStyle name="60% - 强调文字颜色 1 3 17 6 2" xfId="17266"/>
    <cellStyle name="60% - 强调文字颜色 1 3 17 6 2 2" xfId="16865"/>
    <cellStyle name="60% - 强调文字颜色 1 3 17 6 2 3" xfId="16870"/>
    <cellStyle name="60% - 强调文字颜色 1 3 17 6 3" xfId="17269"/>
    <cellStyle name="60% - 强调文字颜色 1 3 17 6 4" xfId="17272"/>
    <cellStyle name="60% - 强调文字颜色 1 3 17 6 5" xfId="6773"/>
    <cellStyle name="60% - 强调文字颜色 1 3 17 6 6" xfId="6787"/>
    <cellStyle name="60% - 强调文字颜色 1 3 17 6 7" xfId="20855"/>
    <cellStyle name="60% - 强调文字颜色 1 3 17 6 8" xfId="20856"/>
    <cellStyle name="60% - 强调文字颜色 1 3 17 7" xfId="17605"/>
    <cellStyle name="60% - 强调文字颜色 1 3 17 8" xfId="20857"/>
    <cellStyle name="60% - 强调文字颜色 1 3 17 9" xfId="15508"/>
    <cellStyle name="60% - 强调文字颜色 1 3 17 9 2" xfId="13081"/>
    <cellStyle name="60% - 强调文字颜色 1 3 17 9 3" xfId="16350"/>
    <cellStyle name="60% - 强调文字颜色 1 3 18" xfId="9933"/>
    <cellStyle name="60% - 强调文字颜色 1 3 18 10" xfId="5129"/>
    <cellStyle name="60% - 强调文字颜色 1 3 18 11" xfId="14777"/>
    <cellStyle name="60% - 强调文字颜色 1 3 18 12" xfId="14811"/>
    <cellStyle name="60% - 强调文字颜色 1 3 18 13" xfId="14825"/>
    <cellStyle name="60% - 强调文字颜色 1 3 18 14" xfId="14827"/>
    <cellStyle name="60% - 强调文字颜色 1 3 18 2" xfId="20858"/>
    <cellStyle name="60% - 强调文字颜色 1 3 18 3" xfId="14489"/>
    <cellStyle name="60% - 强调文字颜色 1 3 18 4" xfId="14492"/>
    <cellStyle name="60% - 强调文字颜色 1 3 18 5" xfId="20861"/>
    <cellStyle name="60% - 强调文字颜色 1 3 18 5 10" xfId="20862"/>
    <cellStyle name="60% - 强调文字颜色 1 3 18 5 11" xfId="4591"/>
    <cellStyle name="60% - 强调文字颜色 1 3 18 5 2" xfId="20863"/>
    <cellStyle name="60% - 强调文字颜色 1 3 18 5 2 2" xfId="20864"/>
    <cellStyle name="60% - 强调文字颜色 1 3 18 5 2 2 2" xfId="20866"/>
    <cellStyle name="60% - 强调文字颜色 1 3 18 5 2 2 3" xfId="20868"/>
    <cellStyle name="60% - 强调文字颜色 1 3 18 5 2 3" xfId="20869"/>
    <cellStyle name="60% - 强调文字颜色 1 3 18 5 2 4" xfId="20870"/>
    <cellStyle name="60% - 强调文字颜色 1 3 18 5 2 5" xfId="20871"/>
    <cellStyle name="60% - 强调文字颜色 1 3 18 5 2 6" xfId="1430"/>
    <cellStyle name="60% - 强调文字颜色 1 3 18 5 2 7" xfId="1462"/>
    <cellStyle name="60% - 强调文字颜色 1 3 18 5 2 8" xfId="12450"/>
    <cellStyle name="60% - 强调文字颜色 1 3 18 5 3" xfId="20872"/>
    <cellStyle name="60% - 强调文字颜色 1 3 18 5 4" xfId="20873"/>
    <cellStyle name="60% - 强调文字颜色 1 3 18 5 5" xfId="20874"/>
    <cellStyle name="60% - 强调文字颜色 1 3 18 5 6" xfId="20875"/>
    <cellStyle name="60% - 强调文字颜色 1 3 18 5 6 2" xfId="20876"/>
    <cellStyle name="60% - 强调文字颜色 1 3 18 5 6 3" xfId="20877"/>
    <cellStyle name="60% - 强调文字颜色 1 3 18 5 7" xfId="20879"/>
    <cellStyle name="60% - 强调文字颜色 1 3 18 5 8" xfId="20880"/>
    <cellStyle name="60% - 强调文字颜色 1 3 18 5 9" xfId="20881"/>
    <cellStyle name="60% - 强调文字颜色 1 3 18 6" xfId="20882"/>
    <cellStyle name="60% - 强调文字颜色 1 3 18 6 2" xfId="20883"/>
    <cellStyle name="60% - 强调文字颜色 1 3 18 6 2 2" xfId="20885"/>
    <cellStyle name="60% - 强调文字颜色 1 3 18 6 2 3" xfId="20886"/>
    <cellStyle name="60% - 强调文字颜色 1 3 18 6 3" xfId="20887"/>
    <cellStyle name="60% - 强调文字颜色 1 3 18 6 4" xfId="20888"/>
    <cellStyle name="60% - 强调文字颜色 1 3 18 6 5" xfId="20889"/>
    <cellStyle name="60% - 强调文字颜色 1 3 18 6 6" xfId="20890"/>
    <cellStyle name="60% - 强调文字颜色 1 3 18 6 7" xfId="20892"/>
    <cellStyle name="60% - 强调文字颜色 1 3 18 6 8" xfId="20893"/>
    <cellStyle name="60% - 强调文字颜色 1 3 18 7" xfId="15873"/>
    <cellStyle name="60% - 强调文字颜色 1 3 18 8" xfId="15876"/>
    <cellStyle name="60% - 强调文字颜色 1 3 18 9" xfId="16362"/>
    <cellStyle name="60% - 强调文字颜色 1 3 18 9 2" xfId="16364"/>
    <cellStyle name="60% - 强调文字颜色 1 3 18 9 3" xfId="16366"/>
    <cellStyle name="60% - 强调文字颜色 1 3 19" xfId="9937"/>
    <cellStyle name="60% - 强调文字颜色 1 3 19 10" xfId="14874"/>
    <cellStyle name="60% - 强调文字颜色 1 3 19 11" xfId="14877"/>
    <cellStyle name="60% - 强调文字颜色 1 3 19 12" xfId="13262"/>
    <cellStyle name="60% - 强调文字颜色 1 3 19 13" xfId="11198"/>
    <cellStyle name="60% - 强调文字颜色 1 3 19 14" xfId="11206"/>
    <cellStyle name="60% - 强调文字颜色 1 3 19 2" xfId="19647"/>
    <cellStyle name="60% - 强调文字颜色 1 3 19 3" xfId="19650"/>
    <cellStyle name="60% - 强调文字颜色 1 3 19 4" xfId="20895"/>
    <cellStyle name="60% - 强调文字颜色 1 3 19 5" xfId="20896"/>
    <cellStyle name="60% - 强调文字颜色 1 3 19 5 10" xfId="20897"/>
    <cellStyle name="60% - 强调文字颜色 1 3 19 5 11" xfId="12829"/>
    <cellStyle name="60% - 强调文字颜色 1 3 19 5 2" xfId="20898"/>
    <cellStyle name="60% - 强调文字颜色 1 3 19 5 2 2" xfId="20900"/>
    <cellStyle name="60% - 强调文字颜色 1 3 19 5 2 2 2" xfId="20903"/>
    <cellStyle name="60% - 强调文字颜色 1 3 19 5 2 2 3" xfId="20904"/>
    <cellStyle name="60% - 强调文字颜色 1 3 19 5 2 3" xfId="20905"/>
    <cellStyle name="60% - 强调文字颜色 1 3 19 5 2 4" xfId="20906"/>
    <cellStyle name="60% - 强调文字颜色 1 3 19 5 2 5" xfId="20907"/>
    <cellStyle name="60% - 强调文字颜色 1 3 19 5 2 6" xfId="12939"/>
    <cellStyle name="60% - 强调文字颜色 1 3 19 5 2 7" xfId="12942"/>
    <cellStyle name="60% - 强调文字颜色 1 3 19 5 2 8" xfId="12947"/>
    <cellStyle name="60% - 强调文字颜色 1 3 19 5 3" xfId="20908"/>
    <cellStyle name="60% - 强调文字颜色 1 3 19 5 4" xfId="20909"/>
    <cellStyle name="60% - 强调文字颜色 1 3 19 5 5" xfId="20910"/>
    <cellStyle name="60% - 强调文字颜色 1 3 19 5 6" xfId="20911"/>
    <cellStyle name="60% - 强调文字颜色 1 3 19 5 6 2" xfId="20913"/>
    <cellStyle name="60% - 强调文字颜色 1 3 19 5 6 3" xfId="20915"/>
    <cellStyle name="60% - 强调文字颜色 1 3 19 5 7" xfId="20918"/>
    <cellStyle name="60% - 强调文字颜色 1 3 19 5 8" xfId="20920"/>
    <cellStyle name="60% - 强调文字颜色 1 3 19 5 9" xfId="20922"/>
    <cellStyle name="60% - 强调文字颜色 1 3 19 6" xfId="20924"/>
    <cellStyle name="60% - 强调文字颜色 1 3 19 6 2" xfId="20925"/>
    <cellStyle name="60% - 强调文字颜色 1 3 19 6 2 2" xfId="20926"/>
    <cellStyle name="60% - 强调文字颜色 1 3 19 6 2 3" xfId="20927"/>
    <cellStyle name="60% - 强调文字颜色 1 3 19 6 3" xfId="20928"/>
    <cellStyle name="60% - 强调文字颜色 1 3 19 6 4" xfId="20929"/>
    <cellStyle name="60% - 强调文字颜色 1 3 19 6 5" xfId="20930"/>
    <cellStyle name="60% - 强调文字颜色 1 3 19 6 6" xfId="20932"/>
    <cellStyle name="60% - 强调文字颜色 1 3 19 6 7" xfId="20933"/>
    <cellStyle name="60% - 强调文字颜色 1 3 19 6 8" xfId="20934"/>
    <cellStyle name="60% - 强调文字颜色 1 3 19 7" xfId="20935"/>
    <cellStyle name="60% - 强调文字颜色 1 3 19 8" xfId="20936"/>
    <cellStyle name="60% - 强调文字颜色 1 3 19 9" xfId="20937"/>
    <cellStyle name="60% - 强调文字颜色 1 3 19 9 2" xfId="20938"/>
    <cellStyle name="60% - 强调文字颜色 1 3 19 9 3" xfId="20939"/>
    <cellStyle name="60% - 强调文字颜色 1 3 2" xfId="20940"/>
    <cellStyle name="60% - 强调文字颜色 1 3 2 10" xfId="5512"/>
    <cellStyle name="60% - 强调文字颜色 1 3 2 11" xfId="5528"/>
    <cellStyle name="60% - 强调文字颜色 1 3 2 12" xfId="2232"/>
    <cellStyle name="60% - 强调文字颜色 1 3 2 13" xfId="2258"/>
    <cellStyle name="60% - 强调文字颜色 1 3 2 14" xfId="2274"/>
    <cellStyle name="60% - 强调文字颜色 1 3 2 2" xfId="7852"/>
    <cellStyle name="60% - 强调文字颜色 1 3 2 3" xfId="7867"/>
    <cellStyle name="60% - 强调文字颜色 1 3 2 4" xfId="10287"/>
    <cellStyle name="60% - 强调文字颜色 1 3 2 5" xfId="10293"/>
    <cellStyle name="60% - 强调文字颜色 1 3 2 6" xfId="10297"/>
    <cellStyle name="60% - 强调文字颜色 1 3 2 7" xfId="10304"/>
    <cellStyle name="60% - 强调文字颜色 1 3 2 8" xfId="10310"/>
    <cellStyle name="60% - 强调文字颜色 1 3 2 9" xfId="10598"/>
    <cellStyle name="60% - 强调文字颜色 1 3 20" xfId="9926"/>
    <cellStyle name="60% - 强调文字颜色 1 3 20 10" xfId="11779"/>
    <cellStyle name="60% - 强调文字颜色 1 3 20 11" xfId="11789"/>
    <cellStyle name="60% - 强调文字颜色 1 3 20 12" xfId="20944"/>
    <cellStyle name="60% - 强调文字颜色 1 3 20 13" xfId="20948"/>
    <cellStyle name="60% - 强调文字颜色 1 3 20 14" xfId="20951"/>
    <cellStyle name="60% - 强调文字颜色 1 3 20 2" xfId="20953"/>
    <cellStyle name="60% - 强调文字颜色 1 3 20 3" xfId="20955"/>
    <cellStyle name="60% - 强调文字颜色 1 3 20 4" xfId="20957"/>
    <cellStyle name="60% - 强调文字颜色 1 3 20 5" xfId="20959"/>
    <cellStyle name="60% - 强调文字颜色 1 3 20 5 10" xfId="20960"/>
    <cellStyle name="60% - 强调文字颜色 1 3 20 5 11" xfId="20961"/>
    <cellStyle name="60% - 强调文字颜色 1 3 20 5 2" xfId="20962"/>
    <cellStyle name="60% - 强调文字颜色 1 3 20 5 2 2" xfId="8572"/>
    <cellStyle name="60% - 强调文字颜色 1 3 20 5 2 2 2" xfId="20966"/>
    <cellStyle name="60% - 强调文字颜色 1 3 20 5 2 2 3" xfId="20970"/>
    <cellStyle name="60% - 强调文字颜色 1 3 20 5 2 3" xfId="8619"/>
    <cellStyle name="60% - 强调文字颜色 1 3 20 5 2 4" xfId="8626"/>
    <cellStyle name="60% - 强调文字颜色 1 3 20 5 2 5" xfId="8633"/>
    <cellStyle name="60% - 强调文字颜色 1 3 20 5 2 6" xfId="20971"/>
    <cellStyle name="60% - 强调文字颜色 1 3 20 5 2 7" xfId="20972"/>
    <cellStyle name="60% - 强调文字颜色 1 3 20 5 2 8" xfId="20973"/>
    <cellStyle name="60% - 强调文字颜色 1 3 20 5 3" xfId="20974"/>
    <cellStyle name="60% - 强调文字颜色 1 3 20 5 4" xfId="20975"/>
    <cellStyle name="60% - 强调文字颜色 1 3 20 5 5" xfId="20977"/>
    <cellStyle name="60% - 强调文字颜色 1 3 20 5 6" xfId="20979"/>
    <cellStyle name="60% - 强调文字颜色 1 3 20 5 6 2" xfId="13880"/>
    <cellStyle name="60% - 强调文字颜色 1 3 20 5 6 3" xfId="13887"/>
    <cellStyle name="60% - 强调文字颜色 1 3 20 5 7" xfId="20980"/>
    <cellStyle name="60% - 强调文字颜色 1 3 20 5 8" xfId="20981"/>
    <cellStyle name="60% - 强调文字颜色 1 3 20 5 9" xfId="20982"/>
    <cellStyle name="60% - 强调文字颜色 1 3 20 6" xfId="20984"/>
    <cellStyle name="60% - 强调文字颜色 1 3 20 6 2" xfId="13680"/>
    <cellStyle name="60% - 强调文字颜色 1 3 20 6 2 2" xfId="6755"/>
    <cellStyle name="60% - 强调文字颜色 1 3 20 6 2 3" xfId="8096"/>
    <cellStyle name="60% - 强调文字颜色 1 3 20 6 3" xfId="13682"/>
    <cellStyle name="60% - 强调文字颜色 1 3 20 6 4" xfId="13684"/>
    <cellStyle name="60% - 强调文字颜色 1 3 20 6 5" xfId="13686"/>
    <cellStyle name="60% - 强调文字颜色 1 3 20 6 6" xfId="13688"/>
    <cellStyle name="60% - 强调文字颜色 1 3 20 6 7" xfId="20985"/>
    <cellStyle name="60% - 强调文字颜色 1 3 20 6 8" xfId="20989"/>
    <cellStyle name="60% - 强调文字颜色 1 3 20 7" xfId="20994"/>
    <cellStyle name="60% - 强调文字颜色 1 3 20 8" xfId="20996"/>
    <cellStyle name="60% - 强调文字颜色 1 3 20 9" xfId="20998"/>
    <cellStyle name="60% - 强调文字颜色 1 3 20 9 2" xfId="20999"/>
    <cellStyle name="60% - 强调文字颜色 1 3 20 9 3" xfId="21000"/>
    <cellStyle name="60% - 强调文字颜色 1 3 3" xfId="21001"/>
    <cellStyle name="60% - 强调文字颜色 1 3 3 10" xfId="21003"/>
    <cellStyle name="60% - 强调文字颜色 1 3 3 11" xfId="19780"/>
    <cellStyle name="60% - 强调文字颜色 1 3 3 12" xfId="19782"/>
    <cellStyle name="60% - 强调文字颜色 1 3 3 13" xfId="9177"/>
    <cellStyle name="60% - 强调文字颜色 1 3 3 14" xfId="9181"/>
    <cellStyle name="60% - 强调文字颜色 1 3 3 2" xfId="10606"/>
    <cellStyle name="60% - 强调文字颜色 1 3 3 3" xfId="10617"/>
    <cellStyle name="60% - 强调文字颜色 1 3 3 4" xfId="10623"/>
    <cellStyle name="60% - 强调文字颜色 1 3 3 5" xfId="21004"/>
    <cellStyle name="60% - 强调文字颜色 1 3 3 6" xfId="21005"/>
    <cellStyle name="60% - 强调文字颜色 1 3 3 7" xfId="21006"/>
    <cellStyle name="60% - 强调文字颜色 1 3 3 8" xfId="21009"/>
    <cellStyle name="60% - 强调文字颜色 1 3 3 9" xfId="21012"/>
    <cellStyle name="60% - 强调文字颜色 1 3 4" xfId="21014"/>
    <cellStyle name="60% - 强调文字颜色 1 3 4 10" xfId="21017"/>
    <cellStyle name="60% - 强调文字颜色 1 3 4 11" xfId="19880"/>
    <cellStyle name="60% - 强调文字颜色 1 3 4 12" xfId="19883"/>
    <cellStyle name="60% - 强调文字颜色 1 3 4 13" xfId="19885"/>
    <cellStyle name="60% - 强调文字颜色 1 3 4 14" xfId="19887"/>
    <cellStyle name="60% - 强调文字颜色 1 3 4 2" xfId="21018"/>
    <cellStyle name="60% - 强调文字颜色 1 3 4 3" xfId="21019"/>
    <cellStyle name="60% - 强调文字颜色 1 3 4 4" xfId="21020"/>
    <cellStyle name="60% - 强调文字颜色 1 3 4 5" xfId="21021"/>
    <cellStyle name="60% - 强调文字颜色 1 3 4 6" xfId="21022"/>
    <cellStyle name="60% - 强调文字颜色 1 3 4 7" xfId="21023"/>
    <cellStyle name="60% - 强调文字颜色 1 3 4 8" xfId="1253"/>
    <cellStyle name="60% - 强调文字颜色 1 3 4 9" xfId="3685"/>
    <cellStyle name="60% - 强调文字颜色 1 3 5" xfId="21026"/>
    <cellStyle name="60% - 强调文字颜色 1 3 6" xfId="21030"/>
    <cellStyle name="60% - 强调文字颜色 1 3 7" xfId="21033"/>
    <cellStyle name="60% - 强调文字颜色 1 3 8" xfId="14158"/>
    <cellStyle name="60% - 强调文字颜色 1 3 9" xfId="14162"/>
    <cellStyle name="60% - 强调文字颜色 1 4" xfId="21035"/>
    <cellStyle name="60% - 强调文字颜色 1 4 10" xfId="7161"/>
    <cellStyle name="60% - 强调文字颜色 1 4 11" xfId="7166"/>
    <cellStyle name="60% - 强调文字颜色 1 4 12" xfId="7171"/>
    <cellStyle name="60% - 强调文字颜色 1 4 13" xfId="16557"/>
    <cellStyle name="60% - 强调文字颜色 1 4 14" xfId="15961"/>
    <cellStyle name="60% - 强调文字颜色 1 4 15" xfId="15966"/>
    <cellStyle name="60% - 强调文字颜色 1 4 16" xfId="15968"/>
    <cellStyle name="60% - 强调文字颜色 1 4 17" xfId="15970"/>
    <cellStyle name="60% - 强调文字颜色 1 4 17 10" xfId="21037"/>
    <cellStyle name="60% - 强调文字颜色 1 4 17 11" xfId="21038"/>
    <cellStyle name="60% - 强调文字颜色 1 4 17 12" xfId="21039"/>
    <cellStyle name="60% - 强调文字颜色 1 4 17 13" xfId="21040"/>
    <cellStyle name="60% - 强调文字颜色 1 4 17 14" xfId="21041"/>
    <cellStyle name="60% - 强调文字颜色 1 4 17 2" xfId="702"/>
    <cellStyle name="60% - 强调文字颜色 1 4 17 3" xfId="742"/>
    <cellStyle name="60% - 强调文字颜色 1 4 17 4" xfId="1268"/>
    <cellStyle name="60% - 强调文字颜色 1 4 17 5" xfId="6096"/>
    <cellStyle name="60% - 强调文字颜色 1 4 17 5 10" xfId="14329"/>
    <cellStyle name="60% - 强调文字颜色 1 4 17 5 11" xfId="14332"/>
    <cellStyle name="60% - 强调文字颜色 1 4 17 5 2" xfId="5184"/>
    <cellStyle name="60% - 强调文字颜色 1 4 17 5 2 2" xfId="6106"/>
    <cellStyle name="60% - 强调文字颜色 1 4 17 5 2 2 2" xfId="21042"/>
    <cellStyle name="60% - 强调文字颜色 1 4 17 5 2 2 3" xfId="16497"/>
    <cellStyle name="60% - 强调文字颜色 1 4 17 5 2 3" xfId="6114"/>
    <cellStyle name="60% - 强调文字颜色 1 4 17 5 2 4" xfId="17814"/>
    <cellStyle name="60% - 强调文字颜色 1 4 17 5 2 5" xfId="17818"/>
    <cellStyle name="60% - 强调文字颜色 1 4 17 5 2 6" xfId="17822"/>
    <cellStyle name="60% - 强调文字颜色 1 4 17 5 2 7" xfId="17824"/>
    <cellStyle name="60% - 强调文字颜色 1 4 17 5 2 8" xfId="21043"/>
    <cellStyle name="60% - 强调文字颜色 1 4 17 5 3" xfId="5190"/>
    <cellStyle name="60% - 强调文字颜色 1 4 17 5 4" xfId="6118"/>
    <cellStyle name="60% - 强调文字颜色 1 4 17 5 5" xfId="6121"/>
    <cellStyle name="60% - 强调文字颜色 1 4 17 5 6" xfId="6123"/>
    <cellStyle name="60% - 强调文字颜色 1 4 17 5 6 2" xfId="21044"/>
    <cellStyle name="60% - 强调文字颜色 1 4 17 5 6 3" xfId="21046"/>
    <cellStyle name="60% - 强调文字颜色 1 4 17 5 7" xfId="6127"/>
    <cellStyle name="60% - 强调文字颜色 1 4 17 5 8" xfId="6132"/>
    <cellStyle name="60% - 强调文字颜色 1 4 17 5 9" xfId="20061"/>
    <cellStyle name="60% - 强调文字颜色 1 4 17 6" xfId="6140"/>
    <cellStyle name="60% - 强调文字颜色 1 4 17 6 2" xfId="18663"/>
    <cellStyle name="60% - 强调文字颜色 1 4 17 6 2 2" xfId="7681"/>
    <cellStyle name="60% - 强调文字颜色 1 4 17 6 2 3" xfId="9666"/>
    <cellStyle name="60% - 强调文字颜色 1 4 17 6 3" xfId="18667"/>
    <cellStyle name="60% - 强调文字颜色 1 4 17 6 4" xfId="18671"/>
    <cellStyle name="60% - 强调文字颜色 1 4 17 6 5" xfId="18676"/>
    <cellStyle name="60% - 强调文字颜色 1 4 17 6 6" xfId="18679"/>
    <cellStyle name="60% - 强调文字颜色 1 4 17 6 7" xfId="18683"/>
    <cellStyle name="60% - 强调文字颜色 1 4 17 6 8" xfId="18686"/>
    <cellStyle name="60% - 强调文字颜色 1 4 17 7" xfId="6148"/>
    <cellStyle name="60% - 强调文字颜色 1 4 17 8" xfId="6156"/>
    <cellStyle name="60% - 强调文字颜色 1 4 17 9" xfId="15764"/>
    <cellStyle name="60% - 强调文字颜色 1 4 17 9 2" xfId="17053"/>
    <cellStyle name="60% - 强调文字颜色 1 4 17 9 3" xfId="17055"/>
    <cellStyle name="60% - 强调文字颜色 1 4 18" xfId="15972"/>
    <cellStyle name="60% - 强调文字颜色 1 4 18 10" xfId="19427"/>
    <cellStyle name="60% - 强调文字颜色 1 4 18 11" xfId="19429"/>
    <cellStyle name="60% - 强调文字颜色 1 4 18 12" xfId="19452"/>
    <cellStyle name="60% - 强调文字颜色 1 4 18 13" xfId="19459"/>
    <cellStyle name="60% - 强调文字颜色 1 4 18 14" xfId="19462"/>
    <cellStyle name="60% - 强调文字颜色 1 4 18 2" xfId="6170"/>
    <cellStyle name="60% - 强调文字颜色 1 4 18 3" xfId="6173"/>
    <cellStyle name="60% - 强调文字颜色 1 4 18 4" xfId="6178"/>
    <cellStyle name="60% - 强调文字颜色 1 4 18 5" xfId="6214"/>
    <cellStyle name="60% - 强调文字颜色 1 4 18 5 10" xfId="21048"/>
    <cellStyle name="60% - 强调文字颜色 1 4 18 5 11" xfId="21049"/>
    <cellStyle name="60% - 强调文字颜色 1 4 18 5 2" xfId="342"/>
    <cellStyle name="60% - 强调文字颜色 1 4 18 5 2 2" xfId="6225"/>
    <cellStyle name="60% - 强调文字颜色 1 4 18 5 2 2 2" xfId="12237"/>
    <cellStyle name="60% - 强调文字颜色 1 4 18 5 2 2 3" xfId="8317"/>
    <cellStyle name="60% - 强调文字颜色 1 4 18 5 2 3" xfId="6229"/>
    <cellStyle name="60% - 强调文字颜色 1 4 18 5 2 4" xfId="21051"/>
    <cellStyle name="60% - 强调文字颜色 1 4 18 5 2 5" xfId="21053"/>
    <cellStyle name="60% - 强调文字颜色 1 4 18 5 2 6" xfId="21055"/>
    <cellStyle name="60% - 强调文字颜色 1 4 18 5 2 7" xfId="21056"/>
    <cellStyle name="60% - 强调文字颜色 1 4 18 5 2 8" xfId="21057"/>
    <cellStyle name="60% - 强调文字颜色 1 4 18 5 3" xfId="330"/>
    <cellStyle name="60% - 强调文字颜色 1 4 18 5 4" xfId="605"/>
    <cellStyle name="60% - 强调文字颜色 1 4 18 5 5" xfId="622"/>
    <cellStyle name="60% - 强调文字颜色 1 4 18 5 6" xfId="652"/>
    <cellStyle name="60% - 强调文字颜色 1 4 18 5 6 2" xfId="21058"/>
    <cellStyle name="60% - 强调文字颜色 1 4 18 5 6 3" xfId="21060"/>
    <cellStyle name="60% - 强调文字颜色 1 4 18 5 7" xfId="6233"/>
    <cellStyle name="60% - 强调文字颜色 1 4 18 5 8" xfId="6236"/>
    <cellStyle name="60% - 强调文字颜色 1 4 18 5 9" xfId="21062"/>
    <cellStyle name="60% - 强调文字颜色 1 4 18 6" xfId="6240"/>
    <cellStyle name="60% - 强调文字颜色 1 4 18 6 2" xfId="18719"/>
    <cellStyle name="60% - 强调文字颜色 1 4 18 6 2 2" xfId="9372"/>
    <cellStyle name="60% - 强调文字颜色 1 4 18 6 2 3" xfId="9378"/>
    <cellStyle name="60% - 强调文字颜色 1 4 18 6 3" xfId="18725"/>
    <cellStyle name="60% - 强调文字颜色 1 4 18 6 4" xfId="18728"/>
    <cellStyle name="60% - 强调文字颜色 1 4 18 6 5" xfId="18732"/>
    <cellStyle name="60% - 强调文字颜色 1 4 18 6 6" xfId="18734"/>
    <cellStyle name="60% - 强调文字颜色 1 4 18 6 7" xfId="18736"/>
    <cellStyle name="60% - 强调文字颜色 1 4 18 6 8" xfId="18738"/>
    <cellStyle name="60% - 强调文字颜色 1 4 18 7" xfId="6244"/>
    <cellStyle name="60% - 强调文字颜色 1 4 18 8" xfId="6248"/>
    <cellStyle name="60% - 强调文字颜色 1 4 18 9" xfId="18744"/>
    <cellStyle name="60% - 强调文字颜色 1 4 18 9 2" xfId="10072"/>
    <cellStyle name="60% - 强调文字颜色 1 4 18 9 3" xfId="10077"/>
    <cellStyle name="60% - 强调文字颜色 1 4 19" xfId="15974"/>
    <cellStyle name="60% - 强调文字颜色 1 4 19 10" xfId="19525"/>
    <cellStyle name="60% - 强调文字颜色 1 4 19 11" xfId="19531"/>
    <cellStyle name="60% - 强调文字颜色 1 4 19 12" xfId="11862"/>
    <cellStyle name="60% - 强调文字颜色 1 4 19 13" xfId="11454"/>
    <cellStyle name="60% - 强调文字颜色 1 4 19 14" xfId="11465"/>
    <cellStyle name="60% - 强调文字颜色 1 4 19 2" xfId="6295"/>
    <cellStyle name="60% - 强调文字颜色 1 4 19 3" xfId="634"/>
    <cellStyle name="60% - 强调文字颜色 1 4 19 4" xfId="663"/>
    <cellStyle name="60% - 强调文字颜色 1 4 19 5" xfId="1904"/>
    <cellStyle name="60% - 强调文字颜色 1 4 19 5 10" xfId="5306"/>
    <cellStyle name="60% - 强调文字颜色 1 4 19 5 11" xfId="5319"/>
    <cellStyle name="60% - 强调文字颜色 1 4 19 5 2" xfId="685"/>
    <cellStyle name="60% - 强调文字颜色 1 4 19 5 2 2" xfId="6367"/>
    <cellStyle name="60% - 强调文字颜色 1 4 19 5 2 2 2" xfId="21065"/>
    <cellStyle name="60% - 强调文字颜色 1 4 19 5 2 2 3" xfId="21068"/>
    <cellStyle name="60% - 强调文字颜色 1 4 19 5 2 3" xfId="6372"/>
    <cellStyle name="60% - 强调文字颜色 1 4 19 5 2 4" xfId="17077"/>
    <cellStyle name="60% - 强调文字颜色 1 4 19 5 2 5" xfId="21071"/>
    <cellStyle name="60% - 强调文字颜色 1 4 19 5 2 6" xfId="21074"/>
    <cellStyle name="60% - 强调文字颜色 1 4 19 5 2 7" xfId="11548"/>
    <cellStyle name="60% - 强调文字颜色 1 4 19 5 2 8" xfId="11556"/>
    <cellStyle name="60% - 强调文字颜色 1 4 19 5 3" xfId="717"/>
    <cellStyle name="60% - 强调文字颜色 1 4 19 5 4" xfId="6378"/>
    <cellStyle name="60% - 强调文字颜色 1 4 19 5 5" xfId="6382"/>
    <cellStyle name="60% - 强调文字颜色 1 4 19 5 6" xfId="6388"/>
    <cellStyle name="60% - 强调文字颜色 1 4 19 5 6 2" xfId="21075"/>
    <cellStyle name="60% - 强调文字颜色 1 4 19 5 6 3" xfId="21078"/>
    <cellStyle name="60% - 强调文字颜色 1 4 19 5 7" xfId="6394"/>
    <cellStyle name="60% - 强调文字颜色 1 4 19 5 8" xfId="6401"/>
    <cellStyle name="60% - 强调文字颜色 1 4 19 5 9" xfId="20901"/>
    <cellStyle name="60% - 强调文字颜色 1 4 19 6" xfId="1929"/>
    <cellStyle name="60% - 强调文字颜色 1 4 19 6 2" xfId="21081"/>
    <cellStyle name="60% - 强调文字颜色 1 4 19 6 2 2" xfId="17766"/>
    <cellStyle name="60% - 强调文字颜色 1 4 19 6 2 3" xfId="18029"/>
    <cellStyle name="60% - 强调文字颜色 1 4 19 6 3" xfId="21082"/>
    <cellStyle name="60% - 强调文字颜色 1 4 19 6 4" xfId="21084"/>
    <cellStyle name="60% - 强调文字颜色 1 4 19 6 5" xfId="21086"/>
    <cellStyle name="60% - 强调文字颜色 1 4 19 6 6" xfId="21087"/>
    <cellStyle name="60% - 强调文字颜色 1 4 19 6 7" xfId="21088"/>
    <cellStyle name="60% - 强调文字颜色 1 4 19 6 8" xfId="21089"/>
    <cellStyle name="60% - 强调文字颜色 1 4 19 7" xfId="1959"/>
    <cellStyle name="60% - 强调文字颜色 1 4 19 8" xfId="1855"/>
    <cellStyle name="60% - 强调文字颜色 1 4 19 9" xfId="13424"/>
    <cellStyle name="60% - 强调文字颜色 1 4 19 9 2" xfId="18324"/>
    <cellStyle name="60% - 强调文字颜色 1 4 19 9 3" xfId="18328"/>
    <cellStyle name="60% - 强调文字颜色 1 4 2" xfId="21090"/>
    <cellStyle name="60% - 强调文字颜色 1 4 20" xfId="15965"/>
    <cellStyle name="60% - 强调文字颜色 1 4 20 10" xfId="6287"/>
    <cellStyle name="60% - 强调文字颜色 1 4 20 11" xfId="6293"/>
    <cellStyle name="60% - 强调文字颜色 1 4 20 12" xfId="631"/>
    <cellStyle name="60% - 强调文字颜色 1 4 20 13" xfId="662"/>
    <cellStyle name="60% - 强调文字颜色 1 4 20 14" xfId="1903"/>
    <cellStyle name="60% - 强调文字颜色 1 4 20 2" xfId="6479"/>
    <cellStyle name="60% - 强调文字颜色 1 4 20 3" xfId="6485"/>
    <cellStyle name="60% - 强调文字颜色 1 4 20 4" xfId="6492"/>
    <cellStyle name="60% - 强调文字颜色 1 4 20 5" xfId="6537"/>
    <cellStyle name="60% - 强调文字颜色 1 4 20 5 10" xfId="21092"/>
    <cellStyle name="60% - 强调文字颜色 1 4 20 5 11" xfId="21094"/>
    <cellStyle name="60% - 强调文字颜色 1 4 20 5 2" xfId="6540"/>
    <cellStyle name="60% - 强调文字颜色 1 4 20 5 2 2" xfId="6550"/>
    <cellStyle name="60% - 强调文字颜色 1 4 20 5 2 2 2" xfId="21095"/>
    <cellStyle name="60% - 强调文字颜色 1 4 20 5 2 2 3" xfId="21096"/>
    <cellStyle name="60% - 强调文字颜色 1 4 20 5 2 3" xfId="6557"/>
    <cellStyle name="60% - 强调文字颜色 1 4 20 5 2 4" xfId="19636"/>
    <cellStyle name="60% - 强调文字颜色 1 4 20 5 2 5" xfId="19640"/>
    <cellStyle name="60% - 强调文字颜色 1 4 20 5 2 6" xfId="21098"/>
    <cellStyle name="60% - 强调文字颜色 1 4 20 5 2 7" xfId="21099"/>
    <cellStyle name="60% - 强调文字颜色 1 4 20 5 2 8" xfId="21100"/>
    <cellStyle name="60% - 强调文字颜色 1 4 20 5 3" xfId="6562"/>
    <cellStyle name="60% - 强调文字颜色 1 4 20 5 4" xfId="6567"/>
    <cellStyle name="60% - 强调文字颜色 1 4 20 5 5" xfId="6573"/>
    <cellStyle name="60% - 强调文字颜色 1 4 20 5 6" xfId="6578"/>
    <cellStyle name="60% - 强调文字颜色 1 4 20 5 6 2" xfId="16694"/>
    <cellStyle name="60% - 强调文字颜色 1 4 20 5 6 3" xfId="16700"/>
    <cellStyle name="60% - 强调文字颜色 1 4 20 5 7" xfId="6583"/>
    <cellStyle name="60% - 强调文字颜色 1 4 20 5 8" xfId="6586"/>
    <cellStyle name="60% - 强调文字颜色 1 4 20 5 9" xfId="21101"/>
    <cellStyle name="60% - 强调文字颜色 1 4 20 6" xfId="6595"/>
    <cellStyle name="60% - 强调文字颜色 1 4 20 6 2" xfId="21102"/>
    <cellStyle name="60% - 强调文字颜色 1 4 20 6 2 2" xfId="5456"/>
    <cellStyle name="60% - 强调文字颜色 1 4 20 6 2 3" xfId="5469"/>
    <cellStyle name="60% - 强调文字颜色 1 4 20 6 3" xfId="21103"/>
    <cellStyle name="60% - 强调文字颜色 1 4 20 6 4" xfId="21104"/>
    <cellStyle name="60% - 强调文字颜色 1 4 20 6 5" xfId="10262"/>
    <cellStyle name="60% - 强调文字颜色 1 4 20 6 6" xfId="10267"/>
    <cellStyle name="60% - 强调文字颜色 1 4 20 6 7" xfId="10271"/>
    <cellStyle name="60% - 强调文字颜色 1 4 20 6 8" xfId="10276"/>
    <cellStyle name="60% - 强调文字颜色 1 4 20 7" xfId="6599"/>
    <cellStyle name="60% - 强调文字颜色 1 4 20 8" xfId="1482"/>
    <cellStyle name="60% - 强调文字颜色 1 4 20 9" xfId="1572"/>
    <cellStyle name="60% - 强调文字颜色 1 4 20 9 2" xfId="21106"/>
    <cellStyle name="60% - 强调文字颜色 1 4 20 9 3" xfId="21107"/>
    <cellStyle name="60% - 强调文字颜色 1 4 3" xfId="21108"/>
    <cellStyle name="60% - 强调文字颜色 1 4 4" xfId="21109"/>
    <cellStyle name="60% - 强调文字颜色 1 4 5" xfId="21110"/>
    <cellStyle name="60% - 强调文字颜色 1 4 6" xfId="7666"/>
    <cellStyle name="60% - 强调文字颜色 1 4 7" xfId="7689"/>
    <cellStyle name="60% - 强调文字颜色 1 4 8" xfId="7693"/>
    <cellStyle name="60% - 强调文字颜色 1 4 9" xfId="7695"/>
    <cellStyle name="60% - 强调文字颜色 1 5" xfId="21111"/>
    <cellStyle name="60% - 强调文字颜色 1 5 10" xfId="21114"/>
    <cellStyle name="60% - 强调文字颜色 1 5 11" xfId="21116"/>
    <cellStyle name="60% - 强调文字颜色 1 5 12" xfId="21117"/>
    <cellStyle name="60% - 强调文字颜色 1 5 13" xfId="21119"/>
    <cellStyle name="60% - 强调文字颜色 1 5 14" xfId="21121"/>
    <cellStyle name="60% - 强调文字颜色 1 5 2" xfId="21123"/>
    <cellStyle name="60% - 强调文字颜色 1 5 3" xfId="21126"/>
    <cellStyle name="60% - 强调文字颜色 1 5 4" xfId="21131"/>
    <cellStyle name="60% - 强调文字颜色 1 5 5" xfId="21134"/>
    <cellStyle name="60% - 强调文字颜色 1 5 6" xfId="7707"/>
    <cellStyle name="60% - 强调文字颜色 1 5 7" xfId="7711"/>
    <cellStyle name="60% - 强调文字颜色 1 5 8" xfId="7715"/>
    <cellStyle name="60% - 强调文字颜色 1 5 9" xfId="7719"/>
    <cellStyle name="60% - 强调文字颜色 1 6" xfId="21135"/>
    <cellStyle name="60% - 强调文字颜色 1 6 10" xfId="17142"/>
    <cellStyle name="60% - 强调文字颜色 1 6 11" xfId="17145"/>
    <cellStyle name="60% - 强调文字颜色 1 6 12" xfId="17148"/>
    <cellStyle name="60% - 强调文字颜色 1 6 13" xfId="17153"/>
    <cellStyle name="60% - 强调文字颜色 1 6 14" xfId="1796"/>
    <cellStyle name="60% - 强调文字颜色 1 6 2" xfId="21139"/>
    <cellStyle name="60% - 强调文字颜色 1 6 3" xfId="21143"/>
    <cellStyle name="60% - 强调文字颜色 1 6 4" xfId="21148"/>
    <cellStyle name="60% - 强调文字颜色 1 6 5" xfId="21152"/>
    <cellStyle name="60% - 强调文字颜色 1 6 6" xfId="21156"/>
    <cellStyle name="60% - 强调文字颜色 1 6 7" xfId="18608"/>
    <cellStyle name="60% - 强调文字颜色 1 6 8" xfId="18615"/>
    <cellStyle name="60% - 强调文字颜色 1 6 9" xfId="19414"/>
    <cellStyle name="60% - 强调文字颜色 1 7" xfId="21158"/>
    <cellStyle name="60% - 强调文字颜色 1 8" xfId="21161"/>
    <cellStyle name="60% - 强调文字颜色 1 9" xfId="21164"/>
    <cellStyle name="60% - 强调文字颜色 2 10" xfId="13856"/>
    <cellStyle name="60% - 强调文字颜色 2 11" xfId="13863"/>
    <cellStyle name="60% - 强调文字颜色 2 12" xfId="21167"/>
    <cellStyle name="60% - 强调文字颜色 2 12 10" xfId="18510"/>
    <cellStyle name="60% - 强调文字颜色 2 12 11" xfId="18513"/>
    <cellStyle name="60% - 强调文字颜色 2 12 12" xfId="18516"/>
    <cellStyle name="60% - 强调文字颜色 2 12 13" xfId="18519"/>
    <cellStyle name="60% - 强调文字颜色 2 12 14" xfId="18522"/>
    <cellStyle name="60% - 强调文字颜色 2 12 2" xfId="21170"/>
    <cellStyle name="60% - 强调文字颜色 2 12 3" xfId="21172"/>
    <cellStyle name="60% - 强调文字颜色 2 12 4" xfId="21174"/>
    <cellStyle name="60% - 强调文字颜色 2 12 5" xfId="21175"/>
    <cellStyle name="60% - 强调文字颜色 2 12 5 10" xfId="21176"/>
    <cellStyle name="60% - 强调文字颜色 2 12 5 11" xfId="21177"/>
    <cellStyle name="60% - 强调文字颜色 2 12 5 2" xfId="15217"/>
    <cellStyle name="60% - 强调文字颜色 2 12 5 2 2" xfId="14625"/>
    <cellStyle name="60% - 强调文字颜色 2 12 5 2 2 2" xfId="14030"/>
    <cellStyle name="60% - 强调文字颜色 2 12 5 2 2 3" xfId="789"/>
    <cellStyle name="60% - 强调文字颜色 2 12 5 2 3" xfId="21178"/>
    <cellStyle name="60% - 强调文字颜色 2 12 5 2 4" xfId="21179"/>
    <cellStyle name="60% - 强调文字颜色 2 12 5 2 5" xfId="21180"/>
    <cellStyle name="60% - 强调文字颜色 2 12 5 2 6" xfId="21182"/>
    <cellStyle name="60% - 强调文字颜色 2 12 5 2 7" xfId="21184"/>
    <cellStyle name="60% - 强调文字颜色 2 12 5 2 8" xfId="21186"/>
    <cellStyle name="60% - 强调文字颜色 2 12 5 3" xfId="15221"/>
    <cellStyle name="60% - 强调文字颜色 2 12 5 4" xfId="15225"/>
    <cellStyle name="60% - 强调文字颜色 2 12 5 5" xfId="15228"/>
    <cellStyle name="60% - 强调文字颜色 2 12 5 6" xfId="15231"/>
    <cellStyle name="60% - 强调文字颜色 2 12 5 6 2" xfId="21187"/>
    <cellStyle name="60% - 强调文字颜色 2 12 5 6 3" xfId="21189"/>
    <cellStyle name="60% - 强调文字颜色 2 12 5 7" xfId="15234"/>
    <cellStyle name="60% - 强调文字颜色 2 12 5 8" xfId="21190"/>
    <cellStyle name="60% - 强调文字颜色 2 12 5 9" xfId="21191"/>
    <cellStyle name="60% - 强调文字颜色 2 12 6" xfId="21192"/>
    <cellStyle name="60% - 强调文字颜色 2 12 6 2" xfId="21193"/>
    <cellStyle name="60% - 强调文字颜色 2 12 6 2 2" xfId="21194"/>
    <cellStyle name="60% - 强调文字颜色 2 12 6 2 3" xfId="21196"/>
    <cellStyle name="60% - 强调文字颜色 2 12 6 3" xfId="21197"/>
    <cellStyle name="60% - 强调文字颜色 2 12 6 4" xfId="21198"/>
    <cellStyle name="60% - 强调文字颜色 2 12 6 5" xfId="18411"/>
    <cellStyle name="60% - 强调文字颜色 2 12 6 6" xfId="18412"/>
    <cellStyle name="60% - 强调文字颜色 2 12 6 7" xfId="21199"/>
    <cellStyle name="60% - 强调文字颜色 2 12 6 8" xfId="21201"/>
    <cellStyle name="60% - 强调文字颜色 2 12 7" xfId="21202"/>
    <cellStyle name="60% - 强调文字颜色 2 12 8" xfId="21203"/>
    <cellStyle name="60% - 强调文字颜色 2 12 9" xfId="21204"/>
    <cellStyle name="60% - 强调文字颜色 2 12 9 2" xfId="8436"/>
    <cellStyle name="60% - 强调文字颜色 2 12 9 3" xfId="8448"/>
    <cellStyle name="60% - 强调文字颜色 2 13" xfId="21205"/>
    <cellStyle name="60% - 强调文字颜色 2 14" xfId="21207"/>
    <cellStyle name="60% - 强调文字颜色 2 15" xfId="21209"/>
    <cellStyle name="60% - 强调文字颜色 2 16" xfId="21210"/>
    <cellStyle name="60% - 强调文字颜色 2 16 10" xfId="20082"/>
    <cellStyle name="60% - 强调文字颜色 2 16 11" xfId="20084"/>
    <cellStyle name="60% - 强调文字颜色 2 16 12" xfId="20086"/>
    <cellStyle name="60% - 强调文字颜色 2 16 13" xfId="20166"/>
    <cellStyle name="60% - 强调文字颜色 2 16 14" xfId="20183"/>
    <cellStyle name="60% - 强调文字颜色 2 16 2" xfId="20272"/>
    <cellStyle name="60% - 强调文字颜色 2 16 3" xfId="20274"/>
    <cellStyle name="60% - 强调文字颜色 2 16 4" xfId="20277"/>
    <cellStyle name="60% - 强调文字颜色 2 16 5" xfId="20280"/>
    <cellStyle name="60% - 强调文字颜色 2 16 5 10" xfId="21212"/>
    <cellStyle name="60% - 强调文字颜色 2 16 5 11" xfId="21213"/>
    <cellStyle name="60% - 强调文字颜色 2 16 5 2" xfId="14650"/>
    <cellStyle name="60% - 强调文字颜色 2 16 5 2 2" xfId="17889"/>
    <cellStyle name="60% - 强调文字颜色 2 16 5 2 2 2" xfId="21214"/>
    <cellStyle name="60% - 强调文字颜色 2 16 5 2 2 3" xfId="21215"/>
    <cellStyle name="60% - 强调文字颜色 2 16 5 2 3" xfId="4563"/>
    <cellStyle name="60% - 强调文字颜色 2 16 5 2 4" xfId="4588"/>
    <cellStyle name="60% - 强调文字颜色 2 16 5 2 5" xfId="21219"/>
    <cellStyle name="60% - 强调文字颜色 2 16 5 2 6" xfId="21222"/>
    <cellStyle name="60% - 强调文字颜色 2 16 5 2 7" xfId="21225"/>
    <cellStyle name="60% - 强调文字颜色 2 16 5 2 8" xfId="21228"/>
    <cellStyle name="60% - 强调文字颜色 2 16 5 3" xfId="14656"/>
    <cellStyle name="60% - 强调文字颜色 2 16 5 4" xfId="15113"/>
    <cellStyle name="60% - 强调文字颜色 2 16 5 5" xfId="15118"/>
    <cellStyle name="60% - 强调文字颜色 2 16 5 6" xfId="15120"/>
    <cellStyle name="60% - 强调文字颜色 2 16 5 6 2" xfId="21229"/>
    <cellStyle name="60% - 强调文字颜色 2 16 5 6 3" xfId="21230"/>
    <cellStyle name="60% - 强调文字颜色 2 16 5 7" xfId="21231"/>
    <cellStyle name="60% - 强调文字颜色 2 16 5 8" xfId="19934"/>
    <cellStyle name="60% - 强调文字颜色 2 16 5 9" xfId="19939"/>
    <cellStyle name="60% - 强调文字颜色 2 16 6" xfId="9780"/>
    <cellStyle name="60% - 强调文字颜色 2 16 6 2" xfId="10930"/>
    <cellStyle name="60% - 强调文字颜色 2 16 6 2 2" xfId="9430"/>
    <cellStyle name="60% - 强调文字颜色 2 16 6 2 3" xfId="9439"/>
    <cellStyle name="60% - 强调文字颜色 2 16 6 3" xfId="10937"/>
    <cellStyle name="60% - 强调文字颜色 2 16 6 4" xfId="10942"/>
    <cellStyle name="60% - 强调文字颜色 2 16 6 5" xfId="10947"/>
    <cellStyle name="60% - 强调文字颜色 2 16 6 6" xfId="10950"/>
    <cellStyle name="60% - 强调文字颜色 2 16 6 7" xfId="10952"/>
    <cellStyle name="60% - 强调文字颜色 2 16 6 8" xfId="10955"/>
    <cellStyle name="60% - 强调文字颜色 2 16 7" xfId="9795"/>
    <cellStyle name="60% - 强调文字颜色 2 16 8" xfId="9521"/>
    <cellStyle name="60% - 强调文字颜色 2 16 9" xfId="9534"/>
    <cellStyle name="60% - 强调文字颜色 2 16 9 2" xfId="11472"/>
    <cellStyle name="60% - 强调文字颜色 2 16 9 3" xfId="21232"/>
    <cellStyle name="60% - 强调文字颜色 2 17" xfId="21234"/>
    <cellStyle name="60% - 强调文字颜色 2 17 10" xfId="10576"/>
    <cellStyle name="60% - 强调文字颜色 2 17 11" xfId="21235"/>
    <cellStyle name="60% - 强调文字颜色 2 17 12" xfId="21240"/>
    <cellStyle name="60% - 强调文字颜色 2 17 13" xfId="21242"/>
    <cellStyle name="60% - 强调文字颜色 2 17 14" xfId="21244"/>
    <cellStyle name="60% - 强调文字颜色 2 17 2" xfId="20287"/>
    <cellStyle name="60% - 强调文字颜色 2 17 3" xfId="20289"/>
    <cellStyle name="60% - 强调文字颜色 2 17 4" xfId="20292"/>
    <cellStyle name="60% - 强调文字颜色 2 17 5" xfId="20295"/>
    <cellStyle name="60% - 强调文字颜色 2 17 5 10" xfId="5285"/>
    <cellStyle name="60% - 强调文字颜色 2 17 5 11" xfId="6090"/>
    <cellStyle name="60% - 强调文字颜色 2 17 5 2" xfId="21245"/>
    <cellStyle name="60% - 强调文字颜色 2 17 5 2 2" xfId="21248"/>
    <cellStyle name="60% - 强调文字颜色 2 17 5 2 2 2" xfId="21251"/>
    <cellStyle name="60% - 强调文字颜色 2 17 5 2 2 3" xfId="11416"/>
    <cellStyle name="60% - 强调文字颜色 2 17 5 2 3" xfId="21253"/>
    <cellStyle name="60% - 强调文字颜色 2 17 5 2 4" xfId="11823"/>
    <cellStyle name="60% - 强调文字颜色 2 17 5 2 5" xfId="11832"/>
    <cellStyle name="60% - 强调文字颜色 2 17 5 2 6" xfId="11837"/>
    <cellStyle name="60% - 强调文字颜色 2 17 5 2 7" xfId="11842"/>
    <cellStyle name="60% - 强调文字颜色 2 17 5 2 8" xfId="11848"/>
    <cellStyle name="60% - 强调文字颜色 2 17 5 3" xfId="21254"/>
    <cellStyle name="60% - 强调文字颜色 2 17 5 4" xfId="21255"/>
    <cellStyle name="60% - 强调文字颜色 2 17 5 5" xfId="21258"/>
    <cellStyle name="60% - 强调文字颜色 2 17 5 6" xfId="21259"/>
    <cellStyle name="60% - 强调文字颜色 2 17 5 6 2" xfId="3725"/>
    <cellStyle name="60% - 强调文字颜色 2 17 5 6 3" xfId="3739"/>
    <cellStyle name="60% - 强调文字颜色 2 17 5 7" xfId="21260"/>
    <cellStyle name="60% - 强调文字颜色 2 17 5 8" xfId="21261"/>
    <cellStyle name="60% - 强调文字颜色 2 17 5 9" xfId="21262"/>
    <cellStyle name="60% - 强调文字颜色 2 17 6" xfId="10985"/>
    <cellStyle name="60% - 强调文字颜色 2 17 6 2" xfId="6811"/>
    <cellStyle name="60% - 强调文字颜色 2 17 6 2 2" xfId="21263"/>
    <cellStyle name="60% - 强调文字颜色 2 17 6 2 3" xfId="21268"/>
    <cellStyle name="60% - 强调文字颜色 2 17 6 3" xfId="6823"/>
    <cellStyle name="60% - 强调文字颜色 2 17 6 4" xfId="21269"/>
    <cellStyle name="60% - 强调文字颜色 2 17 6 5" xfId="21271"/>
    <cellStyle name="60% - 强调文字颜色 2 17 6 6" xfId="21273"/>
    <cellStyle name="60% - 强调文字颜色 2 17 6 7" xfId="21276"/>
    <cellStyle name="60% - 强调文字颜色 2 17 6 8" xfId="13348"/>
    <cellStyle name="60% - 强调文字颜色 2 17 7" xfId="10995"/>
    <cellStyle name="60% - 强调文字颜色 2 17 8" xfId="11005"/>
    <cellStyle name="60% - 强调文字颜色 2 17 9" xfId="11014"/>
    <cellStyle name="60% - 强调文字颜色 2 17 9 2" xfId="2478"/>
    <cellStyle name="60% - 强调文字颜色 2 17 9 3" xfId="2496"/>
    <cellStyle name="60% - 强调文字颜色 2 18" xfId="21280"/>
    <cellStyle name="60% - 强调文字颜色 2 18 10" xfId="4440"/>
    <cellStyle name="60% - 强调文字颜色 2 18 11" xfId="4456"/>
    <cellStyle name="60% - 强调文字颜色 2 18 12" xfId="4472"/>
    <cellStyle name="60% - 强调文字颜色 2 18 13" xfId="4484"/>
    <cellStyle name="60% - 强调文字颜色 2 18 14" xfId="4498"/>
    <cellStyle name="60% - 强调文字颜色 2 18 2" xfId="20317"/>
    <cellStyle name="60% - 强调文字颜色 2 18 3" xfId="20322"/>
    <cellStyle name="60% - 强调文字颜色 2 18 4" xfId="20326"/>
    <cellStyle name="60% - 强调文字颜色 2 18 5" xfId="20332"/>
    <cellStyle name="60% - 强调文字颜色 2 18 5 10" xfId="21282"/>
    <cellStyle name="60% - 强调文字颜色 2 18 5 11" xfId="21284"/>
    <cellStyle name="60% - 强调文字颜色 2 18 5 2" xfId="21285"/>
    <cellStyle name="60% - 强调文字颜色 2 18 5 2 2" xfId="17676"/>
    <cellStyle name="60% - 强调文字颜色 2 18 5 2 2 2" xfId="21286"/>
    <cellStyle name="60% - 强调文字颜色 2 18 5 2 2 3" xfId="19700"/>
    <cellStyle name="60% - 强调文字颜色 2 18 5 2 3" xfId="3563"/>
    <cellStyle name="60% - 强调文字颜色 2 18 5 2 4" xfId="3812"/>
    <cellStyle name="60% - 强调文字颜色 2 18 5 2 5" xfId="5271"/>
    <cellStyle name="60% - 强调文字颜色 2 18 5 2 6" xfId="5291"/>
    <cellStyle name="60% - 强调文字颜色 2 18 5 2 7" xfId="5302"/>
    <cellStyle name="60% - 强调文字颜色 2 18 5 2 8" xfId="5314"/>
    <cellStyle name="60% - 强调文字颜色 2 18 5 3" xfId="21287"/>
    <cellStyle name="60% - 强调文字颜色 2 18 5 4" xfId="14887"/>
    <cellStyle name="60% - 强调文字颜色 2 18 5 5" xfId="14897"/>
    <cellStyle name="60% - 强调文字颜色 2 18 5 6" xfId="14902"/>
    <cellStyle name="60% - 强调文字颜色 2 18 5 6 2" xfId="14077"/>
    <cellStyle name="60% - 强调文字颜色 2 18 5 6 3" xfId="14081"/>
    <cellStyle name="60% - 强调文字颜色 2 18 5 7" xfId="14907"/>
    <cellStyle name="60% - 强调文字颜色 2 18 5 8" xfId="14236"/>
    <cellStyle name="60% - 强调文字颜色 2 18 5 9" xfId="14242"/>
    <cellStyle name="60% - 强调文字颜色 2 18 6" xfId="20337"/>
    <cellStyle name="60% - 强调文字颜色 2 18 6 2" xfId="21288"/>
    <cellStyle name="60% - 强调文字颜色 2 18 6 2 2" xfId="17699"/>
    <cellStyle name="60% - 强调文字颜色 2 18 6 2 3" xfId="21291"/>
    <cellStyle name="60% - 强调文字颜色 2 18 6 3" xfId="21294"/>
    <cellStyle name="60% - 强调文字颜色 2 18 6 4" xfId="11115"/>
    <cellStyle name="60% - 强调文字颜色 2 18 6 5" xfId="11121"/>
    <cellStyle name="60% - 强调文字颜色 2 18 6 6" xfId="21297"/>
    <cellStyle name="60% - 强调文字颜色 2 18 6 7" xfId="21299"/>
    <cellStyle name="60% - 强调文字颜色 2 18 6 8" xfId="14929"/>
    <cellStyle name="60% - 强调文字颜色 2 18 7" xfId="20342"/>
    <cellStyle name="60% - 强调文字颜色 2 18 8" xfId="20346"/>
    <cellStyle name="60% - 强调文字颜色 2 18 9" xfId="21301"/>
    <cellStyle name="60% - 强调文字颜色 2 18 9 2" xfId="21304"/>
    <cellStyle name="60% - 强调文字颜色 2 18 9 3" xfId="21306"/>
    <cellStyle name="60% - 强调文字颜色 2 19" xfId="21308"/>
    <cellStyle name="60% - 强调文字颜色 2 2" xfId="901"/>
    <cellStyle name="60% - 强调文字颜色 2 2 10" xfId="21309"/>
    <cellStyle name="60% - 强调文字颜色 2 2 11" xfId="21310"/>
    <cellStyle name="60% - 强调文字颜色 2 2 12" xfId="21311"/>
    <cellStyle name="60% - 强调文字颜色 2 2 13" xfId="21312"/>
    <cellStyle name="60% - 强调文字颜色 2 2 14" xfId="21313"/>
    <cellStyle name="60% - 强调文字颜色 2 2 15" xfId="12735"/>
    <cellStyle name="60% - 强调文字颜色 2 2 16" xfId="12748"/>
    <cellStyle name="60% - 强调文字颜色 2 2 17" xfId="12758"/>
    <cellStyle name="60% - 强调文字颜色 2 2 17 10" xfId="13488"/>
    <cellStyle name="60% - 强调文字颜色 2 2 17 11" xfId="21317"/>
    <cellStyle name="60% - 强调文字颜色 2 2 17 12" xfId="21321"/>
    <cellStyle name="60% - 强调文字颜色 2 2 17 13" xfId="14339"/>
    <cellStyle name="60% - 强调文字颜色 2 2 17 14" xfId="14348"/>
    <cellStyle name="60% - 强调文字颜色 2 2 17 2" xfId="21324"/>
    <cellStyle name="60% - 强调文字颜色 2 2 17 3" xfId="21328"/>
    <cellStyle name="60% - 强调文字颜色 2 2 17 4" xfId="21331"/>
    <cellStyle name="60% - 强调文字颜色 2 2 17 5" xfId="21334"/>
    <cellStyle name="60% - 强调文字颜色 2 2 17 5 10" xfId="10680"/>
    <cellStyle name="60% - 强调文字颜色 2 2 17 5 11" xfId="19422"/>
    <cellStyle name="60% - 强调文字颜色 2 2 17 5 2" xfId="4874"/>
    <cellStyle name="60% - 强调文字颜色 2 2 17 5 2 2" xfId="19857"/>
    <cellStyle name="60% - 强调文字颜色 2 2 17 5 2 2 2" xfId="21339"/>
    <cellStyle name="60% - 强调文字颜色 2 2 17 5 2 2 3" xfId="21341"/>
    <cellStyle name="60% - 强调文字颜色 2 2 17 5 2 3" xfId="19860"/>
    <cellStyle name="60% - 强调文字颜色 2 2 17 5 2 4" xfId="19863"/>
    <cellStyle name="60% - 强调文字颜色 2 2 17 5 2 5" xfId="21342"/>
    <cellStyle name="60% - 强调文字颜色 2 2 17 5 2 6" xfId="21343"/>
    <cellStyle name="60% - 强调文字颜色 2 2 17 5 2 7" xfId="21344"/>
    <cellStyle name="60% - 强调文字颜色 2 2 17 5 2 8" xfId="21345"/>
    <cellStyle name="60% - 强调文字颜色 2 2 17 5 3" xfId="1100"/>
    <cellStyle name="60% - 强调文字颜色 2 2 17 5 4" xfId="10915"/>
    <cellStyle name="60% - 强调文字颜色 2 2 17 5 5" xfId="1167"/>
    <cellStyle name="60% - 强调文字颜色 2 2 17 5 6" xfId="1190"/>
    <cellStyle name="60% - 强调文字颜色 2 2 17 5 6 2" xfId="20336"/>
    <cellStyle name="60% - 强调文字颜色 2 2 17 5 6 3" xfId="20341"/>
    <cellStyle name="60% - 强调文字颜色 2 2 17 5 7" xfId="11036"/>
    <cellStyle name="60% - 强调文字颜色 2 2 17 5 8" xfId="8082"/>
    <cellStyle name="60% - 强调文字颜色 2 2 17 5 9" xfId="21346"/>
    <cellStyle name="60% - 强调文字颜色 2 2 17 6" xfId="21348"/>
    <cellStyle name="60% - 强调文字颜色 2 2 17 6 2" xfId="6590"/>
    <cellStyle name="60% - 强调文字颜色 2 2 17 6 2 2" xfId="21350"/>
    <cellStyle name="60% - 强调文字颜色 2 2 17 6 2 3" xfId="21351"/>
    <cellStyle name="60% - 强调文字颜色 2 2 17 6 3" xfId="7737"/>
    <cellStyle name="60% - 强调文字颜色 2 2 17 6 4" xfId="21352"/>
    <cellStyle name="60% - 强调文字颜色 2 2 17 6 5" xfId="21353"/>
    <cellStyle name="60% - 强调文字颜色 2 2 17 6 6" xfId="2049"/>
    <cellStyle name="60% - 强调文字颜色 2 2 17 6 7" xfId="2114"/>
    <cellStyle name="60% - 强调文字颜色 2 2 17 6 8" xfId="2135"/>
    <cellStyle name="60% - 强调文字颜色 2 2 17 7" xfId="21354"/>
    <cellStyle name="60% - 强调文字颜色 2 2 17 8" xfId="21356"/>
    <cellStyle name="60% - 强调文字颜色 2 2 17 9" xfId="21358"/>
    <cellStyle name="60% - 强调文字颜色 2 2 17 9 2" xfId="1561"/>
    <cellStyle name="60% - 强调文字颜色 2 2 17 9 3" xfId="10804"/>
    <cellStyle name="60% - 强调文字颜色 2 2 18" xfId="12766"/>
    <cellStyle name="60% - 强调文字颜色 2 2 18 10" xfId="8557"/>
    <cellStyle name="60% - 强调文字颜色 2 2 18 11" xfId="8564"/>
    <cellStyle name="60% - 强调文字颜色 2 2 18 12" xfId="21364"/>
    <cellStyle name="60% - 强调文字颜色 2 2 18 13" xfId="21370"/>
    <cellStyle name="60% - 强调文字颜色 2 2 18 14" xfId="21376"/>
    <cellStyle name="60% - 强调文字颜色 2 2 18 2" xfId="21377"/>
    <cellStyle name="60% - 强调文字颜色 2 2 18 3" xfId="21378"/>
    <cellStyle name="60% - 强调文字颜色 2 2 18 4" xfId="21379"/>
    <cellStyle name="60% - 强调文字颜色 2 2 18 5" xfId="21381"/>
    <cellStyle name="60% - 强调文字颜色 2 2 18 5 10" xfId="21383"/>
    <cellStyle name="60% - 强调文字颜色 2 2 18 5 11" xfId="21384"/>
    <cellStyle name="60% - 强调文字颜色 2 2 18 5 2" xfId="21385"/>
    <cellStyle name="60% - 强调文字颜色 2 2 18 5 2 2" xfId="7544"/>
    <cellStyle name="60% - 强调文字颜色 2 2 18 5 2 2 2" xfId="9608"/>
    <cellStyle name="60% - 强调文字颜色 2 2 18 5 2 2 3" xfId="11443"/>
    <cellStyle name="60% - 强调文字颜色 2 2 18 5 2 3" xfId="11753"/>
    <cellStyle name="60% - 强调文字颜色 2 2 18 5 2 4" xfId="11763"/>
    <cellStyle name="60% - 强调文字颜色 2 2 18 5 2 5" xfId="11771"/>
    <cellStyle name="60% - 强调文字颜色 2 2 18 5 2 6" xfId="10924"/>
    <cellStyle name="60% - 强调文字颜色 2 2 18 5 2 7" xfId="10056"/>
    <cellStyle name="60% - 强调文字颜色 2 2 18 5 2 8" xfId="10065"/>
    <cellStyle name="60% - 强调文字颜色 2 2 18 5 3" xfId="21387"/>
    <cellStyle name="60% - 强调文字颜色 2 2 18 5 4" xfId="21389"/>
    <cellStyle name="60% - 强调文字颜色 2 2 18 5 5" xfId="21391"/>
    <cellStyle name="60% - 强调文字颜色 2 2 18 5 6" xfId="20136"/>
    <cellStyle name="60% - 强调文字颜色 2 2 18 5 6 2" xfId="11864"/>
    <cellStyle name="60% - 强调文字颜色 2 2 18 5 6 3" xfId="11456"/>
    <cellStyle name="60% - 强调文字颜色 2 2 18 5 7" xfId="20139"/>
    <cellStyle name="60% - 强调文字颜色 2 2 18 5 8" xfId="20142"/>
    <cellStyle name="60% - 强调文字颜色 2 2 18 5 9" xfId="20147"/>
    <cellStyle name="60% - 强调文字颜色 2 2 18 6" xfId="21392"/>
    <cellStyle name="60% - 强调文字颜色 2 2 18 6 2" xfId="6725"/>
    <cellStyle name="60% - 强调文字颜色 2 2 18 6 2 2" xfId="6071"/>
    <cellStyle name="60% - 强调文字颜色 2 2 18 6 2 3" xfId="1895"/>
    <cellStyle name="60% - 强调文字颜色 2 2 18 6 3" xfId="6799"/>
    <cellStyle name="60% - 强调文字颜色 2 2 18 6 4" xfId="6908"/>
    <cellStyle name="60% - 强调文字颜色 2 2 18 6 5" xfId="21394"/>
    <cellStyle name="60% - 强调文字颜色 2 2 18 6 6" xfId="21395"/>
    <cellStyle name="60% - 强调文字颜色 2 2 18 6 7" xfId="21396"/>
    <cellStyle name="60% - 强调文字颜色 2 2 18 6 8" xfId="21397"/>
    <cellStyle name="60% - 强调文字颜色 2 2 18 7" xfId="21398"/>
    <cellStyle name="60% - 强调文字颜色 2 2 18 8" xfId="21400"/>
    <cellStyle name="60% - 强调文字颜色 2 2 18 9" xfId="13373"/>
    <cellStyle name="60% - 强调文字颜色 2 2 18 9 2" xfId="14343"/>
    <cellStyle name="60% - 强调文字颜色 2 2 18 9 3" xfId="14351"/>
    <cellStyle name="60% - 强调文字颜色 2 2 19" xfId="12771"/>
    <cellStyle name="60% - 强调文字颜色 2 2 19 10" xfId="18909"/>
    <cellStyle name="60% - 强调文字颜色 2 2 19 11" xfId="18910"/>
    <cellStyle name="60% - 强调文字颜色 2 2 19 12" xfId="13214"/>
    <cellStyle name="60% - 强调文字颜色 2 2 19 13" xfId="13223"/>
    <cellStyle name="60% - 强调文字颜色 2 2 19 14" xfId="18918"/>
    <cellStyle name="60% - 强调文字颜色 2 2 19 2" xfId="3626"/>
    <cellStyle name="60% - 强调文字颜色 2 2 19 3" xfId="317"/>
    <cellStyle name="60% - 强调文字颜色 2 2 19 4" xfId="1703"/>
    <cellStyle name="60% - 强调文字颜色 2 2 19 5" xfId="1728"/>
    <cellStyle name="60% - 强调文字颜色 2 2 19 5 10" xfId="4926"/>
    <cellStyle name="60% - 强调文字颜色 2 2 19 5 11" xfId="4932"/>
    <cellStyle name="60% - 强调文字颜色 2 2 19 5 2" xfId="2658"/>
    <cellStyle name="60% - 强调文字颜色 2 2 19 5 2 2" xfId="21403"/>
    <cellStyle name="60% - 强调文字颜色 2 2 19 5 2 2 2" xfId="21407"/>
    <cellStyle name="60% - 强调文字颜色 2 2 19 5 2 2 3" xfId="21411"/>
    <cellStyle name="60% - 强调文字颜色 2 2 19 5 2 3" xfId="21414"/>
    <cellStyle name="60% - 强调文字颜色 2 2 19 5 2 4" xfId="21416"/>
    <cellStyle name="60% - 强调文字颜色 2 2 19 5 2 5" xfId="21419"/>
    <cellStyle name="60% - 强调文字颜色 2 2 19 5 2 6" xfId="21422"/>
    <cellStyle name="60% - 强调文字颜色 2 2 19 5 2 7" xfId="21423"/>
    <cellStyle name="60% - 强调文字颜色 2 2 19 5 2 8" xfId="21424"/>
    <cellStyle name="60% - 强调文字颜色 2 2 19 5 3" xfId="3276"/>
    <cellStyle name="60% - 强调文字颜色 2 2 19 5 4" xfId="3869"/>
    <cellStyle name="60% - 强调文字颜色 2 2 19 5 5" xfId="3877"/>
    <cellStyle name="60% - 强调文字颜色 2 2 19 5 6" xfId="3884"/>
    <cellStyle name="60% - 强调文字颜色 2 2 19 5 6 2" xfId="3852"/>
    <cellStyle name="60% - 强调文字颜色 2 2 19 5 6 3" xfId="3894"/>
    <cellStyle name="60% - 强调文字颜色 2 2 19 5 7" xfId="4304"/>
    <cellStyle name="60% - 强调文字颜色 2 2 19 5 8" xfId="4554"/>
    <cellStyle name="60% - 强调文字颜色 2 2 19 5 9" xfId="4575"/>
    <cellStyle name="60% - 强调文字颜色 2 2 19 6" xfId="4798"/>
    <cellStyle name="60% - 强调文字颜色 2 2 19 6 2" xfId="20822"/>
    <cellStyle name="60% - 强调文字颜色 2 2 19 6 2 2" xfId="21425"/>
    <cellStyle name="60% - 强调文字颜色 2 2 19 6 2 3" xfId="21426"/>
    <cellStyle name="60% - 强调文字颜色 2 2 19 6 3" xfId="20824"/>
    <cellStyle name="60% - 强调文字颜色 2 2 19 6 4" xfId="18058"/>
    <cellStyle name="60% - 强调文字颜色 2 2 19 6 5" xfId="18061"/>
    <cellStyle name="60% - 强调文字颜色 2 2 19 6 6" xfId="9969"/>
    <cellStyle name="60% - 强调文字颜色 2 2 19 6 7" xfId="9972"/>
    <cellStyle name="60% - 强调文字颜色 2 2 19 6 8" xfId="6910"/>
    <cellStyle name="60% - 强调文字颜色 2 2 19 7" xfId="4807"/>
    <cellStyle name="60% - 强调文字颜色 2 2 19 8" xfId="4938"/>
    <cellStyle name="60% - 强调文字颜色 2 2 19 9" xfId="2564"/>
    <cellStyle name="60% - 强调文字颜色 2 2 19 9 2" xfId="5035"/>
    <cellStyle name="60% - 强调文字颜色 2 2 19 9 3" xfId="5041"/>
    <cellStyle name="60% - 强调文字颜色 2 2 2" xfId="3710"/>
    <cellStyle name="60% - 强调文字颜色 2 2 2 10" xfId="21427"/>
    <cellStyle name="60% - 强调文字颜色 2 2 2 11" xfId="21429"/>
    <cellStyle name="60% - 强调文字颜色 2 2 2 12" xfId="4382"/>
    <cellStyle name="60% - 强调文字颜色 2 2 2 13" xfId="4395"/>
    <cellStyle name="60% - 强调文字颜色 2 2 2 14" xfId="4406"/>
    <cellStyle name="60% - 强调文字颜色 2 2 2 2" xfId="21430"/>
    <cellStyle name="60% - 强调文字颜色 2 2 2 3" xfId="21431"/>
    <cellStyle name="60% - 强调文字颜色 2 2 2 4" xfId="21432"/>
    <cellStyle name="60% - 强调文字颜色 2 2 2 5" xfId="21433"/>
    <cellStyle name="60% - 强调文字颜色 2 2 2 6" xfId="21434"/>
    <cellStyle name="60% - 强调文字颜色 2 2 2 7" xfId="21435"/>
    <cellStyle name="60% - 强调文字颜色 2 2 2 8" xfId="21436"/>
    <cellStyle name="60% - 强调文字颜色 2 2 2 9" xfId="21437"/>
    <cellStyle name="60% - 强调文字颜色 2 2 20" xfId="12734"/>
    <cellStyle name="60% - 强调文字颜色 2 2 20 10" xfId="711"/>
    <cellStyle name="60% - 强调文字颜色 2 2 20 11" xfId="12995"/>
    <cellStyle name="60% - 强调文字颜色 2 2 20 12" xfId="13000"/>
    <cellStyle name="60% - 强调文字颜色 2 2 20 13" xfId="13014"/>
    <cellStyle name="60% - 强调文字颜色 2 2 20 14" xfId="21440"/>
    <cellStyle name="60% - 强调文字颜色 2 2 20 2" xfId="12738"/>
    <cellStyle name="60% - 强调文字颜色 2 2 20 3" xfId="12742"/>
    <cellStyle name="60% - 强调文字颜色 2 2 20 4" xfId="17805"/>
    <cellStyle name="60% - 强调文字颜色 2 2 20 5" xfId="17808"/>
    <cellStyle name="60% - 强调文字颜色 2 2 20 5 10" xfId="21448"/>
    <cellStyle name="60% - 强调文字颜色 2 2 20 5 11" xfId="21451"/>
    <cellStyle name="60% - 强调文字颜色 2 2 20 5 2" xfId="21453"/>
    <cellStyle name="60% - 强调文字颜色 2 2 20 5 2 2" xfId="16731"/>
    <cellStyle name="60% - 强调文字颜色 2 2 20 5 2 2 2" xfId="21454"/>
    <cellStyle name="60% - 强调文字颜色 2 2 20 5 2 2 3" xfId="21456"/>
    <cellStyle name="60% - 强调文字颜色 2 2 20 5 2 3" xfId="2328"/>
    <cellStyle name="60% - 强调文字颜色 2 2 20 5 2 4" xfId="2334"/>
    <cellStyle name="60% - 强调文字颜色 2 2 20 5 2 5" xfId="21458"/>
    <cellStyle name="60% - 强调文字颜色 2 2 20 5 2 6" xfId="21459"/>
    <cellStyle name="60% - 强调文字颜色 2 2 20 5 2 7" xfId="21460"/>
    <cellStyle name="60% - 强调文字颜色 2 2 20 5 2 8" xfId="21461"/>
    <cellStyle name="60% - 强调文字颜色 2 2 20 5 3" xfId="21463"/>
    <cellStyle name="60% - 强调文字颜色 2 2 20 5 4" xfId="21465"/>
    <cellStyle name="60% - 强调文字颜色 2 2 20 5 5" xfId="21468"/>
    <cellStyle name="60% - 强调文字颜色 2 2 20 5 6" xfId="21471"/>
    <cellStyle name="60% - 强调文字颜色 2 2 20 5 6 2" xfId="21473"/>
    <cellStyle name="60% - 强调文字颜色 2 2 20 5 6 3" xfId="21474"/>
    <cellStyle name="60% - 强调文字颜色 2 2 20 5 7" xfId="21476"/>
    <cellStyle name="60% - 强调文字颜色 2 2 20 5 8" xfId="21478"/>
    <cellStyle name="60% - 强调文字颜色 2 2 20 5 9" xfId="21479"/>
    <cellStyle name="60% - 强调文字颜色 2 2 20 6" xfId="21480"/>
    <cellStyle name="60% - 强调文字颜色 2 2 20 6 2" xfId="9651"/>
    <cellStyle name="60% - 强调文字颜色 2 2 20 6 2 2" xfId="8537"/>
    <cellStyle name="60% - 强调文字颜色 2 2 20 6 2 3" xfId="2773"/>
    <cellStyle name="60% - 强调文字颜色 2 2 20 6 3" xfId="3765"/>
    <cellStyle name="60% - 强调文字颜色 2 2 20 6 4" xfId="3772"/>
    <cellStyle name="60% - 强调文字颜色 2 2 20 6 5" xfId="9118"/>
    <cellStyle name="60% - 强调文字颜色 2 2 20 6 6" xfId="3311"/>
    <cellStyle name="60% - 强调文字颜色 2 2 20 6 7" xfId="21481"/>
    <cellStyle name="60% - 强调文字颜色 2 2 20 6 8" xfId="21482"/>
    <cellStyle name="60% - 强调文字颜色 2 2 20 7" xfId="21483"/>
    <cellStyle name="60% - 强调文字颜色 2 2 20 8" xfId="21484"/>
    <cellStyle name="60% - 强调文字颜色 2 2 20 9" xfId="21485"/>
    <cellStyle name="60% - 强调文字颜色 2 2 20 9 2" xfId="16609"/>
    <cellStyle name="60% - 强调文字颜色 2 2 20 9 3" xfId="16637"/>
    <cellStyle name="60% - 强调文字颜色 2 2 3" xfId="3732"/>
    <cellStyle name="60% - 强调文字颜色 2 2 3 10" xfId="21487"/>
    <cellStyle name="60% - 强调文字颜色 2 2 3 11" xfId="21490"/>
    <cellStyle name="60% - 强调文字颜色 2 2 3 12" xfId="21494"/>
    <cellStyle name="60% - 强调文字颜色 2 2 3 13" xfId="21498"/>
    <cellStyle name="60% - 强调文字颜色 2 2 3 14" xfId="21502"/>
    <cellStyle name="60% - 强调文字颜色 2 2 3 2" xfId="21508"/>
    <cellStyle name="60% - 强调文字颜色 2 2 3 3" xfId="21513"/>
    <cellStyle name="60% - 强调文字颜色 2 2 3 4" xfId="21515"/>
    <cellStyle name="60% - 强调文字颜色 2 2 3 5" xfId="21518"/>
    <cellStyle name="60% - 强调文字颜色 2 2 3 6" xfId="21520"/>
    <cellStyle name="60% - 强调文字颜色 2 2 3 7" xfId="21522"/>
    <cellStyle name="60% - 强调文字颜色 2 2 3 8" xfId="21524"/>
    <cellStyle name="60% - 强调文字颜色 2 2 3 9" xfId="21525"/>
    <cellStyle name="60% - 强调文字颜色 2 2 4" xfId="21526"/>
    <cellStyle name="60% - 强调文字颜色 2 2 4 10" xfId="21529"/>
    <cellStyle name="60% - 强调文字颜色 2 2 4 11" xfId="1428"/>
    <cellStyle name="60% - 强调文字颜色 2 2 4 12" xfId="1460"/>
    <cellStyle name="60% - 强调文字颜色 2 2 4 13" xfId="21532"/>
    <cellStyle name="60% - 强调文字颜色 2 2 4 14" xfId="19168"/>
    <cellStyle name="60% - 强调文字颜色 2 2 4 2" xfId="21534"/>
    <cellStyle name="60% - 强调文字颜色 2 2 4 3" xfId="21537"/>
    <cellStyle name="60% - 强调文字颜色 2 2 4 4" xfId="16190"/>
    <cellStyle name="60% - 强调文字颜色 2 2 4 5" xfId="16194"/>
    <cellStyle name="60% - 强调文字颜色 2 2 4 6" xfId="14302"/>
    <cellStyle name="60% - 强调文字颜色 2 2 4 7" xfId="14308"/>
    <cellStyle name="60% - 强调文字颜色 2 2 4 8" xfId="21539"/>
    <cellStyle name="60% - 强调文字颜色 2 2 4 9" xfId="21541"/>
    <cellStyle name="60% - 强调文字颜色 2 2 5" xfId="21542"/>
    <cellStyle name="60% - 强调文字颜色 2 2 6" xfId="21544"/>
    <cellStyle name="60% - 强调文字颜色 2 2 7" xfId="18626"/>
    <cellStyle name="60% - 强调文字颜色 2 2 8" xfId="18631"/>
    <cellStyle name="60% - 强调文字颜色 2 2 9" xfId="21546"/>
    <cellStyle name="60% - 强调文字颜色 2 3" xfId="939"/>
    <cellStyle name="60% - 强调文字颜色 2 3 10" xfId="21548"/>
    <cellStyle name="60% - 强调文字颜色 2 3 11" xfId="21549"/>
    <cellStyle name="60% - 强调文字颜色 2 3 12" xfId="21550"/>
    <cellStyle name="60% - 强调文字颜色 2 3 13" xfId="949"/>
    <cellStyle name="60% - 强调文字颜色 2 3 14" xfId="985"/>
    <cellStyle name="60% - 强调文字颜色 2 3 15" xfId="1007"/>
    <cellStyle name="60% - 强调文字颜色 2 3 16" xfId="1040"/>
    <cellStyle name="60% - 强调文字颜色 2 3 17" xfId="1060"/>
    <cellStyle name="60% - 强调文字颜色 2 3 17 10" xfId="13529"/>
    <cellStyle name="60% - 强调文字颜色 2 3 17 11" xfId="21551"/>
    <cellStyle name="60% - 强调文字颜色 2 3 17 12" xfId="21553"/>
    <cellStyle name="60% - 强调文字颜色 2 3 17 13" xfId="21556"/>
    <cellStyle name="60% - 强调文字颜色 2 3 17 14" xfId="21559"/>
    <cellStyle name="60% - 强调文字颜色 2 3 17 2" xfId="1737"/>
    <cellStyle name="60% - 强调文字颜色 2 3 17 2 2" xfId="21563"/>
    <cellStyle name="60% - 强调文字颜色 2 3 17 3" xfId="13481"/>
    <cellStyle name="60% - 强调文字颜色 2 3 17 4" xfId="13486"/>
    <cellStyle name="60% - 强调文字颜色 2 3 17 5" xfId="21314"/>
    <cellStyle name="60% - 强调文字颜色 2 3 17 5 10" xfId="18079"/>
    <cellStyle name="60% - 强调文字颜色 2 3 17 5 11" xfId="18083"/>
    <cellStyle name="60% - 强调文字颜色 2 3 17 5 2" xfId="7235"/>
    <cellStyle name="60% - 强调文字颜色 2 3 17 5 2 2" xfId="21565"/>
    <cellStyle name="60% - 强调文字颜色 2 3 17 5 2 2 2" xfId="21567"/>
    <cellStyle name="60% - 强调文字颜色 2 3 17 5 2 2 3" xfId="21568"/>
    <cellStyle name="60% - 强调文字颜色 2 3 17 5 2 3" xfId="21569"/>
    <cellStyle name="60% - 强调文字颜色 2 3 17 5 2 4" xfId="21570"/>
    <cellStyle name="60% - 强调文字颜色 2 3 17 5 2 5" xfId="21574"/>
    <cellStyle name="60% - 强调文字颜色 2 3 17 5 2 6" xfId="21576"/>
    <cellStyle name="60% - 强调文字颜色 2 3 17 5 2 7" xfId="21578"/>
    <cellStyle name="60% - 强调文字颜色 2 3 17 5 2 8" xfId="21580"/>
    <cellStyle name="60% - 强调文字颜色 2 3 17 5 3" xfId="7246"/>
    <cellStyle name="60% - 强调文字颜色 2 3 17 5 4" xfId="12244"/>
    <cellStyle name="60% - 强调文字颜色 2 3 17 5 5" xfId="12276"/>
    <cellStyle name="60% - 强调文字颜色 2 3 17 5 6" xfId="12314"/>
    <cellStyle name="60% - 强调文字颜色 2 3 17 5 6 2" xfId="2931"/>
    <cellStyle name="60% - 强调文字颜色 2 3 17 5 6 3" xfId="11331"/>
    <cellStyle name="60% - 强调文字颜色 2 3 17 5 7" xfId="2951"/>
    <cellStyle name="60% - 强调文字颜色 2 3 17 5 8" xfId="2966"/>
    <cellStyle name="60% - 强调文字颜色 2 3 17 5 9" xfId="21581"/>
    <cellStyle name="60% - 强调文字颜色 2 3 17 6" xfId="21319"/>
    <cellStyle name="60% - 强调文字颜色 2 3 17 6 2" xfId="15551"/>
    <cellStyle name="60% - 强调文字颜色 2 3 17 6 2 2" xfId="9237"/>
    <cellStyle name="60% - 强调文字颜色 2 3 17 6 2 3" xfId="9239"/>
    <cellStyle name="60% - 强调文字颜色 2 3 17 6 3" xfId="15553"/>
    <cellStyle name="60% - 强调文字颜色 2 3 17 6 4" xfId="15559"/>
    <cellStyle name="60% - 强调文字颜色 2 3 17 6 5" xfId="7527"/>
    <cellStyle name="60% - 强调文字颜色 2 3 17 6 6" xfId="5661"/>
    <cellStyle name="60% - 强调文字颜色 2 3 17 6 7" xfId="15568"/>
    <cellStyle name="60% - 强调文字颜色 2 3 17 6 8" xfId="21584"/>
    <cellStyle name="60% - 强调文字颜色 2 3 17 7" xfId="14337"/>
    <cellStyle name="60% - 强调文字颜色 2 3 17 8" xfId="14346"/>
    <cellStyle name="60% - 强调文字颜色 2 3 17 9" xfId="14356"/>
    <cellStyle name="60% - 强调文字颜色 2 3 17 9 2" xfId="7566"/>
    <cellStyle name="60% - 强调文字颜色 2 3 17 9 3" xfId="12109"/>
    <cellStyle name="60% - 强调文字颜色 2 3 18" xfId="1082"/>
    <cellStyle name="60% - 强调文字颜色 2 3 18 10" xfId="5341"/>
    <cellStyle name="60% - 强调文字颜色 2 3 18 11" xfId="3218"/>
    <cellStyle name="60% - 强调文字颜色 2 3 18 12" xfId="17683"/>
    <cellStyle name="60% - 强调文字颜色 2 3 18 13" xfId="17686"/>
    <cellStyle name="60% - 强调文字颜色 2 3 18 14" xfId="17689"/>
    <cellStyle name="60% - 强调文字颜色 2 3 18 2" xfId="21585"/>
    <cellStyle name="60% - 强调文字颜色 2 3 18 3" xfId="21586"/>
    <cellStyle name="60% - 强调文字颜色 2 3 18 4" xfId="8493"/>
    <cellStyle name="60% - 强调文字颜色 2 3 18 5" xfId="8507"/>
    <cellStyle name="60% - 强调文字颜色 2 3 18 5 10" xfId="4635"/>
    <cellStyle name="60% - 强调文字颜色 2 3 18 5 11" xfId="21587"/>
    <cellStyle name="60% - 强调文字颜色 2 3 18 5 2" xfId="21589"/>
    <cellStyle name="60% - 强调文字颜色 2 3 18 5 2 2" xfId="18363"/>
    <cellStyle name="60% - 强调文字颜色 2 3 18 5 2 2 2" xfId="21590"/>
    <cellStyle name="60% - 强调文字颜色 2 3 18 5 2 2 3" xfId="21591"/>
    <cellStyle name="60% - 强调文字颜色 2 3 18 5 2 3" xfId="6919"/>
    <cellStyle name="60% - 强调文字颜色 2 3 18 5 2 4" xfId="6927"/>
    <cellStyle name="60% - 强调文字颜色 2 3 18 5 2 5" xfId="6937"/>
    <cellStyle name="60% - 强调文字颜色 2 3 18 5 2 6" xfId="4961"/>
    <cellStyle name="60% - 强调文字颜色 2 3 18 5 2 7" xfId="4981"/>
    <cellStyle name="60% - 强调文字颜色 2 3 18 5 2 8" xfId="4990"/>
    <cellStyle name="60% - 强调文字颜色 2 3 18 5 3" xfId="21593"/>
    <cellStyle name="60% - 强调文字颜色 2 3 18 5 4" xfId="21594"/>
    <cellStyle name="60% - 强调文字颜色 2 3 18 5 5" xfId="21595"/>
    <cellStyle name="60% - 强调文字颜色 2 3 18 5 6" xfId="21596"/>
    <cellStyle name="60% - 强调文字颜色 2 3 18 5 6 2" xfId="12821"/>
    <cellStyle name="60% - 强调文字颜色 2 3 18 5 6 3" xfId="12827"/>
    <cellStyle name="60% - 强调文字颜色 2 3 18 5 7" xfId="21597"/>
    <cellStyle name="60% - 强调文字颜色 2 3 18 5 8" xfId="21599"/>
    <cellStyle name="60% - 强调文字颜色 2 3 18 5 9" xfId="21602"/>
    <cellStyle name="60% - 强调文字颜色 2 3 18 6" xfId="8514"/>
    <cellStyle name="60% - 强调文字颜色 2 3 18 6 2" xfId="21603"/>
    <cellStyle name="60% - 强调文字颜色 2 3 18 6 2 2" xfId="4321"/>
    <cellStyle name="60% - 强调文字颜色 2 3 18 6 2 3" xfId="4330"/>
    <cellStyle name="60% - 强调文字颜色 2 3 18 6 3" xfId="21604"/>
    <cellStyle name="60% - 强调文字颜色 2 3 18 6 4" xfId="21605"/>
    <cellStyle name="60% - 强调文字颜色 2 3 18 6 5" xfId="10803"/>
    <cellStyle name="60% - 强调文字颜色 2 3 18 6 6" xfId="3588"/>
    <cellStyle name="60% - 强调文字颜色 2 3 18 6 7" xfId="3603"/>
    <cellStyle name="60% - 强调文字颜色 2 3 18 6 8" xfId="5931"/>
    <cellStyle name="60% - 强调文字颜色 2 3 18 7" xfId="8521"/>
    <cellStyle name="60% - 强调文字颜色 2 3 18 8" xfId="8528"/>
    <cellStyle name="60% - 强调文字颜色 2 3 18 9" xfId="8534"/>
    <cellStyle name="60% - 强调文字颜色 2 3 18 9 2" xfId="21607"/>
    <cellStyle name="60% - 强调文字颜色 2 3 18 9 3" xfId="21609"/>
    <cellStyle name="60% - 强调文字颜色 2 3 19" xfId="4895"/>
    <cellStyle name="60% - 强调文字颜色 2 3 19 10" xfId="2574"/>
    <cellStyle name="60% - 强调文字颜色 2 3 19 11" xfId="21612"/>
    <cellStyle name="60% - 强调文字颜色 2 3 19 12" xfId="8068"/>
    <cellStyle name="60% - 强调文字颜色 2 3 19 13" xfId="8221"/>
    <cellStyle name="60% - 强调文字颜色 2 3 19 14" xfId="21613"/>
    <cellStyle name="60% - 强调文字颜色 2 3 19 2" xfId="7451"/>
    <cellStyle name="60% - 强调文字颜色 2 3 19 3" xfId="7455"/>
    <cellStyle name="60% - 强调文字颜色 2 3 19 4" xfId="7010"/>
    <cellStyle name="60% - 强调文字颜色 2 3 19 5" xfId="7018"/>
    <cellStyle name="60% - 强调文字颜色 2 3 19 5 10" xfId="6576"/>
    <cellStyle name="60% - 强调文字颜色 2 3 19 5 11" xfId="6581"/>
    <cellStyle name="60% - 强调文字颜色 2 3 19 5 2" xfId="1956"/>
    <cellStyle name="60% - 强调文字颜色 2 3 19 5 2 2" xfId="21616"/>
    <cellStyle name="60% - 强调文字颜色 2 3 19 5 2 2 2" xfId="21618"/>
    <cellStyle name="60% - 强调文字颜色 2 3 19 5 2 2 3" xfId="21620"/>
    <cellStyle name="60% - 强调文字颜色 2 3 19 5 2 3" xfId="21622"/>
    <cellStyle name="60% - 强调文字颜色 2 3 19 5 2 4" xfId="21624"/>
    <cellStyle name="60% - 强调文字颜色 2 3 19 5 2 5" xfId="21627"/>
    <cellStyle name="60% - 强调文字颜色 2 3 19 5 2 6" xfId="21630"/>
    <cellStyle name="60% - 强调文字颜色 2 3 19 5 2 7" xfId="21631"/>
    <cellStyle name="60% - 强调文字颜色 2 3 19 5 2 8" xfId="21632"/>
    <cellStyle name="60% - 强调文字颜色 2 3 19 5 3" xfId="1843"/>
    <cellStyle name="60% - 强调文字颜色 2 3 19 5 4" xfId="1869"/>
    <cellStyle name="60% - 强调文字颜色 2 3 19 5 5" xfId="7740"/>
    <cellStyle name="60% - 强调文字颜色 2 3 19 5 6" xfId="7825"/>
    <cellStyle name="60% - 强调文字颜色 2 3 19 5 6 2" xfId="4891"/>
    <cellStyle name="60% - 强调文字颜色 2 3 19 5 6 3" xfId="7829"/>
    <cellStyle name="60% - 强调文字颜色 2 3 19 5 7" xfId="7842"/>
    <cellStyle name="60% - 强调文字颜色 2 3 19 5 8" xfId="7856"/>
    <cellStyle name="60% - 强调文字颜色 2 3 19 5 9" xfId="7869"/>
    <cellStyle name="60% - 强调文字颜色 2 3 19 6" xfId="7026"/>
    <cellStyle name="60% - 强调文字颜色 2 3 19 6 2" xfId="1459"/>
    <cellStyle name="60% - 强调文字颜色 2 3 19 6 2 2" xfId="21635"/>
    <cellStyle name="60% - 强调文字颜色 2 3 19 6 2 3" xfId="21638"/>
    <cellStyle name="60% - 强调文字颜色 2 3 19 6 3" xfId="21531"/>
    <cellStyle name="60% - 强调文字颜色 2 3 19 6 4" xfId="19167"/>
    <cellStyle name="60% - 强调文字颜色 2 3 19 6 5" xfId="19173"/>
    <cellStyle name="60% - 强调文字颜色 2 3 19 6 6" xfId="19177"/>
    <cellStyle name="60% - 强调文字颜色 2 3 19 6 7" xfId="19181"/>
    <cellStyle name="60% - 强调文字颜色 2 3 19 6 8" xfId="19194"/>
    <cellStyle name="60% - 强调文字颜色 2 3 19 7" xfId="7035"/>
    <cellStyle name="60% - 强调文字颜色 2 3 19 8" xfId="7049"/>
    <cellStyle name="60% - 强调文字颜色 2 3 19 9" xfId="7059"/>
    <cellStyle name="60% - 强调文字颜色 2 3 19 9 2" xfId="7649"/>
    <cellStyle name="60% - 强调文字颜色 2 3 19 9 3" xfId="7655"/>
    <cellStyle name="60% - 强调文字颜色 2 3 2" xfId="21639"/>
    <cellStyle name="60% - 强调文字颜色 2 3 2 10" xfId="13176"/>
    <cellStyle name="60% - 强调文字颜色 2 3 2 11" xfId="13182"/>
    <cellStyle name="60% - 强调文字颜色 2 3 2 12" xfId="5786"/>
    <cellStyle name="60% - 强调文字颜色 2 3 2 13" xfId="5815"/>
    <cellStyle name="60% - 强调文字颜色 2 3 2 14" xfId="5824"/>
    <cellStyle name="60% - 强调文字颜色 2 3 2 2" xfId="21642"/>
    <cellStyle name="60% - 强调文字颜色 2 3 2 3" xfId="21643"/>
    <cellStyle name="60% - 强调文字颜色 2 3 2 4" xfId="21644"/>
    <cellStyle name="60% - 强调文字颜色 2 3 2 5" xfId="21645"/>
    <cellStyle name="60% - 强调文字颜色 2 3 2 6" xfId="21646"/>
    <cellStyle name="60% - 强调文字颜色 2 3 2 7" xfId="21648"/>
    <cellStyle name="60% - 强调文字颜色 2 3 2 8" xfId="21650"/>
    <cellStyle name="60% - 强调文字颜色 2 3 2 9" xfId="21651"/>
    <cellStyle name="60% - 强调文字颜色 2 3 20" xfId="1006"/>
    <cellStyle name="60% - 强调文字颜色 2 3 20 10" xfId="6854"/>
    <cellStyle name="60% - 强调文字颜色 2 3 20 11" xfId="2675"/>
    <cellStyle name="60% - 强调文字颜色 2 3 20 12" xfId="3269"/>
    <cellStyle name="60% - 强调文字颜色 2 3 20 13" xfId="3632"/>
    <cellStyle name="60% - 强调文字颜色 2 3 20 14" xfId="3635"/>
    <cellStyle name="60% - 强调文字颜色 2 3 20 2" xfId="1022"/>
    <cellStyle name="60% - 强调文字颜色 2 3 20 3" xfId="21653"/>
    <cellStyle name="60% - 强调文字颜色 2 3 20 4" xfId="21655"/>
    <cellStyle name="60% - 强调文字颜色 2 3 20 5" xfId="21657"/>
    <cellStyle name="60% - 强调文字颜色 2 3 20 5 10" xfId="21659"/>
    <cellStyle name="60% - 强调文字颜色 2 3 20 5 11" xfId="21660"/>
    <cellStyle name="60% - 强调文字颜色 2 3 20 5 2" xfId="21661"/>
    <cellStyle name="60% - 强调文字颜色 2 3 20 5 2 2" xfId="21663"/>
    <cellStyle name="60% - 强调文字颜色 2 3 20 5 2 2 2" xfId="21665"/>
    <cellStyle name="60% - 强调文字颜色 2 3 20 5 2 2 3" xfId="21247"/>
    <cellStyle name="60% - 强调文字颜色 2 3 20 5 2 3" xfId="21667"/>
    <cellStyle name="60% - 强调文字颜色 2 3 20 5 2 4" xfId="21669"/>
    <cellStyle name="60% - 强调文字颜色 2 3 20 5 2 5" xfId="16339"/>
    <cellStyle name="60% - 强调文字颜色 2 3 20 5 2 6" xfId="16342"/>
    <cellStyle name="60% - 强调文字颜色 2 3 20 5 2 7" xfId="930"/>
    <cellStyle name="60% - 强调文字颜色 2 3 20 5 2 8" xfId="968"/>
    <cellStyle name="60% - 强调文字颜色 2 3 20 5 3" xfId="21670"/>
    <cellStyle name="60% - 强调文字颜色 2 3 20 5 4" xfId="21672"/>
    <cellStyle name="60% - 强调文字颜色 2 3 20 5 5" xfId="21674"/>
    <cellStyle name="60% - 强调文字颜色 2 3 20 5 6" xfId="21676"/>
    <cellStyle name="60% - 强调文字颜色 2 3 20 5 6 2" xfId="7362"/>
    <cellStyle name="60% - 强调文字颜色 2 3 20 5 6 3" xfId="7364"/>
    <cellStyle name="60% - 强调文字颜色 2 3 20 5 7" xfId="21677"/>
    <cellStyle name="60% - 强调文字颜色 2 3 20 5 8" xfId="21678"/>
    <cellStyle name="60% - 强调文字颜色 2 3 20 5 9" xfId="21679"/>
    <cellStyle name="60% - 强调文字颜色 2 3 20 6" xfId="21681"/>
    <cellStyle name="60% - 强调文字颜色 2 3 20 6 2" xfId="17663"/>
    <cellStyle name="60% - 强调文字颜色 2 3 20 6 2 2" xfId="17669"/>
    <cellStyle name="60% - 强调文字颜色 2 3 20 6 2 3" xfId="17680"/>
    <cellStyle name="60% - 强调文字颜色 2 3 20 6 3" xfId="17694"/>
    <cellStyle name="60% - 强调文字颜色 2 3 20 6 4" xfId="17705"/>
    <cellStyle name="60% - 强调文字颜色 2 3 20 6 5" xfId="335"/>
    <cellStyle name="60% - 强调文字颜色 2 3 20 6 6" xfId="17707"/>
    <cellStyle name="60% - 强调文字颜色 2 3 20 6 7" xfId="21683"/>
    <cellStyle name="60% - 强调文字颜色 2 3 20 6 8" xfId="21685"/>
    <cellStyle name="60% - 强调文字颜色 2 3 20 7" xfId="21687"/>
    <cellStyle name="60% - 强调文字颜色 2 3 20 8" xfId="480"/>
    <cellStyle name="60% - 强调文字颜色 2 3 20 9" xfId="21688"/>
    <cellStyle name="60% - 强调文字颜色 2 3 20 9 2" xfId="3142"/>
    <cellStyle name="60% - 强调文字颜色 2 3 20 9 3" xfId="3154"/>
    <cellStyle name="60% - 强调文字颜色 2 3 3" xfId="21689"/>
    <cellStyle name="60% - 强调文字颜色 2 3 3 10" xfId="21692"/>
    <cellStyle name="60% - 强调文字颜色 2 3 3 11" xfId="21693"/>
    <cellStyle name="60% - 强调文字颜色 2 3 3 12" xfId="21696"/>
    <cellStyle name="60% - 强调文字颜色 2 3 3 13" xfId="21699"/>
    <cellStyle name="60% - 强调文字颜色 2 3 3 14" xfId="21701"/>
    <cellStyle name="60% - 强调文字颜色 2 3 3 2" xfId="21705"/>
    <cellStyle name="60% - 强调文字颜色 2 3 3 3" xfId="21708"/>
    <cellStyle name="60% - 强调文字颜色 2 3 3 4" xfId="14378"/>
    <cellStyle name="60% - 强调文字颜色 2 3 3 5" xfId="14384"/>
    <cellStyle name="60% - 强调文字颜色 2 3 3 6" xfId="21711"/>
    <cellStyle name="60% - 强调文字颜色 2 3 3 7" xfId="21714"/>
    <cellStyle name="60% - 强调文字颜色 2 3 3 8" xfId="21716"/>
    <cellStyle name="60% - 强调文字颜色 2 3 3 9" xfId="21718"/>
    <cellStyle name="60% - 强调文字颜色 2 3 4" xfId="21719"/>
    <cellStyle name="60% - 强调文字颜色 2 3 4 10" xfId="20968"/>
    <cellStyle name="60% - 强调文字颜色 2 3 4 11" xfId="2029"/>
    <cellStyle name="60% - 强调文字颜色 2 3 4 12" xfId="2041"/>
    <cellStyle name="60% - 强调文字颜色 2 3 4 13" xfId="20113"/>
    <cellStyle name="60% - 强调文字颜色 2 3 4 14" xfId="20119"/>
    <cellStyle name="60% - 强调文字颜色 2 3 4 2" xfId="8563"/>
    <cellStyle name="60% - 强调文字颜色 2 3 4 3" xfId="21363"/>
    <cellStyle name="60% - 强调文字颜色 2 3 4 4" xfId="21369"/>
    <cellStyle name="60% - 强调文字颜色 2 3 4 5" xfId="21375"/>
    <cellStyle name="60% - 强调文字颜色 2 3 4 6" xfId="21724"/>
    <cellStyle name="60% - 强调文字颜色 2 3 4 7" xfId="21728"/>
    <cellStyle name="60% - 强调文字颜色 2 3 4 8" xfId="21729"/>
    <cellStyle name="60% - 强调文字颜色 2 3 4 9" xfId="13420"/>
    <cellStyle name="60% - 强调文字颜色 2 3 5" xfId="21731"/>
    <cellStyle name="60% - 强调文字颜色 2 3 6" xfId="21734"/>
    <cellStyle name="60% - 强调文字颜色 2 3 7" xfId="21736"/>
    <cellStyle name="60% - 强调文字颜色 2 3 8" xfId="14230"/>
    <cellStyle name="60% - 强调文字颜色 2 3 9" xfId="14233"/>
    <cellStyle name="60% - 强调文字颜色 2 4" xfId="978"/>
    <cellStyle name="60% - 强调文字颜色 2 4 10" xfId="21738"/>
    <cellStyle name="60% - 强调文字颜色 2 4 11" xfId="21739"/>
    <cellStyle name="60% - 强调文字颜色 2 4 12" xfId="21740"/>
    <cellStyle name="60% - 强调文字颜色 2 4 13" xfId="18160"/>
    <cellStyle name="60% - 强调文字颜色 2 4 14" xfId="18163"/>
    <cellStyle name="60% - 强调文字颜色 2 4 15" xfId="21743"/>
    <cellStyle name="60% - 强调文字颜色 2 4 16" xfId="21744"/>
    <cellStyle name="60% - 强调文字颜色 2 4 17" xfId="21745"/>
    <cellStyle name="60% - 强调文字颜色 2 4 17 10" xfId="14936"/>
    <cellStyle name="60% - 强调文字颜色 2 4 17 11" xfId="21746"/>
    <cellStyle name="60% - 强调文字颜色 2 4 17 12" xfId="21747"/>
    <cellStyle name="60% - 强调文字颜色 2 4 17 13" xfId="4301"/>
    <cellStyle name="60% - 强调文字颜色 2 4 17 14" xfId="4558"/>
    <cellStyle name="60% - 强调文字颜色 2 4 17 2" xfId="8466"/>
    <cellStyle name="60% - 强调文字颜色 2 4 17 3" xfId="8470"/>
    <cellStyle name="60% - 强调文字颜色 2 4 17 4" xfId="8475"/>
    <cellStyle name="60% - 强调文字颜色 2 4 17 5" xfId="8575"/>
    <cellStyle name="60% - 强调文字颜色 2 4 17 5 10" xfId="21748"/>
    <cellStyle name="60% - 强调文字颜色 2 4 17 5 11" xfId="18763"/>
    <cellStyle name="60% - 强调文字颜色 2 4 17 5 2" xfId="7810"/>
    <cellStyle name="60% - 强调文字颜色 2 4 17 5 2 2" xfId="8585"/>
    <cellStyle name="60% - 强调文字颜色 2 4 17 5 2 2 2" xfId="21753"/>
    <cellStyle name="60% - 强调文字颜色 2 4 17 5 2 2 3" xfId="21754"/>
    <cellStyle name="60% - 强调文字颜色 2 4 17 5 2 3" xfId="8592"/>
    <cellStyle name="60% - 强调文字颜色 2 4 17 5 2 4" xfId="21755"/>
    <cellStyle name="60% - 强调文字颜色 2 4 17 5 2 5" xfId="21756"/>
    <cellStyle name="60% - 强调文字颜色 2 4 17 5 2 6" xfId="21758"/>
    <cellStyle name="60% - 强调文字颜色 2 4 17 5 2 7" xfId="21760"/>
    <cellStyle name="60% - 强调文字颜色 2 4 17 5 2 8" xfId="21761"/>
    <cellStyle name="60% - 强调文字颜色 2 4 17 5 3" xfId="7818"/>
    <cellStyle name="60% - 强调文字颜色 2 4 17 5 4" xfId="2024"/>
    <cellStyle name="60% - 强调文字颜色 2 4 17 5 5" xfId="2036"/>
    <cellStyle name="60% - 强调文字颜色 2 4 17 5 6" xfId="8595"/>
    <cellStyle name="60% - 强调文字颜色 2 4 17 5 6 2" xfId="21763"/>
    <cellStyle name="60% - 强调文字颜色 2 4 17 5 6 3" xfId="21769"/>
    <cellStyle name="60% - 强调文字颜色 2 4 17 5 7" xfId="8601"/>
    <cellStyle name="60% - 强调文字颜色 2 4 17 5 8" xfId="8612"/>
    <cellStyle name="60% - 强调文字颜色 2 4 17 5 9" xfId="21774"/>
    <cellStyle name="60% - 强调文字颜色 2 4 17 6" xfId="8622"/>
    <cellStyle name="60% - 强调文字颜色 2 4 17 6 2" xfId="16376"/>
    <cellStyle name="60% - 强调文字颜色 2 4 17 6 2 2" xfId="16894"/>
    <cellStyle name="60% - 强调文字颜色 2 4 17 6 2 3" xfId="16897"/>
    <cellStyle name="60% - 强调文字颜色 2 4 17 6 3" xfId="16379"/>
    <cellStyle name="60% - 强调文字颜色 2 4 17 6 4" xfId="16408"/>
    <cellStyle name="60% - 强调文字颜色 2 4 17 6 5" xfId="16411"/>
    <cellStyle name="60% - 强调文字颜色 2 4 17 6 6" xfId="16414"/>
    <cellStyle name="60% - 强调文字颜色 2 4 17 6 7" xfId="16419"/>
    <cellStyle name="60% - 强调文字颜色 2 4 17 6 8" xfId="19687"/>
    <cellStyle name="60% - 强调文字颜色 2 4 17 7" xfId="8629"/>
    <cellStyle name="60% - 强调文字颜色 2 4 17 8" xfId="8636"/>
    <cellStyle name="60% - 强调文字颜色 2 4 17 9" xfId="19691"/>
    <cellStyle name="60% - 强调文字颜色 2 4 17 9 2" xfId="13791"/>
    <cellStyle name="60% - 强调文字颜色 2 4 17 9 3" xfId="13796"/>
    <cellStyle name="60% - 强调文字颜色 2 4 18" xfId="21779"/>
    <cellStyle name="60% - 强调文字颜色 2 4 18 10" xfId="8847"/>
    <cellStyle name="60% - 强调文字颜色 2 4 18 11" xfId="6625"/>
    <cellStyle name="60% - 强调文字颜色 2 4 18 12" xfId="6632"/>
    <cellStyle name="60% - 强调文字颜色 2 4 18 13" xfId="6639"/>
    <cellStyle name="60% - 强调文字颜色 2 4 18 14" xfId="6646"/>
    <cellStyle name="60% - 强调文字颜色 2 4 18 2" xfId="8676"/>
    <cellStyle name="60% - 强调文字颜色 2 4 18 3" xfId="8678"/>
    <cellStyle name="60% - 强调文字颜色 2 4 18 4" xfId="2890"/>
    <cellStyle name="60% - 强调文字颜色 2 4 18 5" xfId="2902"/>
    <cellStyle name="60% - 强调文字颜色 2 4 18 5 10" xfId="21781"/>
    <cellStyle name="60% - 强调文字颜色 2 4 18 5 11" xfId="19069"/>
    <cellStyle name="60% - 强调文字颜色 2 4 18 5 2" xfId="7765"/>
    <cellStyle name="60% - 强调文字颜色 2 4 18 5 2 2" xfId="8736"/>
    <cellStyle name="60% - 强调文字颜色 2 4 18 5 2 2 2" xfId="21782"/>
    <cellStyle name="60% - 强调文字颜色 2 4 18 5 2 2 3" xfId="20409"/>
    <cellStyle name="60% - 强调文字颜色 2 4 18 5 2 3" xfId="8743"/>
    <cellStyle name="60% - 强调文字颜色 2 4 18 5 2 4" xfId="21784"/>
    <cellStyle name="60% - 强调文字颜色 2 4 18 5 2 5" xfId="21786"/>
    <cellStyle name="60% - 强调文字颜色 2 4 18 5 2 6" xfId="21789"/>
    <cellStyle name="60% - 强调文字颜色 2 4 18 5 2 7" xfId="21792"/>
    <cellStyle name="60% - 强调文字颜色 2 4 18 5 2 8" xfId="21796"/>
    <cellStyle name="60% - 强调文字颜色 2 4 18 5 3" xfId="7775"/>
    <cellStyle name="60% - 强调文字颜色 2 4 18 5 4" xfId="8748"/>
    <cellStyle name="60% - 强调文字颜色 2 4 18 5 5" xfId="8754"/>
    <cellStyle name="60% - 强调文字颜色 2 4 18 5 6" xfId="8758"/>
    <cellStyle name="60% - 强调文字颜色 2 4 18 5 6 2" xfId="21799"/>
    <cellStyle name="60% - 强调文字颜色 2 4 18 5 6 3" xfId="21801"/>
    <cellStyle name="60% - 强调文字颜色 2 4 18 5 7" xfId="8763"/>
    <cellStyle name="60% - 强调文字颜色 2 4 18 5 8" xfId="8771"/>
    <cellStyle name="60% - 强调文字颜色 2 4 18 5 9" xfId="21803"/>
    <cellStyle name="60% - 强调文字颜色 2 4 18 6" xfId="3459"/>
    <cellStyle name="60% - 强调文字颜色 2 4 18 6 2" xfId="19698"/>
    <cellStyle name="60% - 强调文字颜色 2 4 18 6 2 2" xfId="19701"/>
    <cellStyle name="60% - 强调文字颜色 2 4 18 6 2 3" xfId="19703"/>
    <cellStyle name="60% - 强调文字颜色 2 4 18 6 3" xfId="19717"/>
    <cellStyle name="60% - 强调文字颜色 2 4 18 6 4" xfId="19719"/>
    <cellStyle name="60% - 强调文字颜色 2 4 18 6 5" xfId="19721"/>
    <cellStyle name="60% - 强调文字颜色 2 4 18 6 6" xfId="4550"/>
    <cellStyle name="60% - 强调文字颜色 2 4 18 6 7" xfId="4571"/>
    <cellStyle name="60% - 强调文字颜色 2 4 18 6 8" xfId="15822"/>
    <cellStyle name="60% - 强调文字颜色 2 4 18 7" xfId="3468"/>
    <cellStyle name="60% - 强调文字颜色 2 4 18 8" xfId="3477"/>
    <cellStyle name="60% - 强调文字颜色 2 4 18 9" xfId="19743"/>
    <cellStyle name="60% - 强调文字颜色 2 4 18 9 2" xfId="21805"/>
    <cellStyle name="60% - 强调文字颜色 2 4 18 9 3" xfId="21807"/>
    <cellStyle name="60% - 强调文字颜色 2 4 19" xfId="21811"/>
    <cellStyle name="60% - 强调文字颜色 2 4 19 10" xfId="20265"/>
    <cellStyle name="60% - 强调文字颜色 2 4 19 11" xfId="20271"/>
    <cellStyle name="60% - 强调文字颜色 2 4 19 12" xfId="12921"/>
    <cellStyle name="60% - 强调文字颜色 2 4 19 13" xfId="12924"/>
    <cellStyle name="60% - 强调文字颜色 2 4 19 14" xfId="21812"/>
    <cellStyle name="60% - 强调文字颜色 2 4 19 2" xfId="8791"/>
    <cellStyle name="60% - 强调文字颜色 2 4 19 3" xfId="8792"/>
    <cellStyle name="60% - 强调文字颜色 2 4 19 4" xfId="8799"/>
    <cellStyle name="60% - 强调文字颜色 2 4 19 5" xfId="8850"/>
    <cellStyle name="60% - 强调文字颜色 2 4 19 5 10" xfId="10145"/>
    <cellStyle name="60% - 强调文字颜色 2 4 19 5 11" xfId="9356"/>
    <cellStyle name="60% - 强调文字颜色 2 4 19 5 2" xfId="7506"/>
    <cellStyle name="60% - 强调文字颜色 2 4 19 5 2 2" xfId="8859"/>
    <cellStyle name="60% - 强调文字颜色 2 4 19 5 2 2 2" xfId="21814"/>
    <cellStyle name="60% - 强调文字颜色 2 4 19 5 2 2 3" xfId="18754"/>
    <cellStyle name="60% - 强调文字颜色 2 4 19 5 2 3" xfId="8863"/>
    <cellStyle name="60% - 强调文字颜色 2 4 19 5 2 4" xfId="21818"/>
    <cellStyle name="60% - 强调文字颜色 2 4 19 5 2 5" xfId="21822"/>
    <cellStyle name="60% - 强调文字颜色 2 4 19 5 2 6" xfId="21825"/>
    <cellStyle name="60% - 强调文字颜色 2 4 19 5 2 7" xfId="21827"/>
    <cellStyle name="60% - 强调文字颜色 2 4 19 5 2 8" xfId="21829"/>
    <cellStyle name="60% - 强调文字颜色 2 4 19 5 3" xfId="5582"/>
    <cellStyle name="60% - 强调文字颜色 2 4 19 5 4" xfId="8867"/>
    <cellStyle name="60% - 强调文字颜色 2 4 19 5 5" xfId="8871"/>
    <cellStyle name="60% - 强调文字颜色 2 4 19 5 6" xfId="1964"/>
    <cellStyle name="60% - 强调文字颜色 2 4 19 5 6 2" xfId="10182"/>
    <cellStyle name="60% - 强调文字颜色 2 4 19 5 6 3" xfId="10189"/>
    <cellStyle name="60% - 强调文字颜色 2 4 19 5 7" xfId="1975"/>
    <cellStyle name="60% - 强调文字颜色 2 4 19 5 8" xfId="1993"/>
    <cellStyle name="60% - 强调文字颜色 2 4 19 5 9" xfId="2012"/>
    <cellStyle name="60% - 强调文字颜色 2 4 19 6" xfId="8874"/>
    <cellStyle name="60% - 强调文字颜色 2 4 19 6 2" xfId="21832"/>
    <cellStyle name="60% - 强调文字颜色 2 4 19 6 2 2" xfId="21695"/>
    <cellStyle name="60% - 强调文字颜色 2 4 19 6 2 3" xfId="21698"/>
    <cellStyle name="60% - 强调文字颜色 2 4 19 6 3" xfId="21835"/>
    <cellStyle name="60% - 强调文字颜色 2 4 19 6 4" xfId="20090"/>
    <cellStyle name="60% - 强调文字颜色 2 4 19 6 5" xfId="20093"/>
    <cellStyle name="60% - 强调文字颜色 2 4 19 6 6" xfId="20096"/>
    <cellStyle name="60% - 强调文字颜色 2 4 19 6 7" xfId="20098"/>
    <cellStyle name="60% - 强调文字颜色 2 4 19 6 8" xfId="17458"/>
    <cellStyle name="60% - 强调文字颜色 2 4 19 7" xfId="7515"/>
    <cellStyle name="60% - 强调文字颜色 2 4 19 8" xfId="5589"/>
    <cellStyle name="60% - 强调文字颜色 2 4 19 9" xfId="5601"/>
    <cellStyle name="60% - 强调文字颜色 2 4 19 9 2" xfId="10057"/>
    <cellStyle name="60% - 强调文字颜色 2 4 19 9 3" xfId="10063"/>
    <cellStyle name="60% - 强调文字颜色 2 4 2" xfId="21836"/>
    <cellStyle name="60% - 强调文字颜色 2 4 20" xfId="21742"/>
    <cellStyle name="60% - 强调文字颜色 2 4 20 10" xfId="953"/>
    <cellStyle name="60% - 强调文字颜色 2 4 20 11" xfId="989"/>
    <cellStyle name="60% - 强调文字颜色 2 4 20 12" xfId="1011"/>
    <cellStyle name="60% - 强调文字颜色 2 4 20 13" xfId="1049"/>
    <cellStyle name="60% - 强调文字颜色 2 4 20 14" xfId="1069"/>
    <cellStyle name="60% - 强调文字颜色 2 4 20 2" xfId="8933"/>
    <cellStyle name="60% - 强调文字颜色 2 4 20 3" xfId="8940"/>
    <cellStyle name="60% - 强调文字颜色 2 4 20 4" xfId="8946"/>
    <cellStyle name="60% - 强调文字颜色 2 4 20 5" xfId="8994"/>
    <cellStyle name="60% - 强调文字颜色 2 4 20 5 10" xfId="21838"/>
    <cellStyle name="60% - 强调文字颜色 2 4 20 5 11" xfId="21839"/>
    <cellStyle name="60% - 强调文字颜色 2 4 20 5 2" xfId="8997"/>
    <cellStyle name="60% - 强调文字颜色 2 4 20 5 2 2" xfId="296"/>
    <cellStyle name="60% - 强调文字颜色 2 4 20 5 2 2 2" xfId="18206"/>
    <cellStyle name="60% - 强调文字颜色 2 4 20 5 2 2 3" xfId="18209"/>
    <cellStyle name="60% - 强调文字颜色 2 4 20 5 2 3" xfId="5053"/>
    <cellStyle name="60% - 强调文字颜色 2 4 20 5 2 4" xfId="21840"/>
    <cellStyle name="60% - 强调文字颜色 2 4 20 5 2 5" xfId="21842"/>
    <cellStyle name="60% - 强调文字颜色 2 4 20 5 2 6" xfId="21844"/>
    <cellStyle name="60% - 强调文字颜色 2 4 20 5 2 7" xfId="7080"/>
    <cellStyle name="60% - 强调文字颜色 2 4 20 5 2 8" xfId="7088"/>
    <cellStyle name="60% - 强调文字颜色 2 4 20 5 3" xfId="9000"/>
    <cellStyle name="60% - 强调文字颜色 2 4 20 5 4" xfId="9003"/>
    <cellStyle name="60% - 强调文字颜色 2 4 20 5 5" xfId="9008"/>
    <cellStyle name="60% - 强调文字颜色 2 4 20 5 6" xfId="9016"/>
    <cellStyle name="60% - 强调文字颜色 2 4 20 5 6 2" xfId="4946"/>
    <cellStyle name="60% - 强调文字颜色 2 4 20 5 6 3" xfId="4949"/>
    <cellStyle name="60% - 强调文字颜色 2 4 20 5 7" xfId="9021"/>
    <cellStyle name="60% - 强调文字颜色 2 4 20 5 8" xfId="9026"/>
    <cellStyle name="60% - 强调文字颜色 2 4 20 5 9" xfId="21845"/>
    <cellStyle name="60% - 强调文字颜色 2 4 20 6" xfId="9028"/>
    <cellStyle name="60% - 强调文字颜色 2 4 20 6 2" xfId="18773"/>
    <cellStyle name="60% - 强调文字颜色 2 4 20 6 2 2" xfId="18777"/>
    <cellStyle name="60% - 强调文字颜色 2 4 20 6 2 3" xfId="18781"/>
    <cellStyle name="60% - 强调文字颜色 2 4 20 6 3" xfId="18791"/>
    <cellStyle name="60% - 强调文字颜色 2 4 20 6 4" xfId="18797"/>
    <cellStyle name="60% - 强调文字颜色 2 4 20 6 5" xfId="18799"/>
    <cellStyle name="60% - 强调文字颜色 2 4 20 6 6" xfId="18802"/>
    <cellStyle name="60% - 强调文字颜色 2 4 20 6 7" xfId="21846"/>
    <cellStyle name="60% - 强调文字颜色 2 4 20 6 8" xfId="21847"/>
    <cellStyle name="60% - 强调文字颜色 2 4 20 7" xfId="7483"/>
    <cellStyle name="60% - 强调文字颜色 2 4 20 8" xfId="5354"/>
    <cellStyle name="60% - 强调文字颜色 2 4 20 9" xfId="5404"/>
    <cellStyle name="60% - 强调文字颜色 2 4 20 9 2" xfId="6139"/>
    <cellStyle name="60% - 强调文字颜色 2 4 20 9 3" xfId="6151"/>
    <cellStyle name="60% - 强调文字颜色 2 4 3" xfId="21848"/>
    <cellStyle name="60% - 强调文字颜色 2 4 4" xfId="21850"/>
    <cellStyle name="60% - 强调文字颜色 2 4 5" xfId="21851"/>
    <cellStyle name="60% - 强调文字颜色 2 4 6" xfId="21852"/>
    <cellStyle name="60% - 强调文字颜色 2 4 7" xfId="21854"/>
    <cellStyle name="60% - 强调文字颜色 2 4 8" xfId="21856"/>
    <cellStyle name="60% - 强调文字颜色 2 4 9" xfId="21857"/>
    <cellStyle name="60% - 强调文字颜色 2 5" xfId="1000"/>
    <cellStyle name="60% - 强调文字颜色 2 5 10" xfId="11023"/>
    <cellStyle name="60% - 强调文字颜色 2 5 11" xfId="9449"/>
    <cellStyle name="60% - 强调文字颜色 2 5 12" xfId="9460"/>
    <cellStyle name="60% - 强调文字颜色 2 5 13" xfId="21861"/>
    <cellStyle name="60% - 强调文字颜色 2 5 14" xfId="21863"/>
    <cellStyle name="60% - 强调文字颜色 2 5 2" xfId="21864"/>
    <cellStyle name="60% - 强调文字颜色 2 5 3" xfId="21866"/>
    <cellStyle name="60% - 强调文字颜色 2 5 4" xfId="21868"/>
    <cellStyle name="60% - 强调文字颜色 2 5 5" xfId="21869"/>
    <cellStyle name="60% - 强调文字颜色 2 5 6" xfId="21871"/>
    <cellStyle name="60% - 强调文字颜色 2 5 7" xfId="21872"/>
    <cellStyle name="60% - 强调文字颜色 2 5 8" xfId="21873"/>
    <cellStyle name="60% - 强调文字颜色 2 5 9" xfId="21874"/>
    <cellStyle name="60% - 强调文字颜色 2 6" xfId="1034"/>
    <cellStyle name="60% - 强调文字颜色 2 6 10" xfId="21876"/>
    <cellStyle name="60% - 强调文字颜色 2 6 11" xfId="21878"/>
    <cellStyle name="60% - 强调文字颜色 2 6 12" xfId="21880"/>
    <cellStyle name="60% - 强调文字颜色 2 6 13" xfId="21883"/>
    <cellStyle name="60% - 强调文字颜色 2 6 14" xfId="21886"/>
    <cellStyle name="60% - 强调文字颜色 2 6 2" xfId="505"/>
    <cellStyle name="60% - 强调文字颜色 2 6 3" xfId="21887"/>
    <cellStyle name="60% - 强调文字颜色 2 6 4" xfId="21889"/>
    <cellStyle name="60% - 强调文字颜色 2 6 5" xfId="21890"/>
    <cellStyle name="60% - 强调文字颜色 2 6 6" xfId="21891"/>
    <cellStyle name="60% - 强调文字颜色 2 6 7" xfId="21893"/>
    <cellStyle name="60% - 强调文字颜色 2 6 8" xfId="21896"/>
    <cellStyle name="60% - 强调文字颜色 2 6 9" xfId="21898"/>
    <cellStyle name="60% - 强调文字颜色 2 7" xfId="1054"/>
    <cellStyle name="60% - 强调文字颜色 2 8" xfId="1075"/>
    <cellStyle name="60% - 强调文字颜色 2 9" xfId="21899"/>
    <cellStyle name="60% - 强调文字颜色 3 10" xfId="21905"/>
    <cellStyle name="60% - 强调文字颜色 3 11" xfId="21912"/>
    <cellStyle name="60% - 强调文字颜色 3 12" xfId="700"/>
    <cellStyle name="60% - 强调文字颜色 3 12 10" xfId="21654"/>
    <cellStyle name="60% - 强调文字颜色 3 12 11" xfId="21656"/>
    <cellStyle name="60% - 强调文字颜色 3 12 12" xfId="21680"/>
    <cellStyle name="60% - 强调文字颜色 3 12 13" xfId="21686"/>
    <cellStyle name="60% - 强调文字颜色 3 12 14" xfId="479"/>
    <cellStyle name="60% - 强调文字颜色 3 12 2" xfId="21914"/>
    <cellStyle name="60% - 强调文字颜色 3 12 3" xfId="21916"/>
    <cellStyle name="60% - 强调文字颜色 3 12 4" xfId="21918"/>
    <cellStyle name="60% - 强调文字颜色 3 12 5" xfId="21919"/>
    <cellStyle name="60% - 强调文字颜色 3 12 5 10" xfId="14520"/>
    <cellStyle name="60% - 强调文字颜色 3 12 5 11" xfId="21920"/>
    <cellStyle name="60% - 强调文字颜色 3 12 5 2" xfId="19094"/>
    <cellStyle name="60% - 强调文字颜色 3 12 5 2 2" xfId="21921"/>
    <cellStyle name="60% - 强调文字颜色 3 12 5 2 2 2" xfId="19371"/>
    <cellStyle name="60% - 强调文字颜色 3 12 5 2 2 3" xfId="12441"/>
    <cellStyle name="60% - 强调文字颜色 3 12 5 2 3" xfId="21923"/>
    <cellStyle name="60% - 强调文字颜色 3 12 5 2 4" xfId="21925"/>
    <cellStyle name="60% - 强调文字颜色 3 12 5 2 5" xfId="21927"/>
    <cellStyle name="60% - 强调文字颜色 3 12 5 2 6" xfId="10703"/>
    <cellStyle name="60% - 强调文字颜色 3 12 5 2 7" xfId="10706"/>
    <cellStyle name="60% - 强调文字颜色 3 12 5 2 8" xfId="21928"/>
    <cellStyle name="60% - 强调文字颜色 3 12 5 3" xfId="16500"/>
    <cellStyle name="60% - 强调文字颜色 3 12 5 4" xfId="16503"/>
    <cellStyle name="60% - 强调文字颜色 3 12 5 5" xfId="14976"/>
    <cellStyle name="60% - 强调文字颜色 3 12 5 6" xfId="14980"/>
    <cellStyle name="60% - 强调文字颜色 3 12 5 6 2" xfId="19842"/>
    <cellStyle name="60% - 强调文字颜色 3 12 5 6 3" xfId="19848"/>
    <cellStyle name="60% - 强调文字颜色 3 12 5 7" xfId="14982"/>
    <cellStyle name="60% - 强调文字颜色 3 12 5 8" xfId="14984"/>
    <cellStyle name="60% - 强调文字颜色 3 12 5 9" xfId="14986"/>
    <cellStyle name="60% - 强调文字颜色 3 12 6" xfId="21931"/>
    <cellStyle name="60% - 强调文字颜色 3 12 6 2" xfId="21935"/>
    <cellStyle name="60% - 强调文字颜色 3 12 6 2 2" xfId="21936"/>
    <cellStyle name="60% - 强调文字颜色 3 12 6 2 3" xfId="21939"/>
    <cellStyle name="60% - 强调文字颜色 3 12 6 3" xfId="21942"/>
    <cellStyle name="60% - 强调文字颜色 3 12 6 4" xfId="21944"/>
    <cellStyle name="60% - 强调文字颜色 3 12 6 5" xfId="21945"/>
    <cellStyle name="60% - 强调文字颜色 3 12 6 6" xfId="21947"/>
    <cellStyle name="60% - 强调文字颜色 3 12 6 7" xfId="21949"/>
    <cellStyle name="60% - 强调文字颜色 3 12 6 8" xfId="21951"/>
    <cellStyle name="60% - 强调文字颜色 3 12 7" xfId="21954"/>
    <cellStyle name="60% - 强调文字颜色 3 12 8" xfId="21956"/>
    <cellStyle name="60% - 强调文字颜色 3 12 9" xfId="21958"/>
    <cellStyle name="60% - 强调文字颜色 3 12 9 2" xfId="12904"/>
    <cellStyle name="60% - 强调文字颜色 3 12 9 3" xfId="21959"/>
    <cellStyle name="60% - 强调文字颜色 3 13" xfId="734"/>
    <cellStyle name="60% - 强调文字颜色 3 14" xfId="757"/>
    <cellStyle name="60% - 强调文字颜色 3 15" xfId="1283"/>
    <cellStyle name="60% - 强调文字颜色 3 16" xfId="1294"/>
    <cellStyle name="60% - 强调文字颜色 3 16 10" xfId="21960"/>
    <cellStyle name="60% - 强调文字颜色 3 16 11" xfId="21961"/>
    <cellStyle name="60% - 强调文字颜色 3 16 12" xfId="21962"/>
    <cellStyle name="60% - 强调文字颜色 3 16 13" xfId="21963"/>
    <cellStyle name="60% - 强调文字颜色 3 16 14" xfId="21965"/>
    <cellStyle name="60% - 强调文字颜色 3 16 2" xfId="9894"/>
    <cellStyle name="60% - 强调文字颜色 3 16 3" xfId="21967"/>
    <cellStyle name="60% - 强调文字颜色 3 16 4" xfId="21968"/>
    <cellStyle name="60% - 强调文字颜色 3 16 5" xfId="21969"/>
    <cellStyle name="60% - 强调文字颜色 3 16 5 10" xfId="21972"/>
    <cellStyle name="60% - 强调文字颜色 3 16 5 11" xfId="21976"/>
    <cellStyle name="60% - 强调文字颜色 3 16 5 2" xfId="15941"/>
    <cellStyle name="60% - 强调文字颜色 3 16 5 2 2" xfId="21024"/>
    <cellStyle name="60% - 强调文字颜色 3 16 5 2 2 2" xfId="19529"/>
    <cellStyle name="60% - 强调文字颜色 3 16 5 2 2 3" xfId="11859"/>
    <cellStyle name="60% - 强调文字颜色 3 16 5 2 3" xfId="1251"/>
    <cellStyle name="60% - 强调文字颜色 3 16 5 2 4" xfId="3683"/>
    <cellStyle name="60% - 强调文字颜色 3 16 5 2 5" xfId="21980"/>
    <cellStyle name="60% - 强调文字颜色 3 16 5 2 6" xfId="21984"/>
    <cellStyle name="60% - 强调文字颜色 3 16 5 2 7" xfId="21986"/>
    <cellStyle name="60% - 强调文字颜色 3 16 5 2 8" xfId="21988"/>
    <cellStyle name="60% - 强调文字颜色 3 16 5 3" xfId="15947"/>
    <cellStyle name="60% - 强调文字颜色 3 16 5 4" xfId="15951"/>
    <cellStyle name="60% - 强调文字颜色 3 16 5 5" xfId="15955"/>
    <cellStyle name="60% - 强调文字颜色 3 16 5 6" xfId="15958"/>
    <cellStyle name="60% - 强调文字颜色 3 16 5 6 2" xfId="21989"/>
    <cellStyle name="60% - 强调文字颜色 3 16 5 6 3" xfId="21991"/>
    <cellStyle name="60% - 强调文字颜色 3 16 5 7" xfId="21993"/>
    <cellStyle name="60% - 强调文字颜色 3 16 5 8" xfId="21995"/>
    <cellStyle name="60% - 强调文字颜色 3 16 5 9" xfId="21997"/>
    <cellStyle name="60% - 强调文字颜色 3 16 6" xfId="14259"/>
    <cellStyle name="60% - 强调文字颜色 3 16 6 2" xfId="14262"/>
    <cellStyle name="60% - 强调文字颜色 3 16 6 2 2" xfId="21999"/>
    <cellStyle name="60% - 强调文字颜色 3 16 6 2 3" xfId="22000"/>
    <cellStyle name="60% - 强调文字颜色 3 16 6 3" xfId="14265"/>
    <cellStyle name="60% - 强调文字颜色 3 16 6 4" xfId="22001"/>
    <cellStyle name="60% - 强调文字颜色 3 16 6 5" xfId="22003"/>
    <cellStyle name="60% - 强调文字颜色 3 16 6 6" xfId="22007"/>
    <cellStyle name="60% - 强调文字颜色 3 16 6 7" xfId="22011"/>
    <cellStyle name="60% - 强调文字颜色 3 16 6 8" xfId="22013"/>
    <cellStyle name="60% - 强调文字颜色 3 16 7" xfId="14268"/>
    <cellStyle name="60% - 强调文字颜色 3 16 8" xfId="3822"/>
    <cellStyle name="60% - 强调文字颜色 3 16 9" xfId="11586"/>
    <cellStyle name="60% - 强调文字颜色 3 16 9 2" xfId="22016"/>
    <cellStyle name="60% - 强调文字颜色 3 16 9 3" xfId="22019"/>
    <cellStyle name="60% - 强调文字颜色 3 17" xfId="1305"/>
    <cellStyle name="60% - 强调文字颜色 3 17 10" xfId="22020"/>
    <cellStyle name="60% - 强调文字颜色 3 17 11" xfId="22021"/>
    <cellStyle name="60% - 强调文字颜色 3 17 12" xfId="22022"/>
    <cellStyle name="60% - 强调文字颜色 3 17 13" xfId="4139"/>
    <cellStyle name="60% - 强调文字颜色 3 17 14" xfId="4206"/>
    <cellStyle name="60% - 强调文字颜色 3 17 2" xfId="22025"/>
    <cellStyle name="60% - 强调文字颜色 3 17 3" xfId="22027"/>
    <cellStyle name="60% - 强调文字颜色 3 17 4" xfId="22029"/>
    <cellStyle name="60% - 强调文字颜色 3 17 5" xfId="22030"/>
    <cellStyle name="60% - 强调文字颜色 3 17 5 10" xfId="22032"/>
    <cellStyle name="60% - 强调文字颜色 3 17 5 11" xfId="22035"/>
    <cellStyle name="60% - 强调文字颜色 3 17 5 2" xfId="18103"/>
    <cellStyle name="60% - 强调文字颜色 3 17 5 2 2" xfId="21726"/>
    <cellStyle name="60% - 强调文字颜色 3 17 5 2 2 2" xfId="20270"/>
    <cellStyle name="60% - 强调文字颜色 3 17 5 2 2 3" xfId="12920"/>
    <cellStyle name="60% - 强调文字颜色 3 17 5 2 3" xfId="21730"/>
    <cellStyle name="60% - 强调文字颜色 3 17 5 2 4" xfId="13422"/>
    <cellStyle name="60% - 强调文字颜色 3 17 5 2 5" xfId="7095"/>
    <cellStyle name="60% - 强调文字颜色 3 17 5 2 6" xfId="7289"/>
    <cellStyle name="60% - 强调文字颜色 3 17 5 2 7" xfId="7369"/>
    <cellStyle name="60% - 强调文字颜色 3 17 5 2 8" xfId="7438"/>
    <cellStyle name="60% - 强调文字颜色 3 17 5 3" xfId="18105"/>
    <cellStyle name="60% - 强调文字颜色 3 17 5 4" xfId="18108"/>
    <cellStyle name="60% - 强调文字颜色 3 17 5 5" xfId="22037"/>
    <cellStyle name="60% - 强调文字颜色 3 17 5 6" xfId="22038"/>
    <cellStyle name="60% - 强调文字颜色 3 17 5 6 2" xfId="22039"/>
    <cellStyle name="60% - 强调文字颜色 3 17 5 6 3" xfId="22041"/>
    <cellStyle name="60% - 强调文字颜色 3 17 5 7" xfId="22044"/>
    <cellStyle name="60% - 强调文字颜色 3 17 5 8" xfId="22046"/>
    <cellStyle name="60% - 强调文字颜色 3 17 5 9" xfId="22047"/>
    <cellStyle name="60% - 强调文字颜色 3 17 6" xfId="22048"/>
    <cellStyle name="60% - 强调文字颜色 3 17 6 2" xfId="22049"/>
    <cellStyle name="60% - 强调文字颜色 3 17 6 2 2" xfId="22051"/>
    <cellStyle name="60% - 强调文字颜色 3 17 6 2 3" xfId="22053"/>
    <cellStyle name="60% - 强调文字颜色 3 17 6 3" xfId="22054"/>
    <cellStyle name="60% - 强调文字颜色 3 17 6 4" xfId="22055"/>
    <cellStyle name="60% - 强调文字颜色 3 17 6 5" xfId="22056"/>
    <cellStyle name="60% - 强调文字颜色 3 17 6 6" xfId="22057"/>
    <cellStyle name="60% - 强调文字颜色 3 17 6 7" xfId="22058"/>
    <cellStyle name="60% - 强调文字颜色 3 17 6 8" xfId="22059"/>
    <cellStyle name="60% - 强调文字颜色 3 17 7" xfId="22060"/>
    <cellStyle name="60% - 强调文字颜色 3 17 8" xfId="22061"/>
    <cellStyle name="60% - 强调文字颜色 3 17 9" xfId="22062"/>
    <cellStyle name="60% - 强调文字颜色 3 17 9 2" xfId="22063"/>
    <cellStyle name="60% - 强调文字颜色 3 17 9 3" xfId="22064"/>
    <cellStyle name="60% - 强调文字颜色 3 18" xfId="1316"/>
    <cellStyle name="60% - 强调文字颜色 3 18 10" xfId="1324"/>
    <cellStyle name="60% - 强调文字颜色 3 18 11" xfId="1335"/>
    <cellStyle name="60% - 强调文字颜色 3 18 12" xfId="1347"/>
    <cellStyle name="60% - 强调文字颜色 3 18 13" xfId="263"/>
    <cellStyle name="60% - 强调文字颜色 3 18 14" xfId="1366"/>
    <cellStyle name="60% - 强调文字颜色 3 18 2" xfId="1378"/>
    <cellStyle name="60% - 强调文字颜色 3 18 3" xfId="1390"/>
    <cellStyle name="60% - 强调文字颜色 3 18 4" xfId="1404"/>
    <cellStyle name="60% - 强调文字颜色 3 18 5" xfId="1419"/>
    <cellStyle name="60% - 强调文字颜色 3 18 5 10" xfId="1427"/>
    <cellStyle name="60% - 强调文字颜色 3 18 5 11" xfId="1458"/>
    <cellStyle name="60% - 强调文字颜色 3 18 5 2" xfId="1477"/>
    <cellStyle name="60% - 强调文字颜色 3 18 5 2 2" xfId="1489"/>
    <cellStyle name="60% - 强调文字颜色 3 18 5 2 2 2" xfId="1510"/>
    <cellStyle name="60% - 强调文字颜色 3 18 5 2 2 3" xfId="1523"/>
    <cellStyle name="60% - 强调文字颜色 3 18 5 2 3" xfId="234"/>
    <cellStyle name="60% - 强调文字颜色 3 18 5 2 4" xfId="1530"/>
    <cellStyle name="60% - 强调文字颜色 3 18 5 2 5" xfId="1538"/>
    <cellStyle name="60% - 强调文字颜色 3 18 5 2 6" xfId="1545"/>
    <cellStyle name="60% - 强调文字颜色 3 18 5 2 7" xfId="1556"/>
    <cellStyle name="60% - 强调文字颜色 3 18 5 2 8" xfId="1564"/>
    <cellStyle name="60% - 强调文字颜色 3 18 5 3" xfId="1569"/>
    <cellStyle name="60% - 强调文字颜色 3 18 5 4" xfId="1587"/>
    <cellStyle name="60% - 强调文字颜色 3 18 5 5" xfId="1603"/>
    <cellStyle name="60% - 强调文字颜色 3 18 5 6" xfId="1619"/>
    <cellStyle name="60% - 强调文字颜色 3 18 5 6 2" xfId="1625"/>
    <cellStyle name="60% - 强调文字颜色 3 18 5 6 3" xfId="444"/>
    <cellStyle name="60% - 强调文字颜色 3 18 5 7" xfId="1642"/>
    <cellStyle name="60% - 强调文字颜色 3 18 5 8" xfId="1657"/>
    <cellStyle name="60% - 强调文字颜色 3 18 5 9" xfId="1672"/>
    <cellStyle name="60% - 强调文字颜色 3 18 6" xfId="1683"/>
    <cellStyle name="60% - 强调文字颜色 3 18 6 2" xfId="1693"/>
    <cellStyle name="60% - 强调文字颜色 3 18 6 2 2" xfId="1716"/>
    <cellStyle name="60% - 强调文字颜色 3 18 6 2 3" xfId="1739"/>
    <cellStyle name="60% - 强调文字颜色 3 18 6 3" xfId="1746"/>
    <cellStyle name="60% - 强调文字颜色 3 18 6 4" xfId="1756"/>
    <cellStyle name="60% - 强调文字颜色 3 18 6 5" xfId="1766"/>
    <cellStyle name="60% - 强调文字颜色 3 18 6 6" xfId="388"/>
    <cellStyle name="60% - 强调文字颜色 3 18 6 7" xfId="1776"/>
    <cellStyle name="60% - 强调文字颜色 3 18 6 8" xfId="1780"/>
    <cellStyle name="60% - 强调文字颜色 3 18 7" xfId="1792"/>
    <cellStyle name="60% - 强调文字颜色 3 18 8" xfId="1806"/>
    <cellStyle name="60% - 强调文字颜色 3 18 9" xfId="1825"/>
    <cellStyle name="60% - 强调文字颜色 3 18 9 2" xfId="1853"/>
    <cellStyle name="60% - 强调文字颜色 3 18 9 3" xfId="1877"/>
    <cellStyle name="60% - 强调文字颜色 3 19" xfId="1885"/>
    <cellStyle name="60% - 强调文字颜色 3 2" xfId="10259"/>
    <cellStyle name="60% - 强调文字颜色 3 2 10" xfId="22065"/>
    <cellStyle name="60% - 强调文字颜色 3 2 11" xfId="22067"/>
    <cellStyle name="60% - 强调文字颜色 3 2 12" xfId="22069"/>
    <cellStyle name="60% - 强调文字颜色 3 2 13" xfId="22071"/>
    <cellStyle name="60% - 强调文字颜色 3 2 14" xfId="22073"/>
    <cellStyle name="60% - 强调文字颜色 3 2 15" xfId="22076"/>
    <cellStyle name="60% - 强调文字颜色 3 2 16" xfId="22077"/>
    <cellStyle name="60% - 强调文字颜色 3 2 17" xfId="22080"/>
    <cellStyle name="60% - 强调文字颜色 3 2 17 10" xfId="4638"/>
    <cellStyle name="60% - 强调文字颜色 3 2 17 11" xfId="4641"/>
    <cellStyle name="60% - 强调文字颜色 3 2 17 12" xfId="22081"/>
    <cellStyle name="60% - 强调文字颜色 3 2 17 13" xfId="22083"/>
    <cellStyle name="60% - 强调文字颜色 3 2 17 14" xfId="22085"/>
    <cellStyle name="60% - 强调文字颜色 3 2 17 2" xfId="22088"/>
    <cellStyle name="60% - 强调文字颜色 3 2 17 3" xfId="22092"/>
    <cellStyle name="60% - 强调文字颜色 3 2 17 4" xfId="22095"/>
    <cellStyle name="60% - 强调文字颜色 3 2 17 5" xfId="22097"/>
    <cellStyle name="60% - 强调文字颜色 3 2 17 5 10" xfId="22104"/>
    <cellStyle name="60% - 强调文字颜色 3 2 17 5 11" xfId="22109"/>
    <cellStyle name="60% - 强调文字颜色 3 2 17 5 2" xfId="22113"/>
    <cellStyle name="60% - 强调文字颜色 3 2 17 5 2 2" xfId="22117"/>
    <cellStyle name="60% - 强调文字颜色 3 2 17 5 2 2 2" xfId="22118"/>
    <cellStyle name="60% - 强调文字颜色 3 2 17 5 2 2 3" xfId="22119"/>
    <cellStyle name="60% - 强调文字颜色 3 2 17 5 2 3" xfId="22122"/>
    <cellStyle name="60% - 强调文字颜色 3 2 17 5 2 4" xfId="22125"/>
    <cellStyle name="60% - 强调文字颜色 3 2 17 5 2 5" xfId="22129"/>
    <cellStyle name="60% - 强调文字颜色 3 2 17 5 2 6" xfId="22133"/>
    <cellStyle name="60% - 强调文字颜色 3 2 17 5 2 7" xfId="22136"/>
    <cellStyle name="60% - 强调文字颜色 3 2 17 5 2 8" xfId="19868"/>
    <cellStyle name="60% - 强调文字颜色 3 2 17 5 3" xfId="22138"/>
    <cellStyle name="60% - 强调文字颜色 3 2 17 5 4" xfId="14752"/>
    <cellStyle name="60% - 强调文字颜色 3 2 17 5 5" xfId="14756"/>
    <cellStyle name="60% - 强调文字颜色 3 2 17 5 6" xfId="14760"/>
    <cellStyle name="60% - 强调文字颜色 3 2 17 5 6 2" xfId="22143"/>
    <cellStyle name="60% - 强调文字颜色 3 2 17 5 6 3" xfId="22145"/>
    <cellStyle name="60% - 强调文字颜色 3 2 17 5 7" xfId="14763"/>
    <cellStyle name="60% - 强调文字颜色 3 2 17 5 8" xfId="14765"/>
    <cellStyle name="60% - 强调文字颜色 3 2 17 5 9" xfId="14767"/>
    <cellStyle name="60% - 强调文字颜色 3 2 17 6" xfId="22146"/>
    <cellStyle name="60% - 强调文字颜色 3 2 17 6 2" xfId="19751"/>
    <cellStyle name="60% - 强调文字颜色 3 2 17 6 2 2" xfId="18488"/>
    <cellStyle name="60% - 强调文字颜色 3 2 17 6 2 3" xfId="18490"/>
    <cellStyle name="60% - 强调文字颜色 3 2 17 6 3" xfId="19754"/>
    <cellStyle name="60% - 强调文字颜色 3 2 17 6 4" xfId="19758"/>
    <cellStyle name="60% - 强调文字颜色 3 2 17 6 5" xfId="19761"/>
    <cellStyle name="60% - 强调文字颜色 3 2 17 6 6" xfId="11646"/>
    <cellStyle name="60% - 强调文字颜色 3 2 17 6 7" xfId="11648"/>
    <cellStyle name="60% - 强调文字颜色 3 2 17 6 8" xfId="22148"/>
    <cellStyle name="60% - 强调文字颜色 3 2 17 7" xfId="22149"/>
    <cellStyle name="60% - 强调文字颜色 3 2 17 8" xfId="22151"/>
    <cellStyle name="60% - 强调文字颜色 3 2 17 9" xfId="22152"/>
    <cellStyle name="60% - 强调文字颜色 3 2 17 9 2" xfId="385"/>
    <cellStyle name="60% - 强调文字颜色 3 2 17 9 3" xfId="1774"/>
    <cellStyle name="60% - 强调文字颜色 3 2 18" xfId="22156"/>
    <cellStyle name="60% - 强调文字颜色 3 2 18 10" xfId="22159"/>
    <cellStyle name="60% - 强调文字颜色 3 2 18 11" xfId="22162"/>
    <cellStyle name="60% - 强调文字颜色 3 2 18 12" xfId="22164"/>
    <cellStyle name="60% - 强调文字颜色 3 2 18 13" xfId="22166"/>
    <cellStyle name="60% - 强调文字颜色 3 2 18 14" xfId="22168"/>
    <cellStyle name="60% - 强调文字颜色 3 2 18 2" xfId="22170"/>
    <cellStyle name="60% - 强调文字颜色 3 2 18 3" xfId="22172"/>
    <cellStyle name="60% - 强调文字颜色 3 2 18 4" xfId="22174"/>
    <cellStyle name="60% - 强调文字颜色 3 2 18 5" xfId="22175"/>
    <cellStyle name="60% - 强调文字颜色 3 2 18 5 10" xfId="22178"/>
    <cellStyle name="60% - 强调文字颜色 3 2 18 5 11" xfId="22180"/>
    <cellStyle name="60% - 强调文字颜色 3 2 18 5 2" xfId="21907"/>
    <cellStyle name="60% - 强调文字颜色 3 2 18 5 2 2" xfId="7720"/>
    <cellStyle name="60% - 强调文字颜色 3 2 18 5 2 2 2" xfId="21154"/>
    <cellStyle name="60% - 强调文字颜色 3 2 18 5 2 2 3" xfId="18606"/>
    <cellStyle name="60% - 强调文字颜色 3 2 18 5 2 3" xfId="7724"/>
    <cellStyle name="60% - 强调文字颜色 3 2 18 5 2 4" xfId="7727"/>
    <cellStyle name="60% - 强调文字颜色 3 2 18 5 2 5" xfId="22181"/>
    <cellStyle name="60% - 强调文字颜色 3 2 18 5 2 6" xfId="22182"/>
    <cellStyle name="60% - 强调文字颜色 3 2 18 5 2 7" xfId="22183"/>
    <cellStyle name="60% - 强调文字颜色 3 2 18 5 2 8" xfId="17811"/>
    <cellStyle name="60% - 强调文字颜色 3 2 18 5 3" xfId="695"/>
    <cellStyle name="60% - 强调文字颜色 3 2 18 5 4" xfId="729"/>
    <cellStyle name="60% - 强调文字颜色 3 2 18 5 5" xfId="754"/>
    <cellStyle name="60% - 强调文字颜色 3 2 18 5 6" xfId="1280"/>
    <cellStyle name="60% - 强调文字颜色 3 2 18 5 6 2" xfId="22184"/>
    <cellStyle name="60% - 强调文字颜色 3 2 18 5 6 3" xfId="22185"/>
    <cellStyle name="60% - 强调文字颜色 3 2 18 5 7" xfId="1292"/>
    <cellStyle name="60% - 强调文字颜色 3 2 18 5 8" xfId="1303"/>
    <cellStyle name="60% - 强调文字颜色 3 2 18 5 9" xfId="1314"/>
    <cellStyle name="60% - 强调文字颜色 3 2 18 6" xfId="22186"/>
    <cellStyle name="60% - 强调文字颜色 3 2 18 6 2" xfId="22188"/>
    <cellStyle name="60% - 强调文字颜色 3 2 18 6 2 2" xfId="4586"/>
    <cellStyle name="60% - 强调文字颜色 3 2 18 6 2 3" xfId="21216"/>
    <cellStyle name="60% - 强调文字颜色 3 2 18 6 3" xfId="22191"/>
    <cellStyle name="60% - 强调文字颜色 3 2 18 6 4" xfId="22194"/>
    <cellStyle name="60% - 强调文字颜色 3 2 18 6 5" xfId="22196"/>
    <cellStyle name="60% - 强调文字颜色 3 2 18 6 6" xfId="22197"/>
    <cellStyle name="60% - 强调文字颜色 3 2 18 6 7" xfId="22198"/>
    <cellStyle name="60% - 强调文字颜色 3 2 18 6 8" xfId="22199"/>
    <cellStyle name="60% - 强调文字颜色 3 2 18 7" xfId="22200"/>
    <cellStyle name="60% - 强调文字颜色 3 2 18 8" xfId="22201"/>
    <cellStyle name="60% - 强调文字颜色 3 2 18 9" xfId="14671"/>
    <cellStyle name="60% - 强调文字颜色 3 2 18 9 2" xfId="836"/>
    <cellStyle name="60% - 强调文字颜色 3 2 18 9 3" xfId="863"/>
    <cellStyle name="60% - 强调文字颜色 3 2 19" xfId="22205"/>
    <cellStyle name="60% - 强调文字颜色 3 2 19 10" xfId="6496"/>
    <cellStyle name="60% - 强调文字颜色 3 2 19 11" xfId="5861"/>
    <cellStyle name="60% - 强调文字颜色 3 2 19 12" xfId="22206"/>
    <cellStyle name="60% - 强调文字颜色 3 2 19 13" xfId="22207"/>
    <cellStyle name="60% - 强调文字颜色 3 2 19 14" xfId="22209"/>
    <cellStyle name="60% - 强调文字颜色 3 2 19 2" xfId="22213"/>
    <cellStyle name="60% - 强调文字颜色 3 2 19 3" xfId="4834"/>
    <cellStyle name="60% - 强调文字颜色 3 2 19 4" xfId="4856"/>
    <cellStyle name="60% - 强调文字颜色 3 2 19 5" xfId="11809"/>
    <cellStyle name="60% - 强调文字颜色 3 2 19 5 10" xfId="4379"/>
    <cellStyle name="60% - 强调文字颜色 3 2 19 5 11" xfId="4393"/>
    <cellStyle name="60% - 强调文字颜色 3 2 19 5 2" xfId="22215"/>
    <cellStyle name="60% - 强调文字颜色 3 2 19 5 2 2" xfId="22219"/>
    <cellStyle name="60% - 强调文字颜色 3 2 19 5 2 2 2" xfId="22220"/>
    <cellStyle name="60% - 强调文字颜色 3 2 19 5 2 2 3" xfId="22222"/>
    <cellStyle name="60% - 强调文字颜色 3 2 19 5 2 3" xfId="22225"/>
    <cellStyle name="60% - 强调文字颜色 3 2 19 5 2 4" xfId="22229"/>
    <cellStyle name="60% - 强调文字颜色 3 2 19 5 2 5" xfId="22235"/>
    <cellStyle name="60% - 强调文字颜色 3 2 19 5 2 6" xfId="8499"/>
    <cellStyle name="60% - 强调文字颜色 3 2 19 5 2 7" xfId="8502"/>
    <cellStyle name="60% - 强调文字颜色 3 2 19 5 2 8" xfId="22237"/>
    <cellStyle name="60% - 强调文字颜色 3 2 19 5 3" xfId="13280"/>
    <cellStyle name="60% - 强调文字颜色 3 2 19 5 4" xfId="13284"/>
    <cellStyle name="60% - 强调文字颜色 3 2 19 5 5" xfId="13287"/>
    <cellStyle name="60% - 强调文字颜色 3 2 19 5 6" xfId="13357"/>
    <cellStyle name="60% - 强调文字颜色 3 2 19 5 6 2" xfId="22239"/>
    <cellStyle name="60% - 强调文字颜色 3 2 19 5 6 3" xfId="22240"/>
    <cellStyle name="60% - 强调文字颜色 3 2 19 5 7" xfId="13359"/>
    <cellStyle name="60% - 强调文字颜色 3 2 19 5 8" xfId="13361"/>
    <cellStyle name="60% - 强调文字颜色 3 2 19 5 9" xfId="13367"/>
    <cellStyle name="60% - 强调文字颜色 3 2 19 6" xfId="11811"/>
    <cellStyle name="60% - 强调文字颜色 3 2 19 6 2" xfId="8609"/>
    <cellStyle name="60% - 强调文字颜色 3 2 19 6 2 2" xfId="11821"/>
    <cellStyle name="60% - 强调文字颜色 3 2 19 6 2 3" xfId="11829"/>
    <cellStyle name="60% - 强调文字颜色 3 2 19 6 3" xfId="11850"/>
    <cellStyle name="60% - 强调文字颜色 3 2 19 6 4" xfId="9138"/>
    <cellStyle name="60% - 强调文字颜色 3 2 19 6 5" xfId="9148"/>
    <cellStyle name="60% - 强调文字颜色 3 2 19 6 6" xfId="11425"/>
    <cellStyle name="60% - 强调文字颜色 3 2 19 6 7" xfId="8732"/>
    <cellStyle name="60% - 强调文字颜色 3 2 19 6 8" xfId="8740"/>
    <cellStyle name="60% - 强调文字颜色 3 2 19 7" xfId="11865"/>
    <cellStyle name="60% - 强调文字颜色 3 2 19 8" xfId="11457"/>
    <cellStyle name="60% - 强调文字颜色 3 2 19 9" xfId="11468"/>
    <cellStyle name="60% - 强调文字颜色 3 2 19 9 2" xfId="1134"/>
    <cellStyle name="60% - 强调文字颜色 3 2 19 9 3" xfId="1150"/>
    <cellStyle name="60% - 强调文字颜色 3 2 2" xfId="13465"/>
    <cellStyle name="60% - 强调文字颜色 3 2 2 10" xfId="22241"/>
    <cellStyle name="60% - 强调文字颜色 3 2 2 11" xfId="22243"/>
    <cellStyle name="60% - 强调文字颜色 3 2 2 12" xfId="7584"/>
    <cellStyle name="60% - 强调文字颜色 3 2 2 13" xfId="7396"/>
    <cellStyle name="60% - 强调文字颜色 3 2 2 14" xfId="7410"/>
    <cellStyle name="60% - 强调文字颜色 3 2 2 2" xfId="22244"/>
    <cellStyle name="60% - 强调文字颜色 3 2 2 3" xfId="22246"/>
    <cellStyle name="60% - 强调文字颜色 3 2 2 4" xfId="22248"/>
    <cellStyle name="60% - 强调文字颜色 3 2 2 5" xfId="22252"/>
    <cellStyle name="60% - 强调文字颜色 3 2 2 6" xfId="22255"/>
    <cellStyle name="60% - 强调文字颜色 3 2 2 7" xfId="22257"/>
    <cellStyle name="60% - 强调文字颜色 3 2 2 8" xfId="22258"/>
    <cellStyle name="60% - 强调文字颜色 3 2 2 9" xfId="22259"/>
    <cellStyle name="60% - 强调文字颜色 3 2 20" xfId="22075"/>
    <cellStyle name="60% - 强调文字颜色 3 2 20 10" xfId="10944"/>
    <cellStyle name="60% - 强调文字颜色 3 2 20 11" xfId="22261"/>
    <cellStyle name="60% - 强调文字颜色 3 2 20 12" xfId="22263"/>
    <cellStyle name="60% - 强调文字颜色 3 2 20 13" xfId="22264"/>
    <cellStyle name="60% - 强调文字颜色 3 2 20 14" xfId="22266"/>
    <cellStyle name="60% - 强调文字颜色 3 2 20 2" xfId="18071"/>
    <cellStyle name="60% - 强调文字颜色 3 2 20 3" xfId="11687"/>
    <cellStyle name="60% - 强调文字颜色 3 2 20 4" xfId="11690"/>
    <cellStyle name="60% - 强调文字颜色 3 2 20 5" xfId="11693"/>
    <cellStyle name="60% - 强调文字颜色 3 2 20 5 10" xfId="22268"/>
    <cellStyle name="60% - 强调文字颜色 3 2 20 5 11" xfId="22270"/>
    <cellStyle name="60% - 强调文字颜色 3 2 20 5 2" xfId="20305"/>
    <cellStyle name="60% - 强调文字颜色 3 2 20 5 2 2" xfId="22271"/>
    <cellStyle name="60% - 强调文字颜色 3 2 20 5 2 2 2" xfId="22272"/>
    <cellStyle name="60% - 强调文字颜色 3 2 20 5 2 2 3" xfId="22273"/>
    <cellStyle name="60% - 强调文字颜色 3 2 20 5 2 3" xfId="22274"/>
    <cellStyle name="60% - 强调文字颜色 3 2 20 5 2 4" xfId="22275"/>
    <cellStyle name="60% - 强调文字颜色 3 2 20 5 2 5" xfId="22278"/>
    <cellStyle name="60% - 强调文字颜色 3 2 20 5 2 6" xfId="22282"/>
    <cellStyle name="60% - 强调文字颜色 3 2 20 5 2 7" xfId="22284"/>
    <cellStyle name="60% - 强调文字颜色 3 2 20 5 2 8" xfId="15452"/>
    <cellStyle name="60% - 强调文字颜色 3 2 20 5 3" xfId="20311"/>
    <cellStyle name="60% - 强调文字颜色 3 2 20 5 4" xfId="4439"/>
    <cellStyle name="60% - 强调文字颜色 3 2 20 5 5" xfId="4455"/>
    <cellStyle name="60% - 强调文字颜色 3 2 20 5 6" xfId="4471"/>
    <cellStyle name="60% - 强调文字颜色 3 2 20 5 6 2" xfId="22287"/>
    <cellStyle name="60% - 强调文字颜色 3 2 20 5 6 3" xfId="22290"/>
    <cellStyle name="60% - 强调文字颜色 3 2 20 5 7" xfId="4483"/>
    <cellStyle name="60% - 强调文字颜色 3 2 20 5 8" xfId="4497"/>
    <cellStyle name="60% - 强调文字颜色 3 2 20 5 9" xfId="4507"/>
    <cellStyle name="60% - 强调文字颜色 3 2 20 6" xfId="7534"/>
    <cellStyle name="60% - 强调文字颜色 3 2 20 6 2" xfId="11371"/>
    <cellStyle name="60% - 强调文字颜色 3 2 20 6 2 2" xfId="10698"/>
    <cellStyle name="60% - 强调文字颜色 3 2 20 6 2 3" xfId="11709"/>
    <cellStyle name="60% - 强调文字颜色 3 2 20 6 3" xfId="7104"/>
    <cellStyle name="60% - 强调文字颜色 3 2 20 6 4" xfId="7117"/>
    <cellStyle name="60% - 强调文字颜色 3 2 20 6 5" xfId="7124"/>
    <cellStyle name="60% - 强调文字颜色 3 2 20 6 6" xfId="7130"/>
    <cellStyle name="60% - 强调文字颜色 3 2 20 6 7" xfId="7138"/>
    <cellStyle name="60% - 强调文字颜色 3 2 20 6 8" xfId="11417"/>
    <cellStyle name="60% - 强调文字颜色 3 2 20 7" xfId="7546"/>
    <cellStyle name="60% - 强调文字颜色 3 2 20 8" xfId="11754"/>
    <cellStyle name="60% - 强调文字颜色 3 2 20 9" xfId="11764"/>
    <cellStyle name="60% - 强调文字颜色 3 2 20 9 2" xfId="22005"/>
    <cellStyle name="60% - 强调文字颜色 3 2 20 9 3" xfId="22009"/>
    <cellStyle name="60% - 强调文字颜色 3 2 3" xfId="13471"/>
    <cellStyle name="60% - 强调文字颜色 3 2 3 10" xfId="22292"/>
    <cellStyle name="60% - 强调文字颜色 3 2 3 11" xfId="22294"/>
    <cellStyle name="60% - 强调文字颜色 3 2 3 12" xfId="22296"/>
    <cellStyle name="60% - 强调文字颜色 3 2 3 13" xfId="22298"/>
    <cellStyle name="60% - 强调文字颜色 3 2 3 14" xfId="22300"/>
    <cellStyle name="60% - 强调文字颜色 3 2 3 2" xfId="22301"/>
    <cellStyle name="60% - 强调文字颜色 3 2 3 3" xfId="22302"/>
    <cellStyle name="60% - 强调文字颜色 3 2 3 4" xfId="22303"/>
    <cellStyle name="60% - 强调文字颜色 3 2 3 5" xfId="22304"/>
    <cellStyle name="60% - 强调文字颜色 3 2 3 6" xfId="22305"/>
    <cellStyle name="60% - 强调文字颜色 3 2 3 7" xfId="22306"/>
    <cellStyle name="60% - 强调文字颜色 3 2 3 8" xfId="22307"/>
    <cellStyle name="60% - 强调文字颜色 3 2 3 9" xfId="22308"/>
    <cellStyle name="60% - 强调文字颜色 3 2 4" xfId="21505"/>
    <cellStyle name="60% - 强调文字颜色 3 2 4 10" xfId="22310"/>
    <cellStyle name="60% - 强调文字颜色 3 2 4 11" xfId="364"/>
    <cellStyle name="60% - 强调文字颜色 3 2 4 12" xfId="21831"/>
    <cellStyle name="60% - 强调文字颜色 3 2 4 13" xfId="21834"/>
    <cellStyle name="60% - 强调文字颜色 3 2 4 14" xfId="20089"/>
    <cellStyle name="60% - 强调文字颜色 3 2 4 2" xfId="16338"/>
    <cellStyle name="60% - 强调文字颜色 3 2 4 3" xfId="16341"/>
    <cellStyle name="60% - 强调文字颜色 3 2 4 4" xfId="929"/>
    <cellStyle name="60% - 强调文字颜色 3 2 4 5" xfId="967"/>
    <cellStyle name="60% - 强调文字颜色 3 2 4 6" xfId="22312"/>
    <cellStyle name="60% - 强调文字颜色 3 2 4 7" xfId="22313"/>
    <cellStyle name="60% - 强调文字颜色 3 2 4 8" xfId="22314"/>
    <cellStyle name="60% - 强调文字颜色 3 2 4 9" xfId="22316"/>
    <cellStyle name="60% - 强调文字颜色 3 2 5" xfId="21510"/>
    <cellStyle name="60% - 强调文字颜色 3 2 6" xfId="21516"/>
    <cellStyle name="60% - 强调文字颜色 3 2 7" xfId="21519"/>
    <cellStyle name="60% - 强调文字颜色 3 2 8" xfId="21521"/>
    <cellStyle name="60% - 强调文字颜色 3 2 9" xfId="21523"/>
    <cellStyle name="60% - 强调文字颜色 3 3" xfId="13477"/>
    <cellStyle name="60% - 强调文字颜色 3 3 10" xfId="22318"/>
    <cellStyle name="60% - 强调文字颜色 3 3 11" xfId="22321"/>
    <cellStyle name="60% - 强调文字颜色 3 3 12" xfId="22323"/>
    <cellStyle name="60% - 强调文字颜色 3 3 13" xfId="22325"/>
    <cellStyle name="60% - 强调文字颜色 3 3 14" xfId="22327"/>
    <cellStyle name="60% - 强调文字颜色 3 3 15" xfId="22330"/>
    <cellStyle name="60% - 强调文字颜色 3 3 16" xfId="22331"/>
    <cellStyle name="60% - 强调文字颜色 3 3 17" xfId="22332"/>
    <cellStyle name="60% - 强调文字颜色 3 3 17 10" xfId="22333"/>
    <cellStyle name="60% - 强调文字颜色 3 3 17 11" xfId="22336"/>
    <cellStyle name="60% - 强调文字颜色 3 3 17 12" xfId="22338"/>
    <cellStyle name="60% - 强调文字颜色 3 3 17 13" xfId="22339"/>
    <cellStyle name="60% - 强调文字颜色 3 3 17 14" xfId="22340"/>
    <cellStyle name="60% - 强调文字颜色 3 3 17 2" xfId="12705"/>
    <cellStyle name="60% - 强调文字颜色 3 3 17 2 2" xfId="7344"/>
    <cellStyle name="60% - 强调文字颜色 3 3 17 3" xfId="12707"/>
    <cellStyle name="60% - 强调文字颜色 3 3 17 4" xfId="22341"/>
    <cellStyle name="60% - 强调文字颜色 3 3 17 5" xfId="22342"/>
    <cellStyle name="60% - 强调文字颜色 3 3 17 5 10" xfId="22347"/>
    <cellStyle name="60% - 强调文字颜色 3 3 17 5 11" xfId="20005"/>
    <cellStyle name="60% - 强调文字颜色 3 3 17 5 2" xfId="22348"/>
    <cellStyle name="60% - 强调文字颜色 3 3 17 5 2 2" xfId="19235"/>
    <cellStyle name="60% - 强调文字颜色 3 3 17 5 2 2 2" xfId="22349"/>
    <cellStyle name="60% - 强调文字颜色 3 3 17 5 2 2 3" xfId="22351"/>
    <cellStyle name="60% - 强调文字颜色 3 3 17 5 2 3" xfId="22354"/>
    <cellStyle name="60% - 强调文字颜色 3 3 17 5 2 4" xfId="22357"/>
    <cellStyle name="60% - 强调文字颜色 3 3 17 5 2 5" xfId="22360"/>
    <cellStyle name="60% - 强调文字颜色 3 3 17 5 2 6" xfId="22364"/>
    <cellStyle name="60% - 强调文字颜色 3 3 17 5 2 7" xfId="22367"/>
    <cellStyle name="60% - 强调文字颜色 3 3 17 5 2 8" xfId="22370"/>
    <cellStyle name="60% - 强调文字颜色 3 3 17 5 3" xfId="22371"/>
    <cellStyle name="60% - 强调文字颜色 3 3 17 5 4" xfId="22372"/>
    <cellStyle name="60% - 强调文字颜色 3 3 17 5 5" xfId="22373"/>
    <cellStyle name="60% - 强调文字颜色 3 3 17 5 6" xfId="21404"/>
    <cellStyle name="60% - 强调文字颜色 3 3 17 5 6 2" xfId="22376"/>
    <cellStyle name="60% - 强调文字颜色 3 3 17 5 6 3" xfId="22379"/>
    <cellStyle name="60% - 强调文字颜色 3 3 17 5 7" xfId="21409"/>
    <cellStyle name="60% - 强调文字颜色 3 3 17 5 8" xfId="22381"/>
    <cellStyle name="60% - 强调文字颜色 3 3 17 5 9" xfId="22383"/>
    <cellStyle name="60% - 强调文字颜色 3 3 17 6" xfId="22386"/>
    <cellStyle name="60% - 强调文字颜色 3 3 17 6 2" xfId="22387"/>
    <cellStyle name="60% - 强调文字颜色 3 3 17 6 2 2" xfId="22388"/>
    <cellStyle name="60% - 强调文字颜色 3 3 17 6 2 3" xfId="22389"/>
    <cellStyle name="60% - 强调文字颜色 3 3 17 6 3" xfId="22390"/>
    <cellStyle name="60% - 强调文字颜色 3 3 17 6 4" xfId="22391"/>
    <cellStyle name="60% - 强调文字颜色 3 3 17 6 5" xfId="22393"/>
    <cellStyle name="60% - 强调文字颜色 3 3 17 6 6" xfId="22394"/>
    <cellStyle name="60% - 强调文字颜色 3 3 17 6 7" xfId="3144"/>
    <cellStyle name="60% - 强调文字颜色 3 3 17 6 8" xfId="3156"/>
    <cellStyle name="60% - 强调文字颜色 3 3 17 7" xfId="21606"/>
    <cellStyle name="60% - 强调文字颜色 3 3 17 8" xfId="21608"/>
    <cellStyle name="60% - 强调文字颜色 3 3 17 9" xfId="22396"/>
    <cellStyle name="60% - 强调文字颜色 3 3 17 9 2" xfId="5546"/>
    <cellStyle name="60% - 强调文字颜色 3 3 17 9 3" xfId="5552"/>
    <cellStyle name="60% - 强调文字颜色 3 3 18" xfId="22397"/>
    <cellStyle name="60% - 强调文字颜色 3 3 18 10" xfId="18506"/>
    <cellStyle name="60% - 强调文字颜色 3 3 18 11" xfId="22399"/>
    <cellStyle name="60% - 强调文字颜色 3 3 18 12" xfId="22400"/>
    <cellStyle name="60% - 强调文字颜色 3 3 18 13" xfId="22401"/>
    <cellStyle name="60% - 强调文字颜色 3 3 18 14" xfId="22402"/>
    <cellStyle name="60% - 强调文字颜色 3 3 18 2" xfId="22404"/>
    <cellStyle name="60% - 强调文字颜色 3 3 18 3" xfId="22406"/>
    <cellStyle name="60% - 强调文字颜色 3 3 18 4" xfId="22408"/>
    <cellStyle name="60% - 强调文字颜色 3 3 18 5" xfId="22411"/>
    <cellStyle name="60% - 强调文字颜色 3 3 18 5 10" xfId="10370"/>
    <cellStyle name="60% - 强调文字颜色 3 3 18 5 11" xfId="10376"/>
    <cellStyle name="60% - 强调文字颜色 3 3 18 5 2" xfId="5201"/>
    <cellStyle name="60% - 强调文字颜色 3 3 18 5 2 2" xfId="20829"/>
    <cellStyle name="60% - 强调文字颜色 3 3 18 5 2 2 2" xfId="22413"/>
    <cellStyle name="60% - 强调文字颜色 3 3 18 5 2 2 3" xfId="19652"/>
    <cellStyle name="60% - 强调文字颜色 3 3 18 5 2 3" xfId="22415"/>
    <cellStyle name="60% - 强调文字颜色 3 3 18 5 2 4" xfId="22416"/>
    <cellStyle name="60% - 强调文字颜色 3 3 18 5 2 5" xfId="22417"/>
    <cellStyle name="60% - 强调文字颜色 3 3 18 5 2 6" xfId="22419"/>
    <cellStyle name="60% - 强调文字颜色 3 3 18 5 2 7" xfId="22420"/>
    <cellStyle name="60% - 强调文字颜色 3 3 18 5 2 8" xfId="18921"/>
    <cellStyle name="60% - 强调文字颜色 3 3 18 5 3" xfId="4956"/>
    <cellStyle name="60% - 强调文字颜色 3 3 18 5 4" xfId="4978"/>
    <cellStyle name="60% - 强调文字颜色 3 3 18 5 5" xfId="4988"/>
    <cellStyle name="60% - 强调文字颜色 3 3 18 5 6" xfId="3835"/>
    <cellStyle name="60% - 强调文字颜色 3 3 18 5 6 2" xfId="22421"/>
    <cellStyle name="60% - 强调文字颜色 3 3 18 5 6 3" xfId="22422"/>
    <cellStyle name="60% - 强调文字颜色 3 3 18 5 7" xfId="22424"/>
    <cellStyle name="60% - 强调文字颜色 3 3 18 5 8" xfId="22427"/>
    <cellStyle name="60% - 强调文字颜色 3 3 18 5 9" xfId="22429"/>
    <cellStyle name="60% - 强调文字颜色 3 3 18 6" xfId="22431"/>
    <cellStyle name="60% - 强调文字颜色 3 3 18 6 2" xfId="5223"/>
    <cellStyle name="60% - 强调文字颜色 3 3 18 6 2 2" xfId="3686"/>
    <cellStyle name="60% - 强调文字颜色 3 3 18 6 2 3" xfId="21981"/>
    <cellStyle name="60% - 强调文字颜色 3 3 18 6 3" xfId="2844"/>
    <cellStyle name="60% - 强调文字颜色 3 3 18 6 4" xfId="2866"/>
    <cellStyle name="60% - 强调文字颜色 3 3 18 6 5" xfId="2883"/>
    <cellStyle name="60% - 强调文字颜色 3 3 18 6 6" xfId="2899"/>
    <cellStyle name="60% - 强调文字颜色 3 3 18 6 7" xfId="2908"/>
    <cellStyle name="60% - 强调文字颜色 3 3 18 6 8" xfId="4347"/>
    <cellStyle name="60% - 强调文字颜色 3 3 18 7" xfId="22433"/>
    <cellStyle name="60% - 强调文字颜色 3 3 18 8" xfId="22434"/>
    <cellStyle name="60% - 强调文字颜色 3 3 18 9" xfId="22435"/>
    <cellStyle name="60% - 强调文字颜色 3 3 18 9 2" xfId="5835"/>
    <cellStyle name="60% - 强调文字颜色 3 3 18 9 3" xfId="5839"/>
    <cellStyle name="60% - 强调文字颜色 3 3 19" xfId="22436"/>
    <cellStyle name="60% - 强调文字颜色 3 3 19 10" xfId="21380"/>
    <cellStyle name="60% - 强调文字颜色 3 3 19 11" xfId="21382"/>
    <cellStyle name="60% - 强调文字颜色 3 3 19 12" xfId="21393"/>
    <cellStyle name="60% - 强调文字颜色 3 3 19 13" xfId="21399"/>
    <cellStyle name="60% - 强调文字颜色 3 3 19 14" xfId="21401"/>
    <cellStyle name="60% - 强调文字颜色 3 3 19 2" xfId="22438"/>
    <cellStyle name="60% - 强调文字颜色 3 3 19 3" xfId="13397"/>
    <cellStyle name="60% - 强调文字颜色 3 3 19 4" xfId="13401"/>
    <cellStyle name="60% - 强调文字颜色 3 3 19 5" xfId="13406"/>
    <cellStyle name="60% - 强调文字颜色 3 3 19 5 10" xfId="7184"/>
    <cellStyle name="60% - 强调文字颜色 3 3 19 5 11" xfId="7187"/>
    <cellStyle name="60% - 强调文字颜色 3 3 19 5 2" xfId="7901"/>
    <cellStyle name="60% - 强调文字颜色 3 3 19 5 2 2" xfId="21540"/>
    <cellStyle name="60% - 强调文字颜色 3 3 19 5 2 2 2" xfId="22423"/>
    <cellStyle name="60% - 强调文字颜色 3 3 19 5 2 2 3" xfId="22425"/>
    <cellStyle name="60% - 强调文字颜色 3 3 19 5 2 3" xfId="4311"/>
    <cellStyle name="60% - 强调文字颜色 3 3 19 5 2 4" xfId="4570"/>
    <cellStyle name="60% - 强调文字颜色 3 3 19 5 2 5" xfId="4596"/>
    <cellStyle name="60% - 强调文字颜色 3 3 19 5 2 6" xfId="4766"/>
    <cellStyle name="60% - 强调文字颜色 3 3 19 5 2 7" xfId="4778"/>
    <cellStyle name="60% - 强调文字颜色 3 3 19 5 2 8" xfId="4784"/>
    <cellStyle name="60% - 强调文字颜色 3 3 19 5 3" xfId="5623"/>
    <cellStyle name="60% - 强调文字颜色 3 3 19 5 4" xfId="5628"/>
    <cellStyle name="60% - 强调文字颜色 3 3 19 5 5" xfId="5633"/>
    <cellStyle name="60% - 强调文字颜色 3 3 19 5 6" xfId="5639"/>
    <cellStyle name="60% - 强调文字颜色 3 3 19 5 6 2" xfId="5658"/>
    <cellStyle name="60% - 强调文字颜色 3 3 19 5 6 3" xfId="5700"/>
    <cellStyle name="60% - 强调文字颜色 3 3 19 5 7" xfId="3036"/>
    <cellStyle name="60% - 强调文字颜色 3 3 19 5 8" xfId="3050"/>
    <cellStyle name="60% - 强调文字颜色 3 3 19 5 9" xfId="5852"/>
    <cellStyle name="60% - 强调文字颜色 3 3 19 6" xfId="13412"/>
    <cellStyle name="60% - 强调文字颜色 3 3 19 6 2" xfId="7927"/>
    <cellStyle name="60% - 强调文字颜色 3 3 19 6 2 2" xfId="13419"/>
    <cellStyle name="60% - 强调文字颜色 3 3 19 6 2 3" xfId="7093"/>
    <cellStyle name="60% - 强调文字颜色 3 3 19 6 3" xfId="5902"/>
    <cellStyle name="60% - 强调文字颜色 3 3 19 6 4" xfId="5906"/>
    <cellStyle name="60% - 强调文字颜色 3 3 19 6 5" xfId="5911"/>
    <cellStyle name="60% - 强调文字颜色 3 3 19 6 6" xfId="269"/>
    <cellStyle name="60% - 强调文字颜色 3 3 19 6 7" xfId="5878"/>
    <cellStyle name="60% - 强调文字颜色 3 3 19 6 8" xfId="5884"/>
    <cellStyle name="60% - 强调文字颜色 3 3 19 7" xfId="13429"/>
    <cellStyle name="60% - 强调文字颜色 3 3 19 8" xfId="13436"/>
    <cellStyle name="60% - 强调文字颜色 3 3 19 9" xfId="13439"/>
    <cellStyle name="60% - 强调文字颜色 3 3 19 9 2" xfId="5994"/>
    <cellStyle name="60% - 强调文字颜色 3 3 19 9 3" xfId="6004"/>
    <cellStyle name="60% - 强调文字颜色 3 3 2" xfId="22440"/>
    <cellStyle name="60% - 强调文字颜色 3 3 2 10" xfId="22441"/>
    <cellStyle name="60% - 强调文字颜色 3 3 2 11" xfId="22442"/>
    <cellStyle name="60% - 强调文字颜色 3 3 2 12" xfId="2540"/>
    <cellStyle name="60% - 强调文字颜色 3 3 2 13" xfId="2399"/>
    <cellStyle name="60% - 强调文字颜色 3 3 2 14" xfId="2414"/>
    <cellStyle name="60% - 强调文字颜色 3 3 2 2" xfId="22443"/>
    <cellStyle name="60% - 强调文字颜色 3 3 2 3" xfId="22445"/>
    <cellStyle name="60% - 强调文字颜色 3 3 2 4" xfId="22448"/>
    <cellStyle name="60% - 强调文字颜色 3 3 2 5" xfId="22450"/>
    <cellStyle name="60% - 强调文字颜色 3 3 2 6" xfId="22451"/>
    <cellStyle name="60% - 强调文字颜色 3 3 2 7" xfId="22453"/>
    <cellStyle name="60% - 强调文字颜色 3 3 2 8" xfId="22455"/>
    <cellStyle name="60% - 强调文字颜色 3 3 2 9" xfId="22456"/>
    <cellStyle name="60% - 强调文字颜色 3 3 20" xfId="22329"/>
    <cellStyle name="60% - 强调文字颜色 3 3 20 10" xfId="22457"/>
    <cellStyle name="60% - 强调文字颜色 3 3 20 11" xfId="22461"/>
    <cellStyle name="60% - 强调文字颜色 3 3 20 12" xfId="22102"/>
    <cellStyle name="60% - 强调文字颜色 3 3 20 13" xfId="22106"/>
    <cellStyle name="60% - 强调文字颜色 3 3 20 14" xfId="22462"/>
    <cellStyle name="60% - 强调文字颜色 3 3 20 2" xfId="22463"/>
    <cellStyle name="60% - 强调文字颜色 3 3 20 3" xfId="13290"/>
    <cellStyle name="60% - 强调文字颜色 3 3 20 4" xfId="349"/>
    <cellStyle name="60% - 强调文字颜色 3 3 20 5" xfId="308"/>
    <cellStyle name="60% - 强调文字颜色 3 3 20 5 10" xfId="19945"/>
    <cellStyle name="60% - 强调文字颜色 3 3 20 5 11" xfId="19948"/>
    <cellStyle name="60% - 强调文字颜色 3 3 20 5 2" xfId="22208"/>
    <cellStyle name="60% - 强调文字颜色 3 3 20 5 2 2" xfId="22465"/>
    <cellStyle name="60% - 强调文字颜色 3 3 20 5 2 2 2" xfId="19123"/>
    <cellStyle name="60% - 强调文字颜色 3 3 20 5 2 2 3" xfId="20352"/>
    <cellStyle name="60% - 强调文字颜色 3 3 20 5 2 3" xfId="22466"/>
    <cellStyle name="60% - 强调文字颜色 3 3 20 5 2 4" xfId="22467"/>
    <cellStyle name="60% - 强调文字颜色 3 3 20 5 2 5" xfId="22468"/>
    <cellStyle name="60% - 强调文字颜色 3 3 20 5 2 6" xfId="22469"/>
    <cellStyle name="60% - 强调文字颜色 3 3 20 5 2 7" xfId="22470"/>
    <cellStyle name="60% - 强调文字颜色 3 3 20 5 2 8" xfId="555"/>
    <cellStyle name="60% - 强调文字颜色 3 3 20 5 3" xfId="22210"/>
    <cellStyle name="60% - 强调文字颜色 3 3 20 5 4" xfId="11790"/>
    <cellStyle name="60% - 强调文字颜色 3 3 20 5 5" xfId="11794"/>
    <cellStyle name="60% - 强调文字颜色 3 3 20 5 6" xfId="11798"/>
    <cellStyle name="60% - 强调文字颜色 3 3 20 5 6 2" xfId="22471"/>
    <cellStyle name="60% - 强调文字颜色 3 3 20 5 6 3" xfId="22473"/>
    <cellStyle name="60% - 强调文字颜色 3 3 20 5 7" xfId="11801"/>
    <cellStyle name="60% - 强调文字颜色 3 3 20 5 8" xfId="11804"/>
    <cellStyle name="60% - 强调文字颜色 3 3 20 5 9" xfId="22476"/>
    <cellStyle name="60% - 强调文字颜色 3 3 20 6" xfId="356"/>
    <cellStyle name="60% - 强调文字颜色 3 3 20 6 2" xfId="13295"/>
    <cellStyle name="60% - 强调文字颜色 3 3 20 6 2 2" xfId="8048"/>
    <cellStyle name="60% - 强调文字颜色 3 3 20 6 2 3" xfId="8057"/>
    <cellStyle name="60% - 强调文字颜色 3 3 20 6 3" xfId="9621"/>
    <cellStyle name="60% - 强调文字颜色 3 3 20 6 4" xfId="9626"/>
    <cellStyle name="60% - 强调文字颜色 3 3 20 6 5" xfId="9632"/>
    <cellStyle name="60% - 强调文字颜色 3 3 20 6 6" xfId="9636"/>
    <cellStyle name="60% - 强调文字颜色 3 3 20 6 7" xfId="9641"/>
    <cellStyle name="60% - 强调文字颜色 3 3 20 6 8" xfId="13312"/>
    <cellStyle name="60% - 强调文字颜色 3 3 20 7" xfId="362"/>
    <cellStyle name="60% - 强调文字颜色 3 3 20 8" xfId="13344"/>
    <cellStyle name="60% - 强调文字颜色 3 3 20 9" xfId="9211"/>
    <cellStyle name="60% - 强调文字颜色 3 3 20 9 2" xfId="14853"/>
    <cellStyle name="60% - 强调文字颜色 3 3 20 9 3" xfId="14857"/>
    <cellStyle name="60% - 强调文字颜色 3 3 3" xfId="22478"/>
    <cellStyle name="60% - 强调文字颜色 3 3 3 10" xfId="7207"/>
    <cellStyle name="60% - 强调文字颜色 3 3 3 11" xfId="7213"/>
    <cellStyle name="60% - 强调文字颜色 3 3 3 12" xfId="7179"/>
    <cellStyle name="60% - 强调文字颜色 3 3 3 13" xfId="16765"/>
    <cellStyle name="60% - 强调文字颜色 3 3 3 14" xfId="16769"/>
    <cellStyle name="60% - 强调文字颜色 3 3 3 2" xfId="22479"/>
    <cellStyle name="60% - 强调文字颜色 3 3 3 3" xfId="22480"/>
    <cellStyle name="60% - 强调文字颜色 3 3 3 4" xfId="22481"/>
    <cellStyle name="60% - 强调文字颜色 3 3 3 5" xfId="22482"/>
    <cellStyle name="60% - 强调文字颜色 3 3 3 6" xfId="22483"/>
    <cellStyle name="60% - 强调文字颜色 3 3 3 7" xfId="22484"/>
    <cellStyle name="60% - 强调文字颜色 3 3 3 8" xfId="21281"/>
    <cellStyle name="60% - 强调文字颜色 3 3 3 9" xfId="21283"/>
    <cellStyle name="60% - 强调文字颜色 3 3 4" xfId="21535"/>
    <cellStyle name="60% - 强调文字颜色 3 3 4 10" xfId="6224"/>
    <cellStyle name="60% - 强调文字颜色 3 3 4 11" xfId="6228"/>
    <cellStyle name="60% - 强调文字颜色 3 3 4 12" xfId="21050"/>
    <cellStyle name="60% - 强调文字颜色 3 3 4 13" xfId="21052"/>
    <cellStyle name="60% - 强调文字颜色 3 3 4 14" xfId="21054"/>
    <cellStyle name="60% - 强调文字颜色 3 3 4 2" xfId="3216"/>
    <cellStyle name="60% - 强调文字颜色 3 3 4 3" xfId="17682"/>
    <cellStyle name="60% - 强调文字颜色 3 3 4 4" xfId="17685"/>
    <cellStyle name="60% - 强调文字颜色 3 3 4 5" xfId="17688"/>
    <cellStyle name="60% - 强调文字颜色 3 3 4 6" xfId="17691"/>
    <cellStyle name="60% - 强调文字颜色 3 3 4 7" xfId="1490"/>
    <cellStyle name="60% - 强调文字颜色 3 3 4 8" xfId="232"/>
    <cellStyle name="60% - 强调文字颜色 3 3 4 9" xfId="1527"/>
    <cellStyle name="60% - 强调文字颜色 3 3 5" xfId="21538"/>
    <cellStyle name="60% - 强调文字颜色 3 3 6" xfId="16187"/>
    <cellStyle name="60% - 强调文字颜色 3 3 7" xfId="16192"/>
    <cellStyle name="60% - 强调文字颜色 3 3 8" xfId="14304"/>
    <cellStyle name="60% - 强调文字颜色 3 3 9" xfId="14310"/>
    <cellStyle name="60% - 强调文字颜色 3 4" xfId="6453"/>
    <cellStyle name="60% - 强调文字颜色 3 4 10" xfId="22486"/>
    <cellStyle name="60% - 强调文字颜色 3 4 11" xfId="22489"/>
    <cellStyle name="60% - 强调文字颜色 3 4 12" xfId="21327"/>
    <cellStyle name="60% - 强调文字颜色 3 4 13" xfId="21330"/>
    <cellStyle name="60% - 强调文字颜色 3 4 14" xfId="21333"/>
    <cellStyle name="60% - 强调文字颜色 3 4 15" xfId="21337"/>
    <cellStyle name="60% - 强调文字颜色 3 4 16" xfId="21349"/>
    <cellStyle name="60% - 强调文字颜色 3 4 17" xfId="21355"/>
    <cellStyle name="60% - 强调文字颜色 3 4 17 10" xfId="582"/>
    <cellStyle name="60% - 强调文字颜色 3 4 17 11" xfId="593"/>
    <cellStyle name="60% - 强调文字颜色 3 4 17 12" xfId="515"/>
    <cellStyle name="60% - 强调文字颜色 3 4 17 13" xfId="558"/>
    <cellStyle name="60% - 强调文字颜色 3 4 17 14" xfId="22490"/>
    <cellStyle name="60% - 强调文字颜色 3 4 17 2" xfId="10272"/>
    <cellStyle name="60% - 强调文字颜色 3 4 17 3" xfId="10277"/>
    <cellStyle name="60% - 强调文字颜色 3 4 17 4" xfId="5501"/>
    <cellStyle name="60% - 强调文字颜色 3 4 17 5" xfId="5515"/>
    <cellStyle name="60% - 强调文字颜色 3 4 17 5 10" xfId="22493"/>
    <cellStyle name="60% - 强调文字颜色 3 4 17 5 11" xfId="22496"/>
    <cellStyle name="60% - 强调文字颜色 3 4 17 5 2" xfId="10173"/>
    <cellStyle name="60% - 强调文字颜色 3 4 17 5 2 2" xfId="10708"/>
    <cellStyle name="60% - 强调文字颜色 3 4 17 5 2 2 2" xfId="16992"/>
    <cellStyle name="60% - 强调文字颜色 3 4 17 5 2 2 3" xfId="16995"/>
    <cellStyle name="60% - 强调文字颜色 3 4 17 5 2 3" xfId="10713"/>
    <cellStyle name="60% - 强调文字颜色 3 4 17 5 2 4" xfId="22497"/>
    <cellStyle name="60% - 强调文字颜色 3 4 17 5 2 5" xfId="16166"/>
    <cellStyle name="60% - 强调文字颜色 3 4 17 5 2 6" xfId="16169"/>
    <cellStyle name="60% - 强调文字颜色 3 4 17 5 2 7" xfId="22499"/>
    <cellStyle name="60% - 强调文字颜色 3 4 17 5 2 8" xfId="22502"/>
    <cellStyle name="60% - 强调文字颜色 3 4 17 5 3" xfId="10179"/>
    <cellStyle name="60% - 强调文字颜色 3 4 17 5 4" xfId="10719"/>
    <cellStyle name="60% - 强调文字颜色 3 4 17 5 5" xfId="10722"/>
    <cellStyle name="60% - 强调文字颜色 3 4 17 5 6" xfId="8342"/>
    <cellStyle name="60% - 强调文字颜色 3 4 17 5 6 2" xfId="22504"/>
    <cellStyle name="60% - 强调文字颜色 3 4 17 5 6 3" xfId="22506"/>
    <cellStyle name="60% - 强调文字颜色 3 4 17 5 7" xfId="8347"/>
    <cellStyle name="60% - 强调文字颜色 3 4 17 5 8" xfId="4525"/>
    <cellStyle name="60% - 强调文字颜色 3 4 17 5 9" xfId="22508"/>
    <cellStyle name="60% - 强调文字颜色 3 4 17 6" xfId="2227"/>
    <cellStyle name="60% - 强调文字颜色 3 4 17 6 2" xfId="727"/>
    <cellStyle name="60% - 强调文字颜色 3 4 17 6 2 2" xfId="15683"/>
    <cellStyle name="60% - 强调文字颜色 3 4 17 6 2 3" xfId="15685"/>
    <cellStyle name="60% - 强调文字颜色 3 4 17 6 3" xfId="752"/>
    <cellStyle name="60% - 强调文字颜色 3 4 17 6 4" xfId="1278"/>
    <cellStyle name="60% - 强调文字颜色 3 4 17 6 5" xfId="1289"/>
    <cellStyle name="60% - 强调文字颜色 3 4 17 6 6" xfId="1299"/>
    <cellStyle name="60% - 强调文字颜色 3 4 17 6 7" xfId="1309"/>
    <cellStyle name="60% - 强调文字颜色 3 4 17 6 8" xfId="1881"/>
    <cellStyle name="60% - 强调文字颜色 3 4 17 7" xfId="2253"/>
    <cellStyle name="60% - 强调文字颜色 3 4 17 8" xfId="2269"/>
    <cellStyle name="60% - 强调文字颜色 3 4 17 9" xfId="22510"/>
    <cellStyle name="60% - 强调文字颜色 3 4 17 9 2" xfId="2195"/>
    <cellStyle name="60% - 强调文字颜色 3 4 17 9 3" xfId="2206"/>
    <cellStyle name="60% - 强调文字颜色 3 4 18" xfId="21357"/>
    <cellStyle name="60% - 强调文字颜色 3 4 18 10" xfId="22511"/>
    <cellStyle name="60% - 强调文字颜色 3 4 18 11" xfId="22512"/>
    <cellStyle name="60% - 强调文字颜色 3 4 18 12" xfId="22513"/>
    <cellStyle name="60% - 强调文字颜色 3 4 18 13" xfId="22514"/>
    <cellStyle name="60% - 强调文字颜色 3 4 18 14" xfId="22515"/>
    <cellStyle name="60% - 强调文字颜色 3 4 18 2" xfId="10744"/>
    <cellStyle name="60% - 强调文字颜色 3 4 18 3" xfId="10745"/>
    <cellStyle name="60% - 强调文字颜色 3 4 18 4" xfId="10749"/>
    <cellStyle name="60% - 强调文字颜色 3 4 18 5" xfId="10765"/>
    <cellStyle name="60% - 强调文字颜色 3 4 18 5 10" xfId="608"/>
    <cellStyle name="60% - 强调文字颜色 3 4 18 5 11" xfId="641"/>
    <cellStyle name="60% - 强调文字颜色 3 4 18 5 2" xfId="10769"/>
    <cellStyle name="60% - 强调文字颜色 3 4 18 5 2 2" xfId="7258"/>
    <cellStyle name="60% - 强调文字颜色 3 4 18 5 2 2 2" xfId="1178"/>
    <cellStyle name="60% - 强调文字颜色 3 4 18 5 2 2 3" xfId="22516"/>
    <cellStyle name="60% - 强调文字颜色 3 4 18 5 2 3" xfId="7262"/>
    <cellStyle name="60% - 强调文字颜色 3 4 18 5 2 4" xfId="15306"/>
    <cellStyle name="60% - 强调文字颜色 3 4 18 5 2 5" xfId="22517"/>
    <cellStyle name="60% - 强调文字颜色 3 4 18 5 2 6" xfId="22518"/>
    <cellStyle name="60% - 强调文字颜色 3 4 18 5 2 7" xfId="22519"/>
    <cellStyle name="60% - 强调文字颜色 3 4 18 5 2 8" xfId="19894"/>
    <cellStyle name="60% - 强调文字颜色 3 4 18 5 3" xfId="10773"/>
    <cellStyle name="60% - 强调文字颜色 3 4 18 5 4" xfId="10780"/>
    <cellStyle name="60% - 强调文字颜色 3 4 18 5 5" xfId="10784"/>
    <cellStyle name="60% - 强调文字颜色 3 4 18 5 6" xfId="10787"/>
    <cellStyle name="60% - 强调文字颜色 3 4 18 5 6 2" xfId="17601"/>
    <cellStyle name="60% - 强调文字颜色 3 4 18 5 6 3" xfId="17604"/>
    <cellStyle name="60% - 强调文字颜色 3 4 18 5 7" xfId="10790"/>
    <cellStyle name="60% - 强调文字颜色 3 4 18 5 8" xfId="10793"/>
    <cellStyle name="60% - 强调文字颜色 3 4 18 5 9" xfId="22521"/>
    <cellStyle name="60% - 强调文字颜色 3 4 18 6" xfId="10796"/>
    <cellStyle name="60% - 强调文字颜色 3 4 18 6 2" xfId="22522"/>
    <cellStyle name="60% - 强调文字颜色 3 4 18 6 2 2" xfId="22525"/>
    <cellStyle name="60% - 强调文字颜色 3 4 18 6 2 3" xfId="22528"/>
    <cellStyle name="60% - 强调文字颜色 3 4 18 6 3" xfId="22529"/>
    <cellStyle name="60% - 强调文字颜色 3 4 18 6 4" xfId="22530"/>
    <cellStyle name="60% - 强调文字颜色 3 4 18 6 5" xfId="22531"/>
    <cellStyle name="60% - 强调文字颜色 3 4 18 6 6" xfId="22532"/>
    <cellStyle name="60% - 强调文字颜色 3 4 18 6 7" xfId="13363"/>
    <cellStyle name="60% - 强调文字颜色 3 4 18 6 8" xfId="13449"/>
    <cellStyle name="60% - 强调文字颜色 3 4 18 7" xfId="9130"/>
    <cellStyle name="60% - 强调文字颜色 3 4 18 8" xfId="9158"/>
    <cellStyle name="60% - 强调文字颜色 3 4 18 9" xfId="22533"/>
    <cellStyle name="60% - 强调文字颜色 3 4 18 9 2" xfId="2591"/>
    <cellStyle name="60% - 强调文字颜色 3 4 18 9 3" xfId="2601"/>
    <cellStyle name="60% - 强调文字颜色 3 4 19" xfId="21359"/>
    <cellStyle name="60% - 强调文字颜色 3 4 19 10" xfId="22534"/>
    <cellStyle name="60% - 强调文字颜色 3 4 19 11" xfId="1508"/>
    <cellStyle name="60% - 强调文字颜色 3 4 19 12" xfId="1521"/>
    <cellStyle name="60% - 强调文字颜色 3 4 19 13" xfId="4423"/>
    <cellStyle name="60% - 强调文字颜色 3 4 19 14" xfId="4518"/>
    <cellStyle name="60% - 强调文字颜色 3 4 19 2" xfId="1563"/>
    <cellStyle name="60% - 强调文字颜色 3 4 19 3" xfId="10806"/>
    <cellStyle name="60% - 强调文字颜色 3 4 19 4" xfId="10809"/>
    <cellStyle name="60% - 强调文字颜色 3 4 19 5" xfId="10848"/>
    <cellStyle name="60% - 强调文字颜色 3 4 19 5 10" xfId="7676"/>
    <cellStyle name="60% - 强调文字颜色 3 4 19 5 11" xfId="9660"/>
    <cellStyle name="60% - 强调文字颜色 3 4 19 5 2" xfId="9951"/>
    <cellStyle name="60% - 强调文字颜色 3 4 19 5 2 2" xfId="10853"/>
    <cellStyle name="60% - 强调文字颜色 3 4 19 5 2 2 2" xfId="22535"/>
    <cellStyle name="60% - 强调文字颜色 3 4 19 5 2 2 3" xfId="22537"/>
    <cellStyle name="60% - 强调文字颜色 3 4 19 5 2 3" xfId="10857"/>
    <cellStyle name="60% - 强调文字颜色 3 4 19 5 2 4" xfId="22538"/>
    <cellStyle name="60% - 强调文字颜色 3 4 19 5 2 5" xfId="22540"/>
    <cellStyle name="60% - 强调文字颜色 3 4 19 5 2 6" xfId="14442"/>
    <cellStyle name="60% - 强调文字颜色 3 4 19 5 2 7" xfId="15243"/>
    <cellStyle name="60% - 强调文字颜色 3 4 19 5 2 8" xfId="12437"/>
    <cellStyle name="60% - 强调文字颜色 3 4 19 5 3" xfId="9956"/>
    <cellStyle name="60% - 强调文字颜色 3 4 19 5 4" xfId="10861"/>
    <cellStyle name="60% - 强调文字颜色 3 4 19 5 5" xfId="10864"/>
    <cellStyle name="60% - 强调文字颜色 3 4 19 5 6" xfId="10868"/>
    <cellStyle name="60% - 强调文字颜色 3 4 19 5 6 2" xfId="17897"/>
    <cellStyle name="60% - 强调文字颜色 3 4 19 5 6 3" xfId="17900"/>
    <cellStyle name="60% - 强调文字颜色 3 4 19 5 7" xfId="8952"/>
    <cellStyle name="60% - 强调文字颜色 3 4 19 5 8" xfId="8957"/>
    <cellStyle name="60% - 强调文字颜色 3 4 19 5 9" xfId="22541"/>
    <cellStyle name="60% - 强调文字颜色 3 4 19 6" xfId="10155"/>
    <cellStyle name="60% - 强调文字颜色 3 4 19 6 2" xfId="22544"/>
    <cellStyle name="60% - 强调文字颜色 3 4 19 6 2 2" xfId="22546"/>
    <cellStyle name="60% - 强调文字颜色 3 4 19 6 2 3" xfId="22548"/>
    <cellStyle name="60% - 强调文字颜色 3 4 19 6 3" xfId="22550"/>
    <cellStyle name="60% - 强调文字颜色 3 4 19 6 4" xfId="22552"/>
    <cellStyle name="60% - 强调文字颜色 3 4 19 6 5" xfId="22554"/>
    <cellStyle name="60% - 强调文字颜色 3 4 19 6 6" xfId="22556"/>
    <cellStyle name="60% - 强调文字颜色 3 4 19 6 7" xfId="22557"/>
    <cellStyle name="60% - 强调文字颜色 3 4 19 6 8" xfId="22558"/>
    <cellStyle name="60% - 强调文字颜色 3 4 19 7" xfId="10161"/>
    <cellStyle name="60% - 强调文字颜色 3 4 19 8" xfId="4700"/>
    <cellStyle name="60% - 强调文字颜色 3 4 19 9" xfId="22559"/>
    <cellStyle name="60% - 强调文字颜色 3 4 19 9 2" xfId="4983"/>
    <cellStyle name="60% - 强调文字颜色 3 4 19 9 3" xfId="4992"/>
    <cellStyle name="60% - 强调文字颜色 3 4 2" xfId="22560"/>
    <cellStyle name="60% - 强调文字颜色 3 4 20" xfId="21336"/>
    <cellStyle name="60% - 强调文字颜色 3 4 20 10" xfId="10677"/>
    <cellStyle name="60% - 强调文字颜色 3 4 20 11" xfId="19424"/>
    <cellStyle name="60% - 强调文字颜色 3 4 20 12" xfId="19473"/>
    <cellStyle name="60% - 强调文字颜色 3 4 20 13" xfId="19476"/>
    <cellStyle name="60% - 强调文字颜色 3 4 20 14" xfId="19479"/>
    <cellStyle name="60% - 强调文字颜色 3 4 20 2" xfId="4876"/>
    <cellStyle name="60% - 强调文字颜色 3 4 20 3" xfId="1102"/>
    <cellStyle name="60% - 强调文字颜色 3 4 20 4" xfId="10917"/>
    <cellStyle name="60% - 强调文字颜色 3 4 20 5" xfId="1168"/>
    <cellStyle name="60% - 强调文字颜色 3 4 20 5 10" xfId="22562"/>
    <cellStyle name="60% - 强调文字颜色 3 4 20 5 11" xfId="22565"/>
    <cellStyle name="60% - 强调文字颜色 3 4 20 5 2" xfId="10986"/>
    <cellStyle name="60% - 强调文字颜色 3 4 20 5 2 2" xfId="6812"/>
    <cellStyle name="60% - 强调文字颜色 3 4 20 5 2 2 2" xfId="21265"/>
    <cellStyle name="60% - 强调文字颜色 3 4 20 5 2 2 3" xfId="21266"/>
    <cellStyle name="60% - 强调文字颜色 3 4 20 5 2 3" xfId="6824"/>
    <cellStyle name="60% - 强调文字颜色 3 4 20 5 2 4" xfId="21270"/>
    <cellStyle name="60% - 强调文字颜色 3 4 20 5 2 5" xfId="21272"/>
    <cellStyle name="60% - 强调文字颜色 3 4 20 5 2 6" xfId="21275"/>
    <cellStyle name="60% - 强调文字颜色 3 4 20 5 2 7" xfId="21278"/>
    <cellStyle name="60% - 强调文字颜色 3 4 20 5 2 8" xfId="13346"/>
    <cellStyle name="60% - 强调文字颜色 3 4 20 5 3" xfId="10996"/>
    <cellStyle name="60% - 强调文字颜色 3 4 20 5 4" xfId="11006"/>
    <cellStyle name="60% - 强调文字颜色 3 4 20 5 5" xfId="11016"/>
    <cellStyle name="60% - 强调文字颜色 3 4 20 5 6" xfId="11025"/>
    <cellStyle name="60% - 强调文字颜色 3 4 20 5 6 2" xfId="22567"/>
    <cellStyle name="60% - 强调文字颜色 3 4 20 5 6 3" xfId="22568"/>
    <cellStyle name="60% - 强调文字颜色 3 4 20 5 7" xfId="9450"/>
    <cellStyle name="60% - 强调文字颜色 3 4 20 5 8" xfId="9461"/>
    <cellStyle name="60% - 强调文字颜色 3 4 20 5 9" xfId="21858"/>
    <cellStyle name="60% - 强调文字颜色 3 4 20 6" xfId="1191"/>
    <cellStyle name="60% - 强调文字颜色 3 4 20 6 2" xfId="20339"/>
    <cellStyle name="60% - 强调文字颜色 3 4 20 6 2 2" xfId="21290"/>
    <cellStyle name="60% - 强调文字颜色 3 4 20 6 2 3" xfId="21296"/>
    <cellStyle name="60% - 强调文字颜色 3 4 20 6 3" xfId="20344"/>
    <cellStyle name="60% - 强调文字颜色 3 4 20 6 4" xfId="20348"/>
    <cellStyle name="60% - 强调文字颜色 3 4 20 6 5" xfId="21302"/>
    <cellStyle name="60% - 强调文字颜色 3 4 20 6 6" xfId="22569"/>
    <cellStyle name="60% - 强调文字颜色 3 4 20 6 7" xfId="22570"/>
    <cellStyle name="60% - 强调文字颜色 3 4 20 6 8" xfId="20491"/>
    <cellStyle name="60% - 强调文字颜色 3 4 20 7" xfId="11037"/>
    <cellStyle name="60% - 强调文字颜色 3 4 20 8" xfId="8083"/>
    <cellStyle name="60% - 强调文字颜色 3 4 20 9" xfId="21347"/>
    <cellStyle name="60% - 强调文字颜色 3 4 20 9 2" xfId="15776"/>
    <cellStyle name="60% - 强调文字颜色 3 4 20 9 3" xfId="15779"/>
    <cellStyle name="60% - 强调文字颜色 3 4 3" xfId="22571"/>
    <cellStyle name="60% - 强调文字颜色 3 4 4" xfId="22573"/>
    <cellStyle name="60% - 强调文字颜色 3 4 5" xfId="22177"/>
    <cellStyle name="60% - 强调文字颜色 3 4 6" xfId="22179"/>
    <cellStyle name="60% - 强调文字颜色 3 4 7" xfId="22574"/>
    <cellStyle name="60% - 强调文字颜色 3 4 8" xfId="22575"/>
    <cellStyle name="60% - 强调文字颜色 3 4 9" xfId="22576"/>
    <cellStyle name="60% - 强调文字颜色 3 5" xfId="6457"/>
    <cellStyle name="60% - 强调文字颜色 3 5 10" xfId="22578"/>
    <cellStyle name="60% - 强调文字颜色 3 5 11" xfId="22580"/>
    <cellStyle name="60% - 强调文字颜色 3 5 12" xfId="22582"/>
    <cellStyle name="60% - 强调文字颜色 3 5 13" xfId="22584"/>
    <cellStyle name="60% - 强调文字颜色 3 5 14" xfId="22587"/>
    <cellStyle name="60% - 强调文字颜色 3 5 2" xfId="22588"/>
    <cellStyle name="60% - 强调文字颜色 3 5 3" xfId="7461"/>
    <cellStyle name="60% - 强调文字颜色 3 5 4" xfId="4112"/>
    <cellStyle name="60% - 强调文字颜色 3 5 5" xfId="4120"/>
    <cellStyle name="60% - 强调文字颜色 3 5 6" xfId="4128"/>
    <cellStyle name="60% - 强调文字颜色 3 5 7" xfId="4144"/>
    <cellStyle name="60% - 强调文字颜色 3 5 8" xfId="22590"/>
    <cellStyle name="60% - 强调文字颜色 3 5 9" xfId="22591"/>
    <cellStyle name="60% - 强调文字颜色 3 6" xfId="6461"/>
    <cellStyle name="60% - 强调文字颜色 3 6 10" xfId="22592"/>
    <cellStyle name="60% - 强调文字颜色 3 6 11" xfId="22594"/>
    <cellStyle name="60% - 强调文字颜色 3 6 12" xfId="22596"/>
    <cellStyle name="60% - 强调文字颜色 3 6 13" xfId="20716"/>
    <cellStyle name="60% - 强调文字颜色 3 6 14" xfId="20723"/>
    <cellStyle name="60% - 强调文字颜色 3 6 2" xfId="4364"/>
    <cellStyle name="60% - 强调文字颜色 3 6 3" xfId="7218"/>
    <cellStyle name="60% - 强调文字颜色 3 6 4" xfId="7223"/>
    <cellStyle name="60% - 强调文字颜色 3 6 5" xfId="7228"/>
    <cellStyle name="60% - 强调文字颜色 3 6 6" xfId="7233"/>
    <cellStyle name="60% - 强调文字颜色 3 6 7" xfId="7242"/>
    <cellStyle name="60% - 强调文字颜色 3 6 8" xfId="7253"/>
    <cellStyle name="60% - 强调文字颜色 3 6 9" xfId="22597"/>
    <cellStyle name="60% - 强调文字颜色 3 7" xfId="6464"/>
    <cellStyle name="60% - 强调文字颜色 3 8" xfId="6471"/>
    <cellStyle name="60% - 强调文字颜色 3 9" xfId="6286"/>
    <cellStyle name="60% - 强调文字颜色 4 10" xfId="9163"/>
    <cellStyle name="60% - 强调文字颜色 4 11" xfId="9168"/>
    <cellStyle name="60% - 强调文字颜色 4 12" xfId="5242"/>
    <cellStyle name="60% - 强调文字颜色 4 12 10" xfId="22600"/>
    <cellStyle name="60% - 强调文字颜色 4 12 11" xfId="22602"/>
    <cellStyle name="60% - 强调文字颜色 4 12 12" xfId="22604"/>
    <cellStyle name="60% - 强调文字颜色 4 12 13" xfId="22606"/>
    <cellStyle name="60% - 强调文字颜色 4 12 14" xfId="22608"/>
    <cellStyle name="60% - 强调文字颜色 4 12 2" xfId="22609"/>
    <cellStyle name="60% - 强调文字颜色 4 12 3" xfId="22610"/>
    <cellStyle name="60% - 强调文字颜色 4 12 4" xfId="22611"/>
    <cellStyle name="60% - 强调文字颜色 4 12 5" xfId="21798"/>
    <cellStyle name="60% - 强调文字颜色 4 12 5 10" xfId="18241"/>
    <cellStyle name="60% - 强调文字颜色 4 12 5 11" xfId="18244"/>
    <cellStyle name="60% - 强调文字颜色 4 12 5 2" xfId="19364"/>
    <cellStyle name="60% - 强调文字颜色 4 12 5 2 2" xfId="22612"/>
    <cellStyle name="60% - 强调文字颜色 4 12 5 2 2 2" xfId="22614"/>
    <cellStyle name="60% - 强调文字颜色 4 12 5 2 2 3" xfId="14141"/>
    <cellStyle name="60% - 强调文字颜色 4 12 5 2 3" xfId="22615"/>
    <cellStyle name="60% - 强调文字颜色 4 12 5 2 4" xfId="22617"/>
    <cellStyle name="60% - 强调文字颜色 4 12 5 2 5" xfId="22618"/>
    <cellStyle name="60% - 强调文字颜色 4 12 5 2 6" xfId="274"/>
    <cellStyle name="60% - 强调文字颜色 4 12 5 2 7" xfId="1352"/>
    <cellStyle name="60% - 强调文字颜色 4 12 5 2 8" xfId="15076"/>
    <cellStyle name="60% - 强调文字颜色 4 12 5 3" xfId="5504"/>
    <cellStyle name="60% - 强调文字颜色 4 12 5 4" xfId="5518"/>
    <cellStyle name="60% - 强调文字颜色 4 12 5 5" xfId="2230"/>
    <cellStyle name="60% - 强调文字颜色 4 12 5 6" xfId="2256"/>
    <cellStyle name="60% - 强调文字颜色 4 12 5 6 2" xfId="22620"/>
    <cellStyle name="60% - 强调文字颜色 4 12 5 6 3" xfId="22621"/>
    <cellStyle name="60% - 强调文字颜色 4 12 5 7" xfId="2272"/>
    <cellStyle name="60% - 强调文字颜色 4 12 5 8" xfId="2286"/>
    <cellStyle name="60% - 强调文字颜色 4 12 5 9" xfId="834"/>
    <cellStyle name="60% - 强调文字颜色 4 12 6" xfId="21800"/>
    <cellStyle name="60% - 强调文字颜色 4 12 6 2" xfId="14798"/>
    <cellStyle name="60% - 强调文字颜色 4 12 6 2 2" xfId="286"/>
    <cellStyle name="60% - 强调文字颜色 4 12 6 2 3" xfId="22623"/>
    <cellStyle name="60% - 强调文字颜色 4 12 6 3" xfId="14801"/>
    <cellStyle name="60% - 强调文字颜色 4 12 6 4" xfId="14803"/>
    <cellStyle name="60% - 强调文字颜色 4 12 6 5" xfId="14808"/>
    <cellStyle name="60% - 强调文字颜色 4 12 6 6" xfId="9134"/>
    <cellStyle name="60% - 强调文字颜色 4 12 6 7" xfId="9160"/>
    <cellStyle name="60% - 强调文字颜色 4 12 6 8" xfId="22624"/>
    <cellStyle name="60% - 强调文字颜色 4 12 7" xfId="22625"/>
    <cellStyle name="60% - 强调文字颜色 4 12 8" xfId="22626"/>
    <cellStyle name="60% - 强调文字颜色 4 12 9" xfId="22627"/>
    <cellStyle name="60% - 强调文字颜色 4 12 9 2" xfId="11555"/>
    <cellStyle name="60% - 强调文字颜色 4 12 9 3" xfId="22630"/>
    <cellStyle name="60% - 强调文字颜色 4 13" xfId="5247"/>
    <cellStyle name="60% - 强调文字颜色 4 14" xfId="5254"/>
    <cellStyle name="60% - 强调文字颜色 4 15" xfId="5337"/>
    <cellStyle name="60% - 强调文字颜色 4 16" xfId="5350"/>
    <cellStyle name="60% - 强调文字颜色 4 16 10" xfId="22631"/>
    <cellStyle name="60% - 强调文字颜色 4 16 11" xfId="22632"/>
    <cellStyle name="60% - 强调文字颜色 4 16 12" xfId="22633"/>
    <cellStyle name="60% - 强调文字颜色 4 16 13" xfId="22634"/>
    <cellStyle name="60% - 强调文字颜色 4 16 14" xfId="22635"/>
    <cellStyle name="60% - 强调文字颜色 4 16 2" xfId="22636"/>
    <cellStyle name="60% - 强调文字颜色 4 16 3" xfId="22637"/>
    <cellStyle name="60% - 强调文字颜色 4 16 4" xfId="22638"/>
    <cellStyle name="60% - 强调文字颜色 4 16 5" xfId="22639"/>
    <cellStyle name="60% - 强调文字颜色 4 16 5 10" xfId="17174"/>
    <cellStyle name="60% - 强调文字颜色 4 16 5 11" xfId="17176"/>
    <cellStyle name="60% - 强调文字颜色 4 16 5 2" xfId="8016"/>
    <cellStyle name="60% - 强调文字颜色 4 16 5 2 2" xfId="22640"/>
    <cellStyle name="60% - 强调文字颜色 4 16 5 2 2 2" xfId="10373"/>
    <cellStyle name="60% - 强调文字颜色 4 16 5 2 2 3" xfId="16966"/>
    <cellStyle name="60% - 强调文字颜色 4 16 5 2 3" xfId="22641"/>
    <cellStyle name="60% - 强调文字颜色 4 16 5 2 4" xfId="22524"/>
    <cellStyle name="60% - 强调文字颜色 4 16 5 2 5" xfId="22527"/>
    <cellStyle name="60% - 强调文字颜色 4 16 5 2 6" xfId="22643"/>
    <cellStyle name="60% - 强调文字颜色 4 16 5 2 7" xfId="22645"/>
    <cellStyle name="60% - 强调文字颜色 4 16 5 2 8" xfId="22647"/>
    <cellStyle name="60% - 强调文字颜色 4 16 5 3" xfId="16707"/>
    <cellStyle name="60% - 强调文字颜色 4 16 5 4" xfId="16711"/>
    <cellStyle name="60% - 强调文字颜色 4 16 5 5" xfId="16714"/>
    <cellStyle name="60% - 强调文字颜色 4 16 5 6" xfId="16716"/>
    <cellStyle name="60% - 强调文字颜色 4 16 5 6 2" xfId="22648"/>
    <cellStyle name="60% - 强调文字颜色 4 16 5 6 3" xfId="22649"/>
    <cellStyle name="60% - 强调文字颜色 4 16 5 7" xfId="6502"/>
    <cellStyle name="60% - 强调文字颜色 4 16 5 8" xfId="6510"/>
    <cellStyle name="60% - 强调文字颜色 4 16 5 9" xfId="281"/>
    <cellStyle name="60% - 强调文字颜色 4 16 6" xfId="22650"/>
    <cellStyle name="60% - 强调文字颜色 4 16 6 2" xfId="1828"/>
    <cellStyle name="60% - 强调文字颜色 4 16 6 2 2" xfId="22651"/>
    <cellStyle name="60% - 强调文字颜色 4 16 6 2 3" xfId="22652"/>
    <cellStyle name="60% - 强调文字颜色 4 16 6 3" xfId="1859"/>
    <cellStyle name="60% - 强调文字颜色 4 16 6 4" xfId="5059"/>
    <cellStyle name="60% - 强调文字颜色 4 16 6 5" xfId="5068"/>
    <cellStyle name="60% - 强调文字颜色 4 16 6 6" xfId="14852"/>
    <cellStyle name="60% - 强调文字颜色 4 16 6 7" xfId="14856"/>
    <cellStyle name="60% - 强调文字颜色 4 16 6 8" xfId="22653"/>
    <cellStyle name="60% - 强调文字颜色 4 16 7" xfId="22654"/>
    <cellStyle name="60% - 强调文字颜色 4 16 8" xfId="22655"/>
    <cellStyle name="60% - 强调文字颜色 4 16 9" xfId="22656"/>
    <cellStyle name="60% - 强调文字颜色 4 16 9 2" xfId="18560"/>
    <cellStyle name="60% - 强调文字颜色 4 16 9 3" xfId="18565"/>
    <cellStyle name="60% - 强调文字颜色 4 17" xfId="3222"/>
    <cellStyle name="60% - 强调文字颜色 4 17 10" xfId="22657"/>
    <cellStyle name="60% - 强调文字颜色 4 17 11" xfId="22658"/>
    <cellStyle name="60% - 强调文字颜色 4 17 12" xfId="22659"/>
    <cellStyle name="60% - 强调文字颜色 4 17 13" xfId="22660"/>
    <cellStyle name="60% - 强调文字颜色 4 17 14" xfId="22661"/>
    <cellStyle name="60% - 强调文字颜色 4 17 2" xfId="6672"/>
    <cellStyle name="60% - 强调文字颜色 4 17 3" xfId="6678"/>
    <cellStyle name="60% - 强调文字颜色 4 17 4" xfId="6684"/>
    <cellStyle name="60% - 强调文字颜色 4 17 5" xfId="6690"/>
    <cellStyle name="60% - 强调文字颜色 4 17 5 10" xfId="10194"/>
    <cellStyle name="60% - 强调文字颜色 4 17 5 11" xfId="10201"/>
    <cellStyle name="60% - 强调文字颜色 4 17 5 2" xfId="22662"/>
    <cellStyle name="60% - 强调文字颜色 4 17 5 2 2" xfId="22664"/>
    <cellStyle name="60% - 强调文字颜色 4 17 5 2 2 2" xfId="17952"/>
    <cellStyle name="60% - 强调文字颜色 4 17 5 2 2 3" xfId="3299"/>
    <cellStyle name="60% - 强调文字颜色 4 17 5 2 3" xfId="22667"/>
    <cellStyle name="60% - 强调文字颜色 4 17 5 2 4" xfId="22545"/>
    <cellStyle name="60% - 强调文字颜色 4 17 5 2 5" xfId="22547"/>
    <cellStyle name="60% - 强调文字颜色 4 17 5 2 6" xfId="22669"/>
    <cellStyle name="60% - 强调文字颜色 4 17 5 2 7" xfId="22670"/>
    <cellStyle name="60% - 强调文字颜色 4 17 5 2 8" xfId="15273"/>
    <cellStyle name="60% - 强调文字颜色 4 17 5 3" xfId="22671"/>
    <cellStyle name="60% - 强调文字颜色 4 17 5 4" xfId="22673"/>
    <cellStyle name="60% - 强调文字颜色 4 17 5 5" xfId="22675"/>
    <cellStyle name="60% - 强调文字颜色 4 17 5 6" xfId="19633"/>
    <cellStyle name="60% - 强调文字颜色 4 17 5 6 2" xfId="2869"/>
    <cellStyle name="60% - 强调文字颜色 4 17 5 6 3" xfId="2887"/>
    <cellStyle name="60% - 强调文字颜色 4 17 5 7" xfId="6549"/>
    <cellStyle name="60% - 强调文字颜色 4 17 5 8" xfId="6556"/>
    <cellStyle name="60% - 强调文字颜色 4 17 5 9" xfId="19635"/>
    <cellStyle name="60% - 强调文字颜色 4 17 6" xfId="22676"/>
    <cellStyle name="60% - 强调文字颜色 4 17 6 2" xfId="14893"/>
    <cellStyle name="60% - 强调文字颜色 4 17 6 2 2" xfId="22677"/>
    <cellStyle name="60% - 强调文字颜色 4 17 6 2 3" xfId="22679"/>
    <cellStyle name="60% - 强调文字颜色 4 17 6 3" xfId="14899"/>
    <cellStyle name="60% - 强调文字颜色 4 17 6 4" xfId="14904"/>
    <cellStyle name="60% - 强调文字颜色 4 17 6 5" xfId="14909"/>
    <cellStyle name="60% - 强调文字颜色 4 17 6 6" xfId="14238"/>
    <cellStyle name="60% - 强调文字颜色 4 17 6 7" xfId="14244"/>
    <cellStyle name="60% - 强调文字颜色 4 17 6 8" xfId="22680"/>
    <cellStyle name="60% - 强调文字颜色 4 17 7" xfId="22681"/>
    <cellStyle name="60% - 强调文字颜色 4 17 8" xfId="22683"/>
    <cellStyle name="60% - 强调文字颜色 4 17 9" xfId="22684"/>
    <cellStyle name="60% - 强调文字颜色 4 17 9 2" xfId="22687"/>
    <cellStyle name="60% - 强调文字颜色 4 17 9 3" xfId="22690"/>
    <cellStyle name="60% - 强调文字颜色 4 18" xfId="3241"/>
    <cellStyle name="60% - 强调文字颜色 4 18 10" xfId="3500"/>
    <cellStyle name="60% - 强调文字颜色 4 18 11" xfId="3511"/>
    <cellStyle name="60% - 强调文字颜色 4 18 12" xfId="3423"/>
    <cellStyle name="60% - 强调文字颜色 4 18 13" xfId="3444"/>
    <cellStyle name="60% - 强调文字颜色 4 18 14" xfId="3527"/>
    <cellStyle name="60% - 强调文字颜色 4 18 2" xfId="2381"/>
    <cellStyle name="60% - 强调文字颜色 4 18 3" xfId="2613"/>
    <cellStyle name="60% - 强调文字颜色 4 18 4" xfId="2716"/>
    <cellStyle name="60% - 强调文字颜色 4 18 5" xfId="2734"/>
    <cellStyle name="60% - 强调文字颜色 4 18 5 10" xfId="573"/>
    <cellStyle name="60% - 强调文字颜色 4 18 5 11" xfId="417"/>
    <cellStyle name="60% - 强调文字颜色 4 18 5 2" xfId="5362"/>
    <cellStyle name="60% - 强调文字颜色 4 18 5 2 2" xfId="5372"/>
    <cellStyle name="60% - 强调文字颜色 4 18 5 2 2 2" xfId="5379"/>
    <cellStyle name="60% - 强调文字颜色 4 18 5 2 2 3" xfId="1021"/>
    <cellStyle name="60% - 强调文字颜色 4 18 5 2 3" xfId="5392"/>
    <cellStyle name="60% - 强调文字颜色 4 18 5 2 4" xfId="1692"/>
    <cellStyle name="60% - 强调文字颜色 4 18 5 2 5" xfId="1745"/>
    <cellStyle name="60% - 强调文字颜色 4 18 5 2 6" xfId="1755"/>
    <cellStyle name="60% - 强调文字颜色 4 18 5 2 7" xfId="1765"/>
    <cellStyle name="60% - 强调文字颜色 4 18 5 2 8" xfId="387"/>
    <cellStyle name="60% - 强调文字颜色 4 18 5 3" xfId="5400"/>
    <cellStyle name="60% - 强调文字颜色 4 18 5 4" xfId="5415"/>
    <cellStyle name="60% - 强调文字颜色 4 18 5 5" xfId="5428"/>
    <cellStyle name="60% - 强调文字颜色 4 18 5 6" xfId="5440"/>
    <cellStyle name="60% - 强调文字颜色 4 18 5 6 2" xfId="1438"/>
    <cellStyle name="60% - 强调文字颜色 4 18 5 6 3" xfId="1470"/>
    <cellStyle name="60% - 强调文字颜色 4 18 5 7" xfId="5455"/>
    <cellStyle name="60% - 强调文字颜色 4 18 5 8" xfId="5468"/>
    <cellStyle name="60% - 强调文字颜色 4 18 5 9" xfId="5478"/>
    <cellStyle name="60% - 强调文字颜色 4 18 6" xfId="5489"/>
    <cellStyle name="60% - 强调文字颜色 4 18 6 2" xfId="5494"/>
    <cellStyle name="60% - 强调文字颜色 4 18 6 2 2" xfId="5508"/>
    <cellStyle name="60% - 强调文字颜色 4 18 6 2 3" xfId="5526"/>
    <cellStyle name="60% - 强调文字颜色 4 18 6 3" xfId="5532"/>
    <cellStyle name="60% - 强调文字颜色 4 18 6 4" xfId="5536"/>
    <cellStyle name="60% - 强调文字颜色 4 18 6 5" xfId="5540"/>
    <cellStyle name="60% - 强调文字颜色 4 18 6 6" xfId="5544"/>
    <cellStyle name="60% - 强调文字颜色 4 18 6 7" xfId="5550"/>
    <cellStyle name="60% - 强调文字颜色 4 18 6 8" xfId="5556"/>
    <cellStyle name="60% - 强调文字颜色 4 18 7" xfId="5563"/>
    <cellStyle name="60% - 强调文字颜色 4 18 8" xfId="5570"/>
    <cellStyle name="60% - 强调文字颜色 4 18 9" xfId="5577"/>
    <cellStyle name="60% - 强调文字颜色 4 18 9 2" xfId="5598"/>
    <cellStyle name="60% - 强调文字颜色 4 18 9 3" xfId="5607"/>
    <cellStyle name="60% - 强调文字颜色 4 19" xfId="2927"/>
    <cellStyle name="60% - 强调文字颜色 4 2" xfId="10312"/>
    <cellStyle name="60% - 强调文字颜色 4 2 10" xfId="11739"/>
    <cellStyle name="60% - 强调文字颜色 4 2 11" xfId="15482"/>
    <cellStyle name="60% - 强调文字颜色 4 2 12" xfId="12969"/>
    <cellStyle name="60% - 强调文字颜色 4 2 13" xfId="676"/>
    <cellStyle name="60% - 强调文字颜色 4 2 14" xfId="707"/>
    <cellStyle name="60% - 强调文字颜色 4 2 15" xfId="12992"/>
    <cellStyle name="60% - 强调文字颜色 4 2 16" xfId="12998"/>
    <cellStyle name="60% - 强调文字颜色 4 2 17" xfId="13018"/>
    <cellStyle name="60% - 强调文字颜色 4 2 17 10" xfId="14410"/>
    <cellStyle name="60% - 强调文字颜色 4 2 17 11" xfId="14413"/>
    <cellStyle name="60% - 强调文字颜色 4 2 17 12" xfId="22691"/>
    <cellStyle name="60% - 强调文字颜色 4 2 17 13" xfId="22693"/>
    <cellStyle name="60% - 强调文字颜色 4 2 17 14" xfId="22695"/>
    <cellStyle name="60% - 强调文字颜色 4 2 17 2" xfId="22696"/>
    <cellStyle name="60% - 强调文字颜色 4 2 17 3" xfId="22699"/>
    <cellStyle name="60% - 强调文字颜色 4 2 17 4" xfId="22702"/>
    <cellStyle name="60% - 强调文字颜色 4 2 17 5" xfId="22704"/>
    <cellStyle name="60% - 强调文字颜色 4 2 17 5 10" xfId="22265"/>
    <cellStyle name="60% - 强调文字颜色 4 2 17 5 11" xfId="11668"/>
    <cellStyle name="60% - 强调文字颜色 4 2 17 5 2" xfId="14726"/>
    <cellStyle name="60% - 强调文字颜色 4 2 17 5 2 2" xfId="22706"/>
    <cellStyle name="60% - 强调文字颜色 4 2 17 5 2 2 2" xfId="283"/>
    <cellStyle name="60% - 强调文字颜色 4 2 17 5 2 2 3" xfId="6518"/>
    <cellStyle name="60% - 强调文字颜色 4 2 17 5 2 3" xfId="22708"/>
    <cellStyle name="60% - 强调文字颜色 4 2 17 5 2 4" xfId="15314"/>
    <cellStyle name="60% - 强调文字颜色 4 2 17 5 2 5" xfId="15321"/>
    <cellStyle name="60% - 强调文字颜色 4 2 17 5 2 6" xfId="22710"/>
    <cellStyle name="60% - 强调文字颜色 4 2 17 5 2 7" xfId="22713"/>
    <cellStyle name="60% - 强调文字颜色 4 2 17 5 2 8" xfId="22715"/>
    <cellStyle name="60% - 强调文字颜色 4 2 17 5 3" xfId="16545"/>
    <cellStyle name="60% - 强调文字颜色 4 2 17 5 4" xfId="16549"/>
    <cellStyle name="60% - 强调文字颜色 4 2 17 5 5" xfId="16553"/>
    <cellStyle name="60% - 强调文字颜色 4 2 17 5 6" xfId="22717"/>
    <cellStyle name="60% - 强调文字颜色 4 2 17 5 6 2" xfId="19036"/>
    <cellStyle name="60% - 强调文字颜色 4 2 17 5 6 3" xfId="19039"/>
    <cellStyle name="60% - 强调文字颜色 4 2 17 5 7" xfId="17989"/>
    <cellStyle name="60% - 强调文字颜色 4 2 17 5 8" xfId="17991"/>
    <cellStyle name="60% - 强调文字颜色 4 2 17 5 9" xfId="17993"/>
    <cellStyle name="60% - 强调文字颜色 4 2 17 6" xfId="22719"/>
    <cellStyle name="60% - 强调文字颜色 4 2 17 6 2" xfId="22721"/>
    <cellStyle name="60% - 强调文字颜色 4 2 17 6 2 2" xfId="18049"/>
    <cellStyle name="60% - 强调文字颜色 4 2 17 6 2 3" xfId="18053"/>
    <cellStyle name="60% - 强调文字颜色 4 2 17 6 3" xfId="22725"/>
    <cellStyle name="60% - 强调文字颜色 4 2 17 6 4" xfId="22728"/>
    <cellStyle name="60% - 强调文字颜色 4 2 17 6 5" xfId="22730"/>
    <cellStyle name="60% - 强调文字颜色 4 2 17 6 6" xfId="13245"/>
    <cellStyle name="60% - 强调文字颜色 4 2 17 6 7" xfId="13248"/>
    <cellStyle name="60% - 强调文字颜色 4 2 17 6 8" xfId="18013"/>
    <cellStyle name="60% - 强调文字颜色 4 2 17 7" xfId="22732"/>
    <cellStyle name="60% - 强调文字颜色 4 2 17 8" xfId="22733"/>
    <cellStyle name="60% - 强调文字颜色 4 2 17 9" xfId="22734"/>
    <cellStyle name="60% - 强调文字颜色 4 2 17 9 2" xfId="1814"/>
    <cellStyle name="60% - 强调文字颜色 4 2 17 9 3" xfId="20661"/>
    <cellStyle name="60% - 强调文字颜色 4 2 18" xfId="21444"/>
    <cellStyle name="60% - 强调文字颜色 4 2 18 10" xfId="22735"/>
    <cellStyle name="60% - 强调文字颜色 4 2 18 11" xfId="22737"/>
    <cellStyle name="60% - 强调文字颜色 4 2 18 12" xfId="22739"/>
    <cellStyle name="60% - 强调文字颜色 4 2 18 13" xfId="17283"/>
    <cellStyle name="60% - 强调文字颜色 4 2 18 14" xfId="3933"/>
    <cellStyle name="60% - 强调文字颜色 4 2 18 2" xfId="15025"/>
    <cellStyle name="60% - 强调文字颜色 4 2 18 3" xfId="15029"/>
    <cellStyle name="60% - 强调文字颜色 4 2 18 4" xfId="15044"/>
    <cellStyle name="60% - 强调文字颜色 4 2 18 5" xfId="4116"/>
    <cellStyle name="60% - 强调文字颜色 4 2 18 5 10" xfId="13447"/>
    <cellStyle name="60% - 强调文字颜色 4 2 18 5 11" xfId="22743"/>
    <cellStyle name="60% - 强调文字颜色 4 2 18 5 2" xfId="20566"/>
    <cellStyle name="60% - 强调文字颜色 4 2 18 5 2 2" xfId="17531"/>
    <cellStyle name="60% - 强调文字颜色 4 2 18 5 2 2 2" xfId="2339"/>
    <cellStyle name="60% - 强调文字颜色 4 2 18 5 2 2 3" xfId="2791"/>
    <cellStyle name="60% - 强调文字颜色 4 2 18 5 2 3" xfId="17533"/>
    <cellStyle name="60% - 强调文字颜色 4 2 18 5 2 4" xfId="17535"/>
    <cellStyle name="60% - 强调文字颜色 4 2 18 5 2 5" xfId="22744"/>
    <cellStyle name="60% - 强调文字颜色 4 2 18 5 2 6" xfId="22746"/>
    <cellStyle name="60% - 强调文字颜色 4 2 18 5 2 7" xfId="22748"/>
    <cellStyle name="60% - 强调文字颜色 4 2 18 5 2 8" xfId="22750"/>
    <cellStyle name="60% - 强调文字颜色 4 2 18 5 3" xfId="20570"/>
    <cellStyle name="60% - 强调文字颜色 4 2 18 5 4" xfId="20615"/>
    <cellStyle name="60% - 强调文字颜色 4 2 18 5 5" xfId="20686"/>
    <cellStyle name="60% - 强调文字颜色 4 2 18 5 6" xfId="22752"/>
    <cellStyle name="60% - 强调文字颜色 4 2 18 5 6 2" xfId="22754"/>
    <cellStyle name="60% - 强调文字颜色 4 2 18 5 6 3" xfId="22755"/>
    <cellStyle name="60% - 强调文字颜色 4 2 18 5 7" xfId="22756"/>
    <cellStyle name="60% - 强调文字颜色 4 2 18 5 8" xfId="22757"/>
    <cellStyle name="60% - 强调文字颜色 4 2 18 5 9" xfId="22758"/>
    <cellStyle name="60% - 强调文字颜色 4 2 18 6" xfId="4123"/>
    <cellStyle name="60% - 强调文字颜色 4 2 18 6 2" xfId="22759"/>
    <cellStyle name="60% - 强调文字颜色 4 2 18 6 2 2" xfId="4543"/>
    <cellStyle name="60% - 强调文字颜色 4 2 18 6 2 3" xfId="17587"/>
    <cellStyle name="60% - 强调文字颜色 4 2 18 6 3" xfId="22762"/>
    <cellStyle name="60% - 强调文字颜色 4 2 18 6 4" xfId="22764"/>
    <cellStyle name="60% - 强调文字颜色 4 2 18 6 5" xfId="22766"/>
    <cellStyle name="60% - 强调文字颜色 4 2 18 6 6" xfId="22767"/>
    <cellStyle name="60% - 强调文字颜色 4 2 18 6 7" xfId="22768"/>
    <cellStyle name="60% - 强调文字颜色 4 2 18 6 8" xfId="22769"/>
    <cellStyle name="60% - 强调文字颜色 4 2 18 7" xfId="4131"/>
    <cellStyle name="60% - 强调文字颜色 4 2 18 8" xfId="4147"/>
    <cellStyle name="60% - 强调文字颜色 4 2 18 9" xfId="4217"/>
    <cellStyle name="60% - 强调文字颜色 4 2 18 9 2" xfId="22770"/>
    <cellStyle name="60% - 强调文字颜色 4 2 18 9 3" xfId="22771"/>
    <cellStyle name="60% - 强调文字颜色 4 2 19" xfId="22773"/>
    <cellStyle name="60% - 强调文字颜色 4 2 19 10" xfId="22774"/>
    <cellStyle name="60% - 强调文字颜色 4 2 19 11" xfId="22775"/>
    <cellStyle name="60% - 强调文字颜色 4 2 19 12" xfId="22776"/>
    <cellStyle name="60% - 强调文字颜色 4 2 19 13" xfId="17405"/>
    <cellStyle name="60% - 强调文字颜色 4 2 19 14" xfId="17408"/>
    <cellStyle name="60% - 强调文字颜色 4 2 19 2" xfId="15056"/>
    <cellStyle name="60% - 强调文字颜色 4 2 19 3" xfId="15059"/>
    <cellStyle name="60% - 强调文字颜色 4 2 19 4" xfId="15072"/>
    <cellStyle name="60% - 强调文字颜色 4 2 19 5" xfId="15080"/>
    <cellStyle name="60% - 强调文字颜色 4 2 19 5 10" xfId="1448"/>
    <cellStyle name="60% - 强调文字颜色 4 2 19 5 11" xfId="22777"/>
    <cellStyle name="60% - 强调文字颜色 4 2 19 5 2" xfId="22786"/>
    <cellStyle name="60% - 强调文字颜色 4 2 19 5 2 2" xfId="20112"/>
    <cellStyle name="60% - 强调文字颜色 4 2 19 5 2 2 2" xfId="22789"/>
    <cellStyle name="60% - 强调文字颜色 4 2 19 5 2 2 3" xfId="22793"/>
    <cellStyle name="60% - 强调文字颜色 4 2 19 5 2 3" xfId="20118"/>
    <cellStyle name="60% - 强调文字颜色 4 2 19 5 2 4" xfId="20124"/>
    <cellStyle name="60% - 强调文字颜色 4 2 19 5 2 5" xfId="20135"/>
    <cellStyle name="60% - 强调文字颜色 4 2 19 5 2 6" xfId="9145"/>
    <cellStyle name="60% - 强调文字颜色 4 2 19 5 2 7" xfId="9156"/>
    <cellStyle name="60% - 强调文字颜色 4 2 19 5 2 8" xfId="22797"/>
    <cellStyle name="60% - 强调文字颜色 4 2 19 5 3" xfId="22800"/>
    <cellStyle name="60% - 强调文字颜色 4 2 19 5 4" xfId="22803"/>
    <cellStyle name="60% - 强调文字颜色 4 2 19 5 5" xfId="22805"/>
    <cellStyle name="60% - 强调文字颜色 4 2 19 5 6" xfId="22808"/>
    <cellStyle name="60% - 强调文字颜色 4 2 19 5 6 2" xfId="22810"/>
    <cellStyle name="60% - 强调文字颜色 4 2 19 5 6 3" xfId="22813"/>
    <cellStyle name="60% - 强调文字颜色 4 2 19 5 7" xfId="22817"/>
    <cellStyle name="60% - 强调文字颜色 4 2 19 5 8" xfId="22820"/>
    <cellStyle name="60% - 强调文字颜色 4 2 19 5 9" xfId="22822"/>
    <cellStyle name="60% - 强调文字颜色 4 2 19 6" xfId="15083"/>
    <cellStyle name="60% - 强调文字颜色 4 2 19 6 2" xfId="22823"/>
    <cellStyle name="60% - 强调文字颜色 4 2 19 6 2 2" xfId="18236"/>
    <cellStyle name="60% - 强调文字颜色 4 2 19 6 2 3" xfId="18253"/>
    <cellStyle name="60% - 强调文字颜色 4 2 19 6 3" xfId="22824"/>
    <cellStyle name="60% - 强调文字颜色 4 2 19 6 4" xfId="22825"/>
    <cellStyle name="60% - 强调文字颜色 4 2 19 6 5" xfId="22826"/>
    <cellStyle name="60% - 强调文字颜色 4 2 19 6 6" xfId="12936"/>
    <cellStyle name="60% - 强调文字颜色 4 2 19 6 7" xfId="12938"/>
    <cellStyle name="60% - 强调文字颜色 4 2 19 6 8" xfId="22827"/>
    <cellStyle name="60% - 强调文字颜色 4 2 19 7" xfId="15087"/>
    <cellStyle name="60% - 强调文字颜色 4 2 19 8" xfId="22829"/>
    <cellStyle name="60% - 强调文字颜色 4 2 19 9" xfId="22831"/>
    <cellStyle name="60% - 强调文字颜色 4 2 19 9 2" xfId="22832"/>
    <cellStyle name="60% - 强调文字颜色 4 2 19 9 3" xfId="22833"/>
    <cellStyle name="60% - 强调文字颜色 4 2 2" xfId="22834"/>
    <cellStyle name="60% - 强调文字颜色 4 2 2 10" xfId="18740"/>
    <cellStyle name="60% - 强调文字颜色 4 2 2 11" xfId="22836"/>
    <cellStyle name="60% - 强调文字颜色 4 2 2 12" xfId="8884"/>
    <cellStyle name="60% - 强调文字颜色 4 2 2 13" xfId="9974"/>
    <cellStyle name="60% - 强调文字颜色 4 2 2 14" xfId="9978"/>
    <cellStyle name="60% - 强调文字颜色 4 2 2 2" xfId="22837"/>
    <cellStyle name="60% - 强调文字颜色 4 2 2 3" xfId="22838"/>
    <cellStyle name="60% - 强调文字颜色 4 2 2 4" xfId="18333"/>
    <cellStyle name="60% - 强调文字颜色 4 2 2 5" xfId="18337"/>
    <cellStyle name="60% - 强调文字颜色 4 2 2 6" xfId="10000"/>
    <cellStyle name="60% - 强调文字颜色 4 2 2 7" xfId="9785"/>
    <cellStyle name="60% - 强调文字颜色 4 2 2 8" xfId="9800"/>
    <cellStyle name="60% - 强调文字颜色 4 2 2 9" xfId="9526"/>
    <cellStyle name="60% - 强调文字颜色 4 2 20" xfId="12991"/>
    <cellStyle name="60% - 强调文字颜色 4 2 20 10" xfId="22839"/>
    <cellStyle name="60% - 强调文字颜色 4 2 20 11" xfId="22841"/>
    <cellStyle name="60% - 强调文字颜色 4 2 20 12" xfId="22843"/>
    <cellStyle name="60% - 强调文字颜色 4 2 20 13" xfId="22845"/>
    <cellStyle name="60% - 强调文字颜色 4 2 20 14" xfId="22847"/>
    <cellStyle name="60% - 强调文字颜色 4 2 20 2" xfId="20647"/>
    <cellStyle name="60% - 强调文字颜色 4 2 20 3" xfId="20649"/>
    <cellStyle name="60% - 强调文字颜色 4 2 20 4" xfId="22848"/>
    <cellStyle name="60% - 强调文字颜色 4 2 20 5" xfId="22849"/>
    <cellStyle name="60% - 强调文字颜色 4 2 20 5 10" xfId="22850"/>
    <cellStyle name="60% - 强调文字颜色 4 2 20 5 11" xfId="22852"/>
    <cellStyle name="60% - 强调文字颜色 4 2 20 5 2" xfId="22853"/>
    <cellStyle name="60% - 强调文字颜色 4 2 20 5 2 2" xfId="12427"/>
    <cellStyle name="60% - 强调文字颜色 4 2 20 5 2 2 2" xfId="8424"/>
    <cellStyle name="60% - 强调文字颜色 4 2 20 5 2 2 3" xfId="8435"/>
    <cellStyle name="60% - 强调文字颜色 4 2 20 5 2 3" xfId="8416"/>
    <cellStyle name="60% - 强调文字颜色 4 2 20 5 2 4" xfId="8423"/>
    <cellStyle name="60% - 强调文字颜色 4 2 20 5 2 5" xfId="8434"/>
    <cellStyle name="60% - 强调文字颜色 4 2 20 5 2 6" xfId="8447"/>
    <cellStyle name="60% - 强调文字颜色 4 2 20 5 2 7" xfId="8454"/>
    <cellStyle name="60% - 强调文字颜色 4 2 20 5 2 8" xfId="8457"/>
    <cellStyle name="60% - 强调文字颜色 4 2 20 5 3" xfId="22854"/>
    <cellStyle name="60% - 强调文字颜色 4 2 20 5 4" xfId="936"/>
    <cellStyle name="60% - 强调文字颜色 4 2 20 5 5" xfId="977"/>
    <cellStyle name="60% - 强调文字颜色 4 2 20 5 6" xfId="22857"/>
    <cellStyle name="60% - 强调文字颜色 4 2 20 5 6 2" xfId="22859"/>
    <cellStyle name="60% - 强调文字颜色 4 2 20 5 6 3" xfId="22861"/>
    <cellStyle name="60% - 强调文字颜色 4 2 20 5 7" xfId="22863"/>
    <cellStyle name="60% - 强调文字颜色 4 2 20 5 8" xfId="22865"/>
    <cellStyle name="60% - 强调文字颜色 4 2 20 5 9" xfId="22867"/>
    <cellStyle name="60% - 强调文字颜色 4 2 20 6" xfId="22868"/>
    <cellStyle name="60% - 强调文字颜色 4 2 20 6 2" xfId="20187"/>
    <cellStyle name="60% - 强调文字颜色 4 2 20 6 2 2" xfId="12475"/>
    <cellStyle name="60% - 强调文字颜色 4 2 20 6 2 3" xfId="12480"/>
    <cellStyle name="60% - 强调文字颜色 4 2 20 6 3" xfId="20191"/>
    <cellStyle name="60% - 强调文字颜色 4 2 20 6 4" xfId="22870"/>
    <cellStyle name="60% - 强调文字颜色 4 2 20 6 5" xfId="22872"/>
    <cellStyle name="60% - 强调文字颜色 4 2 20 6 6" xfId="22874"/>
    <cellStyle name="60% - 强调文字颜色 4 2 20 6 7" xfId="20522"/>
    <cellStyle name="60% - 强调文字颜色 4 2 20 6 8" xfId="20524"/>
    <cellStyle name="60% - 强调文字颜色 4 2 20 7" xfId="22875"/>
    <cellStyle name="60% - 强调文字颜色 4 2 20 8" xfId="22876"/>
    <cellStyle name="60% - 强调文字颜色 4 2 20 9" xfId="22877"/>
    <cellStyle name="60% - 强调文字颜色 4 2 20 9 2" xfId="22879"/>
    <cellStyle name="60% - 强调文字颜色 4 2 20 9 3" xfId="22881"/>
    <cellStyle name="60% - 强调文字颜色 4 2 3" xfId="22882"/>
    <cellStyle name="60% - 强调文字颜色 4 2 3 10" xfId="22884"/>
    <cellStyle name="60% - 强调文字颜色 4 2 3 11" xfId="22885"/>
    <cellStyle name="60% - 强调文字颜色 4 2 3 12" xfId="22886"/>
    <cellStyle name="60% - 强调文字颜色 4 2 3 13" xfId="22887"/>
    <cellStyle name="60% - 强调文字颜色 4 2 3 14" xfId="22889"/>
    <cellStyle name="60% - 强调文字颜色 4 2 3 2" xfId="18856"/>
    <cellStyle name="60% - 强调文字颜色 4 2 3 3" xfId="18859"/>
    <cellStyle name="60% - 强调文字颜色 4 2 3 4" xfId="18865"/>
    <cellStyle name="60% - 强调文字颜色 4 2 3 5" xfId="18869"/>
    <cellStyle name="60% - 强调文字颜色 4 2 3 6" xfId="18944"/>
    <cellStyle name="60% - 强调文字颜色 4 2 3 7" xfId="19012"/>
    <cellStyle name="60% - 强调文字颜色 4 2 3 8" xfId="22891"/>
    <cellStyle name="60% - 强调文字颜色 4 2 3 9" xfId="22893"/>
    <cellStyle name="60% - 强调文字颜色 4 2 4" xfId="21703"/>
    <cellStyle name="60% - 强调文字颜色 4 2 4 10" xfId="22895"/>
    <cellStyle name="60% - 强调文字颜色 4 2 4 11" xfId="22896"/>
    <cellStyle name="60% - 强调文字颜色 4 2 4 12" xfId="22898"/>
    <cellStyle name="60% - 强调文字颜色 4 2 4 13" xfId="22901"/>
    <cellStyle name="60% - 强调文字颜色 4 2 4 14" xfId="22903"/>
    <cellStyle name="60% - 强调文字颜色 4 2 4 2" xfId="7000"/>
    <cellStyle name="60% - 强调文字颜色 4 2 4 3" xfId="2761"/>
    <cellStyle name="60% - 强调文字颜色 4 2 4 4" xfId="11067"/>
    <cellStyle name="60% - 强调文字颜色 4 2 4 5" xfId="11073"/>
    <cellStyle name="60% - 强调文字颜色 4 2 4 6" xfId="4612"/>
    <cellStyle name="60% - 强调文字颜色 4 2 4 7" xfId="4620"/>
    <cellStyle name="60% - 强调文字颜色 4 2 4 8" xfId="11193"/>
    <cellStyle name="60% - 强调文字颜色 4 2 4 9" xfId="14485"/>
    <cellStyle name="60% - 强调文字颜色 4 2 5" xfId="21706"/>
    <cellStyle name="60% - 强调文字颜色 4 2 6" xfId="14376"/>
    <cellStyle name="60% - 强调文字颜色 4 2 7" xfId="14382"/>
    <cellStyle name="60% - 强调文字颜色 4 2 8" xfId="21709"/>
    <cellStyle name="60% - 强调文字颜色 4 2 9" xfId="21712"/>
    <cellStyle name="60% - 强调文字颜色 4 3" xfId="10599"/>
    <cellStyle name="60% - 强调文字颜色 4 3 10" xfId="12203"/>
    <cellStyle name="60% - 强调文字颜色 4 3 11" xfId="12206"/>
    <cellStyle name="60% - 强调文字颜色 4 3 12" xfId="22904"/>
    <cellStyle name="60% - 强调文字颜色 4 3 13" xfId="22905"/>
    <cellStyle name="60% - 强调文字颜色 4 3 14" xfId="22906"/>
    <cellStyle name="60% - 强调文字颜色 4 3 15" xfId="22908"/>
    <cellStyle name="60% - 强调文字颜色 4 3 16" xfId="22909"/>
    <cellStyle name="60% - 强调文字颜色 4 3 17" xfId="22910"/>
    <cellStyle name="60% - 强调文字颜色 4 3 17 10" xfId="22912"/>
    <cellStyle name="60% - 强调文字颜色 4 3 17 11" xfId="22914"/>
    <cellStyle name="60% - 强调文字颜色 4 3 17 12" xfId="15806"/>
    <cellStyle name="60% - 强调文字颜色 4 3 17 13" xfId="15809"/>
    <cellStyle name="60% - 强调文字颜色 4 3 17 14" xfId="17715"/>
    <cellStyle name="60% - 强调文字颜色 4 3 17 2" xfId="19450"/>
    <cellStyle name="60% - 强调文字颜色 4 3 17 2 2" xfId="4942"/>
    <cellStyle name="60% - 强调文字颜色 4 3 17 3" xfId="22915"/>
    <cellStyle name="60% - 强调文字颜色 4 3 17 4" xfId="22916"/>
    <cellStyle name="60% - 强调文字颜色 4 3 17 5" xfId="20224"/>
    <cellStyle name="60% - 强调文字颜色 4 3 17 5 10" xfId="22846"/>
    <cellStyle name="60% - 强调文字颜色 4 3 17 5 11" xfId="22917"/>
    <cellStyle name="60% - 强调文字颜色 4 3 17 5 2" xfId="20738"/>
    <cellStyle name="60% - 强调文字颜色 4 3 17 5 2 2" xfId="22918"/>
    <cellStyle name="60% - 强调文字颜色 4 3 17 5 2 2 2" xfId="8973"/>
    <cellStyle name="60% - 强调文字颜色 4 3 17 5 2 2 3" xfId="8979"/>
    <cellStyle name="60% - 强调文字颜色 4 3 17 5 2 3" xfId="22919"/>
    <cellStyle name="60% - 强调文字颜色 4 3 17 5 2 4" xfId="15539"/>
    <cellStyle name="60% - 强调文字颜色 4 3 17 5 2 5" xfId="15542"/>
    <cellStyle name="60% - 强调文字颜色 4 3 17 5 2 6" xfId="22920"/>
    <cellStyle name="60% - 强调文字颜色 4 3 17 5 2 7" xfId="22922"/>
    <cellStyle name="60% - 强调文字颜色 4 3 17 5 2 8" xfId="22923"/>
    <cellStyle name="60% - 强调文字颜色 4 3 17 5 3" xfId="20741"/>
    <cellStyle name="60% - 强调文字颜色 4 3 17 5 4" xfId="20744"/>
    <cellStyle name="60% - 强调文字颜色 4 3 17 5 5" xfId="20750"/>
    <cellStyle name="60% - 强调文字颜色 4 3 17 5 6" xfId="20755"/>
    <cellStyle name="60% - 强调文字颜色 4 3 17 5 6 2" xfId="19968"/>
    <cellStyle name="60% - 强调文字颜色 4 3 17 5 6 3" xfId="19974"/>
    <cellStyle name="60% - 强调文字颜色 4 3 17 5 7" xfId="22926"/>
    <cellStyle name="60% - 强调文字颜色 4 3 17 5 8" xfId="22928"/>
    <cellStyle name="60% - 强调文字颜色 4 3 17 5 9" xfId="22930"/>
    <cellStyle name="60% - 强调文字颜色 4 3 17 6" xfId="20227"/>
    <cellStyle name="60% - 强调文字颜色 4 3 17 6 2" xfId="22932"/>
    <cellStyle name="60% - 强调文字颜色 4 3 17 6 2 2" xfId="22934"/>
    <cellStyle name="60% - 强调文字颜色 4 3 17 6 2 3" xfId="22936"/>
    <cellStyle name="60% - 强调文字颜色 4 3 17 6 3" xfId="22939"/>
    <cellStyle name="60% - 强调文字颜色 4 3 17 6 4" xfId="22941"/>
    <cellStyle name="60% - 强调文字颜色 4 3 17 6 5" xfId="22944"/>
    <cellStyle name="60% - 强调文字颜色 4 3 17 6 6" xfId="22946"/>
    <cellStyle name="60% - 强调文字颜色 4 3 17 6 7" xfId="22948"/>
    <cellStyle name="60% - 强调文字颜色 4 3 17 6 8" xfId="22950"/>
    <cellStyle name="60% - 强调文字颜色 4 3 17 7" xfId="21804"/>
    <cellStyle name="60% - 强调文字颜色 4 3 17 8" xfId="21806"/>
    <cellStyle name="60% - 强调文字颜色 4 3 17 9" xfId="2917"/>
    <cellStyle name="60% - 强调文字颜色 4 3 17 9 2" xfId="2937"/>
    <cellStyle name="60% - 强调文字颜色 4 3 17 9 3" xfId="2017"/>
    <cellStyle name="60% - 强调文字颜色 4 3 18" xfId="22952"/>
    <cellStyle name="60% - 强调文字颜色 4 3 18 10" xfId="22954"/>
    <cellStyle name="60% - 强调文字颜色 4 3 18 11" xfId="22955"/>
    <cellStyle name="60% - 强调文字颜色 4 3 18 12" xfId="22956"/>
    <cellStyle name="60% - 强调文字颜色 4 3 18 13" xfId="22957"/>
    <cellStyle name="60% - 强调文字颜色 4 3 18 14" xfId="17743"/>
    <cellStyle name="60% - 强调文字颜色 4 3 18 2" xfId="15199"/>
    <cellStyle name="60% - 强调文字颜色 4 3 18 3" xfId="15203"/>
    <cellStyle name="60% - 强调文字颜色 4 3 18 4" xfId="15242"/>
    <cellStyle name="60% - 强调文字颜色 4 3 18 5" xfId="5032"/>
    <cellStyle name="60% - 强调文字颜色 4 3 18 5 10" xfId="22140"/>
    <cellStyle name="60% - 强调文字颜色 4 3 18 5 11" xfId="22144"/>
    <cellStyle name="60% - 强调文字颜色 4 3 18 5 2" xfId="22958"/>
    <cellStyle name="60% - 强调文字颜色 4 3 18 5 2 2" xfId="18638"/>
    <cellStyle name="60% - 强调文字颜色 4 3 18 5 2 2 2" xfId="21892"/>
    <cellStyle name="60% - 强调文字颜色 4 3 18 5 2 2 3" xfId="21895"/>
    <cellStyle name="60% - 强调文字颜色 4 3 18 5 2 3" xfId="18641"/>
    <cellStyle name="60% - 强调文字颜色 4 3 18 5 2 4" xfId="18644"/>
    <cellStyle name="60% - 强调文字颜色 4 3 18 5 2 5" xfId="15667"/>
    <cellStyle name="60% - 强调文字颜色 4 3 18 5 2 6" xfId="16506"/>
    <cellStyle name="60% - 强调文字颜色 4 3 18 5 2 7" xfId="16508"/>
    <cellStyle name="60% - 强调文字颜色 4 3 18 5 2 8" xfId="10648"/>
    <cellStyle name="60% - 强调文字颜色 4 3 18 5 3" xfId="22960"/>
    <cellStyle name="60% - 强调文字颜色 4 3 18 5 4" xfId="22962"/>
    <cellStyle name="60% - 强调文字颜色 4 3 18 5 5" xfId="22963"/>
    <cellStyle name="60% - 强调文字颜色 4 3 18 5 6" xfId="22965"/>
    <cellStyle name="60% - 强调文字颜色 4 3 18 5 6 2" xfId="12594"/>
    <cellStyle name="60% - 强调文字颜色 4 3 18 5 6 3" xfId="12600"/>
    <cellStyle name="60% - 强调文字颜色 4 3 18 5 7" xfId="22967"/>
    <cellStyle name="60% - 强调文字颜色 4 3 18 5 8" xfId="22968"/>
    <cellStyle name="60% - 强调文字颜色 4 3 18 5 9" xfId="22971"/>
    <cellStyle name="60% - 强调文字颜色 4 3 18 6" xfId="5038"/>
    <cellStyle name="60% - 强调文字颜色 4 3 18 6 2" xfId="22974"/>
    <cellStyle name="60% - 强调文字颜色 4 3 18 6 2 2" xfId="7805"/>
    <cellStyle name="60% - 强调文字颜色 4 3 18 6 2 3" xfId="18696"/>
    <cellStyle name="60% - 强调文字颜色 4 3 18 6 3" xfId="22976"/>
    <cellStyle name="60% - 强调文字颜色 4 3 18 6 4" xfId="22978"/>
    <cellStyle name="60% - 强调文字颜色 4 3 18 6 5" xfId="22980"/>
    <cellStyle name="60% - 强调文字颜色 4 3 18 6 6" xfId="22982"/>
    <cellStyle name="60% - 强调文字颜色 4 3 18 6 7" xfId="22985"/>
    <cellStyle name="60% - 强调文字颜色 4 3 18 6 8" xfId="22988"/>
    <cellStyle name="60% - 强调文字颜色 4 3 18 7" xfId="5046"/>
    <cellStyle name="60% - 强调文字颜色 4 3 18 8" xfId="19748"/>
    <cellStyle name="60% - 强调文字颜色 4 3 18 9" xfId="22989"/>
    <cellStyle name="60% - 强调文字颜色 4 3 18 9 2" xfId="22990"/>
    <cellStyle name="60% - 强调文字颜色 4 3 18 9 3" xfId="3618"/>
    <cellStyle name="60% - 强调文字颜色 4 3 19" xfId="20963"/>
    <cellStyle name="60% - 强调文字颜色 4 3 19 10" xfId="11397"/>
    <cellStyle name="60% - 强调文字颜色 4 3 19 11" xfId="11150"/>
    <cellStyle name="60% - 强调文字颜色 4 3 19 12" xfId="17538"/>
    <cellStyle name="60% - 强调文字颜色 4 3 19 13" xfId="17540"/>
    <cellStyle name="60% - 强调文字颜色 4 3 19 14" xfId="22991"/>
    <cellStyle name="60% - 强调文字颜色 4 3 19 2" xfId="8582"/>
    <cellStyle name="60% - 强调文字颜色 4 3 19 3" xfId="8589"/>
    <cellStyle name="60% - 强调文字颜色 4 3 19 4" xfId="15268"/>
    <cellStyle name="60% - 强调文字颜色 4 3 19 5" xfId="15276"/>
    <cellStyle name="60% - 强调文字颜色 4 3 19 5 10" xfId="6473"/>
    <cellStyle name="60% - 强调文字颜色 4 3 19 5 11" xfId="6284"/>
    <cellStyle name="60% - 强调文字颜色 4 3 19 5 2" xfId="8330"/>
    <cellStyle name="60% - 强调文字颜色 4 3 19 5 2 2" xfId="8340"/>
    <cellStyle name="60% - 强调文字颜色 4 3 19 5 2 2 2" xfId="22992"/>
    <cellStyle name="60% - 强调文字颜色 4 3 19 5 2 2 3" xfId="22993"/>
    <cellStyle name="60% - 强调文字颜色 4 3 19 5 2 3" xfId="8345"/>
    <cellStyle name="60% - 强调文字颜色 4 3 19 5 2 4" xfId="4523"/>
    <cellStyle name="60% - 强调文字颜色 4 3 19 5 2 5" xfId="4538"/>
    <cellStyle name="60% - 强调文字颜色 4 3 19 5 2 6" xfId="4597"/>
    <cellStyle name="60% - 强调文字颜色 4 3 19 5 2 7" xfId="4603"/>
    <cellStyle name="60% - 强调文字颜色 4 3 19 5 2 8" xfId="392"/>
    <cellStyle name="60% - 强调文字颜色 4 3 19 5 3" xfId="8413"/>
    <cellStyle name="60% - 强调文字颜色 4 3 19 5 4" xfId="22994"/>
    <cellStyle name="60% - 强调文字颜色 4 3 19 5 5" xfId="22996"/>
    <cellStyle name="60% - 强调文字颜色 4 3 19 5 6" xfId="22997"/>
    <cellStyle name="60% - 强调文字颜色 4 3 19 5 6 2" xfId="1450"/>
    <cellStyle name="60% - 强调文字颜色 4 3 19 5 6 3" xfId="22779"/>
    <cellStyle name="60% - 强调文字颜色 4 3 19 5 7" xfId="22999"/>
    <cellStyle name="60% - 强调文字颜色 4 3 19 5 8" xfId="23001"/>
    <cellStyle name="60% - 强调文字颜色 4 3 19 5 9" xfId="23004"/>
    <cellStyle name="60% - 强调文字颜色 4 3 19 6" xfId="15283"/>
    <cellStyle name="60% - 强调文字颜色 4 3 19 6 2" xfId="18952"/>
    <cellStyle name="60% - 强调文字颜色 4 3 19 6 2 2" xfId="23006"/>
    <cellStyle name="60% - 强调文字颜色 4 3 19 6 2 3" xfId="23007"/>
    <cellStyle name="60% - 强调文字颜色 4 3 19 6 3" xfId="18954"/>
    <cellStyle name="60% - 强调文字颜色 4 3 19 6 4" xfId="23008"/>
    <cellStyle name="60% - 强调文字颜色 4 3 19 6 5" xfId="23009"/>
    <cellStyle name="60% - 强调文字颜色 4 3 19 6 6" xfId="23010"/>
    <cellStyle name="60% - 强调文字颜色 4 3 19 6 7" xfId="23011"/>
    <cellStyle name="60% - 强调文字颜色 4 3 19 6 8" xfId="23012"/>
    <cellStyle name="60% - 强调文字颜色 4 3 19 7" xfId="15286"/>
    <cellStyle name="60% - 强调文字颜色 4 3 19 8" xfId="23013"/>
    <cellStyle name="60% - 强调文字颜色 4 3 19 9" xfId="23014"/>
    <cellStyle name="60% - 强调文字颜色 4 3 19 9 2" xfId="23015"/>
    <cellStyle name="60% - 强调文字颜色 4 3 19 9 3" xfId="23017"/>
    <cellStyle name="60% - 强调文字颜色 4 3 2" xfId="23019"/>
    <cellStyle name="60% - 强调文字颜色 4 3 2 10" xfId="3589"/>
    <cellStyle name="60% - 强调文字颜色 4 3 2 11" xfId="23022"/>
    <cellStyle name="60% - 强调文字颜色 4 3 2 12" xfId="5939"/>
    <cellStyle name="60% - 强调文字颜色 4 3 2 13" xfId="5950"/>
    <cellStyle name="60% - 强调文字颜色 4 3 2 14" xfId="5959"/>
    <cellStyle name="60% - 强调文字颜色 4 3 2 2" xfId="23023"/>
    <cellStyle name="60% - 强调文字颜色 4 3 2 3" xfId="23025"/>
    <cellStyle name="60% - 强调文字颜色 4 3 2 4" xfId="23027"/>
    <cellStyle name="60% - 强调文字颜色 4 3 2 5" xfId="23029"/>
    <cellStyle name="60% - 强调文字颜色 4 3 2 6" xfId="23031"/>
    <cellStyle name="60% - 强调文字颜色 4 3 2 7" xfId="23034"/>
    <cellStyle name="60% - 强调文字颜色 4 3 2 8" xfId="23037"/>
    <cellStyle name="60% - 强调文字颜色 4 3 2 9" xfId="23038"/>
    <cellStyle name="60% - 强调文字颜色 4 3 20" xfId="22907"/>
    <cellStyle name="60% - 强调文字颜色 4 3 20 10" xfId="23042"/>
    <cellStyle name="60% - 强调文字颜色 4 3 20 11" xfId="23046"/>
    <cellStyle name="60% - 强调文字颜色 4 3 20 12" xfId="22345"/>
    <cellStyle name="60% - 强调文字颜色 4 3 20 13" xfId="20007"/>
    <cellStyle name="60% - 强调文字颜色 4 3 20 14" xfId="20043"/>
    <cellStyle name="60% - 强调文字颜色 4 3 20 2" xfId="23048"/>
    <cellStyle name="60% - 强调文字颜色 4 3 20 3" xfId="23049"/>
    <cellStyle name="60% - 强调文字颜色 4 3 20 4" xfId="23050"/>
    <cellStyle name="60% - 强调文字颜色 4 3 20 5" xfId="23051"/>
    <cellStyle name="60% - 强调文字颜色 4 3 20 5 10" xfId="19916"/>
    <cellStyle name="60% - 强调文字颜色 4 3 20 5 11" xfId="3005"/>
    <cellStyle name="60% - 强调文字颜色 4 3 20 5 2" xfId="23052"/>
    <cellStyle name="60% - 强调文字颜色 4 3 20 5 2 2" xfId="14113"/>
    <cellStyle name="60% - 强调文字颜色 4 3 20 5 2 2 2" xfId="16109"/>
    <cellStyle name="60% - 强调文字颜色 4 3 20 5 2 2 3" xfId="16113"/>
    <cellStyle name="60% - 强调文字颜色 4 3 20 5 2 3" xfId="14115"/>
    <cellStyle name="60% - 强调文字颜色 4 3 20 5 2 4" xfId="14118"/>
    <cellStyle name="60% - 强调文字颜色 4 3 20 5 2 5" xfId="14129"/>
    <cellStyle name="60% - 强调文字颜色 4 3 20 5 2 6" xfId="23054"/>
    <cellStyle name="60% - 强调文字颜色 4 3 20 5 2 7" xfId="23057"/>
    <cellStyle name="60% - 强调文字颜色 4 3 20 5 2 8" xfId="23059"/>
    <cellStyle name="60% - 强调文字颜色 4 3 20 5 3" xfId="23061"/>
    <cellStyle name="60% - 强调文字颜色 4 3 20 5 4" xfId="23062"/>
    <cellStyle name="60% - 强调文字颜色 4 3 20 5 5" xfId="23064"/>
    <cellStyle name="60% - 强调文字颜色 4 3 20 5 6" xfId="23066"/>
    <cellStyle name="60% - 强调文字颜色 4 3 20 5 6 2" xfId="23068"/>
    <cellStyle name="60% - 强调文字颜色 4 3 20 5 6 3" xfId="23070"/>
    <cellStyle name="60% - 强调文字颜色 4 3 20 5 7" xfId="23071"/>
    <cellStyle name="60% - 强调文字颜色 4 3 20 5 8" xfId="23072"/>
    <cellStyle name="60% - 强调文字颜色 4 3 20 5 9" xfId="16305"/>
    <cellStyle name="60% - 强调文字颜色 4 3 20 6" xfId="23074"/>
    <cellStyle name="60% - 强调文字颜色 4 3 20 6 2" xfId="23076"/>
    <cellStyle name="60% - 强调文字颜色 4 3 20 6 2 2" xfId="1854"/>
    <cellStyle name="60% - 强调文字颜色 4 3 20 6 2 3" xfId="13423"/>
    <cellStyle name="60% - 强调文字颜色 4 3 20 6 3" xfId="23079"/>
    <cellStyle name="60% - 强调文字颜色 4 3 20 6 4" xfId="23081"/>
    <cellStyle name="60% - 强调文字颜色 4 3 20 6 5" xfId="23083"/>
    <cellStyle name="60% - 强调文字颜色 4 3 20 6 6" xfId="23085"/>
    <cellStyle name="60% - 强调文字颜色 4 3 20 6 7" xfId="23087"/>
    <cellStyle name="60% - 强调文字颜色 4 3 20 6 8" xfId="21195"/>
    <cellStyle name="60% - 强调文字颜色 4 3 20 7" xfId="19724"/>
    <cellStyle name="60% - 强调文字颜色 4 3 20 8" xfId="19731"/>
    <cellStyle name="60% - 强调文字颜色 4 3 20 9" xfId="19734"/>
    <cellStyle name="60% - 强调文字颜色 4 3 20 9 2" xfId="3040"/>
    <cellStyle name="60% - 强调文字颜色 4 3 20 9 3" xfId="3054"/>
    <cellStyle name="60% - 强调文字颜色 4 3 3" xfId="8553"/>
    <cellStyle name="60% - 强调文字颜色 4 3 3 10" xfId="17002"/>
    <cellStyle name="60% - 强调文字颜色 4 3 3 11" xfId="17006"/>
    <cellStyle name="60% - 强调文字颜色 4 3 3 12" xfId="17010"/>
    <cellStyle name="60% - 强调文字颜色 4 3 3 13" xfId="17015"/>
    <cellStyle name="60% - 强调文字颜色 4 3 3 14" xfId="17019"/>
    <cellStyle name="60% - 强调文字颜色 4 3 3 2" xfId="23089"/>
    <cellStyle name="60% - 强调文字颜色 4 3 3 3" xfId="23093"/>
    <cellStyle name="60% - 强调文字颜色 4 3 3 4" xfId="14123"/>
    <cellStyle name="60% - 强调文字颜色 4 3 3 5" xfId="14126"/>
    <cellStyle name="60% - 强调文字颜色 4 3 3 6" xfId="23097"/>
    <cellStyle name="60% - 强调文字颜色 4 3 3 7" xfId="23098"/>
    <cellStyle name="60% - 强调文字颜色 4 3 3 8" xfId="23099"/>
    <cellStyle name="60% - 强调文字颜色 4 3 3 9" xfId="23100"/>
    <cellStyle name="60% - 强调文字颜色 4 3 4" xfId="8560"/>
    <cellStyle name="60% - 强调文字颜色 4 3 4 10" xfId="8713"/>
    <cellStyle name="60% - 强调文字颜色 4 3 4 11" xfId="8717"/>
    <cellStyle name="60% - 强调文字颜色 4 3 4 12" xfId="8721"/>
    <cellStyle name="60% - 强调文字颜色 4 3 4 13" xfId="8725"/>
    <cellStyle name="60% - 强调文字颜色 4 3 4 14" xfId="8729"/>
    <cellStyle name="60% - 强调文字颜色 4 3 4 2" xfId="6622"/>
    <cellStyle name="60% - 强调文字颜色 4 3 4 3" xfId="6630"/>
    <cellStyle name="60% - 强调文字颜色 4 3 4 4" xfId="6637"/>
    <cellStyle name="60% - 强调文字颜色 4 3 4 5" xfId="6643"/>
    <cellStyle name="60% - 强调文字颜色 4 3 4 6" xfId="6650"/>
    <cellStyle name="60% - 强调文字颜色 4 3 4 7" xfId="323"/>
    <cellStyle name="60% - 强调文字颜色 4 3 4 8" xfId="598"/>
    <cellStyle name="60% - 强调文字颜色 4 3 4 9" xfId="611"/>
    <cellStyle name="60% - 强调文字颜色 4 3 5" xfId="21360"/>
    <cellStyle name="60% - 强调文字颜色 4 3 6" xfId="21366"/>
    <cellStyle name="60% - 强调文字颜色 4 3 7" xfId="21372"/>
    <cellStyle name="60% - 强调文字颜色 4 3 8" xfId="21722"/>
    <cellStyle name="60% - 强调文字颜色 4 3 9" xfId="21725"/>
    <cellStyle name="60% - 强调文字颜色 4 4" xfId="13491"/>
    <cellStyle name="60% - 强调文字颜色 4 4 10" xfId="17972"/>
    <cellStyle name="60% - 强调文字颜色 4 4 11" xfId="1712"/>
    <cellStyle name="60% - 强调文字颜色 4 4 12" xfId="1735"/>
    <cellStyle name="60% - 强调文字颜色 4 4 13" xfId="13482"/>
    <cellStyle name="60% - 强调文字颜色 4 4 14" xfId="13487"/>
    <cellStyle name="60% - 强调文字颜色 4 4 15" xfId="21316"/>
    <cellStyle name="60% - 强调文字颜色 4 4 16" xfId="21320"/>
    <cellStyle name="60% - 强调文字颜色 4 4 17" xfId="14338"/>
    <cellStyle name="60% - 强调文字颜色 4 4 17 10" xfId="23102"/>
    <cellStyle name="60% - 强调文字颜色 4 4 17 11" xfId="23105"/>
    <cellStyle name="60% - 强调文字颜色 4 4 17 12" xfId="23108"/>
    <cellStyle name="60% - 强调文字颜色 4 4 17 13" xfId="23110"/>
    <cellStyle name="60% - 强调文字颜色 4 4 17 14" xfId="20899"/>
    <cellStyle name="60% - 强调文字颜色 4 4 17 2" xfId="11985"/>
    <cellStyle name="60% - 强调文字颜色 4 4 17 3" xfId="11988"/>
    <cellStyle name="60% - 强调文字颜色 4 4 17 4" xfId="11991"/>
    <cellStyle name="60% - 强调文字颜色 4 4 17 5" xfId="12025"/>
    <cellStyle name="60% - 强调文字颜色 4 4 17 5 10" xfId="23114"/>
    <cellStyle name="60% - 强调文字颜色 4 4 17 5 11" xfId="23115"/>
    <cellStyle name="60% - 强调文字颜色 4 4 17 5 2" xfId="11615"/>
    <cellStyle name="60% - 强调文字颜色 4 4 17 5 2 2" xfId="4019"/>
    <cellStyle name="60% - 强调文字颜色 4 4 17 5 2 2 2" xfId="10941"/>
    <cellStyle name="60% - 强调文字颜色 4 4 17 5 2 2 3" xfId="10946"/>
    <cellStyle name="60% - 强调文字颜色 4 4 17 5 2 3" xfId="4028"/>
    <cellStyle name="60% - 强调文字颜色 4 4 17 5 2 4" xfId="4040"/>
    <cellStyle name="60% - 强调文字颜色 4 4 17 5 2 5" xfId="23116"/>
    <cellStyle name="60% - 强调文字颜色 4 4 17 5 2 6" xfId="23117"/>
    <cellStyle name="60% - 强调文字颜色 4 4 17 5 2 7" xfId="23118"/>
    <cellStyle name="60% - 强调文字颜色 4 4 17 5 2 8" xfId="23119"/>
    <cellStyle name="60% - 强调文字颜色 4 4 17 5 3" xfId="11622"/>
    <cellStyle name="60% - 强调文字颜色 4 4 17 5 4" xfId="10488"/>
    <cellStyle name="60% - 强调文字颜色 4 4 17 5 5" xfId="10496"/>
    <cellStyle name="60% - 强调文字颜色 4 4 17 5 6" xfId="10507"/>
    <cellStyle name="60% - 强调文字颜色 4 4 17 5 6 2" xfId="3043"/>
    <cellStyle name="60% - 强调文字颜色 4 4 17 5 6 3" xfId="5847"/>
    <cellStyle name="60% - 强调文字颜色 4 4 17 5 7" xfId="10513"/>
    <cellStyle name="60% - 强调文字颜色 4 4 17 5 8" xfId="10526"/>
    <cellStyle name="60% - 强调文字颜色 4 4 17 5 9" xfId="23120"/>
    <cellStyle name="60% - 强调文字颜色 4 4 17 6" xfId="5777"/>
    <cellStyle name="60% - 强调文字颜色 4 4 17 6 2" xfId="5798"/>
    <cellStyle name="60% - 强调文字颜色 4 4 17 6 2 2" xfId="23123"/>
    <cellStyle name="60% - 强调文字颜色 4 4 17 6 2 3" xfId="23125"/>
    <cellStyle name="60% - 强调文字颜色 4 4 17 6 3" xfId="23127"/>
    <cellStyle name="60% - 强调文字颜色 4 4 17 6 4" xfId="23129"/>
    <cellStyle name="60% - 强调文字颜色 4 4 17 6 5" xfId="23131"/>
    <cellStyle name="60% - 强调文字颜色 4 4 17 6 6" xfId="23133"/>
    <cellStyle name="60% - 强调文字颜色 4 4 17 6 7" xfId="23135"/>
    <cellStyle name="60% - 强调文字颜色 4 4 17 6 8" xfId="23137"/>
    <cellStyle name="60% - 强调文字颜色 4 4 17 7" xfId="5808"/>
    <cellStyle name="60% - 强调文字颜色 4 4 17 8" xfId="5818"/>
    <cellStyle name="60% - 强调文字颜色 4 4 17 9" xfId="23139"/>
    <cellStyle name="60% - 强调文字颜色 4 4 17 9 2" xfId="4154"/>
    <cellStyle name="60% - 强调文字颜色 4 4 17 9 3" xfId="4159"/>
    <cellStyle name="60% - 强调文字颜色 4 4 18" xfId="14347"/>
    <cellStyle name="60% - 强调文字颜色 4 4 18 10" xfId="23140"/>
    <cellStyle name="60% - 强调文字颜色 4 4 18 11" xfId="23141"/>
    <cellStyle name="60% - 强调文字颜色 4 4 18 12" xfId="23142"/>
    <cellStyle name="60% - 强调文字颜色 4 4 18 13" xfId="23143"/>
    <cellStyle name="60% - 强调文字颜色 4 4 18 14" xfId="23144"/>
    <cellStyle name="60% - 强调文字颜色 4 4 18 2" xfId="6743"/>
    <cellStyle name="60% - 强调文字颜色 4 4 18 3" xfId="6753"/>
    <cellStyle name="60% - 强调文字颜色 4 4 18 4" xfId="8095"/>
    <cellStyle name="60% - 强调文字颜色 4 4 18 5" xfId="6195"/>
    <cellStyle name="60% - 强调文字颜色 4 4 18 5 10" xfId="10225"/>
    <cellStyle name="60% - 强调文字颜色 4 4 18 5 11" xfId="6025"/>
    <cellStyle name="60% - 强调文字颜色 4 4 18 5 2" xfId="3060"/>
    <cellStyle name="60% - 强调文字颜色 4 4 18 5 2 2" xfId="2131"/>
    <cellStyle name="60% - 强调文字颜色 4 4 18 5 2 2 2" xfId="8181"/>
    <cellStyle name="60% - 强调文字颜色 4 4 18 5 2 2 3" xfId="17363"/>
    <cellStyle name="60% - 强调文字颜色 4 4 18 5 2 3" xfId="2149"/>
    <cellStyle name="60% - 强调文字颜色 4 4 18 5 2 4" xfId="17449"/>
    <cellStyle name="60% - 强调文字颜色 4 4 18 5 2 5" xfId="23146"/>
    <cellStyle name="60% - 强调文字颜色 4 4 18 5 2 6" xfId="23148"/>
    <cellStyle name="60% - 强调文字颜色 4 4 18 5 2 7" xfId="23150"/>
    <cellStyle name="60% - 强调文字颜色 4 4 18 5 2 8" xfId="20469"/>
    <cellStyle name="60% - 强调文字颜色 4 4 18 5 3" xfId="3074"/>
    <cellStyle name="60% - 强调文字颜色 4 4 18 5 4" xfId="8206"/>
    <cellStyle name="60% - 强调文字颜色 4 4 18 5 5" xfId="8213"/>
    <cellStyle name="60% - 强调文字颜色 4 4 18 5 6" xfId="12081"/>
    <cellStyle name="60% - 强调文字颜色 4 4 18 5 6 2" xfId="14278"/>
    <cellStyle name="60% - 强调文字颜色 4 4 18 5 6 3" xfId="14282"/>
    <cellStyle name="60% - 强调文字颜色 4 4 18 5 7" xfId="12086"/>
    <cellStyle name="60% - 强调文字颜色 4 4 18 5 8" xfId="12090"/>
    <cellStyle name="60% - 强调文字颜色 4 4 18 5 9" xfId="23152"/>
    <cellStyle name="60% - 强调文字颜色 4 4 18 6" xfId="6205"/>
    <cellStyle name="60% - 强调文字颜色 4 4 18 6 2" xfId="23155"/>
    <cellStyle name="60% - 强调文字颜色 4 4 18 6 2 2" xfId="13661"/>
    <cellStyle name="60% - 强调文字颜色 4 4 18 6 2 3" xfId="13665"/>
    <cellStyle name="60% - 强调文字颜色 4 4 18 6 3" xfId="23156"/>
    <cellStyle name="60% - 强调文字颜色 4 4 18 6 4" xfId="23157"/>
    <cellStyle name="60% - 强调文字颜色 4 4 18 6 5" xfId="23158"/>
    <cellStyle name="60% - 强调文字颜色 4 4 18 6 6" xfId="23159"/>
    <cellStyle name="60% - 强调文字颜色 4 4 18 6 7" xfId="23160"/>
    <cellStyle name="60% - 强调文字颜色 4 4 18 6 8" xfId="23161"/>
    <cellStyle name="60% - 强调文字颜色 4 4 18 7" xfId="12093"/>
    <cellStyle name="60% - 强调文字颜色 4 4 18 8" xfId="12100"/>
    <cellStyle name="60% - 强调文字颜色 4 4 18 9" xfId="23162"/>
    <cellStyle name="60% - 强调文字颜色 4 4 18 9 2" xfId="6266"/>
    <cellStyle name="60% - 强调文字颜色 4 4 18 9 3" xfId="6274"/>
    <cellStyle name="60% - 强调文字颜色 4 4 19" xfId="14357"/>
    <cellStyle name="60% - 强调文字颜色 4 4 19 10" xfId="4228"/>
    <cellStyle name="60% - 强调文字颜色 4 4 19 11" xfId="2061"/>
    <cellStyle name="60% - 强调文字颜色 4 4 19 12" xfId="2091"/>
    <cellStyle name="60% - 强调文字颜色 4 4 19 13" xfId="23166"/>
    <cellStyle name="60% - 强调文字颜色 4 4 19 14" xfId="23168"/>
    <cellStyle name="60% - 强调文字颜色 4 4 19 2" xfId="7568"/>
    <cellStyle name="60% - 强调文字颜色 4 4 19 3" xfId="12111"/>
    <cellStyle name="60% - 强调文字颜色 4 4 19 4" xfId="12115"/>
    <cellStyle name="60% - 强调文字颜色 4 4 19 5" xfId="12192"/>
    <cellStyle name="60% - 强调文字颜色 4 4 19 5 10" xfId="917"/>
    <cellStyle name="60% - 强调文字颜色 4 4 19 5 11" xfId="956"/>
    <cellStyle name="60% - 强调文字颜色 4 4 19 5 2" xfId="1205"/>
    <cellStyle name="60% - 强调文字颜色 4 4 19 5 2 2" xfId="10504"/>
    <cellStyle name="60% - 强调文字颜色 4 4 19 5 2 2 2" xfId="3049"/>
    <cellStyle name="60% - 强调文字颜色 4 4 19 5 2 2 3" xfId="5851"/>
    <cellStyle name="60% - 强调文字颜色 4 4 19 5 2 3" xfId="10521"/>
    <cellStyle name="60% - 强调文字颜色 4 4 19 5 2 4" xfId="18484"/>
    <cellStyle name="60% - 强调文字颜色 4 4 19 5 2 5" xfId="23169"/>
    <cellStyle name="60% - 强调文字颜色 4 4 19 5 2 6" xfId="23170"/>
    <cellStyle name="60% - 强调文字颜色 4 4 19 5 2 7" xfId="23171"/>
    <cellStyle name="60% - 强调文字颜色 4 4 19 5 2 8" xfId="23172"/>
    <cellStyle name="60% - 强调文字颜色 4 4 19 5 3" xfId="528"/>
    <cellStyle name="60% - 强调文字颜色 4 4 19 5 4" xfId="6037"/>
    <cellStyle name="60% - 强调文字颜色 4 4 19 5 5" xfId="6043"/>
    <cellStyle name="60% - 强调文字颜色 4 4 19 5 6" xfId="6050"/>
    <cellStyle name="60% - 强调文字颜色 4 4 19 5 6 2" xfId="4191"/>
    <cellStyle name="60% - 强调文字颜色 4 4 19 5 6 3" xfId="21751"/>
    <cellStyle name="60% - 强调文字颜色 4 4 19 5 7" xfId="6056"/>
    <cellStyle name="60% - 强调文字颜色 4 4 19 5 8" xfId="6063"/>
    <cellStyle name="60% - 强调文字颜色 4 4 19 5 9" xfId="1888"/>
    <cellStyle name="60% - 强调文字颜色 4 4 19 6" xfId="12196"/>
    <cellStyle name="60% - 强调文字颜色 4 4 19 6 2" xfId="23175"/>
    <cellStyle name="60% - 强调文字颜色 4 4 19 6 2 2" xfId="12079"/>
    <cellStyle name="60% - 强调文字颜色 4 4 19 6 2 3" xfId="23176"/>
    <cellStyle name="60% - 强调文字颜色 4 4 19 6 3" xfId="23179"/>
    <cellStyle name="60% - 强调文字颜色 4 4 19 6 4" xfId="23182"/>
    <cellStyle name="60% - 强调文字颜色 4 4 19 6 5" xfId="23185"/>
    <cellStyle name="60% - 强调文字颜色 4 4 19 6 6" xfId="23188"/>
    <cellStyle name="60% - 强调文字颜色 4 4 19 6 7" xfId="23189"/>
    <cellStyle name="60% - 强调文字颜色 4 4 19 6 8" xfId="213"/>
    <cellStyle name="60% - 强调文字颜色 4 4 19 7" xfId="12199"/>
    <cellStyle name="60% - 强调文字颜色 4 4 19 8" xfId="10474"/>
    <cellStyle name="60% - 强调文字颜色 4 4 19 9" xfId="23190"/>
    <cellStyle name="60% - 强调文字颜色 4 4 19 9 2" xfId="21793"/>
    <cellStyle name="60% - 强调文字颜色 4 4 19 9 3" xfId="21797"/>
    <cellStyle name="60% - 强调文字颜色 4 4 2" xfId="23194"/>
    <cellStyle name="60% - 强调文字颜色 4 4 20" xfId="21315"/>
    <cellStyle name="60% - 强调文字颜色 4 4 20 10" xfId="18077"/>
    <cellStyle name="60% - 强调文字颜色 4 4 20 11" xfId="18081"/>
    <cellStyle name="60% - 强调文字颜色 4 4 20 12" xfId="18085"/>
    <cellStyle name="60% - 强调文字颜色 4 4 20 13" xfId="18088"/>
    <cellStyle name="60% - 强调文字颜色 4 4 20 14" xfId="18091"/>
    <cellStyle name="60% - 强调文字颜色 4 4 20 2" xfId="7236"/>
    <cellStyle name="60% - 强调文字颜色 4 4 20 3" xfId="7247"/>
    <cellStyle name="60% - 强调文字颜色 4 4 20 4" xfId="12245"/>
    <cellStyle name="60% - 强调文字颜色 4 4 20 5" xfId="12277"/>
    <cellStyle name="60% - 强调文字颜色 4 4 20 5 10" xfId="23195"/>
    <cellStyle name="60% - 强调文字颜色 4 4 20 5 11" xfId="23196"/>
    <cellStyle name="60% - 强调文字颜色 4 4 20 5 2" xfId="11247"/>
    <cellStyle name="60% - 强调文字颜色 4 4 20 5 2 2" xfId="12281"/>
    <cellStyle name="60% - 强调文字颜色 4 4 20 5 2 2 2" xfId="16800"/>
    <cellStyle name="60% - 强调文字颜色 4 4 20 5 2 2 3" xfId="16805"/>
    <cellStyle name="60% - 强调文字颜色 4 4 20 5 2 3" xfId="12287"/>
    <cellStyle name="60% - 强调文字颜色 4 4 20 5 2 4" xfId="14947"/>
    <cellStyle name="60% - 强调文字颜色 4 4 20 5 2 5" xfId="16808"/>
    <cellStyle name="60% - 强调文字颜色 4 4 20 5 2 6" xfId="23197"/>
    <cellStyle name="60% - 强调文字颜色 4 4 20 5 2 7" xfId="23198"/>
    <cellStyle name="60% - 强调文字颜色 4 4 20 5 2 8" xfId="23199"/>
    <cellStyle name="60% - 强调文字颜色 4 4 20 5 3" xfId="9277"/>
    <cellStyle name="60% - 强调文字颜色 4 4 20 5 4" xfId="9287"/>
    <cellStyle name="60% - 强调文字颜色 4 4 20 5 5" xfId="12296"/>
    <cellStyle name="60% - 强调文字颜色 4 4 20 5 6" xfId="12304"/>
    <cellStyle name="60% - 强调文字颜色 4 4 20 5 6 2" xfId="23201"/>
    <cellStyle name="60% - 强调文字颜色 4 4 20 5 6 3" xfId="23203"/>
    <cellStyle name="60% - 强调文字颜色 4 4 20 5 7" xfId="12308"/>
    <cellStyle name="60% - 强调文字颜色 4 4 20 5 8" xfId="12312"/>
    <cellStyle name="60% - 强调文字颜色 4 4 20 5 9" xfId="23204"/>
    <cellStyle name="60% - 强调文字颜色 4 4 20 6" xfId="12316"/>
    <cellStyle name="60% - 强调文字颜色 4 4 20 6 2" xfId="2933"/>
    <cellStyle name="60% - 强调文字颜色 4 4 20 6 2 2" xfId="11313"/>
    <cellStyle name="60% - 强调文字颜色 4 4 20 6 2 3" xfId="11316"/>
    <cellStyle name="60% - 强调文字颜色 4 4 20 6 3" xfId="11333"/>
    <cellStyle name="60% - 强调文字颜色 4 4 20 6 4" xfId="23205"/>
    <cellStyle name="60% - 强调文字颜色 4 4 20 6 5" xfId="23206"/>
    <cellStyle name="60% - 强调文字颜色 4 4 20 6 6" xfId="23207"/>
    <cellStyle name="60% - 强调文字颜色 4 4 20 6 7" xfId="23208"/>
    <cellStyle name="60% - 强调文字颜色 4 4 20 6 8" xfId="21264"/>
    <cellStyle name="60% - 强调文字颜色 4 4 20 7" xfId="2953"/>
    <cellStyle name="60% - 强调文字颜色 4 4 20 8" xfId="2968"/>
    <cellStyle name="60% - 强调文字颜色 4 4 20 9" xfId="21583"/>
    <cellStyle name="60% - 强调文字颜色 4 4 20 9 2" xfId="3781"/>
    <cellStyle name="60% - 强调文字颜色 4 4 20 9 3" xfId="3791"/>
    <cellStyle name="60% - 强调文字颜色 4 4 3" xfId="23211"/>
    <cellStyle name="60% - 强调文字颜色 4 4 4" xfId="23214"/>
    <cellStyle name="60% - 强调文字颜色 4 4 5" xfId="23217"/>
    <cellStyle name="60% - 强调文字颜色 4 4 6" xfId="23220"/>
    <cellStyle name="60% - 强调文字颜色 4 4 7" xfId="23221"/>
    <cellStyle name="60% - 强调文字颜色 4 4 8" xfId="23222"/>
    <cellStyle name="60% - 强调文字颜色 4 4 9" xfId="23223"/>
    <cellStyle name="60% - 强调文字颜色 4 5" xfId="23224"/>
    <cellStyle name="60% - 强调文字颜色 4 5 10" xfId="23225"/>
    <cellStyle name="60% - 强调文字颜色 4 5 11" xfId="23226"/>
    <cellStyle name="60% - 强调文字颜色 4 5 12" xfId="23228"/>
    <cellStyle name="60% - 强调文字颜色 4 5 13" xfId="23021"/>
    <cellStyle name="60% - 强调文字颜色 4 5 14" xfId="8556"/>
    <cellStyle name="60% - 强调文字颜色 4 5 2" xfId="7914"/>
    <cellStyle name="60% - 强调文字颜色 4 5 3" xfId="7917"/>
    <cellStyle name="60% - 强调文字颜色 4 5 4" xfId="23230"/>
    <cellStyle name="60% - 强调文字颜色 4 5 5" xfId="23232"/>
    <cellStyle name="60% - 强调文字颜色 4 5 6" xfId="23234"/>
    <cellStyle name="60% - 强调文字颜色 4 5 7" xfId="23235"/>
    <cellStyle name="60% - 强调文字颜色 4 5 8" xfId="23236"/>
    <cellStyle name="60% - 强调文字颜色 4 5 9" xfId="23237"/>
    <cellStyle name="60% - 强调文字颜色 4 6" xfId="23238"/>
    <cellStyle name="60% - 强调文字颜色 4 6 10" xfId="23239"/>
    <cellStyle name="60% - 强调文字颜色 4 6 11" xfId="23240"/>
    <cellStyle name="60% - 强调文字颜色 4 6 12" xfId="18891"/>
    <cellStyle name="60% - 强调文字颜色 4 6 13" xfId="18905"/>
    <cellStyle name="60% - 强调文字颜色 4 6 14" xfId="18907"/>
    <cellStyle name="60% - 强调文字颜色 4 6 2" xfId="23242"/>
    <cellStyle name="60% - 强调文字颜色 4 6 3" xfId="768"/>
    <cellStyle name="60% - 强调文字颜色 4 6 4" xfId="498"/>
    <cellStyle name="60% - 强调文字颜色 4 6 5" xfId="775"/>
    <cellStyle name="60% - 强调文字颜色 4 6 6" xfId="782"/>
    <cellStyle name="60% - 强调文字颜色 4 6 7" xfId="796"/>
    <cellStyle name="60% - 强调文字颜色 4 6 8" xfId="23246"/>
    <cellStyle name="60% - 强调文字颜色 4 6 9" xfId="23249"/>
    <cellStyle name="60% - 强调文字颜色 4 7" xfId="23250"/>
    <cellStyle name="60% - 强调文字颜色 4 8" xfId="23251"/>
    <cellStyle name="60% - 强调文字颜色 4 9" xfId="6316"/>
    <cellStyle name="60% - 强调文字颜色 5 10" xfId="23252"/>
    <cellStyle name="60% - 强调文字颜色 5 11" xfId="23254"/>
    <cellStyle name="60% - 强调文字颜色 5 12" xfId="3663"/>
    <cellStyle name="60% - 强调文字颜色 5 12 10" xfId="23256"/>
    <cellStyle name="60% - 强调文字颜色 5 12 11" xfId="23257"/>
    <cellStyle name="60% - 强调文字颜色 5 12 12" xfId="23258"/>
    <cellStyle name="60% - 强调文字颜色 5 12 13" xfId="16064"/>
    <cellStyle name="60% - 强调文字颜色 5 12 14" xfId="16070"/>
    <cellStyle name="60% - 强调文字颜色 5 12 2" xfId="23260"/>
    <cellStyle name="60% - 强调文字颜色 5 12 3" xfId="23262"/>
    <cellStyle name="60% - 强调文字颜色 5 12 4" xfId="23267"/>
    <cellStyle name="60% - 强调文字颜色 5 12 5" xfId="23270"/>
    <cellStyle name="60% - 强调文字颜色 5 12 5 10" xfId="1126"/>
    <cellStyle name="60% - 强调文字颜色 5 12 5 11" xfId="23272"/>
    <cellStyle name="60% - 强调文字颜色 5 12 5 2" xfId="13166"/>
    <cellStyle name="60% - 强调文字颜色 5 12 5 2 2" xfId="23273"/>
    <cellStyle name="60% - 强调文字颜色 5 12 5 2 2 2" xfId="17838"/>
    <cellStyle name="60% - 强调文字颜色 5 12 5 2 2 3" xfId="23274"/>
    <cellStyle name="60% - 强调文字颜色 5 12 5 2 3" xfId="23276"/>
    <cellStyle name="60% - 强调文字颜色 5 12 5 2 4" xfId="23277"/>
    <cellStyle name="60% - 强调文字颜色 5 12 5 2 5" xfId="23278"/>
    <cellStyle name="60% - 强调文字颜色 5 12 5 2 6" xfId="11405"/>
    <cellStyle name="60% - 强调文字颜色 5 12 5 2 7" xfId="11407"/>
    <cellStyle name="60% - 强调文字颜色 5 12 5 2 8" xfId="15900"/>
    <cellStyle name="60% - 强调文字颜色 5 12 5 3" xfId="13171"/>
    <cellStyle name="60% - 强调文字颜色 5 12 5 4" xfId="13178"/>
    <cellStyle name="60% - 强调文字颜色 5 12 5 5" xfId="5779"/>
    <cellStyle name="60% - 强调文字颜色 5 12 5 6" xfId="5812"/>
    <cellStyle name="60% - 强调文字颜色 5 12 5 6 2" xfId="23281"/>
    <cellStyle name="60% - 强调文字颜色 5 12 5 6 3" xfId="23283"/>
    <cellStyle name="60% - 强调文字颜色 5 12 5 7" xfId="5820"/>
    <cellStyle name="60% - 强调文字颜色 5 12 5 8" xfId="5827"/>
    <cellStyle name="60% - 强调文字颜色 5 12 5 9" xfId="5833"/>
    <cellStyle name="60% - 强调文字颜色 5 12 6" xfId="16469"/>
    <cellStyle name="60% - 强调文字颜色 5 12 6 2" xfId="6759"/>
    <cellStyle name="60% - 强调文字颜色 5 12 6 2 2" xfId="347"/>
    <cellStyle name="60% - 强调文字颜色 5 12 6 2 3" xfId="23284"/>
    <cellStyle name="60% - 强调文字颜色 5 12 6 3" xfId="15697"/>
    <cellStyle name="60% - 强调文字颜色 5 12 6 4" xfId="15702"/>
    <cellStyle name="60% - 强调文字颜色 5 12 6 5" xfId="15703"/>
    <cellStyle name="60% - 强调文字颜色 5 12 6 6" xfId="15708"/>
    <cellStyle name="60% - 强调文字颜色 5 12 6 7" xfId="15716"/>
    <cellStyle name="60% - 强调文字颜色 5 12 6 8" xfId="23287"/>
    <cellStyle name="60% - 强调文字颜色 5 12 7" xfId="16472"/>
    <cellStyle name="60% - 强调文字颜色 5 12 8" xfId="23289"/>
    <cellStyle name="60% - 强调文字颜色 5 12 9" xfId="14849"/>
    <cellStyle name="60% - 强调文字颜色 5 12 9 2" xfId="23291"/>
    <cellStyle name="60% - 强调文字颜色 5 12 9 3" xfId="23293"/>
    <cellStyle name="60% - 强调文字颜色 5 13" xfId="3672"/>
    <cellStyle name="60% - 强调文字颜色 5 14" xfId="3679"/>
    <cellStyle name="60% - 强调文字颜色 5 15" xfId="2557"/>
    <cellStyle name="60% - 强调文字颜色 5 16" xfId="2577"/>
    <cellStyle name="60% - 强调文字颜色 5 16 10" xfId="23294"/>
    <cellStyle name="60% - 强调文字颜色 5 16 11" xfId="23295"/>
    <cellStyle name="60% - 强调文字颜色 5 16 12" xfId="23296"/>
    <cellStyle name="60% - 强调文字颜色 5 16 13" xfId="23297"/>
    <cellStyle name="60% - 强调文字颜色 5 16 14" xfId="23298"/>
    <cellStyle name="60% - 强调文字颜色 5 16 2" xfId="21233"/>
    <cellStyle name="60% - 强调文字颜色 5 16 3" xfId="21279"/>
    <cellStyle name="60% - 强调文字颜色 5 16 4" xfId="21307"/>
    <cellStyle name="60% - 强调文字颜色 5 16 5" xfId="23299"/>
    <cellStyle name="60% - 强调文字颜色 5 16 5 10" xfId="10086"/>
    <cellStyle name="60% - 强调文字颜色 5 16 5 11" xfId="10088"/>
    <cellStyle name="60% - 强调文字颜色 5 16 5 2" xfId="3483"/>
    <cellStyle name="60% - 强调文字颜色 5 16 5 2 2" xfId="16447"/>
    <cellStyle name="60% - 强调文字颜色 5 16 5 2 2 2" xfId="11177"/>
    <cellStyle name="60% - 强调文字颜色 5 16 5 2 2 3" xfId="11179"/>
    <cellStyle name="60% - 强调文字颜色 5 16 5 2 3" xfId="16449"/>
    <cellStyle name="60% - 强调文字颜色 5 16 5 2 4" xfId="16453"/>
    <cellStyle name="60% - 强调文字颜色 5 16 5 2 5" xfId="3959"/>
    <cellStyle name="60% - 强调文字颜色 5 16 5 2 6" xfId="3984"/>
    <cellStyle name="60% - 强调文字颜色 5 16 5 2 7" xfId="4916"/>
    <cellStyle name="60% - 强调文字颜色 5 16 5 2 8" xfId="5218"/>
    <cellStyle name="60% - 强调文字颜色 5 16 5 3" xfId="3488"/>
    <cellStyle name="60% - 强调文字颜色 5 16 5 4" xfId="17654"/>
    <cellStyle name="60% - 强调文字颜色 5 16 5 5" xfId="17658"/>
    <cellStyle name="60% - 强调文字颜色 5 16 5 6" xfId="8086"/>
    <cellStyle name="60% - 强调文字颜色 5 16 5 6 2" xfId="15694"/>
    <cellStyle name="60% - 强调文字颜色 5 16 5 6 3" xfId="15699"/>
    <cellStyle name="60% - 强调文字颜色 5 16 5 7" xfId="8104"/>
    <cellStyle name="60% - 强调文字颜色 5 16 5 8" xfId="23301"/>
    <cellStyle name="60% - 强调文字颜色 5 16 5 9" xfId="23303"/>
    <cellStyle name="60% - 强调文字颜色 5 16 6" xfId="23305"/>
    <cellStyle name="60% - 强调文字颜色 5 16 6 2" xfId="3341"/>
    <cellStyle name="60% - 强调文字颜色 5 16 6 2 2" xfId="17251"/>
    <cellStyle name="60% - 强调文字颜色 5 16 6 2 3" xfId="17256"/>
    <cellStyle name="60% - 强调文字颜色 5 16 6 3" xfId="3354"/>
    <cellStyle name="60% - 强调文字颜色 5 16 6 4" xfId="3369"/>
    <cellStyle name="60% - 强调文字颜色 5 16 6 5" xfId="15771"/>
    <cellStyle name="60% - 强调文字颜色 5 16 6 6" xfId="15774"/>
    <cellStyle name="60% - 强调文字颜色 5 16 6 7" xfId="15777"/>
    <cellStyle name="60% - 强调文字颜色 5 16 6 8" xfId="23306"/>
    <cellStyle name="60% - 强调文字颜色 5 16 7" xfId="23308"/>
    <cellStyle name="60% - 强调文字颜色 5 16 8" xfId="23310"/>
    <cellStyle name="60% - 强调文字颜色 5 16 9" xfId="23312"/>
    <cellStyle name="60% - 强调文字颜色 5 16 9 2" xfId="20424"/>
    <cellStyle name="60% - 强调文字颜色 5 16 9 3" xfId="23315"/>
    <cellStyle name="60% - 强调文字颜色 5 17" xfId="8063"/>
    <cellStyle name="60% - 强调文字颜色 5 17 10" xfId="21946"/>
    <cellStyle name="60% - 强调文字颜色 5 17 11" xfId="21948"/>
    <cellStyle name="60% - 强调文字颜色 5 17 12" xfId="21950"/>
    <cellStyle name="60% - 强调文字颜色 5 17 13" xfId="18422"/>
    <cellStyle name="60% - 强调文字颜色 5 17 14" xfId="18424"/>
    <cellStyle name="60% - 强调文字颜色 5 17 2" xfId="23318"/>
    <cellStyle name="60% - 强调文字颜色 5 17 3" xfId="23319"/>
    <cellStyle name="60% - 强调文字颜色 5 17 4" xfId="23320"/>
    <cellStyle name="60% - 强调文字颜色 5 17 5" xfId="23321"/>
    <cellStyle name="60% - 强调文字颜色 5 17 5 10" xfId="15543"/>
    <cellStyle name="60% - 强调文字颜色 5 17 5 11" xfId="22921"/>
    <cellStyle name="60% - 强调文字颜色 5 17 5 2" xfId="23322"/>
    <cellStyle name="60% - 强调文字颜色 5 17 5 2 2" xfId="23325"/>
    <cellStyle name="60% - 强调文字颜色 5 17 5 2 2 2" xfId="23326"/>
    <cellStyle name="60% - 强调文字颜色 5 17 5 2 2 3" xfId="16631"/>
    <cellStyle name="60% - 强调文字颜色 5 17 5 2 3" xfId="23329"/>
    <cellStyle name="60% - 强调文字颜色 5 17 5 2 4" xfId="23330"/>
    <cellStyle name="60% - 强调文字颜色 5 17 5 2 5" xfId="23331"/>
    <cellStyle name="60% - 强调文字颜色 5 17 5 2 6" xfId="23332"/>
    <cellStyle name="60% - 强调文字颜色 5 17 5 2 7" xfId="23333"/>
    <cellStyle name="60% - 强调文字颜色 5 17 5 2 8" xfId="16150"/>
    <cellStyle name="60% - 强调文字颜色 5 17 5 3" xfId="23336"/>
    <cellStyle name="60% - 强调文字颜色 5 17 5 4" xfId="19673"/>
    <cellStyle name="60% - 强调文字颜色 5 17 5 5" xfId="19677"/>
    <cellStyle name="60% - 强调文字颜色 5 17 5 6" xfId="23339"/>
    <cellStyle name="60% - 强调文字颜色 5 17 5 6 2" xfId="13552"/>
    <cellStyle name="60% - 强调文字颜色 5 17 5 6 3" xfId="13556"/>
    <cellStyle name="60% - 强调文字颜色 5 17 5 7" xfId="22840"/>
    <cellStyle name="60% - 强调文字颜色 5 17 5 8" xfId="22842"/>
    <cellStyle name="60% - 强调文字颜色 5 17 5 9" xfId="22844"/>
    <cellStyle name="60% - 强调文字颜色 5 17 6" xfId="23340"/>
    <cellStyle name="60% - 强调文字颜色 5 17 6 2" xfId="1581"/>
    <cellStyle name="60% - 强调文字颜色 5 17 6 2 2" xfId="23341"/>
    <cellStyle name="60% - 强调文字颜色 5 17 6 2 3" xfId="23343"/>
    <cellStyle name="60% - 强调文字颜色 5 17 6 3" xfId="1598"/>
    <cellStyle name="60% - 强调文字颜色 5 17 6 4" xfId="1614"/>
    <cellStyle name="60% - 强调文字颜色 5 17 6 5" xfId="1636"/>
    <cellStyle name="60% - 强调文字颜色 5 17 6 6" xfId="1652"/>
    <cellStyle name="60% - 强调文字颜色 5 17 6 7" xfId="1667"/>
    <cellStyle name="60% - 强调文字颜色 5 17 6 8" xfId="23345"/>
    <cellStyle name="60% - 强调文字颜色 5 17 7" xfId="23347"/>
    <cellStyle name="60% - 强调文字颜色 5 17 8" xfId="23348"/>
    <cellStyle name="60% - 强调文字颜色 5 17 9" xfId="23349"/>
    <cellStyle name="60% - 强调文字颜色 5 17 9 2" xfId="23350"/>
    <cellStyle name="60% - 强调文字颜色 5 17 9 3" xfId="23351"/>
    <cellStyle name="60% - 强调文字颜色 5 18" xfId="8070"/>
    <cellStyle name="60% - 强调文字颜色 5 18 10" xfId="3992"/>
    <cellStyle name="60% - 强调文字颜色 5 18 11" xfId="4001"/>
    <cellStyle name="60% - 强调文字颜色 5 18 12" xfId="2069"/>
    <cellStyle name="60% - 强调文字颜色 5 18 13" xfId="3109"/>
    <cellStyle name="60% - 强调文字颜色 5 18 14" xfId="4011"/>
    <cellStyle name="60% - 强调文字颜色 5 18 2" xfId="276"/>
    <cellStyle name="60% - 强调文字颜色 5 18 3" xfId="1354"/>
    <cellStyle name="60% - 强调文字颜色 5 18 4" xfId="3123"/>
    <cellStyle name="60% - 强调文字颜色 5 18 5" xfId="3128"/>
    <cellStyle name="60% - 强调文字颜色 5 18 5 10" xfId="906"/>
    <cellStyle name="60% - 强调文字颜色 5 18 5 11" xfId="942"/>
    <cellStyle name="60% - 强调文字颜色 5 18 5 2" xfId="8079"/>
    <cellStyle name="60% - 强调文字颜色 5 18 5 2 2" xfId="8091"/>
    <cellStyle name="60% - 强调文字颜色 5 18 5 2 2 2" xfId="8101"/>
    <cellStyle name="60% - 强调文字颜色 5 18 5 2 2 3" xfId="6200"/>
    <cellStyle name="60% - 强调文字颜色 5 18 5 2 3" xfId="8110"/>
    <cellStyle name="60% - 强调文字颜色 5 18 5 2 4" xfId="8117"/>
    <cellStyle name="60% - 强调文字颜色 5 18 5 2 5" xfId="8122"/>
    <cellStyle name="60% - 强调文字颜色 5 18 5 2 6" xfId="8128"/>
    <cellStyle name="60% - 强调文字颜色 5 18 5 2 7" xfId="8134"/>
    <cellStyle name="60% - 强调文字颜色 5 18 5 2 8" xfId="1815"/>
    <cellStyle name="60% - 强调文字颜色 5 18 5 3" xfId="8139"/>
    <cellStyle name="60% - 强调文字颜色 5 18 5 4" xfId="8141"/>
    <cellStyle name="60% - 强调文字颜色 5 18 5 5" xfId="8148"/>
    <cellStyle name="60% - 强调文字颜色 5 18 5 6" xfId="8156"/>
    <cellStyle name="60% - 强调文字颜色 5 18 5 6 2" xfId="7588"/>
    <cellStyle name="60% - 强调文字颜色 5 18 5 6 3" xfId="7920"/>
    <cellStyle name="60% - 强调文字颜色 5 18 5 7" xfId="8165"/>
    <cellStyle name="60% - 强调文字颜色 5 18 5 8" xfId="8170"/>
    <cellStyle name="60% - 强调文字颜色 5 18 5 9" xfId="8175"/>
    <cellStyle name="60% - 强调文字颜色 5 18 6" xfId="3065"/>
    <cellStyle name="60% - 强调文字颜色 5 18 6 2" xfId="2138"/>
    <cellStyle name="60% - 强调文字颜色 5 18 6 2 2" xfId="8190"/>
    <cellStyle name="60% - 强调文字颜色 5 18 6 2 3" xfId="8199"/>
    <cellStyle name="60% - 强调文字颜色 5 18 6 3" xfId="2156"/>
    <cellStyle name="60% - 强调文字颜色 5 18 6 4" xfId="2165"/>
    <cellStyle name="60% - 强调文字颜色 5 18 6 5" xfId="2181"/>
    <cellStyle name="60% - 强调文字颜色 5 18 6 6" xfId="2192"/>
    <cellStyle name="60% - 强调文字颜色 5 18 6 7" xfId="2203"/>
    <cellStyle name="60% - 强调文字颜色 5 18 6 8" xfId="204"/>
    <cellStyle name="60% - 强调文字颜色 5 18 7" xfId="3079"/>
    <cellStyle name="60% - 强调文字颜色 5 18 8" xfId="8208"/>
    <cellStyle name="60% - 强调文字颜色 5 18 9" xfId="8216"/>
    <cellStyle name="60% - 强调文字颜色 5 18 9 2" xfId="4703"/>
    <cellStyle name="60% - 强调文字颜色 5 18 9 3" xfId="4711"/>
    <cellStyle name="60% - 强调文字颜色 5 19" xfId="8223"/>
    <cellStyle name="60% - 强调文字颜色 5 2" xfId="21007"/>
    <cellStyle name="60% - 强调文字颜色 5 2 10" xfId="23353"/>
    <cellStyle name="60% - 强调文字颜色 5 2 11" xfId="23355"/>
    <cellStyle name="60% - 强调文字颜色 5 2 12" xfId="23357"/>
    <cellStyle name="60% - 强调文字颜色 5 2 13" xfId="23358"/>
    <cellStyle name="60% - 强调文字颜色 5 2 14" xfId="23359"/>
    <cellStyle name="60% - 强调文字颜色 5 2 15" xfId="23361"/>
    <cellStyle name="60% - 强调文字颜色 5 2 16" xfId="23363"/>
    <cellStyle name="60% - 强调文字颜色 5 2 17" xfId="1850"/>
    <cellStyle name="60% - 强调文字颜色 5 2 17 10" xfId="23365"/>
    <cellStyle name="60% - 强调文字颜色 5 2 17 11" xfId="23367"/>
    <cellStyle name="60% - 强调文字颜色 5 2 17 12" xfId="23370"/>
    <cellStyle name="60% - 强调文字颜色 5 2 17 13" xfId="23374"/>
    <cellStyle name="60% - 强调文字颜色 5 2 17 14" xfId="23377"/>
    <cellStyle name="60% - 强调文字颜色 5 2 17 2" xfId="23380"/>
    <cellStyle name="60% - 强调文字颜色 5 2 17 3" xfId="23381"/>
    <cellStyle name="60% - 强调文字颜色 5 2 17 4" xfId="23383"/>
    <cellStyle name="60% - 强调文字颜色 5 2 17 5" xfId="23385"/>
    <cellStyle name="60% - 强调文字颜色 5 2 17 5 10" xfId="10322"/>
    <cellStyle name="60% - 强调文字颜色 5 2 17 5 11" xfId="10330"/>
    <cellStyle name="60% - 强调文字颜色 5 2 17 5 2" xfId="11966"/>
    <cellStyle name="60% - 强调文字颜色 5 2 17 5 2 2" xfId="1402"/>
    <cellStyle name="60% - 强调文字颜色 5 2 17 5 2 2 2" xfId="23387"/>
    <cellStyle name="60% - 强调文字颜色 5 2 17 5 2 2 3" xfId="23388"/>
    <cellStyle name="60% - 强调文字颜色 5 2 17 5 2 3" xfId="1417"/>
    <cellStyle name="60% - 强调文字颜色 5 2 17 5 2 4" xfId="1680"/>
    <cellStyle name="60% - 强调文字颜色 5 2 17 5 2 5" xfId="1789"/>
    <cellStyle name="60% - 强调文字颜色 5 2 17 5 2 6" xfId="1804"/>
    <cellStyle name="60% - 强调文字颜色 5 2 17 5 2 7" xfId="1823"/>
    <cellStyle name="60% - 强调文字颜色 5 2 17 5 2 8" xfId="16434"/>
    <cellStyle name="60% - 强调文字颜色 5 2 17 5 3" xfId="11973"/>
    <cellStyle name="60% - 强调文字颜色 5 2 17 5 4" xfId="8250"/>
    <cellStyle name="60% - 强调文字颜色 5 2 17 5 5" xfId="8259"/>
    <cellStyle name="60% - 强调文字颜色 5 2 17 5 6" xfId="8265"/>
    <cellStyle name="60% - 强调文字颜色 5 2 17 5 6 2" xfId="10047"/>
    <cellStyle name="60% - 强调文字颜色 5 2 17 5 6 3" xfId="7193"/>
    <cellStyle name="60% - 强调文字颜色 5 2 17 5 7" xfId="5497"/>
    <cellStyle name="60% - 强调文字颜色 5 2 17 5 8" xfId="19060"/>
    <cellStyle name="60% - 强调文字颜色 5 2 17 5 9" xfId="19104"/>
    <cellStyle name="60% - 强调文字颜色 5 2 17 6" xfId="23389"/>
    <cellStyle name="60% - 强调文字颜色 5 2 17 6 2" xfId="23392"/>
    <cellStyle name="60% - 强调文字颜色 5 2 17 6 2 2" xfId="23394"/>
    <cellStyle name="60% - 强调文字颜色 5 2 17 6 2 3" xfId="23395"/>
    <cellStyle name="60% - 强调文字颜色 5 2 17 6 3" xfId="23397"/>
    <cellStyle name="60% - 强调文字颜色 5 2 17 6 4" xfId="23400"/>
    <cellStyle name="60% - 强调文字颜色 5 2 17 6 5" xfId="23402"/>
    <cellStyle name="60% - 强调文字颜色 5 2 17 6 6" xfId="14732"/>
    <cellStyle name="60% - 强调文字颜色 5 2 17 6 7" xfId="14734"/>
    <cellStyle name="60% - 强调文字颜色 5 2 17 6 8" xfId="19342"/>
    <cellStyle name="60% - 强调文字颜色 5 2 17 7" xfId="23403"/>
    <cellStyle name="60% - 强调文字颜色 5 2 17 8" xfId="23405"/>
    <cellStyle name="60% - 强调文字颜色 5 2 17 9" xfId="23407"/>
    <cellStyle name="60% - 强调文字颜色 5 2 17 9 2" xfId="6873"/>
    <cellStyle name="60% - 强调文字颜色 5 2 17 9 3" xfId="20884"/>
    <cellStyle name="60% - 强调文字颜色 5 2 18" xfId="1875"/>
    <cellStyle name="60% - 强调文字颜色 5 2 18 10" xfId="5168"/>
    <cellStyle name="60% - 强调文字颜色 5 2 18 11" xfId="5174"/>
    <cellStyle name="60% - 强调文字颜色 5 2 18 12" xfId="5177"/>
    <cellStyle name="60% - 强调文字颜色 5 2 18 13" xfId="5182"/>
    <cellStyle name="60% - 强调文字颜色 5 2 18 14" xfId="5188"/>
    <cellStyle name="60% - 强调文字颜色 5 2 18 2" xfId="15837"/>
    <cellStyle name="60% - 强调文字颜色 5 2 18 3" xfId="15840"/>
    <cellStyle name="60% - 强调文字颜色 5 2 18 4" xfId="15869"/>
    <cellStyle name="60% - 强调文字颜色 5 2 18 5" xfId="868"/>
    <cellStyle name="60% - 强调文字颜色 5 2 18 5 10" xfId="23409"/>
    <cellStyle name="60% - 强调文字颜色 5 2 18 5 11" xfId="23411"/>
    <cellStyle name="60% - 强调文字颜色 5 2 18 5 2" xfId="23415"/>
    <cellStyle name="60% - 强调文字颜色 5 2 18 5 2 2" xfId="23417"/>
    <cellStyle name="60% - 强调文字颜色 5 2 18 5 2 2 2" xfId="23420"/>
    <cellStyle name="60% - 强调文字颜色 5 2 18 5 2 2 3" xfId="5618"/>
    <cellStyle name="60% - 强调文字颜色 5 2 18 5 2 3" xfId="23422"/>
    <cellStyle name="60% - 强调文字颜色 5 2 18 5 2 4" xfId="23423"/>
    <cellStyle name="60% - 强调文字颜色 5 2 18 5 2 5" xfId="23424"/>
    <cellStyle name="60% - 强调文字颜色 5 2 18 5 2 6" xfId="23425"/>
    <cellStyle name="60% - 强调文字颜色 5 2 18 5 2 7" xfId="23427"/>
    <cellStyle name="60% - 强调文字颜色 5 2 18 5 2 8" xfId="23429"/>
    <cellStyle name="60% - 强调文字颜色 5 2 18 5 3" xfId="23430"/>
    <cellStyle name="60% - 强调文字颜色 5 2 18 5 4" xfId="23432"/>
    <cellStyle name="60% - 强调文字颜色 5 2 18 5 5" xfId="23039"/>
    <cellStyle name="60% - 强调文字颜色 5 2 18 5 6" xfId="23047"/>
    <cellStyle name="60% - 强调文字颜色 5 2 18 5 6 2" xfId="23434"/>
    <cellStyle name="60% - 强调文字颜色 5 2 18 5 6 3" xfId="23438"/>
    <cellStyle name="60% - 强调文字颜色 5 2 18 5 7" xfId="22346"/>
    <cellStyle name="60% - 强调文字颜色 5 2 18 5 8" xfId="20004"/>
    <cellStyle name="60% - 强调文字颜色 5 2 18 5 9" xfId="20041"/>
    <cellStyle name="60% - 强调文字颜色 5 2 18 6" xfId="879"/>
    <cellStyle name="60% - 强调文字颜色 5 2 18 6 2" xfId="23441"/>
    <cellStyle name="60% - 强调文字颜色 5 2 18 6 2 2" xfId="9719"/>
    <cellStyle name="60% - 强调文字颜色 5 2 18 6 2 3" xfId="16176"/>
    <cellStyle name="60% - 强调文字颜色 5 2 18 6 3" xfId="23444"/>
    <cellStyle name="60% - 强调文字颜色 5 2 18 6 4" xfId="23446"/>
    <cellStyle name="60% - 强调文字颜色 5 2 18 6 5" xfId="23447"/>
    <cellStyle name="60% - 强调文字颜色 5 2 18 6 6" xfId="23448"/>
    <cellStyle name="60% - 强调文字颜色 5 2 18 6 7" xfId="23449"/>
    <cellStyle name="60% - 强调文字颜色 5 2 18 6 8" xfId="20220"/>
    <cellStyle name="60% - 强调文字颜色 5 2 18 7" xfId="891"/>
    <cellStyle name="60% - 强调文字颜色 5 2 18 8" xfId="23450"/>
    <cellStyle name="60% - 强调文字颜色 5 2 18 9" xfId="23452"/>
    <cellStyle name="60% - 强调文字颜色 5 2 18 9 2" xfId="23454"/>
    <cellStyle name="60% - 强调文字颜色 5 2 18 9 3" xfId="23455"/>
    <cellStyle name="60% - 强调文字颜色 5 2 19" xfId="9039"/>
    <cellStyle name="60% - 强调文字颜色 5 2 19 10" xfId="23456"/>
    <cellStyle name="60% - 强调文字颜色 5 2 19 11" xfId="23457"/>
    <cellStyle name="60% - 强调文字颜色 5 2 19 12" xfId="23458"/>
    <cellStyle name="60% - 强调文字颜色 5 2 19 13" xfId="23459"/>
    <cellStyle name="60% - 强调文字颜色 5 2 19 14" xfId="15300"/>
    <cellStyle name="60% - 强调文字颜色 5 2 19 2" xfId="15890"/>
    <cellStyle name="60% - 强调文字颜色 5 2 19 3" xfId="15892"/>
    <cellStyle name="60% - 强调文字颜色 5 2 19 4" xfId="15897"/>
    <cellStyle name="60% - 强调文字颜色 5 2 19 5" xfId="15906"/>
    <cellStyle name="60% - 强调文字颜色 5 2 19 5 10" xfId="23461"/>
    <cellStyle name="60% - 强调文字颜色 5 2 19 5 11" xfId="23465"/>
    <cellStyle name="60% - 强调文字颜色 5 2 19 5 2" xfId="23469"/>
    <cellStyle name="60% - 强调文字颜色 5 2 19 5 2 2" xfId="23472"/>
    <cellStyle name="60% - 强调文字颜色 5 2 19 5 2 2 2" xfId="23473"/>
    <cellStyle name="60% - 强调文字颜色 5 2 19 5 2 2 3" xfId="23474"/>
    <cellStyle name="60% - 强调文字颜色 5 2 19 5 2 3" xfId="23475"/>
    <cellStyle name="60% - 强调文字颜色 5 2 19 5 2 4" xfId="23016"/>
    <cellStyle name="60% - 强调文字颜色 5 2 19 5 2 5" xfId="23018"/>
    <cellStyle name="60% - 强调文字颜色 5 2 19 5 2 6" xfId="4682"/>
    <cellStyle name="60% - 强调文字颜色 5 2 19 5 2 7" xfId="4689"/>
    <cellStyle name="60% - 强调文字颜色 5 2 19 5 2 8" xfId="23477"/>
    <cellStyle name="60% - 强调文字颜色 5 2 19 5 3" xfId="23478"/>
    <cellStyle name="60% - 强调文字颜色 5 2 19 5 4" xfId="23481"/>
    <cellStyle name="60% - 强调文字颜色 5 2 19 5 5" xfId="23482"/>
    <cellStyle name="60% - 强调文字颜色 5 2 19 5 6" xfId="23483"/>
    <cellStyle name="60% - 强调文字颜色 5 2 19 5 6 2" xfId="23484"/>
    <cellStyle name="60% - 强调文字颜色 5 2 19 5 6 3" xfId="23485"/>
    <cellStyle name="60% - 强调文字颜色 5 2 19 5 7" xfId="23486"/>
    <cellStyle name="60% - 强调文字颜色 5 2 19 5 8" xfId="23488"/>
    <cellStyle name="60% - 强调文字颜色 5 2 19 5 9" xfId="23490"/>
    <cellStyle name="60% - 强调文字颜色 5 2 19 6" xfId="15908"/>
    <cellStyle name="60% - 强调文字颜色 5 2 19 6 2" xfId="23491"/>
    <cellStyle name="60% - 强调文字颜色 5 2 19 6 2 2" xfId="23494"/>
    <cellStyle name="60% - 强调文字颜色 5 2 19 6 2 3" xfId="23497"/>
    <cellStyle name="60% - 强调文字颜色 5 2 19 6 3" xfId="23498"/>
    <cellStyle name="60% - 强调文字颜色 5 2 19 6 4" xfId="23500"/>
    <cellStyle name="60% - 强调文字颜色 5 2 19 6 5" xfId="23501"/>
    <cellStyle name="60% - 强调文字颜色 5 2 19 6 6" xfId="4377"/>
    <cellStyle name="60% - 强调文字颜色 5 2 19 6 7" xfId="4391"/>
    <cellStyle name="60% - 强调文字颜色 5 2 19 6 8" xfId="23502"/>
    <cellStyle name="60% - 强调文字颜色 5 2 19 7" xfId="15911"/>
    <cellStyle name="60% - 强调文字颜色 5 2 19 8" xfId="23503"/>
    <cellStyle name="60% - 强调文字颜色 5 2 19 9" xfId="15328"/>
    <cellStyle name="60% - 强调文字颜色 5 2 19 9 2" xfId="23504"/>
    <cellStyle name="60% - 强调文字颜色 5 2 19 9 3" xfId="23505"/>
    <cellStyle name="60% - 强调文字颜色 5 2 2" xfId="20733"/>
    <cellStyle name="60% - 强调文字颜色 5 2 2 10" xfId="19043"/>
    <cellStyle name="60% - 强调文字颜色 5 2 2 11" xfId="23506"/>
    <cellStyle name="60% - 强调文字颜色 5 2 2 12" xfId="9609"/>
    <cellStyle name="60% - 强调文字颜色 5 2 2 13" xfId="11444"/>
    <cellStyle name="60% - 强调文字颜色 5 2 2 14" xfId="11448"/>
    <cellStyle name="60% - 强调文字颜色 5 2 2 2" xfId="4606"/>
    <cellStyle name="60% - 强调文字颜色 5 2 2 3" xfId="397"/>
    <cellStyle name="60% - 强调文字颜色 5 2 2 4" xfId="18441"/>
    <cellStyle name="60% - 强调文字颜色 5 2 2 5" xfId="18443"/>
    <cellStyle name="60% - 强调文字颜色 5 2 2 6" xfId="19311"/>
    <cellStyle name="60% - 强调文字颜色 5 2 2 7" xfId="19313"/>
    <cellStyle name="60% - 强调文字颜色 5 2 2 8" xfId="23507"/>
    <cellStyle name="60% - 强调文字颜色 5 2 2 9" xfId="23508"/>
    <cellStyle name="60% - 强调文字颜色 5 2 20" xfId="23360"/>
    <cellStyle name="60% - 强调文字颜色 5 2 20 10" xfId="5846"/>
    <cellStyle name="60% - 强调文字颜色 5 2 20 11" xfId="5858"/>
    <cellStyle name="60% - 强调文字颜色 5 2 20 12" xfId="20836"/>
    <cellStyle name="60% - 强调文字颜色 5 2 20 13" xfId="23510"/>
    <cellStyle name="60% - 强调文字颜色 5 2 20 14" xfId="23113"/>
    <cellStyle name="60% - 强调文字颜色 5 2 20 2" xfId="23511"/>
    <cellStyle name="60% - 强调文字颜色 5 2 20 3" xfId="23512"/>
    <cellStyle name="60% - 强调文字颜色 5 2 20 4" xfId="15755"/>
    <cellStyle name="60% - 强调文字颜色 5 2 20 5" xfId="15757"/>
    <cellStyle name="60% - 强调文字颜色 5 2 20 5 10" xfId="23513"/>
    <cellStyle name="60% - 强调文字颜色 5 2 20 5 11" xfId="23515"/>
    <cellStyle name="60% - 强调文字颜色 5 2 20 5 2" xfId="23518"/>
    <cellStyle name="60% - 强调文字颜色 5 2 20 5 2 2" xfId="23519"/>
    <cellStyle name="60% - 强调文字颜色 5 2 20 5 2 2 2" xfId="11725"/>
    <cellStyle name="60% - 强调文字颜色 5 2 20 5 2 2 3" xfId="11731"/>
    <cellStyle name="60% - 强调文字颜色 5 2 20 5 2 3" xfId="23520"/>
    <cellStyle name="60% - 强调文字颜色 5 2 20 5 2 4" xfId="16108"/>
    <cellStyle name="60% - 强调文字颜色 5 2 20 5 2 5" xfId="16112"/>
    <cellStyle name="60% - 强调文字颜色 5 2 20 5 2 6" xfId="23521"/>
    <cellStyle name="60% - 强调文字颜色 5 2 20 5 2 7" xfId="23523"/>
    <cellStyle name="60% - 强调文字颜色 5 2 20 5 2 8" xfId="23525"/>
    <cellStyle name="60% - 强调文字颜色 5 2 20 5 3" xfId="23527"/>
    <cellStyle name="60% - 强调文字颜色 5 2 20 5 4" xfId="23529"/>
    <cellStyle name="60% - 强调文字颜色 5 2 20 5 5" xfId="23531"/>
    <cellStyle name="60% - 强调文字颜色 5 2 20 5 6" xfId="23535"/>
    <cellStyle name="60% - 强调文字颜色 5 2 20 5 6 2" xfId="9007"/>
    <cellStyle name="60% - 强调文字颜色 5 2 20 5 6 3" xfId="9015"/>
    <cellStyle name="60% - 强调文字颜色 5 2 20 5 7" xfId="23538"/>
    <cellStyle name="60% - 强调文字颜色 5 2 20 5 8" xfId="800"/>
    <cellStyle name="60% - 强调文字颜色 5 2 20 5 9" xfId="369"/>
    <cellStyle name="60% - 强调文字颜色 5 2 20 6" xfId="23539"/>
    <cellStyle name="60% - 强调文字颜色 5 2 20 6 2" xfId="17244"/>
    <cellStyle name="60% - 强调文字颜色 5 2 20 6 2 2" xfId="23540"/>
    <cellStyle name="60% - 强调文字颜色 5 2 20 6 2 3" xfId="23541"/>
    <cellStyle name="60% - 强调文字颜色 5 2 20 6 3" xfId="17248"/>
    <cellStyle name="60% - 强调文字颜色 5 2 20 6 4" xfId="16218"/>
    <cellStyle name="60% - 强调文字颜色 5 2 20 6 5" xfId="16226"/>
    <cellStyle name="60% - 强调文字颜色 5 2 20 6 6" xfId="23542"/>
    <cellStyle name="60% - 强调文字颜色 5 2 20 6 7" xfId="23543"/>
    <cellStyle name="60% - 强调文字颜色 5 2 20 6 8" xfId="17167"/>
    <cellStyle name="60% - 强调文字颜色 5 2 20 7" xfId="23544"/>
    <cellStyle name="60% - 强调文字颜色 5 2 20 8" xfId="23545"/>
    <cellStyle name="60% - 强调文字颜色 5 2 20 9" xfId="23546"/>
    <cellStyle name="60% - 强调文字颜色 5 2 20 9 2" xfId="13051"/>
    <cellStyle name="60% - 强调文字颜色 5 2 20 9 3" xfId="23547"/>
    <cellStyle name="60% - 强调文字颜色 5 2 3" xfId="13967"/>
    <cellStyle name="60% - 强调文字颜色 5 2 3 10" xfId="23550"/>
    <cellStyle name="60% - 强调文字颜色 5 2 3 11" xfId="23551"/>
    <cellStyle name="60% - 强调文字颜色 5 2 3 12" xfId="23552"/>
    <cellStyle name="60% - 强调文字颜色 5 2 3 13" xfId="23553"/>
    <cellStyle name="60% - 强调文字颜色 5 2 3 14" xfId="23554"/>
    <cellStyle name="60% - 强调文字颜色 5 2 3 2" xfId="13974"/>
    <cellStyle name="60% - 强调文字颜色 5 2 3 3" xfId="13978"/>
    <cellStyle name="60% - 强调文字颜色 5 2 3 4" xfId="23555"/>
    <cellStyle name="60% - 强调文字颜色 5 2 3 5" xfId="23557"/>
    <cellStyle name="60% - 强调文字颜色 5 2 3 6" xfId="23559"/>
    <cellStyle name="60% - 强调文字颜色 5 2 3 7" xfId="23561"/>
    <cellStyle name="60% - 强调文字颜色 5 2 3 8" xfId="23563"/>
    <cellStyle name="60% - 强调文字颜色 5 2 3 9" xfId="23565"/>
    <cellStyle name="60% - 强调文字颜色 5 2 4" xfId="13986"/>
    <cellStyle name="60% - 强调文字颜色 5 2 4 10" xfId="23566"/>
    <cellStyle name="60% - 强调文字颜色 5 2 4 11" xfId="23568"/>
    <cellStyle name="60% - 强调文字颜色 5 2 4 12" xfId="23571"/>
    <cellStyle name="60% - 强调文字颜色 5 2 4 13" xfId="18912"/>
    <cellStyle name="60% - 强调文字颜色 5 2 4 14" xfId="18916"/>
    <cellStyle name="60% - 强调文字颜色 5 2 4 2" xfId="21573"/>
    <cellStyle name="60% - 强调文字颜色 5 2 4 3" xfId="21575"/>
    <cellStyle name="60% - 强调文字颜色 5 2 4 4" xfId="21577"/>
    <cellStyle name="60% - 强调文字颜色 5 2 4 5" xfId="21579"/>
    <cellStyle name="60% - 强调文字颜色 5 2 4 6" xfId="23575"/>
    <cellStyle name="60% - 强调文字颜色 5 2 4 7" xfId="23576"/>
    <cellStyle name="60% - 强调文字颜色 5 2 4 8" xfId="23577"/>
    <cellStyle name="60% - 强调文字颜色 5 2 4 9" xfId="23578"/>
    <cellStyle name="60% - 强调文字颜色 5 2 5" xfId="13996"/>
    <cellStyle name="60% - 强调文字颜色 5 2 6" xfId="12356"/>
    <cellStyle name="60% - 强调文字颜色 5 2 7" xfId="12367"/>
    <cellStyle name="60% - 强调文字颜色 5 2 8" xfId="12374"/>
    <cellStyle name="60% - 强调文字颜色 5 2 9" xfId="12382"/>
    <cellStyle name="60% - 强调文字颜色 5 3" xfId="21010"/>
    <cellStyle name="60% - 强调文字颜色 5 3 10" xfId="22984"/>
    <cellStyle name="60% - 强调文字颜色 5 3 11" xfId="22987"/>
    <cellStyle name="60% - 强调文字颜色 5 3 12" xfId="23580"/>
    <cellStyle name="60% - 强调文字颜色 5 3 13" xfId="23581"/>
    <cellStyle name="60% - 强调文字颜色 5 3 14" xfId="23582"/>
    <cellStyle name="60% - 强调文字颜色 5 3 15" xfId="23584"/>
    <cellStyle name="60% - 强调文字颜色 5 3 16" xfId="9690"/>
    <cellStyle name="60% - 强调文字颜色 5 3 17" xfId="9709"/>
    <cellStyle name="60% - 强调文字颜色 5 3 17 10" xfId="15712"/>
    <cellStyle name="60% - 强调文字颜色 5 3 17 11" xfId="23285"/>
    <cellStyle name="60% - 强调文字颜色 5 3 17 12" xfId="23585"/>
    <cellStyle name="60% - 强调文字颜色 5 3 17 13" xfId="23587"/>
    <cellStyle name="60% - 强调文字颜色 5 3 17 14" xfId="23589"/>
    <cellStyle name="60% - 强调文字颜色 5 3 17 2" xfId="19542"/>
    <cellStyle name="60% - 强调文字颜色 5 3 17 2 2" xfId="4115"/>
    <cellStyle name="60% - 强调文字颜色 5 3 17 3" xfId="23592"/>
    <cellStyle name="60% - 强调文字颜色 5 3 17 4" xfId="23594"/>
    <cellStyle name="60% - 强调文字颜色 5 3 17 5" xfId="23596"/>
    <cellStyle name="60% - 强调文字颜色 5 3 17 5 10" xfId="11552"/>
    <cellStyle name="60% - 强调文字颜色 5 3 17 5 11" xfId="22628"/>
    <cellStyle name="60% - 强调文字颜色 5 3 17 5 2" xfId="23600"/>
    <cellStyle name="60% - 强调文字颜色 5 3 17 5 2 2" xfId="23601"/>
    <cellStyle name="60% - 强调文字颜色 5 3 17 5 2 2 2" xfId="19639"/>
    <cellStyle name="60% - 强调文字颜色 5 3 17 5 2 2 3" xfId="21097"/>
    <cellStyle name="60% - 强调文字颜色 5 3 17 5 2 3" xfId="23602"/>
    <cellStyle name="60% - 强调文字颜色 5 3 17 5 2 4" xfId="16356"/>
    <cellStyle name="60% - 强调文字颜色 5 3 17 5 2 5" xfId="16359"/>
    <cellStyle name="60% - 强调文字颜色 5 3 17 5 2 6" xfId="23603"/>
    <cellStyle name="60% - 强调文字颜色 5 3 17 5 2 7" xfId="23604"/>
    <cellStyle name="60% - 强调文字颜色 5 3 17 5 2 8" xfId="23605"/>
    <cellStyle name="60% - 强调文字颜色 5 3 17 5 3" xfId="23609"/>
    <cellStyle name="60% - 强调文字颜色 5 3 17 5 4" xfId="23613"/>
    <cellStyle name="60% - 强调文字颜色 5 3 17 5 5" xfId="23617"/>
    <cellStyle name="60% - 强调文字颜色 5 3 17 5 6" xfId="23621"/>
    <cellStyle name="60% - 强调文字颜色 5 3 17 5 6 2" xfId="5167"/>
    <cellStyle name="60% - 强调文字颜色 5 3 17 5 6 3" xfId="5173"/>
    <cellStyle name="60% - 强调文字颜色 5 3 17 5 7" xfId="21446"/>
    <cellStyle name="60% - 强调文字颜色 5 3 17 5 8" xfId="21450"/>
    <cellStyle name="60% - 强调文字颜色 5 3 17 5 9" xfId="23622"/>
    <cellStyle name="60% - 强调文字颜色 5 3 17 6" xfId="23624"/>
    <cellStyle name="60% - 强调文字颜色 5 3 17 6 2" xfId="23626"/>
    <cellStyle name="60% - 强调文字颜色 5 3 17 6 2 2" xfId="23627"/>
    <cellStyle name="60% - 强调文字颜色 5 3 17 6 2 3" xfId="23629"/>
    <cellStyle name="60% - 强调文字颜色 5 3 17 6 3" xfId="23631"/>
    <cellStyle name="60% - 强调文字颜色 5 3 17 6 4" xfId="23633"/>
    <cellStyle name="60% - 强调文字颜色 5 3 17 6 5" xfId="23636"/>
    <cellStyle name="60% - 强调文字颜色 5 3 17 6 6" xfId="23637"/>
    <cellStyle name="60% - 强调文字颜色 5 3 17 6 7" xfId="23638"/>
    <cellStyle name="60% - 强调文字颜色 5 3 17 6 8" xfId="23639"/>
    <cellStyle name="60% - 强调文字颜色 5 3 17 7" xfId="23641"/>
    <cellStyle name="60% - 强调文字颜色 5 3 17 8" xfId="23643"/>
    <cellStyle name="60% - 强调文字颜色 5 3 17 9" xfId="23645"/>
    <cellStyle name="60% - 强调文字颜色 5 3 17 9 2" xfId="6338"/>
    <cellStyle name="60% - 强调文字颜色 5 3 17 9 3" xfId="6342"/>
    <cellStyle name="60% - 强调文字颜色 5 3 18" xfId="9714"/>
    <cellStyle name="60% - 强调文字颜色 5 3 18 10" xfId="23649"/>
    <cellStyle name="60% - 强调文字颜色 5 3 18 11" xfId="23654"/>
    <cellStyle name="60% - 强调文字颜色 5 3 18 12" xfId="23657"/>
    <cellStyle name="60% - 强调文字颜色 5 3 18 13" xfId="288"/>
    <cellStyle name="60% - 强调文字颜色 5 3 18 14" xfId="22622"/>
    <cellStyle name="60% - 强调文字颜色 5 3 18 2" xfId="16053"/>
    <cellStyle name="60% - 强调文字颜色 5 3 18 3" xfId="16056"/>
    <cellStyle name="60% - 强调文字颜色 5 3 18 4" xfId="16117"/>
    <cellStyle name="60% - 强调文字颜色 5 3 18 5" xfId="7647"/>
    <cellStyle name="60% - 强调文字颜色 5 3 18 5 10" xfId="22685"/>
    <cellStyle name="60% - 强调文字颜色 5 3 18 5 11" xfId="22688"/>
    <cellStyle name="60% - 强调文字颜色 5 3 18 5 2" xfId="10471"/>
    <cellStyle name="60% - 强调文字颜色 5 3 18 5 2 2" xfId="10481"/>
    <cellStyle name="60% - 强调文字颜色 5 3 18 5 2 2 2" xfId="13536"/>
    <cellStyle name="60% - 强调文字颜色 5 3 18 5 2 2 3" xfId="14318"/>
    <cellStyle name="60% - 强调文字颜色 5 3 18 5 2 3" xfId="10485"/>
    <cellStyle name="60% - 强调文字颜色 5 3 18 5 2 4" xfId="14019"/>
    <cellStyle name="60% - 强调文字颜色 5 3 18 5 2 5" xfId="14022"/>
    <cellStyle name="60% - 强调文字颜色 5 3 18 5 2 6" xfId="14024"/>
    <cellStyle name="60% - 强调文字颜色 5 3 18 5 2 7" xfId="14028"/>
    <cellStyle name="60% - 强调文字颜色 5 3 18 5 2 8" xfId="14033"/>
    <cellStyle name="60% - 强调文字颜色 5 3 18 5 3" xfId="23658"/>
    <cellStyle name="60% - 强调文字颜色 5 3 18 5 4" xfId="23661"/>
    <cellStyle name="60% - 强调文字颜色 5 3 18 5 5" xfId="23664"/>
    <cellStyle name="60% - 强调文字颜色 5 3 18 5 6" xfId="23667"/>
    <cellStyle name="60% - 强调文字颜色 5 3 18 5 6 2" xfId="23648"/>
    <cellStyle name="60% - 强调文字颜色 5 3 18 5 6 3" xfId="23653"/>
    <cellStyle name="60% - 强调文字颜色 5 3 18 5 7" xfId="23671"/>
    <cellStyle name="60% - 强调文字颜色 5 3 18 5 8" xfId="23672"/>
    <cellStyle name="60% - 强调文字颜色 5 3 18 5 9" xfId="23673"/>
    <cellStyle name="60% - 强调文字颜色 5 3 18 6" xfId="7653"/>
    <cellStyle name="60% - 强调文字颜色 5 3 18 6 2" xfId="7621"/>
    <cellStyle name="60% - 强调文字颜色 5 3 18 6 2 2" xfId="567"/>
    <cellStyle name="60% - 强调文字颜色 5 3 18 6 2 3" xfId="412"/>
    <cellStyle name="60% - 强调文字颜色 5 3 18 6 3" xfId="7632"/>
    <cellStyle name="60% - 强调文字颜色 5 3 18 6 4" xfId="8931"/>
    <cellStyle name="60% - 强调文字颜色 5 3 18 6 5" xfId="925"/>
    <cellStyle name="60% - 强调文字颜色 5 3 18 6 6" xfId="962"/>
    <cellStyle name="60% - 强调文字颜色 5 3 18 6 7" xfId="995"/>
    <cellStyle name="60% - 强调文字颜色 5 3 18 6 8" xfId="23674"/>
    <cellStyle name="60% - 强调文字颜色 5 3 18 7" xfId="7659"/>
    <cellStyle name="60% - 强调文字颜色 5 3 18 8" xfId="19997"/>
    <cellStyle name="60% - 强调文字颜色 5 3 18 9" xfId="23677"/>
    <cellStyle name="60% - 强调文字颜色 5 3 18 9 2" xfId="23679"/>
    <cellStyle name="60% - 强调文字颜色 5 3 18 9 3" xfId="23682"/>
    <cellStyle name="60% - 强调文字颜色 5 3 19" xfId="9053"/>
    <cellStyle name="60% - 强调文字颜色 5 3 19 10" xfId="16417"/>
    <cellStyle name="60% - 强调文字颜色 5 3 19 11" xfId="19686"/>
    <cellStyle name="60% - 强调文字颜色 5 3 19 12" xfId="19689"/>
    <cellStyle name="60% - 强调文字颜色 5 3 19 13" xfId="23683"/>
    <cellStyle name="60% - 强调文字颜色 5 3 19 14" xfId="23684"/>
    <cellStyle name="60% - 强调文字颜色 5 3 19 2" xfId="16142"/>
    <cellStyle name="60% - 强调文字颜色 5 3 19 3" xfId="16145"/>
    <cellStyle name="60% - 强调文字颜色 5 3 19 4" xfId="16147"/>
    <cellStyle name="60% - 强调文字颜色 5 3 19 5" xfId="16159"/>
    <cellStyle name="60% - 强调文字颜色 5 3 19 5 10" xfId="11785"/>
    <cellStyle name="60% - 强调文字颜色 5 3 19 5 11" xfId="20941"/>
    <cellStyle name="60% - 强调文字颜色 5 3 19 5 2" xfId="23686"/>
    <cellStyle name="60% - 强调文字颜色 5 3 19 5 2 2" xfId="23688"/>
    <cellStyle name="60% - 强调文字颜色 5 3 19 5 2 2 2" xfId="8255"/>
    <cellStyle name="60% - 强调文字颜色 5 3 19 5 2 2 3" xfId="8261"/>
    <cellStyle name="60% - 强调文字颜色 5 3 19 5 2 3" xfId="23689"/>
    <cellStyle name="60% - 强调文字颜色 5 3 19 5 2 4" xfId="23690"/>
    <cellStyle name="60% - 强调文字颜色 5 3 19 5 2 5" xfId="15601"/>
    <cellStyle name="60% - 强调文字颜色 5 3 19 5 2 6" xfId="15607"/>
    <cellStyle name="60% - 强调文字颜色 5 3 19 5 2 7" xfId="15612"/>
    <cellStyle name="60% - 强调文字颜色 5 3 19 5 2 8" xfId="15617"/>
    <cellStyle name="60% - 强调文字颜色 5 3 19 5 3" xfId="23694"/>
    <cellStyle name="60% - 强调文字颜色 5 3 19 5 4" xfId="23697"/>
    <cellStyle name="60% - 强调文字颜色 5 3 19 5 5" xfId="23699"/>
    <cellStyle name="60% - 强调文字颜色 5 3 19 5 6" xfId="23701"/>
    <cellStyle name="60% - 强调文字颜色 5 3 19 5 6 2" xfId="20987"/>
    <cellStyle name="60% - 强调文字颜色 5 3 19 5 6 3" xfId="20991"/>
    <cellStyle name="60% - 强调文字颜色 5 3 19 5 7" xfId="7299"/>
    <cellStyle name="60% - 强调文字颜色 5 3 19 5 8" xfId="7317"/>
    <cellStyle name="60% - 强调文字颜色 5 3 19 5 9" xfId="23706"/>
    <cellStyle name="60% - 强调文字颜色 5 3 19 6" xfId="16161"/>
    <cellStyle name="60% - 强调文字颜色 5 3 19 6 2" xfId="23708"/>
    <cellStyle name="60% - 强调文字颜色 5 3 19 6 2 2" xfId="23711"/>
    <cellStyle name="60% - 强调文字颜色 5 3 19 6 2 3" xfId="23712"/>
    <cellStyle name="60% - 强调文字颜色 5 3 19 6 3" xfId="15108"/>
    <cellStyle name="60% - 强调文字颜色 5 3 19 6 4" xfId="15152"/>
    <cellStyle name="60% - 强调文字颜色 5 3 19 6 5" xfId="15165"/>
    <cellStyle name="60% - 强调文字颜色 5 3 19 6 6" xfId="15170"/>
    <cellStyle name="60% - 强调文字颜色 5 3 19 6 7" xfId="7398"/>
    <cellStyle name="60% - 强调文字颜色 5 3 19 6 8" xfId="7412"/>
    <cellStyle name="60% - 强调文字颜色 5 3 19 7" xfId="16163"/>
    <cellStyle name="60% - 强调文字颜色 5 3 19 8" xfId="23715"/>
    <cellStyle name="60% - 强调文字颜色 5 3 19 9" xfId="23717"/>
    <cellStyle name="60% - 强调文字颜色 5 3 19 9 2" xfId="23692"/>
    <cellStyle name="60% - 强调文字颜色 5 3 19 9 3" xfId="15603"/>
    <cellStyle name="60% - 强调文字颜色 5 3 2" xfId="23718"/>
    <cellStyle name="60% - 强调文字颜色 5 3 2 10" xfId="20056"/>
    <cellStyle name="60% - 强调文字颜色 5 3 2 11" xfId="23721"/>
    <cellStyle name="60% - 强调文字颜色 5 3 2 12" xfId="8374"/>
    <cellStyle name="60% - 强调文字颜色 5 3 2 13" xfId="8381"/>
    <cellStyle name="60% - 强调文字颜色 5 3 2 14" xfId="8389"/>
    <cellStyle name="60% - 强调文字颜色 5 3 2 2" xfId="23722"/>
    <cellStyle name="60% - 强调文字颜色 5 3 2 3" xfId="23723"/>
    <cellStyle name="60% - 强调文字颜色 5 3 2 4" xfId="23724"/>
    <cellStyle name="60% - 强调文字颜色 5 3 2 5" xfId="23725"/>
    <cellStyle name="60% - 强调文字颜色 5 3 2 6" xfId="19337"/>
    <cellStyle name="60% - 强调文字颜色 5 3 2 7" xfId="19340"/>
    <cellStyle name="60% - 强调文字颜色 5 3 2 8" xfId="23727"/>
    <cellStyle name="60% - 强调文字颜色 5 3 2 9" xfId="23729"/>
    <cellStyle name="60% - 强调文字颜色 5 3 20" xfId="23583"/>
    <cellStyle name="60% - 强调文字颜色 5 3 20 10" xfId="14281"/>
    <cellStyle name="60% - 强调文字颜色 5 3 20 11" xfId="23730"/>
    <cellStyle name="60% - 强调文字颜色 5 3 20 12" xfId="22492"/>
    <cellStyle name="60% - 强调文字颜色 5 3 20 13" xfId="22494"/>
    <cellStyle name="60% - 强调文字颜色 5 3 20 14" xfId="11083"/>
    <cellStyle name="60% - 强调文字颜色 5 3 20 2" xfId="23731"/>
    <cellStyle name="60% - 强调文字颜色 5 3 20 3" xfId="23732"/>
    <cellStyle name="60% - 强调文字颜色 5 3 20 4" xfId="1424"/>
    <cellStyle name="60% - 强调文字颜色 5 3 20 5" xfId="1455"/>
    <cellStyle name="60% - 强调文字颜色 5 3 20 5 10" xfId="11949"/>
    <cellStyle name="60% - 强调文字颜色 5 3 20 5 11" xfId="11956"/>
    <cellStyle name="60% - 强调文字颜色 5 3 20 5 2" xfId="23735"/>
    <cellStyle name="60% - 强调文字颜色 5 3 20 5 2 2" xfId="23736"/>
    <cellStyle name="60% - 强调文字颜色 5 3 20 5 2 2 2" xfId="12493"/>
    <cellStyle name="60% - 强调文字颜色 5 3 20 5 2 2 3" xfId="23740"/>
    <cellStyle name="60% - 强调文字颜色 5 3 20 5 2 3" xfId="23741"/>
    <cellStyle name="60% - 强调文字颜色 5 3 20 5 2 4" xfId="15430"/>
    <cellStyle name="60% - 强调文字颜色 5 3 20 5 2 5" xfId="15434"/>
    <cellStyle name="60% - 强调文字颜色 5 3 20 5 2 6" xfId="23742"/>
    <cellStyle name="60% - 强调文字颜色 5 3 20 5 2 7" xfId="23743"/>
    <cellStyle name="60% - 强调文字颜色 5 3 20 5 2 8" xfId="23744"/>
    <cellStyle name="60% - 强调文字颜色 5 3 20 5 3" xfId="23747"/>
    <cellStyle name="60% - 强调文字颜色 5 3 20 5 4" xfId="23750"/>
    <cellStyle name="60% - 强调文字颜色 5 3 20 5 5" xfId="23753"/>
    <cellStyle name="60% - 强调文字颜色 5 3 20 5 6" xfId="23756"/>
    <cellStyle name="60% - 强调文字颜色 5 3 20 5 6 2" xfId="11015"/>
    <cellStyle name="60% - 强调文字颜色 5 3 20 5 6 3" xfId="11024"/>
    <cellStyle name="60% - 强调文字颜色 5 3 20 5 7" xfId="23758"/>
    <cellStyle name="60% - 强调文字颜色 5 3 20 5 8" xfId="23759"/>
    <cellStyle name="60% - 强调文字颜色 5 3 20 5 9" xfId="23760"/>
    <cellStyle name="60% - 强调文字颜色 5 3 20 6" xfId="23761"/>
    <cellStyle name="60% - 强调文字颜色 5 3 20 6 2" xfId="23765"/>
    <cellStyle name="60% - 强调文字颜色 5 3 20 6 2 2" xfId="23766"/>
    <cellStyle name="60% - 强调文字颜色 5 3 20 6 2 3" xfId="23768"/>
    <cellStyle name="60% - 强调文字颜色 5 3 20 6 3" xfId="23773"/>
    <cellStyle name="60% - 强调文字颜色 5 3 20 6 4" xfId="23778"/>
    <cellStyle name="60% - 强调文字颜色 5 3 20 6 5" xfId="23437"/>
    <cellStyle name="60% - 强调文字颜色 5 3 20 6 6" xfId="23440"/>
    <cellStyle name="60% - 强调文字颜色 5 3 20 6 7" xfId="23781"/>
    <cellStyle name="60% - 强调文字颜色 5 3 20 6 8" xfId="21937"/>
    <cellStyle name="60% - 强调文字颜色 5 3 20 7" xfId="19985"/>
    <cellStyle name="60% - 强调文字颜色 5 3 20 8" xfId="19282"/>
    <cellStyle name="60% - 强调文字颜色 5 3 20 9" xfId="19287"/>
    <cellStyle name="60% - 强调文字颜色 5 3 20 9 2" xfId="3189"/>
    <cellStyle name="60% - 强调文字颜色 5 3 20 9 3" xfId="3193"/>
    <cellStyle name="60% - 强调文字颜色 5 3 3" xfId="21762"/>
    <cellStyle name="60% - 强调文字颜色 5 3 3 10" xfId="12823"/>
    <cellStyle name="60% - 强调文字颜色 5 3 3 11" xfId="17199"/>
    <cellStyle name="60% - 强调文字颜色 5 3 3 12" xfId="17203"/>
    <cellStyle name="60% - 强调文字颜色 5 3 3 13" xfId="17208"/>
    <cellStyle name="60% - 强调文字颜色 5 3 3 14" xfId="17213"/>
    <cellStyle name="60% - 强调文字颜色 5 3 3 2" xfId="23783"/>
    <cellStyle name="60% - 强调文字颜色 5 3 3 3" xfId="8351"/>
    <cellStyle name="60% - 强调文字颜色 5 3 3 4" xfId="7751"/>
    <cellStyle name="60% - 强调文字颜色 5 3 3 5" xfId="14191"/>
    <cellStyle name="60% - 强调文字颜色 5 3 3 6" xfId="23786"/>
    <cellStyle name="60% - 强调文字颜色 5 3 3 7" xfId="18544"/>
    <cellStyle name="60% - 强调文字颜色 5 3 3 8" xfId="18548"/>
    <cellStyle name="60% - 强调文字颜色 5 3 3 9" xfId="18552"/>
    <cellStyle name="60% - 强调文字颜色 5 3 4" xfId="21768"/>
    <cellStyle name="60% - 强调文字颜色 5 3 4 10" xfId="9303"/>
    <cellStyle name="60% - 强调文字颜色 5 3 4 11" xfId="9310"/>
    <cellStyle name="60% - 强调文字颜色 5 3 4 12" xfId="9322"/>
    <cellStyle name="60% - 强调文字颜色 5 3 4 13" xfId="9334"/>
    <cellStyle name="60% - 强调文字颜色 5 3 4 14" xfId="9342"/>
    <cellStyle name="60% - 强调文字颜色 5 3 4 2" xfId="23788"/>
    <cellStyle name="60% - 强调文字颜色 5 3 4 3" xfId="23790"/>
    <cellStyle name="60% - 强调文字颜色 5 3 4 4" xfId="23792"/>
    <cellStyle name="60% - 强调文字颜色 5 3 4 5" xfId="23794"/>
    <cellStyle name="60% - 强调文字颜色 5 3 4 6" xfId="17797"/>
    <cellStyle name="60% - 强调文字颜色 5 3 4 7" xfId="2433"/>
    <cellStyle name="60% - 强调文字颜色 5 3 4 8" xfId="2455"/>
    <cellStyle name="60% - 强调文字颜色 5 3 4 9" xfId="2471"/>
    <cellStyle name="60% - 强调文字颜色 5 3 5" xfId="23795"/>
    <cellStyle name="60% - 强调文字颜色 5 3 6" xfId="23799"/>
    <cellStyle name="60% - 强调文字颜色 5 3 7" xfId="23803"/>
    <cellStyle name="60% - 强调文字颜色 5 3 8" xfId="23806"/>
    <cellStyle name="60% - 强调文字颜色 5 3 9" xfId="22050"/>
    <cellStyle name="60% - 强调文字颜色 5 4" xfId="23808"/>
    <cellStyle name="60% - 强调文字颜色 5 4 10" xfId="11413"/>
    <cellStyle name="60% - 强调文字颜色 5 4 11" xfId="8463"/>
    <cellStyle name="60% - 强调文字颜色 5 4 12" xfId="8468"/>
    <cellStyle name="60% - 强调文字颜色 5 4 13" xfId="8472"/>
    <cellStyle name="60% - 强调文字颜色 5 4 14" xfId="8477"/>
    <cellStyle name="60% - 强调文字颜色 5 4 15" xfId="8578"/>
    <cellStyle name="60% - 强调文字颜色 5 4 16" xfId="8624"/>
    <cellStyle name="60% - 强调文字颜色 5 4 17" xfId="8631"/>
    <cellStyle name="60% - 强调文字颜色 5 4 17 10" xfId="23809"/>
    <cellStyle name="60% - 强调文字颜色 5 4 17 11" xfId="23811"/>
    <cellStyle name="60% - 强调文字颜色 5 4 17 12" xfId="23813"/>
    <cellStyle name="60% - 强调文字颜色 5 4 17 13" xfId="15547"/>
    <cellStyle name="60% - 强调文字颜色 5 4 17 14" xfId="15572"/>
    <cellStyle name="60% - 强调文字颜色 5 4 17 2" xfId="6905"/>
    <cellStyle name="60% - 强调文字颜色 5 4 17 3" xfId="13563"/>
    <cellStyle name="60% - 强调文字颜色 5 4 17 4" xfId="13566"/>
    <cellStyle name="60% - 强调文字颜色 5 4 17 5" xfId="13621"/>
    <cellStyle name="60% - 强调文字颜色 5 4 17 5 10" xfId="23815"/>
    <cellStyle name="60% - 强调文字颜色 5 4 17 5 11" xfId="7722"/>
    <cellStyle name="60% - 强调文字颜色 5 4 17 5 2" xfId="13626"/>
    <cellStyle name="60% - 强调文字颜色 5 4 17 5 2 2" xfId="13629"/>
    <cellStyle name="60% - 强调文字颜色 5 4 17 5 2 2 2" xfId="21841"/>
    <cellStyle name="60% - 强调文字颜色 5 4 17 5 2 2 3" xfId="21843"/>
    <cellStyle name="60% - 强调文字颜色 5 4 17 5 2 3" xfId="13632"/>
    <cellStyle name="60% - 强调文字颜色 5 4 17 5 2 4" xfId="23816"/>
    <cellStyle name="60% - 强调文字颜色 5 4 17 5 2 5" xfId="23817"/>
    <cellStyle name="60% - 强调文字颜色 5 4 17 5 2 6" xfId="23818"/>
    <cellStyle name="60% - 强调文字颜色 5 4 17 5 2 7" xfId="23819"/>
    <cellStyle name="60% - 强调文字颜色 5 4 17 5 2 8" xfId="23820"/>
    <cellStyle name="60% - 强调文字颜色 5 4 17 5 3" xfId="13638"/>
    <cellStyle name="60% - 强调文字颜色 5 4 17 5 4" xfId="13644"/>
    <cellStyle name="60% - 强调文字颜色 5 4 17 5 5" xfId="13649"/>
    <cellStyle name="60% - 强调文字颜色 5 4 17 5 6" xfId="12624"/>
    <cellStyle name="60% - 强调文字颜色 5 4 17 5 6 2" xfId="7792"/>
    <cellStyle name="60% - 强调文字颜色 5 4 17 5 6 3" xfId="7797"/>
    <cellStyle name="60% - 强调文字颜色 5 4 17 5 7" xfId="12633"/>
    <cellStyle name="60% - 强调文字颜色 5 4 17 5 8" xfId="13656"/>
    <cellStyle name="60% - 强调文字颜色 5 4 17 5 9" xfId="23821"/>
    <cellStyle name="60% - 强调文字颜色 5 4 17 6" xfId="13660"/>
    <cellStyle name="60% - 强调文字颜色 5 4 17 6 2" xfId="23823"/>
    <cellStyle name="60% - 强调文字颜色 5 4 17 6 2 2" xfId="13510"/>
    <cellStyle name="60% - 强调文字颜色 5 4 17 6 2 3" xfId="13514"/>
    <cellStyle name="60% - 强调文字颜色 5 4 17 6 3" xfId="23825"/>
    <cellStyle name="60% - 强调文字颜色 5 4 17 6 4" xfId="23827"/>
    <cellStyle name="60% - 强调文字颜色 5 4 17 6 5" xfId="23829"/>
    <cellStyle name="60% - 强调文字颜色 5 4 17 6 6" xfId="23830"/>
    <cellStyle name="60% - 强调文字颜色 5 4 17 6 7" xfId="23831"/>
    <cellStyle name="60% - 强调文字颜色 5 4 17 6 8" xfId="23832"/>
    <cellStyle name="60% - 强调文字颜色 5 4 17 7" xfId="13664"/>
    <cellStyle name="60% - 强调文字颜色 5 4 17 8" xfId="13668"/>
    <cellStyle name="60% - 强调文字颜色 5 4 17 9" xfId="23833"/>
    <cellStyle name="60% - 强调文字颜色 5 4 17 9 2" xfId="6977"/>
    <cellStyle name="60% - 强调文字颜色 5 4 17 9 3" xfId="6983"/>
    <cellStyle name="60% - 强调文字颜色 5 4 18" xfId="8638"/>
    <cellStyle name="60% - 强调文字颜色 5 4 18 10" xfId="20986"/>
    <cellStyle name="60% - 强调文字颜色 5 4 18 11" xfId="20990"/>
    <cellStyle name="60% - 强调文字颜色 5 4 18 12" xfId="23834"/>
    <cellStyle name="60% - 强调文字颜色 5 4 18 13" xfId="23835"/>
    <cellStyle name="60% - 强调文字颜色 5 4 18 14" xfId="23836"/>
    <cellStyle name="60% - 强调文字颜色 5 4 18 2" xfId="8640"/>
    <cellStyle name="60% - 强调文字颜色 5 4 18 3" xfId="8646"/>
    <cellStyle name="60% - 强调文字颜色 5 4 18 4" xfId="13690"/>
    <cellStyle name="60% - 强调文字颜色 5 4 18 5" xfId="13740"/>
    <cellStyle name="60% - 强调文字颜色 5 4 18 5 10" xfId="23837"/>
    <cellStyle name="60% - 强调文字颜色 5 4 18 5 11" xfId="23838"/>
    <cellStyle name="60% - 强调文字颜色 5 4 18 5 2" xfId="13746"/>
    <cellStyle name="60% - 强调文字颜色 5 4 18 5 2 2" xfId="13748"/>
    <cellStyle name="60% - 强调文字颜色 5 4 18 5 2 2 2" xfId="7254"/>
    <cellStyle name="60% - 强调文字颜色 5 4 18 5 2 2 3" xfId="22598"/>
    <cellStyle name="60% - 强调文字颜色 5 4 18 5 2 3" xfId="13751"/>
    <cellStyle name="60% - 强调文字颜色 5 4 18 5 2 4" xfId="23839"/>
    <cellStyle name="60% - 强调文字颜色 5 4 18 5 2 5" xfId="23840"/>
    <cellStyle name="60% - 强调文字颜色 5 4 18 5 2 6" xfId="23841"/>
    <cellStyle name="60% - 强调文字颜色 5 4 18 5 2 7" xfId="23842"/>
    <cellStyle name="60% - 强调文字颜色 5 4 18 5 2 8" xfId="21252"/>
    <cellStyle name="60% - 强调文字颜色 5 4 18 5 3" xfId="13754"/>
    <cellStyle name="60% - 强调文字颜色 5 4 18 5 4" xfId="13757"/>
    <cellStyle name="60% - 强调文字颜色 5 4 18 5 5" xfId="13760"/>
    <cellStyle name="60% - 强调文字颜色 5 4 18 5 6" xfId="13765"/>
    <cellStyle name="60% - 强调文字颜色 5 4 18 5 6 2" xfId="14870"/>
    <cellStyle name="60% - 强调文字颜色 5 4 18 5 6 3" xfId="14938"/>
    <cellStyle name="60% - 强调文字颜色 5 4 18 5 7" xfId="3753"/>
    <cellStyle name="60% - 强调文字颜色 5 4 18 5 8" xfId="3761"/>
    <cellStyle name="60% - 强调文字颜色 5 4 18 5 9" xfId="23843"/>
    <cellStyle name="60% - 强调文字颜色 5 4 18 6" xfId="13769"/>
    <cellStyle name="60% - 强调文字颜色 5 4 18 6 2" xfId="23845"/>
    <cellStyle name="60% - 强调文字颜色 5 4 18 6 2 2" xfId="23846"/>
    <cellStyle name="60% - 强调文字颜色 5 4 18 6 2 3" xfId="23847"/>
    <cellStyle name="60% - 强调文字颜色 5 4 18 6 3" xfId="23849"/>
    <cellStyle name="60% - 强调文字颜色 5 4 18 6 4" xfId="23850"/>
    <cellStyle name="60% - 强调文字颜色 5 4 18 6 5" xfId="17117"/>
    <cellStyle name="60% - 强调文字颜色 5 4 18 6 6" xfId="17120"/>
    <cellStyle name="60% - 强调文字颜色 5 4 18 6 7" xfId="23852"/>
    <cellStyle name="60% - 强调文字颜色 5 4 18 6 8" xfId="23853"/>
    <cellStyle name="60% - 强调文字颜色 5 4 18 7" xfId="13775"/>
    <cellStyle name="60% - 强调文字颜色 5 4 18 8" xfId="13781"/>
    <cellStyle name="60% - 强调文字颜色 5 4 18 9" xfId="23854"/>
    <cellStyle name="60% - 强调文字颜色 5 4 18 9 2" xfId="8659"/>
    <cellStyle name="60% - 强调文字颜色 5 4 18 9 3" xfId="8664"/>
    <cellStyle name="60% - 强调文字颜色 5 4 19" xfId="19693"/>
    <cellStyle name="60% - 强调文字颜色 5 4 19 10" xfId="12076"/>
    <cellStyle name="60% - 强调文字颜色 5 4 19 11" xfId="2443"/>
    <cellStyle name="60% - 强调文字颜色 5 4 19 12" xfId="2446"/>
    <cellStyle name="60% - 强调文字颜色 5 4 19 13" xfId="12927"/>
    <cellStyle name="60% - 强调文字颜色 5 4 19 14" xfId="23856"/>
    <cellStyle name="60% - 强调文字颜色 5 4 19 2" xfId="13793"/>
    <cellStyle name="60% - 强调文字颜色 5 4 19 3" xfId="13798"/>
    <cellStyle name="60% - 强调文字颜色 5 4 19 4" xfId="13802"/>
    <cellStyle name="60% - 强调文字颜色 5 4 19 5" xfId="13866"/>
    <cellStyle name="60% - 强调文字颜色 5 4 19 5 10" xfId="2682"/>
    <cellStyle name="60% - 强调文字颜色 5 4 19 5 11" xfId="3275"/>
    <cellStyle name="60% - 强调文字颜色 5 4 19 5 2" xfId="13874"/>
    <cellStyle name="60% - 强调文字颜色 5 4 19 5 2 2" xfId="13876"/>
    <cellStyle name="60% - 强调文字颜色 5 4 19 5 2 2 2" xfId="22026"/>
    <cellStyle name="60% - 强调文字颜色 5 4 19 5 2 2 3" xfId="22028"/>
    <cellStyle name="60% - 强调文字颜色 5 4 19 5 2 3" xfId="13878"/>
    <cellStyle name="60% - 强调文字颜色 5 4 19 5 2 4" xfId="23857"/>
    <cellStyle name="60% - 强调文字颜色 5 4 19 5 2 5" xfId="572"/>
    <cellStyle name="60% - 强调文字颜色 5 4 19 5 2 6" xfId="416"/>
    <cellStyle name="60% - 强调文字颜色 5 4 19 5 2 7" xfId="23860"/>
    <cellStyle name="60% - 强调文字颜色 5 4 19 5 2 8" xfId="23862"/>
    <cellStyle name="60% - 强调文字颜色 5 4 19 5 3" xfId="13885"/>
    <cellStyle name="60% - 强调文字颜色 5 4 19 5 4" xfId="13892"/>
    <cellStyle name="60% - 强调文字颜色 5 4 19 5 5" xfId="13896"/>
    <cellStyle name="60% - 强调文字颜色 5 4 19 5 6" xfId="13900"/>
    <cellStyle name="60% - 强调文字颜色 5 4 19 5 6 2" xfId="21682"/>
    <cellStyle name="60% - 强调文字颜色 5 4 19 5 6 3" xfId="21684"/>
    <cellStyle name="60% - 强调文字颜色 5 4 19 5 7" xfId="13903"/>
    <cellStyle name="60% - 强调文字颜色 5 4 19 5 8" xfId="13906"/>
    <cellStyle name="60% - 强调文字颜色 5 4 19 5 9" xfId="23864"/>
    <cellStyle name="60% - 强调文字颜色 5 4 19 6" xfId="13908"/>
    <cellStyle name="60% - 强调文字颜色 5 4 19 6 2" xfId="23867"/>
    <cellStyle name="60% - 强调文字颜色 5 4 19 6 2 2" xfId="23868"/>
    <cellStyle name="60% - 强调文字颜色 5 4 19 6 2 3" xfId="23869"/>
    <cellStyle name="60% - 强调文字颜色 5 4 19 6 3" xfId="23871"/>
    <cellStyle name="60% - 强调文字颜色 5 4 19 6 4" xfId="23873"/>
    <cellStyle name="60% - 强调文字颜色 5 4 19 6 5" xfId="23875"/>
    <cellStyle name="60% - 强调文字颜色 5 4 19 6 6" xfId="23877"/>
    <cellStyle name="60% - 强调文字颜色 5 4 19 6 7" xfId="23878"/>
    <cellStyle name="60% - 强调文字颜色 5 4 19 6 8" xfId="23879"/>
    <cellStyle name="60% - 强调文字颜色 5 4 19 7" xfId="13913"/>
    <cellStyle name="60% - 强调文字颜色 5 4 19 8" xfId="13917"/>
    <cellStyle name="60% - 强调文字颜色 5 4 19 9" xfId="23880"/>
    <cellStyle name="60% - 强调文字颜色 5 4 19 9 2" xfId="23882"/>
    <cellStyle name="60% - 强调文字颜色 5 4 19 9 3" xfId="23883"/>
    <cellStyle name="60% - 强调文字颜色 5 4 2" xfId="23885"/>
    <cellStyle name="60% - 强调文字颜色 5 4 20" xfId="8577"/>
    <cellStyle name="60% - 强调文字颜色 5 4 20 10" xfId="21750"/>
    <cellStyle name="60% - 强调文字颜色 5 4 20 11" xfId="18765"/>
    <cellStyle name="60% - 强调文字颜色 5 4 20 12" xfId="18768"/>
    <cellStyle name="60% - 强调文字颜色 5 4 20 13" xfId="18771"/>
    <cellStyle name="60% - 强调文字颜色 5 4 20 14" xfId="18774"/>
    <cellStyle name="60% - 强调文字颜色 5 4 20 2" xfId="7811"/>
    <cellStyle name="60% - 强调文字颜色 5 4 20 3" xfId="7819"/>
    <cellStyle name="60% - 强调文字颜色 5 4 20 4" xfId="2022"/>
    <cellStyle name="60% - 强调文字颜色 5 4 20 5" xfId="2034"/>
    <cellStyle name="60% - 强调文字颜色 5 4 20 5 10" xfId="23362"/>
    <cellStyle name="60% - 强调文字颜色 5 4 20 5 11" xfId="23364"/>
    <cellStyle name="60% - 强调文字颜色 5 4 20 5 2" xfId="13970"/>
    <cellStyle name="60% - 强调文字颜色 5 4 20 5 2 2" xfId="13975"/>
    <cellStyle name="60% - 强调文字颜色 5 4 20 5 2 2 2" xfId="23887"/>
    <cellStyle name="60% - 强调文字颜色 5 4 20 5 2 2 3" xfId="23888"/>
    <cellStyle name="60% - 强调文字颜色 5 4 20 5 2 3" xfId="13979"/>
    <cellStyle name="60% - 强调文字颜色 5 4 20 5 2 4" xfId="23556"/>
    <cellStyle name="60% - 强调文字颜色 5 4 20 5 2 5" xfId="23558"/>
    <cellStyle name="60% - 强调文字颜色 5 4 20 5 2 6" xfId="23560"/>
    <cellStyle name="60% - 强调文字颜色 5 4 20 5 2 7" xfId="23562"/>
    <cellStyle name="60% - 强调文字颜色 5 4 20 5 2 8" xfId="23564"/>
    <cellStyle name="60% - 强调文字颜色 5 4 20 5 3" xfId="13989"/>
    <cellStyle name="60% - 强调文字颜色 5 4 20 5 4" xfId="13999"/>
    <cellStyle name="60% - 强调文字颜色 5 4 20 5 5" xfId="12359"/>
    <cellStyle name="60% - 强调文字颜色 5 4 20 5 6" xfId="12370"/>
    <cellStyle name="60% - 强调文字颜色 5 4 20 5 6 2" xfId="12295"/>
    <cellStyle name="60% - 强调文字颜色 5 4 20 5 6 3" xfId="12303"/>
    <cellStyle name="60% - 强调文字颜色 5 4 20 5 7" xfId="12376"/>
    <cellStyle name="60% - 强调文字颜色 5 4 20 5 8" xfId="12383"/>
    <cellStyle name="60% - 强调文字颜色 5 4 20 5 9" xfId="23889"/>
    <cellStyle name="60% - 强调文字颜色 5 4 20 6" xfId="8597"/>
    <cellStyle name="60% - 强调文字颜色 5 4 20 6 2" xfId="21767"/>
    <cellStyle name="60% - 强调文字颜色 5 4 20 6 2 2" xfId="23784"/>
    <cellStyle name="60% - 强调文字颜色 5 4 20 6 2 3" xfId="8353"/>
    <cellStyle name="60% - 强调文字颜色 5 4 20 6 3" xfId="21773"/>
    <cellStyle name="60% - 强调文字颜色 5 4 20 6 4" xfId="23798"/>
    <cellStyle name="60% - 强调文字颜色 5 4 20 6 5" xfId="23802"/>
    <cellStyle name="60% - 强调文字颜色 5 4 20 6 6" xfId="23805"/>
    <cellStyle name="60% - 强调文字颜色 5 4 20 6 7" xfId="23807"/>
    <cellStyle name="60% - 强调文字颜色 5 4 20 6 8" xfId="22052"/>
    <cellStyle name="60% - 强调文字颜色 5 4 20 7" xfId="8603"/>
    <cellStyle name="60% - 强调文字颜色 5 4 20 8" xfId="8614"/>
    <cellStyle name="60% - 强调文字颜色 5 4 20 9" xfId="21776"/>
    <cellStyle name="60% - 强调文字颜色 5 4 20 9 2" xfId="627"/>
    <cellStyle name="60% - 强调文字颜色 5 4 20 9 3" xfId="657"/>
    <cellStyle name="60% - 强调文字颜色 5 4 3" xfId="738"/>
    <cellStyle name="60% - 强调文字颜色 5 4 4" xfId="1264"/>
    <cellStyle name="60% - 强调文字颜色 5 4 5" xfId="23891"/>
    <cellStyle name="60% - 强调文字颜色 5 4 6" xfId="23893"/>
    <cellStyle name="60% - 强调文字颜色 5 4 7" xfId="23894"/>
    <cellStyle name="60% - 强调文字颜色 5 4 8" xfId="23895"/>
    <cellStyle name="60% - 强调文字颜色 5 4 9" xfId="23896"/>
    <cellStyle name="60% - 强调文字颜色 5 5" xfId="23897"/>
    <cellStyle name="60% - 强调文字颜色 5 5 10" xfId="23898"/>
    <cellStyle name="60% - 强调文字颜色 5 5 11" xfId="23899"/>
    <cellStyle name="60% - 强调文字颜色 5 5 12" xfId="23901"/>
    <cellStyle name="60% - 强调文字颜色 5 5 13" xfId="23903"/>
    <cellStyle name="60% - 强调文字颜色 5 5 14" xfId="23866"/>
    <cellStyle name="60% - 强调文字颜色 5 5 2" xfId="15845"/>
    <cellStyle name="60% - 强调文字颜色 5 5 3" xfId="14004"/>
    <cellStyle name="60% - 强调文字颜色 5 5 4" xfId="14011"/>
    <cellStyle name="60% - 强调文字颜色 5 5 5" xfId="23905"/>
    <cellStyle name="60% - 强调文字颜色 5 5 6" xfId="23907"/>
    <cellStyle name="60% - 强调文字颜色 5 5 7" xfId="23908"/>
    <cellStyle name="60% - 强调文字颜色 5 5 8" xfId="23909"/>
    <cellStyle name="60% - 强调文字颜色 5 5 9" xfId="23910"/>
    <cellStyle name="60% - 强调文字颜色 5 6" xfId="23911"/>
    <cellStyle name="60% - 强调文字颜色 5 6 10" xfId="4864"/>
    <cellStyle name="60% - 强调文字颜色 5 6 11" xfId="4868"/>
    <cellStyle name="60% - 强调文字颜色 5 6 12" xfId="4873"/>
    <cellStyle name="60% - 强调文字颜色 5 6 13" xfId="4881"/>
    <cellStyle name="60% - 强调文字颜色 5 6 14" xfId="1109"/>
    <cellStyle name="60% - 强调文字颜色 5 6 2" xfId="6289"/>
    <cellStyle name="60% - 强调文字颜色 5 6 3" xfId="629"/>
    <cellStyle name="60% - 强调文字颜色 5 6 4" xfId="659"/>
    <cellStyle name="60% - 强调文字颜色 5 6 5" xfId="1900"/>
    <cellStyle name="60% - 强调文字颜色 5 6 6" xfId="1926"/>
    <cellStyle name="60% - 强调文字颜色 5 6 7" xfId="1950"/>
    <cellStyle name="60% - 强调文字颜色 5 6 8" xfId="1838"/>
    <cellStyle name="60% - 强调文字颜色 5 6 9" xfId="23914"/>
    <cellStyle name="60% - 强调文字颜色 5 7" xfId="23916"/>
    <cellStyle name="60% - 强调文字颜色 5 8" xfId="23918"/>
    <cellStyle name="60% - 强调文字颜色 5 9" xfId="18955"/>
    <cellStyle name="60% - 强调文字颜色 6 10" xfId="19899"/>
    <cellStyle name="60% - 强调文字颜色 6 11" xfId="19901"/>
    <cellStyle name="60% - 强调文字颜色 6 12" xfId="5733"/>
    <cellStyle name="60% - 强调文字颜色 6 12 10" xfId="23919"/>
    <cellStyle name="60% - 强调文字颜色 6 12 11" xfId="23920"/>
    <cellStyle name="60% - 强调文字颜色 6 12 12" xfId="23921"/>
    <cellStyle name="60% - 强调文字颜色 6 12 13" xfId="23924"/>
    <cellStyle name="60% - 强调文字颜色 6 12 14" xfId="23927"/>
    <cellStyle name="60% - 强调文字颜色 6 12 2" xfId="20665"/>
    <cellStyle name="60% - 强调文字颜色 6 12 3" xfId="23930"/>
    <cellStyle name="60% - 强调文字颜色 6 12 4" xfId="23933"/>
    <cellStyle name="60% - 强调文字颜色 6 12 5" xfId="23936"/>
    <cellStyle name="60% - 强调文字颜色 6 12 5 10" xfId="9689"/>
    <cellStyle name="60% - 强调文字颜色 6 12 5 11" xfId="9708"/>
    <cellStyle name="60% - 强调文字颜色 6 12 5 2" xfId="19847"/>
    <cellStyle name="60% - 强调文字颜色 6 12 5 2 2" xfId="18543"/>
    <cellStyle name="60% - 强调文字颜色 6 12 5 2 2 2" xfId="8487"/>
    <cellStyle name="60% - 强调文字颜色 6 12 5 2 2 3" xfId="23937"/>
    <cellStyle name="60% - 强调文字颜色 6 12 5 2 3" xfId="18547"/>
    <cellStyle name="60% - 强调文字颜色 6 12 5 2 4" xfId="18551"/>
    <cellStyle name="60% - 强调文字颜色 6 12 5 2 5" xfId="18555"/>
    <cellStyle name="60% - 强调文字颜色 6 12 5 2 6" xfId="18558"/>
    <cellStyle name="60% - 强调文字颜色 6 12 5 2 7" xfId="18564"/>
    <cellStyle name="60% - 强调文字颜色 6 12 5 2 8" xfId="16645"/>
    <cellStyle name="60% - 强调文字颜色 6 12 5 3" xfId="2422"/>
    <cellStyle name="60% - 强调文字颜色 6 12 5 4" xfId="2534"/>
    <cellStyle name="60% - 强调文字颜色 6 12 5 5" xfId="2542"/>
    <cellStyle name="60% - 强调文字颜色 6 12 5 6" xfId="2401"/>
    <cellStyle name="60% - 强调文字颜色 6 12 5 6 2" xfId="23938"/>
    <cellStyle name="60% - 强调文字颜色 6 12 5 6 3" xfId="23939"/>
    <cellStyle name="60% - 强调文字颜色 6 12 5 7" xfId="2416"/>
    <cellStyle name="60% - 强调文字颜色 6 12 5 8" xfId="2584"/>
    <cellStyle name="60% - 强调文字颜色 6 12 5 9" xfId="2597"/>
    <cellStyle name="60% - 强调文字颜色 6 12 6" xfId="23942"/>
    <cellStyle name="60% - 强调文字颜色 6 12 6 2" xfId="16491"/>
    <cellStyle name="60% - 强调文字颜色 6 12 6 2 2" xfId="23943"/>
    <cellStyle name="60% - 强调文字颜色 6 12 6 2 3" xfId="23944"/>
    <cellStyle name="60% - 强调文字颜色 6 12 6 3" xfId="2638"/>
    <cellStyle name="60% - 强调文字颜色 6 12 6 4" xfId="2683"/>
    <cellStyle name="60% - 强调文字颜色 6 12 6 5" xfId="2686"/>
    <cellStyle name="60% - 强调文字颜色 6 12 6 6" xfId="2700"/>
    <cellStyle name="60% - 强调文字颜色 6 12 6 7" xfId="1133"/>
    <cellStyle name="60% - 强调文字颜色 6 12 6 8" xfId="1148"/>
    <cellStyle name="60% - 强调文字颜色 6 12 7" xfId="23947"/>
    <cellStyle name="60% - 强调文字颜色 6 12 8" xfId="9647"/>
    <cellStyle name="60% - 强调文字颜色 6 12 9" xfId="9655"/>
    <cellStyle name="60% - 强调文字颜色 6 12 9 2" xfId="8540"/>
    <cellStyle name="60% - 强调文字颜色 6 12 9 3" xfId="2778"/>
    <cellStyle name="60% - 强调文字颜色 6 13" xfId="5751"/>
    <cellStyle name="60% - 强调文字颜色 6 14" xfId="5762"/>
    <cellStyle name="60% - 强调文字颜色 6 15" xfId="5773"/>
    <cellStyle name="60% - 强调文字颜色 6 16" xfId="10389"/>
    <cellStyle name="60% - 强调文字颜色 6 16 10" xfId="18384"/>
    <cellStyle name="60% - 强调文字颜色 6 16 11" xfId="18386"/>
    <cellStyle name="60% - 强调文字颜色 6 16 12" xfId="18408"/>
    <cellStyle name="60% - 强调文字颜色 6 16 13" xfId="18415"/>
    <cellStyle name="60% - 强调文字颜色 6 16 14" xfId="18418"/>
    <cellStyle name="60% - 强调文字颜色 6 16 2" xfId="23948"/>
    <cellStyle name="60% - 强调文字颜色 6 16 3" xfId="23950"/>
    <cellStyle name="60% - 强调文字颜色 6 16 4" xfId="23952"/>
    <cellStyle name="60% - 强调文字颜色 6 16 5" xfId="23953"/>
    <cellStyle name="60% - 强调文字颜色 6 16 5 10" xfId="22276"/>
    <cellStyle name="60% - 强调文字颜色 6 16 5 11" xfId="22279"/>
    <cellStyle name="60% - 强调文字颜色 6 16 5 2" xfId="18750"/>
    <cellStyle name="60% - 强调文字颜色 6 16 5 2 2" xfId="23954"/>
    <cellStyle name="60% - 强调文字颜色 6 16 5 2 2 2" xfId="4413"/>
    <cellStyle name="60% - 强调文字颜色 6 16 5 2 2 3" xfId="4415"/>
    <cellStyle name="60% - 强调文字颜色 6 16 5 2 3" xfId="23955"/>
    <cellStyle name="60% - 强调文字颜色 6 16 5 2 4" xfId="23956"/>
    <cellStyle name="60% - 强调文字颜色 6 16 5 2 5" xfId="23957"/>
    <cellStyle name="60% - 强调文字颜色 6 16 5 2 6" xfId="23958"/>
    <cellStyle name="60% - 强调文字颜色 6 16 5 2 7" xfId="23959"/>
    <cellStyle name="60% - 强调文字颜色 6 16 5 2 8" xfId="23960"/>
    <cellStyle name="60% - 强调文字颜色 6 16 5 3" xfId="18757"/>
    <cellStyle name="60% - 强调文字颜色 6 16 5 4" xfId="18759"/>
    <cellStyle name="60% - 强调文字颜色 6 16 5 5" xfId="18761"/>
    <cellStyle name="60% - 强调文字颜色 6 16 5 6" xfId="11305"/>
    <cellStyle name="60% - 强调文字颜色 6 16 5 6 2" xfId="14221"/>
    <cellStyle name="60% - 强调文字颜色 6 16 5 6 3" xfId="14224"/>
    <cellStyle name="60% - 强调文字颜色 6 16 5 7" xfId="11308"/>
    <cellStyle name="60% - 强调文字颜色 6 16 5 8" xfId="23961"/>
    <cellStyle name="60% - 强调文字颜色 6 16 5 9" xfId="23962"/>
    <cellStyle name="60% - 强调文字颜色 6 16 6" xfId="23963"/>
    <cellStyle name="60% - 强调文字颜色 6 16 6 2" xfId="6428"/>
    <cellStyle name="60% - 强调文字颜色 6 16 6 2 2" xfId="4781"/>
    <cellStyle name="60% - 强调文字颜色 6 16 6 2 3" xfId="4787"/>
    <cellStyle name="60% - 强调文字颜色 6 16 6 3" xfId="6437"/>
    <cellStyle name="60% - 强调文字颜色 6 16 6 4" xfId="6446"/>
    <cellStyle name="60% - 强调文字颜色 6 16 6 5" xfId="6545"/>
    <cellStyle name="60% - 强调文字颜色 6 16 6 6" xfId="6553"/>
    <cellStyle name="60% - 强调文字颜色 6 16 6 7" xfId="16529"/>
    <cellStyle name="60% - 强调文字颜色 6 16 6 8" xfId="23964"/>
    <cellStyle name="60% - 强调文字颜色 6 16 7" xfId="23328"/>
    <cellStyle name="60% - 强调文字颜色 6 16 8" xfId="16633"/>
    <cellStyle name="60% - 强调文字颜色 6 16 9" xfId="16062"/>
    <cellStyle name="60% - 强调文字颜色 6 16 9 2" xfId="16068"/>
    <cellStyle name="60% - 强调文字颜色 6 16 9 3" xfId="16072"/>
    <cellStyle name="60% - 强调文字颜色 6 17" xfId="807"/>
    <cellStyle name="60% - 强调文字颜色 6 17 10" xfId="23965"/>
    <cellStyle name="60% - 强调文字颜色 6 17 11" xfId="21124"/>
    <cellStyle name="60% - 强调文字颜色 6 17 12" xfId="21127"/>
    <cellStyle name="60% - 强调文字颜色 6 17 13" xfId="21128"/>
    <cellStyle name="60% - 强调文字颜色 6 17 14" xfId="21132"/>
    <cellStyle name="60% - 强调文字颜色 6 17 2" xfId="23967"/>
    <cellStyle name="60% - 强调文字颜色 6 17 3" xfId="23968"/>
    <cellStyle name="60% - 强调文字颜色 6 17 4" xfId="23969"/>
    <cellStyle name="60% - 强调文字颜色 6 17 5" xfId="4952"/>
    <cellStyle name="60% - 强调文字颜色 6 17 5 10" xfId="23970"/>
    <cellStyle name="60% - 强调文字颜色 6 17 5 11" xfId="23971"/>
    <cellStyle name="60% - 强调文字颜色 6 17 5 2" xfId="10881"/>
    <cellStyle name="60% - 强调文字颜色 6 17 5 2 2" xfId="3519"/>
    <cellStyle name="60% - 强调文字颜色 6 17 5 2 2 2" xfId="2528"/>
    <cellStyle name="60% - 强调文字颜色 6 17 5 2 2 3" xfId="5133"/>
    <cellStyle name="60% - 强调文字颜色 6 17 5 2 3" xfId="20413"/>
    <cellStyle name="60% - 强调文字颜色 6 17 5 2 4" xfId="20416"/>
    <cellStyle name="60% - 强调文字颜色 6 17 5 2 5" xfId="20419"/>
    <cellStyle name="60% - 强调文字颜色 6 17 5 2 6" xfId="20422"/>
    <cellStyle name="60% - 强调文字颜色 6 17 5 2 7" xfId="23317"/>
    <cellStyle name="60% - 强调文字颜色 6 17 5 2 8" xfId="16864"/>
    <cellStyle name="60% - 强调文字颜色 6 17 5 3" xfId="10891"/>
    <cellStyle name="60% - 强调文字颜色 6 17 5 4" xfId="20544"/>
    <cellStyle name="60% - 强调文字颜色 6 17 5 5" xfId="23972"/>
    <cellStyle name="60% - 强调文字颜色 6 17 5 6" xfId="23974"/>
    <cellStyle name="60% - 强调文字颜色 6 17 5 6 2" xfId="23976"/>
    <cellStyle name="60% - 强调文字颜色 6 17 5 6 3" xfId="23977"/>
    <cellStyle name="60% - 强调文字颜色 6 17 5 7" xfId="23979"/>
    <cellStyle name="60% - 强调文字颜色 6 17 5 8" xfId="23982"/>
    <cellStyle name="60% - 强调文字颜色 6 17 5 9" xfId="23984"/>
    <cellStyle name="60% - 强调文字颜色 6 17 6" xfId="11190"/>
    <cellStyle name="60% - 强调文字颜色 6 17 6 2" xfId="5409"/>
    <cellStyle name="60% - 强调文字颜色 6 17 6 2 2" xfId="23986"/>
    <cellStyle name="60% - 强调文字颜色 6 17 6 2 3" xfId="23988"/>
    <cellStyle name="60% - 强调文字颜色 6 17 6 3" xfId="5423"/>
    <cellStyle name="60% - 强调文字颜色 6 17 6 4" xfId="5437"/>
    <cellStyle name="60% - 强调文字颜色 6 17 6 5" xfId="5452"/>
    <cellStyle name="60% - 强调文字颜色 6 17 6 6" xfId="5465"/>
    <cellStyle name="60% - 强调文字颜色 6 17 6 7" xfId="5475"/>
    <cellStyle name="60% - 强调文字颜色 6 17 6 8" xfId="23989"/>
    <cellStyle name="60% - 强调文字颜色 6 17 7" xfId="23990"/>
    <cellStyle name="60% - 强调文字颜色 6 17 8" xfId="23991"/>
    <cellStyle name="60% - 强调文字颜色 6 17 9" xfId="16120"/>
    <cellStyle name="60% - 强调文字颜色 6 17 9 2" xfId="9262"/>
    <cellStyle name="60% - 强调文字颜色 6 17 9 3" xfId="9266"/>
    <cellStyle name="60% - 强调文字颜色 6 18" xfId="376"/>
    <cellStyle name="60% - 强调文字颜色 6 18 10" xfId="3828"/>
    <cellStyle name="60% - 强调文字颜色 6 18 11" xfId="2690"/>
    <cellStyle name="60% - 强调文字颜色 6 18 12" xfId="1118"/>
    <cellStyle name="60% - 强调文字颜色 6 18 13" xfId="1140"/>
    <cellStyle name="60% - 强调文字颜色 6 18 14" xfId="2706"/>
    <cellStyle name="60% - 强调文字颜色 6 18 2" xfId="10392"/>
    <cellStyle name="60% - 强调文字颜色 6 18 3" xfId="10398"/>
    <cellStyle name="60% - 强调文字颜色 6 18 4" xfId="10401"/>
    <cellStyle name="60% - 强调文字颜色 6 18 5" xfId="10402"/>
    <cellStyle name="60% - 强调文字颜色 6 18 5 10" xfId="10070"/>
    <cellStyle name="60% - 强调文字颜色 6 18 5 11" xfId="10075"/>
    <cellStyle name="60% - 强调文字颜色 6 18 5 2" xfId="2971"/>
    <cellStyle name="60% - 强调文字颜色 6 18 5 2 2" xfId="10414"/>
    <cellStyle name="60% - 强调文字颜色 6 18 5 2 2 2" xfId="5331"/>
    <cellStyle name="60% - 强调文字颜色 6 18 5 2 2 3" xfId="5346"/>
    <cellStyle name="60% - 强调文字颜色 6 18 5 2 3" xfId="10428"/>
    <cellStyle name="60% - 强调文字颜色 6 18 5 2 4" xfId="10434"/>
    <cellStyle name="60% - 强调文字颜色 6 18 5 2 5" xfId="10440"/>
    <cellStyle name="60% - 强调文字颜色 6 18 5 2 6" xfId="10443"/>
    <cellStyle name="60% - 强调文字颜色 6 18 5 2 7" xfId="10446"/>
    <cellStyle name="60% - 强调文字颜色 6 18 5 2 8" xfId="6874"/>
    <cellStyle name="60% - 强调文字颜色 6 18 5 3" xfId="2990"/>
    <cellStyle name="60% - 强调文字颜色 6 18 5 4" xfId="3003"/>
    <cellStyle name="60% - 强调文字颜色 6 18 5 5" xfId="3014"/>
    <cellStyle name="60% - 强调文字颜色 6 18 5 6" xfId="3023"/>
    <cellStyle name="60% - 强调文字颜色 6 18 5 6 2" xfId="9658"/>
    <cellStyle name="60% - 强调文字颜色 6 18 5 6 3" xfId="9669"/>
    <cellStyle name="60% - 强调文字颜色 6 18 5 7" xfId="5229"/>
    <cellStyle name="60% - 强调文字颜色 6 18 5 8" xfId="5237"/>
    <cellStyle name="60% - 强调文字颜色 6 18 5 9" xfId="4665"/>
    <cellStyle name="60% - 强调文字颜色 6 18 6" xfId="10449"/>
    <cellStyle name="60% - 强调文字颜色 6 18 6 2" xfId="5704"/>
    <cellStyle name="60% - 强调文字颜色 6 18 6 2 2" xfId="10457"/>
    <cellStyle name="60% - 强调文字颜色 6 18 6 2 3" xfId="10460"/>
    <cellStyle name="60% - 强调文字颜色 6 18 6 3" xfId="5711"/>
    <cellStyle name="60% - 强调文字颜色 6 18 6 4" xfId="5723"/>
    <cellStyle name="60% - 强调文字颜色 6 18 6 5" xfId="5743"/>
    <cellStyle name="60% - 强调文字颜色 6 18 6 6" xfId="5756"/>
    <cellStyle name="60% - 强调文字颜色 6 18 6 7" xfId="5766"/>
    <cellStyle name="60% - 强调文字颜色 6 18 6 8" xfId="10386"/>
    <cellStyle name="60% - 强调文字颜色 6 18 7" xfId="10463"/>
    <cellStyle name="60% - 强调文字颜色 6 18 8" xfId="10467"/>
    <cellStyle name="60% - 强调文字颜色 6 18 9" xfId="10470"/>
    <cellStyle name="60% - 强调文字颜色 6 18 9 2" xfId="10478"/>
    <cellStyle name="60% - 强调文字颜色 6 18 9 3" xfId="10482"/>
    <cellStyle name="60% - 强调文字颜色 6 19" xfId="4743"/>
    <cellStyle name="60% - 强调文字颜色 6 2" xfId="1250"/>
    <cellStyle name="60% - 强调文字颜色 6 2 10" xfId="23992"/>
    <cellStyle name="60% - 强调文字颜色 6 2 11" xfId="23993"/>
    <cellStyle name="60% - 强调文字颜色 6 2 12" xfId="23994"/>
    <cellStyle name="60% - 强调文字颜色 6 2 13" xfId="23995"/>
    <cellStyle name="60% - 强调文字颜色 6 2 14" xfId="23996"/>
    <cellStyle name="60% - 强调文字颜色 6 2 15" xfId="461"/>
    <cellStyle name="60% - 强调文字颜色 6 2 16" xfId="23997"/>
    <cellStyle name="60% - 强调文字颜色 6 2 17" xfId="23998"/>
    <cellStyle name="60% - 强调文字颜色 6 2 17 10" xfId="23999"/>
    <cellStyle name="60% - 强调文字颜色 6 2 17 11" xfId="24001"/>
    <cellStyle name="60% - 强调文字颜色 6 2 17 12" xfId="24003"/>
    <cellStyle name="60% - 强调文字颜色 6 2 17 13" xfId="24005"/>
    <cellStyle name="60% - 强调文字颜色 6 2 17 14" xfId="24007"/>
    <cellStyle name="60% - 强调文字颜色 6 2 17 2" xfId="7076"/>
    <cellStyle name="60% - 强调文字颜色 6 2 17 3" xfId="7084"/>
    <cellStyle name="60% - 强调文字颜色 6 2 17 4" xfId="9773"/>
    <cellStyle name="60% - 强调文字颜色 6 2 17 5" xfId="9240"/>
    <cellStyle name="60% - 强调文字颜色 6 2 17 5 10" xfId="1594"/>
    <cellStyle name="60% - 强调文字颜色 6 2 17 5 11" xfId="1609"/>
    <cellStyle name="60% - 强调文字颜色 6 2 17 5 2" xfId="24009"/>
    <cellStyle name="60% - 强调文字颜色 6 2 17 5 2 2" xfId="24011"/>
    <cellStyle name="60% - 强调文字颜色 6 2 17 5 2 2 2" xfId="24012"/>
    <cellStyle name="60% - 强调文字颜色 6 2 17 5 2 2 3" xfId="24013"/>
    <cellStyle name="60% - 强调文字颜色 6 2 17 5 2 3" xfId="24014"/>
    <cellStyle name="60% - 强调文字颜色 6 2 17 5 2 4" xfId="6468"/>
    <cellStyle name="60% - 强调文字颜色 6 2 17 5 2 5" xfId="6281"/>
    <cellStyle name="60% - 强调文字颜色 6 2 17 5 2 6" xfId="24015"/>
    <cellStyle name="60% - 强调文字颜色 6 2 17 5 2 7" xfId="625"/>
    <cellStyle name="60% - 强调文字颜色 6 2 17 5 2 8" xfId="655"/>
    <cellStyle name="60% - 强调文字颜色 6 2 17 5 3" xfId="24017"/>
    <cellStyle name="60% - 强调文字颜色 6 2 17 5 4" xfId="24020"/>
    <cellStyle name="60% - 强调文字颜色 6 2 17 5 5" xfId="24022"/>
    <cellStyle name="60% - 强调文字颜色 6 2 17 5 6" xfId="24023"/>
    <cellStyle name="60% - 强调文字颜色 6 2 17 5 6 2" xfId="24024"/>
    <cellStyle name="60% - 强调文字颜色 6 2 17 5 6 3" xfId="24025"/>
    <cellStyle name="60% - 强调文字颜色 6 2 17 5 7" xfId="24026"/>
    <cellStyle name="60% - 强调文字颜色 6 2 17 5 8" xfId="24027"/>
    <cellStyle name="60% - 强调文字颜色 6 2 17 5 9" xfId="24028"/>
    <cellStyle name="60% - 强调文字颜色 6 2 17 6" xfId="9249"/>
    <cellStyle name="60% - 强调文字颜色 6 2 17 6 2" xfId="21501"/>
    <cellStyle name="60% - 强调文字颜色 6 2 17 6 2 2" xfId="24031"/>
    <cellStyle name="60% - 强调文字颜色 6 2 17 6 2 3" xfId="24032"/>
    <cellStyle name="60% - 强调文字颜色 6 2 17 6 3" xfId="24033"/>
    <cellStyle name="60% - 强调文字颜色 6 2 17 6 4" xfId="24036"/>
    <cellStyle name="60% - 强调文字颜色 6 2 17 6 5" xfId="24037"/>
    <cellStyle name="60% - 强调文字颜色 6 2 17 6 6" xfId="24038"/>
    <cellStyle name="60% - 强调文字颜色 6 2 17 6 7" xfId="24039"/>
    <cellStyle name="60% - 强调文字颜色 6 2 17 6 8" xfId="24040"/>
    <cellStyle name="60% - 强调文字颜色 6 2 17 7" xfId="19148"/>
    <cellStyle name="60% - 强调文字颜色 6 2 17 8" xfId="19150"/>
    <cellStyle name="60% - 强调文字颜色 6 2 17 9" xfId="19152"/>
    <cellStyle name="60% - 强调文字颜色 6 2 17 9 2" xfId="9353"/>
    <cellStyle name="60% - 强调文字颜色 6 2 17 9 3" xfId="9369"/>
    <cellStyle name="60% - 强调文字颜色 6 2 18" xfId="16624"/>
    <cellStyle name="60% - 强调文字颜色 6 2 18 10" xfId="17999"/>
    <cellStyle name="60% - 强调文字颜色 6 2 18 11" xfId="18002"/>
    <cellStyle name="60% - 强调文字颜色 6 2 18 12" xfId="18005"/>
    <cellStyle name="60% - 强调文字颜色 6 2 18 13" xfId="18008"/>
    <cellStyle name="60% - 强调文字颜色 6 2 18 14" xfId="24041"/>
    <cellStyle name="60% - 强调文字颜色 6 2 18 2" xfId="9836"/>
    <cellStyle name="60% - 强调文字颜色 6 2 18 3" xfId="9843"/>
    <cellStyle name="60% - 强调文字颜色 6 2 18 4" xfId="9851"/>
    <cellStyle name="60% - 强调文字颜色 6 2 18 5" xfId="9474"/>
    <cellStyle name="60% - 强调文字颜色 6 2 18 5 10" xfId="12961"/>
    <cellStyle name="60% - 强调文字颜色 6 2 18 5 11" xfId="13029"/>
    <cellStyle name="60% - 强调文字颜色 6 2 18 5 2" xfId="24044"/>
    <cellStyle name="60% - 强调文字颜色 6 2 18 5 2 2" xfId="24046"/>
    <cellStyle name="60% - 强调文字颜色 6 2 18 5 2 2 2" xfId="24047"/>
    <cellStyle name="60% - 强调文字颜色 6 2 18 5 2 2 3" xfId="24048"/>
    <cellStyle name="60% - 强调文字颜色 6 2 18 5 2 3" xfId="24049"/>
    <cellStyle name="60% - 强调文字颜色 6 2 18 5 2 4" xfId="24050"/>
    <cellStyle name="60% - 强调文字颜色 6 2 18 5 2 5" xfId="24051"/>
    <cellStyle name="60% - 强调文字颜色 6 2 18 5 2 6" xfId="24052"/>
    <cellStyle name="60% - 强调文字颜色 6 2 18 5 2 7" xfId="5610"/>
    <cellStyle name="60% - 强调文字颜色 6 2 18 5 2 8" xfId="3936"/>
    <cellStyle name="60% - 强调文字颜色 6 2 18 5 3" xfId="24054"/>
    <cellStyle name="60% - 强调文字颜色 6 2 18 5 4" xfId="24056"/>
    <cellStyle name="60% - 强调文字颜色 6 2 18 5 5" xfId="24058"/>
    <cellStyle name="60% - 强调文字颜色 6 2 18 5 6" xfId="24059"/>
    <cellStyle name="60% - 强调文字颜色 6 2 18 5 6 2" xfId="7893"/>
    <cellStyle name="60% - 强调文字颜色 6 2 18 5 6 3" xfId="23421"/>
    <cellStyle name="60% - 强调文字颜色 6 2 18 5 7" xfId="24060"/>
    <cellStyle name="60% - 强调文字颜色 6 2 18 5 8" xfId="24061"/>
    <cellStyle name="60% - 强调文字颜色 6 2 18 5 9" xfId="24062"/>
    <cellStyle name="60% - 强调文字颜色 6 2 18 6" xfId="9480"/>
    <cellStyle name="60% - 强调文字颜色 6 2 18 6 2" xfId="2123"/>
    <cellStyle name="60% - 强调文字颜色 6 2 18 6 2 2" xfId="11287"/>
    <cellStyle name="60% - 强调文字颜色 6 2 18 6 2 3" xfId="24063"/>
    <cellStyle name="60% - 强调文字颜色 6 2 18 6 3" xfId="24065"/>
    <cellStyle name="60% - 强调文字颜色 6 2 18 6 4" xfId="24068"/>
    <cellStyle name="60% - 强调文字颜色 6 2 18 6 5" xfId="24070"/>
    <cellStyle name="60% - 强调文字颜色 6 2 18 6 6" xfId="24072"/>
    <cellStyle name="60% - 强调文字颜色 6 2 18 6 7" xfId="24074"/>
    <cellStyle name="60% - 强调文字颜色 6 2 18 6 8" xfId="24075"/>
    <cellStyle name="60% - 强调文字颜色 6 2 18 7" xfId="9486"/>
    <cellStyle name="60% - 强调文字颜色 6 2 18 8" xfId="24076"/>
    <cellStyle name="60% - 强调文字颜色 6 2 18 9" xfId="9560"/>
    <cellStyle name="60% - 强调文字颜色 6 2 18 9 2" xfId="9563"/>
    <cellStyle name="60% - 强调文字颜色 6 2 18 9 3" xfId="4706"/>
    <cellStyle name="60% - 强调文字颜色 6 2 19" xfId="5972"/>
    <cellStyle name="60% - 强调文字颜色 6 2 19 10" xfId="7082"/>
    <cellStyle name="60% - 强调文字颜色 6 2 19 11" xfId="24077"/>
    <cellStyle name="60% - 强调文字颜色 6 2 19 12" xfId="9244"/>
    <cellStyle name="60% - 强调文字颜色 6 2 19 13" xfId="9247"/>
    <cellStyle name="60% - 强调文字颜色 6 2 19 14" xfId="9253"/>
    <cellStyle name="60% - 强调文字颜色 6 2 19 2" xfId="16603"/>
    <cellStyle name="60% - 强调文字颜色 6 2 19 3" xfId="16608"/>
    <cellStyle name="60% - 强调文字颜色 6 2 19 4" xfId="16636"/>
    <cellStyle name="60% - 强调文字颜色 6 2 19 5" xfId="16658"/>
    <cellStyle name="60% - 强调文字颜色 6 2 19 5 10" xfId="24082"/>
    <cellStyle name="60% - 强调文字颜色 6 2 19 5 11" xfId="24087"/>
    <cellStyle name="60% - 强调文字颜色 6 2 19 5 2" xfId="2520"/>
    <cellStyle name="60% - 强调文字颜色 6 2 19 5 2 2" xfId="24088"/>
    <cellStyle name="60% - 强调文字颜色 6 2 19 5 2 2 2" xfId="24089"/>
    <cellStyle name="60% - 强调文字颜色 6 2 19 5 2 2 3" xfId="24090"/>
    <cellStyle name="60% - 强调文字颜色 6 2 19 5 2 3" xfId="6589"/>
    <cellStyle name="60% - 强调文字颜色 6 2 19 5 2 4" xfId="7736"/>
    <cellStyle name="60% - 强调文字颜色 6 2 19 5 2 5" xfId="14448"/>
    <cellStyle name="60% - 强调文字颜色 6 2 19 5 2 6" xfId="14738"/>
    <cellStyle name="60% - 强调文字颜色 6 2 19 5 2 7" xfId="2043"/>
    <cellStyle name="60% - 强调文字颜色 6 2 19 5 2 8" xfId="2107"/>
    <cellStyle name="60% - 强调文字颜色 6 2 19 5 3" xfId="5126"/>
    <cellStyle name="60% - 强调文字颜色 6 2 19 5 4" xfId="10726"/>
    <cellStyle name="60% - 强调文字颜色 6 2 19 5 5" xfId="24092"/>
    <cellStyle name="60% - 强调文字颜色 6 2 19 5 6" xfId="24095"/>
    <cellStyle name="60% - 强调文字颜色 6 2 19 5 6 2" xfId="24096"/>
    <cellStyle name="60% - 强调文字颜色 6 2 19 5 6 3" xfId="16172"/>
    <cellStyle name="60% - 强调文字颜色 6 2 19 5 7" xfId="24099"/>
    <cellStyle name="60% - 强调文字颜色 6 2 19 5 8" xfId="24102"/>
    <cellStyle name="60% - 强调文字颜色 6 2 19 5 9" xfId="24105"/>
    <cellStyle name="60% - 强调文字颜色 6 2 19 6" xfId="6941"/>
    <cellStyle name="60% - 强调文字颜色 6 2 19 6 2" xfId="2532"/>
    <cellStyle name="60% - 强调文字颜色 6 2 19 6 2 2" xfId="24106"/>
    <cellStyle name="60% - 强调文字颜色 6 2 19 6 2 3" xfId="24108"/>
    <cellStyle name="60% - 强调文字颜色 6 2 19 6 3" xfId="2552"/>
    <cellStyle name="60% - 强调文字颜色 6 2 19 6 4" xfId="24110"/>
    <cellStyle name="60% - 强调文字颜色 6 2 19 6 5" xfId="24112"/>
    <cellStyle name="60% - 强调文字颜色 6 2 19 6 6" xfId="24114"/>
    <cellStyle name="60% - 强调文字颜色 6 2 19 6 7" xfId="24117"/>
    <cellStyle name="60% - 强调文字颜色 6 2 19 6 8" xfId="24119"/>
    <cellStyle name="60% - 强调文字颜色 6 2 19 7" xfId="6946"/>
    <cellStyle name="60% - 强调文字颜色 6 2 19 8" xfId="6951"/>
    <cellStyle name="60% - 强调文字颜色 6 2 19 9" xfId="6218"/>
    <cellStyle name="60% - 强调文字颜色 6 2 19 9 2" xfId="18864"/>
    <cellStyle name="60% - 强调文字颜色 6 2 19 9 3" xfId="18868"/>
    <cellStyle name="60% - 强调文字颜色 6 2 2" xfId="19558"/>
    <cellStyle name="60% - 强调文字颜色 6 2 2 10" xfId="19331"/>
    <cellStyle name="60% - 强调文字颜色 6 2 2 11" xfId="19563"/>
    <cellStyle name="60% - 强调文字颜色 6 2 2 12" xfId="13320"/>
    <cellStyle name="60% - 强调文字颜色 6 2 2 13" xfId="13330"/>
    <cellStyle name="60% - 强调文字颜色 6 2 2 14" xfId="13333"/>
    <cellStyle name="60% - 强调文字颜色 6 2 2 2" xfId="8768"/>
    <cellStyle name="60% - 强调文字颜色 6 2 2 3" xfId="11920"/>
    <cellStyle name="60% - 强调文字颜色 6 2 2 4" xfId="19568"/>
    <cellStyle name="60% - 强调文字颜色 6 2 2 5" xfId="19571"/>
    <cellStyle name="60% - 强调文字颜色 6 2 2 6" xfId="19574"/>
    <cellStyle name="60% - 强调文字颜色 6 2 2 7" xfId="19581"/>
    <cellStyle name="60% - 强调文字颜色 6 2 2 8" xfId="19585"/>
    <cellStyle name="60% - 强调文字颜色 6 2 2 9" xfId="19589"/>
    <cellStyle name="60% - 强调文字颜色 6 2 20" xfId="460"/>
    <cellStyle name="60% - 强调文字颜色 6 2 20 10" xfId="23597"/>
    <cellStyle name="60% - 强调文字颜色 6 2 20 11" xfId="23606"/>
    <cellStyle name="60% - 强调文字颜色 6 2 20 12" xfId="23610"/>
    <cellStyle name="60% - 强调文字颜色 6 2 20 13" xfId="23614"/>
    <cellStyle name="60% - 强调文字颜色 6 2 20 14" xfId="23618"/>
    <cellStyle name="60% - 强调文字颜色 6 2 20 2" xfId="24120"/>
    <cellStyle name="60% - 强调文字颜色 6 2 20 3" xfId="21452"/>
    <cellStyle name="60% - 强调文字颜色 6 2 20 4" xfId="21462"/>
    <cellStyle name="60% - 强调文字颜色 6 2 20 5" xfId="21464"/>
    <cellStyle name="60% - 强调文字颜色 6 2 20 5 10" xfId="15240"/>
    <cellStyle name="60% - 强调文字颜色 6 2 20 5 11" xfId="5030"/>
    <cellStyle name="60% - 强调文字颜色 6 2 20 5 2" xfId="24122"/>
    <cellStyle name="60% - 强调文字颜色 6 2 20 5 2 2" xfId="24123"/>
    <cellStyle name="60% - 强调文字颜色 6 2 20 5 2 2 2" xfId="24124"/>
    <cellStyle name="60% - 强调文字颜色 6 2 20 5 2 2 3" xfId="24125"/>
    <cellStyle name="60% - 强调文字颜色 6 2 20 5 2 3" xfId="24126"/>
    <cellStyle name="60% - 强调文字颜色 6 2 20 5 2 4" xfId="16799"/>
    <cellStyle name="60% - 强调文字颜色 6 2 20 5 2 5" xfId="16804"/>
    <cellStyle name="60% - 强调文字颜色 6 2 20 5 2 6" xfId="24127"/>
    <cellStyle name="60% - 强调文字颜色 6 2 20 5 2 7" xfId="24128"/>
    <cellStyle name="60% - 强调文字颜色 6 2 20 5 2 8" xfId="24129"/>
    <cellStyle name="60% - 强调文字颜色 6 2 20 5 3" xfId="24130"/>
    <cellStyle name="60% - 强调文字颜色 6 2 20 5 4" xfId="24131"/>
    <cellStyle name="60% - 强调文字颜色 6 2 20 5 5" xfId="24132"/>
    <cellStyle name="60% - 强调文字颜色 6 2 20 5 6" xfId="24133"/>
    <cellStyle name="60% - 强调文字颜色 6 2 20 5 6 2" xfId="24134"/>
    <cellStyle name="60% - 强调文字颜色 6 2 20 5 6 3" xfId="24135"/>
    <cellStyle name="60% - 强调文字颜色 6 2 20 5 7" xfId="24136"/>
    <cellStyle name="60% - 强调文字颜色 6 2 20 5 8" xfId="24137"/>
    <cellStyle name="60% - 强调文字颜色 6 2 20 5 9" xfId="24138"/>
    <cellStyle name="60% - 强调文字颜色 6 2 20 6" xfId="21467"/>
    <cellStyle name="60% - 强调文字颜色 6 2 20 6 2" xfId="24139"/>
    <cellStyle name="60% - 强调文字颜色 6 2 20 6 2 2" xfId="24140"/>
    <cellStyle name="60% - 强调文字颜色 6 2 20 6 2 3" xfId="24141"/>
    <cellStyle name="60% - 强调文字颜色 6 2 20 6 3" xfId="24143"/>
    <cellStyle name="60% - 强调文字颜色 6 2 20 6 4" xfId="24144"/>
    <cellStyle name="60% - 强调文字颜色 6 2 20 6 5" xfId="24145"/>
    <cellStyle name="60% - 强调文字颜色 6 2 20 6 6" xfId="24147"/>
    <cellStyle name="60% - 强调文字颜色 6 2 20 6 7" xfId="17273"/>
    <cellStyle name="60% - 强调文字颜色 6 2 20 6 8" xfId="3661"/>
    <cellStyle name="60% - 强调文字颜色 6 2 20 7" xfId="21470"/>
    <cellStyle name="60% - 强调文字颜色 6 2 20 8" xfId="21475"/>
    <cellStyle name="60% - 强调文字颜色 6 2 20 9" xfId="21477"/>
    <cellStyle name="60% - 强调文字颜色 6 2 20 9 2" xfId="4273"/>
    <cellStyle name="60% - 强调文字颜色 6 2 20 9 3" xfId="4286"/>
    <cellStyle name="60% - 强调文字颜色 6 2 3" xfId="19592"/>
    <cellStyle name="60% - 强调文字颜色 6 2 3 10" xfId="16641"/>
    <cellStyle name="60% - 强调文字颜色 6 2 3 11" xfId="16646"/>
    <cellStyle name="60% - 强调文字颜色 6 2 3 12" xfId="16650"/>
    <cellStyle name="60% - 强调文字颜色 6 2 3 13" xfId="6527"/>
    <cellStyle name="60% - 强调文字颜色 6 2 3 14" xfId="6532"/>
    <cellStyle name="60% - 强调文字颜色 6 2 3 2" xfId="8370"/>
    <cellStyle name="60% - 强调文字颜色 6 2 3 3" xfId="8378"/>
    <cellStyle name="60% - 强调文字颜色 6 2 3 4" xfId="8385"/>
    <cellStyle name="60% - 强调文字颜色 6 2 3 5" xfId="8393"/>
    <cellStyle name="60% - 强调文字颜色 6 2 3 6" xfId="8399"/>
    <cellStyle name="60% - 强调文字颜色 6 2 3 7" xfId="5142"/>
    <cellStyle name="60% - 强调文字颜色 6 2 3 8" xfId="19597"/>
    <cellStyle name="60% - 强调文字颜色 6 2 3 9" xfId="5158"/>
    <cellStyle name="60% - 强调文字颜色 6 2 4" xfId="19600"/>
    <cellStyle name="60% - 强调文字颜色 6 2 4 10" xfId="18862"/>
    <cellStyle name="60% - 强调文字颜色 6 2 4 11" xfId="18866"/>
    <cellStyle name="60% - 强调文字颜色 6 2 4 12" xfId="18942"/>
    <cellStyle name="60% - 强调文字颜色 6 2 4 13" xfId="19009"/>
    <cellStyle name="60% - 强调文字颜色 6 2 4 14" xfId="22890"/>
    <cellStyle name="60% - 强调文字颜色 6 2 4 2" xfId="6936"/>
    <cellStyle name="60% - 强调文字颜色 6 2 4 3" xfId="4960"/>
    <cellStyle name="60% - 强调文字颜色 6 2 4 4" xfId="4980"/>
    <cellStyle name="60% - 强调文字颜色 6 2 4 5" xfId="4989"/>
    <cellStyle name="60% - 强调文字颜色 6 2 4 6" xfId="3838"/>
    <cellStyle name="60% - 强调文字颜色 6 2 4 7" xfId="3846"/>
    <cellStyle name="60% - 强调文字颜色 6 2 4 8" xfId="24150"/>
    <cellStyle name="60% - 强调文字颜色 6 2 4 9" xfId="24153"/>
    <cellStyle name="60% - 强调文字颜色 6 2 5" xfId="19604"/>
    <cellStyle name="60% - 强调文字颜色 6 2 6" xfId="19609"/>
    <cellStyle name="60% - 强调文字颜色 6 2 7" xfId="22561"/>
    <cellStyle name="60% - 强调文字颜色 6 2 8" xfId="22564"/>
    <cellStyle name="60% - 强调文字颜色 6 2 9" xfId="24155"/>
    <cellStyle name="60% - 强调文字颜色 6 3" xfId="3682"/>
    <cellStyle name="60% - 强调文字颜色 6 3 10" xfId="12130"/>
    <cellStyle name="60% - 强调文字颜色 6 3 11" xfId="12133"/>
    <cellStyle name="60% - 强调文字颜色 6 3 12" xfId="12137"/>
    <cellStyle name="60% - 强调文字颜色 6 3 13" xfId="9985"/>
    <cellStyle name="60% - 强调文字颜色 6 3 14" xfId="9989"/>
    <cellStyle name="60% - 强调文字颜色 6 3 15" xfId="9992"/>
    <cellStyle name="60% - 强调文字颜色 6 3 16" xfId="9995"/>
    <cellStyle name="60% - 强调文字颜色 6 3 17" xfId="9997"/>
    <cellStyle name="60% - 强调文字颜色 6 3 17 10" xfId="2747"/>
    <cellStyle name="60% - 强调文字颜色 6 3 17 11" xfId="2756"/>
    <cellStyle name="60% - 强调文字颜色 6 3 17 12" xfId="7200"/>
    <cellStyle name="60% - 强调文字颜色 6 3 17 13" xfId="18348"/>
    <cellStyle name="60% - 强调文字颜色 6 3 17 14" xfId="18352"/>
    <cellStyle name="60% - 强调文字颜色 6 3 17 2" xfId="19461"/>
    <cellStyle name="60% - 强调文字颜色 6 3 17 2 2" xfId="20433"/>
    <cellStyle name="60% - 强调文字颜色 6 3 17 3" xfId="18701"/>
    <cellStyle name="60% - 强调文字颜色 6 3 17 4" xfId="18704"/>
    <cellStyle name="60% - 强调文字颜色 6 3 17 5" xfId="18707"/>
    <cellStyle name="60% - 强调文字颜色 6 3 17 5 10" xfId="24156"/>
    <cellStyle name="60% - 强调文字颜色 6 3 17 5 11" xfId="24157"/>
    <cellStyle name="60% - 强调文字颜色 6 3 17 5 2" xfId="24159"/>
    <cellStyle name="60% - 强调文字颜色 6 3 17 5 2 2" xfId="24160"/>
    <cellStyle name="60% - 强调文字颜色 6 3 17 5 2 2 2" xfId="11029"/>
    <cellStyle name="60% - 强调文字颜色 6 3 17 5 2 2 3" xfId="8075"/>
    <cellStyle name="60% - 强调文字颜色 6 3 17 5 2 3" xfId="24162"/>
    <cellStyle name="60% - 强调文字颜色 6 3 17 5 2 4" xfId="17135"/>
    <cellStyle name="60% - 强调文字颜色 6 3 17 5 2 5" xfId="9126"/>
    <cellStyle name="60% - 强调文字颜色 6 3 17 5 2 6" xfId="24163"/>
    <cellStyle name="60% - 强调文字颜色 6 3 17 5 2 7" xfId="24164"/>
    <cellStyle name="60% - 强调文字颜色 6 3 17 5 2 8" xfId="24165"/>
    <cellStyle name="60% - 强调文字颜色 6 3 17 5 3" xfId="24166"/>
    <cellStyle name="60% - 强调文字颜色 6 3 17 5 4" xfId="24167"/>
    <cellStyle name="60% - 强调文字颜色 6 3 17 5 5" xfId="24169"/>
    <cellStyle name="60% - 强调文字颜色 6 3 17 5 6" xfId="24171"/>
    <cellStyle name="60% - 强调文字颜色 6 3 17 5 6 2" xfId="354"/>
    <cellStyle name="60% - 强调文字颜色 6 3 17 5 6 3" xfId="360"/>
    <cellStyle name="60% - 强调文字颜色 6 3 17 5 7" xfId="24172"/>
    <cellStyle name="60% - 强调文字颜色 6 3 17 5 8" xfId="24173"/>
    <cellStyle name="60% - 强调文字颜色 6 3 17 5 9" xfId="24174"/>
    <cellStyle name="60% - 强调文字颜色 6 3 17 6" xfId="18710"/>
    <cellStyle name="60% - 强调文字颜色 6 3 17 6 2" xfId="22299"/>
    <cellStyle name="60% - 强调文字颜色 6 3 17 6 2 2" xfId="24175"/>
    <cellStyle name="60% - 强调文字颜色 6 3 17 6 2 3" xfId="24176"/>
    <cellStyle name="60% - 强调文字颜色 6 3 17 6 3" xfId="24177"/>
    <cellStyle name="60% - 强调文字颜色 6 3 17 6 4" xfId="24178"/>
    <cellStyle name="60% - 强调文字颜色 6 3 17 6 5" xfId="24180"/>
    <cellStyle name="60% - 强调文字颜色 6 3 17 6 6" xfId="24181"/>
    <cellStyle name="60% - 强调文字颜色 6 3 17 6 7" xfId="24182"/>
    <cellStyle name="60% - 强调文字颜色 6 3 17 6 8" xfId="24183"/>
    <cellStyle name="60% - 强调文字颜色 6 3 17 7" xfId="18713"/>
    <cellStyle name="60% - 强调文字颜色 6 3 17 8" xfId="20077"/>
    <cellStyle name="60% - 强调文字颜色 6 3 17 9" xfId="20079"/>
    <cellStyle name="60% - 强调文字颜色 6 3 17 9 2" xfId="8830"/>
    <cellStyle name="60% - 强调文字颜色 6 3 17 9 3" xfId="8839"/>
    <cellStyle name="60% - 强调文字颜色 6 3 18" xfId="10004"/>
    <cellStyle name="60% - 强调文字颜色 6 3 18 10" xfId="19109"/>
    <cellStyle name="60% - 强调文字颜色 6 3 18 11" xfId="19111"/>
    <cellStyle name="60% - 强调文字颜色 6 3 18 12" xfId="19113"/>
    <cellStyle name="60% - 强调文字颜色 6 3 18 13" xfId="19115"/>
    <cellStyle name="60% - 强调文字颜色 6 3 18 14" xfId="24185"/>
    <cellStyle name="60% - 强调文字颜色 6 3 18 2" xfId="11757"/>
    <cellStyle name="60% - 强调文字颜色 6 3 18 3" xfId="11766"/>
    <cellStyle name="60% - 强调文字颜色 6 3 18 4" xfId="10919"/>
    <cellStyle name="60% - 强调文字颜色 6 3 18 5" xfId="10051"/>
    <cellStyle name="60% - 强调文字颜色 6 3 18 5 10" xfId="24187"/>
    <cellStyle name="60% - 强调文字颜色 6 3 18 5 11" xfId="24193"/>
    <cellStyle name="60% - 强调文字颜色 6 3 18 5 2" xfId="24195"/>
    <cellStyle name="60% - 强调文字颜色 6 3 18 5 2 2" xfId="24197"/>
    <cellStyle name="60% - 强调文字颜色 6 3 18 5 2 2 2" xfId="9343"/>
    <cellStyle name="60% - 强调文字颜色 6 3 18 5 2 2 3" xfId="24198"/>
    <cellStyle name="60% - 强调文字颜色 6 3 18 5 2 3" xfId="24199"/>
    <cellStyle name="60% - 强调文字颜色 6 3 18 5 2 4" xfId="24200"/>
    <cellStyle name="60% - 强调文字颜色 6 3 18 5 2 5" xfId="24201"/>
    <cellStyle name="60% - 强调文字颜色 6 3 18 5 2 6" xfId="24202"/>
    <cellStyle name="60% - 强调文字颜色 6 3 18 5 2 7" xfId="19367"/>
    <cellStyle name="60% - 强调文字颜色 6 3 18 5 2 8" xfId="19369"/>
    <cellStyle name="60% - 强调文字颜色 6 3 18 5 3" xfId="24204"/>
    <cellStyle name="60% - 强调文字颜色 6 3 18 5 4" xfId="24207"/>
    <cellStyle name="60% - 强调文字颜色 6 3 18 5 5" xfId="24210"/>
    <cellStyle name="60% - 强调文字颜色 6 3 18 5 6" xfId="24213"/>
    <cellStyle name="60% - 强调文字颜色 6 3 18 5 6 2" xfId="17443"/>
    <cellStyle name="60% - 强调文字颜色 6 3 18 5 6 3" xfId="17491"/>
    <cellStyle name="60% - 强调文字颜色 6 3 18 5 7" xfId="24216"/>
    <cellStyle name="60% - 强调文字颜色 6 3 18 5 8" xfId="24218"/>
    <cellStyle name="60% - 强调文字颜色 6 3 18 5 9" xfId="24220"/>
    <cellStyle name="60% - 强调文字颜色 6 3 18 6" xfId="10060"/>
    <cellStyle name="60% - 强调文字颜色 6 3 18 6 2" xfId="24221"/>
    <cellStyle name="60% - 强调文字颜色 6 3 18 6 2 2" xfId="11609"/>
    <cellStyle name="60% - 强调文字颜色 6 3 18 6 2 3" xfId="24222"/>
    <cellStyle name="60% - 强调文字颜色 6 3 18 6 3" xfId="24224"/>
    <cellStyle name="60% - 强调文字颜色 6 3 18 6 4" xfId="24226"/>
    <cellStyle name="60% - 强调文字颜色 6 3 18 6 5" xfId="24228"/>
    <cellStyle name="60% - 强调文字颜色 6 3 18 6 6" xfId="24230"/>
    <cellStyle name="60% - 强调文字颜色 6 3 18 6 7" xfId="24232"/>
    <cellStyle name="60% - 强调文字颜色 6 3 18 6 8" xfId="24234"/>
    <cellStyle name="60% - 强调文字颜色 6 3 18 7" xfId="2078"/>
    <cellStyle name="60% - 强调文字颜色 6 3 18 8" xfId="20216"/>
    <cellStyle name="60% - 强调文字颜色 6 3 18 9" xfId="24236"/>
    <cellStyle name="60% - 强调文字颜色 6 3 18 9 2" xfId="10122"/>
    <cellStyle name="60% - 强调文字颜色 6 3 18 9 3" xfId="7372"/>
    <cellStyle name="60% - 强调文字颜色 6 3 19" xfId="9791"/>
    <cellStyle name="60% - 强调文字颜色 6 3 19 10" xfId="24237"/>
    <cellStyle name="60% - 强调文字颜色 6 3 19 11" xfId="24239"/>
    <cellStyle name="60% - 强调文字颜色 6 3 19 12" xfId="24241"/>
    <cellStyle name="60% - 强调文字颜色 6 3 19 13" xfId="24243"/>
    <cellStyle name="60% - 强调文字颜色 6 3 19 14" xfId="24245"/>
    <cellStyle name="60% - 强调文字颜色 6 3 19 2" xfId="16823"/>
    <cellStyle name="60% - 强调文字颜色 6 3 19 3" xfId="16828"/>
    <cellStyle name="60% - 强调文字颜色 6 3 19 4" xfId="16858"/>
    <cellStyle name="60% - 强调文字颜色 6 3 19 5" xfId="14559"/>
    <cellStyle name="60% - 强调文字颜色 6 3 19 5 10" xfId="20747"/>
    <cellStyle name="60% - 强调文字颜色 6 3 19 5 11" xfId="20752"/>
    <cellStyle name="60% - 强调文字颜色 6 3 19 5 2" xfId="17724"/>
    <cellStyle name="60% - 强调文字颜色 6 3 19 5 2 2" xfId="24246"/>
    <cellStyle name="60% - 强调文字颜色 6 3 19 5 2 2 2" xfId="10395"/>
    <cellStyle name="60% - 强调文字颜色 6 3 19 5 2 2 3" xfId="10399"/>
    <cellStyle name="60% - 强调文字颜色 6 3 19 5 2 3" xfId="24247"/>
    <cellStyle name="60% - 强调文字颜色 6 3 19 5 2 4" xfId="24248"/>
    <cellStyle name="60% - 强调文字颜色 6 3 19 5 2 5" xfId="24249"/>
    <cellStyle name="60% - 强调文字颜色 6 3 19 5 2 6" xfId="24250"/>
    <cellStyle name="60% - 强调文字颜色 6 3 19 5 2 7" xfId="24252"/>
    <cellStyle name="60% - 强调文字颜色 6 3 19 5 2 8" xfId="24254"/>
    <cellStyle name="60% - 强调文字颜色 6 3 19 5 3" xfId="17726"/>
    <cellStyle name="60% - 强调文字颜色 6 3 19 5 4" xfId="17728"/>
    <cellStyle name="60% - 强调文字颜色 6 3 19 5 5" xfId="24255"/>
    <cellStyle name="60% - 强调文字颜色 6 3 19 5 6" xfId="24256"/>
    <cellStyle name="60% - 强调文字颜色 6 3 19 5 6 2" xfId="24257"/>
    <cellStyle name="60% - 强调文字颜色 6 3 19 5 6 3" xfId="16907"/>
    <cellStyle name="60% - 强调文字颜色 6 3 19 5 7" xfId="24258"/>
    <cellStyle name="60% - 强调文字颜色 6 3 19 5 8" xfId="24260"/>
    <cellStyle name="60% - 强调文字颜色 6 3 19 5 9" xfId="24262"/>
    <cellStyle name="60% - 强调文字颜色 6 3 19 6" xfId="14563"/>
    <cellStyle name="60% - 强调文字颜色 6 3 19 6 2" xfId="3597"/>
    <cellStyle name="60% - 强调文字颜色 6 3 19 6 2 2" xfId="24263"/>
    <cellStyle name="60% - 强调文字颜色 6 3 19 6 2 3" xfId="12210"/>
    <cellStyle name="60% - 强调文字颜色 6 3 19 6 3" xfId="24264"/>
    <cellStyle name="60% - 强调文字颜色 6 3 19 6 4" xfId="24265"/>
    <cellStyle name="60% - 强调文字颜色 6 3 19 6 5" xfId="24266"/>
    <cellStyle name="60% - 强调文字颜色 6 3 19 6 6" xfId="24267"/>
    <cellStyle name="60% - 强调文字颜色 6 3 19 6 7" xfId="24268"/>
    <cellStyle name="60% - 强调文字颜色 6 3 19 6 8" xfId="24269"/>
    <cellStyle name="60% - 强调文字颜色 6 3 19 7" xfId="16887"/>
    <cellStyle name="60% - 强调文字颜色 6 3 19 8" xfId="24270"/>
    <cellStyle name="60% - 强调文字颜色 6 3 19 9" xfId="24272"/>
    <cellStyle name="60% - 强调文字颜色 6 3 19 9 2" xfId="23858"/>
    <cellStyle name="60% - 强调文字颜色 6 3 19 9 3" xfId="570"/>
    <cellStyle name="60% - 强调文字颜色 6 3 2" xfId="24274"/>
    <cellStyle name="60% - 强调文字颜色 6 3 2 10" xfId="7855"/>
    <cellStyle name="60% - 强调文字颜色 6 3 2 11" xfId="7865"/>
    <cellStyle name="60% - 强调文字颜色 6 3 2 12" xfId="10285"/>
    <cellStyle name="60% - 强调文字颜色 6 3 2 13" xfId="10295"/>
    <cellStyle name="60% - 强调文字颜色 6 3 2 14" xfId="10299"/>
    <cellStyle name="60% - 强调文字颜色 6 3 2 2" xfId="1990"/>
    <cellStyle name="60% - 强调文字颜色 6 3 2 3" xfId="2010"/>
    <cellStyle name="60% - 强调文字颜色 6 3 2 4" xfId="2222"/>
    <cellStyle name="60% - 强调文字颜色 6 3 2 5" xfId="2301"/>
    <cellStyle name="60% - 强调文字颜色 6 3 2 6" xfId="2309"/>
    <cellStyle name="60% - 强调文字颜色 6 3 2 7" xfId="2318"/>
    <cellStyle name="60% - 强调文字颜色 6 3 2 8" xfId="3231"/>
    <cellStyle name="60% - 强调文字颜色 6 3 2 9" xfId="424"/>
    <cellStyle name="60% - 强调文字颜色 6 3 20" xfId="9991"/>
    <cellStyle name="60% - 强调文字颜色 6 3 20 10" xfId="24277"/>
    <cellStyle name="60% - 强调文字颜色 6 3 20 11" xfId="24279"/>
    <cellStyle name="60% - 强调文字颜色 6 3 20 12" xfId="24281"/>
    <cellStyle name="60% - 强调文字颜色 6 3 20 13" xfId="20757"/>
    <cellStyle name="60% - 强调文字颜色 6 3 20 14" xfId="20761"/>
    <cellStyle name="60% - 强调文字颜色 6 3 20 2" xfId="24283"/>
    <cellStyle name="60% - 强调文字颜色 6 3 20 3" xfId="24284"/>
    <cellStyle name="60% - 强调文字颜色 6 3 20 4" xfId="24285"/>
    <cellStyle name="60% - 强调文字颜色 6 3 20 5" xfId="14532"/>
    <cellStyle name="60% - 强调文字颜色 6 3 20 5 10" xfId="19799"/>
    <cellStyle name="60% - 强调文字颜色 6 3 20 5 11" xfId="19802"/>
    <cellStyle name="60% - 强调文字颜色 6 3 20 5 2" xfId="14535"/>
    <cellStyle name="60% - 强调文字颜色 6 3 20 5 2 2" xfId="24286"/>
    <cellStyle name="60% - 强调文字颜色 6 3 20 5 2 2 2" xfId="24287"/>
    <cellStyle name="60% - 强调文字颜色 6 3 20 5 2 2 3" xfId="24288"/>
    <cellStyle name="60% - 强调文字颜色 6 3 20 5 2 3" xfId="24289"/>
    <cellStyle name="60% - 强调文字颜色 6 3 20 5 2 4" xfId="17041"/>
    <cellStyle name="60% - 强调文字颜色 6 3 20 5 2 5" xfId="17044"/>
    <cellStyle name="60% - 强调文字颜色 6 3 20 5 2 6" xfId="24290"/>
    <cellStyle name="60% - 强调文字颜色 6 3 20 5 2 7" xfId="24291"/>
    <cellStyle name="60% - 强调文字颜色 6 3 20 5 2 8" xfId="24292"/>
    <cellStyle name="60% - 强调文字颜色 6 3 20 5 3" xfId="14538"/>
    <cellStyle name="60% - 强调文字颜色 6 3 20 5 4" xfId="24293"/>
    <cellStyle name="60% - 强调文字颜色 6 3 20 5 5" xfId="24295"/>
    <cellStyle name="60% - 强调文字颜色 6 3 20 5 6" xfId="24297"/>
    <cellStyle name="60% - 强调文字颜色 6 3 20 5 6 2" xfId="23923"/>
    <cellStyle name="60% - 强调文字颜色 6 3 20 5 6 3" xfId="23926"/>
    <cellStyle name="60% - 强调文字颜色 6 3 20 5 7" xfId="24299"/>
    <cellStyle name="60% - 强调文字颜色 6 3 20 5 8" xfId="24301"/>
    <cellStyle name="60% - 强调文字颜色 6 3 20 5 9" xfId="24303"/>
    <cellStyle name="60% - 强调文字颜色 6 3 20 6" xfId="14541"/>
    <cellStyle name="60% - 强调文字颜色 6 3 20 6 2" xfId="24305"/>
    <cellStyle name="60% - 强调文字颜色 6 3 20 6 2 2" xfId="18461"/>
    <cellStyle name="60% - 强调文字颜色 6 3 20 6 2 3" xfId="18471"/>
    <cellStyle name="60% - 强调文字颜色 6 3 20 6 3" xfId="24307"/>
    <cellStyle name="60% - 强调文字颜色 6 3 20 6 4" xfId="24309"/>
    <cellStyle name="60% - 强调文字颜色 6 3 20 6 5" xfId="23646"/>
    <cellStyle name="60% - 强调文字颜色 6 3 20 6 6" xfId="23651"/>
    <cellStyle name="60% - 强调文字颜色 6 3 20 6 7" xfId="23655"/>
    <cellStyle name="60% - 强调文字颜色 6 3 20 6 8" xfId="287"/>
    <cellStyle name="60% - 强调文字颜色 6 3 20 7" xfId="14543"/>
    <cellStyle name="60% - 强调文字颜色 6 3 20 8" xfId="14547"/>
    <cellStyle name="60% - 强调文字颜色 6 3 20 9" xfId="14550"/>
    <cellStyle name="60% - 强调文字颜色 6 3 20 9 2" xfId="8546"/>
    <cellStyle name="60% - 强调文字颜色 6 3 20 9 3" xfId="8549"/>
    <cellStyle name="60% - 强调文字颜色 6 3 3" xfId="19680"/>
    <cellStyle name="60% - 强调文字颜色 6 3 3 10" xfId="19624"/>
    <cellStyle name="60% - 强调文字颜色 6 3 3 11" xfId="19628"/>
    <cellStyle name="60% - 强调文字颜色 6 3 3 12" xfId="19666"/>
    <cellStyle name="60% - 强调文字颜色 6 3 3 13" xfId="19695"/>
    <cellStyle name="60% - 强调文字颜色 6 3 3 14" xfId="24311"/>
    <cellStyle name="60% - 强调文字颜色 6 3 3 2" xfId="2366"/>
    <cellStyle name="60% - 强调文字颜色 6 3 3 3" xfId="2388"/>
    <cellStyle name="60% - 强调文字颜色 6 3 3 4" xfId="2620"/>
    <cellStyle name="60% - 强调文字颜色 6 3 3 5" xfId="2723"/>
    <cellStyle name="60% - 强调文字颜色 6 3 3 6" xfId="2743"/>
    <cellStyle name="60% - 强调文字颜色 6 3 3 7" xfId="2751"/>
    <cellStyle name="60% - 强调文字颜色 6 3 3 8" xfId="20360"/>
    <cellStyle name="60% - 强调文字颜色 6 3 3 9" xfId="20365"/>
    <cellStyle name="60% - 强调文字颜色 6 3 4" xfId="19683"/>
    <cellStyle name="60% - 强调文字颜色 6 3 4 10" xfId="10011"/>
    <cellStyle name="60% - 强调文字颜色 6 3 4 11" xfId="10015"/>
    <cellStyle name="60% - 强调文字颜色 6 3 4 12" xfId="10019"/>
    <cellStyle name="60% - 强调文字颜色 6 3 4 13" xfId="10025"/>
    <cellStyle name="60% - 强调文字颜色 6 3 4 14" xfId="10030"/>
    <cellStyle name="60% - 强调文字颜色 6 3 4 2" xfId="4339"/>
    <cellStyle name="60% - 强调文字颜色 6 3 4 3" xfId="24315"/>
    <cellStyle name="60% - 强调文字颜色 6 3 4 4" xfId="24319"/>
    <cellStyle name="60% - 强调文字颜色 6 3 4 5" xfId="24323"/>
    <cellStyle name="60% - 强调文字颜色 6 3 4 6" xfId="17844"/>
    <cellStyle name="60% - 强调文字颜色 6 3 4 7" xfId="17854"/>
    <cellStyle name="60% - 强调文字颜色 6 3 4 8" xfId="17860"/>
    <cellStyle name="60% - 强调文字颜色 6 3 4 9" xfId="17867"/>
    <cellStyle name="60% - 强调文字颜色 6 3 5" xfId="24325"/>
    <cellStyle name="60% - 强调文字颜色 6 3 6" xfId="24329"/>
    <cellStyle name="60% - 强调文字颜色 6 3 7" xfId="24333"/>
    <cellStyle name="60% - 强调文字颜色 6 3 8" xfId="24335"/>
    <cellStyle name="60% - 强调文字颜色 6 3 9" xfId="24336"/>
    <cellStyle name="60% - 强调文字颜色 6 4" xfId="21979"/>
    <cellStyle name="60% - 强调文字颜色 6 4 10" xfId="3768"/>
    <cellStyle name="60% - 强调文字颜色 6 4 11" xfId="3776"/>
    <cellStyle name="60% - 强调文字颜色 6 4 12" xfId="9122"/>
    <cellStyle name="60% - 强调文字颜色 6 4 13" xfId="3315"/>
    <cellStyle name="60% - 强调文字颜色 6 4 14" xfId="3322"/>
    <cellStyle name="60% - 强调文字颜色 6 4 15" xfId="3333"/>
    <cellStyle name="60% - 强调文字颜色 6 4 16" xfId="3345"/>
    <cellStyle name="60% - 强调文字颜色 6 4 17" xfId="3361"/>
    <cellStyle name="60% - 强调文字颜色 6 4 17 10" xfId="24338"/>
    <cellStyle name="60% - 强调文字颜色 6 4 17 11" xfId="24341"/>
    <cellStyle name="60% - 强调文字颜色 6 4 17 12" xfId="24343"/>
    <cellStyle name="60% - 强调文字颜色 6 4 17 13" xfId="24345"/>
    <cellStyle name="60% - 强调文字颜色 6 4 17 14" xfId="24347"/>
    <cellStyle name="60% - 强调文字颜色 6 4 17 2" xfId="19930"/>
    <cellStyle name="60% - 强调文字颜色 6 4 17 3" xfId="19240"/>
    <cellStyle name="60% - 强调文字颜色 6 4 17 4" xfId="19249"/>
    <cellStyle name="60% - 强调文字颜色 6 4 17 5" xfId="19254"/>
    <cellStyle name="60% - 强调文字颜色 6 4 17 5 10" xfId="12753"/>
    <cellStyle name="60% - 强调文字颜色 6 4 17 5 11" xfId="12760"/>
    <cellStyle name="60% - 强调文字颜色 6 4 17 5 2" xfId="24348"/>
    <cellStyle name="60% - 强调文字颜色 6 4 17 5 2 2" xfId="1721"/>
    <cellStyle name="60% - 强调文字颜色 6 4 17 5 2 2 2" xfId="2678"/>
    <cellStyle name="60% - 强调文字颜色 6 4 17 5 2 2 3" xfId="3272"/>
    <cellStyle name="60% - 强调文字颜色 6 4 17 5 2 3" xfId="3657"/>
    <cellStyle name="60% - 强调文字颜色 6 4 17 5 2 4" xfId="3667"/>
    <cellStyle name="60% - 强调文字颜色 6 4 17 5 2 5" xfId="3676"/>
    <cellStyle name="60% - 强调文字颜色 6 4 17 5 2 6" xfId="2554"/>
    <cellStyle name="60% - 强调文字颜色 6 4 17 5 2 7" xfId="2572"/>
    <cellStyle name="60% - 强调文字颜色 6 4 17 5 2 8" xfId="21611"/>
    <cellStyle name="60% - 强调文字颜色 6 4 17 5 3" xfId="24349"/>
    <cellStyle name="60% - 强调文字颜色 6 4 17 5 4" xfId="24350"/>
    <cellStyle name="60% - 强调文字颜色 6 4 17 5 5" xfId="19125"/>
    <cellStyle name="60% - 强调文字颜色 6 4 17 5 6" xfId="19127"/>
    <cellStyle name="60% - 强调文字颜色 6 4 17 5 6 2" xfId="2995"/>
    <cellStyle name="60% - 强调文字颜色 6 4 17 5 6 3" xfId="3000"/>
    <cellStyle name="60% - 强调文字颜色 6 4 17 5 7" xfId="19129"/>
    <cellStyle name="60% - 强调文字颜色 6 4 17 5 8" xfId="19131"/>
    <cellStyle name="60% - 强调文字颜色 6 4 17 5 9" xfId="19133"/>
    <cellStyle name="60% - 强调文字颜色 6 4 17 6" xfId="19258"/>
    <cellStyle name="60% - 强调文字颜色 6 4 17 6 2" xfId="22888"/>
    <cellStyle name="60% - 强调文字颜色 6 4 17 6 2 2" xfId="6619"/>
    <cellStyle name="60% - 强调文字颜色 6 4 17 6 2 3" xfId="6667"/>
    <cellStyle name="60% - 强调文字颜色 6 4 17 6 3" xfId="24351"/>
    <cellStyle name="60% - 强调文字颜色 6 4 17 6 4" xfId="24352"/>
    <cellStyle name="60% - 强调文字颜色 6 4 17 6 5" xfId="24353"/>
    <cellStyle name="60% - 强调文字颜色 6 4 17 6 6" xfId="24354"/>
    <cellStyle name="60% - 强调文字颜色 6 4 17 6 7" xfId="24355"/>
    <cellStyle name="60% - 强调文字颜色 6 4 17 6 8" xfId="24356"/>
    <cellStyle name="60% - 强调文字颜色 6 4 17 7" xfId="19262"/>
    <cellStyle name="60% - 强调文字颜色 6 4 17 8" xfId="19266"/>
    <cellStyle name="60% - 强调文字颜色 6 4 17 9" xfId="1503"/>
    <cellStyle name="60% - 强调文字颜色 6 4 17 9 2" xfId="9507"/>
    <cellStyle name="60% - 强调文字颜色 6 4 17 9 3" xfId="9512"/>
    <cellStyle name="60% - 强调文字颜色 6 4 18" xfId="9200"/>
    <cellStyle name="60% - 强调文字颜色 6 4 18 10" xfId="20046"/>
    <cellStyle name="60% - 强调文字颜色 6 4 18 11" xfId="20049"/>
    <cellStyle name="60% - 强调文字颜色 6 4 18 12" xfId="20052"/>
    <cellStyle name="60% - 强调文字颜色 6 4 18 13" xfId="20055"/>
    <cellStyle name="60% - 强调文字颜色 6 4 18 14" xfId="23720"/>
    <cellStyle name="60% - 强调文字颜色 6 4 18 2" xfId="9206"/>
    <cellStyle name="60% - 强调文字颜色 6 4 18 3" xfId="9214"/>
    <cellStyle name="60% - 强调文字颜色 6 4 18 4" xfId="14451"/>
    <cellStyle name="60% - 强调文字颜色 6 4 18 5" xfId="14455"/>
    <cellStyle name="60% - 强调文字颜色 6 4 18 5 10" xfId="22079"/>
    <cellStyle name="60% - 强调文字颜色 6 4 18 5 11" xfId="22154"/>
    <cellStyle name="60% - 强调文字颜色 6 4 18 5 2" xfId="24359"/>
    <cellStyle name="60% - 强调文字颜色 6 4 18 5 2 2" xfId="745"/>
    <cellStyle name="60% - 强调文字颜色 6 4 18 5 2 2 2" xfId="22458"/>
    <cellStyle name="60% - 强调文字颜色 6 4 18 5 2 2 3" xfId="22099"/>
    <cellStyle name="60% - 强调文字颜色 6 4 18 5 2 3" xfId="1271"/>
    <cellStyle name="60% - 强调文字颜色 6 4 18 5 2 4" xfId="6099"/>
    <cellStyle name="60% - 强调文字颜色 6 4 18 5 2 5" xfId="6142"/>
    <cellStyle name="60% - 强调文字颜色 6 4 18 5 2 6" xfId="6152"/>
    <cellStyle name="60% - 强调文字颜色 6 4 18 5 2 7" xfId="20261"/>
    <cellStyle name="60% - 强调文字颜色 6 4 18 5 2 8" xfId="20266"/>
    <cellStyle name="60% - 强调文字颜色 6 4 18 5 3" xfId="24364"/>
    <cellStyle name="60% - 强调文字颜色 6 4 18 5 4" xfId="24369"/>
    <cellStyle name="60% - 强调文字颜色 6 4 18 5 5" xfId="24373"/>
    <cellStyle name="60% - 强调文字颜色 6 4 18 5 6" xfId="24377"/>
    <cellStyle name="60% - 强调文字颜色 6 4 18 5 6 2" xfId="24378"/>
    <cellStyle name="60% - 强调文字颜色 6 4 18 5 6 3" xfId="24379"/>
    <cellStyle name="60% - 强调文字颜色 6 4 18 5 7" xfId="24381"/>
    <cellStyle name="60% - 强调文字颜色 6 4 18 5 8" xfId="24383"/>
    <cellStyle name="60% - 强调文字颜色 6 4 18 5 9" xfId="24385"/>
    <cellStyle name="60% - 强调文字颜色 6 4 18 6" xfId="14460"/>
    <cellStyle name="60% - 强调文字颜色 6 4 18 6 2" xfId="10727"/>
    <cellStyle name="60% - 强调文字颜色 6 4 18 6 2 2" xfId="10737"/>
    <cellStyle name="60% - 强调文字颜色 6 4 18 6 2 3" xfId="10740"/>
    <cellStyle name="60% - 强调文字颜色 6 4 18 6 3" xfId="10799"/>
    <cellStyle name="60% - 强调文字颜色 6 4 18 6 4" xfId="24386"/>
    <cellStyle name="60% - 强调文字颜色 6 4 18 6 5" xfId="24388"/>
    <cellStyle name="60% - 强调文字颜色 6 4 18 6 6" xfId="24390"/>
    <cellStyle name="60% - 强调文字颜色 6 4 18 6 7" xfId="24391"/>
    <cellStyle name="60% - 强调文字颜色 6 4 18 6 8" xfId="24392"/>
    <cellStyle name="60% - 强调文字颜色 6 4 18 7" xfId="14465"/>
    <cellStyle name="60% - 强调文字颜色 6 4 18 8" xfId="24395"/>
    <cellStyle name="60% - 强调文字颜色 6 4 18 9" xfId="24398"/>
    <cellStyle name="60% - 强调文字颜色 6 4 18 9 2" xfId="10002"/>
    <cellStyle name="60% - 强调文字颜色 6 4 18 9 3" xfId="9788"/>
    <cellStyle name="60% - 强调文字颜色 6 4 19" xfId="15453"/>
    <cellStyle name="60% - 强调文字颜色 6 4 19 10" xfId="24400"/>
    <cellStyle name="60% - 强调文字颜色 6 4 19 11" xfId="24401"/>
    <cellStyle name="60% - 强调文字颜色 6 4 19 12" xfId="12819"/>
    <cellStyle name="60% - 强调文字颜色 6 4 19 13" xfId="12822"/>
    <cellStyle name="60% - 强调文字颜色 6 4 19 14" xfId="17198"/>
    <cellStyle name="60% - 强调文字颜色 6 4 19 2" xfId="17067"/>
    <cellStyle name="60% - 强调文字颜色 6 4 19 3" xfId="17072"/>
    <cellStyle name="60% - 强调文字颜色 6 4 19 4" xfId="17096"/>
    <cellStyle name="60% - 强调文字颜色 6 4 19 5" xfId="17101"/>
    <cellStyle name="60% - 强调文字颜色 6 4 19 5 10" xfId="13013"/>
    <cellStyle name="60% - 强调文字颜色 6 4 19 5 11" xfId="21439"/>
    <cellStyle name="60% - 强调文字颜色 6 4 19 5 2" xfId="18811"/>
    <cellStyle name="60% - 强调文字颜色 6 4 19 5 2 2" xfId="9454"/>
    <cellStyle name="60% - 强调文字颜色 6 4 19 5 2 2 2" xfId="23043"/>
    <cellStyle name="60% - 强调文字颜色 6 4 19 5 2 2 3" xfId="22343"/>
    <cellStyle name="60% - 强调文字颜色 6 4 19 5 2 3" xfId="9464"/>
    <cellStyle name="60% - 强调文字颜色 6 4 19 5 2 4" xfId="9466"/>
    <cellStyle name="60% - 强调文字颜色 6 4 19 5 2 5" xfId="9468"/>
    <cellStyle name="60% - 强调文字颜色 6 4 19 5 2 6" xfId="9471"/>
    <cellStyle name="60% - 强调文字颜色 6 4 19 5 2 7" xfId="24402"/>
    <cellStyle name="60% - 强调文字颜色 6 4 19 5 2 8" xfId="24403"/>
    <cellStyle name="60% - 强调文字颜色 6 4 19 5 3" xfId="18815"/>
    <cellStyle name="60% - 强调文字颜色 6 4 19 5 4" xfId="18819"/>
    <cellStyle name="60% - 强调文字颜色 6 4 19 5 5" xfId="24406"/>
    <cellStyle name="60% - 强调文字颜色 6 4 19 5 6" xfId="24408"/>
    <cellStyle name="60% - 强调文字颜色 6 4 19 5 6 2" xfId="24409"/>
    <cellStyle name="60% - 强调文字颜色 6 4 19 5 6 3" xfId="17904"/>
    <cellStyle name="60% - 强调文字颜色 6 4 19 5 7" xfId="24412"/>
    <cellStyle name="60% - 强调文字颜色 6 4 19 5 8" xfId="24414"/>
    <cellStyle name="60% - 强调文字颜色 6 4 19 5 9" xfId="11698"/>
    <cellStyle name="60% - 强调文字颜色 6 4 19 6" xfId="17104"/>
    <cellStyle name="60% - 强调文字颜色 6 4 19 6 2" xfId="4581"/>
    <cellStyle name="60% - 强调文字颜色 6 4 19 6 2 2" xfId="24416"/>
    <cellStyle name="60% - 强调文字颜色 6 4 19 6 2 3" xfId="24417"/>
    <cellStyle name="60% - 强调文字颜色 6 4 19 6 3" xfId="24420"/>
    <cellStyle name="60% - 强调文字颜色 6 4 19 6 4" xfId="24421"/>
    <cellStyle name="60% - 强调文字颜色 6 4 19 6 5" xfId="24422"/>
    <cellStyle name="60% - 强调文字颜色 6 4 19 6 6" xfId="24423"/>
    <cellStyle name="60% - 强调文字颜色 6 4 19 6 7" xfId="24424"/>
    <cellStyle name="60% - 强调文字颜色 6 4 19 6 8" xfId="24425"/>
    <cellStyle name="60% - 强调文字颜色 6 4 19 7" xfId="17107"/>
    <cellStyle name="60% - 强调文字颜色 6 4 19 8" xfId="24427"/>
    <cellStyle name="60% - 强调文字颜色 6 4 19 9" xfId="24430"/>
    <cellStyle name="60% - 强调文字颜色 6 4 19 9 2" xfId="24432"/>
    <cellStyle name="60% - 强调文字颜色 6 4 19 9 3" xfId="20552"/>
    <cellStyle name="60% - 强调文字颜色 6 4 2" xfId="24433"/>
    <cellStyle name="60% - 强调文字颜色 6 4 20" xfId="3332"/>
    <cellStyle name="60% - 强调文字颜色 6 4 20 10" xfId="9129"/>
    <cellStyle name="60% - 强调文字颜色 6 4 20 11" xfId="9172"/>
    <cellStyle name="60% - 强调文字颜色 6 4 20 12" xfId="9176"/>
    <cellStyle name="60% - 强调文字颜色 6 4 20 13" xfId="7731"/>
    <cellStyle name="60% - 强调文字颜色 6 4 20 14" xfId="7887"/>
    <cellStyle name="60% - 强调文字颜色 6 4 20 2" xfId="9186"/>
    <cellStyle name="60% - 强调文字颜色 6 4 20 3" xfId="6221"/>
    <cellStyle name="60% - 强调文字颜色 6 4 20 4" xfId="6231"/>
    <cellStyle name="60% - 强调文字颜色 6 4 20 5" xfId="6954"/>
    <cellStyle name="60% - 强调文字颜色 6 4 20 5 10" xfId="24434"/>
    <cellStyle name="60% - 强调文字颜色 6 4 20 5 11" xfId="24435"/>
    <cellStyle name="60% - 强调文字颜色 6 4 20 5 2" xfId="24436"/>
    <cellStyle name="60% - 强调文字颜色 6 4 20 5 2 2" xfId="24437"/>
    <cellStyle name="60% - 强调文字颜色 6 4 20 5 2 2 2" xfId="23460"/>
    <cellStyle name="60% - 强调文字颜色 6 4 20 5 2 2 3" xfId="23464"/>
    <cellStyle name="60% - 强调文字颜色 6 4 20 5 2 3" xfId="24438"/>
    <cellStyle name="60% - 强调文字颜色 6 4 20 5 2 4" xfId="24440"/>
    <cellStyle name="60% - 强调文字颜色 6 4 20 5 2 5" xfId="24441"/>
    <cellStyle name="60% - 强调文字颜色 6 4 20 5 2 6" xfId="24443"/>
    <cellStyle name="60% - 强调文字颜色 6 4 20 5 2 7" xfId="24444"/>
    <cellStyle name="60% - 强调文字颜色 6 4 20 5 2 8" xfId="24445"/>
    <cellStyle name="60% - 强调文字颜色 6 4 20 5 3" xfId="24446"/>
    <cellStyle name="60% - 强调文字颜色 6 4 20 5 4" xfId="24447"/>
    <cellStyle name="60% - 强调文字颜色 6 4 20 5 5" xfId="24448"/>
    <cellStyle name="60% - 强调文字颜色 6 4 20 5 6" xfId="24449"/>
    <cellStyle name="60% - 强调文字颜色 6 4 20 5 6 2" xfId="24450"/>
    <cellStyle name="60% - 强调文字颜色 6 4 20 5 6 3" xfId="24451"/>
    <cellStyle name="60% - 强调文字颜色 6 4 20 5 7" xfId="24452"/>
    <cellStyle name="60% - 强调文字颜色 6 4 20 5 8" xfId="24454"/>
    <cellStyle name="60% - 强调文字颜色 6 4 20 5 9" xfId="24456"/>
    <cellStyle name="60% - 强调文字颜色 6 4 20 6" xfId="6963"/>
    <cellStyle name="60% - 强调文字颜色 6 4 20 6 2" xfId="24458"/>
    <cellStyle name="60% - 强调文字颜色 6 4 20 6 2 2" xfId="22017"/>
    <cellStyle name="60% - 强调文字颜色 6 4 20 6 2 3" xfId="23549"/>
    <cellStyle name="60% - 强调文字颜色 6 4 20 6 3" xfId="24462"/>
    <cellStyle name="60% - 强调文字颜色 6 4 20 6 4" xfId="24463"/>
    <cellStyle name="60% - 强调文字颜色 6 4 20 6 5" xfId="24464"/>
    <cellStyle name="60% - 强调文字颜色 6 4 20 6 6" xfId="24465"/>
    <cellStyle name="60% - 强调文字颜色 6 4 20 6 7" xfId="24466"/>
    <cellStyle name="60% - 强调文字颜色 6 4 20 6 8" xfId="22678"/>
    <cellStyle name="60% - 强调文字颜色 6 4 20 7" xfId="7593"/>
    <cellStyle name="60% - 强调文字颜色 6 4 20 8" xfId="7924"/>
    <cellStyle name="60% - 强调文字颜色 6 4 20 9" xfId="24468"/>
    <cellStyle name="60% - 强调文字颜色 6 4 20 9 2" xfId="9173"/>
    <cellStyle name="60% - 强调文字颜色 6 4 20 9 3" xfId="7729"/>
    <cellStyle name="60% - 强调文字颜色 6 4 3" xfId="16421"/>
    <cellStyle name="60% - 强调文字颜色 6 4 4" xfId="16424"/>
    <cellStyle name="60% - 强调文字颜色 6 4 5" xfId="22707"/>
    <cellStyle name="60% - 强调文字颜色 6 4 6" xfId="22709"/>
    <cellStyle name="60% - 强调文字颜色 6 4 7" xfId="15317"/>
    <cellStyle name="60% - 强调文字颜色 6 4 8" xfId="15323"/>
    <cellStyle name="60% - 强调文字颜色 6 4 9" xfId="22712"/>
    <cellStyle name="60% - 强调文字颜色 6 5" xfId="21983"/>
    <cellStyle name="60% - 强调文字颜色 6 5 10" xfId="16122"/>
    <cellStyle name="60% - 强调文字颜色 6 5 11" xfId="14137"/>
    <cellStyle name="60% - 强调文字颜色 6 5 12" xfId="14144"/>
    <cellStyle name="60% - 强调文字颜色 6 5 13" xfId="14148"/>
    <cellStyle name="60% - 强调文字颜色 6 5 14" xfId="3575"/>
    <cellStyle name="60% - 强调文字颜色 6 5 2" xfId="24469"/>
    <cellStyle name="60% - 强调文字颜色 6 5 3" xfId="24470"/>
    <cellStyle name="60% - 强调文字颜色 6 5 4" xfId="24471"/>
    <cellStyle name="60% - 强调文字颜色 6 5 5" xfId="24472"/>
    <cellStyle name="60% - 强调文字颜色 6 5 6" xfId="24473"/>
    <cellStyle name="60% - 强调文字颜色 6 5 7" xfId="24475"/>
    <cellStyle name="60% - 强调文字颜色 6 5 8" xfId="24476"/>
    <cellStyle name="60% - 强调文字颜色 6 5 9" xfId="24477"/>
    <cellStyle name="60% - 强调文字颜色 6 6" xfId="21985"/>
    <cellStyle name="60% - 强调文字颜色 6 6 10" xfId="23680"/>
    <cellStyle name="60% - 强调文字颜色 6 6 11" xfId="24478"/>
    <cellStyle name="60% - 强调文字颜色 6 6 12" xfId="24479"/>
    <cellStyle name="60% - 强调文字颜色 6 6 13" xfId="24480"/>
    <cellStyle name="60% - 强调文字颜色 6 6 14" xfId="2242"/>
    <cellStyle name="60% - 强调文字颜色 6 6 2" xfId="6845"/>
    <cellStyle name="60% - 强调文字颜色 6 6 3" xfId="6849"/>
    <cellStyle name="60% - 强调文字颜色 6 6 4" xfId="6852"/>
    <cellStyle name="60% - 强调文字颜色 6 6 5" xfId="5677"/>
    <cellStyle name="60% - 强调文字颜色 6 6 6" xfId="5683"/>
    <cellStyle name="60% - 强调文字颜色 6 6 7" xfId="6862"/>
    <cellStyle name="60% - 强调文字颜色 6 6 8" xfId="2322"/>
    <cellStyle name="60% - 强调文字颜色 6 6 9" xfId="20298"/>
    <cellStyle name="60% - 强调文字颜色 6 7" xfId="21987"/>
    <cellStyle name="60% - 强调文字颜色 6 8" xfId="24481"/>
    <cellStyle name="60% - 强调文字颜色 6 9" xfId="18992"/>
    <cellStyle name="60% - 輔色1" xfId="35"/>
    <cellStyle name="60% - 輔色1 2" xfId="38495"/>
    <cellStyle name="60% - 輔色2" xfId="36"/>
    <cellStyle name="60% - 輔色2 2" xfId="38494"/>
    <cellStyle name="60% - 輔色3" xfId="37"/>
    <cellStyle name="60% - 輔色3 2" xfId="38493"/>
    <cellStyle name="60% - 輔色4" xfId="17849"/>
    <cellStyle name="60% - 輔色5" xfId="12686"/>
    <cellStyle name="60% - 輔色6" xfId="5096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alculation 2 2" xfId="38410"/>
    <cellStyle name="Calculation 2 3" xfId="38767"/>
    <cellStyle name="Check Cell 2" xfId="46"/>
    <cellStyle name="Comma" xfId="1" builtinId="3"/>
    <cellStyle name="Comma 10" xfId="38608"/>
    <cellStyle name="Comma 11" xfId="38616"/>
    <cellStyle name="Comma 12" xfId="38624"/>
    <cellStyle name="Comma 13" xfId="38633"/>
    <cellStyle name="Comma 14" xfId="38641"/>
    <cellStyle name="Comma 15" xfId="38650"/>
    <cellStyle name="Comma 16" xfId="38658"/>
    <cellStyle name="Comma 17" xfId="38679"/>
    <cellStyle name="Comma 18" xfId="38689"/>
    <cellStyle name="Comma 19" xfId="38697"/>
    <cellStyle name="Comma 2" xfId="9"/>
    <cellStyle name="Comma 2 2" xfId="38396"/>
    <cellStyle name="Comma 2 2 2" xfId="38675"/>
    <cellStyle name="Comma 2 3" xfId="24485"/>
    <cellStyle name="Comma 2 4" xfId="38512"/>
    <cellStyle name="Comma 2 5" xfId="38545"/>
    <cellStyle name="Comma 20" xfId="38705"/>
    <cellStyle name="Comma 21" xfId="38715"/>
    <cellStyle name="Comma 22" xfId="38724"/>
    <cellStyle name="Comma 23" xfId="38733"/>
    <cellStyle name="Comma 24" xfId="38742"/>
    <cellStyle name="Comma 25" xfId="38751"/>
    <cellStyle name="Comma 26" xfId="38752"/>
    <cellStyle name="Comma 27" xfId="38757"/>
    <cellStyle name="Comma 28" xfId="38785"/>
    <cellStyle name="Comma 3" xfId="12"/>
    <cellStyle name="Comma 3 2" xfId="38394"/>
    <cellStyle name="Comma 3 2 2" xfId="38523"/>
    <cellStyle name="Comma 3 2 3" xfId="38678"/>
    <cellStyle name="Comma 3 3" xfId="38514"/>
    <cellStyle name="Comma 3 4" xfId="38554"/>
    <cellStyle name="Comma 4" xfId="184"/>
    <cellStyle name="Comma 4 2" xfId="38517"/>
    <cellStyle name="Comma 4 3" xfId="38564"/>
    <cellStyle name="Comma 5" xfId="38406"/>
    <cellStyle name="Comma 5 2" xfId="38520"/>
    <cellStyle name="Comma 5 3" xfId="38565"/>
    <cellStyle name="Comma 5 4" xfId="38762"/>
    <cellStyle name="Comma 6" xfId="38492"/>
    <cellStyle name="Comma 6 2" xfId="38521"/>
    <cellStyle name="Comma 6 3" xfId="38576"/>
    <cellStyle name="Comma 7" xfId="38584"/>
    <cellStyle name="Comma 8" xfId="38592"/>
    <cellStyle name="Comma 9" xfId="38600"/>
    <cellStyle name="Currency" xfId="38525" builtinId="4"/>
    <cellStyle name="Explanatory Text 2" xfId="47"/>
    <cellStyle name="Explanatory Text 3" xfId="38491"/>
    <cellStyle name="Good 2" xfId="48"/>
    <cellStyle name="Heading 1 2" xfId="49"/>
    <cellStyle name="Heading 2 2" xfId="50"/>
    <cellStyle name="Heading 3 2" xfId="51"/>
    <cellStyle name="Heading 4 2" xfId="52"/>
    <cellStyle name="Hyperlink" xfId="8" builtinId="8"/>
    <cellStyle name="Hyperlink 2" xfId="38566"/>
    <cellStyle name="Hyperlink 2 2" xfId="38677"/>
    <cellStyle name="Hyperlink 3" xfId="38786"/>
    <cellStyle name="Input 2" xfId="53"/>
    <cellStyle name="Input 2 2" xfId="38415"/>
    <cellStyle name="Input 2 3" xfId="38768"/>
    <cellStyle name="l]_x000d__x000a_Path=h:_x000d__x000a_Name=Diana Chang_x000d__x000a_DDEApps=nsf,nsg,nsh,ntf,ns2,ors,org_x000d__x000a_SmartIcons=Read Message_x000d__x000a__x000d__x000a__x000d__x000a_[cc:Edit" xfId="38761"/>
    <cellStyle name="Linked Cell 2" xfId="54"/>
    <cellStyle name="Neutral 2" xfId="55"/>
    <cellStyle name="Normal" xfId="0" builtinId="0"/>
    <cellStyle name="Normal 10" xfId="5"/>
    <cellStyle name="Normal 10 10" xfId="38611"/>
    <cellStyle name="Normal 10 11" xfId="38619"/>
    <cellStyle name="Normal 10 12" xfId="38628"/>
    <cellStyle name="Normal 10 13" xfId="38636"/>
    <cellStyle name="Normal 10 14" xfId="38645"/>
    <cellStyle name="Normal 10 15" xfId="38653"/>
    <cellStyle name="Normal 10 16" xfId="38661"/>
    <cellStyle name="Normal 10 17" xfId="38684"/>
    <cellStyle name="Normal 10 18" xfId="38692"/>
    <cellStyle name="Normal 10 19" xfId="38700"/>
    <cellStyle name="Normal 10 2" xfId="38540"/>
    <cellStyle name="Normal 10 2 2" xfId="38668"/>
    <cellStyle name="Normal 10 20" xfId="38709"/>
    <cellStyle name="Normal 10 21" xfId="38719"/>
    <cellStyle name="Normal 10 22" xfId="38728"/>
    <cellStyle name="Normal 10 23" xfId="38737"/>
    <cellStyle name="Normal 10 24" xfId="38746"/>
    <cellStyle name="Normal 10 25" xfId="38532"/>
    <cellStyle name="Normal 10 26" xfId="38760"/>
    <cellStyle name="Normal 10 3" xfId="38549"/>
    <cellStyle name="Normal 10 4" xfId="38558"/>
    <cellStyle name="Normal 10 5" xfId="38571"/>
    <cellStyle name="Normal 10 6" xfId="38579"/>
    <cellStyle name="Normal 10 7" xfId="38587"/>
    <cellStyle name="Normal 10 7 2" xfId="38555"/>
    <cellStyle name="Normal 10 8" xfId="38595"/>
    <cellStyle name="Normal 10 9" xfId="38603"/>
    <cellStyle name="Normal 11" xfId="183"/>
    <cellStyle name="Normal 11 10" xfId="38610"/>
    <cellStyle name="Normal 11 11" xfId="38618"/>
    <cellStyle name="Normal 11 12" xfId="38627"/>
    <cellStyle name="Normal 11 13" xfId="38635"/>
    <cellStyle name="Normal 11 14" xfId="38644"/>
    <cellStyle name="Normal 11 15" xfId="38652"/>
    <cellStyle name="Normal 11 16" xfId="38660"/>
    <cellStyle name="Normal 11 17" xfId="38683"/>
    <cellStyle name="Normal 11 18" xfId="38691"/>
    <cellStyle name="Normal 11 19" xfId="38699"/>
    <cellStyle name="Normal 11 2" xfId="38539"/>
    <cellStyle name="Normal 11 2 2" xfId="38667"/>
    <cellStyle name="Normal 11 20" xfId="38708"/>
    <cellStyle name="Normal 11 21" xfId="38718"/>
    <cellStyle name="Normal 11 22" xfId="38727"/>
    <cellStyle name="Normal 11 23" xfId="38736"/>
    <cellStyle name="Normal 11 24" xfId="38745"/>
    <cellStyle name="Normal 11 25" xfId="38531"/>
    <cellStyle name="Normal 11 3" xfId="38548"/>
    <cellStyle name="Normal 11 4" xfId="38557"/>
    <cellStyle name="Normal 11 5" xfId="38570"/>
    <cellStyle name="Normal 11 6" xfId="38578"/>
    <cellStyle name="Normal 11 7" xfId="38586"/>
    <cellStyle name="Normal 11 8" xfId="38594"/>
    <cellStyle name="Normal 11 9" xfId="38602"/>
    <cellStyle name="Normal 12" xfId="185"/>
    <cellStyle name="Normal 12 10" xfId="38609"/>
    <cellStyle name="Normal 12 11" xfId="38617"/>
    <cellStyle name="Normal 12 12" xfId="38626"/>
    <cellStyle name="Normal 12 13" xfId="38634"/>
    <cellStyle name="Normal 12 14" xfId="38643"/>
    <cellStyle name="Normal 12 15" xfId="38651"/>
    <cellStyle name="Normal 12 16" xfId="38659"/>
    <cellStyle name="Normal 12 17" xfId="38682"/>
    <cellStyle name="Normal 12 18" xfId="38690"/>
    <cellStyle name="Normal 12 19" xfId="38698"/>
    <cellStyle name="Normal 12 2" xfId="38538"/>
    <cellStyle name="Normal 12 2 2" xfId="38666"/>
    <cellStyle name="Normal 12 20" xfId="38707"/>
    <cellStyle name="Normal 12 21" xfId="38717"/>
    <cellStyle name="Normal 12 22" xfId="38726"/>
    <cellStyle name="Normal 12 23" xfId="38735"/>
    <cellStyle name="Normal 12 24" xfId="38744"/>
    <cellStyle name="Normal 12 25" xfId="38530"/>
    <cellStyle name="Normal 12 3" xfId="38547"/>
    <cellStyle name="Normal 12 4" xfId="38556"/>
    <cellStyle name="Normal 12 5" xfId="38569"/>
    <cellStyle name="Normal 12 6" xfId="38577"/>
    <cellStyle name="Normal 12 7" xfId="38585"/>
    <cellStyle name="Normal 12 8" xfId="38593"/>
    <cellStyle name="Normal 12 9" xfId="38601"/>
    <cellStyle name="Normal 13" xfId="186"/>
    <cellStyle name="Normal 13 10" xfId="38612"/>
    <cellStyle name="Normal 13 11" xfId="38620"/>
    <cellStyle name="Normal 13 12" xfId="38629"/>
    <cellStyle name="Normal 13 13" xfId="38637"/>
    <cellStyle name="Normal 13 14" xfId="38646"/>
    <cellStyle name="Normal 13 15" xfId="38654"/>
    <cellStyle name="Normal 13 16" xfId="38662"/>
    <cellStyle name="Normal 13 17" xfId="38685"/>
    <cellStyle name="Normal 13 18" xfId="38693"/>
    <cellStyle name="Normal 13 19" xfId="38701"/>
    <cellStyle name="Normal 13 2" xfId="38541"/>
    <cellStyle name="Normal 13 2 2" xfId="38669"/>
    <cellStyle name="Normal 13 20" xfId="38710"/>
    <cellStyle name="Normal 13 21" xfId="38720"/>
    <cellStyle name="Normal 13 22" xfId="38729"/>
    <cellStyle name="Normal 13 23" xfId="38738"/>
    <cellStyle name="Normal 13 24" xfId="38747"/>
    <cellStyle name="Normal 13 25" xfId="38533"/>
    <cellStyle name="Normal 13 3" xfId="38550"/>
    <cellStyle name="Normal 13 4" xfId="38559"/>
    <cellStyle name="Normal 13 5" xfId="38572"/>
    <cellStyle name="Normal 13 6" xfId="38580"/>
    <cellStyle name="Normal 13 7" xfId="38588"/>
    <cellStyle name="Normal 13 8" xfId="38596"/>
    <cellStyle name="Normal 13 9" xfId="38604"/>
    <cellStyle name="Normal 14" xfId="187"/>
    <cellStyle name="Normal 14 10" xfId="38613"/>
    <cellStyle name="Normal 14 11" xfId="38621"/>
    <cellStyle name="Normal 14 12" xfId="38630"/>
    <cellStyle name="Normal 14 13" xfId="38638"/>
    <cellStyle name="Normal 14 14" xfId="38647"/>
    <cellStyle name="Normal 14 15" xfId="38655"/>
    <cellStyle name="Normal 14 16" xfId="38663"/>
    <cellStyle name="Normal 14 17" xfId="38686"/>
    <cellStyle name="Normal 14 18" xfId="38694"/>
    <cellStyle name="Normal 14 19" xfId="38702"/>
    <cellStyle name="Normal 14 2" xfId="38542"/>
    <cellStyle name="Normal 14 2 2" xfId="38670"/>
    <cellStyle name="Normal 14 20" xfId="38711"/>
    <cellStyle name="Normal 14 21" xfId="38721"/>
    <cellStyle name="Normal 14 22" xfId="38730"/>
    <cellStyle name="Normal 14 23" xfId="38739"/>
    <cellStyle name="Normal 14 24" xfId="38748"/>
    <cellStyle name="Normal 14 25" xfId="38534"/>
    <cellStyle name="Normal 14 3" xfId="38551"/>
    <cellStyle name="Normal 14 4" xfId="38560"/>
    <cellStyle name="Normal 14 5" xfId="38573"/>
    <cellStyle name="Normal 14 6" xfId="38581"/>
    <cellStyle name="Normal 14 7" xfId="38589"/>
    <cellStyle name="Normal 14 8" xfId="38597"/>
    <cellStyle name="Normal 14 9" xfId="38605"/>
    <cellStyle name="Normal 15" xfId="192"/>
    <cellStyle name="Normal 15 2" xfId="38681"/>
    <cellStyle name="Normal 15 3" xfId="38642"/>
    <cellStyle name="Normal 16" xfId="38401"/>
    <cellStyle name="Normal 16 2" xfId="38706"/>
    <cellStyle name="Normal 17" xfId="38402"/>
    <cellStyle name="Normal 17 2" xfId="38716"/>
    <cellStyle name="Normal 18" xfId="38403"/>
    <cellStyle name="Normal 18 2" xfId="38725"/>
    <cellStyle name="Normal 19" xfId="38404"/>
    <cellStyle name="Normal 19 2" xfId="38734"/>
    <cellStyle name="Normal 2" xfId="2"/>
    <cellStyle name="Normal 2 2" xfId="56"/>
    <cellStyle name="Normal 2 2 2" xfId="38398"/>
    <cellStyle name="Normal 2 2 3" xfId="38507"/>
    <cellStyle name="Normal 2 2 4" xfId="38714"/>
    <cellStyle name="Normal 2 2 5" xfId="38763"/>
    <cellStyle name="Normal 2 3" xfId="57"/>
    <cellStyle name="Normal 2 3 2" xfId="38400"/>
    <cellStyle name="Normal 2 3 3" xfId="38513"/>
    <cellStyle name="Normal 2 4" xfId="11095"/>
    <cellStyle name="Normal 2 4 2" xfId="38516"/>
    <cellStyle name="Normal 2 5" xfId="38522"/>
    <cellStyle name="Normal 2 6" xfId="38509"/>
    <cellStyle name="Normal 2 7" xfId="38537"/>
    <cellStyle name="Normal 2 8" xfId="38758"/>
    <cellStyle name="Normal 20" xfId="38405"/>
    <cellStyle name="Normal 20 2" xfId="38743"/>
    <cellStyle name="Normal 21" xfId="38407"/>
    <cellStyle name="Normal 21 2" xfId="38753"/>
    <cellStyle name="Normal 22" xfId="38408"/>
    <cellStyle name="Normal 22 2" xfId="38518"/>
    <cellStyle name="Normal 23" xfId="38500"/>
    <cellStyle name="Normal 24" xfId="38502"/>
    <cellStyle name="Normal 25" xfId="38503"/>
    <cellStyle name="Normal 26" xfId="38504"/>
    <cellStyle name="Normal 27" xfId="38505"/>
    <cellStyle name="Normal 28" xfId="38524"/>
    <cellStyle name="Normal 29" xfId="38526"/>
    <cellStyle name="Normal 3" xfId="3"/>
    <cellStyle name="Normal 3 2" xfId="59"/>
    <cellStyle name="Normal 3 2 2" xfId="38395"/>
    <cellStyle name="Normal 3 2 3" xfId="38674"/>
    <cellStyle name="Normal 3 3" xfId="58"/>
    <cellStyle name="Normal 3 4" xfId="11097"/>
    <cellStyle name="Normal 3 5" xfId="38546"/>
    <cellStyle name="Normal 30" xfId="38527"/>
    <cellStyle name="Normal 31" xfId="38528"/>
    <cellStyle name="Normal 32" xfId="38529"/>
    <cellStyle name="Normal 33" xfId="38754"/>
    <cellStyle name="Normal 34" xfId="38755"/>
    <cellStyle name="Normal 35" xfId="38756"/>
    <cellStyle name="Normal 36" xfId="38764"/>
    <cellStyle name="Normal 37" xfId="38765"/>
    <cellStyle name="Normal 38" xfId="38766"/>
    <cellStyle name="Normal 39" xfId="38776"/>
    <cellStyle name="Normal 4" xfId="6"/>
    <cellStyle name="Normal 4 2" xfId="60"/>
    <cellStyle name="Normal 4 2 2" xfId="38519"/>
    <cellStyle name="Normal 4 2 3" xfId="38676"/>
    <cellStyle name="Normal 4 3" xfId="38393"/>
    <cellStyle name="Normal 4 4" xfId="38563"/>
    <cellStyle name="Normal 40" xfId="38780"/>
    <cellStyle name="Normal 41" xfId="38781"/>
    <cellStyle name="Normal 42" xfId="38782"/>
    <cellStyle name="Normal 43" xfId="38783"/>
    <cellStyle name="Normal 44" xfId="38784"/>
    <cellStyle name="Normal 5" xfId="7"/>
    <cellStyle name="Normal 5 2" xfId="61"/>
    <cellStyle name="Normal 5 3" xfId="10734"/>
    <cellStyle name="Normal 5 4" xfId="38515"/>
    <cellStyle name="Normal 5 5" xfId="38567"/>
    <cellStyle name="Normal 6" xfId="10"/>
    <cellStyle name="Normal 6 2" xfId="189"/>
    <cellStyle name="Normal 6 2 2" xfId="38673"/>
    <cellStyle name="Normal 6 3" xfId="38399"/>
    <cellStyle name="Normal 6 4" xfId="38506"/>
    <cellStyle name="Normal 6 5" xfId="38568"/>
    <cellStyle name="Normal 7" xfId="11"/>
    <cellStyle name="Normal 7 2" xfId="38680"/>
    <cellStyle name="Normal 7 3" xfId="38625"/>
    <cellStyle name="Normal 8" xfId="182"/>
    <cellStyle name="Normal 8 10" xfId="38615"/>
    <cellStyle name="Normal 8 11" xfId="38623"/>
    <cellStyle name="Normal 8 12" xfId="38632"/>
    <cellStyle name="Normal 8 13" xfId="38640"/>
    <cellStyle name="Normal 8 14" xfId="38649"/>
    <cellStyle name="Normal 8 15" xfId="38657"/>
    <cellStyle name="Normal 8 16" xfId="38665"/>
    <cellStyle name="Normal 8 17" xfId="38688"/>
    <cellStyle name="Normal 8 18" xfId="38696"/>
    <cellStyle name="Normal 8 19" xfId="38704"/>
    <cellStyle name="Normal 8 2" xfId="38544"/>
    <cellStyle name="Normal 8 2 2" xfId="38672"/>
    <cellStyle name="Normal 8 20" xfId="38713"/>
    <cellStyle name="Normal 8 21" xfId="38723"/>
    <cellStyle name="Normal 8 22" xfId="38732"/>
    <cellStyle name="Normal 8 23" xfId="38741"/>
    <cellStyle name="Normal 8 24" xfId="38750"/>
    <cellStyle name="Normal 8 25" xfId="38536"/>
    <cellStyle name="Normal 8 3" xfId="38553"/>
    <cellStyle name="Normal 8 4" xfId="38562"/>
    <cellStyle name="Normal 8 5" xfId="38575"/>
    <cellStyle name="Normal 8 6" xfId="38583"/>
    <cellStyle name="Normal 8 7" xfId="38591"/>
    <cellStyle name="Normal 8 8" xfId="38599"/>
    <cellStyle name="Normal 8 9" xfId="38607"/>
    <cellStyle name="Normal 9" xfId="4"/>
    <cellStyle name="Normal 9 10" xfId="38614"/>
    <cellStyle name="Normal 9 11" xfId="38622"/>
    <cellStyle name="Normal 9 12" xfId="38631"/>
    <cellStyle name="Normal 9 13" xfId="38639"/>
    <cellStyle name="Normal 9 14" xfId="38648"/>
    <cellStyle name="Normal 9 15" xfId="38656"/>
    <cellStyle name="Normal 9 16" xfId="38664"/>
    <cellStyle name="Normal 9 17" xfId="38687"/>
    <cellStyle name="Normal 9 18" xfId="38695"/>
    <cellStyle name="Normal 9 19" xfId="38703"/>
    <cellStyle name="Normal 9 2" xfId="38543"/>
    <cellStyle name="Normal 9 2 2" xfId="38671"/>
    <cellStyle name="Normal 9 20" xfId="38712"/>
    <cellStyle name="Normal 9 21" xfId="38722"/>
    <cellStyle name="Normal 9 22" xfId="38731"/>
    <cellStyle name="Normal 9 23" xfId="38740"/>
    <cellStyle name="Normal 9 24" xfId="38749"/>
    <cellStyle name="Normal 9 25" xfId="38535"/>
    <cellStyle name="Normal 9 3" xfId="38552"/>
    <cellStyle name="Normal 9 4" xfId="38561"/>
    <cellStyle name="Normal 9 5" xfId="38574"/>
    <cellStyle name="Normal 9 6" xfId="38582"/>
    <cellStyle name="Normal 9 7" xfId="38590"/>
    <cellStyle name="Normal 9 8" xfId="38598"/>
    <cellStyle name="Normal 9 9" xfId="38606"/>
    <cellStyle name="Note 2" xfId="62"/>
    <cellStyle name="Note 2 2" xfId="38423"/>
    <cellStyle name="Note 2 3" xfId="38769"/>
    <cellStyle name="Output 2" xfId="63"/>
    <cellStyle name="Output 2 2" xfId="38424"/>
    <cellStyle name="Output 2 3" xfId="38770"/>
    <cellStyle name="Percent 2" xfId="38511"/>
    <cellStyle name="Title 2" xfId="64"/>
    <cellStyle name="Total 2" xfId="65"/>
    <cellStyle name="Total 2 2" xfId="38426"/>
    <cellStyle name="Total 2 3" xfId="38771"/>
    <cellStyle name="Warning Text 2" xfId="66"/>
    <cellStyle name="표준_IS-이삭글로벌 DOC 양식" xfId="38508"/>
    <cellStyle name="一般 12" xfId="38775"/>
    <cellStyle name="一般 2" xfId="67"/>
    <cellStyle name="一般 2 2" xfId="68"/>
    <cellStyle name="一般 3" xfId="188"/>
    <cellStyle name="一般 5" xfId="69"/>
    <cellStyle name="一般 5 2" xfId="190"/>
    <cellStyle name="一般 69" xfId="70"/>
    <cellStyle name="一般 69 2" xfId="191"/>
    <cellStyle name="一般_07年2月出貨通知單_5月份出货通知单_6月份出货通知单_4月份出货通知单_4月份出货通知单" xfId="24486"/>
    <cellStyle name="中等" xfId="24488"/>
    <cellStyle name="備註" xfId="1720"/>
    <cellStyle name="備註 2" xfId="71"/>
    <cellStyle name="備註 2 2" xfId="72"/>
    <cellStyle name="備註 2 2 2" xfId="38430"/>
    <cellStyle name="備註 2 2 3" xfId="38489"/>
    <cellStyle name="備註 2 2 4" xfId="38773"/>
    <cellStyle name="備註 2 2 5" xfId="38778"/>
    <cellStyle name="備註 2 3" xfId="73"/>
    <cellStyle name="備註 2 3 2" xfId="38431"/>
    <cellStyle name="備註 2 3 3" xfId="38488"/>
    <cellStyle name="備註 2 3 4" xfId="38774"/>
    <cellStyle name="備註 2 3 5" xfId="38779"/>
    <cellStyle name="備註 2 4" xfId="38429"/>
    <cellStyle name="備註 2 5" xfId="38490"/>
    <cellStyle name="備註 2 6" xfId="38772"/>
    <cellStyle name="備註 2 7" xfId="38777"/>
    <cellStyle name="千位分隔 2" xfId="20774"/>
    <cellStyle name="千分位 2" xfId="74"/>
    <cellStyle name="千分位 2 2" xfId="75"/>
    <cellStyle name="千分位 2 2 2" xfId="76"/>
    <cellStyle name="千分位 2 2 2 2" xfId="38485"/>
    <cellStyle name="千分位 2 2 3" xfId="77"/>
    <cellStyle name="千分位 2 2 3 2" xfId="38484"/>
    <cellStyle name="千分位 2 2 4" xfId="38486"/>
    <cellStyle name="千分位 2 3" xfId="78"/>
    <cellStyle name="千分位 2 3 2" xfId="38483"/>
    <cellStyle name="千分位 2 4" xfId="79"/>
    <cellStyle name="千分位 2 4 2" xfId="38482"/>
    <cellStyle name="千分位 2 5" xfId="80"/>
    <cellStyle name="千分位 2 6" xfId="38487"/>
    <cellStyle name="千分位 3" xfId="81"/>
    <cellStyle name="千分位 3 2" xfId="82"/>
    <cellStyle name="千分位 3 2 2" xfId="38480"/>
    <cellStyle name="千分位 3 3" xfId="83"/>
    <cellStyle name="千分位 3 3 2" xfId="38479"/>
    <cellStyle name="千分位 3 4" xfId="84"/>
    <cellStyle name="千分位 3 5" xfId="38481"/>
    <cellStyle name="千分位 4" xfId="85"/>
    <cellStyle name="千分位_2月份包裝明細" xfId="9045"/>
    <cellStyle name="合計" xfId="10655"/>
    <cellStyle name="壞" xfId="24489"/>
    <cellStyle name="壞_3-20 PAV packing list" xfId="17646"/>
    <cellStyle name="壞_3-20 PAV packing list_PAV.2014年3月包裝明細" xfId="18453"/>
    <cellStyle name="壞_3-20 PAV packing list_TFR2014年3月包裝明細" xfId="24490"/>
    <cellStyle name="壞_3-20 PAV packing list_涂布2014年3月包装明细" xfId="24493"/>
    <cellStyle name="壞_JB 包装明细 12.23" xfId="3941"/>
    <cellStyle name="壞_JB 包装明细 12.23_涂布2014年3月包装明细" xfId="24495"/>
    <cellStyle name="壞_JB 包装明细2.14" xfId="3649"/>
    <cellStyle name="壞_LCH 2012年1月包裝明細" xfId="24496"/>
    <cellStyle name="壞_LCH 2012年1月包裝明細_1" xfId="24442"/>
    <cellStyle name="壞_LCH 2012年1月包裝明細_1123" xfId="18669"/>
    <cellStyle name="壞_LCH 2012年1月包裝明細_1136" xfId="24497"/>
    <cellStyle name="壞_LCH 2012年1月包裝明細_143" xfId="17061"/>
    <cellStyle name="壞_LCH 2012年1月包裝明細_4.15" xfId="10548"/>
    <cellStyle name="壞_LCH 2012年1月包裝明細_PL" xfId="18673"/>
    <cellStyle name="壞_LCH 2012年1月包裝明細_TFR" xfId="23966"/>
    <cellStyle name="壞_LCH 2012年1月包裝明細_TFR 包装明细 5.13" xfId="22150"/>
    <cellStyle name="壞_LCH 2012年1月包裝明細_TFR(SEB ASIA) 包装明细3-25" xfId="16803"/>
    <cellStyle name="壞_LCH 2012年1月包裝明細_TFR(SEB ASIA) 包装明细4.29" xfId="13714"/>
    <cellStyle name="壞_LCH 2012年1月包裝明細_TFR2014年1月包裝明細" xfId="14488"/>
    <cellStyle name="壞_LCH 2012年1月包裝明細_TFR2014年1月包裝明細_1" xfId="1974"/>
    <cellStyle name="壞_LCH 2012年1月包裝明細_TFR2014年1月包裝明細_1123" xfId="24499"/>
    <cellStyle name="壞_LCH 2012年1月包裝明細_TFR2014年1月包裝明細_1136" xfId="12584"/>
    <cellStyle name="壞_LCH 2012年1月包裝明細_TFR2014年1月包裝明細_143" xfId="9131"/>
    <cellStyle name="壞_LCH 2012年1月包裝明細_TFR2014年1月包裝明細_4.15" xfId="24500"/>
    <cellStyle name="壞_LCH 2012年1月包裝明細_TFR2014年1月包裝明細_PL" xfId="24501"/>
    <cellStyle name="壞_LCH 2012年1月包裝明細_TFR2014年1月包裝明細_TFR" xfId="19552"/>
    <cellStyle name="壞_LCH 2012年1月包裝明細_TFR2014年1月包裝明細_TFR 包装明细 5.13" xfId="18300"/>
    <cellStyle name="壞_LCH 2012年1月包裝明細_TFR2014年1月包裝明細_TFR(SEB ASIA) 包装明细3-25" xfId="18731"/>
    <cellStyle name="壞_LCH 2012年1月包裝明細_TFR2014年1月包裝明細_TFR(SEB ASIA) 包装明细4.29" xfId="15155"/>
    <cellStyle name="壞_LCH 2012年1月包裝明細_TFR2014年1月包裝明細_TFR2014年3月包裝明細" xfId="23714"/>
    <cellStyle name="壞_LCH 2012年1月包裝明細_TFR2014年1月包裝明細_TFR2014年3月包裝明細_1" xfId="13304"/>
    <cellStyle name="壞_LCH 2012年1月包裝明細_TFR2014年1月包裝明細_TFR2014年3月包裝明細_2" xfId="19465"/>
    <cellStyle name="壞_LCH 2012年1月包裝明細_TFR2014年1月包裝明細_TFR2014年3月包裝明細_3" xfId="19470"/>
    <cellStyle name="壞_LCH 2012年1月包裝明細_TFR2014年1月包裝明細_TFR2014年3月包裝明細_4" xfId="24502"/>
    <cellStyle name="壞_LCH 2012年1月包裝明細_TFR2014年1月包裝明細_TFR2014年4月包裝明細" xfId="24503"/>
    <cellStyle name="壞_LCH 2012年1月包裝明細_TFR2014年1月包裝明細_包装明细" xfId="24504"/>
    <cellStyle name="壞_LCH 2012年1月包裝明細_TFR2014年3月包裝明細" xfId="6816"/>
    <cellStyle name="壞_LCH 2012年1月包裝明細_TFR2014年3月包裝明細_1" xfId="490"/>
    <cellStyle name="壞_LCH 2012年1月包裝明細_TFR2014年3月包裝明細_2" xfId="10129"/>
    <cellStyle name="壞_LCH 2012年1月包裝明細_TFR2014年3月包裝明細_3" xfId="11475"/>
    <cellStyle name="壞_LCH 2012年1月包裝明細_TFR2014年3月包裝明細_4" xfId="24505"/>
    <cellStyle name="壞_LCH 2012年1月包裝明細_TFR2014年4月包裝明細" xfId="7390"/>
    <cellStyle name="壞_LCH 2012年1月包裝明細_TLF 包装明细1.7" xfId="13441"/>
    <cellStyle name="壞_LCH 2012年1月包裝明細_包装明细" xfId="24506"/>
    <cellStyle name="壞_LK 包装明细3.4" xfId="24509"/>
    <cellStyle name="壞_PAV 包装明细" xfId="24511"/>
    <cellStyle name="壞_PAV 包装明细 1.13" xfId="10948"/>
    <cellStyle name="壞_PAV.2013年1月包裝明細" xfId="24514"/>
    <cellStyle name="壞_PAV.2013年1月包裝明細_00" xfId="2595"/>
    <cellStyle name="壞_PAV.2013年1月包裝明細_1" xfId="23279"/>
    <cellStyle name="壞_PAV.2013年1月包裝明細_1123" xfId="24515"/>
    <cellStyle name="壞_PAV.2013年1月包裝明細_1136" xfId="21028"/>
    <cellStyle name="壞_PAV.2013年1月包裝明細_143" xfId="20551"/>
    <cellStyle name="壞_PAV.2013年1月包裝明細_4.15" xfId="12832"/>
    <cellStyle name="壞_PAV.2013年1月包裝明細_456" xfId="8787"/>
    <cellStyle name="壞_PAV.2013年1月包裝明細_789" xfId="3126"/>
    <cellStyle name="壞_PAV.2013年1月包裝明細_DEI 包装明细 10.21" xfId="7030"/>
    <cellStyle name="壞_PAV.2013年1月包裝明細_DEI 包装明细 11.1" xfId="23314"/>
    <cellStyle name="壞_PAV.2013年1月包裝明細_EF 包装明细12.13" xfId="17828"/>
    <cellStyle name="壞_PAV.2013年1月包裝明細_PL" xfId="24516"/>
    <cellStyle name="壞_PAV.2013年1月包裝明細_SEB 591 包装明细 9.5" xfId="15320"/>
    <cellStyle name="壞_PAV.2013年1月包裝明細_SEB 包装明细1.9" xfId="24517"/>
    <cellStyle name="壞_PAV.2013年1月包裝明細_SEB 包装明细12.31" xfId="24518"/>
    <cellStyle name="壞_PAV.2013年1月包裝明細_SEB 包装明细2.13 revised" xfId="24519"/>
    <cellStyle name="壞_PAV.2013年1月包裝明細_TFR" xfId="24521"/>
    <cellStyle name="壞_PAV.2013年1月包裝明細_TFR 包装明细 5.13" xfId="6658"/>
    <cellStyle name="壞_PAV.2013年1月包裝明細_TFR(SEB ASIA) 包装明细3-25" xfId="19437"/>
    <cellStyle name="壞_PAV.2013年1月包裝明細_TFR(SEB ASIA) 包装明细4.29" xfId="15279"/>
    <cellStyle name="壞_PAV.2013年1月包裝明細_TFR2014年1月包裝明細" xfId="17807"/>
    <cellStyle name="壞_PAV.2013年1月包裝明細_TFR2014年1月包裝明細_1" xfId="24522"/>
    <cellStyle name="壞_PAV.2013年1月包裝明細_TFR2014年1月包裝明細_1123" xfId="24523"/>
    <cellStyle name="壞_PAV.2013年1月包裝明細_TFR2014年1月包裝明細_1136" xfId="24524"/>
    <cellStyle name="壞_PAV.2013年1月包裝明細_TFR2014年1月包裝明細_143" xfId="24526"/>
    <cellStyle name="壞_PAV.2013年1月包裝明細_TFR2014年1月包裝明細_4.15" xfId="15041"/>
    <cellStyle name="壞_PAV.2013年1月包裝明細_TFR2014年1月包裝明細_PL" xfId="16431"/>
    <cellStyle name="壞_PAV.2013年1月包裝明細_TFR2014年1月包裝明細_TFR" xfId="6212"/>
    <cellStyle name="壞_PAV.2013年1月包裝明細_TFR2014年1月包裝明細_TFR 包装明细 5.13" xfId="9286"/>
    <cellStyle name="壞_PAV.2013年1月包裝明細_TFR2014年1月包裝明細_TFR(SEB ASIA) 包装明细3-25" xfId="4433"/>
    <cellStyle name="壞_PAV.2013年1月包裝明細_TFR2014年1月包裝明細_TFR(SEB ASIA) 包装明细4.29" xfId="12033"/>
    <cellStyle name="壞_PAV.2013年1月包裝明細_TFR2014年1月包裝明細_TFR2014年3月包裝明細" xfId="19913"/>
    <cellStyle name="壞_PAV.2013年1月包裝明細_TFR2014年1月包裝明細_TFR2014年3月包裝明細_1" xfId="24527"/>
    <cellStyle name="壞_PAV.2013年1月包裝明細_TFR2014年1月包裝明細_TFR2014年3月包裝明細_2" xfId="24529"/>
    <cellStyle name="壞_PAV.2013年1月包裝明細_TFR2014年1月包裝明細_TFR2014年3月包裝明細_3" xfId="24531"/>
    <cellStyle name="壞_PAV.2013年1月包裝明細_TFR2014年1月包裝明細_TFR2014年3月包裝明細_4" xfId="24533"/>
    <cellStyle name="壞_PAV.2013年1月包裝明細_TFR2014年1月包裝明細_TFR2014年4月包裝明細" xfId="24536"/>
    <cellStyle name="壞_PAV.2013年1月包裝明細_TFR2014年1月包裝明細_包装明细" xfId="21652"/>
    <cellStyle name="壞_PAV.2013年1月包裝明細_TFR2014年3月包裝明細" xfId="8993"/>
    <cellStyle name="壞_PAV.2013年1月包裝明細_TFR2014年3月包裝明細_1" xfId="24537"/>
    <cellStyle name="壞_PAV.2013年1月包裝明細_TFR2014年3月包裝明細_2" xfId="24538"/>
    <cellStyle name="壞_PAV.2013年1月包裝明細_TFR2014年3月包裝明細_3" xfId="24540"/>
    <cellStyle name="壞_PAV.2013年1月包裝明細_TFR2014年3月包裝明細_4" xfId="24542"/>
    <cellStyle name="壞_PAV.2013年1月包裝明細_TFR2014年4月包裝明細" xfId="9723"/>
    <cellStyle name="壞_PAV.2013年1月包裝明細_TLF 包装明细 7.15" xfId="7833"/>
    <cellStyle name="壞_PAV.2013年1月包裝明細_TLF 包装明细1.7" xfId="11732"/>
    <cellStyle name="壞_PAV.2013年1月包裝明細_包装明细" xfId="24543"/>
    <cellStyle name="壞_PAV.2014年3月包裝明細" xfId="20672"/>
    <cellStyle name="壞_PAV.2014年3月包裝明細_1" xfId="24545"/>
    <cellStyle name="壞_PAV2011年6月包裝明細" xfId="24548"/>
    <cellStyle name="壞_PAV2011年6月包裝明細_00" xfId="24549"/>
    <cellStyle name="壞_PAV2011年6月包裝明細_1" xfId="8990"/>
    <cellStyle name="壞_PAV2011年6月包裝明細_1123" xfId="19233"/>
    <cellStyle name="壞_PAV2011年6月包裝明細_1136" xfId="24550"/>
    <cellStyle name="壞_PAV2011年6月包裝明細_143" xfId="6147"/>
    <cellStyle name="壞_PAV2011年6月包裝明細_4.15" xfId="19524"/>
    <cellStyle name="壞_PAV2011年6月包裝明細_456" xfId="7165"/>
    <cellStyle name="壞_PAV2011年6月包裝明細_789" xfId="15582"/>
    <cellStyle name="壞_PAV2011年6月包裝明細_DEI 包装明细 10.21" xfId="9395"/>
    <cellStyle name="壞_PAV2011年6月包裝明細_DEI 包装明细 11.1" xfId="24551"/>
    <cellStyle name="壞_PAV2011年6月包裝明細_EF 包装明细12.13" xfId="632"/>
    <cellStyle name="壞_PAV2011年6月包裝明細_PAV 包装明细" xfId="24552"/>
    <cellStyle name="壞_PAV2011年6月包裝明細_PAV 包装明细 1.13" xfId="24554"/>
    <cellStyle name="壞_PAV2011年6月包裝明細_PAV.2014年3月包裝明細" xfId="24557"/>
    <cellStyle name="壞_PAV2011年6月包裝明細_PAV.2014年3月包裝明細_1" xfId="7494"/>
    <cellStyle name="壞_PAV2011年6月包裝明細_PL" xfId="24559"/>
    <cellStyle name="壞_PAV2011年6月包裝明細_SEB 591 包装明细 9.5" xfId="18331"/>
    <cellStyle name="壞_PAV2011年6月包裝明細_SEB ASIA 包装明细12.10" xfId="223"/>
    <cellStyle name="壞_PAV2011年6月包裝明細_SEB ASIA 包装明细12.5" xfId="24563"/>
    <cellStyle name="壞_PAV2011年6月包裝明細_SEB ASIA 包装明细2.11-3.4 更正" xfId="16628"/>
    <cellStyle name="壞_PAV2011年6月包裝明細_SEB 包装明细1.9" xfId="24564"/>
    <cellStyle name="壞_PAV2011年6月包裝明細_SEB 包装明细12.31" xfId="24566"/>
    <cellStyle name="壞_PAV2011年6月包裝明細_SEB 包装明细2.13 revised" xfId="24567"/>
    <cellStyle name="壞_PAV2011年6月包裝明細_TFR" xfId="24570"/>
    <cellStyle name="壞_PAV2011年6月包裝明細_TFR 包装明细 5.13" xfId="24571"/>
    <cellStyle name="壞_PAV2011年6月包裝明細_TFR 钢圈蛋糕盘包装明细6.5(1)" xfId="24575"/>
    <cellStyle name="壞_PAV2011年6月包裝明細_TFR(SEB ASIA) 包装明细3-25" xfId="24576"/>
    <cellStyle name="壞_PAV2011年6月包裝明細_TFR(SEB ASIA) 包装明细4.29" xfId="24577"/>
    <cellStyle name="壞_PAV2011年6月包裝明細_TFR2014年1月包裝明細" xfId="13175"/>
    <cellStyle name="壞_PAV2011年6月包裝明細_TFR2014年1月包裝明細_1" xfId="24578"/>
    <cellStyle name="壞_PAV2011年6月包裝明細_TFR2014年1月包裝明細_1123" xfId="24580"/>
    <cellStyle name="壞_PAV2011年6月包裝明細_TFR2014年1月包裝明細_1136" xfId="24582"/>
    <cellStyle name="壞_PAV2011年6月包裝明細_TFR2014年1月包裝明細_143" xfId="10228"/>
    <cellStyle name="壞_PAV2011年6月包裝明細_TFR2014年1月包裝明細_4.15" xfId="24583"/>
    <cellStyle name="壞_PAV2011年6月包裝明細_TFR2014年1月包裝明細_PL" xfId="13241"/>
    <cellStyle name="壞_PAV2011年6月包裝明細_TFR2014年1月包裝明細_TFR" xfId="24585"/>
    <cellStyle name="壞_PAV2011年6月包裝明細_TFR2014年1月包裝明細_TFR 包装明细 5.13" xfId="24587"/>
    <cellStyle name="壞_PAV2011年6月包裝明細_TFR2014年1月包裝明細_TFR(SEB ASIA) 包装明细3-25" xfId="20891"/>
    <cellStyle name="壞_PAV2011年6月包裝明細_TFR2014年1月包裝明細_TFR(SEB ASIA) 包装明细4.29" xfId="24588"/>
    <cellStyle name="壞_PAV2011年6月包裝明細_TFR2014年1月包裝明細_TFR2014年3月包裝明細" xfId="24589"/>
    <cellStyle name="壞_PAV2011年6月包裝明細_TFR2014年1月包裝明細_TFR2014年3月包裝明細_1" xfId="17583"/>
    <cellStyle name="壞_PAV2011年6月包裝明細_TFR2014年1月包裝明細_TFR2014年3月包裝明細_2" xfId="8964"/>
    <cellStyle name="壞_PAV2011年6月包裝明細_TFR2014年1月包裝明細_TFR2014年3月包裝明細_3" xfId="8967"/>
    <cellStyle name="壞_PAV2011年6月包裝明細_TFR2014年1月包裝明細_TFR2014年3月包裝明細_4" xfId="4534"/>
    <cellStyle name="壞_PAV2011年6月包裝明細_TFR2014年1月包裝明細_TFR2014年4月包裝明細" xfId="24593"/>
    <cellStyle name="壞_PAV2011年6月包裝明細_TFR2014年1月包裝明細_包装明细" xfId="24595"/>
    <cellStyle name="壞_PAV2011年6月包裝明細_TFR2014年3月包裝明細" xfId="24596"/>
    <cellStyle name="壞_PAV2011年6月包裝明細_TFR2014年3月包裝明細_1" xfId="24601"/>
    <cellStyle name="壞_PAV2011年6月包裝明細_TFR2014年3月包裝明細_2" xfId="24604"/>
    <cellStyle name="壞_PAV2011年6月包裝明細_TFR2014年3月包裝明細_3" xfId="24606"/>
    <cellStyle name="壞_PAV2011年6月包裝明細_TFR2014年3月包裝明細_4" xfId="19431"/>
    <cellStyle name="壞_PAV2011年6月包裝明細_TFR2014年4月包裝明細" xfId="24608"/>
    <cellStyle name="壞_PAV2011年6月包裝明細_TLF 包装明细 7.15" xfId="24610"/>
    <cellStyle name="壞_PAV2011年6月包裝明細_TLF 包装明细1.7" xfId="24611"/>
    <cellStyle name="壞_PAV2011年6月包裝明細_包装明细" xfId="24612"/>
    <cellStyle name="壞_Sheet1" xfId="86"/>
    <cellStyle name="壞_Sheet1 2" xfId="87"/>
    <cellStyle name="壞_Sheet1 2 2" xfId="38477"/>
    <cellStyle name="壞_Sheet1 3" xfId="38478"/>
    <cellStyle name="壞_TCB 2012年2月包裝明細" xfId="24613"/>
    <cellStyle name="壞_TCB 2012年2月包裝明細_00" xfId="21982"/>
    <cellStyle name="壞_TCB 2012年2月包裝明細_1" xfId="24614"/>
    <cellStyle name="壞_TCB 2012年2月包裝明細_1123" xfId="24617"/>
    <cellStyle name="壞_TCB 2012年2月包裝明細_1136" xfId="24620"/>
    <cellStyle name="壞_TCB 2012年2月包裝明細_143" xfId="24623"/>
    <cellStyle name="壞_TCB 2012年2月包裝明細_4.15" xfId="14830"/>
    <cellStyle name="壞_TCB 2012年2月包裝明細_456" xfId="24624"/>
    <cellStyle name="壞_TCB 2012年2月包裝明細_789" xfId="24626"/>
    <cellStyle name="壞_TCB 2012年2月包裝明細_DEI 包装明细 10.21" xfId="24627"/>
    <cellStyle name="壞_TCB 2012年2月包裝明細_DEI 包装明细 11.1" xfId="24628"/>
    <cellStyle name="壞_TCB 2012年2月包裝明細_EF 包装明细12.13" xfId="24630"/>
    <cellStyle name="壞_TCB 2012年2月包裝明細_JB 包装明细 12.23" xfId="24632"/>
    <cellStyle name="壞_TCB 2012年2月包裝明細_JB 包装明细 12.23_涂布2014年3月包装明细" xfId="4962"/>
    <cellStyle name="壞_TCB 2012年2月包裝明細_JB 包装明细2.14" xfId="4221"/>
    <cellStyle name="壞_TCB 2012年2月包裝明細_LK 包装明细3.4" xfId="24633"/>
    <cellStyle name="壞_TCB 2012年2月包裝明細_PAV 包装明细" xfId="24634"/>
    <cellStyle name="壞_TCB 2012年2月包裝明細_PAV 包装明细 1.13" xfId="18877"/>
    <cellStyle name="壞_TCB 2012年2月包裝明細_PAV.2014年3月包裝明細" xfId="24635"/>
    <cellStyle name="壞_TCB 2012年2月包裝明細_PAV.2014年3月包裝明細_1" xfId="24073"/>
    <cellStyle name="壞_TCB 2012年2月包裝明細_PL" xfId="24637"/>
    <cellStyle name="壞_TCB 2012年2月包裝明細_SEB 591 包装明细 9.5" xfId="24639"/>
    <cellStyle name="壞_TCB 2012年2月包裝明細_SEB ASIA 包装明细12.10" xfId="24115"/>
    <cellStyle name="壞_TCB 2012年2月包裝明細_SEB ASIA 包装明细12.5" xfId="19184"/>
    <cellStyle name="壞_TCB 2012年2月包裝明細_SEB ASIA 包装明细2.11-3.4 更正" xfId="11358"/>
    <cellStyle name="壞_TCB 2012年2月包裝明細_SEB 包装明细1.9" xfId="19022"/>
    <cellStyle name="壞_TCB 2012年2月包裝明細_SEB 包装明细12.31" xfId="24640"/>
    <cellStyle name="壞_TCB 2012年2月包裝明細_SEB 包装明细2.13 revised" xfId="339"/>
    <cellStyle name="壞_TCB 2012年2月包裝明細_TFR" xfId="19492"/>
    <cellStyle name="壞_TCB 2012年2月包裝明細_TFR 包装明细 5.13" xfId="5794"/>
    <cellStyle name="壞_TCB 2012年2月包裝明細_TFR 钢圈蛋糕盘包装明细6.5(1)" xfId="24642"/>
    <cellStyle name="壞_TCB 2012年2月包裝明細_TFR(SEB ASIA) 包装明细3-25" xfId="4424"/>
    <cellStyle name="壞_TCB 2012年2月包裝明細_TFR(SEB ASIA) 包装明细4.29" xfId="12724"/>
    <cellStyle name="壞_TCB 2012年2月包裝明細_TFR2014年1月包裝明細" xfId="13738"/>
    <cellStyle name="壞_TCB 2012年2月包裝明細_TFR2014年1月包裝明細_1" xfId="24644"/>
    <cellStyle name="壞_TCB 2012年2月包裝明細_TFR2014年1月包裝明細_1123" xfId="24645"/>
    <cellStyle name="壞_TCB 2012年2月包裝明細_TFR2014年1月包裝明細_1136" xfId="24649"/>
    <cellStyle name="壞_TCB 2012年2月包裝明細_TFR2014年1月包裝明細_143" xfId="24652"/>
    <cellStyle name="壞_TCB 2012年2月包裝明細_TFR2014年1月包裝明細_4.15" xfId="22937"/>
    <cellStyle name="壞_TCB 2012年2月包裝明細_TFR2014年1月包裝明細_PL" xfId="24653"/>
    <cellStyle name="壞_TCB 2012年2月包裝明細_TFR2014年1月包裝明細_TFR" xfId="24654"/>
    <cellStyle name="壞_TCB 2012年2月包裝明細_TFR2014年1月包裝明細_TFR 包装明细 5.13" xfId="24655"/>
    <cellStyle name="壞_TCB 2012年2月包裝明細_TFR2014年1月包裝明細_TFR(SEB ASIA) 包装明细3-25" xfId="17526"/>
    <cellStyle name="壞_TCB 2012年2月包裝明細_TFR2014年1月包裝明細_TFR(SEB ASIA) 包装明细4.29" xfId="24656"/>
    <cellStyle name="壞_TCB 2012年2月包裝明細_TFR2014年1月包裝明細_TFR2014年3月包裝明細" xfId="9994"/>
    <cellStyle name="壞_TCB 2012年2月包裝明細_TFR2014年1月包裝明細_TFR2014年3月包裝明細_1" xfId="24659"/>
    <cellStyle name="壞_TCB 2012年2月包裝明細_TFR2014年1月包裝明細_TFR2014年3月包裝明細_2" xfId="24661"/>
    <cellStyle name="壞_TCB 2012年2月包裝明細_TFR2014年1月包裝明細_TFR2014年3月包裝明細_3" xfId="24662"/>
    <cellStyle name="壞_TCB 2012年2月包裝明細_TFR2014年1月包裝明細_TFR2014年3月包裝明細_4" xfId="24663"/>
    <cellStyle name="壞_TCB 2012年2月包裝明細_TFR2014年1月包裝明細_TFR2014年4月包裝明細" xfId="24664"/>
    <cellStyle name="壞_TCB 2012年2月包裝明細_TFR2014年1月包裝明細_包装明细" xfId="17995"/>
    <cellStyle name="壞_TCB 2012年2月包裝明細_TFR2014年3月包裝明細" xfId="24665"/>
    <cellStyle name="壞_TCB 2012年2月包裝明細_TFR2014年3月包裝明細_1" xfId="24146"/>
    <cellStyle name="壞_TCB 2012年2月包裝明細_TFR2014年3月包裝明細_2" xfId="24148"/>
    <cellStyle name="壞_TCB 2012年2月包裝明細_TFR2014年3月包裝明細_3" xfId="17274"/>
    <cellStyle name="壞_TCB 2012年2月包裝明細_TFR2014年3月包裝明細_4" xfId="3662"/>
    <cellStyle name="壞_TCB 2012年2月包裝明細_TFR2014年3月包裝明細_5" xfId="3671"/>
    <cellStyle name="壞_TCB 2012年2月包裝明細_TFR2014年4月包裝明細" xfId="24666"/>
    <cellStyle name="壞_TCB 2012年2月包裝明細_TLF 包装明细 7.15" xfId="3590"/>
    <cellStyle name="壞_TCB 2012年2月包裝明細_TLF 包装明细1.7" xfId="24667"/>
    <cellStyle name="壞_TCB 2012年2月包裝明細_包装明细" xfId="24669"/>
    <cellStyle name="壞_TCB 2012年2月包裝明細_涂布2014年3月包装明细" xfId="24672"/>
    <cellStyle name="壞_TCB 2012年2月包裝明細_涂布2014年3月包装明细_1" xfId="14261"/>
    <cellStyle name="壞_TCB 2012年2月包裝明細_涂布2014年3月包装明细_2" xfId="14270"/>
    <cellStyle name="壞_TFR2012年3月包裝明細" xfId="11756"/>
    <cellStyle name="壞_TFR2012年3月包裝明細_PAV.2014年3月包裝明細" xfId="18577"/>
    <cellStyle name="壞_TFR2012年3月包裝明細_TFR2014年3月包裝明細" xfId="24673"/>
    <cellStyle name="壞_TFR2012年3月包裝明細_涂布2014年3月包装明细" xfId="16561"/>
    <cellStyle name="壞_TFR2012年5月包裝明細" xfId="24674"/>
    <cellStyle name="壞_TFR2012年5月包裝明細_PAV.2014年3月包裝明細" xfId="23378"/>
    <cellStyle name="壞_TFR2012年5月包裝明細_TFR2014年3月包裝明細" xfId="24675"/>
    <cellStyle name="壞_TFR2012年5月包裝明細_涂布2014年3月包装明细" xfId="24677"/>
    <cellStyle name="壞_TFR2012年8月包裝明細" xfId="24678"/>
    <cellStyle name="壞_TFR2012年9月包裝明細" xfId="22995"/>
    <cellStyle name="壞_VN-E1613" xfId="88"/>
    <cellStyle name="壞_VN-E1613 2" xfId="89"/>
    <cellStyle name="壞_VN-E1613 2 2" xfId="38475"/>
    <cellStyle name="壞_VN-E1613 3" xfId="38476"/>
    <cellStyle name="壞_VN-E1618" xfId="90"/>
    <cellStyle name="壞_VN-E1618 2" xfId="91"/>
    <cellStyle name="壞_VN-E1618 2 2" xfId="38474"/>
    <cellStyle name="壞_VN-E1619" xfId="92"/>
    <cellStyle name="壞_VN-E1619 2" xfId="93"/>
    <cellStyle name="壞_VN-E1619 2 2" xfId="38473"/>
    <cellStyle name="壞_VN-E1620" xfId="94"/>
    <cellStyle name="壞_VN-E1620 2" xfId="95"/>
    <cellStyle name="壞_VN-E1620 2 2" xfId="38472"/>
    <cellStyle name="壞_VN-E1622" xfId="96"/>
    <cellStyle name="壞_VN-E1622 2" xfId="97"/>
    <cellStyle name="壞_VN-E1622 2 2" xfId="38471"/>
    <cellStyle name="壞_VN-E1623" xfId="98"/>
    <cellStyle name="壞_VN-E1623 2" xfId="99"/>
    <cellStyle name="壞_VN-E1623 2 2" xfId="38470"/>
    <cellStyle name="壞_VN-E1624" xfId="100"/>
    <cellStyle name="壞_VN-E1624 (2)" xfId="101"/>
    <cellStyle name="壞_VN-E1624 (2) 2" xfId="102"/>
    <cellStyle name="壞_VN-E1624 (2) 2 2" xfId="38469"/>
    <cellStyle name="壞_VN-E1624 2" xfId="103"/>
    <cellStyle name="壞_VN-E1624 2 2" xfId="38468"/>
    <cellStyle name="壞_VN-E1624 3" xfId="104"/>
    <cellStyle name="壞_VN-E1624 3 2" xfId="38467"/>
    <cellStyle name="壞_VN-E1624 4" xfId="105"/>
    <cellStyle name="壞_VN-E1624 4 2" xfId="38466"/>
    <cellStyle name="壞_VN-E1624 5" xfId="106"/>
    <cellStyle name="壞_VN-E1624 5 2" xfId="38465"/>
    <cellStyle name="壞_VN-E1624 6" xfId="107"/>
    <cellStyle name="壞_VN-E1624 6 2" xfId="38464"/>
    <cellStyle name="壞_VN-E1624 7" xfId="108"/>
    <cellStyle name="壞_VN-E1624 7 2" xfId="38463"/>
    <cellStyle name="壞_VN-E1625" xfId="109"/>
    <cellStyle name="壞_VN-E1625 2" xfId="110"/>
    <cellStyle name="壞_VN-E1625 2 2" xfId="38462"/>
    <cellStyle name="壞_VN-E1626" xfId="111"/>
    <cellStyle name="壞_VN-E1626 2" xfId="112"/>
    <cellStyle name="壞_VN-E1626 2 2" xfId="38461"/>
    <cellStyle name="壞_VN-E1627" xfId="113"/>
    <cellStyle name="壞_VN-E1627 2" xfId="114"/>
    <cellStyle name="壞_VN-E1627 2 2" xfId="38460"/>
    <cellStyle name="壞_VN-E1629" xfId="115"/>
    <cellStyle name="壞_VN-E1629 2" xfId="116"/>
    <cellStyle name="壞_VN-E1629 2 2" xfId="38459"/>
    <cellStyle name="壞_VN-E1630" xfId="117"/>
    <cellStyle name="壞_VN-E1630 2" xfId="118"/>
    <cellStyle name="壞_VN-E1630 2 2" xfId="38458"/>
    <cellStyle name="壞_VN-E1631" xfId="119"/>
    <cellStyle name="壞_VN-E1631 2" xfId="120"/>
    <cellStyle name="壞_VN-E1631 2 2" xfId="38457"/>
    <cellStyle name="壞_VN-E1632" xfId="121"/>
    <cellStyle name="壞_VN-E1632 2" xfId="122"/>
    <cellStyle name="壞_VN-E1632 2 2" xfId="38456"/>
    <cellStyle name="壞_VN-E1633" xfId="123"/>
    <cellStyle name="壞_VN-E1633 2" xfId="124"/>
    <cellStyle name="壞_VN-E1633 2 2" xfId="38455"/>
    <cellStyle name="壞_VN-E1701" xfId="125"/>
    <cellStyle name="壞_VN-E1701 2" xfId="126"/>
    <cellStyle name="壞_VN-E1701 2 2" xfId="38454"/>
    <cellStyle name="壞_涂布2014年3月包装明细" xfId="15896"/>
    <cellStyle name="壞_涂布2014年3月包装明细_1" xfId="24679"/>
    <cellStyle name="壞_涂布2014年3月包装明细_2" xfId="24680"/>
    <cellStyle name="壞_第1段" xfId="127"/>
    <cellStyle name="壞_第1段 2" xfId="128"/>
    <cellStyle name="壞_第1段 2 2" xfId="38452"/>
    <cellStyle name="壞_第1段 3" xfId="38453"/>
    <cellStyle name="好 10" xfId="24681"/>
    <cellStyle name="好 11" xfId="24684"/>
    <cellStyle name="好 12" xfId="24687"/>
    <cellStyle name="好 12 10" xfId="23767"/>
    <cellStyle name="好 12 11" xfId="23769"/>
    <cellStyle name="好 12 12" xfId="24690"/>
    <cellStyle name="好 12 13" xfId="24691"/>
    <cellStyle name="好 12 14" xfId="24692"/>
    <cellStyle name="好 12 2" xfId="24693"/>
    <cellStyle name="好 12 3" xfId="24695"/>
    <cellStyle name="好 12 4" xfId="24696"/>
    <cellStyle name="好 12 5" xfId="24697"/>
    <cellStyle name="好 12 5 10" xfId="24699"/>
    <cellStyle name="好 12 5 11" xfId="24701"/>
    <cellStyle name="好 12 5 2" xfId="24703"/>
    <cellStyle name="好 12 5 2 2" xfId="6346"/>
    <cellStyle name="好 12 5 2 2 2" xfId="22964"/>
    <cellStyle name="好 12 5 2 2 3" xfId="22966"/>
    <cellStyle name="好 12 5 2 3" xfId="6350"/>
    <cellStyle name="好 12 5 2 4" xfId="6358"/>
    <cellStyle name="好 12 5 2 5" xfId="6362"/>
    <cellStyle name="好 12 5 2 6" xfId="6364"/>
    <cellStyle name="好 12 5 2 7" xfId="7644"/>
    <cellStyle name="好 12 5 2 8" xfId="24704"/>
    <cellStyle name="好 12 5 3" xfId="24706"/>
    <cellStyle name="好 12 5 4" xfId="433"/>
    <cellStyle name="好 12 5 5" xfId="24707"/>
    <cellStyle name="好 12 5 6" xfId="24708"/>
    <cellStyle name="好 12 5 6 2" xfId="24709"/>
    <cellStyle name="好 12 5 6 3" xfId="24710"/>
    <cellStyle name="好 12 5 7" xfId="24711"/>
    <cellStyle name="好 12 5 8" xfId="24712"/>
    <cellStyle name="好 12 5 9" xfId="2428"/>
    <cellStyle name="好 12 6" xfId="24713"/>
    <cellStyle name="好 12 6 2" xfId="18600"/>
    <cellStyle name="好 12 6 2 2" xfId="7709"/>
    <cellStyle name="好 12 6 2 3" xfId="7713"/>
    <cellStyle name="好 12 6 3" xfId="24714"/>
    <cellStyle name="好 12 6 4" xfId="24715"/>
    <cellStyle name="好 12 6 5" xfId="24716"/>
    <cellStyle name="好 12 6 6" xfId="16476"/>
    <cellStyle name="好 12 6 7" xfId="16487"/>
    <cellStyle name="好 12 6 8" xfId="16496"/>
    <cellStyle name="好 12 7" xfId="24717"/>
    <cellStyle name="好 12 8" xfId="24718"/>
    <cellStyle name="好 12 9" xfId="24719"/>
    <cellStyle name="好 12 9 2" xfId="24720"/>
    <cellStyle name="好 12 9 3" xfId="24722"/>
    <cellStyle name="好 13" xfId="24724"/>
    <cellStyle name="好 14" xfId="24725"/>
    <cellStyle name="好 15" xfId="24726"/>
    <cellStyle name="好 16" xfId="24727"/>
    <cellStyle name="好 16 10" xfId="24729"/>
    <cellStyle name="好 16 11" xfId="24732"/>
    <cellStyle name="好 16 12" xfId="24735"/>
    <cellStyle name="好 16 13" xfId="24738"/>
    <cellStyle name="好 16 14" xfId="24741"/>
    <cellStyle name="好 16 2" xfId="24744"/>
    <cellStyle name="好 16 3" xfId="24745"/>
    <cellStyle name="好 16 4" xfId="24746"/>
    <cellStyle name="好 16 5" xfId="24747"/>
    <cellStyle name="好 16 5 10" xfId="11050"/>
    <cellStyle name="好 16 5 11" xfId="2003"/>
    <cellStyle name="好 16 5 2" xfId="24748"/>
    <cellStyle name="好 16 5 2 2" xfId="16915"/>
    <cellStyle name="好 16 5 2 2 2" xfId="24749"/>
    <cellStyle name="好 16 5 2 2 3" xfId="16001"/>
    <cellStyle name="好 16 5 2 3" xfId="16917"/>
    <cellStyle name="好 16 5 2 4" xfId="16920"/>
    <cellStyle name="好 16 5 2 5" xfId="16923"/>
    <cellStyle name="好 16 5 2 6" xfId="16925"/>
    <cellStyle name="好 16 5 2 7" xfId="24751"/>
    <cellStyle name="好 16 5 2 8" xfId="24752"/>
    <cellStyle name="好 16 5 3" xfId="24754"/>
    <cellStyle name="好 16 5 4" xfId="24756"/>
    <cellStyle name="好 16 5 5" xfId="24758"/>
    <cellStyle name="好 16 5 6" xfId="24761"/>
    <cellStyle name="好 16 5 6 2" xfId="24764"/>
    <cellStyle name="好 16 5 6 3" xfId="24766"/>
    <cellStyle name="好 16 5 7" xfId="21815"/>
    <cellStyle name="好 16 5 8" xfId="18755"/>
    <cellStyle name="好 16 5 9" xfId="24770"/>
    <cellStyle name="好 16 6" xfId="24771"/>
    <cellStyle name="好 16 6 2" xfId="24772"/>
    <cellStyle name="好 16 6 2 2" xfId="5252"/>
    <cellStyle name="好 16 6 2 3" xfId="5335"/>
    <cellStyle name="好 16 6 3" xfId="24773"/>
    <cellStyle name="好 16 6 4" xfId="24774"/>
    <cellStyle name="好 16 6 5" xfId="24776"/>
    <cellStyle name="好 16 6 6" xfId="6412"/>
    <cellStyle name="好 16 6 7" xfId="6421"/>
    <cellStyle name="好 16 6 8" xfId="6433"/>
    <cellStyle name="好 16 7" xfId="24778"/>
    <cellStyle name="好 16 8" xfId="24779"/>
    <cellStyle name="好 16 9" xfId="24780"/>
    <cellStyle name="好 16 9 2" xfId="24781"/>
    <cellStyle name="好 16 9 3" xfId="24784"/>
    <cellStyle name="好 17" xfId="24785"/>
    <cellStyle name="好 17 10" xfId="14833"/>
    <cellStyle name="好 17 11" xfId="14835"/>
    <cellStyle name="好 17 12" xfId="14869"/>
    <cellStyle name="好 17 13" xfId="14937"/>
    <cellStyle name="好 17 14" xfId="15000"/>
    <cellStyle name="好 17 2" xfId="15179"/>
    <cellStyle name="好 17 3" xfId="7875"/>
    <cellStyle name="好 17 4" xfId="7882"/>
    <cellStyle name="好 17 5" xfId="15628"/>
    <cellStyle name="好 17 5 10" xfId="11322"/>
    <cellStyle name="好 17 5 11" xfId="11327"/>
    <cellStyle name="好 17 5 2" xfId="15633"/>
    <cellStyle name="好 17 5 2 2" xfId="24787"/>
    <cellStyle name="好 17 5 2 2 2" xfId="23665"/>
    <cellStyle name="好 17 5 2 2 3" xfId="23668"/>
    <cellStyle name="好 17 5 2 3" xfId="24788"/>
    <cellStyle name="好 17 5 2 4" xfId="24789"/>
    <cellStyle name="好 17 5 2 5" xfId="20316"/>
    <cellStyle name="好 17 5 2 6" xfId="20321"/>
    <cellStyle name="好 17 5 2 7" xfId="20325"/>
    <cellStyle name="好 17 5 2 8" xfId="20331"/>
    <cellStyle name="好 17 5 3" xfId="15638"/>
    <cellStyle name="好 17 5 4" xfId="15643"/>
    <cellStyle name="好 17 5 5" xfId="15649"/>
    <cellStyle name="好 17 5 6" xfId="15654"/>
    <cellStyle name="好 17 5 6 2" xfId="24790"/>
    <cellStyle name="好 17 5 6 3" xfId="24792"/>
    <cellStyle name="好 17 5 7" xfId="15660"/>
    <cellStyle name="好 17 5 8" xfId="10883"/>
    <cellStyle name="好 17 5 9" xfId="10893"/>
    <cellStyle name="好 17 6" xfId="15662"/>
    <cellStyle name="好 17 6 2" xfId="24794"/>
    <cellStyle name="好 17 6 2 2" xfId="24795"/>
    <cellStyle name="好 17 6 2 3" xfId="24796"/>
    <cellStyle name="好 17 6 3" xfId="24797"/>
    <cellStyle name="好 17 6 4" xfId="24798"/>
    <cellStyle name="好 17 6 5" xfId="24800"/>
    <cellStyle name="好 17 6 6" xfId="5359"/>
    <cellStyle name="好 17 6 7" xfId="5397"/>
    <cellStyle name="好 17 6 8" xfId="5410"/>
    <cellStyle name="好 17 7" xfId="15664"/>
    <cellStyle name="好 17 8" xfId="15669"/>
    <cellStyle name="好 17 9" xfId="24802"/>
    <cellStyle name="好 17 9 2" xfId="24803"/>
    <cellStyle name="好 17 9 3" xfId="24805"/>
    <cellStyle name="好 18" xfId="24806"/>
    <cellStyle name="好 18 10" xfId="1290"/>
    <cellStyle name="好 18 11" xfId="1300"/>
    <cellStyle name="好 18 12" xfId="1310"/>
    <cellStyle name="好 18 13" xfId="1882"/>
    <cellStyle name="好 18 14" xfId="2340"/>
    <cellStyle name="好 18 2" xfId="16039"/>
    <cellStyle name="好 18 3" xfId="16267"/>
    <cellStyle name="好 18 4" xfId="16432"/>
    <cellStyle name="好 18 5" xfId="16456"/>
    <cellStyle name="好 18 5 10" xfId="8235"/>
    <cellStyle name="好 18 5 11" xfId="16458"/>
    <cellStyle name="好 18 5 2" xfId="7239"/>
    <cellStyle name="好 18 5 2 2" xfId="18099"/>
    <cellStyle name="好 18 5 2 2 2" xfId="14628"/>
    <cellStyle name="好 18 5 2 2 3" xfId="24808"/>
    <cellStyle name="好 18 5 2 3" xfId="24810"/>
    <cellStyle name="好 18 5 2 4" xfId="24811"/>
    <cellStyle name="好 18 5 2 5" xfId="24812"/>
    <cellStyle name="好 18 5 2 6" xfId="4836"/>
    <cellStyle name="好 18 5 2 7" xfId="4858"/>
    <cellStyle name="好 18 5 2 8" xfId="11808"/>
    <cellStyle name="好 18 5 3" xfId="7250"/>
    <cellStyle name="好 18 5 4" xfId="15123"/>
    <cellStyle name="好 18 5 5" xfId="15127"/>
    <cellStyle name="好 18 5 6" xfId="15131"/>
    <cellStyle name="好 18 5 6 2" xfId="24813"/>
    <cellStyle name="好 18 5 6 3" xfId="24815"/>
    <cellStyle name="好 18 5 7" xfId="2955"/>
    <cellStyle name="好 18 5 8" xfId="2975"/>
    <cellStyle name="好 18 5 9" xfId="2994"/>
    <cellStyle name="好 18 6" xfId="12219"/>
    <cellStyle name="好 18 6 2" xfId="7273"/>
    <cellStyle name="好 18 6 2 2" xfId="18162"/>
    <cellStyle name="好 18 6 2 3" xfId="21741"/>
    <cellStyle name="好 18 6 3" xfId="15158"/>
    <cellStyle name="好 18 6 4" xfId="15160"/>
    <cellStyle name="好 18 6 5" xfId="15163"/>
    <cellStyle name="好 18 6 6" xfId="5656"/>
    <cellStyle name="好 18 6 7" xfId="5698"/>
    <cellStyle name="好 18 6 8" xfId="5706"/>
    <cellStyle name="好 18 7" xfId="12222"/>
    <cellStyle name="好 18 8" xfId="12225"/>
    <cellStyle name="好 18 9" xfId="24816"/>
    <cellStyle name="好 18 9 2" xfId="24818"/>
    <cellStyle name="好 18 9 3" xfId="24819"/>
    <cellStyle name="好 19" xfId="24820"/>
    <cellStyle name="好 2" xfId="11088"/>
    <cellStyle name="好 2 10" xfId="15560"/>
    <cellStyle name="好 2 11" xfId="7528"/>
    <cellStyle name="好 2 12" xfId="5662"/>
    <cellStyle name="好 2 13" xfId="15569"/>
    <cellStyle name="好 2 14" xfId="24821"/>
    <cellStyle name="好 2 15" xfId="24822"/>
    <cellStyle name="好 2 16" xfId="24824"/>
    <cellStyle name="好 2 17" xfId="24825"/>
    <cellStyle name="好 2 17 10" xfId="5108"/>
    <cellStyle name="好 2 17 11" xfId="5116"/>
    <cellStyle name="好 2 17 12" xfId="24827"/>
    <cellStyle name="好 2 17 13" xfId="18325"/>
    <cellStyle name="好 2 17 14" xfId="18329"/>
    <cellStyle name="好 2 17 2" xfId="24828"/>
    <cellStyle name="好 2 17 3" xfId="24830"/>
    <cellStyle name="好 2 17 4" xfId="24832"/>
    <cellStyle name="好 2 17 5" xfId="9767"/>
    <cellStyle name="好 2 17 5 10" xfId="18332"/>
    <cellStyle name="好 2 17 5 11" xfId="18336"/>
    <cellStyle name="好 2 17 5 2" xfId="18342"/>
    <cellStyle name="好 2 17 5 2 2" xfId="2754"/>
    <cellStyle name="好 2 17 5 2 2 2" xfId="2777"/>
    <cellStyle name="好 2 17 5 2 2 3" xfId="2785"/>
    <cellStyle name="好 2 17 5 2 3" xfId="7198"/>
    <cellStyle name="好 2 17 5 2 4" xfId="18346"/>
    <cellStyle name="好 2 17 5 2 5" xfId="18350"/>
    <cellStyle name="好 2 17 5 2 6" xfId="24833"/>
    <cellStyle name="好 2 17 5 2 7" xfId="24835"/>
    <cellStyle name="好 2 17 5 2 8" xfId="341"/>
    <cellStyle name="好 2 17 5 3" xfId="24838"/>
    <cellStyle name="好 2 17 5 4" xfId="24840"/>
    <cellStyle name="好 2 17 5 5" xfId="24842"/>
    <cellStyle name="好 2 17 5 6" xfId="24844"/>
    <cellStyle name="好 2 17 5 6 2" xfId="24846"/>
    <cellStyle name="好 2 17 5 6 3" xfId="24847"/>
    <cellStyle name="好 2 17 5 7" xfId="24848"/>
    <cellStyle name="好 2 17 5 8" xfId="24849"/>
    <cellStyle name="好 2 17 5 9" xfId="24850"/>
    <cellStyle name="好 2 17 6" xfId="9771"/>
    <cellStyle name="好 2 17 6 2" xfId="4284"/>
    <cellStyle name="好 2 17 6 2 2" xfId="16721"/>
    <cellStyle name="好 2 17 6 2 3" xfId="16726"/>
    <cellStyle name="好 2 17 6 3" xfId="4291"/>
    <cellStyle name="好 2 17 6 4" xfId="3949"/>
    <cellStyle name="好 2 17 6 5" xfId="3969"/>
    <cellStyle name="好 2 17 6 6" xfId="4906"/>
    <cellStyle name="好 2 17 6 7" xfId="5208"/>
    <cellStyle name="好 2 17 6 8" xfId="24851"/>
    <cellStyle name="好 2 17 7" xfId="306"/>
    <cellStyle name="好 2 17 8" xfId="7078"/>
    <cellStyle name="好 2 17 9" xfId="7086"/>
    <cellStyle name="好 2 17 9 2" xfId="24853"/>
    <cellStyle name="好 2 17 9 3" xfId="24855"/>
    <cellStyle name="好 2 18" xfId="24856"/>
    <cellStyle name="好 2 18 10" xfId="24857"/>
    <cellStyle name="好 2 18 11" xfId="17942"/>
    <cellStyle name="好 2 18 12" xfId="10326"/>
    <cellStyle name="好 2 18 13" xfId="10333"/>
    <cellStyle name="好 2 18 14" xfId="10338"/>
    <cellStyle name="好 2 18 2" xfId="17932"/>
    <cellStyle name="好 2 18 3" xfId="24860"/>
    <cellStyle name="好 2 18 4" xfId="24864"/>
    <cellStyle name="好 2 18 5" xfId="9818"/>
    <cellStyle name="好 2 18 5 10" xfId="24865"/>
    <cellStyle name="好 2 18 5 11" xfId="24866"/>
    <cellStyle name="好 2 18 5 2" xfId="9903"/>
    <cellStyle name="好 2 18 5 2 2" xfId="24339"/>
    <cellStyle name="好 2 18 5 2 2 2" xfId="24508"/>
    <cellStyle name="好 2 18 5 2 2 3" xfId="24867"/>
    <cellStyle name="好 2 18 5 2 3" xfId="24342"/>
    <cellStyle name="好 2 18 5 2 4" xfId="24344"/>
    <cellStyle name="好 2 18 5 2 5" xfId="24346"/>
    <cellStyle name="好 2 18 5 2 6" xfId="24868"/>
    <cellStyle name="好 2 18 5 2 7" xfId="24869"/>
    <cellStyle name="好 2 18 5 2 8" xfId="24870"/>
    <cellStyle name="好 2 18 5 3" xfId="24871"/>
    <cellStyle name="好 2 18 5 4" xfId="24872"/>
    <cellStyle name="好 2 18 5 5" xfId="24873"/>
    <cellStyle name="好 2 18 5 6" xfId="24874"/>
    <cellStyle name="好 2 18 5 6 2" xfId="24875"/>
    <cellStyle name="好 2 18 5 6 3" xfId="24876"/>
    <cellStyle name="好 2 18 5 7" xfId="24877"/>
    <cellStyle name="好 2 18 5 8" xfId="24878"/>
    <cellStyle name="好 2 18 5 9" xfId="24879"/>
    <cellStyle name="好 2 18 6" xfId="9826"/>
    <cellStyle name="好 2 18 6 2" xfId="24880"/>
    <cellStyle name="好 2 18 6 2 2" xfId="10369"/>
    <cellStyle name="好 2 18 6 2 3" xfId="10375"/>
    <cellStyle name="好 2 18 6 3" xfId="24882"/>
    <cellStyle name="好 2 18 6 4" xfId="24884"/>
    <cellStyle name="好 2 18 6 5" xfId="24886"/>
    <cellStyle name="好 2 18 6 6" xfId="24887"/>
    <cellStyle name="好 2 18 6 7" xfId="24888"/>
    <cellStyle name="好 2 18 6 8" xfId="7190"/>
    <cellStyle name="好 2 18 7" xfId="9833"/>
    <cellStyle name="好 2 18 8" xfId="9841"/>
    <cellStyle name="好 2 18 9" xfId="9849"/>
    <cellStyle name="好 2 18 9 2" xfId="10380"/>
    <cellStyle name="好 2 18 9 3" xfId="10384"/>
    <cellStyle name="好 2 19" xfId="24889"/>
    <cellStyle name="好 2 19 10" xfId="24890"/>
    <cellStyle name="好 2 19 11" xfId="24892"/>
    <cellStyle name="好 2 19 12" xfId="24894"/>
    <cellStyle name="好 2 19 13" xfId="24896"/>
    <cellStyle name="好 2 19 14" xfId="9648"/>
    <cellStyle name="好 2 19 2" xfId="24898"/>
    <cellStyle name="好 2 19 3" xfId="24899"/>
    <cellStyle name="好 2 19 4" xfId="24901"/>
    <cellStyle name="好 2 19 5" xfId="24903"/>
    <cellStyle name="好 2 19 5 10" xfId="24904"/>
    <cellStyle name="好 2 19 5 11" xfId="24905"/>
    <cellStyle name="好 2 19 5 2" xfId="19330"/>
    <cellStyle name="好 2 19 5 2 2" xfId="20954"/>
    <cellStyle name="好 2 19 5 2 2 2" xfId="24539"/>
    <cellStyle name="好 2 19 5 2 2 3" xfId="24541"/>
    <cellStyle name="好 2 19 5 2 3" xfId="20956"/>
    <cellStyle name="好 2 19 5 2 4" xfId="20958"/>
    <cellStyle name="好 2 19 5 2 5" xfId="20983"/>
    <cellStyle name="好 2 19 5 2 6" xfId="20993"/>
    <cellStyle name="好 2 19 5 2 7" xfId="20995"/>
    <cellStyle name="好 2 19 5 2 8" xfId="20997"/>
    <cellStyle name="好 2 19 5 3" xfId="19562"/>
    <cellStyle name="好 2 19 5 4" xfId="13319"/>
    <cellStyle name="好 2 19 5 5" xfId="13329"/>
    <cellStyle name="好 2 19 5 6" xfId="13332"/>
    <cellStyle name="好 2 19 5 6 2" xfId="19649"/>
    <cellStyle name="好 2 19 5 6 3" xfId="20894"/>
    <cellStyle name="好 2 19 5 7" xfId="24906"/>
    <cellStyle name="好 2 19 5 8" xfId="24907"/>
    <cellStyle name="好 2 19 5 9" xfId="24908"/>
    <cellStyle name="好 2 19 6" xfId="16597"/>
    <cellStyle name="好 2 19 6 2" xfId="24909"/>
    <cellStyle name="好 2 19 6 2 2" xfId="17170"/>
    <cellStyle name="好 2 19 6 2 3" xfId="17172"/>
    <cellStyle name="好 2 19 6 3" xfId="24910"/>
    <cellStyle name="好 2 19 6 4" xfId="24911"/>
    <cellStyle name="好 2 19 6 5" xfId="6504"/>
    <cellStyle name="好 2 19 6 6" xfId="6513"/>
    <cellStyle name="好 2 19 6 7" xfId="285"/>
    <cellStyle name="好 2 19 6 8" xfId="6520"/>
    <cellStyle name="好 2 19 7" xfId="16600"/>
    <cellStyle name="好 2 19 8" xfId="16607"/>
    <cellStyle name="好 2 19 9" xfId="16613"/>
    <cellStyle name="好 2 19 9 2" xfId="16619"/>
    <cellStyle name="好 2 19 9 3" xfId="16622"/>
    <cellStyle name="好 2 2" xfId="24912"/>
    <cellStyle name="好 2 2 10" xfId="24916"/>
    <cellStyle name="好 2 2 11" xfId="24918"/>
    <cellStyle name="好 2 2 12" xfId="24920"/>
    <cellStyle name="好 2 2 13" xfId="24922"/>
    <cellStyle name="好 2 2 14" xfId="24924"/>
    <cellStyle name="好 2 2 2" xfId="24926"/>
    <cellStyle name="好 2 2 3" xfId="24930"/>
    <cellStyle name="好 2 2 4" xfId="24934"/>
    <cellStyle name="好 2 2 5" xfId="24936"/>
    <cellStyle name="好 2 2 6" xfId="24938"/>
    <cellStyle name="好 2 2 7" xfId="24940"/>
    <cellStyle name="好 2 2 8" xfId="24941"/>
    <cellStyle name="好 2 2 9" xfId="24943"/>
    <cellStyle name="好 2 20" xfId="24823"/>
    <cellStyle name="好 2 20 10" xfId="24944"/>
    <cellStyle name="好 2 20 11" xfId="24945"/>
    <cellStyle name="好 2 20 12" xfId="24946"/>
    <cellStyle name="好 2 20 13" xfId="24947"/>
    <cellStyle name="好 2 20 14" xfId="24949"/>
    <cellStyle name="好 2 20 2" xfId="4035"/>
    <cellStyle name="好 2 20 3" xfId="4043"/>
    <cellStyle name="好 2 20 4" xfId="4049"/>
    <cellStyle name="好 2 20 5" xfId="4056"/>
    <cellStyle name="好 2 20 5 10" xfId="24950"/>
    <cellStyle name="好 2 20 5 11" xfId="24952"/>
    <cellStyle name="好 2 20 5 2" xfId="19356"/>
    <cellStyle name="好 2 20 5 2 2" xfId="18835"/>
    <cellStyle name="好 2 20 5 2 2 2" xfId="24954"/>
    <cellStyle name="好 2 20 5 2 2 3" xfId="24955"/>
    <cellStyle name="好 2 20 5 2 3" xfId="18838"/>
    <cellStyle name="好 2 20 5 2 4" xfId="24958"/>
    <cellStyle name="好 2 20 5 2 5" xfId="24960"/>
    <cellStyle name="好 2 20 5 2 6" xfId="24962"/>
    <cellStyle name="好 2 20 5 2 7" xfId="24964"/>
    <cellStyle name="好 2 20 5 2 8" xfId="22760"/>
    <cellStyle name="好 2 20 5 3" xfId="24966"/>
    <cellStyle name="好 2 20 5 4" xfId="24967"/>
    <cellStyle name="好 2 20 5 5" xfId="2137"/>
    <cellStyle name="好 2 20 5 6" xfId="2155"/>
    <cellStyle name="好 2 20 5 6 2" xfId="1646"/>
    <cellStyle name="好 2 20 5 6 3" xfId="1661"/>
    <cellStyle name="好 2 20 5 7" xfId="2167"/>
    <cellStyle name="好 2 20 5 8" xfId="2183"/>
    <cellStyle name="好 2 20 5 9" xfId="2191"/>
    <cellStyle name="好 2 20 6" xfId="4064"/>
    <cellStyle name="好 2 20 6 2" xfId="5523"/>
    <cellStyle name="好 2 20 6 2 2" xfId="24968"/>
    <cellStyle name="好 2 20 6 2 3" xfId="24969"/>
    <cellStyle name="好 2 20 6 3" xfId="24972"/>
    <cellStyle name="好 2 20 6 4" xfId="24974"/>
    <cellStyle name="好 2 20 6 5" xfId="24975"/>
    <cellStyle name="好 2 20 6 6" xfId="24977"/>
    <cellStyle name="好 2 20 6 7" xfId="24979"/>
    <cellStyle name="好 2 20 6 8" xfId="24981"/>
    <cellStyle name="好 2 20 7" xfId="4072"/>
    <cellStyle name="好 2 20 8" xfId="24984"/>
    <cellStyle name="好 2 20 9" xfId="24987"/>
    <cellStyle name="好 2 20 9 2" xfId="24989"/>
    <cellStyle name="好 2 20 9 3" xfId="24990"/>
    <cellStyle name="好 2 3" xfId="24991"/>
    <cellStyle name="好 2 3 10" xfId="24992"/>
    <cellStyle name="好 2 3 11" xfId="24993"/>
    <cellStyle name="好 2 3 12" xfId="24994"/>
    <cellStyle name="好 2 3 13" xfId="24995"/>
    <cellStyle name="好 2 3 14" xfId="18559"/>
    <cellStyle name="好 2 3 2" xfId="12553"/>
    <cellStyle name="好 2 3 3" xfId="12565"/>
    <cellStyle name="好 2 3 4" xfId="12570"/>
    <cellStyle name="好 2 3 5" xfId="12574"/>
    <cellStyle name="好 2 3 6" xfId="12579"/>
    <cellStyle name="好 2 3 7" xfId="10873"/>
    <cellStyle name="好 2 3 8" xfId="11041"/>
    <cellStyle name="好 2 3 9" xfId="11056"/>
    <cellStyle name="好 2 4" xfId="24996"/>
    <cellStyle name="好 2 4 10" xfId="2570"/>
    <cellStyle name="好 2 4 11" xfId="2581"/>
    <cellStyle name="好 2 4 12" xfId="24997"/>
    <cellStyle name="好 2 4 13" xfId="24999"/>
    <cellStyle name="好 2 4 14" xfId="18857"/>
    <cellStyle name="好 2 4 2" xfId="25000"/>
    <cellStyle name="好 2 4 3" xfId="25001"/>
    <cellStyle name="好 2 4 4" xfId="25002"/>
    <cellStyle name="好 2 4 5" xfId="25003"/>
    <cellStyle name="好 2 4 6" xfId="25005"/>
    <cellStyle name="好 2 4 7" xfId="25007"/>
    <cellStyle name="好 2 4 8" xfId="25009"/>
    <cellStyle name="好 2 4 9" xfId="25011"/>
    <cellStyle name="好 2 5" xfId="25012"/>
    <cellStyle name="好 2 6" xfId="25013"/>
    <cellStyle name="好 2 7" xfId="25015"/>
    <cellStyle name="好 2 8" xfId="25017"/>
    <cellStyle name="好 2 9" xfId="25020"/>
    <cellStyle name="好 3" xfId="25022"/>
    <cellStyle name="好 3 10" xfId="14641"/>
    <cellStyle name="好 3 11" xfId="10908"/>
    <cellStyle name="好 3 12" xfId="10912"/>
    <cellStyle name="好 3 13" xfId="10660"/>
    <cellStyle name="好 3 14" xfId="10669"/>
    <cellStyle name="好 3 15" xfId="10673"/>
    <cellStyle name="好 3 16" xfId="10679"/>
    <cellStyle name="好 3 17" xfId="19425"/>
    <cellStyle name="好 3 17 10" xfId="1981"/>
    <cellStyle name="好 3 17 11" xfId="1989"/>
    <cellStyle name="好 3 17 12" xfId="2009"/>
    <cellStyle name="好 3 17 13" xfId="2221"/>
    <cellStyle name="好 3 17 14" xfId="2300"/>
    <cellStyle name="好 3 17 2" xfId="3097"/>
    <cellStyle name="好 3 17 2 2" xfId="25023"/>
    <cellStyle name="好 3 17 3" xfId="6167"/>
    <cellStyle name="好 3 17 4" xfId="25026"/>
    <cellStyle name="好 3 17 5" xfId="25028"/>
    <cellStyle name="好 3 17 5 10" xfId="25029"/>
    <cellStyle name="好 3 17 5 11" xfId="25031"/>
    <cellStyle name="好 3 17 5 2" xfId="25033"/>
    <cellStyle name="好 3 17 5 2 2" xfId="25034"/>
    <cellStyle name="好 3 17 5 2 2 2" xfId="11711"/>
    <cellStyle name="好 3 17 5 2 2 3" xfId="11718"/>
    <cellStyle name="好 3 17 5 2 3" xfId="19438"/>
    <cellStyle name="好 3 17 5 2 4" xfId="25035"/>
    <cellStyle name="好 3 17 5 2 5" xfId="25039"/>
    <cellStyle name="好 3 17 5 2 6" xfId="25044"/>
    <cellStyle name="好 3 17 5 2 7" xfId="17675"/>
    <cellStyle name="好 3 17 5 2 8" xfId="7762"/>
    <cellStyle name="好 3 17 5 3" xfId="25045"/>
    <cellStyle name="好 3 17 5 4" xfId="25046"/>
    <cellStyle name="好 3 17 5 5" xfId="25047"/>
    <cellStyle name="好 3 17 5 6" xfId="25048"/>
    <cellStyle name="好 3 17 5 6 2" xfId="25050"/>
    <cellStyle name="好 3 17 5 6 3" xfId="25051"/>
    <cellStyle name="好 3 17 5 7" xfId="25052"/>
    <cellStyle name="好 3 17 5 8" xfId="25053"/>
    <cellStyle name="好 3 17 5 9" xfId="25054"/>
    <cellStyle name="好 3 17 6" xfId="25056"/>
    <cellStyle name="好 3 17 6 2" xfId="7309"/>
    <cellStyle name="好 3 17 6 2 2" xfId="25057"/>
    <cellStyle name="好 3 17 6 2 3" xfId="25058"/>
    <cellStyle name="好 3 17 6 3" xfId="7323"/>
    <cellStyle name="好 3 17 6 4" xfId="7333"/>
    <cellStyle name="好 3 17 6 5" xfId="7341"/>
    <cellStyle name="好 3 17 6 6" xfId="7351"/>
    <cellStyle name="好 3 17 6 7" xfId="7358"/>
    <cellStyle name="好 3 17 6 8" xfId="25059"/>
    <cellStyle name="好 3 17 7" xfId="25061"/>
    <cellStyle name="好 3 17 8" xfId="25063"/>
    <cellStyle name="好 3 17 9" xfId="25064"/>
    <cellStyle name="好 3 17 9 2" xfId="19467"/>
    <cellStyle name="好 3 17 9 3" xfId="25067"/>
    <cellStyle name="好 3 18" xfId="19474"/>
    <cellStyle name="好 3 18 10" xfId="25068"/>
    <cellStyle name="好 3 18 11" xfId="19062"/>
    <cellStyle name="好 3 18 12" xfId="11672"/>
    <cellStyle name="好 3 18 13" xfId="11678"/>
    <cellStyle name="好 3 18 14" xfId="19064"/>
    <cellStyle name="好 3 18 2" xfId="25070"/>
    <cellStyle name="好 3 18 3" xfId="25072"/>
    <cellStyle name="好 3 18 4" xfId="25075"/>
    <cellStyle name="好 3 18 5" xfId="25078"/>
    <cellStyle name="好 3 18 5 10" xfId="25079"/>
    <cellStyle name="好 3 18 5 11" xfId="25080"/>
    <cellStyle name="好 3 18 5 2" xfId="11368"/>
    <cellStyle name="好 3 18 5 2 2" xfId="10695"/>
    <cellStyle name="好 3 18 5 2 2 2" xfId="25082"/>
    <cellStyle name="好 3 18 5 2 2 3" xfId="25084"/>
    <cellStyle name="好 3 18 5 2 3" xfId="11705"/>
    <cellStyle name="好 3 18 5 2 4" xfId="11713"/>
    <cellStyle name="好 3 18 5 2 5" xfId="11724"/>
    <cellStyle name="好 3 18 5 2 6" xfId="11728"/>
    <cellStyle name="好 3 18 5 2 7" xfId="25085"/>
    <cellStyle name="好 3 18 5 2 8" xfId="25086"/>
    <cellStyle name="好 3 18 5 3" xfId="7102"/>
    <cellStyle name="好 3 18 5 4" xfId="25087"/>
    <cellStyle name="好 3 18 5 5" xfId="25088"/>
    <cellStyle name="好 3 18 5 6" xfId="25089"/>
    <cellStyle name="好 3 18 5 6 2" xfId="25090"/>
    <cellStyle name="好 3 18 5 6 3" xfId="25092"/>
    <cellStyle name="好 3 18 5 7" xfId="7135"/>
    <cellStyle name="好 3 18 5 8" xfId="11420"/>
    <cellStyle name="好 3 18 5 9" xfId="11745"/>
    <cellStyle name="好 3 18 6" xfId="7543"/>
    <cellStyle name="好 3 18 6 2" xfId="9607"/>
    <cellStyle name="好 3 18 6 2 2" xfId="25095"/>
    <cellStyle name="好 3 18 6 2 3" xfId="25097"/>
    <cellStyle name="好 3 18 6 3" xfId="25099"/>
    <cellStyle name="好 3 18 6 4" xfId="25100"/>
    <cellStyle name="好 3 18 6 5" xfId="25101"/>
    <cellStyle name="好 3 18 6 6" xfId="25102"/>
    <cellStyle name="好 3 18 6 7" xfId="25104"/>
    <cellStyle name="好 3 18 6 8" xfId="25106"/>
    <cellStyle name="好 3 18 7" xfId="11752"/>
    <cellStyle name="好 3 18 8" xfId="11762"/>
    <cellStyle name="好 3 18 9" xfId="11770"/>
    <cellStyle name="好 3 18 9 2" xfId="11773"/>
    <cellStyle name="好 3 18 9 3" xfId="11782"/>
    <cellStyle name="好 3 19" xfId="19477"/>
    <cellStyle name="好 3 19 10" xfId="25107"/>
    <cellStyle name="好 3 19 11" xfId="24574"/>
    <cellStyle name="好 3 19 12" xfId="5646"/>
    <cellStyle name="好 3 19 13" xfId="5652"/>
    <cellStyle name="好 3 19 14" xfId="11227"/>
    <cellStyle name="好 3 19 2" xfId="17580"/>
    <cellStyle name="好 3 19 3" xfId="25108"/>
    <cellStyle name="好 3 19 4" xfId="25110"/>
    <cellStyle name="好 3 19 5" xfId="25112"/>
    <cellStyle name="好 3 19 5 10" xfId="25113"/>
    <cellStyle name="好 3 19 5 11" xfId="25114"/>
    <cellStyle name="好 3 19 5 2" xfId="25116"/>
    <cellStyle name="好 3 19 5 2 2" xfId="24799"/>
    <cellStyle name="好 3 19 5 2 2 2" xfId="254"/>
    <cellStyle name="好 3 19 5 2 2 3" xfId="25119"/>
    <cellStyle name="好 3 19 5 2 3" xfId="24801"/>
    <cellStyle name="好 3 19 5 2 4" xfId="5360"/>
    <cellStyle name="好 3 19 5 2 5" xfId="5398"/>
    <cellStyle name="好 3 19 5 2 6" xfId="5411"/>
    <cellStyle name="好 3 19 5 2 7" xfId="5424"/>
    <cellStyle name="好 3 19 5 2 8" xfId="5438"/>
    <cellStyle name="好 3 19 5 3" xfId="25120"/>
    <cellStyle name="好 3 19 5 4" xfId="25121"/>
    <cellStyle name="好 3 19 5 5" xfId="25123"/>
    <cellStyle name="好 3 19 5 6" xfId="25125"/>
    <cellStyle name="好 3 19 5 6 2" xfId="25126"/>
    <cellStyle name="好 3 19 5 6 3" xfId="25127"/>
    <cellStyle name="好 3 19 5 7" xfId="25128"/>
    <cellStyle name="好 3 19 5 8" xfId="12458"/>
    <cellStyle name="好 3 19 5 9" xfId="12461"/>
    <cellStyle name="好 3 19 6" xfId="16818"/>
    <cellStyle name="好 3 19 6 2" xfId="25129"/>
    <cellStyle name="好 3 19 6 2 2" xfId="15161"/>
    <cellStyle name="好 3 19 6 2 3" xfId="15164"/>
    <cellStyle name="好 3 19 6 3" xfId="25130"/>
    <cellStyle name="好 3 19 6 4" xfId="25132"/>
    <cellStyle name="好 3 19 6 5" xfId="25134"/>
    <cellStyle name="好 3 19 6 6" xfId="25136"/>
    <cellStyle name="好 3 19 6 7" xfId="25138"/>
    <cellStyle name="好 3 19 6 8" xfId="25140"/>
    <cellStyle name="好 3 19 7" xfId="16821"/>
    <cellStyle name="好 3 19 8" xfId="16827"/>
    <cellStyle name="好 3 19 9" xfId="16832"/>
    <cellStyle name="好 3 19 9 2" xfId="16849"/>
    <cellStyle name="好 3 19 9 3" xfId="16853"/>
    <cellStyle name="好 3 2" xfId="25141"/>
    <cellStyle name="好 3 2 10" xfId="1952"/>
    <cellStyle name="好 3 2 11" xfId="1839"/>
    <cellStyle name="好 3 2 12" xfId="23915"/>
    <cellStyle name="好 3 2 13" xfId="25144"/>
    <cellStyle name="好 3 2 14" xfId="25146"/>
    <cellStyle name="好 3 2 2" xfId="13606"/>
    <cellStyle name="好 3 2 3" xfId="13615"/>
    <cellStyle name="好 3 2 4" xfId="25149"/>
    <cellStyle name="好 3 2 5" xfId="5141"/>
    <cellStyle name="好 3 2 6" xfId="17575"/>
    <cellStyle name="好 3 2 7" xfId="25152"/>
    <cellStyle name="好 3 2 8" xfId="25155"/>
    <cellStyle name="好 3 2 9" xfId="25157"/>
    <cellStyle name="好 3 20" xfId="10674"/>
    <cellStyle name="好 3 20 10" xfId="25159"/>
    <cellStyle name="好 3 20 11" xfId="25160"/>
    <cellStyle name="好 3 20 12" xfId="25161"/>
    <cellStyle name="好 3 20 13" xfId="25162"/>
    <cellStyle name="好 3 20 14" xfId="25165"/>
    <cellStyle name="好 3 20 2" xfId="25166"/>
    <cellStyle name="好 3 20 3" xfId="25167"/>
    <cellStyle name="好 3 20 4" xfId="18146"/>
    <cellStyle name="好 3 20 5" xfId="18148"/>
    <cellStyle name="好 3 20 5 10" xfId="20719"/>
    <cellStyle name="好 3 20 5 11" xfId="20721"/>
    <cellStyle name="好 3 20 5 2" xfId="25168"/>
    <cellStyle name="好 3 20 5 2 2" xfId="25169"/>
    <cellStyle name="好 3 20 5 2 2 2" xfId="25170"/>
    <cellStyle name="好 3 20 5 2 2 3" xfId="25172"/>
    <cellStyle name="好 3 20 5 2 3" xfId="25174"/>
    <cellStyle name="好 3 20 5 2 4" xfId="25176"/>
    <cellStyle name="好 3 20 5 2 5" xfId="25178"/>
    <cellStyle name="好 3 20 5 2 6" xfId="25180"/>
    <cellStyle name="好 3 20 5 2 7" xfId="25182"/>
    <cellStyle name="好 3 20 5 2 8" xfId="23442"/>
    <cellStyle name="好 3 20 5 3" xfId="25184"/>
    <cellStyle name="好 3 20 5 4" xfId="25185"/>
    <cellStyle name="好 3 20 5 5" xfId="5703"/>
    <cellStyle name="好 3 20 5 6" xfId="5710"/>
    <cellStyle name="好 3 20 5 6 2" xfId="12468"/>
    <cellStyle name="好 3 20 5 6 3" xfId="12471"/>
    <cellStyle name="好 3 20 5 7" xfId="5722"/>
    <cellStyle name="好 3 20 5 8" xfId="5742"/>
    <cellStyle name="好 3 20 5 9" xfId="5755"/>
    <cellStyle name="好 3 20 6" xfId="25186"/>
    <cellStyle name="好 3 20 6 2" xfId="25187"/>
    <cellStyle name="好 3 20 6 2 2" xfId="25189"/>
    <cellStyle name="好 3 20 6 2 3" xfId="25191"/>
    <cellStyle name="好 3 20 6 3" xfId="25194"/>
    <cellStyle name="好 3 20 6 4" xfId="25197"/>
    <cellStyle name="好 3 20 6 5" xfId="25199"/>
    <cellStyle name="好 3 20 6 6" xfId="25201"/>
    <cellStyle name="好 3 20 6 7" xfId="25202"/>
    <cellStyle name="好 3 20 6 8" xfId="25203"/>
    <cellStyle name="好 3 20 7" xfId="25205"/>
    <cellStyle name="好 3 20 8" xfId="25208"/>
    <cellStyle name="好 3 20 9" xfId="25211"/>
    <cellStyle name="好 3 20 9 2" xfId="25212"/>
    <cellStyle name="好 3 20 9 3" xfId="25215"/>
    <cellStyle name="好 3 3" xfId="25217"/>
    <cellStyle name="好 3 3 10" xfId="2358"/>
    <cellStyle name="好 3 3 11" xfId="25220"/>
    <cellStyle name="好 3 3 12" xfId="25222"/>
    <cellStyle name="好 3 3 13" xfId="25224"/>
    <cellStyle name="好 3 3 14" xfId="25226"/>
    <cellStyle name="好 3 3 2" xfId="12622"/>
    <cellStyle name="好 3 3 3" xfId="12632"/>
    <cellStyle name="好 3 3 4" xfId="13655"/>
    <cellStyle name="好 3 3 5" xfId="25227"/>
    <cellStyle name="好 3 3 6" xfId="25228"/>
    <cellStyle name="好 3 3 7" xfId="19855"/>
    <cellStyle name="好 3 3 8" xfId="19859"/>
    <cellStyle name="好 3 3 9" xfId="19862"/>
    <cellStyle name="好 3 4" xfId="25229"/>
    <cellStyle name="好 3 4 10" xfId="25232"/>
    <cellStyle name="好 3 4 11" xfId="25233"/>
    <cellStyle name="好 3 4 12" xfId="25234"/>
    <cellStyle name="好 3 4 13" xfId="25235"/>
    <cellStyle name="好 3 4 14" xfId="25236"/>
    <cellStyle name="好 3 4 2" xfId="20006"/>
    <cellStyle name="好 3 4 3" xfId="20042"/>
    <cellStyle name="好 3 4 4" xfId="25237"/>
    <cellStyle name="好 3 4 5" xfId="25239"/>
    <cellStyle name="好 3 4 6" xfId="25241"/>
    <cellStyle name="好 3 4 7" xfId="25243"/>
    <cellStyle name="好 3 4 8" xfId="25245"/>
    <cellStyle name="好 3 4 9" xfId="25247"/>
    <cellStyle name="好 3 5" xfId="25248"/>
    <cellStyle name="好 3 6" xfId="25249"/>
    <cellStyle name="好 3 7" xfId="25251"/>
    <cellStyle name="好 3 8" xfId="25253"/>
    <cellStyle name="好 3 9" xfId="25255"/>
    <cellStyle name="好 4" xfId="25256"/>
    <cellStyle name="好 4 10" xfId="25257"/>
    <cellStyle name="好 4 11" xfId="25259"/>
    <cellStyle name="好 4 12" xfId="25260"/>
    <cellStyle name="好 4 13" xfId="25261"/>
    <cellStyle name="好 4 14" xfId="25262"/>
    <cellStyle name="好 4 15" xfId="25263"/>
    <cellStyle name="好 4 16" xfId="25265"/>
    <cellStyle name="好 4 17" xfId="25266"/>
    <cellStyle name="好 4 17 10" xfId="25267"/>
    <cellStyle name="好 4 17 11" xfId="25268"/>
    <cellStyle name="好 4 17 12" xfId="25269"/>
    <cellStyle name="好 4 17 13" xfId="25270"/>
    <cellStyle name="好 4 17 14" xfId="25271"/>
    <cellStyle name="好 4 17 2" xfId="22523"/>
    <cellStyle name="好 4 17 3" xfId="22526"/>
    <cellStyle name="好 4 17 4" xfId="22642"/>
    <cellStyle name="好 4 17 5" xfId="22644"/>
    <cellStyle name="好 4 17 5 10" xfId="25272"/>
    <cellStyle name="好 4 17 5 11" xfId="25273"/>
    <cellStyle name="好 4 17 5 2" xfId="25274"/>
    <cellStyle name="好 4 17 5 2 2" xfId="25275"/>
    <cellStyle name="好 4 17 5 2 2 2" xfId="12483"/>
    <cellStyle name="好 4 17 5 2 2 3" xfId="12487"/>
    <cellStyle name="好 4 17 5 2 3" xfId="22221"/>
    <cellStyle name="好 4 17 5 2 4" xfId="22223"/>
    <cellStyle name="好 4 17 5 2 5" xfId="25276"/>
    <cellStyle name="好 4 17 5 2 6" xfId="25277"/>
    <cellStyle name="好 4 17 5 2 7" xfId="25278"/>
    <cellStyle name="好 4 17 5 2 8" xfId="10768"/>
    <cellStyle name="好 4 17 5 3" xfId="25279"/>
    <cellStyle name="好 4 17 5 4" xfId="25280"/>
    <cellStyle name="好 4 17 5 5" xfId="25281"/>
    <cellStyle name="好 4 17 5 6" xfId="25282"/>
    <cellStyle name="好 4 17 5 6 2" xfId="25283"/>
    <cellStyle name="好 4 17 5 6 3" xfId="25284"/>
    <cellStyle name="好 4 17 5 7" xfId="25285"/>
    <cellStyle name="好 4 17 5 8" xfId="25286"/>
    <cellStyle name="好 4 17 5 9" xfId="25288"/>
    <cellStyle name="好 4 17 6" xfId="22646"/>
    <cellStyle name="好 4 17 6 2" xfId="4324"/>
    <cellStyle name="好 4 17 6 2 2" xfId="25289"/>
    <cellStyle name="好 4 17 6 2 3" xfId="25290"/>
    <cellStyle name="好 4 17 6 3" xfId="4333"/>
    <cellStyle name="好 4 17 6 4" xfId="483"/>
    <cellStyle name="好 4 17 6 5" xfId="4341"/>
    <cellStyle name="好 4 17 6 6" xfId="9961"/>
    <cellStyle name="好 4 17 6 7" xfId="10366"/>
    <cellStyle name="好 4 17 6 8" xfId="25291"/>
    <cellStyle name="好 4 17 7" xfId="25292"/>
    <cellStyle name="好 4 17 8" xfId="25294"/>
    <cellStyle name="好 4 17 9" xfId="19244"/>
    <cellStyle name="好 4 17 9 2" xfId="10954"/>
    <cellStyle name="好 4 17 9 3" xfId="19245"/>
    <cellStyle name="好 4 18" xfId="25295"/>
    <cellStyle name="好 4 18 10" xfId="511"/>
    <cellStyle name="好 4 18 11" xfId="552"/>
    <cellStyle name="好 4 18 12" xfId="1224"/>
    <cellStyle name="好 4 18 13" xfId="1235"/>
    <cellStyle name="好 4 18 14" xfId="7771"/>
    <cellStyle name="好 4 18 2" xfId="25297"/>
    <cellStyle name="好 4 18 3" xfId="25299"/>
    <cellStyle name="好 4 18 4" xfId="25301"/>
    <cellStyle name="好 4 18 5" xfId="25303"/>
    <cellStyle name="好 4 18 5 10" xfId="7873"/>
    <cellStyle name="好 4 18 5 11" xfId="7880"/>
    <cellStyle name="好 4 18 5 2" xfId="25304"/>
    <cellStyle name="好 4 18 5 2 2" xfId="8044"/>
    <cellStyle name="好 4 18 5 2 2 2" xfId="18569"/>
    <cellStyle name="好 4 18 5 2 2 3" xfId="18573"/>
    <cellStyle name="好 4 18 5 2 3" xfId="8055"/>
    <cellStyle name="好 4 18 5 2 4" xfId="9882"/>
    <cellStyle name="好 4 18 5 2 5" xfId="8777"/>
    <cellStyle name="好 4 18 5 2 6" xfId="8786"/>
    <cellStyle name="好 4 18 5 2 7" xfId="25307"/>
    <cellStyle name="好 4 18 5 2 8" xfId="25308"/>
    <cellStyle name="好 4 18 5 3" xfId="25309"/>
    <cellStyle name="好 4 18 5 4" xfId="24597"/>
    <cellStyle name="好 4 18 5 5" xfId="25311"/>
    <cellStyle name="好 4 18 5 6" xfId="25313"/>
    <cellStyle name="好 4 18 5 6 2" xfId="17431"/>
    <cellStyle name="好 4 18 5 6 3" xfId="17435"/>
    <cellStyle name="好 4 18 5 7" xfId="25315"/>
    <cellStyle name="好 4 18 5 8" xfId="25317"/>
    <cellStyle name="好 4 18 5 9" xfId="25319"/>
    <cellStyle name="好 4 18 6" xfId="357"/>
    <cellStyle name="好 4 18 6 2" xfId="25320"/>
    <cellStyle name="好 4 18 6 2 2" xfId="25323"/>
    <cellStyle name="好 4 18 6 2 3" xfId="25326"/>
    <cellStyle name="好 4 18 6 3" xfId="25327"/>
    <cellStyle name="好 4 18 6 4" xfId="25329"/>
    <cellStyle name="好 4 18 6 5" xfId="25331"/>
    <cellStyle name="好 4 18 6 6" xfId="24682"/>
    <cellStyle name="好 4 18 6 7" xfId="24685"/>
    <cellStyle name="好 4 18 6 8" xfId="24688"/>
    <cellStyle name="好 4 18 7" xfId="13341"/>
    <cellStyle name="好 4 18 8" xfId="9208"/>
    <cellStyle name="好 4 18 9" xfId="9216"/>
    <cellStyle name="好 4 18 9 2" xfId="13347"/>
    <cellStyle name="好 4 18 9 3" xfId="13352"/>
    <cellStyle name="好 4 19" xfId="25333"/>
    <cellStyle name="好 4 19 10" xfId="25337"/>
    <cellStyle name="好 4 19 11" xfId="25339"/>
    <cellStyle name="好 4 19 12" xfId="25340"/>
    <cellStyle name="好 4 19 13" xfId="22350"/>
    <cellStyle name="好 4 19 14" xfId="24483"/>
    <cellStyle name="好 4 19 2" xfId="25341"/>
    <cellStyle name="好 4 19 3" xfId="25344"/>
    <cellStyle name="好 4 19 4" xfId="25345"/>
    <cellStyle name="好 4 19 5" xfId="25346"/>
    <cellStyle name="好 4 19 5 10" xfId="19084"/>
    <cellStyle name="好 4 19 5 11" xfId="19086"/>
    <cellStyle name="好 4 19 5 2" xfId="25347"/>
    <cellStyle name="好 4 19 5 2 2" xfId="25350"/>
    <cellStyle name="好 4 19 5 2 2 2" xfId="6559"/>
    <cellStyle name="好 4 19 5 2 2 3" xfId="19638"/>
    <cellStyle name="好 4 19 5 2 3" xfId="25351"/>
    <cellStyle name="好 4 19 5 2 4" xfId="876"/>
    <cellStyle name="好 4 19 5 2 5" xfId="889"/>
    <cellStyle name="好 4 19 5 2 6" xfId="25353"/>
    <cellStyle name="好 4 19 5 2 7" xfId="25355"/>
    <cellStyle name="好 4 19 5 2 8" xfId="25357"/>
    <cellStyle name="好 4 19 5 3" xfId="25359"/>
    <cellStyle name="好 4 19 5 4" xfId="25362"/>
    <cellStyle name="好 4 19 5 5" xfId="25365"/>
    <cellStyle name="好 4 19 5 6" xfId="25368"/>
    <cellStyle name="好 4 19 5 6 2" xfId="25371"/>
    <cellStyle name="好 4 19 5 6 3" xfId="25372"/>
    <cellStyle name="好 4 19 5 7" xfId="25373"/>
    <cellStyle name="好 4 19 5 8" xfId="25376"/>
    <cellStyle name="好 4 19 5 9" xfId="25378"/>
    <cellStyle name="好 4 19 6" xfId="17062"/>
    <cellStyle name="好 4 19 6 2" xfId="25379"/>
    <cellStyle name="好 4 19 6 2 2" xfId="25382"/>
    <cellStyle name="好 4 19 6 2 3" xfId="25384"/>
    <cellStyle name="好 4 19 6 3" xfId="25385"/>
    <cellStyle name="好 4 19 6 4" xfId="25388"/>
    <cellStyle name="好 4 19 6 5" xfId="25391"/>
    <cellStyle name="好 4 19 6 6" xfId="25394"/>
    <cellStyle name="好 4 19 6 7" xfId="25397"/>
    <cellStyle name="好 4 19 6 8" xfId="25400"/>
    <cellStyle name="好 4 19 7" xfId="17064"/>
    <cellStyle name="好 4 19 8" xfId="17069"/>
    <cellStyle name="好 4 19 9" xfId="17074"/>
    <cellStyle name="好 4 19 9 2" xfId="14932"/>
    <cellStyle name="好 4 19 9 3" xfId="17086"/>
    <cellStyle name="好 4 2" xfId="25402"/>
    <cellStyle name="好 4 20" xfId="25264"/>
    <cellStyle name="好 4 20 10" xfId="25404"/>
    <cellStyle name="好 4 20 11" xfId="25407"/>
    <cellStyle name="好 4 20 12" xfId="25409"/>
    <cellStyle name="好 4 20 13" xfId="25411"/>
    <cellStyle name="好 4 20 14" xfId="25413"/>
    <cellStyle name="好 4 20 2" xfId="25414"/>
    <cellStyle name="好 4 20 3" xfId="25415"/>
    <cellStyle name="好 4 20 4" xfId="25416"/>
    <cellStyle name="好 4 20 5" xfId="25417"/>
    <cellStyle name="好 4 20 5 10" xfId="25418"/>
    <cellStyle name="好 4 20 5 11" xfId="25420"/>
    <cellStyle name="好 4 20 5 2" xfId="25423"/>
    <cellStyle name="好 4 20 5 2 2" xfId="25425"/>
    <cellStyle name="好 4 20 5 2 2 2" xfId="15826"/>
    <cellStyle name="好 4 20 5 2 2 3" xfId="15831"/>
    <cellStyle name="好 4 20 5 2 3" xfId="25427"/>
    <cellStyle name="好 4 20 5 2 4" xfId="25430"/>
    <cellStyle name="好 4 20 5 2 5" xfId="25433"/>
    <cellStyle name="好 4 20 5 2 6" xfId="25436"/>
    <cellStyle name="好 4 20 5 2 7" xfId="25439"/>
    <cellStyle name="好 4 20 5 2 8" xfId="2124"/>
    <cellStyle name="好 4 20 5 3" xfId="25441"/>
    <cellStyle name="好 4 20 5 4" xfId="25442"/>
    <cellStyle name="好 4 20 5 5" xfId="25443"/>
    <cellStyle name="好 4 20 5 6" xfId="25444"/>
    <cellStyle name="好 4 20 5 6 2" xfId="12984"/>
    <cellStyle name="好 4 20 5 6 3" xfId="12989"/>
    <cellStyle name="好 4 20 5 7" xfId="25445"/>
    <cellStyle name="好 4 20 5 8" xfId="25446"/>
    <cellStyle name="好 4 20 5 9" xfId="25447"/>
    <cellStyle name="好 4 20 6" xfId="25448"/>
    <cellStyle name="好 4 20 6 2" xfId="2539"/>
    <cellStyle name="好 4 20 6 2 2" xfId="13199"/>
    <cellStyle name="好 4 20 6 2 3" xfId="13203"/>
    <cellStyle name="好 4 20 6 3" xfId="2550"/>
    <cellStyle name="好 4 20 6 4" xfId="2407"/>
    <cellStyle name="好 4 20 6 5" xfId="2421"/>
    <cellStyle name="好 4 20 6 6" xfId="2589"/>
    <cellStyle name="好 4 20 6 7" xfId="2594"/>
    <cellStyle name="好 4 20 6 8" xfId="2607"/>
    <cellStyle name="好 4 20 7" xfId="25449"/>
    <cellStyle name="好 4 20 8" xfId="9188"/>
    <cellStyle name="好 4 20 9" xfId="6223"/>
    <cellStyle name="好 4 20 9 2" xfId="25452"/>
    <cellStyle name="好 4 20 9 3" xfId="25454"/>
    <cellStyle name="好 4 3" xfId="25456"/>
    <cellStyle name="好 4 4" xfId="25457"/>
    <cellStyle name="好 4 5" xfId="25458"/>
    <cellStyle name="好 4 6" xfId="25459"/>
    <cellStyle name="好 4 7" xfId="25462"/>
    <cellStyle name="好 4 8" xfId="25464"/>
    <cellStyle name="好 4 9" xfId="25465"/>
    <cellStyle name="好 5" xfId="25466"/>
    <cellStyle name="好 5 10" xfId="25468"/>
    <cellStyle name="好 5 11" xfId="25469"/>
    <cellStyle name="好 5 12" xfId="25471"/>
    <cellStyle name="好 5 13" xfId="25473"/>
    <cellStyle name="好 5 14" xfId="457"/>
    <cellStyle name="好 5 2" xfId="25475"/>
    <cellStyle name="好 5 3" xfId="25476"/>
    <cellStyle name="好 5 4" xfId="25477"/>
    <cellStyle name="好 5 5" xfId="25478"/>
    <cellStyle name="好 5 6" xfId="25479"/>
    <cellStyle name="好 5 7" xfId="25480"/>
    <cellStyle name="好 5 8" xfId="25481"/>
    <cellStyle name="好 5 9" xfId="24161"/>
    <cellStyle name="好 6" xfId="25482"/>
    <cellStyle name="好 6 10" xfId="25485"/>
    <cellStyle name="好 6 11" xfId="25487"/>
    <cellStyle name="好 6 12" xfId="25489"/>
    <cellStyle name="好 6 13" xfId="25491"/>
    <cellStyle name="好 6 14" xfId="25493"/>
    <cellStyle name="好 6 2" xfId="25494"/>
    <cellStyle name="好 6 3" xfId="25495"/>
    <cellStyle name="好 6 4" xfId="25496"/>
    <cellStyle name="好 6 5" xfId="25497"/>
    <cellStyle name="好 6 6" xfId="22217"/>
    <cellStyle name="好 6 7" xfId="22227"/>
    <cellStyle name="好 6 8" xfId="22231"/>
    <cellStyle name="好 6 9" xfId="22232"/>
    <cellStyle name="好 7" xfId="25498"/>
    <cellStyle name="好 8" xfId="25500"/>
    <cellStyle name="好 9" xfId="25502"/>
    <cellStyle name="好_PAV 11 月份 包装明细1" xfId="21447"/>
    <cellStyle name="好_PAV 11 月份 包装明细1_00" xfId="25505"/>
    <cellStyle name="好_PAV 11 月份 包装明细1_00_TFR2014年3月包裝明細" xfId="25506"/>
    <cellStyle name="好_PAV 11 月份 包装明细1_00_TFR2014年4月包裝明細" xfId="25507"/>
    <cellStyle name="好_PAV 11 月份 包装明细1_1" xfId="7324"/>
    <cellStyle name="好_PAV 11 月份 包装明细1_1_TFR2014年1月包裝明細" xfId="22619"/>
    <cellStyle name="好_PAV 11 月份 包装明细1_1_TFR2014年1月包裝明細_TFR2014年3月包裝明細" xfId="25508"/>
    <cellStyle name="好_PAV 11 月份 包装明细1_1_TFR2014年1月包裝明細_TFR2014年4月包裝明細" xfId="25509"/>
    <cellStyle name="好_PAV 11 月份 包装明细1_1_TFR2014年3月包裝明細" xfId="21572"/>
    <cellStyle name="好_PAV 11 月份 包装明细1_1_TFR2014年4月包裝明細" xfId="25510"/>
    <cellStyle name="好_PAV 11 月份 包装明细1_1123" xfId="25511"/>
    <cellStyle name="好_PAV 11 月份 包装明细1_1136" xfId="25512"/>
    <cellStyle name="好_PAV 11 月份 包装明细1_143" xfId="25514"/>
    <cellStyle name="好_PAV 11 月份 包装明细1_4.15" xfId="22157"/>
    <cellStyle name="好_PAV 11 月份 包装明细1_456" xfId="10574"/>
    <cellStyle name="好_PAV 11 月份 包装明细1_789" xfId="25516"/>
    <cellStyle name="好_PAV 11 月份 包装明细1_DEI 包装明细 10.21" xfId="25518"/>
    <cellStyle name="好_PAV 11 月份 包装明细1_DEI 包装明细 10.21_TFR2014年1月包裝明細" xfId="25519"/>
    <cellStyle name="好_PAV 11 月份 包装明细1_DEI 包装明细 10.21_TFR2014年1月包裝明細_TFR2014年3月包裝明細" xfId="25522"/>
    <cellStyle name="好_PAV 11 月份 包装明细1_DEI 包装明细 10.21_TFR2014年1月包裝明細_TFR2014年4月包裝明細" xfId="25524"/>
    <cellStyle name="好_PAV 11 月份 包装明细1_DEI 包装明细 10.21_TFR2014年3月包裝明細" xfId="19671"/>
    <cellStyle name="好_PAV 11 月份 包装明细1_DEI 包装明细 10.21_TFR2014年4月包裝明細" xfId="9631"/>
    <cellStyle name="好_PAV 11 月份 包装明细1_DEI 包装明细 11.1" xfId="25526"/>
    <cellStyle name="好_PAV 11 月份 包装明细1_DEI 包装明细 11.1_TFR2014年1月包裝明細" xfId="25528"/>
    <cellStyle name="好_PAV 11 月份 包装明细1_DEI 包装明细 11.1_TFR2014年1月包裝明細_TFR2014年3月包裝明細" xfId="224"/>
    <cellStyle name="好_PAV 11 月份 包装明细1_DEI 包装明细 11.1_TFR2014年1月包裝明細_TFR2014年4月包裝明細" xfId="10778"/>
    <cellStyle name="好_PAV 11 月份 包装明细1_DEI 包装明细 11.1_TFR2014年3月包裝明細" xfId="5670"/>
    <cellStyle name="好_PAV 11 月份 包装明细1_DEI 包装明细 11.1_TFR2014年4月包裝明細" xfId="8705"/>
    <cellStyle name="好_PAV 11 月份 包装明细1_EF 包装明细12.13" xfId="25531"/>
    <cellStyle name="好_PAV 11 月份 包装明细1_EF 包装明细12.13_TFR2014年1月包裝明細" xfId="2576"/>
    <cellStyle name="好_PAV 11 月份 包装明细1_EF 包装明细12.13_TFR2014年1月包裝明細_TFR2014年3月包裝明細" xfId="25533"/>
    <cellStyle name="好_PAV 11 月份 包装明细1_EF 包装明细12.13_TFR2014年1月包裝明細_TFR2014年4月包裝明細" xfId="25534"/>
    <cellStyle name="好_PAV 11 月份 包装明细1_EF 包装明细12.13_TFR2014年3月包裝明細" xfId="25535"/>
    <cellStyle name="好_PAV 11 月份 包装明细1_EF 包装明细12.13_TFR2014年4月包裝明細" xfId="13946"/>
    <cellStyle name="好_PAV 11 月份 包装明细1_PAV 包装明细" xfId="25536"/>
    <cellStyle name="好_PAV 11 月份 包装明细1_PAV 包装明细 1.13" xfId="25537"/>
    <cellStyle name="好_PAV 11 月份 包装明细1_PAV 包装明细 1.13_TFR2014年3月包裝明細" xfId="25538"/>
    <cellStyle name="好_PAV 11 月份 包装明细1_PAV 包装明细 1.13_TFR2014年4月包裝明細" xfId="25539"/>
    <cellStyle name="好_PAV 11 月份 包装明细1_PAV 包装明细_TFR2014年3月包裝明細" xfId="17861"/>
    <cellStyle name="好_PAV 11 月份 包装明细1_PAV 包装明细_TFR2014年4月包裝明細" xfId="25541"/>
    <cellStyle name="好_PAV 11 月份 包装明细1_PAV.2014年3月包裝明細" xfId="22311"/>
    <cellStyle name="好_PAV 11 月份 包装明细1_PAV.2014年3月包裝明細_1" xfId="25542"/>
    <cellStyle name="好_PAV 11 月份 包装明细1_PAV.2014年3月包裝明細_1_TFR2014年3月包裝明細" xfId="8056"/>
    <cellStyle name="好_PAV 11 月份 包装明细1_PAV.2014年3月包裝明細_1_TFR2014年4月包裝明細" xfId="9844"/>
    <cellStyle name="好_PAV 11 月份 包装明细1_PAV.2014年3月包裝明細_TFR2014年3月包裝明細" xfId="12854"/>
    <cellStyle name="好_PAV 11 月份 包装明细1_PAV.2014年3月包裝明細_TFR2014年4月包裝明細" xfId="11576"/>
    <cellStyle name="好_PAV 11 月份 包装明细1_PL" xfId="20598"/>
    <cellStyle name="好_PAV 11 月份 包装明细1_PL_TFR2014年3月包裝明細" xfId="25543"/>
    <cellStyle name="好_PAV 11 月份 包装明细1_PL_TFR2014年4月包裝明細" xfId="25546"/>
    <cellStyle name="好_PAV 11 月份 包装明细1_SEB 591 包装明细 9.5" xfId="25547"/>
    <cellStyle name="好_PAV 11 月份 包装明细1_SEB 591 包装明细 9.5_TFR2014年1月包裝明細" xfId="2676"/>
    <cellStyle name="好_PAV 11 月份 包装明细1_SEB 591 包装明细 9.5_TFR2014年1月包裝明細_TFR2014年3月包裝明細" xfId="25548"/>
    <cellStyle name="好_PAV 11 月份 包装明细1_SEB 591 包装明细 9.5_TFR2014年1月包裝明細_TFR2014年4月包裝明細" xfId="25549"/>
    <cellStyle name="好_PAV 11 月份 包装明细1_SEB 591 包装明细 9.5_TFR2014年3月包裝明細" xfId="25550"/>
    <cellStyle name="好_PAV 11 月份 包装明细1_SEB 591 包装明细 9.5_TFR2014年4月包裝明細" xfId="25551"/>
    <cellStyle name="好_PAV 11 月份 包装明细1_SEB 包装明细1.9" xfId="25515"/>
    <cellStyle name="好_PAV 11 月份 包装明细1_SEB 包装明细1.9_TFR2014年3月包裝明細" xfId="25552"/>
    <cellStyle name="好_PAV 11 月份 包装明细1_SEB 包装明细1.9_TFR2014年4月包裝明細" xfId="18991"/>
    <cellStyle name="好_PAV 11 月份 包装明细1_SEB 包装明细12.31" xfId="18801"/>
    <cellStyle name="好_PAV 11 月份 包装明细1_SEB 包装明细12.31_TFR2014年3月包裝明細" xfId="25553"/>
    <cellStyle name="好_PAV 11 月份 包装明细1_SEB 包装明细12.31_TFR2014年4月包裝明細" xfId="25555"/>
    <cellStyle name="好_PAV 11 月份 包装明细1_SEB 包装明细2.13 revised" xfId="25556"/>
    <cellStyle name="好_PAV 11 月份 包装明细1_SEB 包装明细2.13 revised_TFR2014年3月包裝明細" xfId="25559"/>
    <cellStyle name="好_PAV 11 月份 包装明细1_SEB 包装明细2.13 revised_TFR2014年4月包裝明細" xfId="24988"/>
    <cellStyle name="好_PAV 11 月份 包装明细1_TFR" xfId="17323"/>
    <cellStyle name="好_PAV 11 月份 包装明细1_TFR 包装明细 5.13" xfId="25560"/>
    <cellStyle name="好_PAV 11 月份 包装明细1_TFR(SEB ASIA) 包装明细3-25" xfId="25561"/>
    <cellStyle name="好_PAV 11 月份 包装明细1_TFR(SEB ASIA) 包装明细4.29" xfId="25562"/>
    <cellStyle name="好_PAV 11 月份 包装明细1_TFR_TFR2014年3月包裝明細" xfId="5284"/>
    <cellStyle name="好_PAV 11 月份 包装明细1_TFR_TFR2014年4月包裝明細" xfId="14881"/>
    <cellStyle name="好_PAV 11 月份 包装明细1_TFR2014年1月包裝明細" xfId="25563"/>
    <cellStyle name="好_PAV 11 月份 包装明细1_TFR2014年1月包裝明細_1" xfId="25564"/>
    <cellStyle name="好_PAV 11 月份 包装明细1_TFR2014年1月包裝明細_1123" xfId="16744"/>
    <cellStyle name="好_PAV 11 月份 包装明细1_TFR2014年1月包裝明細_1136" xfId="25565"/>
    <cellStyle name="好_PAV 11 月份 包装明细1_TFR2014年1月包裝明細_143" xfId="25567"/>
    <cellStyle name="好_PAV 11 月份 包装明细1_TFR2014年1月包裝明細_4.15" xfId="5039"/>
    <cellStyle name="好_PAV 11 月份 包装明细1_TFR2014年1月包裝明細_PL" xfId="21978"/>
    <cellStyle name="好_PAV 11 月份 包装明细1_TFR2014年1月包裝明細_PL_TFR2014年3月包裝明細" xfId="25570"/>
    <cellStyle name="好_PAV 11 月份 包装明细1_TFR2014年1月包裝明細_PL_TFR2014年4月包裝明細" xfId="25571"/>
    <cellStyle name="好_PAV 11 月份 包装明细1_TFR2014年1月包裝明細_TFR" xfId="24625"/>
    <cellStyle name="好_PAV 11 月份 包装明细1_TFR2014年1月包裝明細_TFR 包装明细 5.13" xfId="3729"/>
    <cellStyle name="好_PAV 11 月份 包装明细1_TFR2014年1月包裝明細_TFR(SEB ASIA) 包装明细3-25" xfId="11362"/>
    <cellStyle name="好_PAV 11 月份 包装明细1_TFR2014年1月包裝明細_TFR(SEB ASIA) 包装明细4.29" xfId="25572"/>
    <cellStyle name="好_PAV 11 月份 包装明细1_TFR2014年1月包裝明細_TFR_TFR2014年3月包裝明細" xfId="25574"/>
    <cellStyle name="好_PAV 11 月份 包装明细1_TFR2014年1月包裝明細_TFR_TFR2014年4月包裝明細" xfId="25575"/>
    <cellStyle name="好_PAV 11 月份 包装明细1_TFR2014年1月包裝明細_TFR2014年3月包裝明細" xfId="9799"/>
    <cellStyle name="好_PAV 11 月份 包装明细1_TFR2014年1月包裝明細_TFR2014年3月包裝明細_1" xfId="25577"/>
    <cellStyle name="好_PAV 11 月份 包装明细1_TFR2014年1月包裝明細_TFR2014年3月包裝明細_1_TFR2014年3月包裝明細" xfId="25578"/>
    <cellStyle name="好_PAV 11 月份 包装明细1_TFR2014年1月包裝明細_TFR2014年3月包裝明細_1_TFR2014年4月包裝明細" xfId="25579"/>
    <cellStyle name="好_PAV 11 月份 包装明细1_TFR2014年1月包裝明細_TFR2014年3月包裝明細_2" xfId="25581"/>
    <cellStyle name="好_PAV 11 月份 包装明细1_TFR2014年1月包裝明細_TFR2014年3月包裝明細_3" xfId="25582"/>
    <cellStyle name="好_PAV 11 月份 包装明细1_TFR2014年1月包裝明細_TFR2014年3月包裝明細_4" xfId="25583"/>
    <cellStyle name="好_PAV 11 月份 包装明细1_TFR2014年1月包裝明細_TFR2014年3月包裝明細_TFR2014年3月包裝明細" xfId="8276"/>
    <cellStyle name="好_PAV 11 月份 包装明细1_TFR2014年1月包裝明細_TFR2014年3月包裝明細_TFR2014年4月包裝明細" xfId="25585"/>
    <cellStyle name="好_PAV 11 月份 包装明细1_TFR2014年1月包裝明細_TFR2014年4月包裝明細" xfId="14271"/>
    <cellStyle name="好_PAV 11 月份 包装明细1_TFR2014年1月包裝明細_包装明细" xfId="25586"/>
    <cellStyle name="好_PAV 11 月份 包装明细1_TFR2014年3月包裝明細" xfId="25590"/>
    <cellStyle name="好_PAV 11 月份 包装明细1_TFR2014年3月包裝明細_1" xfId="25595"/>
    <cellStyle name="好_PAV 11 月份 包装明细1_TFR2014年3月包裝明細_1_TFR2014年3月包裝明細" xfId="25596"/>
    <cellStyle name="好_PAV 11 月份 包装明细1_TFR2014年3月包裝明細_1_TFR2014年4月包裝明細" xfId="7043"/>
    <cellStyle name="好_PAV 11 月份 包装明细1_TFR2014年3月包裝明細_2" xfId="25599"/>
    <cellStyle name="好_PAV 11 月份 包装明细1_TFR2014年3月包裝明細_3" xfId="25602"/>
    <cellStyle name="好_PAV 11 月份 包装明细1_TFR2014年3月包裝明細_4" xfId="24189"/>
    <cellStyle name="好_PAV 11 月份 包装明细1_TFR2014年3月包裝明細_TFR2014年3月包裝明細" xfId="25603"/>
    <cellStyle name="好_PAV 11 月份 包装明细1_TFR2014年3月包裝明細_TFR2014年4月包裝明細" xfId="25604"/>
    <cellStyle name="好_PAV 11 月份 包装明细1_TFR2014年4月包裝明細" xfId="25605"/>
    <cellStyle name="好_PAV 11 月份 包装明细1_TLF 包装明细 7.15" xfId="25606"/>
    <cellStyle name="好_PAV 11 月份 包装明细1_TLF 包装明细 7.15_TFR2014年1月包裝明細" xfId="13910"/>
    <cellStyle name="好_PAV 11 月份 包装明细1_TLF 包装明细 7.15_TFR2014年1月包裝明細_TFR2014年3月包裝明細" xfId="25608"/>
    <cellStyle name="好_PAV 11 月份 包装明细1_TLF 包装明细 7.15_TFR2014年1月包裝明細_TFR2014年4月包裝明細" xfId="25609"/>
    <cellStyle name="好_PAV 11 月份 包装明细1_TLF 包装明细 7.15_TFR2014年3月包裝明細" xfId="25611"/>
    <cellStyle name="好_PAV 11 月份 包装明细1_TLF 包装明细 7.15_TFR2014年4月包裝明細" xfId="25612"/>
    <cellStyle name="好_PAV 11 月份 包装明细1_TLF 包装明细1.7" xfId="25613"/>
    <cellStyle name="好_PAV 11 月份 包装明细1_TLF 包装明细1.7_TFR2014年3月包裝明細" xfId="25091"/>
    <cellStyle name="好_PAV 11 月份 包装明细1_TLF 包装明细1.7_TFR2014年4月包裝明細" xfId="25615"/>
    <cellStyle name="好_PAV 11 月份 包装明细1_包装明细" xfId="25616"/>
    <cellStyle name="好_PAV 4月份 包装明细" xfId="20931"/>
    <cellStyle name="好_PAV 4月份 包装明细_3-20 PAV packing list" xfId="5145"/>
    <cellStyle name="好_PAV 4月份 包装明细_3-20 PAV packing list_PAV.2014年3月包裝明細" xfId="22280"/>
    <cellStyle name="好_PAV 4月份 包装明细_3-20 PAV packing list_PAV.2014年3月包裝明細_TFR2014年3月包裝明細" xfId="25617"/>
    <cellStyle name="好_PAV 4月份 包装明细_3-20 PAV packing list_PAV.2014年3月包裝明細_TFR2014年4月包裝明細" xfId="25619"/>
    <cellStyle name="好_PAV 4月份 包装明细_3-20 PAV packing list_TFR2014年1月包裝明細" xfId="25620"/>
    <cellStyle name="好_PAV 4月份 包装明细_3-20 PAV packing list_TFR2014年1月包裝明細_TFR2014年3月包裝明細" xfId="25621"/>
    <cellStyle name="好_PAV 4月份 包装明细_3-20 PAV packing list_TFR2014年1月包裝明細_TFR2014年4月包裝明細" xfId="25623"/>
    <cellStyle name="好_PAV 4月份 包装明细_3-20 PAV packing list_TFR2014年3月包裝明細" xfId="17544"/>
    <cellStyle name="好_PAV 4月份 包装明细_3-20 PAV packing list_TFR2014年3月包裝明細_1" xfId="25625"/>
    <cellStyle name="好_PAV 4月份 包装明细_3-20 PAV packing list_TFR2014年3月包裝明細_TFR2014年3月包裝明細" xfId="13027"/>
    <cellStyle name="好_PAV 4月份 包装明细_3-20 PAV packing list_TFR2014年3月包裝明細_TFR2014年4月包裝明細" xfId="24083"/>
    <cellStyle name="好_PAV 4月份 包装明细_3-20 PAV packing list_TFR2014年4月包裝明細" xfId="11720"/>
    <cellStyle name="好_PAV 4月份 包装明细_3-20 PAV packing list_涂布2014年3月包装明细" xfId="25626"/>
    <cellStyle name="好_PAV 4月份 包装明细_3-20 PAV packing list_涂布2014年3月包装明细_1" xfId="4715"/>
    <cellStyle name="好_PAV 4月份 包装明细_3-20 PAV packing list_涂布2014年3月包装明细_TFR2014年3月包裝明細" xfId="14912"/>
    <cellStyle name="好_PAV 4月份 包装明细_3-20 PAV packing list_涂布2014年3月包装明细_TFR2014年4月包裝明細" xfId="11500"/>
    <cellStyle name="好_PAV 4月份 包装明细_JB 包装明细 12.23" xfId="25628"/>
    <cellStyle name="好_PAV 4月份 包装明细_JB 包装明细 12.23_TFR2014年3月包裝明細" xfId="25629"/>
    <cellStyle name="好_PAV 4月份 包装明细_JB 包装明细 12.23_TFR2014年4月包裝明細" xfId="5745"/>
    <cellStyle name="好_PAV 4月份 包装明细_JB 包装明细 12.23_涂布2014年3月包装明细" xfId="25630"/>
    <cellStyle name="好_PAV 4月份 包装明细_JB 包装明细 12.23_涂布2014年3月包装明细_1" xfId="25633"/>
    <cellStyle name="好_PAV 4月份 包装明细_JB 包装明细 12.23_涂布2014年3月包装明细_TFR2014年3月包裝明細" xfId="23418"/>
    <cellStyle name="好_PAV 4月份 包装明细_JB 包装明细 12.23_涂布2014年3月包装明细_TFR2014年4月包裝明細" xfId="25634"/>
    <cellStyle name="好_PAV 4月份 包装明细_JB 包装明细2.14" xfId="17005"/>
    <cellStyle name="好_PAV 4月份 包装明细_JB 包装明细2.14_TFR2014年3月包裝明細" xfId="11723"/>
    <cellStyle name="好_PAV 4月份 包装明细_JB 包装明细2.14_TFR2014年4月包裝明細" xfId="25635"/>
    <cellStyle name="好_PAV 4月份 包装明细_JB 包装明细2.14_涂布2014年3月包装明细" xfId="8922"/>
    <cellStyle name="好_PAV 4月份 包装明细_LCH 2012年1月包裝明細" xfId="25636"/>
    <cellStyle name="好_PAV 4月份 包装明细_LCH 2012年1月包裝明細_1" xfId="25637"/>
    <cellStyle name="好_PAV 4月份 包装明细_LCH 2012年1月包裝明細_1123" xfId="25639"/>
    <cellStyle name="好_PAV 4月份 包装明细_LCH 2012年1月包裝明細_1136" xfId="6495"/>
    <cellStyle name="好_PAV 4月份 包装明细_LCH 2012年1月包裝明細_143" xfId="25640"/>
    <cellStyle name="好_PAV 4月份 包装明细_LCH 2012年1月包裝明細_4.15" xfId="25641"/>
    <cellStyle name="好_PAV 4月份 包装明细_LCH 2012年1月包裝明細_PL" xfId="25642"/>
    <cellStyle name="好_PAV 4月份 包装明细_LCH 2012年1月包裝明細_PL_TFR2014年3月包裝明細" xfId="25643"/>
    <cellStyle name="好_PAV 4月份 包装明细_LCH 2012年1月包裝明細_PL_TFR2014年4月包裝明細" xfId="7821"/>
    <cellStyle name="好_PAV 4月份 包装明细_LCH 2012年1月包裝明細_TFR" xfId="25647"/>
    <cellStyle name="好_PAV 4月份 包装明细_LCH 2012年1月包裝明細_TFR 包装明细 5.13" xfId="7121"/>
    <cellStyle name="好_PAV 4月份 包装明细_LCH 2012年1月包裝明細_TFR(SEB ASIA) 包装明细3-25" xfId="25648"/>
    <cellStyle name="好_PAV 4月份 包装明细_LCH 2012年1月包裝明細_TFR(SEB ASIA) 包装明细4.29" xfId="21870"/>
    <cellStyle name="好_PAV 4月份 包装明细_LCH 2012年1月包裝明細_TFR_TFR2014年3月包裝明細" xfId="25650"/>
    <cellStyle name="好_PAV 4月份 包装明细_LCH 2012年1月包裝明細_TFR_TFR2014年4月包裝明細" xfId="25651"/>
    <cellStyle name="好_PAV 4月份 包装明细_LCH 2012年1月包裝明細_TFR2014年1月包裝明細" xfId="25652"/>
    <cellStyle name="好_PAV 4月份 包装明细_LCH 2012年1月包裝明細_TFR2014年1月包裝明細_1" xfId="16695"/>
    <cellStyle name="好_PAV 4月份 包装明细_LCH 2012年1月包裝明細_TFR2014年1月包裝明細_1123" xfId="25654"/>
    <cellStyle name="好_PAV 4月份 包装明细_LCH 2012年1月包裝明細_TFR2014年1月包裝明細_1136" xfId="25655"/>
    <cellStyle name="好_PAV 4月份 包装明细_LCH 2012年1月包裝明細_TFR2014年1月包裝明細_143" xfId="25659"/>
    <cellStyle name="好_PAV 4月份 包装明细_LCH 2012年1月包裝明細_TFR2014年1月包裝明細_4.15" xfId="17419"/>
    <cellStyle name="好_PAV 4月份 包装明细_LCH 2012年1月包裝明細_TFR2014年1月包裝明細_PL" xfId="2379"/>
    <cellStyle name="好_PAV 4月份 包装明细_LCH 2012年1月包裝明細_TFR2014年1月包裝明細_PL_TFR2014年3月包裝明細" xfId="25660"/>
    <cellStyle name="好_PAV 4月份 包装明细_LCH 2012年1月包裝明細_TFR2014年1月包裝明細_PL_TFR2014年4月包裝明細" xfId="15136"/>
    <cellStyle name="好_PAV 4月份 包装明细_LCH 2012年1月包裝明細_TFR2014年1月包裝明細_TFR" xfId="25661"/>
    <cellStyle name="好_PAV 4月份 包装明细_LCH 2012年1月包裝明細_TFR2014年1月包裝明細_TFR 包装明细 5.13" xfId="25662"/>
    <cellStyle name="好_PAV 4月份 包装明细_LCH 2012年1月包裝明細_TFR2014年1月包裝明細_TFR(SEB ASIA) 包装明细3-25" xfId="25663"/>
    <cellStyle name="好_PAV 4月份 包装明细_LCH 2012年1月包裝明細_TFR2014年1月包裝明細_TFR(SEB ASIA) 包装明细4.29" xfId="25664"/>
    <cellStyle name="好_PAV 4月份 包装明细_LCH 2012年1月包裝明細_TFR2014年1月包裝明細_TFR_TFR2014年3月包裝明細" xfId="20708"/>
    <cellStyle name="好_PAV 4月份 包装明细_LCH 2012年1月包裝明細_TFR2014年1月包裝明細_TFR_TFR2014年4月包裝明細" xfId="25665"/>
    <cellStyle name="好_PAV 4月份 包装明细_LCH 2012年1月包裝明細_TFR2014年1月包裝明細_TFR2014年3月包裝明細" xfId="25670"/>
    <cellStyle name="好_PAV 4月份 包装明细_LCH 2012年1月包裝明細_TFR2014年1月包裝明細_TFR2014年3月包裝明細_1" xfId="25671"/>
    <cellStyle name="好_PAV 4月份 包装明细_LCH 2012年1月包裝明細_TFR2014年1月包裝明細_TFR2014年3月包裝明細_1_TFR2014年3月包裝明細" xfId="22753"/>
    <cellStyle name="好_PAV 4月份 包装明细_LCH 2012年1月包裝明細_TFR2014年1月包裝明細_TFR2014年3月包裝明細_1_TFR2014年4月包裝明細" xfId="25674"/>
    <cellStyle name="好_PAV 4月份 包装明细_LCH 2012年1月包裝明細_TFR2014年1月包裝明細_TFR2014年3月包裝明細_2" xfId="25675"/>
    <cellStyle name="好_PAV 4月份 包装明细_LCH 2012年1月包裝明細_TFR2014年1月包裝明細_TFR2014年3月包裝明細_3" xfId="25676"/>
    <cellStyle name="好_PAV 4月份 包装明细_LCH 2012年1月包裝明細_TFR2014年1月包裝明細_TFR2014年3月包裝明細_4" xfId="25677"/>
    <cellStyle name="好_PAV 4月份 包装明细_LCH 2012年1月包裝明細_TFR2014年1月包裝明細_TFR2014年3月包裝明細_TFR2014年3月包裝明細" xfId="25679"/>
    <cellStyle name="好_PAV 4月份 包装明细_LCH 2012年1月包裝明細_TFR2014年1月包裝明細_TFR2014年3月包裝明細_TFR2014年4月包裝明細" xfId="25238"/>
    <cellStyle name="好_PAV 4月份 包装明细_LCH 2012年1月包裝明細_TFR2014年1月包裝明細_TFR2014年4月包裝明細" xfId="15498"/>
    <cellStyle name="好_PAV 4月份 包装明细_LCH 2012年1月包裝明細_TFR2014年1月包裝明細_包装明细" xfId="25681"/>
    <cellStyle name="好_PAV 4月份 包装明细_LCH 2012年1月包裝明細_TFR2014年3月包裝明細" xfId="25682"/>
    <cellStyle name="好_PAV 4月份 包装明细_LCH 2012年1月包裝明細_TFR2014年3月包裝明細_1" xfId="17149"/>
    <cellStyle name="好_PAV 4月份 包装明细_LCH 2012年1月包裝明細_TFR2014年3月包裝明細_1_TFR2014年3月包裝明細" xfId="25683"/>
    <cellStyle name="好_PAV 4月份 包装明细_LCH 2012年1月包裝明細_TFR2014年3月包裝明細_1_TFR2014年4月包裝明細" xfId="25685"/>
    <cellStyle name="好_PAV 4月份 包装明细_LCH 2012年1月包裝明細_TFR2014年3月包裝明細_2" xfId="17154"/>
    <cellStyle name="好_PAV 4月份 包装明细_LCH 2012年1月包裝明細_TFR2014年3月包裝明細_3" xfId="1798"/>
    <cellStyle name="好_PAV 4月份 包装明细_LCH 2012年1月包裝明細_TFR2014年3月包裝明細_4" xfId="1818"/>
    <cellStyle name="好_PAV 4月份 包装明细_LCH 2012年1月包裝明細_TFR2014年3月包裝明細_TFR2014年3月包裝明細" xfId="25688"/>
    <cellStyle name="好_PAV 4月份 包装明细_LCH 2012年1月包裝明細_TFR2014年3月包裝明細_TFR2014年4月包裝明細" xfId="25689"/>
    <cellStyle name="好_PAV 4月份 包装明细_LCH 2012年1月包裝明細_TFR2014年4月包裝明細" xfId="25690"/>
    <cellStyle name="好_PAV 4月份 包装明细_LCH 2012年1月包裝明細_TLF 包装明细1.7" xfId="20631"/>
    <cellStyle name="好_PAV 4月份 包装明细_LCH 2012年1月包裝明細_TLF 包装明细1.7_TFR2014年3月包裝明細" xfId="379"/>
    <cellStyle name="好_PAV 4月份 包装明细_LCH 2012年1月包裝明細_TLF 包装明细1.7_TFR2014年4月包裝明細" xfId="25692"/>
    <cellStyle name="好_PAV 4月份 包装明细_LCH 2012年1月包裝明細_包装明细" xfId="6741"/>
    <cellStyle name="好_PAV 4月份 包装明细_LK 包装明细3.4" xfId="25693"/>
    <cellStyle name="好_PAV 4月份 包装明细_LK 包装明细3.4_TFR2014年3月包裝明細" xfId="25694"/>
    <cellStyle name="好_PAV 4月份 包装明细_LK 包装明细3.4_TFR2014年4月包裝明細" xfId="5519"/>
    <cellStyle name="好_PAV 4月份 包装明细_LK 包装明细3.4_涂布2014年3月包装明细" xfId="25695"/>
    <cellStyle name="好_PAV 4月份 包装明细_PAV 包装明细" xfId="25697"/>
    <cellStyle name="好_PAV 4月份 包装明细_PAV 包装明细 1.13" xfId="25698"/>
    <cellStyle name="好_PAV 4月份 包装明细_PAV 包装明细 1.13_TFR2014年3月包裝明細" xfId="25699"/>
    <cellStyle name="好_PAV 4月份 包装明细_PAV 包装明细 1.13_TFR2014年4月包裝明細" xfId="25702"/>
    <cellStyle name="好_PAV 4月份 包装明细_PAV 包装明细_TFR2014年3月包裝明細" xfId="23628"/>
    <cellStyle name="好_PAV 4月份 包装明细_PAV 包装明细_TFR2014年4月包裝明細" xfId="25230"/>
    <cellStyle name="好_PAV 4月份 包装明细_PAV.2013年1月包裝明細" xfId="22418"/>
    <cellStyle name="好_PAV 4月份 包装明细_PAV.2013年1月包裝明細_00" xfId="25324"/>
    <cellStyle name="好_PAV 4月份 包装明细_PAV.2013年1月包裝明細_00_TFR2014年3月包裝明細" xfId="25704"/>
    <cellStyle name="好_PAV 4月份 包装明细_PAV.2013年1月包裝明細_00_TFR2014年4月包裝明細" xfId="6841"/>
    <cellStyle name="好_PAV 4月份 包装明细_PAV.2013年1月包裝明細_1" xfId="25705"/>
    <cellStyle name="好_PAV 4月份 包装明细_PAV.2013年1月包裝明細_1_TFR2014年1月包裝明細" xfId="25706"/>
    <cellStyle name="好_PAV 4月份 包装明细_PAV.2013年1月包裝明細_1_TFR2014年1月包裝明細_TFR2014年3月包裝明細" xfId="25708"/>
    <cellStyle name="好_PAV 4月份 包装明细_PAV.2013年1月包裝明細_1_TFR2014年1月包裝明細_TFR2014年4月包裝明細" xfId="25709"/>
    <cellStyle name="好_PAV 4月份 包装明细_PAV.2013年1月包裝明細_1_TFR2014年3月包裝明細" xfId="3415"/>
    <cellStyle name="好_PAV 4月份 包装明细_PAV.2013年1月包裝明細_1_TFR2014年4月包裝明細" xfId="3136"/>
    <cellStyle name="好_PAV 4月份 包装明细_PAV.2013年1月包裝明細_1123" xfId="25710"/>
    <cellStyle name="好_PAV 4月份 包装明细_PAV.2013年1月包裝明細_1136" xfId="19016"/>
    <cellStyle name="好_PAV 4月份 包装明细_PAV.2013年1月包裝明細_143" xfId="25712"/>
    <cellStyle name="好_PAV 4月份 包装明细_PAV.2013年1月包裝明細_4.15" xfId="25713"/>
    <cellStyle name="好_PAV 4月份 包装明细_PAV.2013年1月包裝明細_456" xfId="15872"/>
    <cellStyle name="好_PAV 4月份 包装明细_PAV.2013年1月包裝明細_789" xfId="21859"/>
    <cellStyle name="好_PAV 4月份 包装明细_PAV.2013年1月包裝明細_DEI 包装明细 10.21" xfId="25715"/>
    <cellStyle name="好_PAV 4月份 包装明细_PAV.2013年1月包裝明細_DEI 包装明细 10.21_TFR2014年1月包裝明細" xfId="25717"/>
    <cellStyle name="好_PAV 4月份 包装明细_PAV.2013年1月包裝明細_DEI 包装明细 10.21_TFR2014年1月包裝明細_TFR2014年3月包裝明細" xfId="25258"/>
    <cellStyle name="好_PAV 4月份 包装明细_PAV.2013年1月包裝明細_DEI 包装明细 10.21_TFR2014年1月包裝明細_TFR2014年4月包裝明細" xfId="25718"/>
    <cellStyle name="好_PAV 4月份 包装明细_PAV.2013年1月包裝明細_DEI 包装明细 10.21_TFR2014年3月包裝明細" xfId="25720"/>
    <cellStyle name="好_PAV 4月份 包装明细_PAV.2013年1月包裝明細_DEI 包装明细 10.21_TFR2014年4月包裝明細" xfId="25723"/>
    <cellStyle name="好_PAV 4月份 包装明细_PAV.2013年1月包裝明細_DEI 包装明细 11.1" xfId="25724"/>
    <cellStyle name="好_PAV 4月份 包装明细_PAV.2013年1月包裝明細_DEI 包装明细 11.1_TFR2014年1月包裝明細" xfId="25725"/>
    <cellStyle name="好_PAV 4月份 包装明细_PAV.2013年1月包裝明細_DEI 包装明细 11.1_TFR2014年1月包裝明細_TFR2014年3月包裝明細" xfId="25726"/>
    <cellStyle name="好_PAV 4月份 包装明细_PAV.2013年1月包裝明細_DEI 包装明细 11.1_TFR2014年1月包裝明細_TFR2014年4月包裝明細" xfId="25727"/>
    <cellStyle name="好_PAV 4月份 包装明细_PAV.2013年1月包裝明細_DEI 包装明细 11.1_TFR2014年3月包裝明細" xfId="18343"/>
    <cellStyle name="好_PAV 4月份 包装明细_PAV.2013年1月包裝明細_DEI 包装明细 11.1_TFR2014年4月包裝明細" xfId="2977"/>
    <cellStyle name="好_PAV 4月份 包装明细_PAV.2013年1月包裝明細_EF 包装明细12.13" xfId="21211"/>
    <cellStyle name="好_PAV 4月份 包装明细_PAV.2013年1月包裝明細_EF 包装明细12.13_TFR2014年1月包裝明細" xfId="15762"/>
    <cellStyle name="好_PAV 4月份 包装明细_PAV.2013年1月包裝明細_EF 包装明细12.13_TFR2014年1月包裝明細_TFR2014年3月包裝明細" xfId="19098"/>
    <cellStyle name="好_PAV 4月份 包装明细_PAV.2013年1月包裝明細_EF 包装明细12.13_TFR2014年1月包裝明細_TFR2014年4月包裝明細" xfId="10235"/>
    <cellStyle name="好_PAV 4月份 包装明细_PAV.2013年1月包裝明細_EF 包装明细12.13_TFR2014年3月包裝明細" xfId="5953"/>
    <cellStyle name="好_PAV 4月份 包装明细_PAV.2013年1月包裝明細_EF 包装明细12.13_TFR2014年4月包裝明細" xfId="25728"/>
    <cellStyle name="好_PAV 4月份 包装明细_PAV.2013年1月包裝明細_PL" xfId="12607"/>
    <cellStyle name="好_PAV 4月份 包装明细_PAV.2013年1月包裝明細_PL_TFR2014年3月包裝明細" xfId="12083"/>
    <cellStyle name="好_PAV 4月份 包装明细_PAV.2013年1月包裝明細_PL_TFR2014年4月包裝明細" xfId="25729"/>
    <cellStyle name="好_PAV 4月份 包装明细_PAV.2013年1月包裝明細_SEB 591 包装明细 9.5" xfId="15763"/>
    <cellStyle name="好_PAV 4月份 包装明细_PAV.2013年1月包裝明細_SEB 591 包装明细 9.5_TFR2014年1月包裝明細" xfId="25730"/>
    <cellStyle name="好_PAV 4月份 包装明细_PAV.2013年1月包裝明細_SEB 591 包装明细 9.5_TFR2014年1月包裝明細_TFR2014年3月包裝明細" xfId="25731"/>
    <cellStyle name="好_PAV 4月份 包装明细_PAV.2013年1月包裝明細_SEB 591 包装明细 9.5_TFR2014年1月包裝明細_TFR2014年4月包裝明細" xfId="22447"/>
    <cellStyle name="好_PAV 4月份 包装明细_PAV.2013年1月包裝明細_SEB 591 包装明细 9.5_TFR2014年3月包裝明細" xfId="25732"/>
    <cellStyle name="好_PAV 4月份 包装明细_PAV.2013年1月包裝明細_SEB 591 包装明细 9.5_TFR2014年4月包裝明細" xfId="25733"/>
    <cellStyle name="好_PAV 4月份 包装明细_PAV.2013年1月包裝明細_SEB 包装明细1.9" xfId="25734"/>
    <cellStyle name="好_PAV 4月份 包装明细_PAV.2013年1月包裝明細_SEB 包装明细1.9_TFR2014年3月包裝明細" xfId="12625"/>
    <cellStyle name="好_PAV 4月份 包装明细_PAV.2013年1月包裝明細_SEB 包装明细1.9_TFR2014年4月包裝明細" xfId="25735"/>
    <cellStyle name="好_PAV 4月份 包装明细_PAV.2013年1月包裝明細_SEB 包装明细12.31" xfId="25737"/>
    <cellStyle name="好_PAV 4月份 包装明细_PAV.2013年1月包裝明細_SEB 包装明细12.31_TFR2014年3月包裝明細" xfId="25739"/>
    <cellStyle name="好_PAV 4月份 包装明细_PAV.2013年1月包裝明細_SEB 包装明细12.31_TFR2014年4月包裝明細" xfId="25741"/>
    <cellStyle name="好_PAV 4月份 包装明细_PAV.2013年1月包裝明細_SEB 包装明细2.13 revised" xfId="25742"/>
    <cellStyle name="好_PAV 4月份 包装明细_PAV.2013年1月包裝明細_SEB 包装明细2.13 revised_TFR2014年3月包裝明細" xfId="25744"/>
    <cellStyle name="好_PAV 4月份 包装明细_PAV.2013年1月包裝明細_SEB 包装明细2.13 revised_TFR2014年4月包裝明細" xfId="25745"/>
    <cellStyle name="好_PAV 4月份 包装明细_PAV.2013年1月包裝明細_TFR" xfId="25747"/>
    <cellStyle name="好_PAV 4月份 包装明细_PAV.2013年1月包裝明細_TFR 包装明细 5.13" xfId="25749"/>
    <cellStyle name="好_PAV 4月份 包装明细_PAV.2013年1月包裝明細_TFR(SEB ASIA) 包装明细3-25" xfId="14399"/>
    <cellStyle name="好_PAV 4月份 包装明细_PAV.2013年1月包裝明細_TFR(SEB ASIA) 包装明细4.29" xfId="4313"/>
    <cellStyle name="好_PAV 4月份 包装明细_PAV.2013年1月包裝明細_TFR_TFR2014年3月包裝明細" xfId="25750"/>
    <cellStyle name="好_PAV 4月份 包装明细_PAV.2013年1月包裝明細_TFR_TFR2014年4月包裝明細" xfId="25752"/>
    <cellStyle name="好_PAV 4月份 包装明细_PAV.2013年1月包裝明細_TFR2014年1月包裝明細" xfId="23737"/>
    <cellStyle name="好_PAV 4月份 包装明细_PAV.2013年1月包裝明細_TFR2014年1月包裝明細_1" xfId="25753"/>
    <cellStyle name="好_PAV 4月份 包装明细_PAV.2013年1月包裝明細_TFR2014年1月包裝明細_1123" xfId="25754"/>
    <cellStyle name="好_PAV 4月份 包装明细_PAV.2013年1月包裝明細_TFR2014年1月包裝明細_1136" xfId="25755"/>
    <cellStyle name="好_PAV 4月份 包装明细_PAV.2013年1月包裝明細_TFR2014年1月包裝明細_143" xfId="25757"/>
    <cellStyle name="好_PAV 4月份 包装明细_PAV.2013年1月包裝明細_TFR2014年1月包裝明細_4.15" xfId="17590"/>
    <cellStyle name="好_PAV 4月份 包装明细_PAV.2013年1月包裝明細_TFR2014年1月包裝明細_PL" xfId="14516"/>
    <cellStyle name="好_PAV 4月份 包装明细_PAV.2013年1月包裝明細_TFR2014年1月包裝明細_PL_TFR2014年3月包裝明細" xfId="22924"/>
    <cellStyle name="好_PAV 4月份 包装明细_PAV.2013年1月包裝明細_TFR2014年1月包裝明細_PL_TFR2014年4月包裝明細" xfId="25758"/>
    <cellStyle name="好_PAV 4月份 包装明细_PAV.2013年1月包裝明細_TFR2014年1月包裝明細_TFR" xfId="25760"/>
    <cellStyle name="好_PAV 4月份 包装明细_PAV.2013年1月包裝明細_TFR2014年1月包裝明細_TFR 包装明细 5.13" xfId="25762"/>
    <cellStyle name="好_PAV 4月份 包装明细_PAV.2013年1月包裝明細_TFR2014年1月包裝明細_TFR(SEB ASIA) 包装明细3-25" xfId="25764"/>
    <cellStyle name="好_PAV 4月份 包装明细_PAV.2013年1月包裝明細_TFR2014年1月包裝明細_TFR(SEB ASIA) 包装明细4.29" xfId="25765"/>
    <cellStyle name="好_PAV 4月份 包装明细_PAV.2013年1月包裝明細_TFR2014年1月包裝明細_TFR_TFR2014年3月包裝明細" xfId="11595"/>
    <cellStyle name="好_PAV 4月份 包装明细_PAV.2013年1月包裝明細_TFR2014年1月包裝明細_TFR_TFR2014年4月包裝明細" xfId="3392"/>
    <cellStyle name="好_PAV 4月份 包装明细_PAV.2013年1月包裝明細_TFR2014年1月包裝明細_TFR2014年3月包裝明細" xfId="25767"/>
    <cellStyle name="好_PAV 4月份 包装明细_PAV.2013年1月包裝明細_TFR2014年1月包裝明細_TFR2014年3月包裝明細_1" xfId="25769"/>
    <cellStyle name="好_PAV 4月份 包装明细_PAV.2013年1月包裝明細_TFR2014年1月包裝明細_TFR2014年3月包裝明細_1_TFR2014年3月包裝明細" xfId="25770"/>
    <cellStyle name="好_PAV 4月份 包装明细_PAV.2013年1月包裝明細_TFR2014年1月包裝明細_TFR2014年3月包裝明細_1_TFR2014年4月包裝明細" xfId="25772"/>
    <cellStyle name="好_PAV 4月份 包装明细_PAV.2013年1月包裝明細_TFR2014年1月包裝明細_TFR2014年3月包裝明細_2" xfId="6959"/>
    <cellStyle name="好_PAV 4月份 包装明细_PAV.2013年1月包裝明細_TFR2014年1月包裝明細_TFR2014年3月包裝明細_3" xfId="6968"/>
    <cellStyle name="好_PAV 4月份 包装明细_PAV.2013年1月包裝明細_TFR2014年1月包裝明細_TFR2014年3月包裝明細_4" xfId="7598"/>
    <cellStyle name="好_PAV 4月份 包装明细_PAV.2013年1月包裝明細_TFR2014年1月包裝明細_TFR2014年3月包裝明細_TFR2014年3月包裝明細" xfId="25773"/>
    <cellStyle name="好_PAV 4月份 包装明细_PAV.2013年1月包裝明細_TFR2014年1月包裝明細_TFR2014年3月包裝明細_TFR2014年4月包裝明細" xfId="4081"/>
    <cellStyle name="好_PAV 4月份 包装明细_PAV.2013年1月包裝明細_TFR2014年1月包裝明細_TFR2014年4月包裝明細" xfId="25774"/>
    <cellStyle name="好_PAV 4月份 包装明细_PAV.2013年1月包裝明細_TFR2014年1月包裝明細_包装明细" xfId="13617"/>
    <cellStyle name="好_PAV 4月份 包装明细_PAV.2013年1月包裝明細_TFR2014年3月包裝明細" xfId="25777"/>
    <cellStyle name="好_PAV 4月份 包装明细_PAV.2013年1月包裝明細_TFR2014年3月包裝明細_1" xfId="25778"/>
    <cellStyle name="好_PAV 4月份 包装明细_PAV.2013年1月包裝明細_TFR2014年3月包裝明細_1_TFR2014年3月包裝明細" xfId="808"/>
    <cellStyle name="好_PAV 4月份 包装明细_PAV.2013年1月包裝明細_TFR2014年3月包裝明細_1_TFR2014年4月包裝明細" xfId="25779"/>
    <cellStyle name="好_PAV 4月份 包装明细_PAV.2013年1月包裝明細_TFR2014年3月包裝明細_2" xfId="25781"/>
    <cellStyle name="好_PAV 4月份 包装明细_PAV.2013年1月包裝明細_TFR2014年3月包裝明細_3" xfId="25782"/>
    <cellStyle name="好_PAV 4月份 包装明细_PAV.2013年1月包裝明細_TFR2014年3月包裝明細_4" xfId="25783"/>
    <cellStyle name="好_PAV 4月份 包装明细_PAV.2013年1月包裝明細_TFR2014年3月包裝明細_TFR2014年3月包裝明細" xfId="13965"/>
    <cellStyle name="好_PAV 4月份 包装明细_PAV.2013年1月包裝明細_TFR2014年3月包裝明細_TFR2014年4月包裝明細" xfId="25784"/>
    <cellStyle name="好_PAV 4月份 包装明细_PAV.2013年1月包裝明細_TFR2014年4月包裝明細" xfId="25785"/>
    <cellStyle name="好_PAV 4月份 包装明细_PAV.2013年1月包裝明細_TLF 包装明细 7.15" xfId="25786"/>
    <cellStyle name="好_PAV 4月份 包装明细_PAV.2013年1月包裝明細_TLF 包装明细 7.15_TFR2014年1月包裝明細" xfId="25787"/>
    <cellStyle name="好_PAV 4月份 包装明细_PAV.2013年1月包裝明細_TLF 包装明细 7.15_TFR2014年1月包裝明細_TFR2014年3月包裝明細" xfId="25788"/>
    <cellStyle name="好_PAV 4月份 包装明细_PAV.2013年1月包裝明細_TLF 包装明细 7.15_TFR2014年1月包裝明細_TFR2014年4月包裝明細" xfId="25791"/>
    <cellStyle name="好_PAV 4月份 包装明细_PAV.2013年1月包裝明細_TLF 包装明细 7.15_TFR2014年3月包裝明細" xfId="25793"/>
    <cellStyle name="好_PAV 4月份 包装明细_PAV.2013年1月包裝明細_TLF 包装明细 7.15_TFR2014年4月包裝明細" xfId="25795"/>
    <cellStyle name="好_PAV 4月份 包装明细_PAV.2013年1月包裝明細_TLF 包装明细1.7" xfId="25796"/>
    <cellStyle name="好_PAV 4月份 包装明细_PAV.2013年1月包裝明細_TLF 包装明细1.7_TFR2014年3月包裝明細" xfId="25797"/>
    <cellStyle name="好_PAV 4月份 包装明细_PAV.2013年1月包裝明細_TLF 包装明细1.7_TFR2014年4月包裝明細" xfId="3647"/>
    <cellStyle name="好_PAV 4月份 包装明细_PAV.2013年1月包裝明細_包装明细" xfId="25802"/>
    <cellStyle name="好_PAV 4月份 包装明细_PAV.2014年3月包裝明細" xfId="25804"/>
    <cellStyle name="好_PAV 4月份 包装明细_PAV.2014年3月包裝明細_1" xfId="14911"/>
    <cellStyle name="好_PAV 4月份 包装明细_PAV.2014年3月包裝明細_1_TFR2014年3月包裝明細" xfId="8244"/>
    <cellStyle name="好_PAV 4月份 包装明细_PAV.2014年3月包裝明細_1_TFR2014年4月包裝明細" xfId="18495"/>
    <cellStyle name="好_PAV 4月份 包装明细_PAV.2014年3月包裝明細_TFR2014年3月包裝明細" xfId="21257"/>
    <cellStyle name="好_PAV 4月份 包装明细_PAV.2014年3月包裝明細_TFR2014年4月包裝明細" xfId="7331"/>
    <cellStyle name="好_PAV 4月份 包装明细_PAV2011年6月包裝明細" xfId="25805"/>
    <cellStyle name="好_PAV 4月份 包装明细_PAV2011年6月包裝明細_00" xfId="10403"/>
    <cellStyle name="好_PAV 4月份 包装明细_PAV2011年6月包裝明細_00_TFR2014年3月包裝明細" xfId="25806"/>
    <cellStyle name="好_PAV 4月份 包装明细_PAV2011年6月包裝明細_00_TFR2014年4月包裝明細" xfId="25807"/>
    <cellStyle name="好_PAV 4月份 包装明细_PAV2011年6月包裝明細_1" xfId="24474"/>
    <cellStyle name="好_PAV 4月份 包装明细_PAV2011年6月包裝明細_1_TFR2014年1月包裝明細" xfId="25808"/>
    <cellStyle name="好_PAV 4月份 包装明细_PAV2011年6月包裝明細_1_TFR2014年1月包裝明細_TFR2014年3月包裝明細" xfId="25809"/>
    <cellStyle name="好_PAV 4月份 包装明细_PAV2011年6月包裝明細_1_TFR2014年1月包裝明細_TFR2014年4月包裝明細" xfId="25810"/>
    <cellStyle name="好_PAV 4月份 包装明细_PAV2011年6月包裝明細_1_TFR2014年3月包裝明細" xfId="25812"/>
    <cellStyle name="好_PAV 4月份 包装明细_PAV2011年6月包裝明細_1_TFR2014年4月包裝明細" xfId="17043"/>
    <cellStyle name="好_PAV 4月份 包装明细_PAV2011年6月包裝明細_1123" xfId="25813"/>
    <cellStyle name="好_PAV 4月份 包装明细_PAV2011年6月包裝明細_1136" xfId="25815"/>
    <cellStyle name="好_PAV 4月份 包装明细_PAV2011年6月包裝明細_143" xfId="25817"/>
    <cellStyle name="好_PAV 4月份 包装明细_PAV2011年6月包裝明細_4.15" xfId="25818"/>
    <cellStyle name="好_PAV 4月份 包装明细_PAV2011年6月包裝明細_456" xfId="25823"/>
    <cellStyle name="好_PAV 4月份 包装明细_PAV2011年6月包裝明細_789" xfId="25824"/>
    <cellStyle name="好_PAV 4月份 包装明细_PAV2011年6月包裝明細_DEI 包装明细 10.21" xfId="25825"/>
    <cellStyle name="好_PAV 4月份 包装明细_PAV2011年6月包裝明細_DEI 包装明细 10.21_TFR2014年1月包裝明細" xfId="25826"/>
    <cellStyle name="好_PAV 4月份 包装明细_PAV2011年6月包裝明細_DEI 包装明细 10.21_TFR2014年1月包裝明細_TFR2014年3月包裝明細" xfId="25827"/>
    <cellStyle name="好_PAV 4月份 包装明细_PAV2011年6月包裝明細_DEI 包装明细 10.21_TFR2014年1月包裝明細_TFR2014年4月包裝明細" xfId="25828"/>
    <cellStyle name="好_PAV 4月份 包装明细_PAV2011年6月包裝明細_DEI 包装明细 10.21_TFR2014年3月包裝明細" xfId="4608"/>
    <cellStyle name="好_PAV 4月份 包装明细_PAV2011年6月包裝明細_DEI 包装明细 10.21_TFR2014年4月包裝明細" xfId="25830"/>
    <cellStyle name="好_PAV 4月份 包装明细_PAV2011年6月包裝明細_DEI 包装明细 11.1" xfId="13105"/>
    <cellStyle name="好_PAV 4月份 包装明细_PAV2011年6月包裝明細_DEI 包装明细 11.1_TFR2014年1月包裝明細" xfId="15525"/>
    <cellStyle name="好_PAV 4月份 包装明细_PAV2011年6月包裝明細_DEI 包装明细 11.1_TFR2014年1月包裝明細_TFR2014年3月包裝明細" xfId="25831"/>
    <cellStyle name="好_PAV 4月份 包装明细_PAV2011年6月包裝明細_DEI 包装明细 11.1_TFR2014年1月包裝明細_TFR2014年4月包裝明細" xfId="24598"/>
    <cellStyle name="好_PAV 4月份 包装明细_PAV2011年6月包裝明細_DEI 包装明细 11.1_TFR2014年3月包裝明細" xfId="25832"/>
    <cellStyle name="好_PAV 4月份 包装明细_PAV2011年6月包裝明細_DEI 包装明细 11.1_TFR2014年4月包裝明細" xfId="25833"/>
    <cellStyle name="好_PAV 4月份 包装明细_PAV2011年6月包裝明細_EF 包装明细12.13" xfId="2371"/>
    <cellStyle name="好_PAV 4月份 包装明细_PAV2011年6月包裝明細_EF 包装明细12.13_TFR2014年1月包裝明細" xfId="25834"/>
    <cellStyle name="好_PAV 4月份 包装明细_PAV2011年6月包裝明細_EF 包装明细12.13_TFR2014年1月包裝明細_TFR2014年3月包裝明細" xfId="1708"/>
    <cellStyle name="好_PAV 4月份 包装明细_PAV2011年6月包裝明細_EF 包装明细12.13_TFR2014年1月包裝明細_TFR2014年4月包裝明細" xfId="25835"/>
    <cellStyle name="好_PAV 4月份 包装明细_PAV2011年6月包裝明細_EF 包装明细12.13_TFR2014年3月包裝明細" xfId="25836"/>
    <cellStyle name="好_PAV 4月份 包装明细_PAV2011年6月包裝明細_EF 包装明细12.13_TFR2014年4月包裝明細" xfId="25839"/>
    <cellStyle name="好_PAV 4月份 包装明细_PAV2011年6月包裝明細_PAV 包装明细" xfId="25843"/>
    <cellStyle name="好_PAV 4月份 包装明细_PAV2011年6月包裝明細_PAV 包装明细 1.13" xfId="25117"/>
    <cellStyle name="好_PAV 4月份 包装明细_PAV2011年6月包裝明細_PAV 包装明细 1.13_TFR2014年3月包裝明細" xfId="25844"/>
    <cellStyle name="好_PAV 4月份 包装明细_PAV2011年6月包裝明細_PAV 包装明细 1.13_TFR2014年4月包裝明細" xfId="25846"/>
    <cellStyle name="好_PAV 4月份 包装明细_PAV2011年6月包裝明細_PAV 包装明细_TFR2014年3月包裝明細" xfId="25847"/>
    <cellStyle name="好_PAV 4月份 包装明细_PAV2011年6月包裝明細_PAV 包装明细_TFR2014年4月包裝明細" xfId="25849"/>
    <cellStyle name="好_PAV 4月份 包装明细_PAV2011年6月包裝明細_PAV.2014年3月包裝明細" xfId="25850"/>
    <cellStyle name="好_PAV 4月份 包装明细_PAV2011年6月包裝明細_PAV.2014年3月包裝明細_1" xfId="25852"/>
    <cellStyle name="好_PAV 4月份 包装明细_PAV2011年6月包裝明細_PAV.2014年3月包裝明細_1_TFR2014年3月包裝明細" xfId="25853"/>
    <cellStyle name="好_PAV 4月份 包装明细_PAV2011年6月包裝明細_PAV.2014年3月包裝明細_1_TFR2014年4月包裝明細" xfId="25855"/>
    <cellStyle name="好_PAV 4月份 包装明细_PAV2011年6月包裝明細_PAV.2014年3月包裝明細_TFR2014年3月包裝明細" xfId="25856"/>
    <cellStyle name="好_PAV 4月份 包装明细_PAV2011年6月包裝明細_PAV.2014年3月包裝明細_TFR2014年4月包裝明細" xfId="25858"/>
    <cellStyle name="好_PAV 4月份 包装明细_PAV2011年6月包裝明細_PL" xfId="25859"/>
    <cellStyle name="好_PAV 4月份 包装明细_PAV2011年6月包裝明細_PL_TFR2014年3月包裝明細" xfId="25860"/>
    <cellStyle name="好_PAV 4月份 包装明细_PAV2011年6月包裝明細_PL_TFR2014年4月包裝明細" xfId="25862"/>
    <cellStyle name="好_PAV 4月份 包装明细_PAV2011年6月包裝明細_SEB 591 包装明细 9.5" xfId="15577"/>
    <cellStyle name="好_PAV 4月份 包装明细_PAV2011年6月包裝明細_SEB 591 包装明细 9.5_TFR2014年1月包裝明細" xfId="6600"/>
    <cellStyle name="好_PAV 4月份 包装明细_PAV2011年6月包裝明細_SEB 591 包装明细 9.5_TFR2014年1月包裝明細_TFR2014年3月包裝明細" xfId="17554"/>
    <cellStyle name="好_PAV 4月份 包装明细_PAV2011年6月包裝明細_SEB 591 包装明细 9.5_TFR2014年1月包裝明細_TFR2014年4月包裝明細" xfId="25863"/>
    <cellStyle name="好_PAV 4月份 包装明细_PAV2011年6月包裝明細_SEB 591 包装明细 9.5_TFR2014年3月包裝明細" xfId="7858"/>
    <cellStyle name="好_PAV 4月份 包装明细_PAV2011年6月包裝明細_SEB 591 包装明细 9.5_TFR2014年4月包裝明細" xfId="18188"/>
    <cellStyle name="好_PAV 4月份 包装明细_PAV2011年6月包裝明細_SEB ASIA 包装明细12.10" xfId="14795"/>
    <cellStyle name="好_PAV 4月份 包装明细_PAV2011年6月包裝明細_SEB ASIA 包装明细12.10_TFR2014年3月包裝明細" xfId="25865"/>
    <cellStyle name="好_PAV 4月份 包装明细_PAV2011年6月包裝明細_SEB ASIA 包装明细12.10_TFR2014年4月包裝明細" xfId="25866"/>
    <cellStyle name="好_PAV 4月份 包装明细_PAV2011年6月包裝明細_SEB ASIA 包装明细12.5" xfId="11476"/>
    <cellStyle name="好_PAV 4月份 包装明细_PAV2011年6月包裝明細_SEB ASIA 包装明细12.5_TFR2014年3月包裝明細" xfId="25867"/>
    <cellStyle name="好_PAV 4月份 包装明细_PAV2011年6月包裝明細_SEB ASIA 包装明细12.5_TFR2014年4月包裝明細" xfId="25868"/>
    <cellStyle name="好_PAV 4月份 包装明细_PAV2011年6月包裝明細_SEB ASIA 包装明细2.11-3.4 更正" xfId="937"/>
    <cellStyle name="好_PAV 4月份 包装明细_PAV2011年6月包裝明細_SEB ASIA 包装明细2.11-3.4 更正_TFR2014年3月包裝明細" xfId="14373"/>
    <cellStyle name="好_PAV 4月份 包装明细_PAV2011年6月包裝明細_SEB ASIA 包装明细2.11-3.4 更正_TFR2014年4月包裝明細" xfId="25869"/>
    <cellStyle name="好_PAV 4月份 包装明细_PAV2011年6月包裝明細_SEB 包装明细1.9" xfId="25870"/>
    <cellStyle name="好_PAV 4月份 包装明细_PAV2011年6月包裝明細_SEB 包装明细1.9_TFR2014年3月包裝明細" xfId="25871"/>
    <cellStyle name="好_PAV 4月份 包装明细_PAV2011年6月包裝明細_SEB 包装明细1.9_TFR2014年4月包裝明細" xfId="25873"/>
    <cellStyle name="好_PAV 4月份 包装明细_PAV2011年6月包裝明細_SEB 包装明细12.31" xfId="25876"/>
    <cellStyle name="好_PAV 4月份 包装明细_PAV2011年6月包裝明細_SEB 包装明细12.31_TFR2014年3月包裝明細" xfId="25811"/>
    <cellStyle name="好_PAV 4月份 包装明细_PAV2011年6月包裝明細_SEB 包装明细12.31_TFR2014年4月包裝明細" xfId="25877"/>
    <cellStyle name="好_PAV 4月份 包装明细_PAV2011年6月包裝明細_SEB 包装明细2.13 revised" xfId="11294"/>
    <cellStyle name="好_PAV 4月份 包装明细_PAV2011年6月包裝明細_SEB 包装明细2.13 revised_TFR2014年3月包裝明細" xfId="14018"/>
    <cellStyle name="好_PAV 4月份 包装明细_PAV2011年6月包裝明細_SEB 包装明细2.13 revised_TFR2014年4月包裝明細" xfId="16181"/>
    <cellStyle name="好_PAV 4月份 包装明细_PAV2011年6月包裝明細_TFR" xfId="25878"/>
    <cellStyle name="好_PAV 4月份 包装明细_PAV2011年6月包裝明細_TFR 包装明细 5.13" xfId="25879"/>
    <cellStyle name="好_PAV 4月份 包装明细_PAV2011年6月包裝明細_TFR 钢圈蛋糕盘包装明细6.5(1)" xfId="25455"/>
    <cellStyle name="好_PAV 4月份 包装明细_PAV2011年6月包裝明細_TFR 钢圈蛋糕盘包装明细6.5(1)_TFR2014年3月包裝明細" xfId="25880"/>
    <cellStyle name="好_PAV 4月份 包装明细_PAV2011年6月包裝明細_TFR 钢圈蛋糕盘包装明细6.5(1)_TFR2014年4月包裝明細" xfId="8162"/>
    <cellStyle name="好_PAV 4月份 包装明细_PAV2011年6月包裝明細_TFR(SEB ASIA) 包装明细3-25" xfId="972"/>
    <cellStyle name="好_PAV 4月份 包装明细_PAV2011年6月包裝明細_TFR(SEB ASIA) 包装明细4.29" xfId="25881"/>
    <cellStyle name="好_PAV 4月份 包装明细_PAV2011年6月包裝明細_TFR_TFR2014年3月包裝明細" xfId="25883"/>
    <cellStyle name="好_PAV 4月份 包装明细_PAV2011年6月包裝明細_TFR_TFR2014年4月包裝明細" xfId="15513"/>
    <cellStyle name="好_PAV 4月份 包装明细_PAV2011年6月包裝明細_TFR2014年1月包裝明細" xfId="10776"/>
    <cellStyle name="好_PAV 4月份 包装明细_PAV2011年6月包裝明細_TFR2014年1月包裝明細_1" xfId="2605"/>
    <cellStyle name="好_PAV 4月份 包装明细_PAV2011年6月包裝明細_TFR2014年1月包裝明細_1123" xfId="25889"/>
    <cellStyle name="好_PAV 4月份 包装明细_PAV2011年6月包裝明細_TFR2014年1月包裝明細_1136" xfId="25890"/>
    <cellStyle name="好_PAV 4月份 包装明细_PAV2011年6月包裝明細_TFR2014年1月包裝明細_143" xfId="16661"/>
    <cellStyle name="好_PAV 4月份 包装明细_PAV2011年6月包裝明細_TFR2014年1月包裝明細_4.15" xfId="25891"/>
    <cellStyle name="好_PAV 4月份 包装明细_PAV2011年6月包裝明細_TFR2014年1月包裝明細_PL" xfId="10266"/>
    <cellStyle name="好_PAV 4月份 包装明细_PAV2011年6月包裝明細_TFR2014年1月包裝明細_PL_TFR2014年3月包裝明細" xfId="25892"/>
    <cellStyle name="好_PAV 4月份 包装明细_PAV2011年6月包裝明細_TFR2014年1月包裝明細_PL_TFR2014年4月包裝明細" xfId="25895"/>
    <cellStyle name="好_PAV 4月份 包装明细_PAV2011年6月包裝明細_TFR2014年1月包裝明細_TFR" xfId="22682"/>
    <cellStyle name="好_PAV 4月份 包装明细_PAV2011年6月包裝明細_TFR2014年1月包裝明細_TFR 包装明细 5.13" xfId="20916"/>
    <cellStyle name="好_PAV 4月份 包装明细_PAV2011年6月包裝明細_TFR2014年1月包裝明細_TFR(SEB ASIA) 包装明细3-25" xfId="25897"/>
    <cellStyle name="好_PAV 4月份 包装明细_PAV2011年6月包裝明細_TFR2014年1月包裝明細_TFR(SEB ASIA) 包装明细4.29" xfId="25899"/>
    <cellStyle name="好_PAV 4月份 包装明细_PAV2011年6月包裝明細_TFR2014年1月包裝明細_TFR_TFR2014年3月包裝明細" xfId="25900"/>
    <cellStyle name="好_PAV 4月份 包装明细_PAV2011年6月包裝明細_TFR2014年1月包裝明細_TFR_TFR2014年4月包裝明細" xfId="25902"/>
    <cellStyle name="好_PAV 4月份 包装明细_PAV2011年6月包裝明細_TFR2014年1月包裝明細_TFR2014年3月包裝明細" xfId="5189"/>
    <cellStyle name="好_PAV 4月份 包装明细_PAV2011年6月包裝明細_TFR2014年1月包裝明細_TFR2014年3月包裝明細_1" xfId="25903"/>
    <cellStyle name="好_PAV 4月份 包装明细_PAV2011年6月包裝明細_TFR2014年1月包裝明細_TFR2014年3月包裝明細_1_TFR2014年3月包裝明細" xfId="19936"/>
    <cellStyle name="好_PAV 4月份 包装明细_PAV2011年6月包裝明細_TFR2014年1月包裝明細_TFR2014年3月包裝明細_1_TFR2014年4月包裝明細" xfId="25904"/>
    <cellStyle name="好_PAV 4月份 包装明细_PAV2011年6月包裝明細_TFR2014年1月包裝明細_TFR2014年3月包裝明細_2" xfId="25905"/>
    <cellStyle name="好_PAV 4月份 包装明细_PAV2011年6月包裝明細_TFR2014年1月包裝明細_TFR2014年3月包裝明細_3" xfId="25906"/>
    <cellStyle name="好_PAV 4月份 包装明细_PAV2011年6月包裝明細_TFR2014年1月包裝明細_TFR2014年3月包裝明細_4" xfId="25907"/>
    <cellStyle name="好_PAV 4月份 包装明细_PAV2011年6月包裝明細_TFR2014年1月包裝明細_TFR2014年3月包裝明細_TFR2014年3月包裝明細" xfId="24029"/>
    <cellStyle name="好_PAV 4月份 包装明细_PAV2011年6月包裝明細_TFR2014年1月包裝明細_TFR2014年3月包裝明細_TFR2014年4月包裝明細" xfId="25909"/>
    <cellStyle name="好_PAV 4月份 包装明细_PAV2011年6月包裝明細_TFR2014年1月包裝明細_TFR2014年4月包裝明細" xfId="25911"/>
    <cellStyle name="好_PAV 4月份 包装明细_PAV2011年6月包裝明細_TFR2014年1月包裝明細_包装明细" xfId="25912"/>
    <cellStyle name="好_PAV 4月份 包装明细_PAV2011年6月包裝明細_TFR2014年3月包裝明細" xfId="25913"/>
    <cellStyle name="好_PAV 4月份 包装明细_PAV2011年6月包裝明細_TFR2014年3月包裝明細_1" xfId="5143"/>
    <cellStyle name="好_PAV 4月份 包装明细_PAV2011年6月包裝明細_TFR2014年3月包裝明細_1_TFR2014年3月包裝明細" xfId="25914"/>
    <cellStyle name="好_PAV 4月份 包装明细_PAV2011年6月包裝明細_TFR2014年3月包裝明細_1_TFR2014年4月包裝明細" xfId="25915"/>
    <cellStyle name="好_PAV 4月份 包装明细_PAV2011年6月包裝明細_TFR2014年3月包裝明細_2" xfId="19598"/>
    <cellStyle name="好_PAV 4月份 包装明细_PAV2011年6月包裝明細_TFR2014年3月包裝明細_3" xfId="5159"/>
    <cellStyle name="好_PAV 4月份 包装明细_PAV2011年6月包裝明細_TFR2014年3月包裝明細_4" xfId="5163"/>
    <cellStyle name="好_PAV 4月份 包装明细_PAV2011年6月包裝明細_TFR2014年3月包裝明細_TFR2014年3月包裝明細" xfId="4753"/>
    <cellStyle name="好_PAV 4月份 包装明细_PAV2011年6月包裝明細_TFR2014年3月包裝明細_TFR2014年4月包裝明細" xfId="25917"/>
    <cellStyle name="好_PAV 4月份 包装明细_PAV2011年6月包裝明細_TFR2014年4月包裝明細" xfId="25918"/>
    <cellStyle name="好_PAV 4月份 包装明细_PAV2011年6月包裝明細_TLF 包装明细 7.15" xfId="4085"/>
    <cellStyle name="好_PAV 4月份 包装明细_PAV2011年6月包裝明細_TLF 包装明细 7.15_TFR2014年1月包裝明細" xfId="25919"/>
    <cellStyle name="好_PAV 4月份 包装明细_PAV2011年6月包裝明細_TLF 包装明细 7.15_TFR2014年1月包裝明細_TFR2014年3月包裝明細" xfId="25920"/>
    <cellStyle name="好_PAV 4月份 包装明细_PAV2011年6月包裝明細_TLF 包装明细 7.15_TFR2014年1月包裝明細_TFR2014年4月包裝明細" xfId="25921"/>
    <cellStyle name="好_PAV 4月份 包装明细_PAV2011年6月包裝明細_TLF 包装明细 7.15_TFR2014年3月包裝明細" xfId="25923"/>
    <cellStyle name="好_PAV 4月份 包装明细_PAV2011年6月包裝明細_TLF 包装明细 7.15_TFR2014年4月包裝明細" xfId="14933"/>
    <cellStyle name="好_PAV 4月份 包装明细_PAV2011年6月包裝明細_TLF 包装明细1.7" xfId="25926"/>
    <cellStyle name="好_PAV 4月份 包装明细_PAV2011年6月包裝明細_TLF 包装明细1.7_TFR2014年3月包裝明細" xfId="25927"/>
    <cellStyle name="好_PAV 4月份 包装明细_PAV2011年6月包裝明細_TLF 包装明细1.7_TFR2014年4月包裝明細" xfId="7243"/>
    <cellStyle name="好_PAV 4月份 包装明细_PAV2011年6月包裝明細_包装明细" xfId="9384"/>
    <cellStyle name="好_PAV 4月份 包装明细_TCB 2012年2月包裝明細" xfId="25928"/>
    <cellStyle name="好_PAV 4月份 包装明细_TCB 2012年2月包裝明細_00" xfId="15280"/>
    <cellStyle name="好_PAV 4月份 包装明细_TCB 2012年2月包裝明細_00_TFR2014年3月包裝明細" xfId="18198"/>
    <cellStyle name="好_PAV 4月份 包装明细_TCB 2012年2月包裝明細_00_TFR2014年4月包裝明細" xfId="25930"/>
    <cellStyle name="好_PAV 4月份 包装明细_TCB 2012年2月包裝明細_1" xfId="25931"/>
    <cellStyle name="好_PAV 4月份 包装明细_TCB 2012年2月包裝明細_1_TFR2014年1月包裝明細" xfId="19444"/>
    <cellStyle name="好_PAV 4月份 包装明细_TCB 2012年2月包裝明細_1_TFR2014年1月包裝明細_TFR2014年3月包裝明細" xfId="25932"/>
    <cellStyle name="好_PAV 4月份 包装明细_TCB 2012年2月包裝明細_1_TFR2014年1月包裝明細_TFR2014年4月包裝明細" xfId="25933"/>
    <cellStyle name="好_PAV 4月份 包装明细_TCB 2012年2月包裝明細_1_TFR2014年3月包裝明細" xfId="21405"/>
    <cellStyle name="好_PAV 4月份 包装明细_TCB 2012年2月包裝明細_1_TFR2014年4月包裝明細" xfId="10978"/>
    <cellStyle name="好_PAV 4月份 包装明细_TCB 2012年2月包裝明細_1123" xfId="25934"/>
    <cellStyle name="好_PAV 4月份 包装明细_TCB 2012年2月包裝明細_1136" xfId="25937"/>
    <cellStyle name="好_PAV 4月份 包装明细_TCB 2012年2月包裝明細_143" xfId="3255"/>
    <cellStyle name="好_PAV 4月份 包装明细_TCB 2012年2月包裝明細_4.15" xfId="25938"/>
    <cellStyle name="好_PAV 4月份 包装明细_TCB 2012年2月包裝明細_456" xfId="25940"/>
    <cellStyle name="好_PAV 4月份 包装明细_TCB 2012年2月包裝明細_789" xfId="25941"/>
    <cellStyle name="好_PAV 4月份 包装明细_TCB 2012年2月包裝明細_DEI 包装明细 10.21" xfId="25945"/>
    <cellStyle name="好_PAV 4月份 包装明细_TCB 2012年2月包裝明細_DEI 包装明细 10.21_TFR2014年1月包裝明細" xfId="25946"/>
    <cellStyle name="好_PAV 4月份 包装明细_TCB 2012年2月包裝明細_DEI 包装明细 10.21_TFR2014年1月包裝明細_TFR2014年3月包裝明細" xfId="25947"/>
    <cellStyle name="好_PAV 4月份 包装明细_TCB 2012年2月包裝明細_DEI 包装明细 10.21_TFR2014年1月包裝明細_TFR2014年4月包裝明細" xfId="25948"/>
    <cellStyle name="好_PAV 4月份 包装明细_TCB 2012年2月包裝明細_DEI 包装明细 10.21_TFR2014年3月包裝明細" xfId="25950"/>
    <cellStyle name="好_PAV 4月份 包装明细_TCB 2012年2月包裝明細_DEI 包装明细 10.21_TFR2014年4月包裝明細" xfId="25952"/>
    <cellStyle name="好_PAV 4月份 包装明细_TCB 2012年2月包裝明細_DEI 包装明细 11.1" xfId="25953"/>
    <cellStyle name="好_PAV 4月份 包装明细_TCB 2012年2月包裝明細_DEI 包装明细 11.1_TFR2014年1月包裝明細" xfId="25955"/>
    <cellStyle name="好_PAV 4月份 包装明细_TCB 2012年2月包裝明細_DEI 包装明细 11.1_TFR2014年1月包裝明細_TFR2014年3月包裝明細" xfId="17561"/>
    <cellStyle name="好_PAV 4月份 包装明细_TCB 2012年2月包裝明細_DEI 包装明细 11.1_TFR2014年1月包裝明細_TFR2014年4月包裝明細" xfId="25958"/>
    <cellStyle name="好_PAV 4月份 包装明细_TCB 2012年2月包裝明細_DEI 包装明细 11.1_TFR2014年3月包裝明細" xfId="25959"/>
    <cellStyle name="好_PAV 4月份 包装明细_TCB 2012年2月包裝明細_DEI 包装明细 11.1_TFR2014年4月包裝明細" xfId="25960"/>
    <cellStyle name="好_PAV 4月份 包装明细_TCB 2012年2月包裝明細_EF 包装明细12.13" xfId="25961"/>
    <cellStyle name="好_PAV 4月份 包装明细_TCB 2012年2月包裝明細_EF 包装明细12.13_TFR2014年1月包裝明細" xfId="19760"/>
    <cellStyle name="好_PAV 4月份 包装明细_TCB 2012年2月包裝明細_EF 包装明细12.13_TFR2014年1月包裝明細_TFR2014年3月包裝明細" xfId="8077"/>
    <cellStyle name="好_PAV 4月份 包装明细_TCB 2012年2月包裝明細_EF 包装明细12.13_TFR2014年1月包裝明細_TFR2014年4月包裝明細" xfId="25962"/>
    <cellStyle name="好_PAV 4月份 包装明细_TCB 2012年2月包裝明細_EF 包装明细12.13_TFR2014年3月包裝明細" xfId="25966"/>
    <cellStyle name="好_PAV 4月份 包装明细_TCB 2012年2月包裝明細_EF 包装明细12.13_TFR2014年4月包裝明細" xfId="25968"/>
    <cellStyle name="好_PAV 4月份 包装明细_TCB 2012年2月包裝明細_JB 包装明细 12.23" xfId="24845"/>
    <cellStyle name="好_PAV 4月份 包装明细_TCB 2012年2月包裝明細_JB 包装明细 12.23_TFR2014年3月包裝明細" xfId="25969"/>
    <cellStyle name="好_PAV 4月份 包装明细_TCB 2012年2月包裝明細_JB 包装明细 12.23_TFR2014年4月包裝明細" xfId="24572"/>
    <cellStyle name="好_PAV 4月份 包装明细_TCB 2012年2月包裝明細_JB 包装明细 12.23_涂布2014年3月包装明细" xfId="7760"/>
    <cellStyle name="好_PAV 4月份 包装明细_TCB 2012年2月包裝明細_JB 包装明细 12.23_涂布2014年3月包装明细_1" xfId="25971"/>
    <cellStyle name="好_PAV 4月份 包装明细_TCB 2012年2月包裝明細_JB 包装明细 12.23_涂布2014年3月包装明细_TFR2014年3月包裝明細" xfId="14779"/>
    <cellStyle name="好_PAV 4月份 包装明细_TCB 2012年2月包裝明細_JB 包装明细 12.23_涂布2014年3月包装明细_TFR2014年4月包裝明細" xfId="25972"/>
    <cellStyle name="好_PAV 4月份 包装明细_TCB 2012年2月包裝明細_JB 包装明细2.14" xfId="6986"/>
    <cellStyle name="好_PAV 4月份 包装明细_TCB 2012年2月包裝明細_JB 包装明细2.14_TFR2014年3月包裝明細" xfId="25973"/>
    <cellStyle name="好_PAV 4月份 包装明细_TCB 2012年2月包裝明細_JB 包装明细2.14_TFR2014年4月包裝明細" xfId="10216"/>
    <cellStyle name="好_PAV 4月份 包装明细_TCB 2012年2月包裝明細_JB 包装明细2.14_涂布2014年3月包装明细" xfId="25974"/>
    <cellStyle name="好_PAV 4月份 包装明细_TCB 2012年2月包裝明細_LK 包装明细3.4" xfId="22969"/>
    <cellStyle name="好_PAV 4月份 包装明细_TCB 2012年2月包裝明細_LK 包装明细3.4_TFR2014年3月包裝明細" xfId="20184"/>
    <cellStyle name="好_PAV 4月份 包装明细_TCB 2012年2月包裝明細_LK 包装明细3.4_TFR2014年4月包裝明細" xfId="25977"/>
    <cellStyle name="好_PAV 4月份 包装明细_TCB 2012年2月包裝明細_LK 包装明细3.4_涂布2014年3月包装明细" xfId="12012"/>
    <cellStyle name="好_PAV 4月份 包装明细_TCB 2012年2月包裝明細_PAV 包装明细" xfId="25978"/>
    <cellStyle name="好_PAV 4月份 包装明细_TCB 2012年2月包裝明細_PAV 包装明细 1.13" xfId="25979"/>
    <cellStyle name="好_PAV 4月份 包装明细_TCB 2012年2月包裝明細_PAV 包装明细 1.13_TFR2014年3月包裝明細" xfId="25981"/>
    <cellStyle name="好_PAV 4月份 包装明细_TCB 2012年2月包裝明細_PAV 包装明细 1.13_TFR2014年4月包裝明細" xfId="25982"/>
    <cellStyle name="好_PAV 4月份 包装明细_TCB 2012年2月包裝明細_PAV 包装明细_TFR2014年3月包裝明細" xfId="25983"/>
    <cellStyle name="好_PAV 4月份 包装明细_TCB 2012年2月包裝明細_PAV 包装明细_TFR2014年4月包裝明細" xfId="25984"/>
    <cellStyle name="好_PAV 4月份 包装明细_TCB 2012年2月包裝明細_PAV.2014年3月包裝明細" xfId="25985"/>
    <cellStyle name="好_PAV 4月份 包装明细_TCB 2012年2月包裝明細_PAV.2014年3月包裝明細_1" xfId="25986"/>
    <cellStyle name="好_PAV 4月份 包装明细_TCB 2012年2月包裝明細_PAV.2014年3月包裝明細_1_TFR2014年3月包裝明細" xfId="25987"/>
    <cellStyle name="好_PAV 4月份 包装明细_TCB 2012年2月包裝明細_PAV.2014年3月包裝明細_1_TFR2014年4月包裝明細" xfId="25989"/>
    <cellStyle name="好_PAV 4月份 包装明细_TCB 2012年2月包裝明細_PAV.2014年3月包裝明細_TFR2014年3月包裝明細" xfId="20075"/>
    <cellStyle name="好_PAV 4月份 包装明细_TCB 2012年2月包裝明細_PAV.2014年3月包裝明細_TFR2014年4月包裝明細" xfId="25990"/>
    <cellStyle name="好_PAV 4月份 包装明细_TCB 2012年2月包裝明細_PL" xfId="25991"/>
    <cellStyle name="好_PAV 4月份 包装明细_TCB 2012年2月包裝明細_PL_TFR2014年3月包裝明細" xfId="25992"/>
    <cellStyle name="好_PAV 4月份 包装明细_TCB 2012年2月包裝明細_PL_TFR2014年4月包裝明細" xfId="22242"/>
    <cellStyle name="好_PAV 4月份 包装明细_TCB 2012年2月包裝明細_SEB 591 包装明细 9.5" xfId="4827"/>
    <cellStyle name="好_PAV 4月份 包装明细_TCB 2012年2月包裝明細_SEB 591 包装明细 9.5_TFR2014年1月包裝明細" xfId="25993"/>
    <cellStyle name="好_PAV 4月份 包装明细_TCB 2012年2月包裝明細_SEB 591 包装明细 9.5_TFR2014年1月包裝明細_TFR2014年3月包裝明細" xfId="25995"/>
    <cellStyle name="好_PAV 4月份 包装明细_TCB 2012年2月包裝明細_SEB 591 包装明细 9.5_TFR2014年1月包裝明細_TFR2014年4月包裝明細" xfId="468"/>
    <cellStyle name="好_PAV 4月份 包装明细_TCB 2012年2月包裝明細_SEB 591 包装明细 9.5_TFR2014年3月包裝明細" xfId="7492"/>
    <cellStyle name="好_PAV 4月份 包装明细_TCB 2012年2月包裝明細_SEB 591 包装明细 9.5_TFR2014年4月包裝明細" xfId="25998"/>
    <cellStyle name="好_PAV 4月份 包装明细_TCB 2012年2月包裝明細_SEB ASIA 包装明细12.10" xfId="25999"/>
    <cellStyle name="好_PAV 4月份 包装明细_TCB 2012年2月包裝明細_SEB ASIA 包装明细12.10_TFR2014年3月包裝明細" xfId="26000"/>
    <cellStyle name="好_PAV 4月份 包装明细_TCB 2012年2月包裝明細_SEB ASIA 包装明细12.10_TFR2014年4月包裝明細" xfId="6304"/>
    <cellStyle name="好_PAV 4月份 包装明细_TCB 2012年2月包裝明細_SEB ASIA 包装明细12.5" xfId="26003"/>
    <cellStyle name="好_PAV 4月份 包装明细_TCB 2012年2月包裝明細_SEB ASIA 包装明细12.5_TFR2014年3月包裝明細" xfId="11604"/>
    <cellStyle name="好_PAV 4月份 包装明细_TCB 2012年2月包裝明細_SEB ASIA 包装明细12.5_TFR2014年4月包裝明細" xfId="26006"/>
    <cellStyle name="好_PAV 4月份 包装明细_TCB 2012年2月包裝明細_SEB ASIA 包装明细2.11-3.4 更正" xfId="3033"/>
    <cellStyle name="好_PAV 4月份 包装明细_TCB 2012年2月包裝明細_SEB ASIA 包装明细2.11-3.4 更正_TFR2014年3月包裝明細" xfId="26007"/>
    <cellStyle name="好_PAV 4月份 包装明细_TCB 2012年2月包裝明細_SEB ASIA 包装明细2.11-3.4 更正_TFR2014年4月包裝明細" xfId="26008"/>
    <cellStyle name="好_PAV 4月份 包装明细_TCB 2012年2月包裝明細_SEB 包装明细1.9" xfId="18175"/>
    <cellStyle name="好_PAV 4月份 包装明细_TCB 2012年2月包裝明細_SEB 包装明细1.9_TFR2014年3月包裝明細" xfId="26010"/>
    <cellStyle name="好_PAV 4月份 包装明细_TCB 2012年2月包裝明細_SEB 包装明细1.9_TFR2014年4月包裝明細" xfId="14495"/>
    <cellStyle name="好_PAV 4月份 包装明细_TCB 2012年2月包裝明細_SEB 包装明细12.31" xfId="8846"/>
    <cellStyle name="好_PAV 4月份 包装明细_TCB 2012年2月包裝明細_SEB 包装明细12.31_TFR2014年3月包裝明細" xfId="24142"/>
    <cellStyle name="好_PAV 4月份 包装明细_TCB 2012年2月包裝明細_SEB 包装明细12.31_TFR2014年4月包裝明細" xfId="26011"/>
    <cellStyle name="好_PAV 4月份 包装明细_TCB 2012年2月包裝明細_SEB 包装明细2.13 revised" xfId="16798"/>
    <cellStyle name="好_PAV 4月份 包装明细_TCB 2012年2月包裝明細_SEB 包装明细2.13 revised_TFR2014年3月包裝明細" xfId="26013"/>
    <cellStyle name="好_PAV 4月份 包装明细_TCB 2012年2月包裝明細_SEB 包装明细2.13 revised_TFR2014年4月包裝明細" xfId="26014"/>
    <cellStyle name="好_PAV 4月份 包装明细_TCB 2012年2月包裝明細_TFR" xfId="10865"/>
    <cellStyle name="好_PAV 4月份 包装明细_TCB 2012年2月包裝明細_TFR 包装明细 5.13" xfId="1906"/>
    <cellStyle name="好_PAV 4月份 包装明细_TCB 2012年2月包裝明細_TFR 钢圈蛋糕盘包装明细6.5(1)" xfId="6109"/>
    <cellStyle name="好_PAV 4月份 包装明细_TCB 2012年2月包裝明細_TFR 钢圈蛋糕盘包装明细6.5(1)_TFR2014年3月包裝明細" xfId="26015"/>
    <cellStyle name="好_PAV 4月份 包装明细_TCB 2012年2月包裝明細_TFR 钢圈蛋糕盘包装明细6.5(1)_TFR2014年4月包裝明細" xfId="26017"/>
    <cellStyle name="好_PAV 4月份 包装明细_TCB 2012年2月包裝明細_TFR(SEB ASIA) 包装明细3-25" xfId="26018"/>
    <cellStyle name="好_PAV 4月份 包装明细_TCB 2012年2月包裝明細_TFR(SEB ASIA) 包装明细4.29" xfId="26019"/>
    <cellStyle name="好_PAV 4月份 包装明细_TCB 2012年2月包裝明細_TFR_TFR2014年3月包裝明細" xfId="26020"/>
    <cellStyle name="好_PAV 4月份 包装明细_TCB 2012年2月包裝明細_TFR_TFR2014年4月包裝明細" xfId="26021"/>
    <cellStyle name="好_PAV 4月份 包装明细_TCB 2012年2月包裝明細_TFR2014年1月包裝明細" xfId="16211"/>
    <cellStyle name="好_PAV 4月份 包装明细_TCB 2012年2月包裝明細_TFR2014年1月包裝明細_1" xfId="26022"/>
    <cellStyle name="好_PAV 4月份 包装明细_TCB 2012年2月包裝明細_TFR2014年1月包裝明細_1123" xfId="26024"/>
    <cellStyle name="好_PAV 4月份 包装明细_TCB 2012年2月包裝明細_TFR2014年1月包裝明細_1136" xfId="26025"/>
    <cellStyle name="好_PAV 4月份 包装明细_TCB 2012年2月包裝明細_TFR2014年1月包裝明細_143" xfId="14776"/>
    <cellStyle name="好_PAV 4月份 包装明细_TCB 2012年2月包裝明細_TFR2014年1月包裝明細_4.15" xfId="17163"/>
    <cellStyle name="好_PAV 4月份 包装明细_TCB 2012年2月包裝明細_TFR2014年1月包裝明細_PL" xfId="26026"/>
    <cellStyle name="好_PAV 4月份 包装明细_TCB 2012年2月包裝明細_TFR2014年1月包裝明細_PL_TFR2014年3月包裝明細" xfId="26027"/>
    <cellStyle name="好_PAV 4月份 包装明细_TCB 2012年2月包裝明細_TFR2014年1月包裝明細_PL_TFR2014年4月包裝明細" xfId="23516"/>
    <cellStyle name="好_PAV 4月份 包装明细_TCB 2012年2月包裝明細_TFR2014年1月包裝明細_TFR" xfId="2873"/>
    <cellStyle name="好_PAV 4月份 包装明细_TCB 2012年2月包裝明細_TFR2014年1月包裝明細_TFR 包装明细 5.13" xfId="1613"/>
    <cellStyle name="好_PAV 4月份 包装明细_TCB 2012年2月包裝明細_TFR2014年1月包裝明細_TFR(SEB ASIA) 包装明细3-25" xfId="10877"/>
    <cellStyle name="好_PAV 4月份 包装明细_TCB 2012年2月包裝明細_TFR2014年1月包裝明細_TFR(SEB ASIA) 包装明细4.29" xfId="11509"/>
    <cellStyle name="好_PAV 4月份 包装明细_TCB 2012年2月包裝明細_TFR2014年1月包裝明細_TFR_TFR2014年3月包裝明細" xfId="6070"/>
    <cellStyle name="好_PAV 4月份 包装明细_TCB 2012年2月包裝明細_TFR2014年1月包裝明細_TFR_TFR2014年4月包裝明細" xfId="7472"/>
    <cellStyle name="好_PAV 4月份 包装明细_TCB 2012年2月包裝明細_TFR2014年1月包裝明細_TFR2014年3月包裝明細" xfId="26029"/>
    <cellStyle name="好_PAV 4月份 包装明细_TCB 2012年2月包裝明細_TFR2014年1月包裝明細_TFR2014年3月包裝明細_1" xfId="9071"/>
    <cellStyle name="好_PAV 4月份 包装明细_TCB 2012年2月包裝明細_TFR2014年1月包裝明細_TFR2014年3月包裝明細_1_TFR2014年3月包裝明細" xfId="17030"/>
    <cellStyle name="好_PAV 4月份 包装明细_TCB 2012年2月包裝明細_TFR2014年1月包裝明細_TFR2014年3月包裝明細_1_TFR2014年4月包裝明細" xfId="21932"/>
    <cellStyle name="好_PAV 4月份 包装明细_TCB 2012年2月包裝明細_TFR2014年1月包裝明細_TFR2014年3月包裝明細_2" xfId="9084"/>
    <cellStyle name="好_PAV 4月份 包装明细_TCB 2012年2月包裝明細_TFR2014年1月包裝明細_TFR2014年3月包裝明細_3" xfId="9087"/>
    <cellStyle name="好_PAV 4月份 包装明细_TCB 2012年2月包裝明細_TFR2014年1月包裝明細_TFR2014年3月包裝明細_4" xfId="3915"/>
    <cellStyle name="好_PAV 4月份 包装明细_TCB 2012年2月包裝明細_TFR2014年1月包裝明細_TFR2014年3月包裝明細_TFR2014年3月包裝明細" xfId="26030"/>
    <cellStyle name="好_PAV 4月份 包装明细_TCB 2012年2月包裝明細_TFR2014年1月包裝明細_TFR2014年3月包裝明細_TFR2014年4月包裝明細" xfId="26031"/>
    <cellStyle name="好_PAV 4月份 包装明细_TCB 2012年2月包裝明細_TFR2014年1月包裝明細_TFR2014年4月包裝明細" xfId="26034"/>
    <cellStyle name="好_PAV 4月份 包装明细_TCB 2012年2月包裝明細_TFR2014年1月包裝明細_包装明细" xfId="26035"/>
    <cellStyle name="好_PAV 4月份 包装明细_TCB 2012年2月包裝明細_TFR2014年3月包裝明細" xfId="26037"/>
    <cellStyle name="好_PAV 4月份 包装明细_TCB 2012年2月包裝明細_TFR2014年3月包裝明細_1" xfId="26039"/>
    <cellStyle name="好_PAV 4月份 包装明细_TCB 2012年2月包裝明細_TFR2014年3月包裝明細_1_TFR2014年3月包裝明細" xfId="24439"/>
    <cellStyle name="好_PAV 4月份 包装明细_TCB 2012年2月包裝明細_TFR2014年3月包裝明細_1_TFR2014年4月包裝明細" xfId="26040"/>
    <cellStyle name="好_PAV 4月份 包装明细_TCB 2012年2月包裝明細_TFR2014年3月包裝明細_2" xfId="26042"/>
    <cellStyle name="好_PAV 4月份 包装明细_TCB 2012年2月包裝明細_TFR2014年3月包裝明細_2_TFR2014年3月包裝明細" xfId="26043"/>
    <cellStyle name="好_PAV 4月份 包装明细_TCB 2012年2月包裝明細_TFR2014年3月包裝明細_2_TFR2014年4月包裝明細" xfId="14888"/>
    <cellStyle name="好_PAV 4月份 包装明细_TCB 2012年2月包裝明細_TFR2014年3月包裝明細_3" xfId="26045"/>
    <cellStyle name="好_PAV 4月份 包装明细_TCB 2012年2月包裝明細_TFR2014年3月包裝明細_4" xfId="26047"/>
    <cellStyle name="好_PAV 4月份 包装明细_TCB 2012年2月包裝明細_TFR2014年3月包裝明細_5" xfId="26049"/>
    <cellStyle name="好_PAV 4月份 包装明细_TCB 2012年2月包裝明細_TFR2014年3月包裝明細_TFR2014年3月包裝明細" xfId="22741"/>
    <cellStyle name="好_PAV 4月份 包装明细_TCB 2012年2月包裝明細_TFR2014年3月包裝明細_TFR2014年4月包裝明細" xfId="22780"/>
    <cellStyle name="好_PAV 4月份 包装明细_TCB 2012年2月包裝明細_TFR2014年4月包裝明細" xfId="26050"/>
    <cellStyle name="好_PAV 4月份 包装明细_TCB 2012年2月包裝明細_TLF 包装明细 7.15" xfId="26051"/>
    <cellStyle name="好_PAV 4月份 包装明细_TCB 2012年2月包裝明細_TLF 包装明细 7.15_TFR2014年1月包裝明細" xfId="26052"/>
    <cellStyle name="好_PAV 4月份 包装明细_TCB 2012年2月包裝明細_TLF 包装明细 7.15_TFR2014年1月包裝明細_TFR2014年3月包裝明細" xfId="12064"/>
    <cellStyle name="好_PAV 4月份 包装明细_TCB 2012年2月包裝明細_TLF 包装明细 7.15_TFR2014年1月包裝明細_TFR2014年4月包裝明細" xfId="26053"/>
    <cellStyle name="好_PAV 4月份 包装明细_TCB 2012年2月包裝明細_TLF 包装明细 7.15_TFR2014年3月包裝明細" xfId="15879"/>
    <cellStyle name="好_PAV 4月份 包装明细_TCB 2012年2月包裝明細_TLF 包装明细 7.15_TFR2014年4月包裝明細" xfId="13387"/>
    <cellStyle name="好_PAV 4月份 包装明细_TCB 2012年2月包裝明細_TLF 包装明细1.7" xfId="15315"/>
    <cellStyle name="好_PAV 4月份 包装明细_TCB 2012年2月包裝明細_TLF 包装明细1.7_TFR2014年3月包裝明細" xfId="26054"/>
    <cellStyle name="好_PAV 4月份 包装明细_TCB 2012年2月包裝明細_TLF 包装明细1.7_TFR2014年4月包裝明細" xfId="26055"/>
    <cellStyle name="好_PAV 4月份 包装明细_TCB 2012年2月包裝明細_包装明细" xfId="26056"/>
    <cellStyle name="好_PAV 4月份 包装明细_TCB 2012年2月包裝明細_涂布2014年3月包装明细" xfId="8020"/>
    <cellStyle name="好_PAV 4月份 包装明细_TCB 2012年2月包裝明細_涂布2014年3月包装明细_1" xfId="24829"/>
    <cellStyle name="好_PAV 4月份 包装明细_TCB 2012年2月包裝明細_涂布2014年3月包装明细_1_TFR2014年3月包裝明細" xfId="26057"/>
    <cellStyle name="好_PAV 4月份 包装明细_TCB 2012年2月包裝明細_涂布2014年3月包装明细_1_TFR2014年4月包裝明細" xfId="24861"/>
    <cellStyle name="好_PAV 4月份 包装明细_TCB 2012年2月包裝明細_涂布2014年3月包装明细_2" xfId="24831"/>
    <cellStyle name="好_PAV 4月份 包装明细_TCB 2012年2月包裝明細_涂布2014年3月包装明细_TFR2014年3月包裝明細" xfId="11165"/>
    <cellStyle name="好_PAV 4月份 包装明细_TCB 2012年2月包裝明細_涂布2014年3月包装明细_TFR2014年4月包裝明細" xfId="26058"/>
    <cellStyle name="好_PAV 4月份 包装明细_TFR2012年3月包裝明細" xfId="26060"/>
    <cellStyle name="好_PAV 4月份 包装明细_TFR2012年3月包裝明細_PAV.2014年3月包裝明細" xfId="26063"/>
    <cellStyle name="好_PAV 4月份 包装明细_TFR2012年3月包裝明細_PAV.2014年3月包裝明細_TFR2014年3月包裝明細" xfId="26064"/>
    <cellStyle name="好_PAV 4月份 包装明细_TFR2012年3月包裝明細_PAV.2014年3月包裝明細_TFR2014年4月包裝明細" xfId="26065"/>
    <cellStyle name="好_PAV 4月份 包装明细_TFR2012年3月包裝明細_TFR2014年1月包裝明細" xfId="23886"/>
    <cellStyle name="好_PAV 4月份 包装明细_TFR2012年3月包裝明細_TFR2014年1月包裝明細_TFR2014年3月包裝明細" xfId="26067"/>
    <cellStyle name="好_PAV 4月份 包装明细_TFR2012年3月包裝明細_TFR2014年1月包裝明細_TFR2014年4月包裝明細" xfId="26068"/>
    <cellStyle name="好_PAV 4月份 包装明细_TFR2012年3月包裝明細_TFR2014年3月包裝明細" xfId="26069"/>
    <cellStyle name="好_PAV 4月份 包装明细_TFR2012年3月包裝明細_TFR2014年3月包裝明細_1" xfId="26070"/>
    <cellStyle name="好_PAV 4月份 包装明细_TFR2012年3月包裝明細_TFR2014年3月包裝明細_TFR2014年3月包裝明細" xfId="26072"/>
    <cellStyle name="好_PAV 4月份 包装明细_TFR2012年3月包裝明細_TFR2014年3月包裝明細_TFR2014年4月包裝明細" xfId="26074"/>
    <cellStyle name="好_PAV 4月份 包装明细_TFR2012年3月包裝明細_TFR2014年4月包裝明細" xfId="5134"/>
    <cellStyle name="好_PAV 4月份 包装明细_TFR2012年3月包裝明細_涂布2014年3月包装明细" xfId="26075"/>
    <cellStyle name="好_PAV 4月份 包装明细_TFR2012年3月包裝明細_涂布2014年3月包装明细_1" xfId="26077"/>
    <cellStyle name="好_PAV 4月份 包装明细_TFR2012年3月包裝明細_涂布2014年3月包装明细_TFR2014年3月包裝明細" xfId="26078"/>
    <cellStyle name="好_PAV 4月份 包装明细_TFR2012年3月包裝明細_涂布2014年3月包装明细_TFR2014年4月包裝明細" xfId="26079"/>
    <cellStyle name="好_PAV 4月份 包装明细_TFR2012年5月包裝明細" xfId="26080"/>
    <cellStyle name="好_PAV 4月份 包装明细_TFR2012年5月包裝明細_PAV.2014年3月包裝明細" xfId="26082"/>
    <cellStyle name="好_PAV 4月份 包装明细_TFR2012年5月包裝明細_PAV.2014年3月包裝明細_TFR2014年3月包裝明細" xfId="26083"/>
    <cellStyle name="好_PAV 4月份 包装明细_TFR2012年5月包裝明細_PAV.2014年3月包裝明細_TFR2014年4月包裝明細" xfId="19937"/>
    <cellStyle name="好_PAV 4月份 包装明细_TFR2012年5月包裝明細_TFR2014年1月包裝明細" xfId="24694"/>
    <cellStyle name="好_PAV 4月份 包装明细_TFR2012年5月包裝明細_TFR2014年1月包裝明細_TFR2014年3月包裝明細" xfId="26084"/>
    <cellStyle name="好_PAV 4月份 包装明细_TFR2012年5月包裝明細_TFR2014年1月包裝明細_TFR2014年4月包裝明細" xfId="14417"/>
    <cellStyle name="好_PAV 4月份 包装明细_TFR2012年5月包裝明細_TFR2014年3月包裝明細" xfId="26087"/>
    <cellStyle name="好_PAV 4月份 包装明细_TFR2012年5月包裝明細_TFR2014年3月包裝明細_1" xfId="26088"/>
    <cellStyle name="好_PAV 4月份 包装明细_TFR2012年5月包裝明細_TFR2014年3月包裝明細_TFR2014年3月包裝明細" xfId="6185"/>
    <cellStyle name="好_PAV 4月份 包装明细_TFR2012年5月包裝明細_TFR2014年3月包裝明細_TFR2014年4月包裝明細" xfId="26091"/>
    <cellStyle name="好_PAV 4月份 包装明细_TFR2012年5月包裝明細_TFR2014年4月包裝明細" xfId="26092"/>
    <cellStyle name="好_PAV 4月份 包装明细_TFR2012年5月包裝明細_涂布2014年3月包装明细" xfId="23003"/>
    <cellStyle name="好_PAV 4月份 包装明细_TFR2012年5月包裝明細_涂布2014年3月包装明细_1" xfId="19905"/>
    <cellStyle name="好_PAV 4月份 包装明细_TFR2012年5月包裝明細_涂布2014年3月包装明细_TFR2014年3月包裝明細" xfId="16891"/>
    <cellStyle name="好_PAV 4月份 包装明细_TFR2012年5月包裝明細_涂布2014年3月包装明细_TFR2014年4月包裝明細" xfId="19737"/>
    <cellStyle name="好_PAV 4月份 包装明细_TFR2012年8月包裝明細" xfId="26093"/>
    <cellStyle name="好_PAV 4月份 包装明细_TFR2012年8月包裝明細_TFR2014年1月包裝明細" xfId="26094"/>
    <cellStyle name="好_PAV 4月份 包装明细_TFR2012年8月包裝明細_TFR2014年1月包裝明細_TFR2014年3月包裝明細" xfId="26096"/>
    <cellStyle name="好_PAV 4月份 包装明细_TFR2012年8月包裝明細_TFR2014年1月包裝明細_TFR2014年4月包裝明細" xfId="26098"/>
    <cellStyle name="好_PAV 4月份 包装明细_TFR2012年8月包裝明細_TFR2014年3月包裝明細" xfId="11630"/>
    <cellStyle name="好_PAV 4月份 包装明细_TFR2012年8月包裝明細_TFR2014年4月包裝明細" xfId="26099"/>
    <cellStyle name="好_PAV 4月份 包装明细_TFR2012年9月包裝明細" xfId="4769"/>
    <cellStyle name="好_PAV 4月份 包装明细_TFR2012年9月包裝明細_TFR2014年1月包裝明細" xfId="10456"/>
    <cellStyle name="好_PAV 4月份 包装明细_TFR2012年9月包裝明細_TFR2014年1月包裝明細_TFR2014年3月包裝明細" xfId="13549"/>
    <cellStyle name="好_PAV 4月份 包装明细_TFR2012年9月包裝明細_TFR2014年1月包裝明細_TFR2014年4月包裝明細" xfId="26101"/>
    <cellStyle name="好_PAV 4月份 包装明细_TFR2012年9月包裝明細_TFR2014年3月包裝明細" xfId="16219"/>
    <cellStyle name="好_PAV 4月份 包装明细_TFR2012年9月包裝明細_TFR2014年4月包裝明細" xfId="18288"/>
    <cellStyle name="好_PAV 4月份 包装明细_TFR2014年1月包裝明細" xfId="26102"/>
    <cellStyle name="好_PAV 4月份 包装明细_TFR2014年1月包裝明細_TFR2014年3月包裝明細" xfId="26103"/>
    <cellStyle name="好_PAV 4月份 包装明细_TFR2014年1月包裝明細_TFR2014年4月包裝明細" xfId="19928"/>
    <cellStyle name="好_PAV 4月份 包装明细_TFR2014年3月包裝明細" xfId="524"/>
    <cellStyle name="好_PAV 4月份 包装明细_TFR2014年4月包裝明細" xfId="8432"/>
    <cellStyle name="好_PAV 4月份 包装明细_涂布2014年3月包装明细" xfId="26104"/>
    <cellStyle name="好_PAV 4月份 包装明细_涂布2014年3月包装明细_1" xfId="26107"/>
    <cellStyle name="好_PAV 4月份 包装明细_涂布2014年3月包装明细_1_TFR2014年3月包裝明細" xfId="26108"/>
    <cellStyle name="好_PAV 4月份 包装明细_涂布2014年3月包装明细_1_TFR2014年4月包裝明細" xfId="26110"/>
    <cellStyle name="好_PAV 4月份 包装明细_涂布2014年3月包装明细_2" xfId="26111"/>
    <cellStyle name="好_PAV 4月份 包装明细_涂布2014年3月包装明细_TFR2014年3月包裝明細" xfId="4305"/>
    <cellStyle name="好_PAV 4月份 包装明细_涂布2014年3月包装明细_TFR2014年4月包裝明細" xfId="26112"/>
    <cellStyle name="好_Sheet1" xfId="129"/>
    <cellStyle name="好_Sheet1 2" xfId="130"/>
    <cellStyle name="好_Sheet1 2 2" xfId="38450"/>
    <cellStyle name="好_Sheet1 3" xfId="38451"/>
    <cellStyle name="好_VN-E1613" xfId="131"/>
    <cellStyle name="好_VN-E1613 2" xfId="132"/>
    <cellStyle name="好_VN-E1613 2 2" xfId="38448"/>
    <cellStyle name="好_VN-E1613 3" xfId="38449"/>
    <cellStyle name="好_VN-E1618" xfId="133"/>
    <cellStyle name="好_VN-E1618 2" xfId="134"/>
    <cellStyle name="好_VN-E1618 2 2" xfId="38447"/>
    <cellStyle name="好_VN-E1619" xfId="135"/>
    <cellStyle name="好_VN-E1619 2" xfId="136"/>
    <cellStyle name="好_VN-E1619 2 2" xfId="38446"/>
    <cellStyle name="好_VN-E1620" xfId="137"/>
    <cellStyle name="好_VN-E1620 2" xfId="138"/>
    <cellStyle name="好_VN-E1620 2 2" xfId="38445"/>
    <cellStyle name="好_VN-E1622" xfId="139"/>
    <cellStyle name="好_VN-E1622 2" xfId="140"/>
    <cellStyle name="好_VN-E1622 2 2" xfId="38444"/>
    <cellStyle name="好_VN-E1623" xfId="141"/>
    <cellStyle name="好_VN-E1623 2" xfId="142"/>
    <cellStyle name="好_VN-E1623 2 2" xfId="38443"/>
    <cellStyle name="好_VN-E1624" xfId="143"/>
    <cellStyle name="好_VN-E1624 (2)" xfId="144"/>
    <cellStyle name="好_VN-E1624 (2) 2" xfId="145"/>
    <cellStyle name="好_VN-E1624 (2) 2 2" xfId="38442"/>
    <cellStyle name="好_VN-E1624 2" xfId="146"/>
    <cellStyle name="好_VN-E1624 2 2" xfId="38441"/>
    <cellStyle name="好_VN-E1624 3" xfId="147"/>
    <cellStyle name="好_VN-E1624 3 2" xfId="38440"/>
    <cellStyle name="好_VN-E1624 4" xfId="148"/>
    <cellStyle name="好_VN-E1624 4 2" xfId="38439"/>
    <cellStyle name="好_VN-E1624 5" xfId="149"/>
    <cellStyle name="好_VN-E1624 5 2" xfId="38438"/>
    <cellStyle name="好_VN-E1624 6" xfId="150"/>
    <cellStyle name="好_VN-E1624 6 2" xfId="38437"/>
    <cellStyle name="好_VN-E1624 7" xfId="151"/>
    <cellStyle name="好_VN-E1624 7 2" xfId="38436"/>
    <cellStyle name="好_VN-E1625" xfId="152"/>
    <cellStyle name="好_VN-E1625 2" xfId="153"/>
    <cellStyle name="好_VN-E1625 2 2" xfId="38435"/>
    <cellStyle name="好_VN-E1626" xfId="154"/>
    <cellStyle name="好_VN-E1626 2" xfId="155"/>
    <cellStyle name="好_VN-E1626 2 2" xfId="38434"/>
    <cellStyle name="好_VN-E1627" xfId="156"/>
    <cellStyle name="好_VN-E1627 2" xfId="157"/>
    <cellStyle name="好_VN-E1627 2 2" xfId="38433"/>
    <cellStyle name="好_VN-E1629" xfId="158"/>
    <cellStyle name="好_VN-E1629 2" xfId="159"/>
    <cellStyle name="好_VN-E1629 2 2" xfId="38432"/>
    <cellStyle name="好_VN-E1630" xfId="160"/>
    <cellStyle name="好_VN-E1630 2" xfId="161"/>
    <cellStyle name="好_VN-E1630 2 2" xfId="38428"/>
    <cellStyle name="好_VN-E1631" xfId="162"/>
    <cellStyle name="好_VN-E1631 2" xfId="163"/>
    <cellStyle name="好_VN-E1631 2 2" xfId="38501"/>
    <cellStyle name="好_VN-E1632" xfId="164"/>
    <cellStyle name="好_VN-E1632 2" xfId="165"/>
    <cellStyle name="好_VN-E1632 2 2" xfId="38427"/>
    <cellStyle name="好_VN-E1633" xfId="166"/>
    <cellStyle name="好_VN-E1633 2" xfId="167"/>
    <cellStyle name="好_VN-E1633 2 2" xfId="38425"/>
    <cellStyle name="好_VN-E1701" xfId="168"/>
    <cellStyle name="好_VN-E1701 2" xfId="169"/>
    <cellStyle name="好_VN-E1701 2 2" xfId="38422"/>
    <cellStyle name="好_第1段" xfId="170"/>
    <cellStyle name="好_第1段 2" xfId="171"/>
    <cellStyle name="好_第1段 2 2" xfId="38420"/>
    <cellStyle name="好_第1段 3" xfId="38421"/>
    <cellStyle name="差 10" xfId="22023"/>
    <cellStyle name="差 11" xfId="4140"/>
    <cellStyle name="差 12" xfId="4207"/>
    <cellStyle name="差 12 10" xfId="26113"/>
    <cellStyle name="差 12 11" xfId="26114"/>
    <cellStyle name="差 12 12" xfId="26115"/>
    <cellStyle name="差 12 13" xfId="17412"/>
    <cellStyle name="差 12 14" xfId="17415"/>
    <cellStyle name="差 12 2" xfId="4219"/>
    <cellStyle name="差 12 3" xfId="26116"/>
    <cellStyle name="差 12 4" xfId="26117"/>
    <cellStyle name="差 12 5" xfId="26118"/>
    <cellStyle name="差 12 5 10" xfId="26119"/>
    <cellStyle name="差 12 5 11" xfId="26123"/>
    <cellStyle name="差 12 5 2" xfId="24862"/>
    <cellStyle name="差 12 5 2 2" xfId="26127"/>
    <cellStyle name="差 12 5 2 2 2" xfId="26128"/>
    <cellStyle name="差 12 5 2 2 3" xfId="26129"/>
    <cellStyle name="差 12 5 2 3" xfId="26130"/>
    <cellStyle name="差 12 5 2 4" xfId="26131"/>
    <cellStyle name="差 12 5 2 5" xfId="2361"/>
    <cellStyle name="差 12 5 2 6" xfId="2364"/>
    <cellStyle name="差 12 5 2 7" xfId="2369"/>
    <cellStyle name="差 12 5 2 8" xfId="2391"/>
    <cellStyle name="差 12 5 3" xfId="9817"/>
    <cellStyle name="差 12 5 4" xfId="9824"/>
    <cellStyle name="差 12 5 5" xfId="9830"/>
    <cellStyle name="差 12 5 6" xfId="9839"/>
    <cellStyle name="差 12 5 6 2" xfId="22260"/>
    <cellStyle name="差 12 5 6 3" xfId="22262"/>
    <cellStyle name="差 12 5 7" xfId="9848"/>
    <cellStyle name="差 12 5 8" xfId="9854"/>
    <cellStyle name="差 12 5 9" xfId="9477"/>
    <cellStyle name="差 12 6" xfId="26132"/>
    <cellStyle name="差 12 6 2" xfId="24900"/>
    <cellStyle name="差 12 6 2 2" xfId="26134"/>
    <cellStyle name="差 12 6 2 3" xfId="26135"/>
    <cellStyle name="差 12 6 3" xfId="24902"/>
    <cellStyle name="差 12 6 4" xfId="16596"/>
    <cellStyle name="差 12 6 5" xfId="16599"/>
    <cellStyle name="差 12 6 6" xfId="16606"/>
    <cellStyle name="差 12 6 7" xfId="16612"/>
    <cellStyle name="差 12 6 8" xfId="16640"/>
    <cellStyle name="差 12 7" xfId="26136"/>
    <cellStyle name="差 12 8" xfId="26137"/>
    <cellStyle name="差 12 9" xfId="26138"/>
    <cellStyle name="差 12 9 2" xfId="26140"/>
    <cellStyle name="差 12 9 3" xfId="26142"/>
    <cellStyle name="差 13" xfId="4267"/>
    <cellStyle name="差 14" xfId="4278"/>
    <cellStyle name="差 15" xfId="4295"/>
    <cellStyle name="差 16" xfId="3953"/>
    <cellStyle name="差 16 10" xfId="6011"/>
    <cellStyle name="差 16 11" xfId="18114"/>
    <cellStyle name="差 16 12" xfId="26143"/>
    <cellStyle name="差 16 13" xfId="20828"/>
    <cellStyle name="差 16 14" xfId="22414"/>
    <cellStyle name="差 16 2" xfId="18117"/>
    <cellStyle name="差 16 3" xfId="18124"/>
    <cellStyle name="差 16 4" xfId="18126"/>
    <cellStyle name="差 16 5" xfId="18128"/>
    <cellStyle name="差 16 5 10" xfId="26144"/>
    <cellStyle name="差 16 5 11" xfId="26146"/>
    <cellStyle name="差 16 5 2" xfId="21188"/>
    <cellStyle name="差 16 5 2 2" xfId="26147"/>
    <cellStyle name="差 16 5 2 2 2" xfId="26148"/>
    <cellStyle name="差 16 5 2 2 3" xfId="26150"/>
    <cellStyle name="差 16 5 2 3" xfId="26152"/>
    <cellStyle name="差 16 5 2 4" xfId="26153"/>
    <cellStyle name="差 16 5 2 5" xfId="26154"/>
    <cellStyle name="差 16 5 2 6" xfId="26155"/>
    <cellStyle name="差 16 5 2 7" xfId="26156"/>
    <cellStyle name="差 16 5 2 8" xfId="26157"/>
    <cellStyle name="差 16 5 3" xfId="26158"/>
    <cellStyle name="差 16 5 4" xfId="26159"/>
    <cellStyle name="差 16 5 5" xfId="26160"/>
    <cellStyle name="差 16 5 6" xfId="26162"/>
    <cellStyle name="差 16 5 6 2" xfId="26165"/>
    <cellStyle name="差 16 5 6 3" xfId="26167"/>
    <cellStyle name="差 16 5 7" xfId="4375"/>
    <cellStyle name="差 16 5 8" xfId="4386"/>
    <cellStyle name="差 16 5 9" xfId="4400"/>
    <cellStyle name="差 16 6" xfId="18130"/>
    <cellStyle name="差 16 6 2" xfId="18133"/>
    <cellStyle name="差 16 6 2 2" xfId="26168"/>
    <cellStyle name="差 16 6 2 3" xfId="26169"/>
    <cellStyle name="差 16 6 3" xfId="18136"/>
    <cellStyle name="差 16 6 4" xfId="26170"/>
    <cellStyle name="差 16 6 5" xfId="26171"/>
    <cellStyle name="差 16 6 6" xfId="26172"/>
    <cellStyle name="差 16 6 7" xfId="5037"/>
    <cellStyle name="差 16 6 8" xfId="5045"/>
    <cellStyle name="差 16 7" xfId="18139"/>
    <cellStyle name="差 16 8" xfId="18142"/>
    <cellStyle name="差 16 9" xfId="18145"/>
    <cellStyle name="差 16 9 2" xfId="26174"/>
    <cellStyle name="差 16 9 3" xfId="26175"/>
    <cellStyle name="差 17" xfId="3972"/>
    <cellStyle name="差 17 10" xfId="26176"/>
    <cellStyle name="差 17 11" xfId="26177"/>
    <cellStyle name="差 17 12" xfId="26178"/>
    <cellStyle name="差 17 13" xfId="26179"/>
    <cellStyle name="差 17 14" xfId="26180"/>
    <cellStyle name="差 17 2" xfId="16313"/>
    <cellStyle name="差 17 3" xfId="16318"/>
    <cellStyle name="差 17 4" xfId="16323"/>
    <cellStyle name="差 17 5" xfId="16326"/>
    <cellStyle name="差 17 5 10" xfId="26181"/>
    <cellStyle name="差 17 5 11" xfId="26183"/>
    <cellStyle name="差 17 5 2" xfId="25073"/>
    <cellStyle name="差 17 5 2 2" xfId="26187"/>
    <cellStyle name="差 17 5 2 2 2" xfId="26188"/>
    <cellStyle name="差 17 5 2 2 3" xfId="26189"/>
    <cellStyle name="差 17 5 2 3" xfId="26192"/>
    <cellStyle name="差 17 5 2 4" xfId="4434"/>
    <cellStyle name="差 17 5 2 5" xfId="4450"/>
    <cellStyle name="差 17 5 2 6" xfId="4466"/>
    <cellStyle name="差 17 5 2 7" xfId="4479"/>
    <cellStyle name="差 17 5 2 8" xfId="4492"/>
    <cellStyle name="差 17 5 3" xfId="25076"/>
    <cellStyle name="差 17 5 4" xfId="7542"/>
    <cellStyle name="差 17 5 5" xfId="11750"/>
    <cellStyle name="差 17 5 6" xfId="11759"/>
    <cellStyle name="差 17 5 6 2" xfId="20484"/>
    <cellStyle name="差 17 5 6 3" xfId="20487"/>
    <cellStyle name="差 17 5 7" xfId="11768"/>
    <cellStyle name="差 17 5 8" xfId="10922"/>
    <cellStyle name="差 17 5 9" xfId="10054"/>
    <cellStyle name="差 17 6" xfId="16329"/>
    <cellStyle name="差 17 6 2" xfId="25109"/>
    <cellStyle name="差 17 6 2 2" xfId="20329"/>
    <cellStyle name="差 17 6 2 3" xfId="20334"/>
    <cellStyle name="差 17 6 3" xfId="25111"/>
    <cellStyle name="差 17 6 4" xfId="16817"/>
    <cellStyle name="差 17 6 5" xfId="16820"/>
    <cellStyle name="差 17 6 6" xfId="16825"/>
    <cellStyle name="差 17 6 7" xfId="16830"/>
    <cellStyle name="差 17 6 8" xfId="16861"/>
    <cellStyle name="差 17 7" xfId="18152"/>
    <cellStyle name="差 17 8" xfId="18155"/>
    <cellStyle name="差 17 9" xfId="26194"/>
    <cellStyle name="差 17 9 2" xfId="26196"/>
    <cellStyle name="差 17 9 3" xfId="19528"/>
    <cellStyle name="差 18" xfId="4900"/>
    <cellStyle name="差 18 10" xfId="11379"/>
    <cellStyle name="差 18 11" xfId="26197"/>
    <cellStyle name="差 18 12" xfId="26199"/>
    <cellStyle name="差 18 13" xfId="26200"/>
    <cellStyle name="差 18 14" xfId="26201"/>
    <cellStyle name="差 18 2" xfId="26203"/>
    <cellStyle name="差 18 3" xfId="26205"/>
    <cellStyle name="差 18 4" xfId="26207"/>
    <cellStyle name="差 18 5" xfId="26208"/>
    <cellStyle name="差 18 5 10" xfId="20865"/>
    <cellStyle name="差 18 5 11" xfId="20867"/>
    <cellStyle name="差 18 5 2" xfId="26209"/>
    <cellStyle name="差 18 5 2 2" xfId="26212"/>
    <cellStyle name="差 18 5 2 2 2" xfId="26213"/>
    <cellStyle name="差 18 5 2 2 3" xfId="26214"/>
    <cellStyle name="差 18 5 2 3" xfId="26216"/>
    <cellStyle name="差 18 5 2 4" xfId="26218"/>
    <cellStyle name="差 18 5 2 5" xfId="26220"/>
    <cellStyle name="差 18 5 2 6" xfId="26222"/>
    <cellStyle name="差 18 5 2 7" xfId="26224"/>
    <cellStyle name="差 18 5 2 8" xfId="26225"/>
    <cellStyle name="差 18 5 3" xfId="26226"/>
    <cellStyle name="差 18 5 4" xfId="26228"/>
    <cellStyle name="差 18 5 5" xfId="26230"/>
    <cellStyle name="差 18 5 6" xfId="26232"/>
    <cellStyle name="差 18 5 6 2" xfId="26234"/>
    <cellStyle name="差 18 5 6 3" xfId="26235"/>
    <cellStyle name="差 18 5 7" xfId="26236"/>
    <cellStyle name="差 18 5 8" xfId="26237"/>
    <cellStyle name="差 18 5 9" xfId="26238"/>
    <cellStyle name="差 18 6" xfId="26239"/>
    <cellStyle name="差 18 6 2" xfId="23382"/>
    <cellStyle name="差 18 6 2 2" xfId="11810"/>
    <cellStyle name="差 18 6 2 3" xfId="11812"/>
    <cellStyle name="差 18 6 3" xfId="23384"/>
    <cellStyle name="差 18 6 4" xfId="23386"/>
    <cellStyle name="差 18 6 5" xfId="23390"/>
    <cellStyle name="差 18 6 6" xfId="23404"/>
    <cellStyle name="差 18 6 7" xfId="23406"/>
    <cellStyle name="差 18 6 8" xfId="23408"/>
    <cellStyle name="差 18 7" xfId="26240"/>
    <cellStyle name="差 18 8" xfId="26241"/>
    <cellStyle name="差 18 9" xfId="26242"/>
    <cellStyle name="差 18 9 2" xfId="26243"/>
    <cellStyle name="差 18 9 3" xfId="26244"/>
    <cellStyle name="差 19" xfId="18157"/>
    <cellStyle name="差 2" xfId="26245"/>
    <cellStyle name="差 2 10" xfId="26246"/>
    <cellStyle name="差 2 11" xfId="26247"/>
    <cellStyle name="差 2 12" xfId="26248"/>
    <cellStyle name="差 2 13" xfId="26249"/>
    <cellStyle name="差 2 14" xfId="26250"/>
    <cellStyle name="差 2 15" xfId="26251"/>
    <cellStyle name="差 2 16" xfId="26253"/>
    <cellStyle name="差 2 17" xfId="26254"/>
    <cellStyle name="差 2 17 10" xfId="20439"/>
    <cellStyle name="差 2 17 11" xfId="20444"/>
    <cellStyle name="差 2 17 12" xfId="20450"/>
    <cellStyle name="差 2 17 13" xfId="2352"/>
    <cellStyle name="差 2 17 14" xfId="13297"/>
    <cellStyle name="差 2 17 2" xfId="25566"/>
    <cellStyle name="差 2 17 3" xfId="26255"/>
    <cellStyle name="差 2 17 4" xfId="26256"/>
    <cellStyle name="差 2 17 5" xfId="26257"/>
    <cellStyle name="差 2 17 5 10" xfId="26258"/>
    <cellStyle name="差 2 17 5 11" xfId="26259"/>
    <cellStyle name="差 2 17 5 2" xfId="2582"/>
    <cellStyle name="差 2 17 5 2 2" xfId="6975"/>
    <cellStyle name="差 2 17 5 2 2 2" xfId="26260"/>
    <cellStyle name="差 2 17 5 2 2 3" xfId="26261"/>
    <cellStyle name="差 2 17 5 2 3" xfId="6981"/>
    <cellStyle name="差 2 17 5 2 4" xfId="6989"/>
    <cellStyle name="差 2 17 5 2 5" xfId="6996"/>
    <cellStyle name="差 2 17 5 2 6" xfId="7004"/>
    <cellStyle name="差 2 17 5 2 7" xfId="2766"/>
    <cellStyle name="差 2 17 5 2 8" xfId="11071"/>
    <cellStyle name="差 2 17 5 3" xfId="2590"/>
    <cellStyle name="差 2 17 5 4" xfId="2600"/>
    <cellStyle name="差 2 17 5 5" xfId="3496"/>
    <cellStyle name="差 2 17 5 6" xfId="3507"/>
    <cellStyle name="差 2 17 5 6 2" xfId="26262"/>
    <cellStyle name="差 2 17 5 6 3" xfId="9246"/>
    <cellStyle name="差 2 17 5 7" xfId="3518"/>
    <cellStyle name="差 2 17 5 8" xfId="3429"/>
    <cellStyle name="差 2 17 5 9" xfId="3451"/>
    <cellStyle name="差 2 17 6" xfId="26263"/>
    <cellStyle name="差 2 17 6 2" xfId="26264"/>
    <cellStyle name="差 2 17 6 2 2" xfId="26265"/>
    <cellStyle name="差 2 17 6 2 3" xfId="8670"/>
    <cellStyle name="差 2 17 6 3" xfId="26267"/>
    <cellStyle name="差 2 17 6 4" xfId="26268"/>
    <cellStyle name="差 2 17 6 5" xfId="26271"/>
    <cellStyle name="差 2 17 6 6" xfId="26273"/>
    <cellStyle name="差 2 17 6 7" xfId="26275"/>
    <cellStyle name="差 2 17 6 8" xfId="26277"/>
    <cellStyle name="差 2 17 7" xfId="26278"/>
    <cellStyle name="差 2 17 8" xfId="26279"/>
    <cellStyle name="差 2 17 9" xfId="26280"/>
    <cellStyle name="差 2 17 9 2" xfId="26281"/>
    <cellStyle name="差 2 17 9 3" xfId="26282"/>
    <cellStyle name="差 2 18" xfId="9606"/>
    <cellStyle name="差 2 18 10" xfId="26283"/>
    <cellStyle name="差 2 18 11" xfId="26284"/>
    <cellStyle name="差 2 18 12" xfId="8025"/>
    <cellStyle name="差 2 18 13" xfId="8029"/>
    <cellStyle name="差 2 18 14" xfId="26286"/>
    <cellStyle name="差 2 18 2" xfId="25093"/>
    <cellStyle name="差 2 18 3" xfId="25096"/>
    <cellStyle name="差 2 18 4" xfId="26287"/>
    <cellStyle name="差 2 18 5" xfId="26288"/>
    <cellStyle name="差 2 18 5 10" xfId="26289"/>
    <cellStyle name="差 2 18 5 11" xfId="26290"/>
    <cellStyle name="差 2 18 5 2" xfId="4963"/>
    <cellStyle name="差 2 18 5 2 2" xfId="19136"/>
    <cellStyle name="差 2 18 5 2 2 2" xfId="18481"/>
    <cellStyle name="差 2 18 5 2 2 3" xfId="26291"/>
    <cellStyle name="差 2 18 5 2 3" xfId="19138"/>
    <cellStyle name="差 2 18 5 2 4" xfId="19140"/>
    <cellStyle name="差 2 18 5 2 5" xfId="26292"/>
    <cellStyle name="差 2 18 5 2 6" xfId="26293"/>
    <cellStyle name="差 2 18 5 2 7" xfId="26294"/>
    <cellStyle name="差 2 18 5 2 8" xfId="26295"/>
    <cellStyle name="差 2 18 5 3" xfId="4982"/>
    <cellStyle name="差 2 18 5 4" xfId="4991"/>
    <cellStyle name="差 2 18 5 5" xfId="3840"/>
    <cellStyle name="差 2 18 5 6" xfId="3848"/>
    <cellStyle name="差 2 18 5 6 2" xfId="26296"/>
    <cellStyle name="差 2 18 5 6 3" xfId="26298"/>
    <cellStyle name="差 2 18 5 7" xfId="24151"/>
    <cellStyle name="差 2 18 5 8" xfId="24154"/>
    <cellStyle name="差 2 18 5 9" xfId="26301"/>
    <cellStyle name="差 2 18 6" xfId="26303"/>
    <cellStyle name="差 2 18 6 2" xfId="18369"/>
    <cellStyle name="差 2 18 6 2 2" xfId="26304"/>
    <cellStyle name="差 2 18 6 2 3" xfId="26306"/>
    <cellStyle name="差 2 18 6 3" xfId="26309"/>
    <cellStyle name="差 2 18 6 4" xfId="26310"/>
    <cellStyle name="差 2 18 6 5" xfId="26312"/>
    <cellStyle name="差 2 18 6 6" xfId="26314"/>
    <cellStyle name="差 2 18 6 7" xfId="26316"/>
    <cellStyle name="差 2 18 6 8" xfId="26318"/>
    <cellStyle name="差 2 18 7" xfId="26320"/>
    <cellStyle name="差 2 18 8" xfId="26322"/>
    <cellStyle name="差 2 18 9" xfId="26324"/>
    <cellStyle name="差 2 18 9 2" xfId="26325"/>
    <cellStyle name="差 2 18 9 3" xfId="26326"/>
    <cellStyle name="差 2 19" xfId="25098"/>
    <cellStyle name="差 2 19 10" xfId="26327"/>
    <cellStyle name="差 2 19 11" xfId="26328"/>
    <cellStyle name="差 2 19 12" xfId="26329"/>
    <cellStyle name="差 2 19 13" xfId="26330"/>
    <cellStyle name="差 2 19 14" xfId="8881"/>
    <cellStyle name="差 2 19 2" xfId="26332"/>
    <cellStyle name="差 2 19 3" xfId="26334"/>
    <cellStyle name="差 2 19 4" xfId="26336"/>
    <cellStyle name="差 2 19 5" xfId="26338"/>
    <cellStyle name="差 2 19 5 10" xfId="26340"/>
    <cellStyle name="差 2 19 5 11" xfId="26343"/>
    <cellStyle name="差 2 19 5 2" xfId="24316"/>
    <cellStyle name="差 2 19 5 2 2" xfId="16201"/>
    <cellStyle name="差 2 19 5 2 2 2" xfId="17851"/>
    <cellStyle name="差 2 19 5 2 2 3" xfId="17858"/>
    <cellStyle name="差 2 19 5 2 3" xfId="16208"/>
    <cellStyle name="差 2 19 5 2 4" xfId="6915"/>
    <cellStyle name="差 2 19 5 2 5" xfId="6923"/>
    <cellStyle name="差 2 19 5 2 6" xfId="6931"/>
    <cellStyle name="差 2 19 5 2 7" xfId="26346"/>
    <cellStyle name="差 2 19 5 2 8" xfId="26348"/>
    <cellStyle name="差 2 19 5 3" xfId="24320"/>
    <cellStyle name="差 2 19 5 4" xfId="24324"/>
    <cellStyle name="差 2 19 5 5" xfId="17845"/>
    <cellStyle name="差 2 19 5 6" xfId="17855"/>
    <cellStyle name="差 2 19 5 6 2" xfId="26349"/>
    <cellStyle name="差 2 19 5 6 3" xfId="26350"/>
    <cellStyle name="差 2 19 5 7" xfId="17862"/>
    <cellStyle name="差 2 19 5 8" xfId="17868"/>
    <cellStyle name="差 2 19 5 9" xfId="25568"/>
    <cellStyle name="差 2 19 6" xfId="26352"/>
    <cellStyle name="差 2 19 6 2" xfId="26353"/>
    <cellStyle name="差 2 19 6 2 2" xfId="26354"/>
    <cellStyle name="差 2 19 6 2 3" xfId="26356"/>
    <cellStyle name="差 2 19 6 3" xfId="26358"/>
    <cellStyle name="差 2 19 6 4" xfId="26359"/>
    <cellStyle name="差 2 19 6 5" xfId="26360"/>
    <cellStyle name="差 2 19 6 6" xfId="26361"/>
    <cellStyle name="差 2 19 6 7" xfId="22593"/>
    <cellStyle name="差 2 19 6 8" xfId="22595"/>
    <cellStyle name="差 2 19 7" xfId="26363"/>
    <cellStyle name="差 2 19 8" xfId="26365"/>
    <cellStyle name="差 2 19 9" xfId="26367"/>
    <cellStyle name="差 2 19 9 2" xfId="26368"/>
    <cellStyle name="差 2 19 9 3" xfId="26369"/>
    <cellStyle name="差 2 2" xfId="11217"/>
    <cellStyle name="差 2 2 10" xfId="12863"/>
    <cellStyle name="差 2 2 11" xfId="26370"/>
    <cellStyle name="差 2 2 12" xfId="26371"/>
    <cellStyle name="差 2 2 13" xfId="26372"/>
    <cellStyle name="差 2 2 14" xfId="26373"/>
    <cellStyle name="差 2 2 2" xfId="26374"/>
    <cellStyle name="差 2 2 3" xfId="26375"/>
    <cellStyle name="差 2 2 4" xfId="26376"/>
    <cellStyle name="差 2 2 5" xfId="26377"/>
    <cellStyle name="差 2 2 6" xfId="26379"/>
    <cellStyle name="差 2 2 7" xfId="26381"/>
    <cellStyle name="差 2 2 8" xfId="26383"/>
    <cellStyle name="差 2 2 9" xfId="26385"/>
    <cellStyle name="差 2 20" xfId="26252"/>
    <cellStyle name="差 2 20 10" xfId="1329"/>
    <cellStyle name="差 2 20 11" xfId="1341"/>
    <cellStyle name="差 2 20 12" xfId="257"/>
    <cellStyle name="差 2 20 13" xfId="1360"/>
    <cellStyle name="差 2 20 14" xfId="13954"/>
    <cellStyle name="差 2 20 2" xfId="26386"/>
    <cellStyle name="差 2 20 3" xfId="26387"/>
    <cellStyle name="差 2 20 4" xfId="26388"/>
    <cellStyle name="差 2 20 5" xfId="26389"/>
    <cellStyle name="差 2 20 5 10" xfId="9703"/>
    <cellStyle name="差 2 20 5 11" xfId="7465"/>
    <cellStyle name="差 2 20 5 2" xfId="1639"/>
    <cellStyle name="差 2 20 5 2 2" xfId="16253"/>
    <cellStyle name="差 2 20 5 2 2 2" xfId="26392"/>
    <cellStyle name="差 2 20 5 2 2 3" xfId="26394"/>
    <cellStyle name="差 2 20 5 2 3" xfId="16256"/>
    <cellStyle name="差 2 20 5 2 4" xfId="16260"/>
    <cellStyle name="差 2 20 5 2 5" xfId="26397"/>
    <cellStyle name="差 2 20 5 2 6" xfId="26399"/>
    <cellStyle name="差 2 20 5 2 7" xfId="26400"/>
    <cellStyle name="差 2 20 5 2 8" xfId="26401"/>
    <cellStyle name="差 2 20 5 3" xfId="1655"/>
    <cellStyle name="差 2 20 5 4" xfId="1670"/>
    <cellStyle name="差 2 20 5 5" xfId="26402"/>
    <cellStyle name="差 2 20 5 6" xfId="26403"/>
    <cellStyle name="差 2 20 5 6 2" xfId="26404"/>
    <cellStyle name="差 2 20 5 6 3" xfId="26405"/>
    <cellStyle name="差 2 20 5 7" xfId="26406"/>
    <cellStyle name="差 2 20 5 8" xfId="26407"/>
    <cellStyle name="差 2 20 5 9" xfId="26408"/>
    <cellStyle name="差 2 20 6" xfId="26409"/>
    <cellStyle name="差 2 20 6 2" xfId="1773"/>
    <cellStyle name="差 2 20 6 2 2" xfId="26412"/>
    <cellStyle name="差 2 20 6 2 3" xfId="25820"/>
    <cellStyle name="差 2 20 6 3" xfId="1779"/>
    <cellStyle name="差 2 20 6 4" xfId="2175"/>
    <cellStyle name="差 2 20 6 5" xfId="11520"/>
    <cellStyle name="差 2 20 6 6" xfId="11523"/>
    <cellStyle name="差 2 20 6 7" xfId="11526"/>
    <cellStyle name="差 2 20 6 8" xfId="11529"/>
    <cellStyle name="差 2 20 7" xfId="26413"/>
    <cellStyle name="差 2 20 8" xfId="26415"/>
    <cellStyle name="差 2 20 9" xfId="26417"/>
    <cellStyle name="差 2 20 9 2" xfId="26419"/>
    <cellStyle name="差 2 20 9 3" xfId="26421"/>
    <cellStyle name="差 2 3" xfId="11221"/>
    <cellStyle name="差 2 3 10" xfId="12958"/>
    <cellStyle name="差 2 3 11" xfId="26424"/>
    <cellStyle name="差 2 3 12" xfId="26427"/>
    <cellStyle name="差 2 3 13" xfId="26429"/>
    <cellStyle name="差 2 3 14" xfId="26431"/>
    <cellStyle name="差 2 3 2" xfId="26432"/>
    <cellStyle name="差 2 3 3" xfId="26433"/>
    <cellStyle name="差 2 3 4" xfId="26434"/>
    <cellStyle name="差 2 3 5" xfId="26436"/>
    <cellStyle name="差 2 3 6" xfId="26438"/>
    <cellStyle name="差 2 3 7" xfId="26439"/>
    <cellStyle name="差 2 3 8" xfId="26440"/>
    <cellStyle name="差 2 3 9" xfId="26441"/>
    <cellStyle name="差 2 4" xfId="13269"/>
    <cellStyle name="差 2 4 10" xfId="13052"/>
    <cellStyle name="差 2 4 11" xfId="26442"/>
    <cellStyle name="差 2 4 12" xfId="26443"/>
    <cellStyle name="差 2 4 13" xfId="26444"/>
    <cellStyle name="差 2 4 14" xfId="26445"/>
    <cellStyle name="差 2 4 2" xfId="26446"/>
    <cellStyle name="差 2 4 3" xfId="26447"/>
    <cellStyle name="差 2 4 4" xfId="23024"/>
    <cellStyle name="差 2 4 5" xfId="23026"/>
    <cellStyle name="差 2 4 6" xfId="23028"/>
    <cellStyle name="差 2 4 7" xfId="23030"/>
    <cellStyle name="差 2 4 8" xfId="23032"/>
    <cellStyle name="差 2 4 9" xfId="23035"/>
    <cellStyle name="差 2 5" xfId="13274"/>
    <cellStyle name="差 2 6" xfId="10452"/>
    <cellStyle name="差 2 7" xfId="18466"/>
    <cellStyle name="差 2 8" xfId="16835"/>
    <cellStyle name="差 2 9" xfId="16845"/>
    <cellStyle name="差 3" xfId="26448"/>
    <cellStyle name="差 3 10" xfId="26449"/>
    <cellStyle name="差 3 11" xfId="26450"/>
    <cellStyle name="差 3 12" xfId="26451"/>
    <cellStyle name="差 3 13" xfId="26452"/>
    <cellStyle name="差 3 14" xfId="26453"/>
    <cellStyle name="差 3 15" xfId="26454"/>
    <cellStyle name="差 3 16" xfId="26456"/>
    <cellStyle name="差 3 17" xfId="26457"/>
    <cellStyle name="差 3 17 10" xfId="26458"/>
    <cellStyle name="差 3 17 11" xfId="26459"/>
    <cellStyle name="差 3 17 12" xfId="26460"/>
    <cellStyle name="差 3 17 13" xfId="26461"/>
    <cellStyle name="差 3 17 14" xfId="26462"/>
    <cellStyle name="差 3 17 2" xfId="2925"/>
    <cellStyle name="差 3 17 2 2" xfId="5620"/>
    <cellStyle name="差 3 17 3" xfId="5875"/>
    <cellStyle name="差 3 17 4" xfId="26463"/>
    <cellStyle name="差 3 17 5" xfId="26464"/>
    <cellStyle name="差 3 17 5 10" xfId="26466"/>
    <cellStyle name="差 3 17 5 11" xfId="26467"/>
    <cellStyle name="差 3 17 5 2" xfId="1501"/>
    <cellStyle name="差 3 17 5 2 2" xfId="19378"/>
    <cellStyle name="差 3 17 5 2 2 2" xfId="14330"/>
    <cellStyle name="差 3 17 5 2 2 3" xfId="14333"/>
    <cellStyle name="差 3 17 5 2 3" xfId="19381"/>
    <cellStyle name="差 3 17 5 2 4" xfId="19384"/>
    <cellStyle name="差 3 17 5 2 5" xfId="19387"/>
    <cellStyle name="差 3 17 5 2 6" xfId="26469"/>
    <cellStyle name="差 3 17 5 2 7" xfId="26471"/>
    <cellStyle name="差 3 17 5 2 8" xfId="26474"/>
    <cellStyle name="差 3 17 5 3" xfId="1516"/>
    <cellStyle name="差 3 17 5 4" xfId="4421"/>
    <cellStyle name="差 3 17 5 5" xfId="4516"/>
    <cellStyle name="差 3 17 5 6" xfId="26476"/>
    <cellStyle name="差 3 17 5 6 2" xfId="26477"/>
    <cellStyle name="差 3 17 5 6 3" xfId="26478"/>
    <cellStyle name="差 3 17 5 7" xfId="26479"/>
    <cellStyle name="差 3 17 5 8" xfId="26032"/>
    <cellStyle name="差 3 17 5 9" xfId="26480"/>
    <cellStyle name="差 3 17 6" xfId="26483"/>
    <cellStyle name="差 3 17 6 2" xfId="26484"/>
    <cellStyle name="差 3 17 6 2 2" xfId="20282"/>
    <cellStyle name="差 3 17 6 2 3" xfId="9783"/>
    <cellStyle name="差 3 17 6 3" xfId="26486"/>
    <cellStyle name="差 3 17 6 4" xfId="26488"/>
    <cellStyle name="差 3 17 6 5" xfId="26489"/>
    <cellStyle name="差 3 17 6 6" xfId="26490"/>
    <cellStyle name="差 3 17 6 7" xfId="26491"/>
    <cellStyle name="差 3 17 6 8" xfId="26492"/>
    <cellStyle name="差 3 17 7" xfId="26495"/>
    <cellStyle name="差 3 17 8" xfId="26496"/>
    <cellStyle name="差 3 17 9" xfId="26497"/>
    <cellStyle name="差 3 17 9 2" xfId="16996"/>
    <cellStyle name="差 3 17 9 3" xfId="26498"/>
    <cellStyle name="差 3 18" xfId="26499"/>
    <cellStyle name="差 3 18 10" xfId="26500"/>
    <cellStyle name="差 3 18 11" xfId="26501"/>
    <cellStyle name="差 3 18 12" xfId="26502"/>
    <cellStyle name="差 3 18 13" xfId="26503"/>
    <cellStyle name="差 3 18 14" xfId="26504"/>
    <cellStyle name="差 3 18 2" xfId="26505"/>
    <cellStyle name="差 3 18 3" xfId="26506"/>
    <cellStyle name="差 3 18 4" xfId="26507"/>
    <cellStyle name="差 3 18 5" xfId="26508"/>
    <cellStyle name="差 3 18 5 10" xfId="26509"/>
    <cellStyle name="差 3 18 5 11" xfId="26510"/>
    <cellStyle name="差 3 18 5 2" xfId="10628"/>
    <cellStyle name="差 3 18 5 2 2" xfId="26511"/>
    <cellStyle name="差 3 18 5 2 2 2" xfId="26513"/>
    <cellStyle name="差 3 18 5 2 2 3" xfId="26514"/>
    <cellStyle name="差 3 18 5 2 3" xfId="8580"/>
    <cellStyle name="差 3 18 5 2 4" xfId="8587"/>
    <cellStyle name="差 3 18 5 2 5" xfId="15267"/>
    <cellStyle name="差 3 18 5 2 6" xfId="15275"/>
    <cellStyle name="差 3 18 5 2 7" xfId="15281"/>
    <cellStyle name="差 3 18 5 2 8" xfId="15284"/>
    <cellStyle name="差 3 18 5 3" xfId="10632"/>
    <cellStyle name="差 3 18 5 4" xfId="10636"/>
    <cellStyle name="差 3 18 5 5" xfId="10639"/>
    <cellStyle name="差 3 18 5 6" xfId="26515"/>
    <cellStyle name="差 3 18 5 6 2" xfId="26517"/>
    <cellStyle name="差 3 18 5 6 3" xfId="22790"/>
    <cellStyle name="差 3 18 5 7" xfId="26519"/>
    <cellStyle name="差 3 18 5 8" xfId="26521"/>
    <cellStyle name="差 3 18 5 9" xfId="26522"/>
    <cellStyle name="差 3 18 6" xfId="26523"/>
    <cellStyle name="差 3 18 6 2" xfId="19456"/>
    <cellStyle name="差 3 18 6 2 2" xfId="26524"/>
    <cellStyle name="差 3 18 6 2 3" xfId="26525"/>
    <cellStyle name="差 3 18 6 3" xfId="26526"/>
    <cellStyle name="差 3 18 6 4" xfId="26528"/>
    <cellStyle name="差 3 18 6 5" xfId="26001"/>
    <cellStyle name="差 3 18 6 6" xfId="26530"/>
    <cellStyle name="差 3 18 6 7" xfId="26532"/>
    <cellStyle name="差 3 18 6 8" xfId="26534"/>
    <cellStyle name="差 3 18 7" xfId="26535"/>
    <cellStyle name="差 3 18 8" xfId="26536"/>
    <cellStyle name="差 3 18 9" xfId="26537"/>
    <cellStyle name="差 3 18 9 2" xfId="26538"/>
    <cellStyle name="差 3 18 9 3" xfId="26539"/>
    <cellStyle name="差 3 19" xfId="26541"/>
    <cellStyle name="差 3 19 10" xfId="26468"/>
    <cellStyle name="差 3 19 11" xfId="26542"/>
    <cellStyle name="差 3 19 12" xfId="26543"/>
    <cellStyle name="差 3 19 13" xfId="26544"/>
    <cellStyle name="差 3 19 14" xfId="16358"/>
    <cellStyle name="差 3 19 2" xfId="26545"/>
    <cellStyle name="差 3 19 3" xfId="26549"/>
    <cellStyle name="差 3 19 4" xfId="26553"/>
    <cellStyle name="差 3 19 5" xfId="26556"/>
    <cellStyle name="差 3 19 5 10" xfId="26560"/>
    <cellStyle name="差 3 19 5 11" xfId="26562"/>
    <cellStyle name="差 3 19 5 2" xfId="26564"/>
    <cellStyle name="差 3 19 5 2 2" xfId="26565"/>
    <cellStyle name="差 3 19 5 2 2 2" xfId="18962"/>
    <cellStyle name="差 3 19 5 2 2 3" xfId="18967"/>
    <cellStyle name="差 3 19 5 2 3" xfId="26571"/>
    <cellStyle name="差 3 19 5 2 4" xfId="24591"/>
    <cellStyle name="差 3 19 5 2 5" xfId="26573"/>
    <cellStyle name="差 3 19 5 2 6" xfId="26574"/>
    <cellStyle name="差 3 19 5 2 7" xfId="26575"/>
    <cellStyle name="差 3 19 5 2 8" xfId="16780"/>
    <cellStyle name="差 3 19 5 3" xfId="26578"/>
    <cellStyle name="差 3 19 5 4" xfId="26580"/>
    <cellStyle name="差 3 19 5 5" xfId="26582"/>
    <cellStyle name="差 3 19 5 6" xfId="23103"/>
    <cellStyle name="差 3 19 5 6 2" xfId="26584"/>
    <cellStyle name="差 3 19 5 6 3" xfId="26586"/>
    <cellStyle name="差 3 19 5 7" xfId="23106"/>
    <cellStyle name="差 3 19 5 8" xfId="23109"/>
    <cellStyle name="差 3 19 5 9" xfId="23111"/>
    <cellStyle name="差 3 19 6" xfId="6368"/>
    <cellStyle name="差 3 19 6 2" xfId="21066"/>
    <cellStyle name="差 3 19 6 2 2" xfId="26588"/>
    <cellStyle name="差 3 19 6 2 3" xfId="26590"/>
    <cellStyle name="差 3 19 6 3" xfId="21069"/>
    <cellStyle name="差 3 19 6 4" xfId="26592"/>
    <cellStyle name="差 3 19 6 5" xfId="26594"/>
    <cellStyle name="差 3 19 6 6" xfId="26596"/>
    <cellStyle name="差 3 19 6 7" xfId="26598"/>
    <cellStyle name="差 3 19 6 8" xfId="26600"/>
    <cellStyle name="差 3 19 7" xfId="6373"/>
    <cellStyle name="差 3 19 8" xfId="17078"/>
    <cellStyle name="差 3 19 9" xfId="21072"/>
    <cellStyle name="差 3 19 9 2" xfId="14948"/>
    <cellStyle name="差 3 19 9 3" xfId="16809"/>
    <cellStyle name="差 3 2" xfId="26601"/>
    <cellStyle name="差 3 2 10" xfId="26602"/>
    <cellStyle name="差 3 2 11" xfId="26603"/>
    <cellStyle name="差 3 2 12" xfId="26604"/>
    <cellStyle name="差 3 2 13" xfId="26605"/>
    <cellStyle name="差 3 2 14" xfId="26606"/>
    <cellStyle name="差 3 2 2" xfId="24565"/>
    <cellStyle name="差 3 2 3" xfId="8857"/>
    <cellStyle name="差 3 2 4" xfId="8861"/>
    <cellStyle name="差 3 2 5" xfId="21816"/>
    <cellStyle name="差 3 2 6" xfId="21820"/>
    <cellStyle name="差 3 2 7" xfId="21823"/>
    <cellStyle name="差 3 2 8" xfId="21826"/>
    <cellStyle name="差 3 2 9" xfId="21828"/>
    <cellStyle name="差 3 20" xfId="26455"/>
    <cellStyle name="差 3 20 10" xfId="3510"/>
    <cellStyle name="差 3 20 11" xfId="3422"/>
    <cellStyle name="差 3 20 12" xfId="3443"/>
    <cellStyle name="差 3 20 13" xfId="3526"/>
    <cellStyle name="差 3 20 14" xfId="20171"/>
    <cellStyle name="差 3 20 2" xfId="26608"/>
    <cellStyle name="差 3 20 3" xfId="26610"/>
    <cellStyle name="差 3 20 4" xfId="26612"/>
    <cellStyle name="差 3 20 5" xfId="26613"/>
    <cellStyle name="差 3 20 5 10" xfId="26616"/>
    <cellStyle name="差 3 20 5 11" xfId="26617"/>
    <cellStyle name="差 3 20 5 2" xfId="5454"/>
    <cellStyle name="差 3 20 5 2 2" xfId="26619"/>
    <cellStyle name="差 3 20 5 2 2 2" xfId="4811"/>
    <cellStyle name="差 3 20 5 2 2 3" xfId="8938"/>
    <cellStyle name="差 3 20 5 2 3" xfId="26622"/>
    <cellStyle name="差 3 20 5 2 4" xfId="26625"/>
    <cellStyle name="差 3 20 5 2 5" xfId="26626"/>
    <cellStyle name="差 3 20 5 2 6" xfId="26627"/>
    <cellStyle name="差 3 20 5 2 7" xfId="26629"/>
    <cellStyle name="差 3 20 5 2 8" xfId="16956"/>
    <cellStyle name="差 3 20 5 3" xfId="5467"/>
    <cellStyle name="差 3 20 5 4" xfId="5477"/>
    <cellStyle name="差 3 20 5 5" xfId="26631"/>
    <cellStyle name="差 3 20 5 6" xfId="26632"/>
    <cellStyle name="差 3 20 5 6 2" xfId="17781"/>
    <cellStyle name="差 3 20 5 6 3" xfId="17784"/>
    <cellStyle name="差 3 20 5 7" xfId="26633"/>
    <cellStyle name="差 3 20 5 8" xfId="26634"/>
    <cellStyle name="差 3 20 5 9" xfId="26635"/>
    <cellStyle name="差 3 20 6" xfId="26636"/>
    <cellStyle name="差 3 20 6 2" xfId="5549"/>
    <cellStyle name="差 3 20 6 2 2" xfId="26639"/>
    <cellStyle name="差 3 20 6 2 3" xfId="26640"/>
    <cellStyle name="差 3 20 6 3" xfId="5555"/>
    <cellStyle name="差 3 20 6 4" xfId="26641"/>
    <cellStyle name="差 3 20 6 5" xfId="26642"/>
    <cellStyle name="差 3 20 6 6" xfId="26643"/>
    <cellStyle name="差 3 20 6 7" xfId="26644"/>
    <cellStyle name="差 3 20 6 8" xfId="26645"/>
    <cellStyle name="差 3 20 7" xfId="26646"/>
    <cellStyle name="差 3 20 8" xfId="26649"/>
    <cellStyle name="差 3 20 9" xfId="26651"/>
    <cellStyle name="差 3 20 9 2" xfId="26653"/>
    <cellStyle name="差 3 20 9 3" xfId="1999"/>
    <cellStyle name="差 3 3" xfId="26655"/>
    <cellStyle name="差 3 3 10" xfId="15933"/>
    <cellStyle name="差 3 3 11" xfId="15938"/>
    <cellStyle name="差 3 3 12" xfId="13870"/>
    <cellStyle name="差 3 3 13" xfId="13881"/>
    <cellStyle name="差 3 3 14" xfId="13888"/>
    <cellStyle name="差 3 3 2" xfId="26656"/>
    <cellStyle name="差 3 3 3" xfId="26657"/>
    <cellStyle name="差 3 3 4" xfId="26658"/>
    <cellStyle name="差 3 3 5" xfId="26659"/>
    <cellStyle name="差 3 3 6" xfId="26660"/>
    <cellStyle name="差 3 3 7" xfId="26661"/>
    <cellStyle name="差 3 3 8" xfId="26662"/>
    <cellStyle name="差 3 3 9" xfId="26664"/>
    <cellStyle name="差 3 4" xfId="26666"/>
    <cellStyle name="差 3 4 10" xfId="13608"/>
    <cellStyle name="差 3 4 11" xfId="13610"/>
    <cellStyle name="差 3 4 12" xfId="26667"/>
    <cellStyle name="差 3 4 13" xfId="26668"/>
    <cellStyle name="差 3 4 14" xfId="26669"/>
    <cellStyle name="差 3 4 2" xfId="26670"/>
    <cellStyle name="差 3 4 3" xfId="3993"/>
    <cellStyle name="差 3 4 4" xfId="4002"/>
    <cellStyle name="差 3 4 5" xfId="2070"/>
    <cellStyle name="差 3 4 6" xfId="3111"/>
    <cellStyle name="差 3 4 7" xfId="4013"/>
    <cellStyle name="差 3 4 8" xfId="26671"/>
    <cellStyle name="差 3 4 9" xfId="26672"/>
    <cellStyle name="差 3 5" xfId="26674"/>
    <cellStyle name="差 3 6" xfId="26676"/>
    <cellStyle name="差 3 7" xfId="26678"/>
    <cellStyle name="差 3 8" xfId="26680"/>
    <cellStyle name="差 3 9" xfId="26683"/>
    <cellStyle name="差 4" xfId="26684"/>
    <cellStyle name="差 4 10" xfId="26685"/>
    <cellStyle name="差 4 11" xfId="26686"/>
    <cellStyle name="差 4 12" xfId="26687"/>
    <cellStyle name="差 4 13" xfId="26688"/>
    <cellStyle name="差 4 14" xfId="26689"/>
    <cellStyle name="差 4 15" xfId="26690"/>
    <cellStyle name="差 4 16" xfId="26692"/>
    <cellStyle name="差 4 17" xfId="26693"/>
    <cellStyle name="差 4 17 10" xfId="26694"/>
    <cellStyle name="差 4 17 11" xfId="26695"/>
    <cellStyle name="差 4 17 12" xfId="26696"/>
    <cellStyle name="差 4 17 13" xfId="26697"/>
    <cellStyle name="差 4 17 14" xfId="26698"/>
    <cellStyle name="差 4 17 2" xfId="26700"/>
    <cellStyle name="差 4 17 3" xfId="26702"/>
    <cellStyle name="差 4 17 4" xfId="26704"/>
    <cellStyle name="差 4 17 5" xfId="26706"/>
    <cellStyle name="差 4 17 5 10" xfId="26708"/>
    <cellStyle name="差 4 17 5 11" xfId="26709"/>
    <cellStyle name="差 4 17 5 2" xfId="8396"/>
    <cellStyle name="差 4 17 5 2 2" xfId="26710"/>
    <cellStyle name="差 4 17 5 2 2 2" xfId="12754"/>
    <cellStyle name="差 4 17 5 2 2 3" xfId="12761"/>
    <cellStyle name="差 4 17 5 2 3" xfId="26712"/>
    <cellStyle name="差 4 17 5 2 4" xfId="26714"/>
    <cellStyle name="差 4 17 5 2 5" xfId="26716"/>
    <cellStyle name="差 4 17 5 2 6" xfId="26718"/>
    <cellStyle name="差 4 17 5 2 7" xfId="22334"/>
    <cellStyle name="差 4 17 5 2 8" xfId="22337"/>
    <cellStyle name="差 4 17 5 3" xfId="8401"/>
    <cellStyle name="差 4 17 5 4" xfId="5147"/>
    <cellStyle name="差 4 17 5 5" xfId="5151"/>
    <cellStyle name="差 4 17 5 6" xfId="26720"/>
    <cellStyle name="差 4 17 5 6 2" xfId="26721"/>
    <cellStyle name="差 4 17 5 6 3" xfId="22319"/>
    <cellStyle name="差 4 17 5 7" xfId="26722"/>
    <cellStyle name="差 4 17 5 8" xfId="26723"/>
    <cellStyle name="差 4 17 5 9" xfId="26725"/>
    <cellStyle name="差 4 17 6" xfId="26727"/>
    <cellStyle name="差 4 17 6 2" xfId="26729"/>
    <cellStyle name="差 4 17 6 2 2" xfId="26732"/>
    <cellStyle name="差 4 17 6 2 3" xfId="12256"/>
    <cellStyle name="差 4 17 6 3" xfId="3842"/>
    <cellStyle name="差 4 17 6 4" xfId="3850"/>
    <cellStyle name="差 4 17 6 5" xfId="26735"/>
    <cellStyle name="差 4 17 6 6" xfId="26737"/>
    <cellStyle name="差 4 17 6 7" xfId="26739"/>
    <cellStyle name="差 4 17 6 8" xfId="26741"/>
    <cellStyle name="差 4 17 7" xfId="26743"/>
    <cellStyle name="差 4 17 8" xfId="16479"/>
    <cellStyle name="差 4 17 9" xfId="16485"/>
    <cellStyle name="差 4 17 9 2" xfId="26745"/>
    <cellStyle name="差 4 17 9 3" xfId="26747"/>
    <cellStyle name="差 4 18" xfId="26748"/>
    <cellStyle name="差 4 18 10" xfId="16451"/>
    <cellStyle name="差 4 18 11" xfId="3957"/>
    <cellStyle name="差 4 18 12" xfId="3982"/>
    <cellStyle name="差 4 18 13" xfId="4914"/>
    <cellStyle name="差 4 18 14" xfId="5216"/>
    <cellStyle name="差 4 18 2" xfId="3829"/>
    <cellStyle name="差 4 18 3" xfId="2691"/>
    <cellStyle name="差 4 18 4" xfId="1119"/>
    <cellStyle name="差 4 18 5" xfId="1141"/>
    <cellStyle name="差 4 18 5 10" xfId="26749"/>
    <cellStyle name="差 4 18 5 11" xfId="26750"/>
    <cellStyle name="差 4 18 5 2" xfId="2727"/>
    <cellStyle name="差 4 18 5 2 2" xfId="25470"/>
    <cellStyle name="差 4 18 5 2 2 2" xfId="26751"/>
    <cellStyle name="差 4 18 5 2 2 3" xfId="22851"/>
    <cellStyle name="差 4 18 5 2 3" xfId="25472"/>
    <cellStyle name="差 4 18 5 2 4" xfId="25474"/>
    <cellStyle name="差 4 18 5 2 5" xfId="458"/>
    <cellStyle name="差 4 18 5 2 6" xfId="545"/>
    <cellStyle name="差 4 18 5 2 7" xfId="583"/>
    <cellStyle name="差 4 18 5 2 8" xfId="594"/>
    <cellStyle name="差 4 18 5 3" xfId="2746"/>
    <cellStyle name="差 4 18 5 4" xfId="2755"/>
    <cellStyle name="差 4 18 5 5" xfId="7199"/>
    <cellStyle name="差 4 18 5 6" xfId="18347"/>
    <cellStyle name="差 4 18 5 6 2" xfId="26752"/>
    <cellStyle name="差 4 18 5 6 3" xfId="26753"/>
    <cellStyle name="差 4 18 5 7" xfId="18351"/>
    <cellStyle name="差 4 18 5 8" xfId="24834"/>
    <cellStyle name="差 4 18 5 9" xfId="24836"/>
    <cellStyle name="差 4 18 6" xfId="2707"/>
    <cellStyle name="差 4 18 6 2" xfId="26754"/>
    <cellStyle name="差 4 18 6 2 2" xfId="2916"/>
    <cellStyle name="差 4 18 6 2 3" xfId="2943"/>
    <cellStyle name="差 4 18 6 3" xfId="24584"/>
    <cellStyle name="差 4 18 6 4" xfId="26755"/>
    <cellStyle name="差 4 18 6 5" xfId="26756"/>
    <cellStyle name="差 4 18 6 6" xfId="26757"/>
    <cellStyle name="差 4 18 6 7" xfId="26758"/>
    <cellStyle name="差 4 18 6 8" xfId="26759"/>
    <cellStyle name="差 4 18 7" xfId="26760"/>
    <cellStyle name="差 4 18 8" xfId="26761"/>
    <cellStyle name="差 4 18 9" xfId="26762"/>
    <cellStyle name="差 4 18 9 2" xfId="26763"/>
    <cellStyle name="差 4 18 9 3" xfId="26764"/>
    <cellStyle name="差 4 19" xfId="26765"/>
    <cellStyle name="差 4 19 10" xfId="15735"/>
    <cellStyle name="差 4 19 11" xfId="15738"/>
    <cellStyle name="差 4 19 12" xfId="10479"/>
    <cellStyle name="差 4 19 13" xfId="10483"/>
    <cellStyle name="差 4 19 14" xfId="14020"/>
    <cellStyle name="差 4 19 2" xfId="26768"/>
    <cellStyle name="差 4 19 3" xfId="26771"/>
    <cellStyle name="差 4 19 4" xfId="26774"/>
    <cellStyle name="差 4 19 5" xfId="26776"/>
    <cellStyle name="差 4 19 5 10" xfId="12226"/>
    <cellStyle name="差 4 19 5 11" xfId="24817"/>
    <cellStyle name="差 4 19 5 2" xfId="13309"/>
    <cellStyle name="差 4 19 5 2 2" xfId="26779"/>
    <cellStyle name="差 4 19 5 2 2 2" xfId="26781"/>
    <cellStyle name="差 4 19 5 2 2 3" xfId="19917"/>
    <cellStyle name="差 4 19 5 2 3" xfId="26786"/>
    <cellStyle name="差 4 19 5 2 4" xfId="26788"/>
    <cellStyle name="差 4 19 5 2 5" xfId="26790"/>
    <cellStyle name="差 4 19 5 2 6" xfId="26792"/>
    <cellStyle name="差 4 19 5 2 7" xfId="26794"/>
    <cellStyle name="差 4 19 5 2 8" xfId="26796"/>
    <cellStyle name="差 4 19 5 3" xfId="13316"/>
    <cellStyle name="差 4 19 5 4" xfId="16722"/>
    <cellStyle name="差 4 19 5 5" xfId="16727"/>
    <cellStyle name="差 4 19 5 6" xfId="16730"/>
    <cellStyle name="差 4 19 5 6 2" xfId="26638"/>
    <cellStyle name="差 4 19 5 6 3" xfId="26648"/>
    <cellStyle name="差 4 19 5 7" xfId="26798"/>
    <cellStyle name="差 4 19 5 8" xfId="26801"/>
    <cellStyle name="差 4 19 5 9" xfId="26802"/>
    <cellStyle name="差 4 19 6" xfId="26804"/>
    <cellStyle name="差 4 19 6 2" xfId="26806"/>
    <cellStyle name="差 4 19 6 2 2" xfId="26809"/>
    <cellStyle name="差 4 19 6 2 3" xfId="26811"/>
    <cellStyle name="差 4 19 6 3" xfId="26813"/>
    <cellStyle name="差 4 19 6 4" xfId="26815"/>
    <cellStyle name="差 4 19 6 5" xfId="26817"/>
    <cellStyle name="差 4 19 6 6" xfId="26819"/>
    <cellStyle name="差 4 19 6 7" xfId="26821"/>
    <cellStyle name="差 4 19 6 8" xfId="26822"/>
    <cellStyle name="差 4 19 7" xfId="26824"/>
    <cellStyle name="差 4 19 8" xfId="26826"/>
    <cellStyle name="差 4 19 9" xfId="26828"/>
    <cellStyle name="差 4 19 9 2" xfId="11907"/>
    <cellStyle name="差 4 19 9 3" xfId="26829"/>
    <cellStyle name="差 4 2" xfId="26830"/>
    <cellStyle name="差 4 20" xfId="26691"/>
    <cellStyle name="差 4 20 10" xfId="4006"/>
    <cellStyle name="差 4 20 11" xfId="2074"/>
    <cellStyle name="差 4 20 12" xfId="3115"/>
    <cellStyle name="差 4 20 13" xfId="17402"/>
    <cellStyle name="差 4 20 14" xfId="20197"/>
    <cellStyle name="差 4 20 2" xfId="26831"/>
    <cellStyle name="差 4 20 3" xfId="26832"/>
    <cellStyle name="差 4 20 4" xfId="26833"/>
    <cellStyle name="差 4 20 5" xfId="14202"/>
    <cellStyle name="差 4 20 5 10" xfId="26834"/>
    <cellStyle name="差 4 20 5 11" xfId="26836"/>
    <cellStyle name="差 4 20 5 2" xfId="17424"/>
    <cellStyle name="差 4 20 5 2 2" xfId="26838"/>
    <cellStyle name="差 4 20 5 2 2 2" xfId="1596"/>
    <cellStyle name="差 4 20 5 2 2 3" xfId="1611"/>
    <cellStyle name="差 4 20 5 2 3" xfId="26839"/>
    <cellStyle name="差 4 20 5 2 4" xfId="26840"/>
    <cellStyle name="差 4 20 5 2 5" xfId="26841"/>
    <cellStyle name="差 4 20 5 2 6" xfId="26842"/>
    <cellStyle name="差 4 20 5 2 7" xfId="26844"/>
    <cellStyle name="差 4 20 5 2 8" xfId="464"/>
    <cellStyle name="差 4 20 5 3" xfId="17426"/>
    <cellStyle name="差 4 20 5 4" xfId="17428"/>
    <cellStyle name="差 4 20 5 5" xfId="26846"/>
    <cellStyle name="差 4 20 5 6" xfId="26847"/>
    <cellStyle name="差 4 20 5 6 2" xfId="26850"/>
    <cellStyle name="差 4 20 5 6 3" xfId="26852"/>
    <cellStyle name="差 4 20 5 7" xfId="26853"/>
    <cellStyle name="差 4 20 5 8" xfId="26856"/>
    <cellStyle name="差 4 20 5 9" xfId="26858"/>
    <cellStyle name="差 4 20 6" xfId="14205"/>
    <cellStyle name="差 4 20 6 2" xfId="2210"/>
    <cellStyle name="差 4 20 6 2 2" xfId="26859"/>
    <cellStyle name="差 4 20 6 2 3" xfId="26861"/>
    <cellStyle name="差 4 20 6 3" xfId="209"/>
    <cellStyle name="差 4 20 6 4" xfId="26864"/>
    <cellStyle name="差 4 20 6 5" xfId="1451"/>
    <cellStyle name="差 4 20 6 6" xfId="22781"/>
    <cellStyle name="差 4 20 6 7" xfId="26867"/>
    <cellStyle name="差 4 20 6 8" xfId="26869"/>
    <cellStyle name="差 4 20 7" xfId="26871"/>
    <cellStyle name="差 4 20 8" xfId="26873"/>
    <cellStyle name="差 4 20 9" xfId="26875"/>
    <cellStyle name="差 4 20 9 2" xfId="26877"/>
    <cellStyle name="差 4 20 9 3" xfId="26879"/>
    <cellStyle name="差 4 3" xfId="26881"/>
    <cellStyle name="差 4 4" xfId="26882"/>
    <cellStyle name="差 4 5" xfId="26883"/>
    <cellStyle name="差 4 6" xfId="26884"/>
    <cellStyle name="差 4 7" xfId="26885"/>
    <cellStyle name="差 4 8" xfId="26886"/>
    <cellStyle name="差 4 9" xfId="26887"/>
    <cellStyle name="差 5" xfId="12476"/>
    <cellStyle name="差 5 10" xfId="26889"/>
    <cellStyle name="差 5 11" xfId="26891"/>
    <cellStyle name="差 5 12" xfId="26893"/>
    <cellStyle name="差 5 13" xfId="6820"/>
    <cellStyle name="差 5 14" xfId="6829"/>
    <cellStyle name="差 5 2" xfId="26894"/>
    <cellStyle name="差 5 3" xfId="26896"/>
    <cellStyle name="差 5 4" xfId="26898"/>
    <cellStyle name="差 5 5" xfId="26900"/>
    <cellStyle name="差 5 6" xfId="26902"/>
    <cellStyle name="差 5 7" xfId="298"/>
    <cellStyle name="差 5 8" xfId="5055"/>
    <cellStyle name="差 5 9" xfId="26904"/>
    <cellStyle name="差 6" xfId="12481"/>
    <cellStyle name="差 6 10" xfId="26905"/>
    <cellStyle name="差 6 11" xfId="26906"/>
    <cellStyle name="差 6 12" xfId="23040"/>
    <cellStyle name="差 6 13" xfId="23044"/>
    <cellStyle name="差 6 14" xfId="22344"/>
    <cellStyle name="差 6 2" xfId="26907"/>
    <cellStyle name="差 6 3" xfId="26908"/>
    <cellStyle name="差 6 4" xfId="26909"/>
    <cellStyle name="差 6 5" xfId="26911"/>
    <cellStyle name="差 6 6" xfId="26913"/>
    <cellStyle name="差 6 7" xfId="26914"/>
    <cellStyle name="差 6 8" xfId="26915"/>
    <cellStyle name="差 6 9" xfId="26916"/>
    <cellStyle name="差 7" xfId="26917"/>
    <cellStyle name="差 8" xfId="12491"/>
    <cellStyle name="差 9" xfId="23738"/>
    <cellStyle name="常规 10" xfId="26919"/>
    <cellStyle name="常规 10 2" xfId="17594"/>
    <cellStyle name="常规 10 3" xfId="26920"/>
    <cellStyle name="常规 11" xfId="26921"/>
    <cellStyle name="常规 12" xfId="26923"/>
    <cellStyle name="常规 13" xfId="26925"/>
    <cellStyle name="常规 14" xfId="26926"/>
    <cellStyle name="常规 15" xfId="26927"/>
    <cellStyle name="常规 16" xfId="26928"/>
    <cellStyle name="常规 17" xfId="26929"/>
    <cellStyle name="常规 18" xfId="26930"/>
    <cellStyle name="常规 2" xfId="26931"/>
    <cellStyle name="常规 2 10" xfId="38397"/>
    <cellStyle name="常规 2 2" xfId="26934"/>
    <cellStyle name="常规 2 3" xfId="26937"/>
    <cellStyle name="常规 2 4" xfId="26939"/>
    <cellStyle name="常规 2 5" xfId="26941"/>
    <cellStyle name="常规 2 6" xfId="26942"/>
    <cellStyle name="常规 2 7" xfId="26943"/>
    <cellStyle name="常规 2 8" xfId="26944"/>
    <cellStyle name="常规 2 9" xfId="26945"/>
    <cellStyle name="常规 3" xfId="26946"/>
    <cellStyle name="常规 3 10" xfId="26947"/>
    <cellStyle name="常规 3 10 2" xfId="38759"/>
    <cellStyle name="常规 3 11" xfId="26948"/>
    <cellStyle name="常规 3 12" xfId="26949"/>
    <cellStyle name="常规 3 13" xfId="26950"/>
    <cellStyle name="常规 3 14" xfId="26951"/>
    <cellStyle name="常规 3 15" xfId="26953"/>
    <cellStyle name="常规 3 16" xfId="26957"/>
    <cellStyle name="常规 3 17" xfId="26959"/>
    <cellStyle name="常规 3 17 10" xfId="26961"/>
    <cellStyle name="常规 3 17 11" xfId="26962"/>
    <cellStyle name="常规 3 17 12" xfId="26766"/>
    <cellStyle name="常规 3 17 13" xfId="26769"/>
    <cellStyle name="常规 3 17 14" xfId="26772"/>
    <cellStyle name="常规 3 17 2" xfId="26964"/>
    <cellStyle name="常规 3 17 3" xfId="26965"/>
    <cellStyle name="常规 3 17 4" xfId="26967"/>
    <cellStyle name="常规 3 17 5" xfId="26969"/>
    <cellStyle name="常规 3 17 5 10" xfId="26970"/>
    <cellStyle name="常规 3 17 5 11" xfId="26971"/>
    <cellStyle name="常规 3 17 5 2" xfId="20770"/>
    <cellStyle name="常规 3 17 5 2 2" xfId="26972"/>
    <cellStyle name="常规 3 17 5 2 2 2" xfId="26973"/>
    <cellStyle name="常规 3 17 5 2 2 3" xfId="26975"/>
    <cellStyle name="常规 3 17 5 2 3" xfId="26977"/>
    <cellStyle name="常规 3 17 5 2 4" xfId="26978"/>
    <cellStyle name="常规 3 17 5 2 5" xfId="22464"/>
    <cellStyle name="常规 3 17 5 2 6" xfId="13291"/>
    <cellStyle name="常规 3 17 5 2 7" xfId="350"/>
    <cellStyle name="常规 3 17 5 2 8" xfId="309"/>
    <cellStyle name="常规 3 17 5 3" xfId="20772"/>
    <cellStyle name="常规 3 17 5 4" xfId="20776"/>
    <cellStyle name="常规 3 17 5 5" xfId="20778"/>
    <cellStyle name="常规 3 17 5 6" xfId="26979"/>
    <cellStyle name="常规 3 17 5 6 2" xfId="26981"/>
    <cellStyle name="常规 3 17 5 6 3" xfId="26983"/>
    <cellStyle name="常规 3 17 5 7" xfId="26985"/>
    <cellStyle name="常规 3 17 5 8" xfId="26987"/>
    <cellStyle name="常规 3 17 5 9" xfId="25213"/>
    <cellStyle name="常规 3 17 6" xfId="26989"/>
    <cellStyle name="常规 3 17 6 2" xfId="26991"/>
    <cellStyle name="常规 3 17 6 2 2" xfId="18509"/>
    <cellStyle name="常规 3 17 6 2 3" xfId="26993"/>
    <cellStyle name="常规 3 17 6 3" xfId="26996"/>
    <cellStyle name="常规 3 17 6 4" xfId="26999"/>
    <cellStyle name="常规 3 17 6 5" xfId="27000"/>
    <cellStyle name="常规 3 17 6 6" xfId="27003"/>
    <cellStyle name="常规 3 17 6 7" xfId="27006"/>
    <cellStyle name="常规 3 17 6 8" xfId="27008"/>
    <cellStyle name="常规 3 17 7" xfId="27010"/>
    <cellStyle name="常规 3 17 8" xfId="27011"/>
    <cellStyle name="常规 3 17 9" xfId="15486"/>
    <cellStyle name="常规 3 17 9 2" xfId="27012"/>
    <cellStyle name="常规 3 17 9 3" xfId="27014"/>
    <cellStyle name="常规 3 18" xfId="27015"/>
    <cellStyle name="常规 3 18 10" xfId="27016"/>
    <cellStyle name="常规 3 18 11" xfId="27017"/>
    <cellStyle name="常规 3 18 12" xfId="27019"/>
    <cellStyle name="常规 3 18 13" xfId="25821"/>
    <cellStyle name="常规 3 18 14" xfId="27021"/>
    <cellStyle name="常规 3 18 2" xfId="27023"/>
    <cellStyle name="常规 3 18 3" xfId="27025"/>
    <cellStyle name="常规 3 18 4" xfId="27027"/>
    <cellStyle name="常规 3 18 5" xfId="27029"/>
    <cellStyle name="常规 3 18 5 10" xfId="27030"/>
    <cellStyle name="常规 3 18 5 11" xfId="27031"/>
    <cellStyle name="常规 3 18 5 2" xfId="27032"/>
    <cellStyle name="常规 3 18 5 2 2" xfId="3660"/>
    <cellStyle name="常规 3 18 5 2 2 2" xfId="27033"/>
    <cellStyle name="常规 3 18 5 2 2 3" xfId="13749"/>
    <cellStyle name="常规 3 18 5 2 3" xfId="3670"/>
    <cellStyle name="常规 3 18 5 2 4" xfId="17305"/>
    <cellStyle name="常规 3 18 5 2 5" xfId="17308"/>
    <cellStyle name="常规 3 18 5 2 6" xfId="17311"/>
    <cellStyle name="常规 3 18 5 2 7" xfId="17314"/>
    <cellStyle name="常规 3 18 5 2 8" xfId="17398"/>
    <cellStyle name="常规 3 18 5 3" xfId="27034"/>
    <cellStyle name="常规 3 18 5 4" xfId="27035"/>
    <cellStyle name="常规 3 18 5 5" xfId="27036"/>
    <cellStyle name="常规 3 18 5 6" xfId="27037"/>
    <cellStyle name="常规 3 18 5 6 2" xfId="27039"/>
    <cellStyle name="常规 3 18 5 6 3" xfId="27041"/>
    <cellStyle name="常规 3 18 5 7" xfId="27042"/>
    <cellStyle name="常规 3 18 5 8" xfId="27043"/>
    <cellStyle name="常规 3 18 5 9" xfId="16745"/>
    <cellStyle name="常规 3 18 6" xfId="27044"/>
    <cellStyle name="常规 3 18 6 2" xfId="27045"/>
    <cellStyle name="常规 3 18 6 2 2" xfId="27046"/>
    <cellStyle name="常规 3 18 6 2 3" xfId="27047"/>
    <cellStyle name="常规 3 18 6 3" xfId="27048"/>
    <cellStyle name="常规 3 18 6 4" xfId="27049"/>
    <cellStyle name="常规 3 18 6 5" xfId="27050"/>
    <cellStyle name="常规 3 18 6 6" xfId="27051"/>
    <cellStyle name="常规 3 18 6 7" xfId="11539"/>
    <cellStyle name="常规 3 18 6 8" xfId="11541"/>
    <cellStyle name="常规 3 18 7" xfId="27052"/>
    <cellStyle name="常规 3 18 8" xfId="27053"/>
    <cellStyle name="常规 3 18 9" xfId="12205"/>
    <cellStyle name="常规 3 18 9 2" xfId="27054"/>
    <cellStyle name="常规 3 18 9 3" xfId="27055"/>
    <cellStyle name="常规 3 19" xfId="27056"/>
    <cellStyle name="常规 3 19 10" xfId="27057"/>
    <cellStyle name="常规 3 19 11" xfId="27058"/>
    <cellStyle name="常规 3 19 12" xfId="27059"/>
    <cellStyle name="常规 3 19 13" xfId="27060"/>
    <cellStyle name="常规 3 19 14" xfId="27061"/>
    <cellStyle name="常规 3 19 2" xfId="9153"/>
    <cellStyle name="常规 3 19 3" xfId="22795"/>
    <cellStyle name="常规 3 19 4" xfId="8737"/>
    <cellStyle name="常规 3 19 5" xfId="8744"/>
    <cellStyle name="常规 3 19 5 10" xfId="2489"/>
    <cellStyle name="常规 3 19 5 11" xfId="27062"/>
    <cellStyle name="常规 3 19 5 2" xfId="20878"/>
    <cellStyle name="常规 3 19 5 2 2" xfId="27063"/>
    <cellStyle name="常规 3 19 5 2 2 2" xfId="27065"/>
    <cellStyle name="常规 3 19 5 2 2 3" xfId="27067"/>
    <cellStyle name="常规 3 19 5 2 3" xfId="27069"/>
    <cellStyle name="常规 3 19 5 2 4" xfId="27072"/>
    <cellStyle name="常规 3 19 5 2 5" xfId="27075"/>
    <cellStyle name="常规 3 19 5 2 6" xfId="27078"/>
    <cellStyle name="常规 3 19 5 2 7" xfId="27081"/>
    <cellStyle name="常规 3 19 5 2 8" xfId="27083"/>
    <cellStyle name="常规 3 19 5 3" xfId="20440"/>
    <cellStyle name="常规 3 19 5 4" xfId="20445"/>
    <cellStyle name="常规 3 19 5 5" xfId="20451"/>
    <cellStyle name="常规 3 19 5 6" xfId="2353"/>
    <cellStyle name="常规 3 19 5 6 2" xfId="8445"/>
    <cellStyle name="常规 3 19 5 6 3" xfId="8452"/>
    <cellStyle name="常规 3 19 5 7" xfId="13298"/>
    <cellStyle name="常规 3 19 5 8" xfId="13305"/>
    <cellStyle name="常规 3 19 5 9" xfId="19468"/>
    <cellStyle name="常规 3 19 6" xfId="27085"/>
    <cellStyle name="常规 3 19 6 2" xfId="27086"/>
    <cellStyle name="常规 3 19 6 2 2" xfId="14796"/>
    <cellStyle name="常规 3 19 6 2 3" xfId="14799"/>
    <cellStyle name="常规 3 19 6 3" xfId="27087"/>
    <cellStyle name="常规 3 19 6 4" xfId="27088"/>
    <cellStyle name="常规 3 19 6 5" xfId="11544"/>
    <cellStyle name="常规 3 19 6 6" xfId="11557"/>
    <cellStyle name="常规 3 19 6 7" xfId="3905"/>
    <cellStyle name="常规 3 19 6 8" xfId="2625"/>
    <cellStyle name="常规 3 19 7" xfId="27089"/>
    <cellStyle name="常规 3 19 8" xfId="27090"/>
    <cellStyle name="常规 3 19 9" xfId="27091"/>
    <cellStyle name="常规 3 19 9 2" xfId="27092"/>
    <cellStyle name="常规 3 19 9 3" xfId="27093"/>
    <cellStyle name="常规 3 2" xfId="27094"/>
    <cellStyle name="常规 3 2 10" xfId="1628"/>
    <cellStyle name="常规 3 2 11" xfId="448"/>
    <cellStyle name="常规 3 2 12" xfId="13468"/>
    <cellStyle name="常规 3 2 13" xfId="13474"/>
    <cellStyle name="常规 3 2 14" xfId="21509"/>
    <cellStyle name="常规 3 2 2" xfId="9362"/>
    <cellStyle name="常规 3 2 3" xfId="27096"/>
    <cellStyle name="常规 3 2 4" xfId="27098"/>
    <cellStyle name="常规 3 2 5" xfId="27100"/>
    <cellStyle name="常规 3 2 6" xfId="27102"/>
    <cellStyle name="常规 3 2 7" xfId="27104"/>
    <cellStyle name="常规 3 2 8" xfId="27105"/>
    <cellStyle name="常规 3 2 9" xfId="27106"/>
    <cellStyle name="常规 3 20" xfId="26954"/>
    <cellStyle name="常规 3 20 10" xfId="27107"/>
    <cellStyle name="常规 3 20 11" xfId="27108"/>
    <cellStyle name="常规 3 20 12" xfId="26139"/>
    <cellStyle name="常规 3 20 13" xfId="26141"/>
    <cellStyle name="常规 3 20 14" xfId="18462"/>
    <cellStyle name="常规 3 20 2" xfId="27109"/>
    <cellStyle name="常规 3 20 3" xfId="27110"/>
    <cellStyle name="常规 3 20 4" xfId="27111"/>
    <cellStyle name="常规 3 20 5" xfId="26835"/>
    <cellStyle name="常规 3 20 5 10" xfId="27112"/>
    <cellStyle name="常规 3 20 5 11" xfId="27113"/>
    <cellStyle name="常规 3 20 5 2" xfId="27114"/>
    <cellStyle name="常规 3 20 5 2 2" xfId="11805"/>
    <cellStyle name="常规 3 20 5 2 2 2" xfId="27118"/>
    <cellStyle name="常规 3 20 5 2 2 3" xfId="9272"/>
    <cellStyle name="常规 3 20 5 2 3" xfId="22477"/>
    <cellStyle name="常规 3 20 5 2 4" xfId="27120"/>
    <cellStyle name="常规 3 20 5 2 5" xfId="27122"/>
    <cellStyle name="常规 3 20 5 2 6" xfId="27124"/>
    <cellStyle name="常规 3 20 5 2 7" xfId="27127"/>
    <cellStyle name="常规 3 20 5 2 8" xfId="27130"/>
    <cellStyle name="常规 3 20 5 3" xfId="20377"/>
    <cellStyle name="常规 3 20 5 4" xfId="20381"/>
    <cellStyle name="常规 3 20 5 5" xfId="20384"/>
    <cellStyle name="常规 3 20 5 6" xfId="20386"/>
    <cellStyle name="常规 3 20 5 6 2" xfId="27132"/>
    <cellStyle name="常规 3 20 5 6 3" xfId="27138"/>
    <cellStyle name="常规 3 20 5 7" xfId="20389"/>
    <cellStyle name="常规 3 20 5 8" xfId="20392"/>
    <cellStyle name="常规 3 20 5 9" xfId="20395"/>
    <cellStyle name="常规 3 20 6" xfId="26837"/>
    <cellStyle name="常规 3 20 6 2" xfId="27142"/>
    <cellStyle name="常规 3 20 6 2 2" xfId="12676"/>
    <cellStyle name="常规 3 20 6 2 3" xfId="12678"/>
    <cellStyle name="常规 3 20 6 3" xfId="27144"/>
    <cellStyle name="常规 3 20 6 4" xfId="27146"/>
    <cellStyle name="常规 3 20 6 5" xfId="27148"/>
    <cellStyle name="常规 3 20 6 6" xfId="27149"/>
    <cellStyle name="常规 3 20 6 7" xfId="27150"/>
    <cellStyle name="常规 3 20 6 8" xfId="27151"/>
    <cellStyle name="常规 3 20 7" xfId="27152"/>
    <cellStyle name="常规 3 20 8" xfId="27153"/>
    <cellStyle name="常规 3 20 9" xfId="1208"/>
    <cellStyle name="常规 3 20 9 2" xfId="10506"/>
    <cellStyle name="常规 3 20 9 3" xfId="10525"/>
    <cellStyle name="常规 3 3" xfId="27154"/>
    <cellStyle name="常规 3 3 10" xfId="4687"/>
    <cellStyle name="常规 3 3 11" xfId="4693"/>
    <cellStyle name="常规 3 3 12" xfId="4698"/>
    <cellStyle name="常规 3 3 13" xfId="27156"/>
    <cellStyle name="常规 3 3 14" xfId="27158"/>
    <cellStyle name="常规 3 3 2" xfId="27160"/>
    <cellStyle name="常规 3 3 3" xfId="27162"/>
    <cellStyle name="常规 3 3 4" xfId="27164"/>
    <cellStyle name="常规 3 3 5" xfId="27166"/>
    <cellStyle name="常规 3 3 6" xfId="27168"/>
    <cellStyle name="常规 3 3 7" xfId="27170"/>
    <cellStyle name="常规 3 3 8" xfId="27171"/>
    <cellStyle name="常规 3 3 9" xfId="27172"/>
    <cellStyle name="常规 3 4" xfId="27173"/>
    <cellStyle name="常规 3 4 10" xfId="27174"/>
    <cellStyle name="常规 3 4 11" xfId="27176"/>
    <cellStyle name="常规 3 4 12" xfId="27178"/>
    <cellStyle name="常规 3 4 13" xfId="27180"/>
    <cellStyle name="常规 3 4 14" xfId="27182"/>
    <cellStyle name="常规 3 4 2" xfId="27183"/>
    <cellStyle name="常规 3 4 3" xfId="27184"/>
    <cellStyle name="常规 3 4 4" xfId="27185"/>
    <cellStyle name="常规 3 4 5" xfId="27186"/>
    <cellStyle name="常规 3 4 6" xfId="27187"/>
    <cellStyle name="常规 3 4 7" xfId="14973"/>
    <cellStyle name="常规 3 4 8" xfId="1173"/>
    <cellStyle name="常规 3 4 9" xfId="1186"/>
    <cellStyle name="常规 3 5" xfId="27189"/>
    <cellStyle name="常规 3 6" xfId="27191"/>
    <cellStyle name="常规 3 7" xfId="27192"/>
    <cellStyle name="常规 3 8" xfId="27193"/>
    <cellStyle name="常规 3 9" xfId="27194"/>
    <cellStyle name="常规 4" xfId="26805"/>
    <cellStyle name="常规 4 10" xfId="27195"/>
    <cellStyle name="常规 4 11" xfId="27196"/>
    <cellStyle name="常规 4 12" xfId="13726"/>
    <cellStyle name="常规 4 13" xfId="13728"/>
    <cellStyle name="常规 4 14" xfId="27197"/>
    <cellStyle name="常规 4 2" xfId="26807"/>
    <cellStyle name="常规 4 2 2" xfId="27198"/>
    <cellStyle name="常规 4 3" xfId="26810"/>
    <cellStyle name="常规 4 4" xfId="27199"/>
    <cellStyle name="常规 4 5" xfId="27200"/>
    <cellStyle name="常规 4 5 10" xfId="22970"/>
    <cellStyle name="常规 4 5 11" xfId="22972"/>
    <cellStyle name="常规 4 5 2" xfId="27202"/>
    <cellStyle name="常规 4 5 2 2" xfId="27203"/>
    <cellStyle name="常规 4 5 2 2 2" xfId="27204"/>
    <cellStyle name="常规 4 5 2 2 3" xfId="27205"/>
    <cellStyle name="常规 4 5 2 3" xfId="27207"/>
    <cellStyle name="常规 4 5 2 4" xfId="27208"/>
    <cellStyle name="常规 4 5 2 5" xfId="27209"/>
    <cellStyle name="常规 4 5 2 6" xfId="27210"/>
    <cellStyle name="常规 4 5 2 7" xfId="27211"/>
    <cellStyle name="常规 4 5 2 8" xfId="26133"/>
    <cellStyle name="常规 4 5 3" xfId="27213"/>
    <cellStyle name="常规 4 5 4" xfId="432"/>
    <cellStyle name="常规 4 5 5" xfId="19838"/>
    <cellStyle name="常规 4 5 6" xfId="19841"/>
    <cellStyle name="常规 4 5 6 2" xfId="27214"/>
    <cellStyle name="常规 4 5 6 3" xfId="27215"/>
    <cellStyle name="常规 4 5 7" xfId="19843"/>
    <cellStyle name="常规 4 5 8" xfId="19849"/>
    <cellStyle name="常规 4 5 9" xfId="2423"/>
    <cellStyle name="常规 4 6" xfId="27216"/>
    <cellStyle name="常规 4 6 2" xfId="18601"/>
    <cellStyle name="常规 4 6 2 2" xfId="27217"/>
    <cellStyle name="常规 4 6 2 3" xfId="27218"/>
    <cellStyle name="常规 4 6 3" xfId="18604"/>
    <cellStyle name="常规 4 6 4" xfId="18621"/>
    <cellStyle name="常规 4 6 5" xfId="18623"/>
    <cellStyle name="常规 4 6 6" xfId="16474"/>
    <cellStyle name="常规 4 6 7" xfId="27220"/>
    <cellStyle name="常规 4 6 8" xfId="16492"/>
    <cellStyle name="常规 4 7" xfId="27221"/>
    <cellStyle name="常规 4 8" xfId="27222"/>
    <cellStyle name="常规 4 9" xfId="27223"/>
    <cellStyle name="常规 4 9 2" xfId="27225"/>
    <cellStyle name="常规 4 9 3" xfId="27227"/>
    <cellStyle name="常规 5" xfId="26812"/>
    <cellStyle name="常规 5 10" xfId="27229"/>
    <cellStyle name="常规 5 11" xfId="27230"/>
    <cellStyle name="常规 5 12" xfId="27231"/>
    <cellStyle name="常规 5 13" xfId="27232"/>
    <cellStyle name="常规 5 14" xfId="17518"/>
    <cellStyle name="常规 5 2" xfId="27235"/>
    <cellStyle name="常规 5 2 2" xfId="27236"/>
    <cellStyle name="常规 5 3" xfId="7757"/>
    <cellStyle name="常规 5 4" xfId="7785"/>
    <cellStyle name="常规 5 5" xfId="7791"/>
    <cellStyle name="常规 5 5 10" xfId="27238"/>
    <cellStyle name="常规 5 5 11" xfId="27239"/>
    <cellStyle name="常规 5 5 2" xfId="6120"/>
    <cellStyle name="常规 5 5 2 2" xfId="27240"/>
    <cellStyle name="常规 5 5 2 2 2" xfId="27241"/>
    <cellStyle name="常规 5 5 2 2 3" xfId="27242"/>
    <cellStyle name="常规 5 5 2 3" xfId="27243"/>
    <cellStyle name="常规 5 5 2 4" xfId="27245"/>
    <cellStyle name="常规 5 5 2 5" xfId="3625"/>
    <cellStyle name="常规 5 5 2 6" xfId="316"/>
    <cellStyle name="常规 5 5 2 7" xfId="1702"/>
    <cellStyle name="常规 5 5 2 8" xfId="1727"/>
    <cellStyle name="常规 5 5 3" xfId="6125"/>
    <cellStyle name="常规 5 5 4" xfId="6130"/>
    <cellStyle name="常规 5 5 5" xfId="6135"/>
    <cellStyle name="常规 5 5 6" xfId="20064"/>
    <cellStyle name="常规 5 5 6 2" xfId="1826"/>
    <cellStyle name="常规 5 5 6 3" xfId="27246"/>
    <cellStyle name="常规 5 5 7" xfId="20067"/>
    <cellStyle name="常规 5 5 8" xfId="20070"/>
    <cellStyle name="常规 5 5 9" xfId="16203"/>
    <cellStyle name="常规 5 6" xfId="7796"/>
    <cellStyle name="常规 5 6 2" xfId="18674"/>
    <cellStyle name="常规 5 6 2 2" xfId="27247"/>
    <cellStyle name="常规 5 6 2 3" xfId="27248"/>
    <cellStyle name="常规 5 6 3" xfId="18678"/>
    <cellStyle name="常规 5 6 4" xfId="18682"/>
    <cellStyle name="常规 5 6 5" xfId="18685"/>
    <cellStyle name="常规 5 6 6" xfId="18688"/>
    <cellStyle name="常规 5 6 7" xfId="27249"/>
    <cellStyle name="常规 5 6 8" xfId="27251"/>
    <cellStyle name="常规 5 7" xfId="7801"/>
    <cellStyle name="常规 5 8" xfId="7809"/>
    <cellStyle name="常规 5 9" xfId="7816"/>
    <cellStyle name="常规 5 9 2" xfId="17058"/>
    <cellStyle name="常规 5 9 3" xfId="27252"/>
    <cellStyle name="常规 6" xfId="26814"/>
    <cellStyle name="常规 6 2" xfId="27254"/>
    <cellStyle name="常规 7" xfId="26816"/>
    <cellStyle name="常规 7 2" xfId="6710"/>
    <cellStyle name="常规 7 2 2" xfId="14591"/>
    <cellStyle name="常规 7 2 3" xfId="14593"/>
    <cellStyle name="常规 8" xfId="26818"/>
    <cellStyle name="常规 8 2" xfId="20591"/>
    <cellStyle name="常规 9" xfId="26820"/>
    <cellStyle name="常规 9 2" xfId="15177"/>
    <cellStyle name="常规_100194PL" xfId="5034"/>
    <cellStyle name="强调文字颜色 1 10" xfId="27256"/>
    <cellStyle name="强调文字颜色 1 11" xfId="27257"/>
    <cellStyle name="强调文字颜色 1 12" xfId="27258"/>
    <cellStyle name="强调文字颜色 1 12 10" xfId="27259"/>
    <cellStyle name="强调文字颜色 1 12 11" xfId="27260"/>
    <cellStyle name="强调文字颜色 1 12 12" xfId="25898"/>
    <cellStyle name="强调文字颜色 1 12 13" xfId="27261"/>
    <cellStyle name="强调文字颜色 1 12 14" xfId="27262"/>
    <cellStyle name="强调文字颜色 1 12 2" xfId="27264"/>
    <cellStyle name="强调文字颜色 1 12 3" xfId="26331"/>
    <cellStyle name="强调文字颜色 1 12 4" xfId="26333"/>
    <cellStyle name="强调文字颜色 1 12 5" xfId="26335"/>
    <cellStyle name="强调文字颜色 1 12 5 10" xfId="27266"/>
    <cellStyle name="强调文字颜色 1 12 5 11" xfId="27268"/>
    <cellStyle name="强调文字颜色 1 12 5 2" xfId="2386"/>
    <cellStyle name="强调文字颜色 1 12 5 2 2" xfId="2424"/>
    <cellStyle name="强调文字颜色 1 12 5 2 2 2" xfId="2434"/>
    <cellStyle name="强调文字颜色 1 12 5 2 2 3" xfId="2456"/>
    <cellStyle name="强调文字颜色 1 12 5 2 3" xfId="2535"/>
    <cellStyle name="强调文字颜色 1 12 5 2 4" xfId="2544"/>
    <cellStyle name="强调文字颜色 1 12 5 2 5" xfId="2403"/>
    <cellStyle name="强调文字颜色 1 12 5 2 6" xfId="2418"/>
    <cellStyle name="强调文字颜色 1 12 5 2 7" xfId="2586"/>
    <cellStyle name="强调文字颜色 1 12 5 2 8" xfId="2599"/>
    <cellStyle name="强调文字颜色 1 12 5 3" xfId="2618"/>
    <cellStyle name="强调文字颜色 1 12 5 4" xfId="2721"/>
    <cellStyle name="强调文字颜色 1 12 5 5" xfId="2741"/>
    <cellStyle name="强调文字颜色 1 12 5 6" xfId="2750"/>
    <cellStyle name="强调文字颜色 1 12 5 6 2" xfId="2780"/>
    <cellStyle name="强调文字颜色 1 12 5 6 3" xfId="27269"/>
    <cellStyle name="强调文字颜色 1 12 5 7" xfId="20358"/>
    <cellStyle name="强调文字颜色 1 12 5 8" xfId="20363"/>
    <cellStyle name="强调文字颜色 1 12 5 9" xfId="27271"/>
    <cellStyle name="强调文字颜色 1 12 6" xfId="26337"/>
    <cellStyle name="强调文字颜色 1 12 6 2" xfId="24313"/>
    <cellStyle name="强调文字颜色 1 12 6 2 2" xfId="16204"/>
    <cellStyle name="强调文字颜色 1 12 6 2 3" xfId="16205"/>
    <cellStyle name="强调文字颜色 1 12 6 3" xfId="24317"/>
    <cellStyle name="强调文字颜色 1 12 6 4" xfId="24321"/>
    <cellStyle name="强调文字颜色 1 12 6 5" xfId="17842"/>
    <cellStyle name="强调文字颜色 1 12 6 6" xfId="17852"/>
    <cellStyle name="强调文字颜色 1 12 6 7" xfId="17859"/>
    <cellStyle name="强调文字颜色 1 12 6 8" xfId="17866"/>
    <cellStyle name="强调文字颜色 1 12 7" xfId="26351"/>
    <cellStyle name="强调文字颜色 1 12 8" xfId="26362"/>
    <cellStyle name="强调文字颜色 1 12 9" xfId="26364"/>
    <cellStyle name="强调文字颜色 1 12 9 2" xfId="11676"/>
    <cellStyle name="强调文字颜色 1 12 9 3" xfId="11682"/>
    <cellStyle name="强调文字颜色 1 13" xfId="27272"/>
    <cellStyle name="强调文字颜色 1 14" xfId="27273"/>
    <cellStyle name="强调文字颜色 1 15" xfId="27274"/>
    <cellStyle name="强调文字颜色 1 16" xfId="24641"/>
    <cellStyle name="强调文字颜色 1 16 10" xfId="12764"/>
    <cellStyle name="强调文字颜色 1 16 11" xfId="12769"/>
    <cellStyle name="强调文字颜色 1 16 12" xfId="25672"/>
    <cellStyle name="强调文字颜色 1 16 13" xfId="27275"/>
    <cellStyle name="强调文字颜色 1 16 14" xfId="27276"/>
    <cellStyle name="强调文字颜色 1 16 2" xfId="27277"/>
    <cellStyle name="强调文字颜色 1 16 3" xfId="27278"/>
    <cellStyle name="强调文字颜色 1 16 4" xfId="27279"/>
    <cellStyle name="强调文字颜色 1 16 5" xfId="27280"/>
    <cellStyle name="强调文字颜色 1 16 5 10" xfId="27281"/>
    <cellStyle name="强调文字颜色 1 16 5 11" xfId="27283"/>
    <cellStyle name="强调文字颜色 1 16 5 2" xfId="27285"/>
    <cellStyle name="强调文字颜色 1 16 5 2 2" xfId="27286"/>
    <cellStyle name="强调文字颜色 1 16 5 2 2 2" xfId="27287"/>
    <cellStyle name="强调文字颜色 1 16 5 2 2 3" xfId="27290"/>
    <cellStyle name="强调文字颜色 1 16 5 2 3" xfId="27291"/>
    <cellStyle name="强调文字颜色 1 16 5 2 4" xfId="27292"/>
    <cellStyle name="强调文字颜色 1 16 5 2 5" xfId="27293"/>
    <cellStyle name="强调文字颜色 1 16 5 2 6" xfId="27294"/>
    <cellStyle name="强调文字颜色 1 16 5 2 7" xfId="27295"/>
    <cellStyle name="强调文字颜色 1 16 5 2 8" xfId="27296"/>
    <cellStyle name="强调文字颜色 1 16 5 3" xfId="2910"/>
    <cellStyle name="强调文字颜色 1 16 5 4" xfId="4349"/>
    <cellStyle name="强调文字颜色 1 16 5 5" xfId="4351"/>
    <cellStyle name="强调文字颜色 1 16 5 6" xfId="4353"/>
    <cellStyle name="强调文字颜色 1 16 5 6 2" xfId="27299"/>
    <cellStyle name="强调文字颜色 1 16 5 6 3" xfId="27301"/>
    <cellStyle name="强调文字颜色 1 16 5 7" xfId="4355"/>
    <cellStyle name="强调文字颜色 1 16 5 8" xfId="4358"/>
    <cellStyle name="强调文字颜色 1 16 5 9" xfId="4363"/>
    <cellStyle name="强调文字颜色 1 16 6" xfId="27302"/>
    <cellStyle name="强调文字颜色 1 16 6 2" xfId="5233"/>
    <cellStyle name="强调文字颜色 1 16 6 2 2" xfId="27303"/>
    <cellStyle name="强调文字颜色 1 16 6 2 3" xfId="27304"/>
    <cellStyle name="强调文字颜色 1 16 6 3" xfId="4664"/>
    <cellStyle name="强调文字颜色 1 16 6 4" xfId="4669"/>
    <cellStyle name="强调文字颜色 1 16 6 5" xfId="4672"/>
    <cellStyle name="强调文字颜色 1 16 6 6" xfId="4676"/>
    <cellStyle name="强调文字颜色 1 16 6 7" xfId="4680"/>
    <cellStyle name="强调文字颜色 1 16 6 8" xfId="4686"/>
    <cellStyle name="强调文字颜色 1 16 7" xfId="27305"/>
    <cellStyle name="强调文字颜色 1 16 8" xfId="27306"/>
    <cellStyle name="强调文字颜色 1 16 9" xfId="27307"/>
    <cellStyle name="强调文字颜色 1 16 9 2" xfId="27308"/>
    <cellStyle name="强调文字颜色 1 16 9 3" xfId="27309"/>
    <cellStyle name="强调文字颜色 1 17" xfId="27310"/>
    <cellStyle name="强调文字颜色 1 17 10" xfId="1084"/>
    <cellStyle name="强调文字颜色 1 17 11" xfId="4897"/>
    <cellStyle name="强调文字颜色 1 17 12" xfId="27312"/>
    <cellStyle name="强调文字颜色 1 17 13" xfId="22033"/>
    <cellStyle name="强调文字颜色 1 17 14" xfId="22036"/>
    <cellStyle name="强调文字颜色 1 17 2" xfId="27314"/>
    <cellStyle name="强调文字颜色 1 17 3" xfId="27316"/>
    <cellStyle name="强调文字颜色 1 17 4" xfId="27318"/>
    <cellStyle name="强调文字颜色 1 17 5" xfId="27319"/>
    <cellStyle name="强调文字颜色 1 17 5 10" xfId="23247"/>
    <cellStyle name="强调文字颜色 1 17 5 11" xfId="27320"/>
    <cellStyle name="强调文字颜色 1 17 5 2" xfId="271"/>
    <cellStyle name="强调文字颜色 1 17 5 2 2" xfId="3594"/>
    <cellStyle name="强调文字颜色 1 17 5 2 2 2" xfId="27323"/>
    <cellStyle name="强调文字颜色 1 17 5 2 2 3" xfId="27324"/>
    <cellStyle name="强调文字颜色 1 17 5 2 3" xfId="3606"/>
    <cellStyle name="强调文字颜色 1 17 5 2 4" xfId="5937"/>
    <cellStyle name="强调文字颜色 1 17 5 2 5" xfId="5949"/>
    <cellStyle name="强调文字颜色 1 17 5 2 6" xfId="5958"/>
    <cellStyle name="强调文字颜色 1 17 5 2 7" xfId="1500"/>
    <cellStyle name="强调文字颜色 1 17 5 2 8" xfId="1515"/>
    <cellStyle name="强调文字颜色 1 17 5 3" xfId="5882"/>
    <cellStyle name="强调文字颜色 1 17 5 4" xfId="5888"/>
    <cellStyle name="强调文字颜色 1 17 5 5" xfId="5891"/>
    <cellStyle name="强调文字颜色 1 17 5 6" xfId="5897"/>
    <cellStyle name="强调文字颜色 1 17 5 6 2" xfId="27325"/>
    <cellStyle name="强调文字颜色 1 17 5 6 3" xfId="27326"/>
    <cellStyle name="强调文字颜色 1 17 5 7" xfId="18872"/>
    <cellStyle name="强调文字颜色 1 17 5 8" xfId="18875"/>
    <cellStyle name="强调文字颜色 1 17 5 9" xfId="18878"/>
    <cellStyle name="强调文字颜色 1 17 6" xfId="27327"/>
    <cellStyle name="强调文字颜色 1 17 6 2" xfId="7989"/>
    <cellStyle name="强调文字颜色 1 17 6 2 2" xfId="16963"/>
    <cellStyle name="强调文字颜色 1 17 6 2 3" xfId="16964"/>
    <cellStyle name="强调文字颜色 1 17 6 3" xfId="10564"/>
    <cellStyle name="强调文字颜色 1 17 6 4" xfId="13434"/>
    <cellStyle name="强调文字颜色 1 17 6 5" xfId="27328"/>
    <cellStyle name="强调文字颜色 1 17 6 6" xfId="27329"/>
    <cellStyle name="强调文字颜色 1 17 6 7" xfId="25540"/>
    <cellStyle name="强调文字颜色 1 17 6 8" xfId="27330"/>
    <cellStyle name="强调文字颜色 1 17 7" xfId="27331"/>
    <cellStyle name="强调文字颜色 1 17 8" xfId="27332"/>
    <cellStyle name="强调文字颜色 1 17 9" xfId="27333"/>
    <cellStyle name="强调文字颜色 1 17 9 2" xfId="27335"/>
    <cellStyle name="强调文字颜色 1 17 9 3" xfId="27337"/>
    <cellStyle name="强调文字颜色 1 18" xfId="27338"/>
    <cellStyle name="强调文字颜色 1 18 10" xfId="21778"/>
    <cellStyle name="强调文字颜色 1 18 11" xfId="21810"/>
    <cellStyle name="强调文字颜色 1 18 12" xfId="15850"/>
    <cellStyle name="强调文字颜色 1 18 13" xfId="15868"/>
    <cellStyle name="强调文字颜色 1 18 14" xfId="13573"/>
    <cellStyle name="强调文字颜色 1 18 2" xfId="27341"/>
    <cellStyle name="强调文字颜色 1 18 3" xfId="27343"/>
    <cellStyle name="强调文字颜色 1 18 4" xfId="27344"/>
    <cellStyle name="强调文字颜色 1 18 5" xfId="27345"/>
    <cellStyle name="强调文字颜色 1 18 5 10" xfId="27347"/>
    <cellStyle name="强调文字颜色 1 18 5 11" xfId="21908"/>
    <cellStyle name="强调文字颜色 1 18 5 2" xfId="10260"/>
    <cellStyle name="强调文字颜色 1 18 5 2 2" xfId="13469"/>
    <cellStyle name="强调文字颜色 1 18 5 2 2 2" xfId="27350"/>
    <cellStyle name="强调文字颜色 1 18 5 2 2 3" xfId="27351"/>
    <cellStyle name="强调文字颜色 1 18 5 2 3" xfId="13475"/>
    <cellStyle name="强调文字颜色 1 18 5 2 4" xfId="25751"/>
    <cellStyle name="强调文字颜色 1 18 5 2 5" xfId="27352"/>
    <cellStyle name="强调文字颜色 1 18 5 2 6" xfId="27353"/>
    <cellStyle name="强调文字颜色 1 18 5 2 7" xfId="27354"/>
    <cellStyle name="强调文字颜色 1 18 5 2 8" xfId="27355"/>
    <cellStyle name="强调文字颜色 1 18 5 3" xfId="13478"/>
    <cellStyle name="强调文字颜色 1 18 5 4" xfId="6454"/>
    <cellStyle name="强调文字颜色 1 18 5 5" xfId="6458"/>
    <cellStyle name="强调文字颜色 1 18 5 6" xfId="6462"/>
    <cellStyle name="强调文字颜色 1 18 5 6 2" xfId="4367"/>
    <cellStyle name="强调文字颜色 1 18 5 6 3" xfId="7221"/>
    <cellStyle name="强调文字颜色 1 18 5 7" xfId="6467"/>
    <cellStyle name="强调文字颜色 1 18 5 8" xfId="6477"/>
    <cellStyle name="强调文字颜色 1 18 5 9" xfId="27356"/>
    <cellStyle name="强调文字颜色 1 18 6" xfId="27360"/>
    <cellStyle name="强调文字颜色 1 18 6 2" xfId="10313"/>
    <cellStyle name="强调文字颜色 1 18 6 2 2" xfId="27361"/>
    <cellStyle name="强调文字颜色 1 18 6 2 3" xfId="27363"/>
    <cellStyle name="强调文字颜色 1 18 6 3" xfId="10600"/>
    <cellStyle name="强调文字颜色 1 18 6 4" xfId="13492"/>
    <cellStyle name="强调文字颜色 1 18 6 5" xfId="27365"/>
    <cellStyle name="强调文字颜色 1 18 6 6" xfId="27366"/>
    <cellStyle name="强调文字颜色 1 18 6 7" xfId="27367"/>
    <cellStyle name="强调文字颜色 1 18 6 8" xfId="27368"/>
    <cellStyle name="强调文字颜色 1 18 7" xfId="5166"/>
    <cellStyle name="强调文字颜色 1 18 8" xfId="5172"/>
    <cellStyle name="强调文字颜色 1 18 9" xfId="27369"/>
    <cellStyle name="强调文字颜色 1 18 9 2" xfId="15144"/>
    <cellStyle name="强调文字颜色 1 18 9 3" xfId="15146"/>
    <cellStyle name="强调文字颜色 1 19" xfId="27370"/>
    <cellStyle name="强调文字颜色 1 2" xfId="27372"/>
    <cellStyle name="强调文字颜色 1 2 10" xfId="27373"/>
    <cellStyle name="强调文字颜色 1 2 11" xfId="27374"/>
    <cellStyle name="强调文字颜色 1 2 12" xfId="27375"/>
    <cellStyle name="强调文字颜色 1 2 13" xfId="16222"/>
    <cellStyle name="强调文字颜色 1 2 14" xfId="16229"/>
    <cellStyle name="强调文字颜色 1 2 15" xfId="27378"/>
    <cellStyle name="强调文字颜色 1 2 16" xfId="27381"/>
    <cellStyle name="强调文字颜色 1 2 17" xfId="27383"/>
    <cellStyle name="强调文字颜色 1 2 17 10" xfId="11853"/>
    <cellStyle name="强调文字颜色 1 2 17 11" xfId="9141"/>
    <cellStyle name="强调文字颜色 1 2 17 12" xfId="9151"/>
    <cellStyle name="强调文字颜色 1 2 17 13" xfId="11426"/>
    <cellStyle name="强调文字颜色 1 2 17 14" xfId="8733"/>
    <cellStyle name="强调文字颜色 1 2 17 2" xfId="2112"/>
    <cellStyle name="强调文字颜色 1 2 17 3" xfId="2130"/>
    <cellStyle name="强调文字颜色 1 2 17 4" xfId="2148"/>
    <cellStyle name="强调文字颜色 1 2 17 5" xfId="17448"/>
    <cellStyle name="强调文字颜色 1 2 17 5 10" xfId="27384"/>
    <cellStyle name="强调文字颜色 1 2 17 5 11" xfId="453"/>
    <cellStyle name="强调文字颜色 1 2 17 5 2" xfId="1783"/>
    <cellStyle name="强调文字颜色 1 2 17 5 2 2" xfId="27385"/>
    <cellStyle name="强调文字颜色 1 2 17 5 2 2 2" xfId="8864"/>
    <cellStyle name="强调文字颜色 1 2 17 5 2 2 3" xfId="21819"/>
    <cellStyle name="强调文字颜色 1 2 17 5 2 3" xfId="27387"/>
    <cellStyle name="强调文字颜色 1 2 17 5 2 4" xfId="23192"/>
    <cellStyle name="强调文字颜色 1 2 17 5 2 5" xfId="23209"/>
    <cellStyle name="强调文字颜色 1 2 17 5 2 6" xfId="23212"/>
    <cellStyle name="强调文字颜色 1 2 17 5 2 7" xfId="23215"/>
    <cellStyle name="强调文字颜色 1 2 17 5 2 8" xfId="23218"/>
    <cellStyle name="强调文字颜色 1 2 17 5 3" xfId="27389"/>
    <cellStyle name="强调文字颜色 1 2 17 5 4" xfId="27390"/>
    <cellStyle name="强调文字颜色 1 2 17 5 5" xfId="27391"/>
    <cellStyle name="强调文字颜色 1 2 17 5 6" xfId="27392"/>
    <cellStyle name="强调文字颜色 1 2 17 5 6 2" xfId="23241"/>
    <cellStyle name="强调文字颜色 1 2 17 5 6 3" xfId="18893"/>
    <cellStyle name="强调文字颜色 1 2 17 5 7" xfId="27393"/>
    <cellStyle name="强调文字颜色 1 2 17 5 8" xfId="27394"/>
    <cellStyle name="强调文字颜色 1 2 17 5 9" xfId="27395"/>
    <cellStyle name="强调文字颜色 1 2 17 6" xfId="23145"/>
    <cellStyle name="强调文字颜色 1 2 17 6 2" xfId="27397"/>
    <cellStyle name="强调文字颜色 1 2 17 6 2 2" xfId="27398"/>
    <cellStyle name="强调文字颜色 1 2 17 6 2 3" xfId="27400"/>
    <cellStyle name="强调文字颜色 1 2 17 6 3" xfId="27403"/>
    <cellStyle name="强调文字颜色 1 2 17 6 4" xfId="27405"/>
    <cellStyle name="强调文字颜色 1 2 17 6 5" xfId="27406"/>
    <cellStyle name="强调文字颜色 1 2 17 6 6" xfId="27407"/>
    <cellStyle name="强调文字颜色 1 2 17 6 7" xfId="27408"/>
    <cellStyle name="强调文字颜色 1 2 17 6 8" xfId="27409"/>
    <cellStyle name="强调文字颜色 1 2 17 7" xfId="23147"/>
    <cellStyle name="强调文字颜色 1 2 17 8" xfId="23149"/>
    <cellStyle name="强调文字颜色 1 2 17 9" xfId="20468"/>
    <cellStyle name="强调文字颜色 1 2 17 9 2" xfId="27411"/>
    <cellStyle name="强调文字颜色 1 2 17 9 3" xfId="17833"/>
    <cellStyle name="强调文字颜色 1 2 18" xfId="27413"/>
    <cellStyle name="强调文字颜色 1 2 18 10" xfId="27414"/>
    <cellStyle name="强调文字颜色 1 2 18 11" xfId="27416"/>
    <cellStyle name="强调文字颜色 1 2 18 12" xfId="27417"/>
    <cellStyle name="强调文字颜色 1 2 18 13" xfId="27419"/>
    <cellStyle name="强调文字颜色 1 2 18 14" xfId="27421"/>
    <cellStyle name="强调文字颜色 1 2 18 2" xfId="27422"/>
    <cellStyle name="强调文字颜色 1 2 18 3" xfId="27423"/>
    <cellStyle name="强调文字颜色 1 2 18 4" xfId="27424"/>
    <cellStyle name="强调文字颜色 1 2 18 5" xfId="27425"/>
    <cellStyle name="强调文字颜色 1 2 18 5 10" xfId="27427"/>
    <cellStyle name="强调文字颜色 1 2 18 5 11" xfId="5262"/>
    <cellStyle name="强调文字颜色 1 2 18 5 2" xfId="849"/>
    <cellStyle name="强调文字颜色 1 2 18 5 2 2" xfId="27429"/>
    <cellStyle name="强调文字颜色 1 2 18 5 2 2 2" xfId="27432"/>
    <cellStyle name="强调文字颜色 1 2 18 5 2 2 3" xfId="27433"/>
    <cellStyle name="强调文字颜色 1 2 18 5 2 3" xfId="27434"/>
    <cellStyle name="强调文字颜色 1 2 18 5 2 4" xfId="27437"/>
    <cellStyle name="强调文字颜色 1 2 18 5 2 5" xfId="27440"/>
    <cellStyle name="强调文字颜色 1 2 18 5 2 6" xfId="27443"/>
    <cellStyle name="强调文字颜色 1 2 18 5 2 7" xfId="27445"/>
    <cellStyle name="强调文字颜色 1 2 18 5 2 8" xfId="27447"/>
    <cellStyle name="强调文字颜色 1 2 18 5 3" xfId="14674"/>
    <cellStyle name="强调文字颜色 1 2 18 5 4" xfId="14676"/>
    <cellStyle name="强调文字颜色 1 2 18 5 5" xfId="14678"/>
    <cellStyle name="强调文字颜色 1 2 18 5 6" xfId="14680"/>
    <cellStyle name="强调文字颜色 1 2 18 5 6 2" xfId="3666"/>
    <cellStyle name="强调文字颜色 1 2 18 5 6 3" xfId="3675"/>
    <cellStyle name="强调文字颜色 1 2 18 5 7" xfId="27449"/>
    <cellStyle name="强调文字颜色 1 2 18 5 8" xfId="27450"/>
    <cellStyle name="强调文字颜色 1 2 18 5 9" xfId="27451"/>
    <cellStyle name="强调文字颜色 1 2 18 6" xfId="27452"/>
    <cellStyle name="强调文字颜色 1 2 18 6 2" xfId="5250"/>
    <cellStyle name="强调文字颜色 1 2 18 6 2 2" xfId="27453"/>
    <cellStyle name="强调文字颜色 1 2 18 6 2 3" xfId="4819"/>
    <cellStyle name="强调文字颜色 1 2 18 6 3" xfId="5257"/>
    <cellStyle name="强调文字颜色 1 2 18 6 4" xfId="5339"/>
    <cellStyle name="强调文字颜色 1 2 18 6 5" xfId="5352"/>
    <cellStyle name="强调文字颜色 1 2 18 6 6" xfId="3225"/>
    <cellStyle name="强调文字颜色 1 2 18 6 7" xfId="3244"/>
    <cellStyle name="强调文字颜色 1 2 18 6 8" xfId="2930"/>
    <cellStyle name="强调文字颜色 1 2 18 7" xfId="27455"/>
    <cellStyle name="强调文字颜色 1 2 18 8" xfId="27456"/>
    <cellStyle name="强调文字颜色 1 2 18 9" xfId="27457"/>
    <cellStyle name="强调文字颜色 1 2 18 9 2" xfId="27458"/>
    <cellStyle name="强调文字颜色 1 2 18 9 3" xfId="27459"/>
    <cellStyle name="强调文字颜色 1 2 19" xfId="27461"/>
    <cellStyle name="强调文字颜色 1 2 19 10" xfId="27462"/>
    <cellStyle name="强调文字颜色 1 2 19 11" xfId="27463"/>
    <cellStyle name="强调文字颜色 1 2 19 12" xfId="27464"/>
    <cellStyle name="强调文字颜色 1 2 19 13" xfId="27465"/>
    <cellStyle name="强调文字颜色 1 2 19 14" xfId="19577"/>
    <cellStyle name="强调文字颜色 1 2 19 2" xfId="27466"/>
    <cellStyle name="强调文字颜色 1 2 19 3" xfId="27468"/>
    <cellStyle name="强调文字颜色 1 2 19 4" xfId="27470"/>
    <cellStyle name="强调文字颜色 1 2 19 5" xfId="25789"/>
    <cellStyle name="强调文字颜色 1 2 19 5 10" xfId="27471"/>
    <cellStyle name="强调文字颜色 1 2 19 5 11" xfId="1801"/>
    <cellStyle name="强调文字颜色 1 2 19 5 2" xfId="2713"/>
    <cellStyle name="强调文字颜色 1 2 19 5 2 2" xfId="27473"/>
    <cellStyle name="强调文字颜色 1 2 19 5 2 2 2" xfId="4091"/>
    <cellStyle name="强调文字颜色 1 2 19 5 2 2 3" xfId="27475"/>
    <cellStyle name="强调文字颜色 1 2 19 5 2 3" xfId="27477"/>
    <cellStyle name="强调文字颜色 1 2 19 5 2 4" xfId="27479"/>
    <cellStyle name="强调文字颜色 1 2 19 5 2 5" xfId="20230"/>
    <cellStyle name="强调文字颜色 1 2 19 5 2 6" xfId="20251"/>
    <cellStyle name="强调文字颜色 1 2 19 5 2 7" xfId="9011"/>
    <cellStyle name="强调文字颜色 1 2 19 5 2 8" xfId="9018"/>
    <cellStyle name="强调文字颜色 1 2 19 5 3" xfId="27480"/>
    <cellStyle name="强调文字颜色 1 2 19 5 4" xfId="24484"/>
    <cellStyle name="强调文字颜色 1 2 19 5 5" xfId="27481"/>
    <cellStyle name="强调文字颜色 1 2 19 5 6" xfId="27482"/>
    <cellStyle name="强调文字颜色 1 2 19 5 6 2" xfId="6103"/>
    <cellStyle name="强调文字颜色 1 2 19 5 6 3" xfId="6146"/>
    <cellStyle name="强调文字颜色 1 2 19 5 7" xfId="27483"/>
    <cellStyle name="强调文字颜色 1 2 19 5 8" xfId="27484"/>
    <cellStyle name="强调文字颜色 1 2 19 5 9" xfId="27485"/>
    <cellStyle name="强调文字颜色 1 2 19 6" xfId="27486"/>
    <cellStyle name="强调文字颜色 1 2 19 6 2" xfId="27487"/>
    <cellStyle name="强调文字颜色 1 2 19 6 2 2" xfId="27488"/>
    <cellStyle name="强调文字颜色 1 2 19 6 2 3" xfId="27489"/>
    <cellStyle name="强调文字颜色 1 2 19 6 3" xfId="27490"/>
    <cellStyle name="强调文字颜色 1 2 19 6 4" xfId="27491"/>
    <cellStyle name="强调文字颜色 1 2 19 6 5" xfId="27492"/>
    <cellStyle name="强调文字颜色 1 2 19 6 6" xfId="27494"/>
    <cellStyle name="强调文字颜色 1 2 19 6 7" xfId="27496"/>
    <cellStyle name="强调文字颜色 1 2 19 6 8" xfId="27498"/>
    <cellStyle name="强调文字颜色 1 2 19 7" xfId="27499"/>
    <cellStyle name="强调文字颜色 1 2 19 8" xfId="27500"/>
    <cellStyle name="强调文字颜色 1 2 19 9" xfId="5332"/>
    <cellStyle name="强调文字颜色 1 2 19 9 2" xfId="27501"/>
    <cellStyle name="强调文字颜色 1 2 19 9 3" xfId="27502"/>
    <cellStyle name="强调文字颜色 1 2 2" xfId="27503"/>
    <cellStyle name="强调文字颜色 1 2 2 10" xfId="21118"/>
    <cellStyle name="强调文字颜色 1 2 2 11" xfId="21120"/>
    <cellStyle name="强调文字颜色 1 2 2 12" xfId="27504"/>
    <cellStyle name="强调文字颜色 1 2 2 13" xfId="27506"/>
    <cellStyle name="强调文字颜色 1 2 2 14" xfId="27508"/>
    <cellStyle name="强调文字颜色 1 2 2 2" xfId="27510"/>
    <cellStyle name="强调文字颜色 1 2 2 3" xfId="27513"/>
    <cellStyle name="强调文字颜色 1 2 2 4" xfId="27516"/>
    <cellStyle name="强调文字颜色 1 2 2 5" xfId="27520"/>
    <cellStyle name="强调文字颜色 1 2 2 6" xfId="27524"/>
    <cellStyle name="强调文字颜色 1 2 2 7" xfId="27527"/>
    <cellStyle name="强调文字颜色 1 2 2 8" xfId="27528"/>
    <cellStyle name="强调文字颜色 1 2 2 9" xfId="27529"/>
    <cellStyle name="强调文字颜色 1 2 20" xfId="27379"/>
    <cellStyle name="强调文字颜色 1 2 20 10" xfId="27530"/>
    <cellStyle name="强调文字颜色 1 2 20 11" xfId="27532"/>
    <cellStyle name="强调文字颜色 1 2 20 12" xfId="27534"/>
    <cellStyle name="强调文字颜色 1 2 20 13" xfId="27536"/>
    <cellStyle name="强调文字颜色 1 2 20 14" xfId="27538"/>
    <cellStyle name="强调文字颜色 1 2 20 2" xfId="27540"/>
    <cellStyle name="强调文字颜色 1 2 20 3" xfId="27542"/>
    <cellStyle name="强调文字颜色 1 2 20 4" xfId="27543"/>
    <cellStyle name="强调文字颜色 1 2 20 5" xfId="27544"/>
    <cellStyle name="强调文字颜色 1 2 20 5 10" xfId="15109"/>
    <cellStyle name="强调文字颜色 1 2 20 5 11" xfId="15153"/>
    <cellStyle name="强调文字颜色 1 2 20 5 2" xfId="27545"/>
    <cellStyle name="强调文字颜色 1 2 20 5 2 2" xfId="24615"/>
    <cellStyle name="强调文字颜色 1 2 20 5 2 2 2" xfId="23495"/>
    <cellStyle name="强调文字颜色 1 2 20 5 2 2 3" xfId="27547"/>
    <cellStyle name="强调文字颜色 1 2 20 5 2 3" xfId="27548"/>
    <cellStyle name="强调文字颜色 1 2 20 5 2 4" xfId="27550"/>
    <cellStyle name="强调文字颜色 1 2 20 5 2 5" xfId="27552"/>
    <cellStyle name="强调文字颜色 1 2 20 5 2 6" xfId="27554"/>
    <cellStyle name="强调文字颜色 1 2 20 5 2 7" xfId="27556"/>
    <cellStyle name="强调文字颜色 1 2 20 5 2 8" xfId="27558"/>
    <cellStyle name="强调文字颜色 1 2 20 5 3" xfId="4760"/>
    <cellStyle name="强调文字颜色 1 2 20 5 4" xfId="4770"/>
    <cellStyle name="强调文字颜色 1 2 20 5 5" xfId="27560"/>
    <cellStyle name="强调文字颜色 1 2 20 5 6" xfId="27564"/>
    <cellStyle name="强调文字颜色 1 2 20 5 6 2" xfId="27565"/>
    <cellStyle name="强调文字颜色 1 2 20 5 6 3" xfId="27566"/>
    <cellStyle name="强调文字颜色 1 2 20 5 7" xfId="27567"/>
    <cellStyle name="强调文字颜色 1 2 20 5 8" xfId="27568"/>
    <cellStyle name="强调文字颜色 1 2 20 5 9" xfId="27569"/>
    <cellStyle name="强调文字颜色 1 2 20 6" xfId="27570"/>
    <cellStyle name="强调文字颜色 1 2 20 6 2" xfId="20945"/>
    <cellStyle name="强调文字颜色 1 2 20 6 2 2" xfId="27571"/>
    <cellStyle name="强调文字颜色 1 2 20 6 2 3" xfId="27573"/>
    <cellStyle name="强调文字颜色 1 2 20 6 3" xfId="20949"/>
    <cellStyle name="强调文字颜色 1 2 20 6 4" xfId="20952"/>
    <cellStyle name="强调文字颜色 1 2 20 6 5" xfId="27576"/>
    <cellStyle name="强调文字颜色 1 2 20 6 6" xfId="27578"/>
    <cellStyle name="强调文字颜色 1 2 20 6 7" xfId="27580"/>
    <cellStyle name="强调文字颜色 1 2 20 6 8" xfId="27582"/>
    <cellStyle name="强调文字颜色 1 2 20 7" xfId="27583"/>
    <cellStyle name="强调文字颜色 1 2 20 8" xfId="27584"/>
    <cellStyle name="强调文字颜色 1 2 20 9" xfId="27585"/>
    <cellStyle name="强调文字颜色 1 2 20 9 2" xfId="18897"/>
    <cellStyle name="强调文字颜色 1 2 20 9 3" xfId="5718"/>
    <cellStyle name="强调文字颜色 1 2 3" xfId="9165"/>
    <cellStyle name="强调文字颜色 1 2 3 10" xfId="17152"/>
    <cellStyle name="强调文字颜色 1 2 3 11" xfId="1795"/>
    <cellStyle name="强调文字颜色 1 2 3 12" xfId="27586"/>
    <cellStyle name="强调文字颜色 1 2 3 13" xfId="27588"/>
    <cellStyle name="强调文字颜色 1 2 3 14" xfId="27591"/>
    <cellStyle name="强调文字颜色 1 2 3 2" xfId="27593"/>
    <cellStyle name="强调文字颜色 1 2 3 3" xfId="27595"/>
    <cellStyle name="强调文字颜色 1 2 3 4" xfId="27597"/>
    <cellStyle name="强调文字颜色 1 2 3 5" xfId="18226"/>
    <cellStyle name="强调文字颜色 1 2 3 6" xfId="18231"/>
    <cellStyle name="强调文字颜色 1 2 3 7" xfId="18234"/>
    <cellStyle name="强调文字颜色 1 2 3 8" xfId="3381"/>
    <cellStyle name="强调文字颜色 1 2 3 9" xfId="3389"/>
    <cellStyle name="强调文字颜色 1 2 4" xfId="5239"/>
    <cellStyle name="强调文字颜色 1 2 4 10" xfId="27599"/>
    <cellStyle name="强调文字颜色 1 2 4 11" xfId="27601"/>
    <cellStyle name="强调文字颜色 1 2 4 12" xfId="27602"/>
    <cellStyle name="强调文字颜色 1 2 4 13" xfId="22784"/>
    <cellStyle name="强调文字颜色 1 2 4 14" xfId="22798"/>
    <cellStyle name="强调文字颜色 1 2 4 2" xfId="27605"/>
    <cellStyle name="强调文字颜色 1 2 4 3" xfId="27606"/>
    <cellStyle name="强调文字颜色 1 2 4 4" xfId="27607"/>
    <cellStyle name="强调文字颜色 1 2 4 5" xfId="18240"/>
    <cellStyle name="强调文字颜色 1 2 4 6" xfId="18243"/>
    <cellStyle name="强调文字颜色 1 2 4 7" xfId="18246"/>
    <cellStyle name="强调文字颜色 1 2 4 8" xfId="18248"/>
    <cellStyle name="强调文字颜色 1 2 4 9" xfId="18250"/>
    <cellStyle name="强调文字颜色 1 2 5" xfId="27608"/>
    <cellStyle name="强调文字颜色 1 2 6" xfId="27609"/>
    <cellStyle name="强调文字颜色 1 2 7" xfId="27610"/>
    <cellStyle name="强调文字颜色 1 2 8" xfId="27611"/>
    <cellStyle name="强调文字颜色 1 2 9" xfId="27612"/>
    <cellStyle name="强调文字颜色 1 3" xfId="27613"/>
    <cellStyle name="强调文字颜色 1 3 10" xfId="27615"/>
    <cellStyle name="强调文字颜色 1 3 11" xfId="27617"/>
    <cellStyle name="强调文字颜色 1 3 12" xfId="27619"/>
    <cellStyle name="强调文字颜色 1 3 13" xfId="27621"/>
    <cellStyle name="强调文字颜色 1 3 14" xfId="27622"/>
    <cellStyle name="强调文字颜色 1 3 15" xfId="27623"/>
    <cellStyle name="强调文字颜色 1 3 16" xfId="27625"/>
    <cellStyle name="强调文字颜色 1 3 17" xfId="27626"/>
    <cellStyle name="强调文字颜色 1 3 17 10" xfId="27627"/>
    <cellStyle name="强调文字颜色 1 3 17 11" xfId="13872"/>
    <cellStyle name="强调文字颜色 1 3 17 12" xfId="13883"/>
    <cellStyle name="强调文字颜色 1 3 17 13" xfId="13890"/>
    <cellStyle name="强调文字颜色 1 3 17 14" xfId="13895"/>
    <cellStyle name="强调文字颜色 1 3 17 2" xfId="19077"/>
    <cellStyle name="强调文字颜色 1 3 17 2 2" xfId="22392"/>
    <cellStyle name="强调文字颜色 1 3 17 3" xfId="19079"/>
    <cellStyle name="强调文字颜色 1 3 17 4" xfId="27629"/>
    <cellStyle name="强调文字颜色 1 3 17 5" xfId="27631"/>
    <cellStyle name="强调文字颜色 1 3 17 5 10" xfId="27633"/>
    <cellStyle name="强调文字颜色 1 3 17 5 11" xfId="27634"/>
    <cellStyle name="强调文字颜色 1 3 17 5 2" xfId="5558"/>
    <cellStyle name="强调文字颜色 1 3 17 5 2 2" xfId="27635"/>
    <cellStyle name="强调文字颜色 1 3 17 5 2 2 2" xfId="10858"/>
    <cellStyle name="强调文字颜色 1 3 17 5 2 2 3" xfId="22539"/>
    <cellStyle name="强调文字颜色 1 3 17 5 2 3" xfId="27636"/>
    <cellStyle name="强调文字颜色 1 3 17 5 2 4" xfId="27639"/>
    <cellStyle name="强调文字颜色 1 3 17 5 2 5" xfId="27642"/>
    <cellStyle name="强调文字颜色 1 3 17 5 2 6" xfId="27643"/>
    <cellStyle name="强调文字颜色 1 3 17 5 2 7" xfId="23253"/>
    <cellStyle name="强调文字颜色 1 3 17 5 2 8" xfId="23255"/>
    <cellStyle name="强调文字颜色 1 3 17 5 3" xfId="27644"/>
    <cellStyle name="强调文字颜色 1 3 17 5 4" xfId="27645"/>
    <cellStyle name="强调文字颜色 1 3 17 5 5" xfId="27646"/>
    <cellStyle name="强调文字颜色 1 3 17 5 6" xfId="27647"/>
    <cellStyle name="强调文字颜色 1 3 17 5 6 2" xfId="21016"/>
    <cellStyle name="强调文字颜色 1 3 17 5 6 3" xfId="19879"/>
    <cellStyle name="强调文字颜色 1 3 17 5 7" xfId="27648"/>
    <cellStyle name="强调文字颜色 1 3 17 5 8" xfId="27649"/>
    <cellStyle name="强调文字颜色 1 3 17 5 9" xfId="27650"/>
    <cellStyle name="强调文字颜色 1 3 17 6" xfId="27651"/>
    <cellStyle name="强调文字颜色 1 3 17 6 2" xfId="27653"/>
    <cellStyle name="强调文字颜色 1 3 17 6 2 2" xfId="27654"/>
    <cellStyle name="强调文字颜色 1 3 17 6 2 3" xfId="27656"/>
    <cellStyle name="强调文字颜色 1 3 17 6 3" xfId="27658"/>
    <cellStyle name="强调文字颜色 1 3 17 6 4" xfId="27660"/>
    <cellStyle name="强调文字颜色 1 3 17 6 5" xfId="26100"/>
    <cellStyle name="强调文字颜色 1 3 17 6 6" xfId="27662"/>
    <cellStyle name="强调文字颜色 1 3 17 6 7" xfId="25716"/>
    <cellStyle name="强调文字颜色 1 3 17 6 8" xfId="27664"/>
    <cellStyle name="强调文字颜色 1 3 17 7" xfId="27665"/>
    <cellStyle name="强调文字颜色 1 3 17 8" xfId="27667"/>
    <cellStyle name="强调文字颜色 1 3 17 9" xfId="27669"/>
    <cellStyle name="强调文字颜色 1 3 17 9 2" xfId="27671"/>
    <cellStyle name="强调文字颜色 1 3 17 9 3" xfId="27672"/>
    <cellStyle name="强调文字颜色 1 3 18" xfId="27673"/>
    <cellStyle name="强调文字颜色 1 3 18 10" xfId="27674"/>
    <cellStyle name="强调文字颜色 1 3 18 11" xfId="27676"/>
    <cellStyle name="强调文字颜色 1 3 18 12" xfId="27677"/>
    <cellStyle name="强调文字颜色 1 3 18 13" xfId="27679"/>
    <cellStyle name="强调文字颜色 1 3 18 14" xfId="27681"/>
    <cellStyle name="强调文字颜色 1 3 18 2" xfId="27682"/>
    <cellStyle name="强调文字颜色 1 3 18 3" xfId="27683"/>
    <cellStyle name="强调文字颜色 1 3 18 4" xfId="27684"/>
    <cellStyle name="强调文字颜色 1 3 18 5" xfId="25996"/>
    <cellStyle name="强调文字颜色 1 3 18 5 10" xfId="17877"/>
    <cellStyle name="强调文字颜色 1 3 18 5 11" xfId="15207"/>
    <cellStyle name="强调文字颜色 1 3 18 5 2" xfId="5844"/>
    <cellStyle name="强调文字颜色 1 3 18 5 2 2" xfId="27686"/>
    <cellStyle name="强调文字颜色 1 3 18 5 2 2 2" xfId="27687"/>
    <cellStyle name="强调文字颜色 1 3 18 5 2 2 3" xfId="18939"/>
    <cellStyle name="强调文字颜色 1 3 18 5 2 3" xfId="27688"/>
    <cellStyle name="强调文字颜色 1 3 18 5 2 4" xfId="27689"/>
    <cellStyle name="强调文字颜色 1 3 18 5 2 5" xfId="27690"/>
    <cellStyle name="强调文字颜色 1 3 18 5 2 6" xfId="27691"/>
    <cellStyle name="强调文字颜色 1 3 18 5 2 7" xfId="27692"/>
    <cellStyle name="强调文字颜色 1 3 18 5 2 8" xfId="15216"/>
    <cellStyle name="强调文字颜色 1 3 18 5 3" xfId="27693"/>
    <cellStyle name="强调文字颜色 1 3 18 5 4" xfId="27694"/>
    <cellStyle name="强调文字颜色 1 3 18 5 5" xfId="27695"/>
    <cellStyle name="强调文字颜色 1 3 18 5 6" xfId="27696"/>
    <cellStyle name="强调文字颜色 1 3 18 5 6 2" xfId="27697"/>
    <cellStyle name="强调文字颜色 1 3 18 5 6 3" xfId="27698"/>
    <cellStyle name="强调文字颜色 1 3 18 5 7" xfId="27699"/>
    <cellStyle name="强调文字颜色 1 3 18 5 8" xfId="27701"/>
    <cellStyle name="强调文字颜色 1 3 18 5 9" xfId="27703"/>
    <cellStyle name="强调文字颜色 1 3 18 6" xfId="27704"/>
    <cellStyle name="强调文字颜色 1 3 18 6 2" xfId="27706"/>
    <cellStyle name="强调文字颜色 1 3 18 6 2 2" xfId="27707"/>
    <cellStyle name="强调文字颜色 1 3 18 6 2 3" xfId="27708"/>
    <cellStyle name="强调文字颜色 1 3 18 6 3" xfId="27709"/>
    <cellStyle name="强调文字颜色 1 3 18 6 4" xfId="27710"/>
    <cellStyle name="强调文字颜色 1 3 18 6 5" xfId="27711"/>
    <cellStyle name="强调文字颜色 1 3 18 6 6" xfId="27713"/>
    <cellStyle name="强调文字颜色 1 3 18 6 7" xfId="27716"/>
    <cellStyle name="强调文字颜色 1 3 18 6 8" xfId="27719"/>
    <cellStyle name="强调文字颜色 1 3 18 7" xfId="27720"/>
    <cellStyle name="强调文字颜色 1 3 18 8" xfId="27722"/>
    <cellStyle name="强调文字颜色 1 3 18 9" xfId="27724"/>
    <cellStyle name="强调文字颜色 1 3 18 9 2" xfId="27726"/>
    <cellStyle name="强调文字颜色 1 3 18 9 3" xfId="10700"/>
    <cellStyle name="强调文字颜色 1 3 19" xfId="27727"/>
    <cellStyle name="强调文字颜色 1 3 19 10" xfId="27728"/>
    <cellStyle name="强调文字颜色 1 3 19 11" xfId="27730"/>
    <cellStyle name="强调文字颜色 1 3 19 12" xfId="27732"/>
    <cellStyle name="强调文字颜色 1 3 19 13" xfId="27734"/>
    <cellStyle name="强调文字颜色 1 3 19 14" xfId="27736"/>
    <cellStyle name="强调文字颜色 1 3 19 2" xfId="17586"/>
    <cellStyle name="强调文字颜色 1 3 19 3" xfId="27739"/>
    <cellStyle name="强调文字颜色 1 3 19 4" xfId="27741"/>
    <cellStyle name="强调文字颜色 1 3 19 5" xfId="25792"/>
    <cellStyle name="强调文字颜色 1 3 19 5 10" xfId="27742"/>
    <cellStyle name="强调文字颜色 1 3 19 5 11" xfId="27743"/>
    <cellStyle name="强调文字颜色 1 3 19 5 2" xfId="6009"/>
    <cellStyle name="强调文字颜色 1 3 19 5 2 2" xfId="27745"/>
    <cellStyle name="强调文字颜色 1 3 19 5 2 2 2" xfId="27747"/>
    <cellStyle name="强调文字颜色 1 3 19 5 2 2 3" xfId="27749"/>
    <cellStyle name="强调文字颜色 1 3 19 5 2 3" xfId="10983"/>
    <cellStyle name="强调文字颜色 1 3 19 5 2 4" xfId="10993"/>
    <cellStyle name="强调文字颜色 1 3 19 5 2 5" xfId="11003"/>
    <cellStyle name="强调文字颜色 1 3 19 5 2 6" xfId="11011"/>
    <cellStyle name="强调文字颜色 1 3 19 5 2 7" xfId="11020"/>
    <cellStyle name="强调文字颜色 1 3 19 5 2 8" xfId="9445"/>
    <cellStyle name="强调文字颜色 1 3 19 5 3" xfId="18111"/>
    <cellStyle name="强调文字颜色 1 3 19 5 4" xfId="20826"/>
    <cellStyle name="强调文字颜色 1 3 19 5 5" xfId="20830"/>
    <cellStyle name="强调文字颜色 1 3 19 5 6" xfId="24594"/>
    <cellStyle name="强调文字颜色 1 3 19 5 6 2" xfId="22043"/>
    <cellStyle name="强调文字颜色 1 3 19 5 6 3" xfId="22045"/>
    <cellStyle name="强调文字颜色 1 3 19 5 7" xfId="27750"/>
    <cellStyle name="强调文字颜色 1 3 19 5 8" xfId="27752"/>
    <cellStyle name="强调文字颜色 1 3 19 5 9" xfId="27754"/>
    <cellStyle name="强调文字颜色 1 3 19 6" xfId="27756"/>
    <cellStyle name="强调文字颜色 1 3 19 6 2" xfId="22742"/>
    <cellStyle name="强调文字颜色 1 3 19 6 2 2" xfId="27757"/>
    <cellStyle name="强调文字颜色 1 3 19 6 2 3" xfId="14747"/>
    <cellStyle name="强调文字颜色 1 3 19 6 3" xfId="27758"/>
    <cellStyle name="强调文字颜色 1 3 19 6 4" xfId="27759"/>
    <cellStyle name="强调文字颜色 1 3 19 6 5" xfId="27760"/>
    <cellStyle name="强调文字颜色 1 3 19 6 6" xfId="27761"/>
    <cellStyle name="强调文字颜色 1 3 19 6 7" xfId="27762"/>
    <cellStyle name="强调文字颜色 1 3 19 6 8" xfId="27763"/>
    <cellStyle name="强调文字颜色 1 3 19 7" xfId="27764"/>
    <cellStyle name="强调文字颜色 1 3 19 8" xfId="27765"/>
    <cellStyle name="强调文字颜色 1 3 19 9" xfId="27766"/>
    <cellStyle name="强调文字颜色 1 3 19 9 2" xfId="27767"/>
    <cellStyle name="强调文字颜色 1 3 19 9 3" xfId="11747"/>
    <cellStyle name="强调文字颜色 1 3 2" xfId="4712"/>
    <cellStyle name="强调文字颜色 1 3 2 10" xfId="21860"/>
    <cellStyle name="强调文字颜色 1 3 2 11" xfId="21862"/>
    <cellStyle name="强调文字颜色 1 3 2 12" xfId="27768"/>
    <cellStyle name="强调文字颜色 1 3 2 13" xfId="27770"/>
    <cellStyle name="强调文字颜色 1 3 2 14" xfId="27772"/>
    <cellStyle name="强调文字颜色 1 3 2 2" xfId="27773"/>
    <cellStyle name="强调文字颜色 1 3 2 3" xfId="27774"/>
    <cellStyle name="强调文字颜色 1 3 2 4" xfId="27776"/>
    <cellStyle name="强调文字颜色 1 3 2 5" xfId="3853"/>
    <cellStyle name="强调文字颜色 1 3 2 6" xfId="3895"/>
    <cellStyle name="强调文字颜色 1 3 2 7" xfId="27778"/>
    <cellStyle name="强调文字颜色 1 3 2 8" xfId="27780"/>
    <cellStyle name="强调文字颜色 1 3 2 9" xfId="27782"/>
    <cellStyle name="强调文字颜色 1 3 20" xfId="27624"/>
    <cellStyle name="强调文字颜色 1 3 20 10" xfId="27783"/>
    <cellStyle name="强调文字颜色 1 3 20 11" xfId="27784"/>
    <cellStyle name="强调文字颜色 1 3 20 12" xfId="27785"/>
    <cellStyle name="强调文字颜色 1 3 20 13" xfId="27786"/>
    <cellStyle name="强调文字颜色 1 3 20 14" xfId="24643"/>
    <cellStyle name="强调文字颜色 1 3 20 2" xfId="27787"/>
    <cellStyle name="强调文字颜色 1 3 20 3" xfId="27788"/>
    <cellStyle name="强调文字颜色 1 3 20 4" xfId="27789"/>
    <cellStyle name="强调文字颜色 1 3 20 5" xfId="27791"/>
    <cellStyle name="强调文字颜色 1 3 20 5 10" xfId="10709"/>
    <cellStyle name="强调文字颜色 1 3 20 5 11" xfId="10714"/>
    <cellStyle name="强调文字颜色 1 3 20 5 2" xfId="27794"/>
    <cellStyle name="强调文字颜色 1 3 20 5 2 2" xfId="27796"/>
    <cellStyle name="强调文字颜色 1 3 20 5 2 2 2" xfId="24107"/>
    <cellStyle name="强调文字颜色 1 3 20 5 2 2 3" xfId="27798"/>
    <cellStyle name="强调文字颜色 1 3 20 5 2 3" xfId="27799"/>
    <cellStyle name="强调文字颜色 1 3 20 5 2 4" xfId="27801"/>
    <cellStyle name="强调文字颜色 1 3 20 5 2 5" xfId="27803"/>
    <cellStyle name="强调文字颜色 1 3 20 5 2 6" xfId="27806"/>
    <cellStyle name="强调文字颜色 1 3 20 5 2 7" xfId="27809"/>
    <cellStyle name="强调文字颜色 1 3 20 5 2 8" xfId="27811"/>
    <cellStyle name="强调文字颜色 1 3 20 5 3" xfId="27815"/>
    <cellStyle name="强调文字颜色 1 3 20 5 4" xfId="27817"/>
    <cellStyle name="强调文字颜色 1 3 20 5 5" xfId="27821"/>
    <cellStyle name="强调文字颜色 1 3 20 5 6" xfId="27133"/>
    <cellStyle name="强调文字颜色 1 3 20 5 6 2" xfId="27824"/>
    <cellStyle name="强调文字颜色 1 3 20 5 6 3" xfId="27825"/>
    <cellStyle name="强调文字颜色 1 3 20 5 7" xfId="27139"/>
    <cellStyle name="强调文字颜色 1 3 20 5 8" xfId="27828"/>
    <cellStyle name="强调文字颜色 1 3 20 5 9" xfId="27832"/>
    <cellStyle name="强调文字颜色 1 3 20 6" xfId="27835"/>
    <cellStyle name="强调文字颜色 1 3 20 6 2" xfId="27837"/>
    <cellStyle name="强调文字颜色 1 3 20 6 2 2" xfId="15070"/>
    <cellStyle name="强调文字颜色 1 3 20 6 2 3" xfId="15078"/>
    <cellStyle name="强调文字颜色 1 3 20 6 3" xfId="27839"/>
    <cellStyle name="强调文字颜色 1 3 20 6 4" xfId="27841"/>
    <cellStyle name="强调文字颜色 1 3 20 6 5" xfId="27843"/>
    <cellStyle name="强调文字颜色 1 3 20 6 6" xfId="27845"/>
    <cellStyle name="强调文字颜色 1 3 20 6 7" xfId="27847"/>
    <cellStyle name="强调文字颜色 1 3 20 6 8" xfId="27849"/>
    <cellStyle name="强调文字颜色 1 3 20 7" xfId="27852"/>
    <cellStyle name="强调文字颜色 1 3 20 8" xfId="27855"/>
    <cellStyle name="强调文字颜色 1 3 20 9" xfId="27858"/>
    <cellStyle name="强调文字颜色 1 3 20 9 2" xfId="27860"/>
    <cellStyle name="强调文字颜色 1 3 20 9 3" xfId="27862"/>
    <cellStyle name="强调文字颜色 1 3 3" xfId="12321"/>
    <cellStyle name="强调文字颜色 1 3 3 10" xfId="21881"/>
    <cellStyle name="强调文字颜色 1 3 3 11" xfId="21884"/>
    <cellStyle name="强调文字颜色 1 3 3 12" xfId="27864"/>
    <cellStyle name="强调文字颜色 1 3 3 13" xfId="27866"/>
    <cellStyle name="强调文字颜色 1 3 3 14" xfId="27868"/>
    <cellStyle name="强调文字颜色 1 3 3 2" xfId="27869"/>
    <cellStyle name="强调文字颜色 1 3 3 3" xfId="27870"/>
    <cellStyle name="强调文字颜色 1 3 3 4" xfId="27871"/>
    <cellStyle name="强调文字颜色 1 3 3 5" xfId="27873"/>
    <cellStyle name="强调文字颜色 1 3 3 6" xfId="27875"/>
    <cellStyle name="强调文字颜色 1 3 3 7" xfId="27877"/>
    <cellStyle name="强调文字颜色 1 3 3 8" xfId="27879"/>
    <cellStyle name="强调文字颜色 1 3 3 9" xfId="27881"/>
    <cellStyle name="强调文字颜色 1 3 4" xfId="12325"/>
    <cellStyle name="强调文字颜色 1 3 4 10" xfId="27882"/>
    <cellStyle name="强调文字颜色 1 3 4 11" xfId="27884"/>
    <cellStyle name="强调文字颜色 1 3 4 12" xfId="20254"/>
    <cellStyle name="强调文字颜色 1 3 4 13" xfId="20257"/>
    <cellStyle name="强调文字颜色 1 3 4 14" xfId="27886"/>
    <cellStyle name="强调文字颜色 1 3 4 2" xfId="27887"/>
    <cellStyle name="强调文字颜色 1 3 4 3" xfId="27888"/>
    <cellStyle name="强调文字颜色 1 3 4 4" xfId="27889"/>
    <cellStyle name="强调文字颜色 1 3 4 5" xfId="27890"/>
    <cellStyle name="强调文字颜色 1 3 4 6" xfId="27891"/>
    <cellStyle name="强调文字颜色 1 3 4 7" xfId="27892"/>
    <cellStyle name="强调文字颜色 1 3 4 8" xfId="27893"/>
    <cellStyle name="强调文字颜色 1 3 4 9" xfId="27894"/>
    <cellStyle name="强调文字颜色 1 3 5" xfId="12328"/>
    <cellStyle name="强调文字颜色 1 3 6" xfId="12330"/>
    <cellStyle name="强调文字颜色 1 3 7" xfId="12332"/>
    <cellStyle name="强调文字颜色 1 3 8" xfId="27895"/>
    <cellStyle name="强调文字颜色 1 3 9" xfId="27896"/>
    <cellStyle name="强调文字颜色 1 4" xfId="27897"/>
    <cellStyle name="强调文字颜色 1 4 10" xfId="26366"/>
    <cellStyle name="强调文字颜色 1 4 11" xfId="13123"/>
    <cellStyle name="强调文字颜色 1 4 12" xfId="13132"/>
    <cellStyle name="强调文字颜色 1 4 13" xfId="13137"/>
    <cellStyle name="强调文字颜色 1 4 14" xfId="13142"/>
    <cellStyle name="强调文字颜色 1 4 15" xfId="13147"/>
    <cellStyle name="强调文字颜色 1 4 16" xfId="13150"/>
    <cellStyle name="强调文字颜色 1 4 17" xfId="13152"/>
    <cellStyle name="强调文字颜色 1 4 17 10" xfId="2485"/>
    <cellStyle name="强调文字颜色 1 4 17 11" xfId="2499"/>
    <cellStyle name="强调文字颜色 1 4 17 12" xfId="2507"/>
    <cellStyle name="强调文字颜色 1 4 17 13" xfId="2516"/>
    <cellStyle name="强调文字颜色 1 4 17 14" xfId="3265"/>
    <cellStyle name="强调文字颜色 1 4 17 2" xfId="4489"/>
    <cellStyle name="强调文字颜色 1 4 17 3" xfId="4503"/>
    <cellStyle name="强调文字颜色 1 4 17 4" xfId="4513"/>
    <cellStyle name="强调文字颜色 1 4 17 5" xfId="27898"/>
    <cellStyle name="强调文字颜色 1 4 17 5 10" xfId="27901"/>
    <cellStyle name="强调文字颜色 1 4 17 5 11" xfId="27902"/>
    <cellStyle name="强调文字颜色 1 4 17 5 2" xfId="206"/>
    <cellStyle name="强调文字颜色 1 4 17 5 2 2" xfId="7162"/>
    <cellStyle name="强调文字颜色 1 4 17 5 2 2 2" xfId="10522"/>
    <cellStyle name="强调文字颜色 1 4 17 5 2 2 3" xfId="18485"/>
    <cellStyle name="强调文字颜色 1 4 17 5 2 3" xfId="7167"/>
    <cellStyle name="强调文字颜色 1 4 17 5 2 4" xfId="7172"/>
    <cellStyle name="强调文字颜色 1 4 17 5 2 5" xfId="16558"/>
    <cellStyle name="强调文字颜色 1 4 17 5 2 6" xfId="15963"/>
    <cellStyle name="强调文字颜色 1 4 17 5 2 7" xfId="27903"/>
    <cellStyle name="强调文字颜色 1 4 17 5 2 8" xfId="27904"/>
    <cellStyle name="强调文字颜色 1 4 17 5 3" xfId="27905"/>
    <cellStyle name="强调文字颜色 1 4 17 5 4" xfId="27906"/>
    <cellStyle name="强调文字颜色 1 4 17 5 5" xfId="27907"/>
    <cellStyle name="强调文字颜色 1 4 17 5 6" xfId="26607"/>
    <cellStyle name="强调文字颜色 1 4 17 5 6 2" xfId="27908"/>
    <cellStyle name="强调文字颜色 1 4 17 5 6 3" xfId="27909"/>
    <cellStyle name="强调文字颜色 1 4 17 5 7" xfId="26609"/>
    <cellStyle name="强调文字颜色 1 4 17 5 8" xfId="26611"/>
    <cellStyle name="强调文字颜色 1 4 17 5 9" xfId="26615"/>
    <cellStyle name="强调文字颜色 1 4 17 6" xfId="27911"/>
    <cellStyle name="强调文字颜色 1 4 17 6 2" xfId="27914"/>
    <cellStyle name="强调文字颜色 1 4 17 6 2 2" xfId="27915"/>
    <cellStyle name="强调文字颜色 1 4 17 6 2 3" xfId="27916"/>
    <cellStyle name="强调文字颜色 1 4 17 6 3" xfId="27918"/>
    <cellStyle name="强调文字颜色 1 4 17 6 4" xfId="27920"/>
    <cellStyle name="强调文字颜色 1 4 17 6 5" xfId="27922"/>
    <cellStyle name="强调文字颜色 1 4 17 6 6" xfId="27924"/>
    <cellStyle name="强调文字颜色 1 4 17 6 7" xfId="27926"/>
    <cellStyle name="强调文字颜色 1 4 17 6 8" xfId="27927"/>
    <cellStyle name="强调文字颜色 1 4 17 7" xfId="10407"/>
    <cellStyle name="强调文字颜色 1 4 17 8" xfId="10419"/>
    <cellStyle name="强调文字颜色 1 4 17 9" xfId="27929"/>
    <cellStyle name="强调文字颜色 1 4 17 9 2" xfId="27932"/>
    <cellStyle name="强调文字颜色 1 4 17 9 3" xfId="27934"/>
    <cellStyle name="强调文字颜色 1 4 18" xfId="27935"/>
    <cellStyle name="强调文字颜色 1 4 18 10" xfId="27936"/>
    <cellStyle name="强调文字颜色 1 4 18 11" xfId="20574"/>
    <cellStyle name="强调文字颜色 1 4 18 12" xfId="20576"/>
    <cellStyle name="强调文字颜色 1 4 18 13" xfId="20578"/>
    <cellStyle name="强调文字颜色 1 4 18 14" xfId="20580"/>
    <cellStyle name="强调文字颜色 1 4 18 2" xfId="27937"/>
    <cellStyle name="强调文字颜色 1 4 18 3" xfId="27938"/>
    <cellStyle name="强调文字颜色 1 4 18 4" xfId="27939"/>
    <cellStyle name="强调文字颜色 1 4 18 5" xfId="469"/>
    <cellStyle name="强调文字颜色 1 4 18 5 10" xfId="5083"/>
    <cellStyle name="强调文字颜色 1 4 18 5 11" xfId="5087"/>
    <cellStyle name="强调文字颜色 1 4 18 5 2" xfId="3494"/>
    <cellStyle name="强调文字颜色 1 4 18 5 2 2" xfId="3769"/>
    <cellStyle name="强调文字颜色 1 4 18 5 2 2 2" xfId="27940"/>
    <cellStyle name="强调文字颜色 1 4 18 5 2 2 3" xfId="27941"/>
    <cellStyle name="强调文字颜色 1 4 18 5 2 3" xfId="3777"/>
    <cellStyle name="强调文字颜色 1 4 18 5 2 4" xfId="9123"/>
    <cellStyle name="强调文字颜色 1 4 18 5 2 5" xfId="3316"/>
    <cellStyle name="强调文字颜色 1 4 18 5 2 6" xfId="3326"/>
    <cellStyle name="强调文字颜色 1 4 18 5 2 7" xfId="3338"/>
    <cellStyle name="强调文字颜色 1 4 18 5 2 8" xfId="3350"/>
    <cellStyle name="强调文字颜色 1 4 18 5 3" xfId="3505"/>
    <cellStyle name="强调文字颜色 1 4 18 5 4" xfId="3516"/>
    <cellStyle name="强调文字颜色 1 4 18 5 5" xfId="3427"/>
    <cellStyle name="强调文字颜色 1 4 18 5 6" xfId="3449"/>
    <cellStyle name="强调文字颜色 1 4 18 5 6 2" xfId="27942"/>
    <cellStyle name="强调文字颜色 1 4 18 5 6 3" xfId="27943"/>
    <cellStyle name="强调文字颜色 1 4 18 5 7" xfId="3533"/>
    <cellStyle name="强调文字颜色 1 4 18 5 8" xfId="3539"/>
    <cellStyle name="强调文字颜色 1 4 18 5 9" xfId="20590"/>
    <cellStyle name="强调文字颜色 1 4 18 6" xfId="197"/>
    <cellStyle name="强调文字颜色 1 4 18 6 2" xfId="26270"/>
    <cellStyle name="强调文字颜色 1 4 18 6 2 2" xfId="6536"/>
    <cellStyle name="强调文字颜色 1 4 18 6 2 3" xfId="6594"/>
    <cellStyle name="强调文字颜色 1 4 18 6 3" xfId="26272"/>
    <cellStyle name="强调文字颜色 1 4 18 6 4" xfId="26274"/>
    <cellStyle name="强调文字颜色 1 4 18 6 5" xfId="26276"/>
    <cellStyle name="强调文字颜色 1 4 18 6 6" xfId="25799"/>
    <cellStyle name="强调文字颜色 1 4 18 6 7" xfId="20605"/>
    <cellStyle name="强调文字颜色 1 4 18 6 8" xfId="20608"/>
    <cellStyle name="强调文字颜色 1 4 18 7" xfId="3784"/>
    <cellStyle name="强调文字颜色 1 4 18 8" xfId="3794"/>
    <cellStyle name="强调文字颜色 1 4 18 9" xfId="3808"/>
    <cellStyle name="强调文字颜色 1 4 18 9 2" xfId="3566"/>
    <cellStyle name="强调文字颜色 1 4 18 9 3" xfId="3816"/>
    <cellStyle name="强调文字颜色 1 4 19" xfId="27944"/>
    <cellStyle name="强调文字颜色 1 4 19 10" xfId="14770"/>
    <cellStyle name="强调文字颜色 1 4 19 11" xfId="14774"/>
    <cellStyle name="强调文字颜色 1 4 19 12" xfId="20621"/>
    <cellStyle name="强调文字颜色 1 4 19 13" xfId="20624"/>
    <cellStyle name="强调文字颜色 1 4 19 14" xfId="20627"/>
    <cellStyle name="强调文字颜色 1 4 19 2" xfId="27945"/>
    <cellStyle name="强调文字颜色 1 4 19 3" xfId="27946"/>
    <cellStyle name="强调文字颜色 1 4 19 4" xfId="27947"/>
    <cellStyle name="强调文字颜色 1 4 19 5" xfId="3296"/>
    <cellStyle name="强调文字颜色 1 4 19 5 10" xfId="27948"/>
    <cellStyle name="强调文字颜色 1 4 19 5 11" xfId="27949"/>
    <cellStyle name="强调文字颜色 1 4 19 5 2" xfId="3837"/>
    <cellStyle name="强调文字颜色 1 4 19 5 2 2" xfId="11241"/>
    <cellStyle name="强调文字颜色 1 4 19 5 2 2 2" xfId="4771"/>
    <cellStyle name="强调文字颜色 1 4 19 5 2 2 3" xfId="27561"/>
    <cellStyle name="强调文字颜色 1 4 19 5 2 3" xfId="11246"/>
    <cellStyle name="强调文字颜色 1 4 19 5 2 4" xfId="9276"/>
    <cellStyle name="强调文字颜色 1 4 19 5 2 5" xfId="9285"/>
    <cellStyle name="强调文字颜色 1 4 19 5 2 6" xfId="12292"/>
    <cellStyle name="强调文字颜色 1 4 19 5 2 7" xfId="12301"/>
    <cellStyle name="强调文字颜色 1 4 19 5 2 8" xfId="27950"/>
    <cellStyle name="强调文字颜色 1 4 19 5 3" xfId="3845"/>
    <cellStyle name="强调文字颜色 1 4 19 5 4" xfId="24149"/>
    <cellStyle name="强调文字颜色 1 4 19 5 5" xfId="24152"/>
    <cellStyle name="强调文字颜色 1 4 19 5 6" xfId="26300"/>
    <cellStyle name="强调文字颜色 1 4 19 5 6 2" xfId="198"/>
    <cellStyle name="强调文字颜色 1 4 19 5 6 3" xfId="27951"/>
    <cellStyle name="强调文字颜色 1 4 19 5 7" xfId="20639"/>
    <cellStyle name="强调文字颜色 1 4 19 5 8" xfId="20652"/>
    <cellStyle name="强调文字颜色 1 4 19 5 9" xfId="20654"/>
    <cellStyle name="强调文字颜色 1 4 19 6" xfId="3307"/>
    <cellStyle name="强调文字颜色 1 4 19 6 2" xfId="26311"/>
    <cellStyle name="强调文字颜色 1 4 19 6 2 2" xfId="27952"/>
    <cellStyle name="强调文字颜色 1 4 19 6 2 3" xfId="27954"/>
    <cellStyle name="强调文字颜色 1 4 19 6 3" xfId="26313"/>
    <cellStyle name="强调文字颜色 1 4 19 6 4" xfId="26315"/>
    <cellStyle name="强调文字颜色 1 4 19 6 5" xfId="26317"/>
    <cellStyle name="强调文字颜色 1 4 19 6 6" xfId="27956"/>
    <cellStyle name="强调文字颜色 1 4 19 6 7" xfId="20660"/>
    <cellStyle name="强调文字颜色 1 4 19 6 8" xfId="20669"/>
    <cellStyle name="强调文字颜色 1 4 19 7" xfId="3862"/>
    <cellStyle name="强调文字颜色 1 4 19 8" xfId="3865"/>
    <cellStyle name="强调文字颜色 1 4 19 9" xfId="3868"/>
    <cellStyle name="强调文字颜色 1 4 19 9 2" xfId="21293"/>
    <cellStyle name="强调文字颜色 1 4 19 9 3" xfId="11930"/>
    <cellStyle name="强调文字颜色 1 4 2" xfId="27957"/>
    <cellStyle name="强调文字颜色 1 4 20" xfId="13148"/>
    <cellStyle name="强调文字颜色 1 4 20 10" xfId="27959"/>
    <cellStyle name="强调文字颜色 1 4 20 11" xfId="27961"/>
    <cellStyle name="强调文字颜色 1 4 20 12" xfId="27963"/>
    <cellStyle name="强调文字颜色 1 4 20 13" xfId="20509"/>
    <cellStyle name="强调文字颜色 1 4 20 14" xfId="20511"/>
    <cellStyle name="强调文字颜色 1 4 20 2" xfId="27964"/>
    <cellStyle name="强调文字颜色 1 4 20 3" xfId="27965"/>
    <cellStyle name="强调文字颜色 1 4 20 4" xfId="27966"/>
    <cellStyle name="强调文字颜色 1 4 20 5" xfId="3214"/>
    <cellStyle name="强调文字颜色 1 4 20 5 10" xfId="17609"/>
    <cellStyle name="强调文字颜色 1 4 20 5 11" xfId="17640"/>
    <cellStyle name="强调文字颜色 1 4 20 5 2" xfId="27967"/>
    <cellStyle name="强调文字颜色 1 4 20 5 2 2" xfId="16740"/>
    <cellStyle name="强调文字颜色 1 4 20 5 2 2 2" xfId="27968"/>
    <cellStyle name="强调文字颜色 1 4 20 5 2 2 3" xfId="27969"/>
    <cellStyle name="强调文字颜色 1 4 20 5 2 3" xfId="16742"/>
    <cellStyle name="强调文字颜色 1 4 20 5 2 4" xfId="6015"/>
    <cellStyle name="强调文字颜色 1 4 20 5 2 5" xfId="6019"/>
    <cellStyle name="强调文字颜色 1 4 20 5 2 6" xfId="16747"/>
    <cellStyle name="强调文字颜色 1 4 20 5 2 7" xfId="27970"/>
    <cellStyle name="强调文字颜色 1 4 20 5 2 8" xfId="16993"/>
    <cellStyle name="强调文字颜色 1 4 20 5 3" xfId="27971"/>
    <cellStyle name="强调文字颜色 1 4 20 5 4" xfId="27972"/>
    <cellStyle name="强调文字颜色 1 4 20 5 5" xfId="27973"/>
    <cellStyle name="强调文字颜色 1 4 20 5 6" xfId="27974"/>
    <cellStyle name="强调文字颜色 1 4 20 5 6 2" xfId="27975"/>
    <cellStyle name="强调文字颜色 1 4 20 5 6 3" xfId="27976"/>
    <cellStyle name="强调文字颜色 1 4 20 5 7" xfId="27977"/>
    <cellStyle name="强调文字颜色 1 4 20 5 8" xfId="27978"/>
    <cellStyle name="强调文字颜色 1 4 20 5 9" xfId="27979"/>
    <cellStyle name="强调文字颜色 1 4 20 6" xfId="27980"/>
    <cellStyle name="强调文字颜色 1 4 20 6 2" xfId="2377"/>
    <cellStyle name="强调文字颜色 1 4 20 6 2 2" xfId="13303"/>
    <cellStyle name="强调文字颜色 1 4 20 6 2 3" xfId="19464"/>
    <cellStyle name="强调文字颜色 1 4 20 6 3" xfId="27981"/>
    <cellStyle name="强调文字颜色 1 4 20 6 4" xfId="21875"/>
    <cellStyle name="强调文字颜色 1 4 20 6 5" xfId="21877"/>
    <cellStyle name="强调文字颜色 1 4 20 6 6" xfId="21879"/>
    <cellStyle name="强调文字颜色 1 4 20 6 7" xfId="21882"/>
    <cellStyle name="强调文字颜色 1 4 20 6 8" xfId="21885"/>
    <cellStyle name="强调文字颜色 1 4 20 7" xfId="27982"/>
    <cellStyle name="强调文字颜色 1 4 20 8" xfId="27983"/>
    <cellStyle name="强调文字颜色 1 4 20 9" xfId="27984"/>
    <cellStyle name="强调文字颜色 1 4 20 9 2" xfId="27986"/>
    <cellStyle name="强调文字颜色 1 4 20 9 3" xfId="27988"/>
    <cellStyle name="强调文字颜色 1 4 3" xfId="27989"/>
    <cellStyle name="强调文字颜色 1 4 4" xfId="27990"/>
    <cellStyle name="强调文字颜色 1 4 5" xfId="27991"/>
    <cellStyle name="强调文字颜色 1 4 6" xfId="27992"/>
    <cellStyle name="强调文字颜色 1 4 7" xfId="27993"/>
    <cellStyle name="强调文字颜色 1 4 8" xfId="27994"/>
    <cellStyle name="强调文字颜色 1 4 9" xfId="27995"/>
    <cellStyle name="强调文字颜色 1 5" xfId="27996"/>
    <cellStyle name="强调文字颜色 1 5 10" xfId="27997"/>
    <cellStyle name="强调文字颜色 1 5 11" xfId="27998"/>
    <cellStyle name="强调文字颜色 1 5 12" xfId="27999"/>
    <cellStyle name="强调文字颜色 1 5 13" xfId="28000"/>
    <cellStyle name="强调文字颜色 1 5 14" xfId="28001"/>
    <cellStyle name="强调文字颜色 1 5 2" xfId="28002"/>
    <cellStyle name="强调文字颜色 1 5 3" xfId="28003"/>
    <cellStyle name="强调文字颜色 1 5 4" xfId="24602"/>
    <cellStyle name="强调文字颜色 1 5 5" xfId="24605"/>
    <cellStyle name="强调文字颜色 1 5 6" xfId="24607"/>
    <cellStyle name="强调文字颜色 1 5 7" xfId="19432"/>
    <cellStyle name="强调文字颜色 1 5 8" xfId="19434"/>
    <cellStyle name="强调文字颜色 1 5 9" xfId="28004"/>
    <cellStyle name="强调文字颜色 1 6" xfId="28005"/>
    <cellStyle name="强调文字颜色 1 6 10" xfId="28006"/>
    <cellStyle name="强调文字颜色 1 6 11" xfId="28007"/>
    <cellStyle name="强调文字颜色 1 6 12" xfId="26512"/>
    <cellStyle name="强调文字颜色 1 6 13" xfId="8581"/>
    <cellStyle name="强调文字颜色 1 6 14" xfId="8588"/>
    <cellStyle name="强调文字颜色 1 6 2" xfId="28008"/>
    <cellStyle name="强调文字颜色 1 6 3" xfId="28010"/>
    <cellStyle name="强调文字颜色 1 6 4" xfId="28012"/>
    <cellStyle name="强调文字颜色 1 6 5" xfId="28014"/>
    <cellStyle name="强调文字颜色 1 6 6" xfId="28016"/>
    <cellStyle name="强调文字颜色 1 6 7" xfId="28018"/>
    <cellStyle name="强调文字颜色 1 6 8" xfId="28019"/>
    <cellStyle name="强调文字颜色 1 6 9" xfId="28020"/>
    <cellStyle name="强调文字颜色 1 7" xfId="28021"/>
    <cellStyle name="强调文字颜色 1 8" xfId="28022"/>
    <cellStyle name="强调文字颜色 1 9" xfId="28023"/>
    <cellStyle name="强调文字颜色 2 10" xfId="28024"/>
    <cellStyle name="强调文字颜色 2 11" xfId="28025"/>
    <cellStyle name="强调文字颜色 2 12" xfId="28026"/>
    <cellStyle name="强调文字颜色 2 12 10" xfId="28027"/>
    <cellStyle name="强调文字颜色 2 12 11" xfId="28028"/>
    <cellStyle name="强调文字颜色 2 12 12" xfId="28029"/>
    <cellStyle name="强调文字颜色 2 12 13" xfId="28030"/>
    <cellStyle name="强调文字颜色 2 12 14" xfId="26465"/>
    <cellStyle name="强调文字颜色 2 12 2" xfId="28032"/>
    <cellStyle name="强调文字颜色 2 12 3" xfId="26547"/>
    <cellStyle name="强调文字颜色 2 12 4" xfId="26551"/>
    <cellStyle name="强调文字颜色 2 12 5" xfId="26555"/>
    <cellStyle name="强调文字颜色 2 12 5 10" xfId="28033"/>
    <cellStyle name="强调文字颜色 2 12 5 11" xfId="28035"/>
    <cellStyle name="强调文字颜色 2 12 5 2" xfId="4494"/>
    <cellStyle name="强调文字颜色 2 12 5 2 2" xfId="28037"/>
    <cellStyle name="强调文字颜色 2 12 5 2 2 2" xfId="28039"/>
    <cellStyle name="强调文字颜色 2 12 5 2 2 3" xfId="5720"/>
    <cellStyle name="强调文字颜色 2 12 5 2 3" xfId="28040"/>
    <cellStyle name="强调文字颜色 2 12 5 2 4" xfId="26391"/>
    <cellStyle name="强调文字颜色 2 12 5 2 5" xfId="26393"/>
    <cellStyle name="强调文字颜色 2 12 5 2 6" xfId="28041"/>
    <cellStyle name="强调文字颜色 2 12 5 2 7" xfId="28042"/>
    <cellStyle name="强调文字颜色 2 12 5 2 8" xfId="28045"/>
    <cellStyle name="强调文字颜色 2 12 5 3" xfId="28047"/>
    <cellStyle name="强调文字颜色 2 12 5 4" xfId="28048"/>
    <cellStyle name="强调文字颜色 2 12 5 5" xfId="28050"/>
    <cellStyle name="强调文字颜色 2 12 5 6" xfId="10413"/>
    <cellStyle name="强调文字颜色 2 12 5 6 2" xfId="5329"/>
    <cellStyle name="强调文字颜色 2 12 5 6 3" xfId="5344"/>
    <cellStyle name="强调文字颜色 2 12 5 7" xfId="10426"/>
    <cellStyle name="强调文字颜色 2 12 5 8" xfId="10432"/>
    <cellStyle name="强调文字颜色 2 12 5 9" xfId="10439"/>
    <cellStyle name="强调文字颜色 2 12 6" xfId="26558"/>
    <cellStyle name="强调文字颜色 2 12 6 2" xfId="26563"/>
    <cellStyle name="强调文字颜色 2 12 6 2 2" xfId="26568"/>
    <cellStyle name="强调文字颜色 2 12 6 2 3" xfId="26569"/>
    <cellStyle name="强调文字颜色 2 12 6 3" xfId="26577"/>
    <cellStyle name="强调文字颜色 2 12 6 4" xfId="26579"/>
    <cellStyle name="强调文字颜色 2 12 6 5" xfId="26581"/>
    <cellStyle name="强调文字颜色 2 12 6 6" xfId="23101"/>
    <cellStyle name="强调文字颜色 2 12 6 7" xfId="23104"/>
    <cellStyle name="强调文字颜色 2 12 6 8" xfId="23107"/>
    <cellStyle name="强调文字颜色 2 12 7" xfId="6366"/>
    <cellStyle name="强调文字颜色 2 12 8" xfId="6371"/>
    <cellStyle name="强调文字颜色 2 12 9" xfId="17076"/>
    <cellStyle name="强调文字颜色 2 12 9 2" xfId="28053"/>
    <cellStyle name="强调文字颜色 2 12 9 3" xfId="28056"/>
    <cellStyle name="强调文字颜色 2 13" xfId="28057"/>
    <cellStyle name="强调文字颜色 2 14" xfId="28059"/>
    <cellStyle name="强调文字颜色 2 15" xfId="28061"/>
    <cellStyle name="强调文字颜色 2 16" xfId="28063"/>
    <cellStyle name="强调文字颜色 2 16 10" xfId="28065"/>
    <cellStyle name="强调文字颜色 2 16 11" xfId="28066"/>
    <cellStyle name="强调文字颜色 2 16 12" xfId="28067"/>
    <cellStyle name="强调文字颜色 2 16 13" xfId="28069"/>
    <cellStyle name="强调文字颜色 2 16 14" xfId="28071"/>
    <cellStyle name="强调文字颜色 2 16 2" xfId="28073"/>
    <cellStyle name="强调文字颜色 2 16 3" xfId="28075"/>
    <cellStyle name="强调文字颜色 2 16 4" xfId="28077"/>
    <cellStyle name="强调文字颜色 2 16 5" xfId="28079"/>
    <cellStyle name="强调文字颜色 2 16 5 10" xfId="28081"/>
    <cellStyle name="强调文字颜色 2 16 5 11" xfId="28082"/>
    <cellStyle name="强调文字颜色 2 16 5 2" xfId="28084"/>
    <cellStyle name="强调文字颜色 2 16 5 2 2" xfId="28085"/>
    <cellStyle name="强调文字颜色 2 16 5 2 2 2" xfId="28086"/>
    <cellStyle name="强调文字颜色 2 16 5 2 2 3" xfId="28087"/>
    <cellStyle name="强调文字颜色 2 16 5 2 3" xfId="28088"/>
    <cellStyle name="强调文字颜色 2 16 5 2 4" xfId="28089"/>
    <cellStyle name="强调文字颜色 2 16 5 2 5" xfId="28090"/>
    <cellStyle name="强调文字颜色 2 16 5 2 6" xfId="28091"/>
    <cellStyle name="强调文字颜色 2 16 5 2 7" xfId="28092"/>
    <cellStyle name="强调文字颜色 2 16 5 2 8" xfId="28093"/>
    <cellStyle name="强调文字颜色 2 16 5 3" xfId="13366"/>
    <cellStyle name="强调文字颜色 2 16 5 4" xfId="13452"/>
    <cellStyle name="强调文字颜色 2 16 5 5" xfId="13504"/>
    <cellStyle name="强调文字颜色 2 16 5 6" xfId="13539"/>
    <cellStyle name="强调文字颜色 2 16 5 6 2" xfId="28096"/>
    <cellStyle name="强调文字颜色 2 16 5 6 3" xfId="28098"/>
    <cellStyle name="强调文字颜色 2 16 5 7" xfId="14321"/>
    <cellStyle name="强调文字颜色 2 16 5 8" xfId="14323"/>
    <cellStyle name="强调文字颜色 2 16 5 9" xfId="7759"/>
    <cellStyle name="强调文字颜色 2 16 6" xfId="28099"/>
    <cellStyle name="强调文字颜色 2 16 6 2" xfId="19548"/>
    <cellStyle name="强调文字颜色 2 16 6 2 2" xfId="28100"/>
    <cellStyle name="强调文字颜色 2 16 6 2 3" xfId="16143"/>
    <cellStyle name="强调文字颜色 2 16 6 3" xfId="11857"/>
    <cellStyle name="强调文字颜色 2 16 6 4" xfId="14426"/>
    <cellStyle name="强调文字颜色 2 16 6 5" xfId="14429"/>
    <cellStyle name="强调文字颜色 2 16 6 6" xfId="14432"/>
    <cellStyle name="强调文字颜色 2 16 6 7" xfId="14435"/>
    <cellStyle name="强调文字颜色 2 16 6 8" xfId="14437"/>
    <cellStyle name="强调文字颜色 2 16 7" xfId="21077"/>
    <cellStyle name="强调文字颜色 2 16 8" xfId="21080"/>
    <cellStyle name="强调文字颜色 2 16 9" xfId="28101"/>
    <cellStyle name="强调文字颜色 2 16 9 2" xfId="28102"/>
    <cellStyle name="强调文字颜色 2 16 9 3" xfId="28103"/>
    <cellStyle name="强调文字颜色 2 17" xfId="28104"/>
    <cellStyle name="强调文字颜色 2 17 10" xfId="28106"/>
    <cellStyle name="强调文字颜色 2 17 11" xfId="28107"/>
    <cellStyle name="强调文字颜色 2 17 12" xfId="28108"/>
    <cellStyle name="强调文字颜色 2 17 13" xfId="28109"/>
    <cellStyle name="强调文字颜色 2 17 14" xfId="28110"/>
    <cellStyle name="强调文字颜色 2 17 2" xfId="28111"/>
    <cellStyle name="强调文字颜色 2 17 3" xfId="28113"/>
    <cellStyle name="强调文字颜色 2 17 4" xfId="28116"/>
    <cellStyle name="强调文字颜色 2 17 5" xfId="28118"/>
    <cellStyle name="强调文字颜色 2 17 5 10" xfId="28119"/>
    <cellStyle name="强调文字颜色 2 17 5 11" xfId="28121"/>
    <cellStyle name="强调文字颜色 2 17 5 2" xfId="28123"/>
    <cellStyle name="强调文字颜色 2 17 5 2 2" xfId="28124"/>
    <cellStyle name="强调文字颜色 2 17 5 2 2 2" xfId="16275"/>
    <cellStyle name="强调文字颜色 2 17 5 2 2 3" xfId="16281"/>
    <cellStyle name="强调文字颜色 2 17 5 2 3" xfId="28125"/>
    <cellStyle name="强调文字颜色 2 17 5 2 4" xfId="28126"/>
    <cellStyle name="强调文字颜色 2 17 5 2 5" xfId="28127"/>
    <cellStyle name="强调文字颜色 2 17 5 2 6" xfId="28128"/>
    <cellStyle name="强调文字颜色 2 17 5 2 7" xfId="28129"/>
    <cellStyle name="强调文字颜色 2 17 5 2 8" xfId="28130"/>
    <cellStyle name="强调文字颜色 2 17 5 3" xfId="25607"/>
    <cellStyle name="强调文字颜色 2 17 5 4" xfId="28131"/>
    <cellStyle name="强调文字颜色 2 17 5 5" xfId="28133"/>
    <cellStyle name="强调文字颜色 2 17 5 6" xfId="28135"/>
    <cellStyle name="强调文字颜色 2 17 5 6 2" xfId="28136"/>
    <cellStyle name="强调文字颜色 2 17 5 6 3" xfId="28138"/>
    <cellStyle name="强调文字颜色 2 17 5 7" xfId="28141"/>
    <cellStyle name="强调文字颜色 2 17 5 8" xfId="22105"/>
    <cellStyle name="强调文字颜色 2 17 5 9" xfId="22110"/>
    <cellStyle name="强调文字颜色 2 17 6" xfId="28142"/>
    <cellStyle name="强调文字颜色 2 17 6 2" xfId="19587"/>
    <cellStyle name="强调文字颜色 2 17 6 2 2" xfId="28145"/>
    <cellStyle name="强调文字颜色 2 17 6 2 3" xfId="28146"/>
    <cellStyle name="强调文字颜色 2 17 6 3" xfId="19591"/>
    <cellStyle name="强调文字颜色 2 17 6 4" xfId="28147"/>
    <cellStyle name="强调文字颜色 2 17 6 5" xfId="28148"/>
    <cellStyle name="强调文字颜色 2 17 6 6" xfId="28149"/>
    <cellStyle name="强调文字颜色 2 17 6 7" xfId="28150"/>
    <cellStyle name="强调文字颜色 2 17 6 8" xfId="28151"/>
    <cellStyle name="强调文字颜色 2 17 7" xfId="28152"/>
    <cellStyle name="强调文字颜色 2 17 8" xfId="28155"/>
    <cellStyle name="强调文字颜色 2 17 9" xfId="28158"/>
    <cellStyle name="强调文字颜色 2 17 9 2" xfId="28160"/>
    <cellStyle name="强调文字颜色 2 17 9 3" xfId="28161"/>
    <cellStyle name="强调文字颜色 2 18" xfId="28162"/>
    <cellStyle name="强调文字颜色 2 18 10" xfId="9965"/>
    <cellStyle name="强调文字颜色 2 18 11" xfId="20180"/>
    <cellStyle name="强调文字颜色 2 18 12" xfId="20182"/>
    <cellStyle name="强调文字颜色 2 18 13" xfId="28164"/>
    <cellStyle name="强调文字颜色 2 18 14" xfId="28165"/>
    <cellStyle name="强调文字颜色 2 18 2" xfId="28166"/>
    <cellStyle name="强调文字颜色 2 18 3" xfId="28167"/>
    <cellStyle name="强调文字颜色 2 18 4" xfId="25504"/>
    <cellStyle name="强调文字颜色 2 18 5" xfId="28168"/>
    <cellStyle name="强调文字颜色 2 18 5 10" xfId="28169"/>
    <cellStyle name="强调文字颜色 2 18 5 11" xfId="28170"/>
    <cellStyle name="强调文字颜色 2 18 5 2" xfId="28173"/>
    <cellStyle name="强调文字颜色 2 18 5 2 2" xfId="28174"/>
    <cellStyle name="强调文字颜色 2 18 5 2 2 2" xfId="27339"/>
    <cellStyle name="强调文字颜色 2 18 5 2 2 3" xfId="27371"/>
    <cellStyle name="强调文字颜色 2 18 5 2 3" xfId="28175"/>
    <cellStyle name="强调文字颜色 2 18 5 2 4" xfId="28176"/>
    <cellStyle name="强调文字颜色 2 18 5 2 5" xfId="28177"/>
    <cellStyle name="强调文字颜色 2 18 5 2 6" xfId="28178"/>
    <cellStyle name="强调文字颜色 2 18 5 2 7" xfId="28179"/>
    <cellStyle name="强调文字颜色 2 18 5 2 8" xfId="27410"/>
    <cellStyle name="强调文字颜色 2 18 5 3" xfId="28181"/>
    <cellStyle name="强调文字颜色 2 18 5 4" xfId="28182"/>
    <cellStyle name="强调文字颜色 2 18 5 5" xfId="28183"/>
    <cellStyle name="强调文字颜色 2 18 5 6" xfId="28184"/>
    <cellStyle name="强调文字颜色 2 18 5 6 2" xfId="9707"/>
    <cellStyle name="强调文字颜色 2 18 5 6 3" xfId="9713"/>
    <cellStyle name="强调文字颜色 2 18 5 7" xfId="28185"/>
    <cellStyle name="强调文字颜色 2 18 5 8" xfId="28186"/>
    <cellStyle name="强调文字颜色 2 18 5 9" xfId="28187"/>
    <cellStyle name="强调文字颜色 2 18 6" xfId="28189"/>
    <cellStyle name="强调文字颜色 2 18 6 2" xfId="3232"/>
    <cellStyle name="强调文字颜色 2 18 6 2 2" xfId="28190"/>
    <cellStyle name="强调文字颜色 2 18 6 2 3" xfId="28192"/>
    <cellStyle name="强调文字颜色 2 18 6 3" xfId="425"/>
    <cellStyle name="强调文字颜色 2 18 6 4" xfId="293"/>
    <cellStyle name="强调文字颜色 2 18 6 5" xfId="5051"/>
    <cellStyle name="强调文字颜色 2 18 6 6" xfId="5202"/>
    <cellStyle name="强调文字颜色 2 18 6 7" xfId="28194"/>
    <cellStyle name="强调文字颜色 2 18 6 8" xfId="28195"/>
    <cellStyle name="强调文字颜色 2 18 7" xfId="28196"/>
    <cellStyle name="强调文字颜色 2 18 8" xfId="28197"/>
    <cellStyle name="强调文字颜色 2 18 9" xfId="28198"/>
    <cellStyle name="强调文字颜色 2 18 9 2" xfId="28199"/>
    <cellStyle name="强调文字颜色 2 18 9 3" xfId="28200"/>
    <cellStyle name="强调文字颜色 2 19" xfId="28201"/>
    <cellStyle name="强调文字颜色 2 2" xfId="5999"/>
    <cellStyle name="强调文字颜色 2 2 10" xfId="28203"/>
    <cellStyle name="强调文字颜色 2 2 11" xfId="28204"/>
    <cellStyle name="强调文字颜色 2 2 12" xfId="28205"/>
    <cellStyle name="强调文字颜色 2 2 13" xfId="28206"/>
    <cellStyle name="强调文字颜色 2 2 14" xfId="28207"/>
    <cellStyle name="强调文字颜色 2 2 15" xfId="28208"/>
    <cellStyle name="强调文字颜色 2 2 16" xfId="28210"/>
    <cellStyle name="强调文字颜色 2 2 17" xfId="28211"/>
    <cellStyle name="强调文字颜色 2 2 17 10" xfId="28212"/>
    <cellStyle name="强调文字颜色 2 2 17 11" xfId="28214"/>
    <cellStyle name="强调文字颜色 2 2 17 12" xfId="28216"/>
    <cellStyle name="强调文字颜色 2 2 17 13" xfId="28218"/>
    <cellStyle name="强调文字颜色 2 2 17 14" xfId="28222"/>
    <cellStyle name="强调文字颜色 2 2 17 2" xfId="28226"/>
    <cellStyle name="强调文字颜色 2 2 17 3" xfId="28227"/>
    <cellStyle name="强调文字颜色 2 2 17 4" xfId="28228"/>
    <cellStyle name="强调文字颜色 2 2 17 5" xfId="5735"/>
    <cellStyle name="强调文字颜色 2 2 17 5 10" xfId="27125"/>
    <cellStyle name="强调文字颜色 2 2 17 5 11" xfId="27128"/>
    <cellStyle name="强调文字颜色 2 2 17 5 2" xfId="28231"/>
    <cellStyle name="强调文字颜色 2 2 17 5 2 2" xfId="28232"/>
    <cellStyle name="强调文字颜色 2 2 17 5 2 2 2" xfId="28233"/>
    <cellStyle name="强调文字颜色 2 2 17 5 2 2 3" xfId="28234"/>
    <cellStyle name="强调文字颜色 2 2 17 5 2 3" xfId="28235"/>
    <cellStyle name="强调文字颜色 2 2 17 5 2 4" xfId="28236"/>
    <cellStyle name="强调文字颜色 2 2 17 5 2 5" xfId="28238"/>
    <cellStyle name="强调文字颜色 2 2 17 5 2 6" xfId="28240"/>
    <cellStyle name="强调文字颜色 2 2 17 5 2 7" xfId="22216"/>
    <cellStyle name="强调文字颜色 2 2 17 5 2 8" xfId="13282"/>
    <cellStyle name="强调文字颜色 2 2 17 5 3" xfId="28241"/>
    <cellStyle name="强调文字颜色 2 2 17 5 4" xfId="24891"/>
    <cellStyle name="强调文字颜色 2 2 17 5 5" xfId="24893"/>
    <cellStyle name="强调文字颜色 2 2 17 5 6" xfId="24895"/>
    <cellStyle name="强调文字颜色 2 2 17 5 6 2" xfId="16495"/>
    <cellStyle name="强调文字颜色 2 2 17 5 6 3" xfId="2641"/>
    <cellStyle name="强调文字颜色 2 2 17 5 7" xfId="24897"/>
    <cellStyle name="强调文字颜色 2 2 17 5 8" xfId="9649"/>
    <cellStyle name="强调文字颜色 2 2 17 5 9" xfId="9656"/>
    <cellStyle name="强调文字颜色 2 2 17 6" xfId="5754"/>
    <cellStyle name="强调文字颜色 2 2 17 6 2" xfId="16592"/>
    <cellStyle name="强调文字颜色 2 2 17 6 2 2" xfId="28242"/>
    <cellStyle name="强调文字颜色 2 2 17 6 2 3" xfId="28243"/>
    <cellStyle name="强调文字颜色 2 2 17 6 3" xfId="299"/>
    <cellStyle name="强调文字颜色 2 2 17 6 4" xfId="5056"/>
    <cellStyle name="强调文字颜色 2 2 17 6 5" xfId="28244"/>
    <cellStyle name="强调文字颜色 2 2 17 6 6" xfId="28245"/>
    <cellStyle name="强调文字颜色 2 2 17 6 7" xfId="303"/>
    <cellStyle name="强调文字颜色 2 2 17 6 8" xfId="28247"/>
    <cellStyle name="强调文字颜色 2 2 17 7" xfId="5765"/>
    <cellStyle name="强调文字颜色 2 2 17 8" xfId="5776"/>
    <cellStyle name="强调文字颜色 2 2 17 9" xfId="10390"/>
    <cellStyle name="强调文字颜色 2 2 17 9 2" xfId="28248"/>
    <cellStyle name="强调文字颜色 2 2 17 9 3" xfId="28252"/>
    <cellStyle name="强调文字颜色 2 2 18" xfId="28254"/>
    <cellStyle name="强调文字颜色 2 2 18 10" xfId="28255"/>
    <cellStyle name="强调文字颜色 2 2 18 11" xfId="28256"/>
    <cellStyle name="强调文字颜色 2 2 18 12" xfId="28257"/>
    <cellStyle name="强调文字颜色 2 2 18 13" xfId="28258"/>
    <cellStyle name="强调文字颜色 2 2 18 14" xfId="28259"/>
    <cellStyle name="强调文字颜色 2 2 18 2" xfId="28260"/>
    <cellStyle name="强调文字颜色 2 2 18 3" xfId="28262"/>
    <cellStyle name="强调文字颜色 2 2 18 4" xfId="28264"/>
    <cellStyle name="强调文字颜色 2 2 18 5" xfId="28267"/>
    <cellStyle name="强调文字颜色 2 2 18 5 10" xfId="21903"/>
    <cellStyle name="强调文字颜色 2 2 18 5 11" xfId="28272"/>
    <cellStyle name="强调文字颜色 2 2 18 5 2" xfId="28273"/>
    <cellStyle name="强调文字颜色 2 2 18 5 2 2" xfId="28275"/>
    <cellStyle name="强调文字颜色 2 2 18 5 2 2 2" xfId="20478"/>
    <cellStyle name="强调文字颜色 2 2 18 5 2 2 3" xfId="20482"/>
    <cellStyle name="强调文字颜色 2 2 18 5 2 3" xfId="28276"/>
    <cellStyle name="强调文字颜色 2 2 18 5 2 4" xfId="28277"/>
    <cellStyle name="强调文字颜色 2 2 18 5 2 5" xfId="28278"/>
    <cellStyle name="强调文字颜色 2 2 18 5 2 6" xfId="28279"/>
    <cellStyle name="强调文字颜色 2 2 18 5 2 7" xfId="28280"/>
    <cellStyle name="强调文字颜色 2 2 18 5 2 8" xfId="28281"/>
    <cellStyle name="强调文字颜色 2 2 18 5 3" xfId="28282"/>
    <cellStyle name="强调文字颜色 2 2 18 5 4" xfId="28283"/>
    <cellStyle name="强调文字颜色 2 2 18 5 5" xfId="28284"/>
    <cellStyle name="强调文字颜色 2 2 18 5 6" xfId="25857"/>
    <cellStyle name="强调文字颜色 2 2 18 5 6 2" xfId="8312"/>
    <cellStyle name="强调文字颜色 2 2 18 5 6 3" xfId="8316"/>
    <cellStyle name="强调文字颜色 2 2 18 5 7" xfId="6478"/>
    <cellStyle name="强调文字颜色 2 2 18 5 8" xfId="6484"/>
    <cellStyle name="强调文字颜色 2 2 18 5 9" xfId="6491"/>
    <cellStyle name="强调文字颜色 2 2 18 6" xfId="28285"/>
    <cellStyle name="强调文字颜色 2 2 18 6 2" xfId="9935"/>
    <cellStyle name="强调文字颜色 2 2 18 6 2 2" xfId="20859"/>
    <cellStyle name="强调文字颜色 2 2 18 6 2 3" xfId="14491"/>
    <cellStyle name="强调文字颜色 2 2 18 6 3" xfId="9939"/>
    <cellStyle name="强调文字颜色 2 2 18 6 4" xfId="28287"/>
    <cellStyle name="强调文字颜色 2 2 18 6 5" xfId="21970"/>
    <cellStyle name="强调文字颜色 2 2 18 6 6" xfId="21974"/>
    <cellStyle name="强调文字颜色 2 2 18 6 7" xfId="28290"/>
    <cellStyle name="强调文字颜色 2 2 18 6 8" xfId="18578"/>
    <cellStyle name="强调文字颜色 2 2 18 7" xfId="25893"/>
    <cellStyle name="强调文字颜色 2 2 18 8" xfId="28293"/>
    <cellStyle name="强调文字颜色 2 2 18 9" xfId="28295"/>
    <cellStyle name="强调文字颜色 2 2 18 9 2" xfId="28296"/>
    <cellStyle name="强调文字颜色 2 2 18 9 3" xfId="28297"/>
    <cellStyle name="强调文字颜色 2 2 19" xfId="28298"/>
    <cellStyle name="强调文字颜色 2 2 19 10" xfId="28299"/>
    <cellStyle name="强调文字颜色 2 2 19 11" xfId="8986"/>
    <cellStyle name="强调文字颜色 2 2 19 12" xfId="8988"/>
    <cellStyle name="强调文字颜色 2 2 19 13" xfId="28300"/>
    <cellStyle name="强调文字颜色 2 2 19 14" xfId="28301"/>
    <cellStyle name="强调文字颜色 2 2 19 2" xfId="28302"/>
    <cellStyle name="强调文字颜色 2 2 19 3" xfId="28303"/>
    <cellStyle name="强调文字颜色 2 2 19 4" xfId="248"/>
    <cellStyle name="强调文字颜色 2 2 19 5" xfId="28304"/>
    <cellStyle name="强调文字颜色 2 2 19 5 10" xfId="28306"/>
    <cellStyle name="强调文字颜色 2 2 19 5 11" xfId="28308"/>
    <cellStyle name="强调文字颜色 2 2 19 5 2" xfId="28310"/>
    <cellStyle name="强调文字颜色 2 2 19 5 2 2" xfId="28311"/>
    <cellStyle name="强调文字颜色 2 2 19 5 2 2 2" xfId="23975"/>
    <cellStyle name="强调文字颜色 2 2 19 5 2 2 3" xfId="23980"/>
    <cellStyle name="强调文字颜色 2 2 19 5 2 3" xfId="28312"/>
    <cellStyle name="强调文字颜色 2 2 19 5 2 4" xfId="28313"/>
    <cellStyle name="强调文字颜色 2 2 19 5 2 5" xfId="28314"/>
    <cellStyle name="强调文字颜色 2 2 19 5 2 6" xfId="28315"/>
    <cellStyle name="强调文字颜色 2 2 19 5 2 7" xfId="28316"/>
    <cellStyle name="强调文字颜色 2 2 19 5 2 8" xfId="28317"/>
    <cellStyle name="强调文字颜色 2 2 19 5 3" xfId="28318"/>
    <cellStyle name="强调文字颜色 2 2 19 5 4" xfId="28319"/>
    <cellStyle name="强调文字颜色 2 2 19 5 5" xfId="28321"/>
    <cellStyle name="强调文字颜色 2 2 19 5 6" xfId="28323"/>
    <cellStyle name="强调文字颜色 2 2 19 5 6 2" xfId="28324"/>
    <cellStyle name="强调文字颜色 2 2 19 5 6 3" xfId="17946"/>
    <cellStyle name="强调文字颜色 2 2 19 5 7" xfId="28326"/>
    <cellStyle name="强调文字颜色 2 2 19 5 8" xfId="28327"/>
    <cellStyle name="强调文字颜色 2 2 19 5 9" xfId="28328"/>
    <cellStyle name="强调文字颜色 2 2 19 6" xfId="28329"/>
    <cellStyle name="强调文字颜色 2 2 19 6 2" xfId="28330"/>
    <cellStyle name="强调文字颜色 2 2 19 6 2 2" xfId="28331"/>
    <cellStyle name="强调文字颜色 2 2 19 6 2 3" xfId="28332"/>
    <cellStyle name="强调文字颜色 2 2 19 6 3" xfId="28333"/>
    <cellStyle name="强调文字颜色 2 2 19 6 4" xfId="28334"/>
    <cellStyle name="强调文字颜色 2 2 19 6 5" xfId="28335"/>
    <cellStyle name="强调文字颜色 2 2 19 6 6" xfId="28336"/>
    <cellStyle name="强调文字颜色 2 2 19 6 7" xfId="28337"/>
    <cellStyle name="强调文字颜色 2 2 19 6 8" xfId="28339"/>
    <cellStyle name="强调文字颜色 2 2 19 7" xfId="28340"/>
    <cellStyle name="强调文字颜色 2 2 19 8" xfId="28341"/>
    <cellStyle name="强调文字颜色 2 2 19 9" xfId="28342"/>
    <cellStyle name="强调文字颜色 2 2 19 9 2" xfId="28343"/>
    <cellStyle name="强调文字颜色 2 2 19 9 3" xfId="28344"/>
    <cellStyle name="强调文字颜色 2 2 2" xfId="459"/>
    <cellStyle name="强调文字颜色 2 2 2 10" xfId="1302"/>
    <cellStyle name="强调文字颜色 2 2 2 11" xfId="1313"/>
    <cellStyle name="强调文字颜色 2 2 2 12" xfId="1886"/>
    <cellStyle name="强调文字颜色 2 2 2 13" xfId="2343"/>
    <cellStyle name="强调文字颜色 2 2 2 14" xfId="2793"/>
    <cellStyle name="强调文字颜色 2 2 2 2" xfId="784"/>
    <cellStyle name="强调文字颜色 2 2 2 3" xfId="791"/>
    <cellStyle name="强调文字颜色 2 2 2 4" xfId="3944"/>
    <cellStyle name="强调文字颜色 2 2 2 5" xfId="3997"/>
    <cellStyle name="强调文字颜色 2 2 2 6" xfId="4007"/>
    <cellStyle name="强调文字颜色 2 2 2 7" xfId="2075"/>
    <cellStyle name="强调文字颜色 2 2 2 8" xfId="3116"/>
    <cellStyle name="强调文字颜色 2 2 2 9" xfId="28345"/>
    <cellStyle name="强调文字颜色 2 2 20" xfId="28209"/>
    <cellStyle name="强调文字颜色 2 2 20 10" xfId="19728"/>
    <cellStyle name="强调文字颜色 2 2 20 11" xfId="28346"/>
    <cellStyle name="强调文字颜色 2 2 20 12" xfId="28348"/>
    <cellStyle name="强调文字颜色 2 2 20 13" xfId="28350"/>
    <cellStyle name="强调文字颜色 2 2 20 14" xfId="28352"/>
    <cellStyle name="强调文字颜色 2 2 20 2" xfId="28354"/>
    <cellStyle name="强调文字颜色 2 2 20 3" xfId="28355"/>
    <cellStyle name="强调文字颜色 2 2 20 4" xfId="28356"/>
    <cellStyle name="强调文字颜色 2 2 20 5" xfId="28357"/>
    <cellStyle name="强调文字颜色 2 2 20 5 10" xfId="5768"/>
    <cellStyle name="强调文字颜色 2 2 20 5 11" xfId="10388"/>
    <cellStyle name="强调文字颜色 2 2 20 5 2" xfId="28359"/>
    <cellStyle name="强调文字颜色 2 2 20 5 2 2" xfId="28360"/>
    <cellStyle name="强调文字颜色 2 2 20 5 2 2 2" xfId="20203"/>
    <cellStyle name="强调文字颜色 2 2 20 5 2 2 3" xfId="20205"/>
    <cellStyle name="强调文字颜色 2 2 20 5 2 3" xfId="25759"/>
    <cellStyle name="强调文字颜色 2 2 20 5 2 4" xfId="28361"/>
    <cellStyle name="强调文字颜色 2 2 20 5 2 5" xfId="28362"/>
    <cellStyle name="强调文字颜色 2 2 20 5 2 6" xfId="28363"/>
    <cellStyle name="强调文字颜色 2 2 20 5 2 7" xfId="25576"/>
    <cellStyle name="强调文字颜色 2 2 20 5 2 8" xfId="28364"/>
    <cellStyle name="强调文字颜色 2 2 20 5 3" xfId="28366"/>
    <cellStyle name="强调文字颜色 2 2 20 5 4" xfId="3697"/>
    <cellStyle name="强调文字颜色 2 2 20 5 5" xfId="3701"/>
    <cellStyle name="强调文字颜色 2 2 20 5 6" xfId="28367"/>
    <cellStyle name="强调文字颜色 2 2 20 5 6 2" xfId="28368"/>
    <cellStyle name="强调文字颜色 2 2 20 5 6 3" xfId="28369"/>
    <cellStyle name="强调文字颜色 2 2 20 5 7" xfId="28371"/>
    <cellStyle name="强调文字颜色 2 2 20 5 8" xfId="3722"/>
    <cellStyle name="强调文字颜色 2 2 20 5 9" xfId="3737"/>
    <cellStyle name="强调文字颜色 2 2 20 6" xfId="2847"/>
    <cellStyle name="强调文字颜色 2 2 20 6 2" xfId="24282"/>
    <cellStyle name="强调文字颜色 2 2 20 6 2 2" xfId="28372"/>
    <cellStyle name="强调文字颜色 2 2 20 6 2 3" xfId="28374"/>
    <cellStyle name="强调文字颜色 2 2 20 6 3" xfId="20758"/>
    <cellStyle name="强调文字颜色 2 2 20 6 4" xfId="20762"/>
    <cellStyle name="强调文字颜色 2 2 20 6 5" xfId="28376"/>
    <cellStyle name="强调文字颜色 2 2 20 6 6" xfId="28377"/>
    <cellStyle name="强调文字颜色 2 2 20 6 7" xfId="28378"/>
    <cellStyle name="强调文字颜色 2 2 20 6 8" xfId="28380"/>
    <cellStyle name="强调文字颜色 2 2 20 7" xfId="2870"/>
    <cellStyle name="强调文字颜色 2 2 20 8" xfId="2888"/>
    <cellStyle name="强调文字颜色 2 2 20 9" xfId="2900"/>
    <cellStyle name="强调文字颜色 2 2 20 9 2" xfId="16270"/>
    <cellStyle name="强调文字颜色 2 2 20 9 3" xfId="16277"/>
    <cellStyle name="强调文字颜色 2 2 3" xfId="546"/>
    <cellStyle name="强调文字颜色 2 2 3 10" xfId="3223"/>
    <cellStyle name="强调文字颜色 2 2 3 11" xfId="3242"/>
    <cellStyle name="强调文字颜色 2 2 3 12" xfId="2928"/>
    <cellStyle name="强调文字颜色 2 2 3 13" xfId="5876"/>
    <cellStyle name="强调文字颜色 2 2 3 14" xfId="6023"/>
    <cellStyle name="强调文字颜色 2 2 3 2" xfId="6695"/>
    <cellStyle name="强调文字颜色 2 2 3 3" xfId="7440"/>
    <cellStyle name="强调文字颜色 2 2 3 4" xfId="7902"/>
    <cellStyle name="强调文字颜色 2 2 3 5" xfId="7930"/>
    <cellStyle name="强调文字颜色 2 2 3 6" xfId="7992"/>
    <cellStyle name="强调文字颜色 2 2 3 7" xfId="7995"/>
    <cellStyle name="强调文字颜色 2 2 3 8" xfId="7998"/>
    <cellStyle name="强调文字颜色 2 2 3 9" xfId="28381"/>
    <cellStyle name="强调文字颜色 2 2 4" xfId="584"/>
    <cellStyle name="强调文字颜色 2 2 4 10" xfId="8064"/>
    <cellStyle name="强调文字颜色 2 2 4 11" xfId="8071"/>
    <cellStyle name="强调文字颜色 2 2 4 12" xfId="8224"/>
    <cellStyle name="强调文字颜色 2 2 4 13" xfId="8329"/>
    <cellStyle name="强调文字颜色 2 2 4 14" xfId="8412"/>
    <cellStyle name="强调文字颜色 2 2 4 2" xfId="9100"/>
    <cellStyle name="强调文字颜色 2 2 4 3" xfId="9877"/>
    <cellStyle name="强调文字颜色 2 2 4 4" xfId="10217"/>
    <cellStyle name="强调文字颜色 2 2 4 5" xfId="10187"/>
    <cellStyle name="强调文字颜色 2 2 4 6" xfId="10196"/>
    <cellStyle name="强调文字颜色 2 2 4 7" xfId="10203"/>
    <cellStyle name="强调文字颜色 2 2 4 8" xfId="10207"/>
    <cellStyle name="强调文字颜色 2 2 4 9" xfId="28382"/>
    <cellStyle name="强调文字颜色 2 2 5" xfId="595"/>
    <cellStyle name="强调文字颜色 2 2 6" xfId="516"/>
    <cellStyle name="强调文字颜色 2 2 7" xfId="559"/>
    <cellStyle name="强调文字颜色 2 2 8" xfId="22491"/>
    <cellStyle name="强调文字颜色 2 2 9" xfId="28383"/>
    <cellStyle name="强调文字颜色 2 3" xfId="10822"/>
    <cellStyle name="强调文字颜色 2 3 10" xfId="28386"/>
    <cellStyle name="强调文字颜色 2 3 11" xfId="28390"/>
    <cellStyle name="强调文字颜色 2 3 12" xfId="28392"/>
    <cellStyle name="强调文字颜色 2 3 13" xfId="28394"/>
    <cellStyle name="强调文字颜色 2 3 14" xfId="28395"/>
    <cellStyle name="强调文字颜色 2 3 15" xfId="28396"/>
    <cellStyle name="强调文字颜色 2 3 16" xfId="2051"/>
    <cellStyle name="强调文字颜色 2 3 17" xfId="2116"/>
    <cellStyle name="强调文字颜色 2 3 17 10" xfId="5092"/>
    <cellStyle name="强调文字颜色 2 3 17 11" xfId="5094"/>
    <cellStyle name="强调文字颜色 2 3 17 12" xfId="5100"/>
    <cellStyle name="强调文字颜色 2 3 17 13" xfId="25544"/>
    <cellStyle name="强调文字颜色 2 3 17 14" xfId="28398"/>
    <cellStyle name="强调文字颜色 2 3 17 2" xfId="28400"/>
    <cellStyle name="强调文字颜色 2 3 17 2 2" xfId="22942"/>
    <cellStyle name="强调文字颜色 2 3 17 3" xfId="28401"/>
    <cellStyle name="强调文字颜色 2 3 17 4" xfId="28402"/>
    <cellStyle name="强调文字颜色 2 3 17 5" xfId="25622"/>
    <cellStyle name="强调文字颜色 2 3 17 5 10" xfId="18283"/>
    <cellStyle name="强调文字颜色 2 3 17 5 11" xfId="18289"/>
    <cellStyle name="强调文字颜色 2 3 17 5 2" xfId="28403"/>
    <cellStyle name="强调文字颜色 2 3 17 5 2 2" xfId="28404"/>
    <cellStyle name="强调文字颜色 2 3 17 5 2 2 2" xfId="21700"/>
    <cellStyle name="强调文字颜色 2 3 17 5 2 2 3" xfId="21702"/>
    <cellStyle name="强调文字颜色 2 3 17 5 2 3" xfId="28405"/>
    <cellStyle name="强调文字颜色 2 3 17 5 2 4" xfId="27598"/>
    <cellStyle name="强调文字颜色 2 3 17 5 2 5" xfId="27600"/>
    <cellStyle name="强调文字颜色 2 3 17 5 2 6" xfId="27604"/>
    <cellStyle name="强调文字颜色 2 3 17 5 2 7" xfId="22787"/>
    <cellStyle name="强调文字颜色 2 3 17 5 2 8" xfId="22801"/>
    <cellStyle name="强调文字颜色 2 3 17 5 3" xfId="28406"/>
    <cellStyle name="强调文字颜色 2 3 17 5 4" xfId="28407"/>
    <cellStyle name="强调文字颜色 2 3 17 5 5" xfId="28408"/>
    <cellStyle name="强调文字颜色 2 3 17 5 6" xfId="28409"/>
    <cellStyle name="强调文字颜色 2 3 17 5 6 2" xfId="28410"/>
    <cellStyle name="强调文字颜色 2 3 17 5 6 3" xfId="28411"/>
    <cellStyle name="强调文字颜色 2 3 17 5 7" xfId="28412"/>
    <cellStyle name="强调文字颜色 2 3 17 5 8" xfId="28413"/>
    <cellStyle name="强调文字颜色 2 3 17 5 9" xfId="28414"/>
    <cellStyle name="强调文字颜色 2 3 17 6" xfId="28415"/>
    <cellStyle name="强调文字颜色 2 3 17 6 2" xfId="28416"/>
    <cellStyle name="强调文字颜色 2 3 17 6 2 2" xfId="14043"/>
    <cellStyle name="强调文字颜色 2 3 17 6 2 3" xfId="14045"/>
    <cellStyle name="强调文字颜色 2 3 17 6 3" xfId="28417"/>
    <cellStyle name="强调文字颜色 2 3 17 6 4" xfId="28419"/>
    <cellStyle name="强调文字颜色 2 3 17 6 5" xfId="28421"/>
    <cellStyle name="强调文字颜色 2 3 17 6 6" xfId="28422"/>
    <cellStyle name="强调文字颜色 2 3 17 6 7" xfId="28424"/>
    <cellStyle name="强调文字颜色 2 3 17 6 8" xfId="28426"/>
    <cellStyle name="强调文字颜色 2 3 17 7" xfId="28427"/>
    <cellStyle name="强调文字颜色 2 3 17 8" xfId="28428"/>
    <cellStyle name="强调文字颜色 2 3 17 9" xfId="28429"/>
    <cellStyle name="强调文字颜色 2 3 17 9 2" xfId="28430"/>
    <cellStyle name="强调文字颜色 2 3 17 9 3" xfId="28431"/>
    <cellStyle name="强调文字颜色 2 3 18" xfId="2140"/>
    <cellStyle name="强调文字颜色 2 3 18 10" xfId="13432"/>
    <cellStyle name="强调文字颜色 2 3 18 11" xfId="9618"/>
    <cellStyle name="强调文字颜色 2 3 18 12" xfId="28432"/>
    <cellStyle name="强调文字颜色 2 3 18 13" xfId="28433"/>
    <cellStyle name="强调文字颜色 2 3 18 14" xfId="28435"/>
    <cellStyle name="强调文字颜色 2 3 18 2" xfId="8193"/>
    <cellStyle name="强调文字颜色 2 3 18 3" xfId="8203"/>
    <cellStyle name="强调文字颜色 2 3 18 4" xfId="28437"/>
    <cellStyle name="强调文字颜色 2 3 18 5" xfId="28438"/>
    <cellStyle name="强调文字颜色 2 3 18 5 10" xfId="19395"/>
    <cellStyle name="强调文字颜色 2 3 18 5 11" xfId="6607"/>
    <cellStyle name="强调文字颜色 2 3 18 5 2" xfId="28439"/>
    <cellStyle name="强调文字颜色 2 3 18 5 2 2" xfId="24782"/>
    <cellStyle name="强调文字颜色 2 3 18 5 2 2 2" xfId="11686"/>
    <cellStyle name="强调文字颜色 2 3 18 5 2 2 3" xfId="28440"/>
    <cellStyle name="强调文字颜色 2 3 18 5 2 3" xfId="28443"/>
    <cellStyle name="强调文字颜色 2 3 18 5 2 4" xfId="28446"/>
    <cellStyle name="强调文字颜色 2 3 18 5 2 5" xfId="28449"/>
    <cellStyle name="强调文字颜色 2 3 18 5 2 6" xfId="24547"/>
    <cellStyle name="强调文字颜色 2 3 18 5 2 7" xfId="28452"/>
    <cellStyle name="强调文字颜色 2 3 18 5 2 8" xfId="28455"/>
    <cellStyle name="强调文字颜色 2 3 18 5 3" xfId="28456"/>
    <cellStyle name="强调文字颜色 2 3 18 5 4" xfId="28457"/>
    <cellStyle name="强调文字颜色 2 3 18 5 5" xfId="4802"/>
    <cellStyle name="强调文字颜色 2 3 18 5 6" xfId="4814"/>
    <cellStyle name="强调文字颜色 2 3 18 5 6 2" xfId="28458"/>
    <cellStyle name="强调文字颜色 2 3 18 5 6 3" xfId="28459"/>
    <cellStyle name="强调文字颜色 2 3 18 5 7" xfId="8932"/>
    <cellStyle name="强调文字颜色 2 3 18 5 8" xfId="8943"/>
    <cellStyle name="强调文字颜色 2 3 18 5 9" xfId="8949"/>
    <cellStyle name="强调文字颜色 2 3 18 6" xfId="28460"/>
    <cellStyle name="强调文字颜色 2 3 18 6 2" xfId="28461"/>
    <cellStyle name="强调文字颜色 2 3 18 6 2 2" xfId="24804"/>
    <cellStyle name="强调文字颜色 2 3 18 6 2 3" xfId="28462"/>
    <cellStyle name="强调文字颜色 2 3 18 6 3" xfId="28463"/>
    <cellStyle name="强调文字颜色 2 3 18 6 4" xfId="28464"/>
    <cellStyle name="强调文字颜色 2 3 18 6 5" xfId="28465"/>
    <cellStyle name="强调文字颜色 2 3 18 6 6" xfId="28466"/>
    <cellStyle name="强调文字颜色 2 3 18 6 7" xfId="28468"/>
    <cellStyle name="强调文字颜色 2 3 18 6 8" xfId="19643"/>
    <cellStyle name="强调文字颜色 2 3 18 7" xfId="25896"/>
    <cellStyle name="强调文字颜色 2 3 18 8" xfId="28469"/>
    <cellStyle name="强调文字颜色 2 3 18 9" xfId="25638"/>
    <cellStyle name="强调文字颜色 2 3 18 9 2" xfId="28470"/>
    <cellStyle name="强调文字颜色 2 3 18 9 3" xfId="8051"/>
    <cellStyle name="强调文字颜色 2 3 19" xfId="2158"/>
    <cellStyle name="强调文字颜色 2 3 19 10" xfId="28471"/>
    <cellStyle name="强调文字颜色 2 3 19 11" xfId="28472"/>
    <cellStyle name="强调文字颜色 2 3 19 12" xfId="28473"/>
    <cellStyle name="强调文字颜色 2 3 19 13" xfId="28474"/>
    <cellStyle name="强调文字颜色 2 3 19 14" xfId="28475"/>
    <cellStyle name="强调文字颜色 2 3 19 2" xfId="1648"/>
    <cellStyle name="强调文字颜色 2 3 19 3" xfId="1663"/>
    <cellStyle name="强调文字颜色 2 3 19 4" xfId="12051"/>
    <cellStyle name="强调文字颜色 2 3 19 5" xfId="28476"/>
    <cellStyle name="强调文字颜色 2 3 19 5 10" xfId="20284"/>
    <cellStyle name="强调文字颜色 2 3 19 5 11" xfId="10567"/>
    <cellStyle name="强调文字颜色 2 3 19 5 2" xfId="4681"/>
    <cellStyle name="强调文字颜色 2 3 19 5 2 2" xfId="28478"/>
    <cellStyle name="强调文字颜色 2 3 19 5 2 2 2" xfId="28479"/>
    <cellStyle name="强调文字颜色 2 3 19 5 2 2 3" xfId="28480"/>
    <cellStyle name="强调文字颜色 2 3 19 5 2 3" xfId="28482"/>
    <cellStyle name="强调文字颜色 2 3 19 5 2 4" xfId="28484"/>
    <cellStyle name="强调文字颜色 2 3 19 5 2 5" xfId="28486"/>
    <cellStyle name="强调文字颜色 2 3 19 5 2 6" xfId="28489"/>
    <cellStyle name="强调文字颜色 2 3 19 5 2 7" xfId="28490"/>
    <cellStyle name="强调文字颜色 2 3 19 5 2 8" xfId="28491"/>
    <cellStyle name="强调文字颜色 2 3 19 5 3" xfId="4688"/>
    <cellStyle name="强调文字颜色 2 3 19 5 4" xfId="23476"/>
    <cellStyle name="强调文字颜色 2 3 19 5 5" xfId="7259"/>
    <cellStyle name="强调文字颜色 2 3 19 5 6" xfId="7263"/>
    <cellStyle name="强调文字颜色 2 3 19 5 6 2" xfId="28493"/>
    <cellStyle name="强调文字颜色 2 3 19 5 6 3" xfId="28495"/>
    <cellStyle name="强调文字颜色 2 3 19 5 7" xfId="15307"/>
    <cellStyle name="强调文字颜色 2 3 19 5 8" xfId="28497"/>
    <cellStyle name="强调文字颜色 2 3 19 5 9" xfId="28499"/>
    <cellStyle name="强调文字颜色 2 3 19 6" xfId="28501"/>
    <cellStyle name="强调文字颜色 2 3 19 6 2" xfId="28502"/>
    <cellStyle name="强调文字颜色 2 3 19 6 2 2" xfId="28503"/>
    <cellStyle name="强调文字颜色 2 3 19 6 2 3" xfId="28504"/>
    <cellStyle name="强调文字颜色 2 3 19 6 3" xfId="28505"/>
    <cellStyle name="强调文字颜色 2 3 19 6 4" xfId="28506"/>
    <cellStyle name="强调文字颜色 2 3 19 6 5" xfId="28507"/>
    <cellStyle name="强调文字颜色 2 3 19 6 6" xfId="28508"/>
    <cellStyle name="强调文字颜色 2 3 19 6 7" xfId="28509"/>
    <cellStyle name="强调文字颜色 2 3 19 6 8" xfId="28510"/>
    <cellStyle name="强调文字颜色 2 3 19 7" xfId="28512"/>
    <cellStyle name="强调文字颜色 2 3 19 8" xfId="28513"/>
    <cellStyle name="强调文字颜色 2 3 19 9" xfId="28515"/>
    <cellStyle name="强调文字颜色 2 3 19 9 2" xfId="28517"/>
    <cellStyle name="强调文字颜色 2 3 19 9 3" xfId="13325"/>
    <cellStyle name="强调文字颜色 2 3 2" xfId="28518"/>
    <cellStyle name="强调文字颜色 2 3 2 10" xfId="28519"/>
    <cellStyle name="强调文字颜色 2 3 2 11" xfId="28520"/>
    <cellStyle name="强调文字颜色 2 3 2 12" xfId="28521"/>
    <cellStyle name="强调文字颜色 2 3 2 13" xfId="28523"/>
    <cellStyle name="强调文字颜色 2 3 2 14" xfId="28525"/>
    <cellStyle name="强调文字颜色 2 3 2 2" xfId="28527"/>
    <cellStyle name="强调文字颜色 2 3 2 3" xfId="28528"/>
    <cellStyle name="强调文字颜色 2 3 2 4" xfId="28529"/>
    <cellStyle name="强调文字颜色 2 3 2 5" xfId="28530"/>
    <cellStyle name="强调文字颜色 2 3 2 6" xfId="28531"/>
    <cellStyle name="强调文字颜色 2 3 2 7" xfId="28532"/>
    <cellStyle name="强调文字颜色 2 3 2 8" xfId="28533"/>
    <cellStyle name="强调文字颜色 2 3 2 9" xfId="28534"/>
    <cellStyle name="强调文字颜色 2 3 20" xfId="28397"/>
    <cellStyle name="强调文字颜色 2 3 20 10" xfId="28535"/>
    <cellStyle name="强调文字颜色 2 3 20 11" xfId="28536"/>
    <cellStyle name="强调文字颜色 2 3 20 12" xfId="28538"/>
    <cellStyle name="强调文字颜色 2 3 20 13" xfId="28540"/>
    <cellStyle name="强调文字颜色 2 3 20 14" xfId="28541"/>
    <cellStyle name="强调文字颜色 2 3 20 2" xfId="28543"/>
    <cellStyle name="强调文字颜色 2 3 20 3" xfId="28545"/>
    <cellStyle name="强调文字颜色 2 3 20 4" xfId="28547"/>
    <cellStyle name="强调文字颜色 2 3 20 5" xfId="28549"/>
    <cellStyle name="强调文字颜色 2 3 20 5 10" xfId="16441"/>
    <cellStyle name="强调文字颜色 2 3 20 5 11" xfId="16442"/>
    <cellStyle name="强调文字颜色 2 3 20 5 2" xfId="3058"/>
    <cellStyle name="强调文字颜色 2 3 20 5 2 2" xfId="28551"/>
    <cellStyle name="强调文字颜色 2 3 20 5 2 2 2" xfId="28552"/>
    <cellStyle name="强调文字颜色 2 3 20 5 2 2 3" xfId="28553"/>
    <cellStyle name="强调文字颜色 2 3 20 5 2 3" xfId="28554"/>
    <cellStyle name="强调文字颜色 2 3 20 5 2 4" xfId="28555"/>
    <cellStyle name="强调文字颜色 2 3 20 5 2 5" xfId="28556"/>
    <cellStyle name="强调文字颜色 2 3 20 5 2 6" xfId="28557"/>
    <cellStyle name="强调文字颜色 2 3 20 5 2 7" xfId="28558"/>
    <cellStyle name="强调文字颜色 2 3 20 5 2 8" xfId="28559"/>
    <cellStyle name="强调文字颜色 2 3 20 5 3" xfId="3088"/>
    <cellStyle name="强调文字颜色 2 3 20 5 4" xfId="3092"/>
    <cellStyle name="强调文字颜色 2 3 20 5 5" xfId="3096"/>
    <cellStyle name="强调文字颜色 2 3 20 5 6" xfId="6166"/>
    <cellStyle name="强调文字颜色 2 3 20 5 6 2" xfId="28561"/>
    <cellStyle name="强调文字颜色 2 3 20 5 6 3" xfId="28562"/>
    <cellStyle name="强调文字颜色 2 3 20 5 7" xfId="25025"/>
    <cellStyle name="强调文字颜色 2 3 20 5 8" xfId="25027"/>
    <cellStyle name="强调文字颜色 2 3 20 5 9" xfId="25055"/>
    <cellStyle name="强调文字颜色 2 3 20 6" xfId="28565"/>
    <cellStyle name="强调文字颜色 2 3 20 6 2" xfId="28567"/>
    <cellStyle name="强调文字颜色 2 3 20 6 2 2" xfId="24937"/>
    <cellStyle name="强调文字颜色 2 3 20 6 2 3" xfId="24939"/>
    <cellStyle name="强调文字颜色 2 3 20 6 3" xfId="28569"/>
    <cellStyle name="强调文字颜色 2 3 20 6 4" xfId="28570"/>
    <cellStyle name="强调文字颜色 2 3 20 6 5" xfId="25069"/>
    <cellStyle name="强调文字颜色 2 3 20 6 6" xfId="25071"/>
    <cellStyle name="强调文字颜色 2 3 20 6 7" xfId="25074"/>
    <cellStyle name="强调文字颜色 2 3 20 6 8" xfId="25077"/>
    <cellStyle name="强调文字颜色 2 3 20 7" xfId="28572"/>
    <cellStyle name="强调文字颜色 2 3 20 8" xfId="28573"/>
    <cellStyle name="强调文字颜色 2 3 20 9" xfId="28576"/>
    <cellStyle name="强调文字颜色 2 3 20 9 2" xfId="28579"/>
    <cellStyle name="强调文字颜色 2 3 20 9 3" xfId="28580"/>
    <cellStyle name="强调文字颜色 2 3 3" xfId="28581"/>
    <cellStyle name="强调文字颜色 2 3 3 10" xfId="28582"/>
    <cellStyle name="强调文字颜色 2 3 3 11" xfId="28583"/>
    <cellStyle name="强调文字颜色 2 3 3 12" xfId="28584"/>
    <cellStyle name="强调文字颜色 2 3 3 13" xfId="28585"/>
    <cellStyle name="强调文字颜色 2 3 3 14" xfId="28586"/>
    <cellStyle name="强调文字颜色 2 3 3 2" xfId="24494"/>
    <cellStyle name="强调文字颜色 2 3 3 3" xfId="28587"/>
    <cellStyle name="强调文字颜色 2 3 3 4" xfId="28588"/>
    <cellStyle name="强调文字颜色 2 3 3 5" xfId="28590"/>
    <cellStyle name="强调文字颜色 2 3 3 6" xfId="28592"/>
    <cellStyle name="强调文字颜色 2 3 3 7" xfId="28594"/>
    <cellStyle name="强调文字颜色 2 3 3 8" xfId="28596"/>
    <cellStyle name="强调文字颜色 2 3 3 9" xfId="28598"/>
    <cellStyle name="强调文字颜色 2 3 4" xfId="13544"/>
    <cellStyle name="强调文字颜色 2 3 4 10" xfId="11995"/>
    <cellStyle name="强调文字颜色 2 3 4 11" xfId="4167"/>
    <cellStyle name="强调文字颜色 2 3 4 12" xfId="4177"/>
    <cellStyle name="强调文字颜色 2 3 4 13" xfId="12011"/>
    <cellStyle name="强调文字颜色 2 3 4 14" xfId="12016"/>
    <cellStyle name="强调文字颜色 2 3 4 2" xfId="28599"/>
    <cellStyle name="强调文字颜色 2 3 4 3" xfId="28600"/>
    <cellStyle name="强调文字颜色 2 3 4 4" xfId="28601"/>
    <cellStyle name="强调文字颜色 2 3 4 5" xfId="8547"/>
    <cellStyle name="强调文字颜色 2 3 4 6" xfId="8550"/>
    <cellStyle name="强调文字颜色 2 3 4 7" xfId="28602"/>
    <cellStyle name="强调文字颜色 2 3 4 8" xfId="28604"/>
    <cellStyle name="强调文字颜色 2 3 4 9" xfId="28606"/>
    <cellStyle name="强调文字颜色 2 3 5" xfId="13548"/>
    <cellStyle name="强调文字颜色 2 3 6" xfId="28608"/>
    <cellStyle name="强调文字颜色 2 3 7" xfId="28609"/>
    <cellStyle name="强调文字颜色 2 3 8" xfId="28610"/>
    <cellStyle name="强调文字颜色 2 3 9" xfId="28611"/>
    <cellStyle name="强调文字颜色 2 4" xfId="10829"/>
    <cellStyle name="强调文字颜色 2 4 10" xfId="21070"/>
    <cellStyle name="强调文字颜色 2 4 11" xfId="21073"/>
    <cellStyle name="强调文字颜色 2 4 12" xfId="11547"/>
    <cellStyle name="强调文字颜色 2 4 13" xfId="11554"/>
    <cellStyle name="强调文字颜色 2 4 14" xfId="22629"/>
    <cellStyle name="强调文字颜色 2 4 15" xfId="28612"/>
    <cellStyle name="强调文字颜色 2 4 16" xfId="28614"/>
    <cellStyle name="强调文字颜色 2 4 17" xfId="28615"/>
    <cellStyle name="强调文字颜色 2 4 17 10" xfId="28617"/>
    <cellStyle name="强调文字颜色 2 4 17 11" xfId="28620"/>
    <cellStyle name="强调文字颜色 2 4 17 12" xfId="28623"/>
    <cellStyle name="强调文字颜色 2 4 17 13" xfId="28625"/>
    <cellStyle name="强调文字颜色 2 4 17 14" xfId="28627"/>
    <cellStyle name="强调文字颜色 2 4 17 2" xfId="28629"/>
    <cellStyle name="强调文字颜色 2 4 17 3" xfId="28631"/>
    <cellStyle name="强调文字颜色 2 4 17 4" xfId="28633"/>
    <cellStyle name="强调文字颜色 2 4 17 5" xfId="25624"/>
    <cellStyle name="强调文字颜色 2 4 17 5 10" xfId="28635"/>
    <cellStyle name="强调文字颜色 2 4 17 5 11" xfId="28636"/>
    <cellStyle name="强调文字颜色 2 4 17 5 2" xfId="28637"/>
    <cellStyle name="强调文字颜色 2 4 17 5 2 2" xfId="4171"/>
    <cellStyle name="强调文字颜色 2 4 17 5 2 2 2" xfId="28638"/>
    <cellStyle name="强调文字颜色 2 4 17 5 2 2 3" xfId="28639"/>
    <cellStyle name="强调文字颜色 2 4 17 5 2 3" xfId="4181"/>
    <cellStyle name="强调文字颜色 2 4 17 5 2 4" xfId="15297"/>
    <cellStyle name="强调文字颜色 2 4 17 5 2 5" xfId="17502"/>
    <cellStyle name="强调文字颜色 2 4 17 5 2 6" xfId="17507"/>
    <cellStyle name="强调文字颜色 2 4 17 5 2 7" xfId="23470"/>
    <cellStyle name="强调文字颜色 2 4 17 5 2 8" xfId="23479"/>
    <cellStyle name="强调文字颜色 2 4 17 5 3" xfId="28640"/>
    <cellStyle name="强调文字颜色 2 4 17 5 4" xfId="28641"/>
    <cellStyle name="强调文字颜色 2 4 17 5 5" xfId="28642"/>
    <cellStyle name="强调文字颜色 2 4 17 5 6" xfId="28643"/>
    <cellStyle name="强调文字颜色 2 4 17 5 6 2" xfId="7748"/>
    <cellStyle name="强调文字颜色 2 4 17 5 6 3" xfId="28644"/>
    <cellStyle name="强调文字颜色 2 4 17 5 7" xfId="28645"/>
    <cellStyle name="强调文字颜色 2 4 17 5 8" xfId="28646"/>
    <cellStyle name="强调文字颜色 2 4 17 5 9" xfId="28648"/>
    <cellStyle name="强调文字颜色 2 4 17 6" xfId="28649"/>
    <cellStyle name="强调文字颜色 2 4 17 6 2" xfId="4242"/>
    <cellStyle name="强调文字颜色 2 4 17 6 2 2" xfId="17378"/>
    <cellStyle name="强调文字颜色 2 4 17 6 2 3" xfId="17381"/>
    <cellStyle name="强调文字颜色 2 4 17 6 3" xfId="4252"/>
    <cellStyle name="强调文字颜色 2 4 17 6 4" xfId="4260"/>
    <cellStyle name="强调文字颜色 2 4 17 6 5" xfId="6483"/>
    <cellStyle name="强调文字颜色 2 4 17 6 6" xfId="6490"/>
    <cellStyle name="强调文字颜色 2 4 17 6 7" xfId="28651"/>
    <cellStyle name="强调文字颜色 2 4 17 6 8" xfId="28652"/>
    <cellStyle name="强调文字颜色 2 4 17 7" xfId="12776"/>
    <cellStyle name="强调文字颜色 2 4 17 8" xfId="12778"/>
    <cellStyle name="强调文字颜色 2 4 17 9" xfId="28653"/>
    <cellStyle name="强调文字颜色 2 4 17 9 2" xfId="22315"/>
    <cellStyle name="强调文字颜色 2 4 17 9 3" xfId="22317"/>
    <cellStyle name="强调文字颜色 2 4 18" xfId="28654"/>
    <cellStyle name="强调文字颜色 2 4 18 10" xfId="13485"/>
    <cellStyle name="强调文字颜色 2 4 18 11" xfId="13489"/>
    <cellStyle name="强调文字颜色 2 4 18 12" xfId="21318"/>
    <cellStyle name="强调文字颜色 2 4 18 13" xfId="21322"/>
    <cellStyle name="强调文字颜色 2 4 18 14" xfId="14341"/>
    <cellStyle name="强调文字颜色 2 4 18 2" xfId="28656"/>
    <cellStyle name="强调文字颜色 2 4 18 3" xfId="28658"/>
    <cellStyle name="强调文字颜色 2 4 18 4" xfId="28660"/>
    <cellStyle name="强调文字颜色 2 4 18 5" xfId="2795"/>
    <cellStyle name="强调文字颜色 2 4 18 5 10" xfId="14631"/>
    <cellStyle name="强调文字颜色 2 4 18 5 11" xfId="14634"/>
    <cellStyle name="强调文字颜色 2 4 18 5 2" xfId="4824"/>
    <cellStyle name="强调文字颜色 2 4 18 5 2 2" xfId="4838"/>
    <cellStyle name="强调文字颜色 2 4 18 5 2 2 2" xfId="19005"/>
    <cellStyle name="强调文字颜色 2 4 18 5 2 2 3" xfId="19007"/>
    <cellStyle name="强调文字颜色 2 4 18 5 2 3" xfId="4843"/>
    <cellStyle name="强调文字颜色 2 4 18 5 2 4" xfId="15499"/>
    <cellStyle name="强调文字颜色 2 4 18 5 2 5" xfId="17562"/>
    <cellStyle name="强调文字颜色 2 4 18 5 2 6" xfId="17564"/>
    <cellStyle name="强调文字颜色 2 4 18 5 2 7" xfId="28661"/>
    <cellStyle name="强调文字颜色 2 4 18 5 2 8" xfId="28662"/>
    <cellStyle name="强调文字颜色 2 4 18 5 3" xfId="4846"/>
    <cellStyle name="强调文字颜色 2 4 18 5 4" xfId="4859"/>
    <cellStyle name="强调文字颜色 2 4 18 5 5" xfId="4865"/>
    <cellStyle name="强调文字颜色 2 4 18 5 6" xfId="4870"/>
    <cellStyle name="强调文字颜色 2 4 18 5 6 2" xfId="25150"/>
    <cellStyle name="强调文字颜色 2 4 18 5 6 3" xfId="25153"/>
    <cellStyle name="强调文字颜色 2 4 18 5 7" xfId="4875"/>
    <cellStyle name="强调文字颜色 2 4 18 5 8" xfId="1101"/>
    <cellStyle name="强调文字颜色 2 4 18 5 9" xfId="10916"/>
    <cellStyle name="强调文字颜色 2 4 18 6" xfId="2802"/>
    <cellStyle name="强调文字颜色 2 4 18 6 2" xfId="25529"/>
    <cellStyle name="强调文字颜色 2 4 18 6 2 2" xfId="27738"/>
    <cellStyle name="强调文字颜色 2 4 18 6 2 3" xfId="27740"/>
    <cellStyle name="强调文字颜色 2 4 18 6 3" xfId="28663"/>
    <cellStyle name="强调文字颜色 2 4 18 6 4" xfId="6575"/>
    <cellStyle name="强调文字颜色 2 4 18 6 5" xfId="6580"/>
    <cellStyle name="强调文字颜色 2 4 18 6 6" xfId="28664"/>
    <cellStyle name="强调文字颜色 2 4 18 6 7" xfId="6591"/>
    <cellStyle name="强调文字颜色 2 4 18 6 8" xfId="7738"/>
    <cellStyle name="强调文字颜色 2 4 18 7" xfId="2808"/>
    <cellStyle name="强调文字颜色 2 4 18 8" xfId="2815"/>
    <cellStyle name="强调文字颜色 2 4 18 9" xfId="2823"/>
    <cellStyle name="强调文字颜色 2 4 18 9 2" xfId="233"/>
    <cellStyle name="强调文字颜色 2 4 18 9 3" xfId="1529"/>
    <cellStyle name="强调文字颜色 2 4 19" xfId="28665"/>
    <cellStyle name="强调文字颜色 2 4 19 10" xfId="28666"/>
    <cellStyle name="强调文字颜色 2 4 19 11" xfId="8558"/>
    <cellStyle name="强调文字颜色 2 4 19 12" xfId="8565"/>
    <cellStyle name="强调文字颜色 2 4 19 13" xfId="21365"/>
    <cellStyle name="强调文字颜色 2 4 19 14" xfId="21371"/>
    <cellStyle name="强调文字颜色 2 4 19 2" xfId="28667"/>
    <cellStyle name="强调文字颜色 2 4 19 3" xfId="28671"/>
    <cellStyle name="强调文字颜色 2 4 19 4" xfId="28673"/>
    <cellStyle name="强调文字颜色 2 4 19 5" xfId="950"/>
    <cellStyle name="强调文字颜色 2 4 19 5 10" xfId="21668"/>
    <cellStyle name="强调文字颜色 2 4 19 5 11" xfId="16337"/>
    <cellStyle name="强调文字颜色 2 4 19 5 2" xfId="4883"/>
    <cellStyle name="强调文字颜色 2 4 19 5 2 2" xfId="17625"/>
    <cellStyle name="强调文字颜色 2 4 19 5 2 2 2" xfId="28674"/>
    <cellStyle name="强调文字颜色 2 4 19 5 2 2 3" xfId="14891"/>
    <cellStyle name="强调文字颜色 2 4 19 5 2 3" xfId="17630"/>
    <cellStyle name="强调文字颜色 2 4 19 5 2 4" xfId="17634"/>
    <cellStyle name="强调文字颜色 2 4 19 5 2 5" xfId="17637"/>
    <cellStyle name="强调文字颜色 2 4 19 5 2 6" xfId="12348"/>
    <cellStyle name="强调文字颜色 2 4 19 5 2 7" xfId="28675"/>
    <cellStyle name="强调文字颜色 2 4 19 5 2 8" xfId="28676"/>
    <cellStyle name="强调文字颜色 2 4 19 5 3" xfId="4888"/>
    <cellStyle name="强调文字颜色 2 4 19 5 4" xfId="28677"/>
    <cellStyle name="强调文字颜色 2 4 19 5 5" xfId="28678"/>
    <cellStyle name="强调文字颜色 2 4 19 5 6" xfId="28679"/>
    <cellStyle name="强调文字颜色 2 4 19 5 6 2" xfId="28680"/>
    <cellStyle name="强调文字颜色 2 4 19 5 6 3" xfId="28681"/>
    <cellStyle name="强调文字颜色 2 4 19 5 7" xfId="21386"/>
    <cellStyle name="强调文字颜色 2 4 19 5 8" xfId="21388"/>
    <cellStyle name="强调文字颜色 2 4 19 5 9" xfId="21390"/>
    <cellStyle name="强调文字颜色 2 4 19 6" xfId="986"/>
    <cellStyle name="强调文字颜色 2 4 19 6 2" xfId="6715"/>
    <cellStyle name="强调文字颜色 2 4 19 6 2 2" xfId="28682"/>
    <cellStyle name="强调文字颜色 2 4 19 6 2 3" xfId="28683"/>
    <cellStyle name="强调文字颜色 2 4 19 6 3" xfId="6719"/>
    <cellStyle name="强调文字颜色 2 4 19 6 4" xfId="6721"/>
    <cellStyle name="强调文字颜色 2 4 19 6 5" xfId="6724"/>
    <cellStyle name="强调文字颜色 2 4 19 6 6" xfId="435"/>
    <cellStyle name="强调文字颜色 2 4 19 6 7" xfId="6727"/>
    <cellStyle name="强调文字颜色 2 4 19 6 8" xfId="6801"/>
    <cellStyle name="强调文字颜色 2 4 19 7" xfId="1008"/>
    <cellStyle name="强调文字颜色 2 4 19 8" xfId="1041"/>
    <cellStyle name="强调文字颜色 2 4 19 9" xfId="1061"/>
    <cellStyle name="强调文字颜色 2 4 19 9 2" xfId="1738"/>
    <cellStyle name="强调文字颜色 2 4 19 9 3" xfId="13484"/>
    <cellStyle name="强调文字颜色 2 4 2" xfId="16751"/>
    <cellStyle name="强调文字颜色 2 4 20" xfId="28613"/>
    <cellStyle name="强调文字颜色 2 4 20 10" xfId="28684"/>
    <cellStyle name="强调文字颜色 2 4 20 11" xfId="28685"/>
    <cellStyle name="强调文字颜色 2 4 20 12" xfId="28686"/>
    <cellStyle name="强调文字颜色 2 4 20 13" xfId="28687"/>
    <cellStyle name="强调文字颜色 2 4 20 14" xfId="28689"/>
    <cellStyle name="强调文字颜色 2 4 20 2" xfId="28691"/>
    <cellStyle name="强调文字颜色 2 4 20 3" xfId="19122"/>
    <cellStyle name="强调文字颜色 2 4 20 4" xfId="20351"/>
    <cellStyle name="强调文字颜色 2 4 20 5" xfId="28693"/>
    <cellStyle name="强调文字颜色 2 4 20 5 10" xfId="23844"/>
    <cellStyle name="强调文字颜色 2 4 20 5 11" xfId="23848"/>
    <cellStyle name="强调文字颜色 2 4 20 5 2" xfId="28695"/>
    <cellStyle name="强调文字颜色 2 4 20 5 2 2" xfId="3567"/>
    <cellStyle name="强调文字颜色 2 4 20 5 2 2 2" xfId="28696"/>
    <cellStyle name="强调文字颜色 2 4 20 5 2 2 3" xfId="19726"/>
    <cellStyle name="强调文字颜色 2 4 20 5 2 3" xfId="3817"/>
    <cellStyle name="强调文字颜色 2 4 20 5 2 4" xfId="5274"/>
    <cellStyle name="强调文字颜色 2 4 20 5 2 5" xfId="5294"/>
    <cellStyle name="强调文字颜色 2 4 20 5 2 6" xfId="5305"/>
    <cellStyle name="强调文字颜色 2 4 20 5 2 7" xfId="5318"/>
    <cellStyle name="强调文字颜色 2 4 20 5 2 8" xfId="25746"/>
    <cellStyle name="强调文字颜色 2 4 20 5 3" xfId="28697"/>
    <cellStyle name="强调文字颜色 2 4 20 5 4" xfId="28698"/>
    <cellStyle name="强调文字颜色 2 4 20 5 5" xfId="28699"/>
    <cellStyle name="强调文字颜色 2 4 20 5 6" xfId="28700"/>
    <cellStyle name="强调文字颜色 2 4 20 5 6 2" xfId="28701"/>
    <cellStyle name="强调文字颜色 2 4 20 5 6 3" xfId="28702"/>
    <cellStyle name="强调文字颜色 2 4 20 5 7" xfId="28703"/>
    <cellStyle name="强调文字颜色 2 4 20 5 8" xfId="28704"/>
    <cellStyle name="强调文字颜色 2 4 20 5 9" xfId="28705"/>
    <cellStyle name="强调文字颜色 2 4 20 6" xfId="28707"/>
    <cellStyle name="强调文字颜色 2 4 20 6 2" xfId="28709"/>
    <cellStyle name="强调文字颜色 2 4 20 6 2 2" xfId="28710"/>
    <cellStyle name="强调文字颜色 2 4 20 6 2 3" xfId="28712"/>
    <cellStyle name="强调文字颜色 2 4 20 6 3" xfId="28714"/>
    <cellStyle name="强调文字颜色 2 4 20 6 4" xfId="28715"/>
    <cellStyle name="强调文字颜色 2 4 20 6 5" xfId="28716"/>
    <cellStyle name="强调文字颜色 2 4 20 6 6" xfId="28717"/>
    <cellStyle name="强调文字颜色 2 4 20 6 7" xfId="28718"/>
    <cellStyle name="强调文字颜色 2 4 20 6 8" xfId="28719"/>
    <cellStyle name="强调文字颜色 2 4 20 7" xfId="28721"/>
    <cellStyle name="强调文字颜色 2 4 20 8" xfId="28723"/>
    <cellStyle name="强调文字颜色 2 4 20 9" xfId="28725"/>
    <cellStyle name="强调文字颜色 2 4 20 9 2" xfId="28726"/>
    <cellStyle name="强调文字颜色 2 4 20 9 3" xfId="28727"/>
    <cellStyle name="强调文字颜色 2 4 3" xfId="16755"/>
    <cellStyle name="强调文字颜色 2 4 4" xfId="16757"/>
    <cellStyle name="强调文字颜色 2 4 5" xfId="16759"/>
    <cellStyle name="强调文字颜色 2 4 6" xfId="17677"/>
    <cellStyle name="强调文字颜色 2 4 7" xfId="3568"/>
    <cellStyle name="强调文字颜色 2 4 8" xfId="3818"/>
    <cellStyle name="强调文字颜色 2 4 9" xfId="5275"/>
    <cellStyle name="强调文字颜色 2 5" xfId="10832"/>
    <cellStyle name="强调文字颜色 2 5 10" xfId="28728"/>
    <cellStyle name="强调文字颜色 2 5 11" xfId="28730"/>
    <cellStyle name="强调文字颜色 2 5 12" xfId="28731"/>
    <cellStyle name="强调文字颜色 2 5 13" xfId="28732"/>
    <cellStyle name="强调文字颜色 2 5 14" xfId="4214"/>
    <cellStyle name="强调文字颜色 2 5 2" xfId="16763"/>
    <cellStyle name="强调文字颜色 2 5 3" xfId="16768"/>
    <cellStyle name="强调文字颜色 2 5 4" xfId="16771"/>
    <cellStyle name="强调文字颜色 2 5 5" xfId="28733"/>
    <cellStyle name="强调文字颜色 2 5 6" xfId="28734"/>
    <cellStyle name="强调文字颜色 2 5 7" xfId="24498"/>
    <cellStyle name="强调文字颜色 2 5 8" xfId="28735"/>
    <cellStyle name="强调文字颜色 2 5 9" xfId="28736"/>
    <cellStyle name="强调文字颜色 2 6" xfId="28737"/>
    <cellStyle name="强调文字颜色 2 6 10" xfId="28738"/>
    <cellStyle name="强调文字颜色 2 6 11" xfId="28740"/>
    <cellStyle name="强调文字颜色 2 6 12" xfId="28741"/>
    <cellStyle name="强调文字颜色 2 6 13" xfId="7567"/>
    <cellStyle name="强调文字颜色 2 6 14" xfId="12110"/>
    <cellStyle name="强调文字颜色 2 6 2" xfId="28743"/>
    <cellStyle name="强调文字颜色 2 6 3" xfId="28745"/>
    <cellStyle name="强调文字颜色 2 6 4" xfId="28747"/>
    <cellStyle name="强调文字颜色 2 6 5" xfId="28749"/>
    <cellStyle name="强调文字颜色 2 6 6" xfId="28750"/>
    <cellStyle name="强调文字颜色 2 6 7" xfId="28751"/>
    <cellStyle name="强调文字颜色 2 6 8" xfId="28752"/>
    <cellStyle name="强调文字颜色 2 6 9" xfId="28753"/>
    <cellStyle name="强调文字颜色 2 7" xfId="27883"/>
    <cellStyle name="强调文字颜色 2 8" xfId="27885"/>
    <cellStyle name="强调文字颜色 2 9" xfId="20255"/>
    <cellStyle name="强调文字颜色 3 10" xfId="28754"/>
    <cellStyle name="强调文字颜色 3 11" xfId="28755"/>
    <cellStyle name="强调文字颜色 3 12" xfId="28756"/>
    <cellStyle name="强调文字颜色 3 12 10" xfId="7563"/>
    <cellStyle name="强调文字颜色 3 12 11" xfId="7573"/>
    <cellStyle name="强调文字颜色 3 12 12" xfId="15725"/>
    <cellStyle name="强调文字颜色 3 12 13" xfId="15728"/>
    <cellStyle name="强调文字颜色 3 12 14" xfId="15731"/>
    <cellStyle name="强调文字颜色 3 12 2" xfId="26963"/>
    <cellStyle name="强调文字颜色 3 12 3" xfId="26767"/>
    <cellStyle name="强调文字颜色 3 12 4" xfId="26770"/>
    <cellStyle name="强调文字颜色 3 12 5" xfId="26773"/>
    <cellStyle name="强调文字颜色 3 12 5 10" xfId="28757"/>
    <cellStyle name="强调文字颜色 3 12 5 11" xfId="28758"/>
    <cellStyle name="强调文字颜色 3 12 5 2" xfId="19522"/>
    <cellStyle name="强调文字颜色 3 12 5 2 2" xfId="28760"/>
    <cellStyle name="强调文字颜色 3 12 5 2 2 2" xfId="28762"/>
    <cellStyle name="强调文字颜色 3 12 5 2 2 3" xfId="10096"/>
    <cellStyle name="强调文字颜色 3 12 5 2 3" xfId="28764"/>
    <cellStyle name="强调文字颜色 3 12 5 2 4" xfId="28766"/>
    <cellStyle name="强调文字颜色 3 12 5 2 5" xfId="28768"/>
    <cellStyle name="强调文字颜色 3 12 5 2 6" xfId="28770"/>
    <cellStyle name="强调文字颜色 3 12 5 2 7" xfId="28771"/>
    <cellStyle name="强调文字颜色 3 12 5 2 8" xfId="28772"/>
    <cellStyle name="强调文字颜色 3 12 5 3" xfId="28774"/>
    <cellStyle name="强调文字颜色 3 12 5 4" xfId="28776"/>
    <cellStyle name="强调文字颜色 3 12 5 5" xfId="28477"/>
    <cellStyle name="强调文字颜色 3 12 5 6" xfId="28481"/>
    <cellStyle name="强调文字颜色 3 12 5 6 2" xfId="20783"/>
    <cellStyle name="强调文字颜色 3 12 5 6 3" xfId="20785"/>
    <cellStyle name="强调文字颜色 3 12 5 7" xfId="28483"/>
    <cellStyle name="强调文字颜色 3 12 5 8" xfId="28485"/>
    <cellStyle name="强调文字颜色 3 12 5 9" xfId="28488"/>
    <cellStyle name="强调文字颜色 3 12 6" xfId="26775"/>
    <cellStyle name="强调文字颜色 3 12 6 2" xfId="13307"/>
    <cellStyle name="强调文字颜色 3 12 6 2 2" xfId="26777"/>
    <cellStyle name="强调文字颜色 3 12 6 2 3" xfId="26784"/>
    <cellStyle name="强调文字颜色 3 12 6 3" xfId="13314"/>
    <cellStyle name="强调文字颜色 3 12 6 4" xfId="16719"/>
    <cellStyle name="强调文字颜色 3 12 6 5" xfId="16724"/>
    <cellStyle name="强调文字颜色 3 12 6 6" xfId="16728"/>
    <cellStyle name="强调文字颜色 3 12 6 7" xfId="26797"/>
    <cellStyle name="强调文字颜色 3 12 6 8" xfId="26800"/>
    <cellStyle name="强调文字颜色 3 12 7" xfId="26803"/>
    <cellStyle name="强调文字颜色 3 12 8" xfId="26823"/>
    <cellStyle name="强调文字颜色 3 12 9" xfId="26825"/>
    <cellStyle name="强调文字颜色 3 12 9 2" xfId="28777"/>
    <cellStyle name="强调文字颜色 3 12 9 3" xfId="28779"/>
    <cellStyle name="强调文字颜色 3 13" xfId="28781"/>
    <cellStyle name="强调文字颜色 3 14" xfId="25691"/>
    <cellStyle name="强调文字颜色 3 15" xfId="28782"/>
    <cellStyle name="强调文字颜色 3 16" xfId="28783"/>
    <cellStyle name="强调文字颜色 3 16 10" xfId="28784"/>
    <cellStyle name="强调文字颜色 3 16 11" xfId="28786"/>
    <cellStyle name="强调文字颜色 3 16 12" xfId="28788"/>
    <cellStyle name="强调文字颜色 3 16 13" xfId="17252"/>
    <cellStyle name="强调文字颜色 3 16 14" xfId="17257"/>
    <cellStyle name="强调文字颜色 3 16 2" xfId="11623"/>
    <cellStyle name="强调文字颜色 3 16 3" xfId="10490"/>
    <cellStyle name="强调文字颜色 3 16 4" xfId="10498"/>
    <cellStyle name="强调文字颜色 3 16 5" xfId="10510"/>
    <cellStyle name="强调文字颜色 3 16 5 10" xfId="28790"/>
    <cellStyle name="强调文字颜色 3 16 5 11" xfId="28792"/>
    <cellStyle name="强调文字颜色 3 16 5 2" xfId="28794"/>
    <cellStyle name="强调文字颜色 3 16 5 2 2" xfId="15706"/>
    <cellStyle name="强调文字颜色 3 16 5 2 2 2" xfId="17480"/>
    <cellStyle name="强调文字颜色 3 16 5 2 2 3" xfId="17486"/>
    <cellStyle name="强调文字颜色 3 16 5 2 3" xfId="15710"/>
    <cellStyle name="强调文字颜色 3 16 5 2 4" xfId="15714"/>
    <cellStyle name="强调文字颜色 3 16 5 2 5" xfId="23286"/>
    <cellStyle name="强调文字颜色 3 16 5 2 6" xfId="23586"/>
    <cellStyle name="强调文字颜色 3 16 5 2 7" xfId="23588"/>
    <cellStyle name="强调文字颜色 3 16 5 2 8" xfId="23590"/>
    <cellStyle name="强调文字颜色 3 16 5 3" xfId="28795"/>
    <cellStyle name="强调文字颜色 3 16 5 4" xfId="28796"/>
    <cellStyle name="强调文字颜色 3 16 5 5" xfId="28797"/>
    <cellStyle name="强调文字颜色 3 16 5 6" xfId="28798"/>
    <cellStyle name="强调文字颜色 3 16 5 6 2" xfId="28799"/>
    <cellStyle name="强调文字颜色 3 16 5 6 3" xfId="28801"/>
    <cellStyle name="强调文字颜色 3 16 5 7" xfId="28803"/>
    <cellStyle name="强调文字颜色 3 16 5 8" xfId="28804"/>
    <cellStyle name="强调文字颜色 3 16 5 9" xfId="28805"/>
    <cellStyle name="强调文字颜色 3 16 6" xfId="10517"/>
    <cellStyle name="强调文字颜色 3 16 6 2" xfId="28807"/>
    <cellStyle name="强调文字颜色 3 16 6 2 2" xfId="28809"/>
    <cellStyle name="强调文字颜色 3 16 6 2 3" xfId="1070"/>
    <cellStyle name="强调文字颜色 3 16 6 3" xfId="28810"/>
    <cellStyle name="强调文字颜色 3 16 6 4" xfId="28812"/>
    <cellStyle name="强调文字颜色 3 16 6 5" xfId="28815"/>
    <cellStyle name="强调文字颜色 3 16 6 6" xfId="28818"/>
    <cellStyle name="强调文字颜色 3 16 6 7" xfId="28820"/>
    <cellStyle name="强调文字颜色 3 16 6 8" xfId="28822"/>
    <cellStyle name="强调文字颜色 3 16 7" xfId="10530"/>
    <cellStyle name="强调文字颜色 3 16 8" xfId="28824"/>
    <cellStyle name="强调文字颜色 3 16 9" xfId="28826"/>
    <cellStyle name="强调文字颜色 3 16 9 2" xfId="28828"/>
    <cellStyle name="强调文字颜色 3 16 9 3" xfId="28830"/>
    <cellStyle name="强调文字颜色 3 17" xfId="28832"/>
    <cellStyle name="强调文字颜色 3 17 10" xfId="28833"/>
    <cellStyle name="强调文字颜色 3 17 11" xfId="28834"/>
    <cellStyle name="强调文字颜色 3 17 12" xfId="28835"/>
    <cellStyle name="强调文字颜色 3 17 13" xfId="26023"/>
    <cellStyle name="强调文字颜色 3 17 14" xfId="28836"/>
    <cellStyle name="强调文字颜色 3 17 2" xfId="27018"/>
    <cellStyle name="强调文字颜色 3 17 3" xfId="27020"/>
    <cellStyle name="强调文字颜色 3 17 4" xfId="25822"/>
    <cellStyle name="强调文字颜色 3 17 5" xfId="27022"/>
    <cellStyle name="强调文字颜色 3 17 5 10" xfId="14999"/>
    <cellStyle name="强调文字颜色 3 17 5 11" xfId="348"/>
    <cellStyle name="强调文字颜色 3 17 5 2" xfId="28837"/>
    <cellStyle name="强调文字颜色 3 17 5 2 2" xfId="28840"/>
    <cellStyle name="强调文字颜色 3 17 5 2 2 2" xfId="26221"/>
    <cellStyle name="强调文字颜色 3 17 5 2 2 3" xfId="26223"/>
    <cellStyle name="强调文字颜色 3 17 5 2 3" xfId="28841"/>
    <cellStyle name="强调文字颜色 3 17 5 2 4" xfId="23810"/>
    <cellStyle name="强调文字颜色 3 17 5 2 5" xfId="23812"/>
    <cellStyle name="强调文字颜色 3 17 5 2 6" xfId="23814"/>
    <cellStyle name="强调文字颜色 3 17 5 2 7" xfId="15549"/>
    <cellStyle name="强调文字颜色 3 17 5 2 8" xfId="15574"/>
    <cellStyle name="强调文字颜色 3 17 5 3" xfId="28842"/>
    <cellStyle name="强调文字颜色 3 17 5 4" xfId="28844"/>
    <cellStyle name="强调文字颜色 3 17 5 5" xfId="28846"/>
    <cellStyle name="强调文字颜色 3 17 5 6" xfId="24750"/>
    <cellStyle name="强调文字颜色 3 17 5 6 2" xfId="20976"/>
    <cellStyle name="强调文字颜色 3 17 5 6 3" xfId="20978"/>
    <cellStyle name="强调文字颜色 3 17 5 7" xfId="16002"/>
    <cellStyle name="强调文字颜色 3 17 5 8" xfId="15842"/>
    <cellStyle name="强调文字颜色 3 17 5 9" xfId="20126"/>
    <cellStyle name="强调文字颜色 3 17 6" xfId="28847"/>
    <cellStyle name="强调文字颜色 3 17 6 2" xfId="28848"/>
    <cellStyle name="强调文字颜色 3 17 6 2 2" xfId="28850"/>
    <cellStyle name="强调文字颜色 3 17 6 2 3" xfId="16209"/>
    <cellStyle name="强调文字颜色 3 17 6 3" xfId="28851"/>
    <cellStyle name="强调文字颜色 3 17 6 4" xfId="28853"/>
    <cellStyle name="强调文字颜色 3 17 6 5" xfId="28855"/>
    <cellStyle name="强调文字颜色 3 17 6 6" xfId="6469"/>
    <cellStyle name="强调文字颜色 3 17 6 7" xfId="6282"/>
    <cellStyle name="强调文字颜色 3 17 6 8" xfId="28856"/>
    <cellStyle name="强调文字颜色 3 17 7" xfId="28857"/>
    <cellStyle name="强调文字颜色 3 17 8" xfId="28858"/>
    <cellStyle name="强调文字颜色 3 17 9" xfId="28859"/>
    <cellStyle name="强调文字颜色 3 17 9 2" xfId="28860"/>
    <cellStyle name="强调文字颜色 3 17 9 3" xfId="28861"/>
    <cellStyle name="强调文字颜色 3 18" xfId="25916"/>
    <cellStyle name="强调文字颜色 3 18 10" xfId="28862"/>
    <cellStyle name="强调文字颜色 3 18 11" xfId="28863"/>
    <cellStyle name="强调文字颜色 3 18 12" xfId="28864"/>
    <cellStyle name="强调文字颜色 3 18 13" xfId="28865"/>
    <cellStyle name="强调文字颜色 3 18 14" xfId="17022"/>
    <cellStyle name="强调文字颜色 3 18 2" xfId="28866"/>
    <cellStyle name="强调文字颜色 3 18 3" xfId="28867"/>
    <cellStyle name="强调文字颜色 3 18 4" xfId="28868"/>
    <cellStyle name="强调文字颜色 3 18 5" xfId="28869"/>
    <cellStyle name="强调文字颜色 3 18 5 10" xfId="28870"/>
    <cellStyle name="强调文字颜色 3 18 5 11" xfId="16672"/>
    <cellStyle name="强调文字颜色 3 18 5 2" xfId="24814"/>
    <cellStyle name="强调文字颜色 3 18 5 2 2" xfId="28872"/>
    <cellStyle name="强调文字颜色 3 18 5 2 2 2" xfId="9587"/>
    <cellStyle name="强调文字颜色 3 18 5 2 2 3" xfId="9594"/>
    <cellStyle name="强调文字颜色 3 18 5 2 3" xfId="28875"/>
    <cellStyle name="强调文字颜色 3 18 5 2 4" xfId="28878"/>
    <cellStyle name="强调文字颜色 3 18 5 2 5" xfId="28881"/>
    <cellStyle name="强调文字颜色 3 18 5 2 6" xfId="28883"/>
    <cellStyle name="强调文字颜色 3 18 5 2 7" xfId="28885"/>
    <cellStyle name="强调文字颜色 3 18 5 2 8" xfId="28251"/>
    <cellStyle name="强调文字颜色 3 18 5 3" xfId="28886"/>
    <cellStyle name="强调文字颜色 3 18 5 4" xfId="28887"/>
    <cellStyle name="强调文字颜色 3 18 5 5" xfId="28888"/>
    <cellStyle name="强调文字颜色 3 18 5 6" xfId="28889"/>
    <cellStyle name="强调文字颜色 3 18 5 6 2" xfId="6666"/>
    <cellStyle name="强调文字颜色 3 18 5 6 3" xfId="11274"/>
    <cellStyle name="强调文字颜色 3 18 5 7" xfId="28890"/>
    <cellStyle name="强调文字颜色 3 18 5 8" xfId="1541"/>
    <cellStyle name="强调文字颜色 3 18 5 9" xfId="1551"/>
    <cellStyle name="强调文字颜色 3 18 6" xfId="28891"/>
    <cellStyle name="强调文字颜色 3 18 6 2" xfId="28892"/>
    <cellStyle name="强调文字颜色 3 18 6 2 2" xfId="28893"/>
    <cellStyle name="强调文字颜色 3 18 6 2 3" xfId="16369"/>
    <cellStyle name="强调文字颜色 3 18 6 3" xfId="28894"/>
    <cellStyle name="强调文字颜色 3 18 6 4" xfId="28895"/>
    <cellStyle name="强调文字颜色 3 18 6 5" xfId="28896"/>
    <cellStyle name="强调文字颜色 3 18 6 6" xfId="28897"/>
    <cellStyle name="强调文字颜色 3 18 6 7" xfId="28898"/>
    <cellStyle name="强调文字颜色 3 18 6 8" xfId="28899"/>
    <cellStyle name="强调文字颜色 3 18 7" xfId="8653"/>
    <cellStyle name="强调文字颜色 3 18 8" xfId="8657"/>
    <cellStyle name="强调文字颜色 3 18 9" xfId="8662"/>
    <cellStyle name="强调文字颜色 3 18 9 2" xfId="28900"/>
    <cellStyle name="强调文字颜色 3 18 9 3" xfId="28901"/>
    <cellStyle name="强调文字颜色 3 19" xfId="28902"/>
    <cellStyle name="强调文字颜色 3 2" xfId="28903"/>
    <cellStyle name="强调文字颜色 3 2 10" xfId="28904"/>
    <cellStyle name="强调文字颜色 3 2 11" xfId="28905"/>
    <cellStyle name="强调文字颜色 3 2 12" xfId="28906"/>
    <cellStyle name="强调文字颜色 3 2 13" xfId="6611"/>
    <cellStyle name="强调文字颜色 3 2 14" xfId="6614"/>
    <cellStyle name="强调文字颜色 3 2 15" xfId="5962"/>
    <cellStyle name="强调文字颜色 3 2 16" xfId="28907"/>
    <cellStyle name="强调文字颜色 3 2 17" xfId="28908"/>
    <cellStyle name="强调文字颜色 3 2 17 10" xfId="17345"/>
    <cellStyle name="强调文字颜色 3 2 17 11" xfId="17350"/>
    <cellStyle name="强调文字颜色 3 2 17 12" xfId="17355"/>
    <cellStyle name="强调文字颜色 3 2 17 13" xfId="28910"/>
    <cellStyle name="强调文字颜色 3 2 17 14" xfId="28911"/>
    <cellStyle name="强调文字颜色 3 2 17 2" xfId="20146"/>
    <cellStyle name="强调文字颜色 3 2 17 3" xfId="28912"/>
    <cellStyle name="强调文字颜色 3 2 17 4" xfId="28913"/>
    <cellStyle name="强调文字颜色 3 2 17 5" xfId="28914"/>
    <cellStyle name="强调文字颜色 3 2 17 5 10" xfId="23259"/>
    <cellStyle name="强调文字颜色 3 2 17 5 11" xfId="16065"/>
    <cellStyle name="强调文字颜色 3 2 17 5 2" xfId="28915"/>
    <cellStyle name="强调文字颜色 3 2 17 5 2 2" xfId="28917"/>
    <cellStyle name="强调文字颜色 3 2 17 5 2 2 2" xfId="12268"/>
    <cellStyle name="强调文字颜色 3 2 17 5 2 2 3" xfId="28918"/>
    <cellStyle name="强调文字颜色 3 2 17 5 2 3" xfId="28920"/>
    <cellStyle name="强调文字颜色 3 2 17 5 2 4" xfId="28922"/>
    <cellStyle name="强调文字颜色 3 2 17 5 2 5" xfId="28924"/>
    <cellStyle name="强调文字颜色 3 2 17 5 2 6" xfId="28926"/>
    <cellStyle name="强调文字颜色 3 2 17 5 2 7" xfId="28927"/>
    <cellStyle name="强调文字颜色 3 2 17 5 2 8" xfId="28928"/>
    <cellStyle name="强调文字颜色 3 2 17 5 3" xfId="28929"/>
    <cellStyle name="强调文字颜色 3 2 17 5 4" xfId="28930"/>
    <cellStyle name="强调文字颜色 3 2 17 5 5" xfId="28931"/>
    <cellStyle name="强调文字颜色 3 2 17 5 6" xfId="28932"/>
    <cellStyle name="强调文字颜色 3 2 17 5 6 2" xfId="28933"/>
    <cellStyle name="强调文字颜色 3 2 17 5 6 3" xfId="28934"/>
    <cellStyle name="强调文字颜色 3 2 17 5 7" xfId="28935"/>
    <cellStyle name="强调文字颜色 3 2 17 5 8" xfId="13260"/>
    <cellStyle name="强调文字颜色 3 2 17 5 9" xfId="11369"/>
    <cellStyle name="强调文字颜色 3 2 17 6" xfId="28936"/>
    <cellStyle name="强调文字颜色 3 2 17 6 2" xfId="20912"/>
    <cellStyle name="强调文字颜色 3 2 17 6 2 2" xfId="20914"/>
    <cellStyle name="强调文字颜色 3 2 17 6 2 3" xfId="20917"/>
    <cellStyle name="强调文字颜色 3 2 17 6 3" xfId="20919"/>
    <cellStyle name="强调文字颜色 3 2 17 6 4" xfId="20921"/>
    <cellStyle name="强调文字颜色 3 2 17 6 5" xfId="20923"/>
    <cellStyle name="强调文字颜色 3 2 17 6 6" xfId="28937"/>
    <cellStyle name="强调文字颜色 3 2 17 6 7" xfId="28938"/>
    <cellStyle name="强调文字颜色 3 2 17 6 8" xfId="28940"/>
    <cellStyle name="强调文字颜色 3 2 17 7" xfId="28941"/>
    <cellStyle name="强调文字颜色 3 2 17 8" xfId="28943"/>
    <cellStyle name="强调文字颜色 3 2 17 9" xfId="28945"/>
    <cellStyle name="强调文字颜色 3 2 17 9 2" xfId="28947"/>
    <cellStyle name="强调文字颜色 3 2 17 9 3" xfId="28948"/>
    <cellStyle name="强调文字颜色 3 2 18" xfId="28949"/>
    <cellStyle name="强调文字颜色 3 2 18 10" xfId="28950"/>
    <cellStyle name="强调文字颜色 3 2 18 11" xfId="28952"/>
    <cellStyle name="强调文字颜色 3 2 18 12" xfId="28953"/>
    <cellStyle name="强调文字颜色 3 2 18 13" xfId="28954"/>
    <cellStyle name="强调文字颜色 3 2 18 14" xfId="28955"/>
    <cellStyle name="强调文字颜色 3 2 18 2" xfId="28956"/>
    <cellStyle name="强调文字颜色 3 2 18 3" xfId="28957"/>
    <cellStyle name="强调文字颜色 3 2 18 4" xfId="28958"/>
    <cellStyle name="强调文字颜色 3 2 18 5" xfId="28959"/>
    <cellStyle name="强调文字颜色 3 2 18 5 10" xfId="22014"/>
    <cellStyle name="强调文字颜色 3 2 18 5 11" xfId="4757"/>
    <cellStyle name="强调文字颜色 3 2 18 5 2" xfId="28960"/>
    <cellStyle name="强调文字颜色 3 2 18 5 2 2" xfId="14209"/>
    <cellStyle name="强调文字颜色 3 2 18 5 2 2 2" xfId="28961"/>
    <cellStyle name="强调文字颜色 3 2 18 5 2 2 3" xfId="28962"/>
    <cellStyle name="强调文字颜色 3 2 18 5 2 3" xfId="14216"/>
    <cellStyle name="强调文字颜色 3 2 18 5 2 4" xfId="3743"/>
    <cellStyle name="强调文字颜色 3 2 18 5 2 5" xfId="7143"/>
    <cellStyle name="强调文字颜色 3 2 18 5 2 6" xfId="20399"/>
    <cellStyle name="强调文字颜色 3 2 18 5 2 7" xfId="7151"/>
    <cellStyle name="强调文字颜色 3 2 18 5 2 8" xfId="7157"/>
    <cellStyle name="强调文字颜色 3 2 18 5 3" xfId="28963"/>
    <cellStyle name="强调文字颜色 3 2 18 5 4" xfId="28964"/>
    <cellStyle name="强调文字颜色 3 2 18 5 5" xfId="28966"/>
    <cellStyle name="强调文字颜色 3 2 18 5 6" xfId="28968"/>
    <cellStyle name="强调文字颜色 3 2 18 5 6 2" xfId="15578"/>
    <cellStyle name="强调文字颜色 3 2 18 5 6 3" xfId="15583"/>
    <cellStyle name="强调文字颜色 3 2 18 5 7" xfId="28970"/>
    <cellStyle name="强调文字颜色 3 2 18 5 8" xfId="14957"/>
    <cellStyle name="强调文字颜色 3 2 18 5 9" xfId="14963"/>
    <cellStyle name="强调文字颜色 3 2 18 6" xfId="2609"/>
    <cellStyle name="强调文字颜色 3 2 18 6 2" xfId="2878"/>
    <cellStyle name="强调文字颜色 3 2 18 6 2 2" xfId="3435"/>
    <cellStyle name="强调文字颜色 3 2 18 6 2 3" xfId="3453"/>
    <cellStyle name="强调文字颜色 3 2 18 6 3" xfId="2895"/>
    <cellStyle name="强调文字颜色 3 2 18 6 4" xfId="2907"/>
    <cellStyle name="强调文字颜色 3 2 18 6 5" xfId="3467"/>
    <cellStyle name="强调文字颜色 3 2 18 6 6" xfId="3476"/>
    <cellStyle name="强调文字颜色 3 2 18 6 7" xfId="3482"/>
    <cellStyle name="强调文字颜色 3 2 18 6 8" xfId="3486"/>
    <cellStyle name="强调文字颜色 3 2 18 7" xfId="3492"/>
    <cellStyle name="强调文字颜色 3 2 18 8" xfId="3504"/>
    <cellStyle name="强调文字颜色 3 2 18 9" xfId="3515"/>
    <cellStyle name="强调文字颜色 3 2 18 9 2" xfId="28971"/>
    <cellStyle name="强调文字颜色 3 2 18 9 3" xfId="28973"/>
    <cellStyle name="强调文字颜色 3 2 19" xfId="28974"/>
    <cellStyle name="强调文字颜色 3 2 19 10" xfId="28975"/>
    <cellStyle name="强调文字颜色 3 2 19 11" xfId="28976"/>
    <cellStyle name="强调文字颜色 3 2 19 12" xfId="21933"/>
    <cellStyle name="强调文字颜色 3 2 19 13" xfId="21940"/>
    <cellStyle name="强调文字颜色 3 2 19 14" xfId="21943"/>
    <cellStyle name="强调文字颜色 3 2 19 2" xfId="24631"/>
    <cellStyle name="强调文字颜色 3 2 19 3" xfId="28977"/>
    <cellStyle name="强调文字颜色 3 2 19 4" xfId="28978"/>
    <cellStyle name="强调文字颜色 3 2 19 5" xfId="28979"/>
    <cellStyle name="强调文字颜色 3 2 19 5 10" xfId="28980"/>
    <cellStyle name="强调文字颜色 3 2 19 5 11" xfId="28981"/>
    <cellStyle name="强调文字颜色 3 2 19 5 2" xfId="28982"/>
    <cellStyle name="强调文字颜色 3 2 19 5 2 2" xfId="23929"/>
    <cellStyle name="强调文字颜色 3 2 19 5 2 2 2" xfId="19767"/>
    <cellStyle name="强调文字颜色 3 2 19 5 2 2 3" xfId="19769"/>
    <cellStyle name="强调文字颜色 3 2 19 5 2 3" xfId="23932"/>
    <cellStyle name="强调文字颜色 3 2 19 5 2 4" xfId="23935"/>
    <cellStyle name="强调文字颜色 3 2 19 5 2 5" xfId="23941"/>
    <cellStyle name="强调文字颜色 3 2 19 5 2 6" xfId="23946"/>
    <cellStyle name="强调文字颜色 3 2 19 5 2 7" xfId="9646"/>
    <cellStyle name="强调文字颜色 3 2 19 5 2 8" xfId="9654"/>
    <cellStyle name="强调文字颜色 3 2 19 5 3" xfId="28983"/>
    <cellStyle name="强调文字颜色 3 2 19 5 4" xfId="28984"/>
    <cellStyle name="强调文字颜色 3 2 19 5 5" xfId="28986"/>
    <cellStyle name="强调文字颜色 3 2 19 5 6" xfId="28988"/>
    <cellStyle name="强调文字颜色 3 2 19 5 6 2" xfId="23949"/>
    <cellStyle name="强调文字颜色 3 2 19 5 6 3" xfId="23951"/>
    <cellStyle name="强调文字颜色 3 2 19 5 7" xfId="28990"/>
    <cellStyle name="强调文字颜色 3 2 19 5 8" xfId="28992"/>
    <cellStyle name="强调文字颜色 3 2 19 5 9" xfId="28994"/>
    <cellStyle name="强调文字颜色 3 2 19 6" xfId="3099"/>
    <cellStyle name="强调文字颜色 3 2 19 6 2" xfId="1338"/>
    <cellStyle name="强调文字颜色 3 2 19 6 2 2" xfId="28995"/>
    <cellStyle name="强调文字颜色 3 2 19 6 2 3" xfId="28996"/>
    <cellStyle name="强调文字颜色 3 2 19 6 3" xfId="253"/>
    <cellStyle name="强调文字颜色 3 2 19 6 4" xfId="25118"/>
    <cellStyle name="强调文字颜色 3 2 19 6 5" xfId="28997"/>
    <cellStyle name="强调文字颜色 3 2 19 6 6" xfId="28999"/>
    <cellStyle name="强调文字颜色 3 2 19 6 7" xfId="23324"/>
    <cellStyle name="强调文字颜色 3 2 19 6 8" xfId="23334"/>
    <cellStyle name="强调文字颜色 3 2 19 7" xfId="3131"/>
    <cellStyle name="强调文字颜色 3 2 19 8" xfId="3148"/>
    <cellStyle name="强调文字颜色 3 2 19 9" xfId="3160"/>
    <cellStyle name="强调文字颜色 3 2 19 9 2" xfId="27071"/>
    <cellStyle name="强调文字颜色 3 2 19 9 3" xfId="27074"/>
    <cellStyle name="强调文字颜色 3 2 2" xfId="2982"/>
    <cellStyle name="强调文字颜色 3 2 2 10" xfId="22426"/>
    <cellStyle name="强调文字颜色 3 2 2 11" xfId="22428"/>
    <cellStyle name="强调文字颜色 3 2 2 12" xfId="29000"/>
    <cellStyle name="强调文字颜色 3 2 2 13" xfId="29001"/>
    <cellStyle name="强调文字颜色 3 2 2 14" xfId="29002"/>
    <cellStyle name="强调文字颜色 3 2 2 2" xfId="29003"/>
    <cellStyle name="强调文字颜色 3 2 2 3" xfId="29004"/>
    <cellStyle name="强调文字颜色 3 2 2 4" xfId="29005"/>
    <cellStyle name="强调文字颜色 3 2 2 5" xfId="29006"/>
    <cellStyle name="强调文字颜色 3 2 2 6" xfId="29007"/>
    <cellStyle name="强调文字颜色 3 2 2 7" xfId="29008"/>
    <cellStyle name="强调文字颜色 3 2 2 8" xfId="18431"/>
    <cellStyle name="强调文字颜色 3 2 2 9" xfId="18434"/>
    <cellStyle name="强调文字颜色 3 2 20" xfId="5963"/>
    <cellStyle name="强调文字颜色 3 2 20 10" xfId="10515"/>
    <cellStyle name="强调文字颜色 3 2 20 11" xfId="10528"/>
    <cellStyle name="强调文字颜色 3 2 20 12" xfId="23121"/>
    <cellStyle name="强调文字颜色 3 2 20 13" xfId="29009"/>
    <cellStyle name="强调文字颜色 3 2 20 14" xfId="29011"/>
    <cellStyle name="强调文字颜色 3 2 20 2" xfId="29013"/>
    <cellStyle name="强调文字颜色 3 2 20 3" xfId="29014"/>
    <cellStyle name="强调文字颜色 3 2 20 4" xfId="29015"/>
    <cellStyle name="强调文字颜色 3 2 20 5" xfId="29016"/>
    <cellStyle name="强调文字颜色 3 2 20 5 10" xfId="29018"/>
    <cellStyle name="强调文字颜色 3 2 20 5 11" xfId="25558"/>
    <cellStyle name="强调文字颜色 3 2 20 5 2" xfId="29019"/>
    <cellStyle name="强调文字颜色 3 2 20 5 2 2" xfId="29021"/>
    <cellStyle name="强调文字颜色 3 2 20 5 2 2 2" xfId="24998"/>
    <cellStyle name="强调文字颜色 3 2 20 5 2 2 3" xfId="18855"/>
    <cellStyle name="强调文字颜色 3 2 20 5 2 3" xfId="29022"/>
    <cellStyle name="强调文字颜色 3 2 20 5 2 4" xfId="29023"/>
    <cellStyle name="强调文字颜色 3 2 20 5 2 5" xfId="29024"/>
    <cellStyle name="强调文字颜色 3 2 20 5 2 6" xfId="29025"/>
    <cellStyle name="强调文字颜色 3 2 20 5 2 7" xfId="21455"/>
    <cellStyle name="强调文字颜色 3 2 20 5 2 8" xfId="21457"/>
    <cellStyle name="强调文字颜色 3 2 20 5 3" xfId="15392"/>
    <cellStyle name="强调文字颜色 3 2 20 5 4" xfId="15395"/>
    <cellStyle name="强调文字颜色 3 2 20 5 5" xfId="15398"/>
    <cellStyle name="强调文字颜色 3 2 20 5 6" xfId="15400"/>
    <cellStyle name="强调文字颜色 3 2 20 5 6 2" xfId="4327"/>
    <cellStyle name="强调文字颜色 3 2 20 5 6 3" xfId="4336"/>
    <cellStyle name="强调文字颜色 3 2 20 5 7" xfId="15402"/>
    <cellStyle name="强调文字颜色 3 2 20 5 8" xfId="15405"/>
    <cellStyle name="强调文字颜色 3 2 20 5 9" xfId="15408"/>
    <cellStyle name="强调文字颜色 3 2 20 6" xfId="18189"/>
    <cellStyle name="强调文字颜色 3 2 20 6 2" xfId="20850"/>
    <cellStyle name="强调文字颜色 3 2 20 6 2 2" xfId="20852"/>
    <cellStyle name="强调文字颜色 3 2 20 6 2 3" xfId="20854"/>
    <cellStyle name="强调文字颜色 3 2 20 6 3" xfId="15413"/>
    <cellStyle name="强调文字颜色 3 2 20 6 4" xfId="13213"/>
    <cellStyle name="强调文字颜色 3 2 20 6 5" xfId="13222"/>
    <cellStyle name="强调文字颜色 3 2 20 6 6" xfId="15416"/>
    <cellStyle name="强调文字颜色 3 2 20 6 7" xfId="15423"/>
    <cellStyle name="强调文字颜色 3 2 20 6 8" xfId="15347"/>
    <cellStyle name="强调文字颜色 3 2 20 7" xfId="18191"/>
    <cellStyle name="强调文字颜色 3 2 20 8" xfId="29026"/>
    <cellStyle name="强调文字颜色 3 2 20 9" xfId="29027"/>
    <cellStyle name="强调文字颜色 3 2 20 9 2" xfId="29028"/>
    <cellStyle name="强调文字颜色 3 2 20 9 3" xfId="29030"/>
    <cellStyle name="强调文字颜色 3 2 3" xfId="19614"/>
    <cellStyle name="强调文字颜色 3 2 3 10" xfId="27712"/>
    <cellStyle name="强调文字颜色 3 2 3 11" xfId="27714"/>
    <cellStyle name="强调文字颜色 3 2 3 12" xfId="27717"/>
    <cellStyle name="强调文字颜色 3 2 3 13" xfId="29032"/>
    <cellStyle name="强调文字颜色 3 2 3 14" xfId="29033"/>
    <cellStyle name="强调文字颜色 3 2 3 2" xfId="29034"/>
    <cellStyle name="强调文字颜色 3 2 3 3" xfId="29035"/>
    <cellStyle name="强调文字颜色 3 2 3 4" xfId="29036"/>
    <cellStyle name="强调文字颜色 3 2 3 5" xfId="29037"/>
    <cellStyle name="强调文字颜色 3 2 3 6" xfId="29038"/>
    <cellStyle name="强调文字颜色 3 2 3 7" xfId="27115"/>
    <cellStyle name="强调文字颜色 3 2 3 8" xfId="20378"/>
    <cellStyle name="强调文字颜色 3 2 3 9" xfId="20382"/>
    <cellStyle name="强调文字颜色 3 2 4" xfId="19616"/>
    <cellStyle name="强调文字颜色 3 2 4 10" xfId="29039"/>
    <cellStyle name="强调文字颜色 3 2 4 11" xfId="29040"/>
    <cellStyle name="强调文字颜色 3 2 4 12" xfId="29041"/>
    <cellStyle name="强调文字颜色 3 2 4 13" xfId="1204"/>
    <cellStyle name="强调文字颜色 3 2 4 14" xfId="527"/>
    <cellStyle name="强调文字颜色 3 2 4 2" xfId="11699"/>
    <cellStyle name="强调文字颜色 3 2 4 3" xfId="29042"/>
    <cellStyle name="强调文字颜色 3 2 4 4" xfId="29043"/>
    <cellStyle name="强调文字颜色 3 2 4 5" xfId="29044"/>
    <cellStyle name="强调文字颜色 3 2 4 6" xfId="29045"/>
    <cellStyle name="强调文字颜色 3 2 4 7" xfId="27143"/>
    <cellStyle name="强调文字颜色 3 2 4 8" xfId="27145"/>
    <cellStyle name="强调文字颜色 3 2 4 9" xfId="27147"/>
    <cellStyle name="强调文字颜色 3 2 5" xfId="29046"/>
    <cellStyle name="强调文字颜色 3 2 6" xfId="29047"/>
    <cellStyle name="强调文字颜色 3 2 7" xfId="29048"/>
    <cellStyle name="强调文字颜色 3 2 8" xfId="29049"/>
    <cellStyle name="强调文字颜色 3 2 9" xfId="29050"/>
    <cellStyle name="强调文字颜色 3 3" xfId="29051"/>
    <cellStyle name="强调文字颜色 3 3 10" xfId="18616"/>
    <cellStyle name="强调文字颜色 3 3 11" xfId="19415"/>
    <cellStyle name="强调文字颜色 3 3 12" xfId="17617"/>
    <cellStyle name="强调文字颜色 3 3 13" xfId="17622"/>
    <cellStyle name="强调文字颜色 3 3 14" xfId="29053"/>
    <cellStyle name="强调文字颜色 3 3 15" xfId="29055"/>
    <cellStyle name="强调文字颜色 3 3 16" xfId="29058"/>
    <cellStyle name="强调文字颜色 3 3 17" xfId="29060"/>
    <cellStyle name="强调文字颜色 3 3 17 10" xfId="8127"/>
    <cellStyle name="强调文字颜色 3 3 17 11" xfId="8133"/>
    <cellStyle name="强调文字颜色 3 3 17 12" xfId="1813"/>
    <cellStyle name="强调文字颜色 3 3 17 13" xfId="4082"/>
    <cellStyle name="强调文字颜色 3 3 17 14" xfId="4087"/>
    <cellStyle name="强调文字颜色 3 3 17 2" xfId="29061"/>
    <cellStyle name="强调文字颜色 3 3 17 2 2" xfId="23634"/>
    <cellStyle name="强调文字颜色 3 3 17 3" xfId="29062"/>
    <cellStyle name="强调文字颜色 3 3 17 4" xfId="29063"/>
    <cellStyle name="强调文字颜色 3 3 17 5" xfId="29064"/>
    <cellStyle name="强调文字颜色 3 3 17 5 10" xfId="29065"/>
    <cellStyle name="强调文字颜色 3 3 17 5 11" xfId="29066"/>
    <cellStyle name="强调文字颜色 3 3 17 5 2" xfId="29067"/>
    <cellStyle name="强调文字颜色 3 3 17 5 2 2" xfId="29070"/>
    <cellStyle name="强调文字颜色 3 3 17 5 2 2 2" xfId="13952"/>
    <cellStyle name="强调文字颜色 3 3 17 5 2 2 3" xfId="12842"/>
    <cellStyle name="强调文字颜色 3 3 17 5 2 3" xfId="29073"/>
    <cellStyle name="强调文字颜色 3 3 17 5 2 4" xfId="29076"/>
    <cellStyle name="强调文字颜色 3 3 17 5 2 5" xfId="29079"/>
    <cellStyle name="强调文字颜色 3 3 17 5 2 6" xfId="29081"/>
    <cellStyle name="强调文字颜色 3 3 17 5 2 7" xfId="29083"/>
    <cellStyle name="强调文字颜色 3 3 17 5 2 8" xfId="29084"/>
    <cellStyle name="强调文字颜色 3 3 17 5 3" xfId="29085"/>
    <cellStyle name="强调文字颜色 3 3 17 5 4" xfId="29086"/>
    <cellStyle name="强调文字颜色 3 3 17 5 5" xfId="29087"/>
    <cellStyle name="强调文字颜色 3 3 17 5 6" xfId="29088"/>
    <cellStyle name="强调文字颜色 3 3 17 5 6 2" xfId="29089"/>
    <cellStyle name="强调文字颜色 3 3 17 5 6 3" xfId="29090"/>
    <cellStyle name="强调文字颜色 3 3 17 5 7" xfId="29091"/>
    <cellStyle name="强调文字颜色 3 3 17 5 8" xfId="29092"/>
    <cellStyle name="强调文字颜色 3 3 17 5 9" xfId="29093"/>
    <cellStyle name="强调文字颜色 3 3 17 6" xfId="29094"/>
    <cellStyle name="强调文字颜色 3 3 17 6 2" xfId="6389"/>
    <cellStyle name="强调文字颜色 3 3 17 6 2 2" xfId="21076"/>
    <cellStyle name="强调文字颜色 3 3 17 6 2 3" xfId="21079"/>
    <cellStyle name="强调文字颜色 3 3 17 6 3" xfId="6395"/>
    <cellStyle name="强调文字颜色 3 3 17 6 4" xfId="6402"/>
    <cellStyle name="强调文字颜色 3 3 17 6 5" xfId="20902"/>
    <cellStyle name="强调文字颜色 3 3 17 6 6" xfId="29095"/>
    <cellStyle name="强调文字颜色 3 3 17 6 7" xfId="29096"/>
    <cellStyle name="强调文字颜色 3 3 17 6 8" xfId="29097"/>
    <cellStyle name="强调文字颜色 3 3 17 7" xfId="29098"/>
    <cellStyle name="强调文字颜色 3 3 17 8" xfId="29099"/>
    <cellStyle name="强调文字颜色 3 3 17 9" xfId="29101"/>
    <cellStyle name="强调文字颜色 3 3 17 9 2" xfId="29103"/>
    <cellStyle name="强调文字颜色 3 3 17 9 3" xfId="6814"/>
    <cellStyle name="强调文字颜色 3 3 18" xfId="29104"/>
    <cellStyle name="强调文字颜色 3 3 18 10" xfId="26843"/>
    <cellStyle name="强调文字颜色 3 3 18 11" xfId="26845"/>
    <cellStyle name="强调文字颜色 3 3 18 12" xfId="465"/>
    <cellStyle name="强调文字颜色 3 3 18 13" xfId="29105"/>
    <cellStyle name="强调文字颜色 3 3 18 14" xfId="29106"/>
    <cellStyle name="强调文字颜色 3 3 18 2" xfId="29107"/>
    <cellStyle name="强调文字颜色 3 3 18 3" xfId="29108"/>
    <cellStyle name="强调文字颜色 3 3 18 4" xfId="29109"/>
    <cellStyle name="强调文字颜色 3 3 18 5" xfId="29110"/>
    <cellStyle name="强调文字颜色 3 3 18 5 10" xfId="29111"/>
    <cellStyle name="强调文字颜色 3 3 18 5 11" xfId="29112"/>
    <cellStyle name="强调文字颜色 3 3 18 5 2" xfId="29114"/>
    <cellStyle name="强调文字颜色 3 3 18 5 2 2" xfId="29116"/>
    <cellStyle name="强调文字颜色 3 3 18 5 2 2 2" xfId="15792"/>
    <cellStyle name="强调文字颜色 3 3 18 5 2 2 3" xfId="15795"/>
    <cellStyle name="强调文字颜色 3 3 18 5 2 3" xfId="29118"/>
    <cellStyle name="强调文字颜色 3 3 18 5 2 4" xfId="29120"/>
    <cellStyle name="强调文字颜色 3 3 18 5 2 5" xfId="29122"/>
    <cellStyle name="强调文字颜色 3 3 18 5 2 6" xfId="24513"/>
    <cellStyle name="强调文字颜色 3 3 18 5 2 7" xfId="29123"/>
    <cellStyle name="强调文字颜色 3 3 18 5 2 8" xfId="29124"/>
    <cellStyle name="强调文字颜色 3 3 18 5 3" xfId="29126"/>
    <cellStyle name="强调文字颜色 3 3 18 5 4" xfId="29128"/>
    <cellStyle name="强调文字颜色 3 3 18 5 5" xfId="2245"/>
    <cellStyle name="强调文字颜色 3 3 18 5 6" xfId="2267"/>
    <cellStyle name="强调文字颜色 3 3 18 5 6 2" xfId="29129"/>
    <cellStyle name="强调文字颜色 3 3 18 5 6 3" xfId="29130"/>
    <cellStyle name="强调文字颜色 3 3 18 5 7" xfId="2281"/>
    <cellStyle name="强调文字颜色 3 3 18 5 8" xfId="2293"/>
    <cellStyle name="强调文字颜色 3 3 18 5 9" xfId="829"/>
    <cellStyle name="强调文字颜色 3 3 18 6" xfId="15901"/>
    <cellStyle name="强调文字颜色 3 3 18 6 2" xfId="29131"/>
    <cellStyle name="强调文字颜色 3 3 18 6 2 2" xfId="29133"/>
    <cellStyle name="强调文字颜色 3 3 18 6 2 3" xfId="29134"/>
    <cellStyle name="强调文字颜色 3 3 18 6 3" xfId="29135"/>
    <cellStyle name="强调文字颜色 3 3 18 6 4" xfId="29137"/>
    <cellStyle name="强调文字颜色 3 3 18 6 5" xfId="29139"/>
    <cellStyle name="强调文字颜色 3 3 18 6 6" xfId="29141"/>
    <cellStyle name="强调文字颜色 3 3 18 6 7" xfId="18749"/>
    <cellStyle name="强调文字颜色 3 3 18 6 8" xfId="18756"/>
    <cellStyle name="强调文字颜色 3 3 18 7" xfId="15903"/>
    <cellStyle name="强调文字颜色 3 3 18 8" xfId="29143"/>
    <cellStyle name="强调文字颜色 3 3 18 9" xfId="3620"/>
    <cellStyle name="强调文字颜色 3 3 18 9 2" xfId="29144"/>
    <cellStyle name="强调文字颜色 3 3 18 9 3" xfId="29145"/>
    <cellStyle name="强调文字颜色 3 3 19" xfId="29146"/>
    <cellStyle name="强调文字颜色 3 3 19 10" xfId="29147"/>
    <cellStyle name="强调文字颜色 3 3 19 11" xfId="29148"/>
    <cellStyle name="强调文字颜色 3 3 19 12" xfId="29150"/>
    <cellStyle name="强调文字颜色 3 3 19 13" xfId="29152"/>
    <cellStyle name="强调文字颜色 3 3 19 14" xfId="29154"/>
    <cellStyle name="强调文字颜色 3 3 19 2" xfId="20402"/>
    <cellStyle name="强调文字颜色 3 3 19 3" xfId="20404"/>
    <cellStyle name="强调文字颜色 3 3 19 4" xfId="20406"/>
    <cellStyle name="强调文字颜色 3 3 19 5" xfId="20457"/>
    <cellStyle name="强调文字颜色 3 3 19 5 10" xfId="18467"/>
    <cellStyle name="强调文字颜色 3 3 19 5 11" xfId="16836"/>
    <cellStyle name="强调文字颜色 3 3 19 5 2" xfId="15606"/>
    <cellStyle name="强调文字颜色 3 3 19 5 2 2" xfId="29155"/>
    <cellStyle name="强调文字颜色 3 3 19 5 2 2 2" xfId="5228"/>
    <cellStyle name="强调文字颜色 3 3 19 5 2 2 3" xfId="5236"/>
    <cellStyle name="强调文字颜色 3 3 19 5 2 3" xfId="29156"/>
    <cellStyle name="强调文字颜色 3 3 19 5 2 4" xfId="29157"/>
    <cellStyle name="强调文字颜色 3 3 19 5 2 5" xfId="3431"/>
    <cellStyle name="强调文字颜色 3 3 19 5 2 6" xfId="13257"/>
    <cellStyle name="强调文字颜色 3 3 19 5 2 7" xfId="13259"/>
    <cellStyle name="强调文字颜色 3 3 19 5 2 8" xfId="11367"/>
    <cellStyle name="强调文字颜色 3 3 19 5 3" xfId="15610"/>
    <cellStyle name="强调文字颜色 3 3 19 5 4" xfId="15615"/>
    <cellStyle name="强调文字颜色 3 3 19 5 5" xfId="2632"/>
    <cellStyle name="强调文字颜色 3 3 19 5 6" xfId="9727"/>
    <cellStyle name="强调文字颜色 3 3 19 5 6 2" xfId="20490"/>
    <cellStyle name="强调文字颜色 3 3 19 5 6 3" xfId="20497"/>
    <cellStyle name="强调文字颜色 3 3 19 5 7" xfId="15621"/>
    <cellStyle name="强调文字颜色 3 3 19 5 8" xfId="15625"/>
    <cellStyle name="强调文字颜色 3 3 19 5 9" xfId="20505"/>
    <cellStyle name="强调文字颜色 3 3 19 6" xfId="20507"/>
    <cellStyle name="强调文字颜色 3 3 19 6 2" xfId="15636"/>
    <cellStyle name="强调文字颜色 3 3 19 6 2 2" xfId="29158"/>
    <cellStyle name="强调文字颜色 3 3 19 6 2 3" xfId="29159"/>
    <cellStyle name="强调文字颜色 3 3 19 6 3" xfId="15641"/>
    <cellStyle name="强调文字颜色 3 3 19 6 4" xfId="15646"/>
    <cellStyle name="强调文字颜色 3 3 19 6 5" xfId="15652"/>
    <cellStyle name="强调文字颜色 3 3 19 6 6" xfId="15657"/>
    <cellStyle name="强调文字颜色 3 3 19 6 7" xfId="10879"/>
    <cellStyle name="强调文字颜色 3 3 19 6 8" xfId="10889"/>
    <cellStyle name="强调文字颜色 3 3 19 7" xfId="20550"/>
    <cellStyle name="强调文字颜色 3 3 19 8" xfId="29160"/>
    <cellStyle name="强调文字颜色 3 3 19 9" xfId="29162"/>
    <cellStyle name="强调文字颜色 3 3 19 9 2" xfId="29164"/>
    <cellStyle name="强调文字颜色 3 3 19 9 3" xfId="29166"/>
    <cellStyle name="强调文字颜色 3 3 2" xfId="29167"/>
    <cellStyle name="强调文字颜色 3 3 2 10" xfId="29169"/>
    <cellStyle name="强调文字颜色 3 3 2 11" xfId="29172"/>
    <cellStyle name="强调文字颜色 3 3 2 12" xfId="29175"/>
    <cellStyle name="强调文字颜色 3 3 2 13" xfId="29178"/>
    <cellStyle name="强调文字颜色 3 3 2 14" xfId="29181"/>
    <cellStyle name="强调文字颜色 3 3 2 2" xfId="29183"/>
    <cellStyle name="强调文字颜色 3 3 2 3" xfId="29186"/>
    <cellStyle name="强调文字颜色 3 3 2 4" xfId="29189"/>
    <cellStyle name="强调文字颜色 3 3 2 5" xfId="29192"/>
    <cellStyle name="强调文字颜色 3 3 2 6" xfId="29195"/>
    <cellStyle name="强调文字颜色 3 3 2 7" xfId="29197"/>
    <cellStyle name="强调文字颜色 3 3 2 8" xfId="29199"/>
    <cellStyle name="强调文字颜色 3 3 2 9" xfId="29201"/>
    <cellStyle name="强调文字颜色 3 3 20" xfId="29056"/>
    <cellStyle name="强调文字颜色 3 3 20 10" xfId="11904"/>
    <cellStyle name="强调文字颜色 3 3 20 11" xfId="11911"/>
    <cellStyle name="强调文字颜色 3 3 20 12" xfId="29203"/>
    <cellStyle name="强调文字颜色 3 3 20 13" xfId="29205"/>
    <cellStyle name="强调文字颜色 3 3 20 14" xfId="29206"/>
    <cellStyle name="强调文字颜色 3 3 20 2" xfId="29207"/>
    <cellStyle name="强调文字颜色 3 3 20 3" xfId="29208"/>
    <cellStyle name="强调文字颜色 3 3 20 4" xfId="29209"/>
    <cellStyle name="强调文字颜色 3 3 20 5" xfId="29210"/>
    <cellStyle name="强调文字颜色 3 3 20 5 10" xfId="21274"/>
    <cellStyle name="强调文字颜色 3 3 20 5 11" xfId="21277"/>
    <cellStyle name="强调文字颜色 3 3 20 5 2" xfId="29211"/>
    <cellStyle name="强调文字颜色 3 3 20 5 2 2" xfId="29212"/>
    <cellStyle name="强调文字颜色 3 3 20 5 2 2 2" xfId="29213"/>
    <cellStyle name="强调文字颜色 3 3 20 5 2 2 3" xfId="29214"/>
    <cellStyle name="强调文字颜色 3 3 20 5 2 3" xfId="29215"/>
    <cellStyle name="强调文字颜色 3 3 20 5 2 4" xfId="29216"/>
    <cellStyle name="强调文字颜色 3 3 20 5 2 5" xfId="29217"/>
    <cellStyle name="强调文字颜色 3 3 20 5 2 6" xfId="29218"/>
    <cellStyle name="强调文字颜色 3 3 20 5 2 7" xfId="29219"/>
    <cellStyle name="强调文字颜色 3 3 20 5 2 8" xfId="29220"/>
    <cellStyle name="强调文字颜色 3 3 20 5 3" xfId="2643"/>
    <cellStyle name="强调文字颜色 3 3 20 5 4" xfId="2663"/>
    <cellStyle name="强调文字颜色 3 3 20 5 5" xfId="3282"/>
    <cellStyle name="强调文字颜色 3 3 20 5 6" xfId="20045"/>
    <cellStyle name="强调文字颜色 3 3 20 5 6 2" xfId="19579"/>
    <cellStyle name="强调文字颜色 3 3 20 5 6 3" xfId="19583"/>
    <cellStyle name="强调文字颜色 3 3 20 5 7" xfId="20048"/>
    <cellStyle name="强调文字颜色 3 3 20 5 8" xfId="20051"/>
    <cellStyle name="强调文字颜色 3 3 20 5 9" xfId="20054"/>
    <cellStyle name="强调文字颜色 3 3 20 6" xfId="29221"/>
    <cellStyle name="强调文字颜色 3 3 20 6 2" xfId="6124"/>
    <cellStyle name="强调文字颜色 3 3 20 6 2 2" xfId="21045"/>
    <cellStyle name="强调文字颜色 3 3 20 6 2 3" xfId="21047"/>
    <cellStyle name="强调文字颜色 3 3 20 6 3" xfId="6129"/>
    <cellStyle name="强调文字颜色 3 3 20 6 4" xfId="6134"/>
    <cellStyle name="强调文字颜色 3 3 20 6 5" xfId="20063"/>
    <cellStyle name="强调文字颜色 3 3 20 6 6" xfId="20066"/>
    <cellStyle name="强调文字颜色 3 3 20 6 7" xfId="20069"/>
    <cellStyle name="强调文字颜色 3 3 20 6 8" xfId="16202"/>
    <cellStyle name="强调文字颜色 3 3 20 7" xfId="29222"/>
    <cellStyle name="强调文字颜色 3 3 20 8" xfId="29223"/>
    <cellStyle name="强调文字颜色 3 3 20 9" xfId="29224"/>
    <cellStyle name="强调文字颜色 3 3 20 9 2" xfId="25335"/>
    <cellStyle name="强调文字颜色 3 3 20 9 3" xfId="25338"/>
    <cellStyle name="强调文字颜色 3 3 3" xfId="29225"/>
    <cellStyle name="强调文字颜色 3 3 3 10" xfId="18780"/>
    <cellStyle name="强调文字颜色 3 3 3 11" xfId="18784"/>
    <cellStyle name="强调文字颜色 3 3 3 12" xfId="9313"/>
    <cellStyle name="强调文字颜色 3 3 3 13" xfId="9317"/>
    <cellStyle name="强调文字颜色 3 3 3 14" xfId="18786"/>
    <cellStyle name="强调文字颜色 3 3 3 2" xfId="27589"/>
    <cellStyle name="强调文字颜色 3 3 3 3" xfId="29226"/>
    <cellStyle name="强调文字颜色 3 3 3 4" xfId="29228"/>
    <cellStyle name="强调文字颜色 3 3 3 5" xfId="29231"/>
    <cellStyle name="强调文字颜色 3 3 3 6" xfId="29234"/>
    <cellStyle name="强调文字颜色 3 3 3 7" xfId="29237"/>
    <cellStyle name="强调文字颜色 3 3 3 8" xfId="29241"/>
    <cellStyle name="强调文字颜色 3 3 3 9" xfId="29245"/>
    <cellStyle name="强调文字颜色 3 3 4" xfId="29247"/>
    <cellStyle name="强调文字颜色 3 3 4 10" xfId="12402"/>
    <cellStyle name="强调文字颜色 3 3 4 11" xfId="12425"/>
    <cellStyle name="强调文字颜色 3 3 4 12" xfId="12429"/>
    <cellStyle name="强调文字颜色 3 3 4 13" xfId="8419"/>
    <cellStyle name="强调文字颜色 3 3 4 14" xfId="8429"/>
    <cellStyle name="强调文字颜色 3 3 4 2" xfId="29248"/>
    <cellStyle name="强调文字颜色 3 3 4 3" xfId="29250"/>
    <cellStyle name="强调文字颜色 3 3 4 4" xfId="29252"/>
    <cellStyle name="强调文字颜色 3 3 4 5" xfId="29254"/>
    <cellStyle name="强调文字颜色 3 3 4 6" xfId="29256"/>
    <cellStyle name="强调文字颜色 3 3 4 7" xfId="29258"/>
    <cellStyle name="强调文字颜色 3 3 4 8" xfId="29261"/>
    <cellStyle name="强调文字颜色 3 3 4 9" xfId="29264"/>
    <cellStyle name="强调文字颜色 3 3 5" xfId="29265"/>
    <cellStyle name="强调文字颜色 3 3 6" xfId="29266"/>
    <cellStyle name="强调文字颜色 3 3 7" xfId="29267"/>
    <cellStyle name="强调文字颜色 3 3 8" xfId="29268"/>
    <cellStyle name="强调文字颜色 3 3 9" xfId="29269"/>
    <cellStyle name="强调文字颜色 3 4" xfId="29270"/>
    <cellStyle name="强调文字颜色 3 4 10" xfId="26827"/>
    <cellStyle name="强调文字颜色 3 4 11" xfId="29271"/>
    <cellStyle name="强调文字颜色 3 4 12" xfId="29272"/>
    <cellStyle name="强调文字颜色 3 4 13" xfId="22686"/>
    <cellStyle name="强调文字颜色 3 4 14" xfId="22689"/>
    <cellStyle name="强调文字颜色 3 4 15" xfId="29274"/>
    <cellStyle name="强调文字颜色 3 4 16" xfId="29277"/>
    <cellStyle name="强调文字颜色 3 4 17" xfId="29279"/>
    <cellStyle name="强调文字颜色 3 4 17 10" xfId="17471"/>
    <cellStyle name="强调文字颜色 3 4 17 11" xfId="17474"/>
    <cellStyle name="强调文字颜色 3 4 17 12" xfId="2250"/>
    <cellStyle name="强调文字颜色 3 4 17 13" xfId="16585"/>
    <cellStyle name="强调文字颜色 3 4 17 14" xfId="29281"/>
    <cellStyle name="强调文字颜色 3 4 17 2" xfId="29282"/>
    <cellStyle name="强调文字颜色 3 4 17 3" xfId="22722"/>
    <cellStyle name="强调文字颜色 3 4 17 4" xfId="22726"/>
    <cellStyle name="强调文字颜色 3 4 17 5" xfId="22729"/>
    <cellStyle name="强调文字颜色 3 4 17 5 10" xfId="29285"/>
    <cellStyle name="强调文字颜色 3 4 17 5 11" xfId="24030"/>
    <cellStyle name="强调文字颜色 3 4 17 5 2" xfId="29286"/>
    <cellStyle name="强调文字颜色 3 4 17 5 2 2" xfId="918"/>
    <cellStyle name="强调文字颜色 3 4 17 5 2 2 2" xfId="28537"/>
    <cellStyle name="强调文字颜色 3 4 17 5 2 2 3" xfId="28539"/>
    <cellStyle name="强调文字颜色 3 4 17 5 2 3" xfId="957"/>
    <cellStyle name="强调文字颜色 3 4 17 5 2 4" xfId="993"/>
    <cellStyle name="强调文字颜色 3 4 17 5 2 5" xfId="1015"/>
    <cellStyle name="强调文字颜色 3 4 17 5 2 6" xfId="1047"/>
    <cellStyle name="强调文字颜色 3 4 17 5 2 7" xfId="1067"/>
    <cellStyle name="强调文字颜色 3 4 17 5 2 8" xfId="1090"/>
    <cellStyle name="强调文字颜色 3 4 17 5 3" xfId="29287"/>
    <cellStyle name="强调文字颜色 3 4 17 5 4" xfId="29288"/>
    <cellStyle name="强调文字颜色 3 4 17 5 5" xfId="2772"/>
    <cellStyle name="强调文字颜色 3 4 17 5 6" xfId="14873"/>
    <cellStyle name="强调文字颜色 3 4 17 5 6 2" xfId="19417"/>
    <cellStyle name="强调文字颜色 3 4 17 5 6 3" xfId="17612"/>
    <cellStyle name="强调文字颜色 3 4 17 5 7" xfId="14876"/>
    <cellStyle name="强调文字颜色 3 4 17 5 8" xfId="14879"/>
    <cellStyle name="强调文字颜色 3 4 17 5 9" xfId="13264"/>
    <cellStyle name="强调文字颜色 3 4 17 6" xfId="22731"/>
    <cellStyle name="强调文字颜色 3 4 17 6 2" xfId="29290"/>
    <cellStyle name="强调文字颜色 3 4 17 6 2 2" xfId="29292"/>
    <cellStyle name="强调文字颜色 3 4 17 6 2 3" xfId="29294"/>
    <cellStyle name="强调文字颜色 3 4 17 6 3" xfId="29296"/>
    <cellStyle name="强调文字颜色 3 4 17 6 4" xfId="29298"/>
    <cellStyle name="强调文字颜色 3 4 17 6 5" xfId="14955"/>
    <cellStyle name="强调文字颜色 3 4 17 6 6" xfId="14961"/>
    <cellStyle name="强调文字颜色 3 4 17 6 7" xfId="14967"/>
    <cellStyle name="强调文字颜色 3 4 17 6 8" xfId="14969"/>
    <cellStyle name="强调文字颜色 3 4 17 7" xfId="13246"/>
    <cellStyle name="强调文字颜色 3 4 17 8" xfId="13249"/>
    <cellStyle name="强调文字颜色 3 4 17 9" xfId="18014"/>
    <cellStyle name="强调文字颜色 3 4 17 9 2" xfId="29299"/>
    <cellStyle name="强调文字颜色 3 4 17 9 3" xfId="29300"/>
    <cellStyle name="强调文字颜色 3 4 18" xfId="16692"/>
    <cellStyle name="强调文字颜色 3 4 18 10" xfId="29301"/>
    <cellStyle name="强调文字颜色 3 4 18 11" xfId="4639"/>
    <cellStyle name="强调文字颜色 3 4 18 12" xfId="4642"/>
    <cellStyle name="强调文字颜色 3 4 18 13" xfId="22082"/>
    <cellStyle name="强调文字颜色 3 4 18 14" xfId="22084"/>
    <cellStyle name="强调文字颜色 3 4 18 2" xfId="29302"/>
    <cellStyle name="强调文字颜色 3 4 18 3" xfId="29303"/>
    <cellStyle name="强调文字颜色 3 4 18 4" xfId="29304"/>
    <cellStyle name="强调文字颜色 3 4 18 5" xfId="29305"/>
    <cellStyle name="强调文字颜色 3 4 18 5 10" xfId="29306"/>
    <cellStyle name="强调文字颜色 3 4 18 5 11" xfId="25910"/>
    <cellStyle name="强调文字颜色 3 4 18 5 2" xfId="29307"/>
    <cellStyle name="强调文字颜色 3 4 18 5 2 2" xfId="9674"/>
    <cellStyle name="强调文字颜色 3 4 18 5 2 2 2" xfId="29202"/>
    <cellStyle name="强调文字颜色 3 4 18 5 2 2 3" xfId="29204"/>
    <cellStyle name="强调文字颜色 3 4 18 5 2 3" xfId="17886"/>
    <cellStyle name="强调文字颜色 3 4 18 5 2 4" xfId="9066"/>
    <cellStyle name="强调文字颜色 3 4 18 5 2 5" xfId="9074"/>
    <cellStyle name="强调文字颜色 3 4 18 5 2 6" xfId="9080"/>
    <cellStyle name="强调文字颜色 3 4 18 5 2 7" xfId="9086"/>
    <cellStyle name="强调文字颜色 3 4 18 5 2 8" xfId="3914"/>
    <cellStyle name="强调文字颜色 3 4 18 5 3" xfId="29308"/>
    <cellStyle name="强调文字颜色 3 4 18 5 4" xfId="29309"/>
    <cellStyle name="强调文字颜色 3 4 18 5 5" xfId="29311"/>
    <cellStyle name="强调文字颜色 3 4 18 5 6" xfId="29313"/>
    <cellStyle name="强调文字颜色 3 4 18 5 6 2" xfId="29314"/>
    <cellStyle name="强调文字颜色 3 4 18 5 6 3" xfId="29315"/>
    <cellStyle name="强调文字颜色 3 4 18 5 7" xfId="22114"/>
    <cellStyle name="强调文字颜色 3 4 18 5 8" xfId="22139"/>
    <cellStyle name="强调文字颜色 3 4 18 5 9" xfId="14753"/>
    <cellStyle name="强调文字颜色 3 4 18 6" xfId="29316"/>
    <cellStyle name="强调文字颜色 3 4 18 6 2" xfId="29318"/>
    <cellStyle name="强调文字颜色 3 4 18 6 2 2" xfId="24859"/>
    <cellStyle name="强调文字颜色 3 4 18 6 2 3" xfId="24863"/>
    <cellStyle name="强调文字颜色 3 4 18 6 3" xfId="29319"/>
    <cellStyle name="强调文字颜色 3 4 18 6 4" xfId="29320"/>
    <cellStyle name="强调文字颜色 3 4 18 6 5" xfId="29321"/>
    <cellStyle name="强调文字颜色 3 4 18 6 6" xfId="29322"/>
    <cellStyle name="强调文字颜色 3 4 18 6 7" xfId="19752"/>
    <cellStyle name="强调文字颜色 3 4 18 6 8" xfId="19755"/>
    <cellStyle name="强调文字颜色 3 4 18 7" xfId="29323"/>
    <cellStyle name="强调文字颜色 3 4 18 8" xfId="29324"/>
    <cellStyle name="强调文字颜色 3 4 18 9" xfId="29325"/>
    <cellStyle name="强调文字颜色 3 4 18 9 2" xfId="5391"/>
    <cellStyle name="强调文字颜色 3 4 18 9 3" xfId="1691"/>
    <cellStyle name="强调文字颜色 3 4 19" xfId="16698"/>
    <cellStyle name="强调文字颜色 3 4 19 10" xfId="29327"/>
    <cellStyle name="强调文字颜色 3 4 19 11" xfId="22160"/>
    <cellStyle name="强调文字颜色 3 4 19 12" xfId="22163"/>
    <cellStyle name="强调文字颜色 3 4 19 13" xfId="22165"/>
    <cellStyle name="强调文字颜色 3 4 19 14" xfId="22167"/>
    <cellStyle name="强调文字颜色 3 4 19 2" xfId="29328"/>
    <cellStyle name="强调文字颜色 3 4 19 3" xfId="29330"/>
    <cellStyle name="强调文字颜色 3 4 19 4" xfId="29332"/>
    <cellStyle name="强调文字颜色 3 4 19 5" xfId="25886"/>
    <cellStyle name="强调文字颜色 3 4 19 5 10" xfId="29334"/>
    <cellStyle name="强调文字颜色 3 4 19 5 11" xfId="29338"/>
    <cellStyle name="强调文字颜色 3 4 19 5 2" xfId="29340"/>
    <cellStyle name="强调文字颜色 3 4 19 5 2 2" xfId="9399"/>
    <cellStyle name="强调文字颜色 3 4 19 5 2 2 2" xfId="29342"/>
    <cellStyle name="强调文字颜色 3 4 19 5 2 2 3" xfId="29345"/>
    <cellStyle name="强调文字颜色 3 4 19 5 2 3" xfId="18723"/>
    <cellStyle name="强调文字颜色 3 4 19 5 2 4" xfId="221"/>
    <cellStyle name="强调文字颜色 3 4 19 5 2 5" xfId="9416"/>
    <cellStyle name="强调文字颜色 3 4 19 5 2 6" xfId="10237"/>
    <cellStyle name="强调文字颜色 3 4 19 5 2 7" xfId="10243"/>
    <cellStyle name="强调文字颜色 3 4 19 5 2 8" xfId="10249"/>
    <cellStyle name="强调文字颜色 3 4 19 5 3" xfId="29348"/>
    <cellStyle name="强调文字颜色 3 4 19 5 4" xfId="29350"/>
    <cellStyle name="强调文字颜色 3 4 19 5 5" xfId="29353"/>
    <cellStyle name="强调文字颜色 3 4 19 5 6" xfId="27348"/>
    <cellStyle name="强调文字颜色 3 4 19 5 6 2" xfId="242"/>
    <cellStyle name="强调文字颜色 3 4 19 5 6 3" xfId="5920"/>
    <cellStyle name="强调文字颜色 3 4 19 5 7" xfId="21909"/>
    <cellStyle name="强调文字颜色 3 4 19 5 8" xfId="697"/>
    <cellStyle name="强调文字颜色 3 4 19 5 9" xfId="731"/>
    <cellStyle name="强调文字颜色 3 4 19 6" xfId="29355"/>
    <cellStyle name="强调文字颜色 3 4 19 6 2" xfId="27678"/>
    <cellStyle name="强调文字颜色 3 4 19 6 2 2" xfId="29357"/>
    <cellStyle name="强调文字颜色 3 4 19 6 2 3" xfId="29358"/>
    <cellStyle name="强调文字颜色 3 4 19 6 3" xfId="27680"/>
    <cellStyle name="强调文字颜色 3 4 19 6 4" xfId="29359"/>
    <cellStyle name="强调文字颜色 3 4 19 6 5" xfId="29360"/>
    <cellStyle name="强调文字颜色 3 4 19 6 6" xfId="29362"/>
    <cellStyle name="强调文字颜色 3 4 19 6 7" xfId="22189"/>
    <cellStyle name="强调文字颜色 3 4 19 6 8" xfId="22192"/>
    <cellStyle name="强调文字颜色 3 4 19 7" xfId="29363"/>
    <cellStyle name="强调文字颜色 3 4 19 8" xfId="29365"/>
    <cellStyle name="强调文字颜色 3 4 19 9" xfId="4066"/>
    <cellStyle name="强调文字颜色 3 4 19 9 2" xfId="5524"/>
    <cellStyle name="强调文字颜色 3 4 19 9 3" xfId="2235"/>
    <cellStyle name="强调文字颜色 3 4 2" xfId="29367"/>
    <cellStyle name="强调文字颜色 3 4 20" xfId="29275"/>
    <cellStyle name="强调文字颜色 3 4 20 10" xfId="7526"/>
    <cellStyle name="强调文字颜色 3 4 20 11" xfId="7514"/>
    <cellStyle name="强调文字颜色 3 4 20 12" xfId="29368"/>
    <cellStyle name="强调文字颜色 3 4 20 13" xfId="29369"/>
    <cellStyle name="强调文字颜色 3 4 20 14" xfId="29370"/>
    <cellStyle name="强调文字颜色 3 4 20 2" xfId="29371"/>
    <cellStyle name="强调文字颜色 3 4 20 3" xfId="29372"/>
    <cellStyle name="强调文字颜色 3 4 20 4" xfId="29373"/>
    <cellStyle name="强调文字颜色 3 4 20 5" xfId="29374"/>
    <cellStyle name="强调文字颜色 3 4 20 5 10" xfId="29375"/>
    <cellStyle name="强调文字颜色 3 4 20 5 11" xfId="29376"/>
    <cellStyle name="强调文字颜色 3 4 20 5 2" xfId="1898"/>
    <cellStyle name="强调文字颜色 3 4 20 5 2 2" xfId="679"/>
    <cellStyle name="强调文字颜色 3 4 20 5 2 2 2" xfId="29377"/>
    <cellStyle name="强调文字颜色 3 4 20 5 2 2 3" xfId="29378"/>
    <cellStyle name="强调文字颜色 3 4 20 5 2 3" xfId="710"/>
    <cellStyle name="强调文字颜色 3 4 20 5 2 4" xfId="12994"/>
    <cellStyle name="强调文字颜色 3 4 20 5 2 5" xfId="13003"/>
    <cellStyle name="强调文字颜色 3 4 20 5 2 6" xfId="13017"/>
    <cellStyle name="强调文字颜色 3 4 20 5 2 7" xfId="21442"/>
    <cellStyle name="强调文字颜色 3 4 20 5 2 8" xfId="29381"/>
    <cellStyle name="强调文字颜色 3 4 20 5 3" xfId="1924"/>
    <cellStyle name="强调文字颜色 3 4 20 5 4" xfId="1949"/>
    <cellStyle name="强调文字颜色 3 4 20 5 5" xfId="1837"/>
    <cellStyle name="强调文字颜色 3 4 20 5 6" xfId="23913"/>
    <cellStyle name="强调文字颜色 3 4 20 5 6 2" xfId="29382"/>
    <cellStyle name="强调文字颜色 3 4 20 5 6 3" xfId="842"/>
    <cellStyle name="强调文字颜色 3 4 20 5 7" xfId="25143"/>
    <cellStyle name="强调文字颜色 3 4 20 5 8" xfId="25145"/>
    <cellStyle name="强调文字颜色 3 4 20 5 9" xfId="29383"/>
    <cellStyle name="强调文字颜色 3 4 20 6" xfId="29384"/>
    <cellStyle name="强调文字颜色 3 4 20 6 2" xfId="29385"/>
    <cellStyle name="强调文字颜色 3 4 20 6 2 2" xfId="29386"/>
    <cellStyle name="强调文字颜色 3 4 20 6 2 3" xfId="29387"/>
    <cellStyle name="强调文字颜色 3 4 20 6 3" xfId="29388"/>
    <cellStyle name="强调文字颜色 3 4 20 6 4" xfId="29389"/>
    <cellStyle name="强调文字颜色 3 4 20 6 5" xfId="29390"/>
    <cellStyle name="强调文字颜色 3 4 20 6 6" xfId="29391"/>
    <cellStyle name="强调文字颜色 3 4 20 6 7" xfId="29392"/>
    <cellStyle name="强调文字颜色 3 4 20 6 8" xfId="16962"/>
    <cellStyle name="强调文字颜色 3 4 20 7" xfId="24858"/>
    <cellStyle name="强调文字颜色 3 4 20 8" xfId="17943"/>
    <cellStyle name="强调文字颜色 3 4 20 9" xfId="10327"/>
    <cellStyle name="强调文字颜色 3 4 20 9 2" xfId="12125"/>
    <cellStyle name="强调文字颜色 3 4 20 9 3" xfId="12127"/>
    <cellStyle name="强调文字颜色 3 4 3" xfId="29393"/>
    <cellStyle name="强调文字颜色 3 4 4" xfId="29394"/>
    <cellStyle name="强调文字颜色 3 4 5" xfId="17697"/>
    <cellStyle name="强调文字颜色 3 4 6" xfId="17700"/>
    <cellStyle name="强调文字颜色 3 4 7" xfId="28711"/>
    <cellStyle name="强调文字颜色 3 4 8" xfId="28713"/>
    <cellStyle name="强调文字颜色 3 4 9" xfId="29395"/>
    <cellStyle name="强调文字颜色 3 5" xfId="29396"/>
    <cellStyle name="强调文字颜色 3 5 10" xfId="29397"/>
    <cellStyle name="强调文字颜色 3 5 11" xfId="29399"/>
    <cellStyle name="强调文字颜色 3 5 12" xfId="29401"/>
    <cellStyle name="强调文字颜色 3 5 13" xfId="23090"/>
    <cellStyle name="强调文字颜色 3 5 14" xfId="23094"/>
    <cellStyle name="强调文字颜色 3 5 2" xfId="29402"/>
    <cellStyle name="强调文字颜色 3 5 3" xfId="29403"/>
    <cellStyle name="强调文字颜色 3 5 4" xfId="29404"/>
    <cellStyle name="强调文字颜色 3 5 5" xfId="29405"/>
    <cellStyle name="强调文字颜色 3 5 6" xfId="29406"/>
    <cellStyle name="强调文字颜色 3 5 7" xfId="13084"/>
    <cellStyle name="强调文字颜色 3 5 8" xfId="13088"/>
    <cellStyle name="强调文字颜色 3 5 9" xfId="13092"/>
    <cellStyle name="强调文字颜色 3 6" xfId="16801"/>
    <cellStyle name="强调文字颜色 3 6 10" xfId="5367"/>
    <cellStyle name="强调文字颜色 3 6 11" xfId="5385"/>
    <cellStyle name="强调文字颜色 3 6 12" xfId="12518"/>
    <cellStyle name="强调文字颜色 3 6 13" xfId="12528"/>
    <cellStyle name="强调文字颜色 3 6 14" xfId="12538"/>
    <cellStyle name="强调文字颜色 3 6 2" xfId="29408"/>
    <cellStyle name="强调文字颜色 3 6 3" xfId="29410"/>
    <cellStyle name="强调文字颜色 3 6 4" xfId="25743"/>
    <cellStyle name="强调文字颜色 3 6 5" xfId="29411"/>
    <cellStyle name="强调文字颜色 3 6 6" xfId="29412"/>
    <cellStyle name="强调文字颜色 3 6 7" xfId="29413"/>
    <cellStyle name="强调文字颜色 3 6 8" xfId="29414"/>
    <cellStyle name="强调文字颜色 3 6 9" xfId="29415"/>
    <cellStyle name="强调文字颜色 3 7" xfId="16806"/>
    <cellStyle name="强调文字颜色 3 8" xfId="29416"/>
    <cellStyle name="强调文字颜色 3 9" xfId="29417"/>
    <cellStyle name="强调文字颜色 4 10" xfId="29418"/>
    <cellStyle name="强调文字颜色 4 11" xfId="29419"/>
    <cellStyle name="强调文字颜色 4 12" xfId="29421"/>
    <cellStyle name="强调文字颜色 4 12 10" xfId="29422"/>
    <cellStyle name="强调文字颜色 4 12 11" xfId="29423"/>
    <cellStyle name="强调文字颜色 4 12 12" xfId="29424"/>
    <cellStyle name="强调文字颜色 4 12 13" xfId="29425"/>
    <cellStyle name="强调文字颜色 4 12 14" xfId="29426"/>
    <cellStyle name="强调文字颜色 4 12 2" xfId="29427"/>
    <cellStyle name="强调文字颜色 4 12 3" xfId="29428"/>
    <cellStyle name="强调文字颜色 4 12 4" xfId="29429"/>
    <cellStyle name="强调文字颜色 4 12 5" xfId="29430"/>
    <cellStyle name="强调文字颜色 4 12 5 10" xfId="19143"/>
    <cellStyle name="强调文字颜色 4 12 5 11" xfId="19145"/>
    <cellStyle name="强调文字颜色 4 12 5 2" xfId="9459"/>
    <cellStyle name="强调文字颜色 4 12 5 2 2" xfId="29431"/>
    <cellStyle name="强调文字颜色 4 12 5 2 2 2" xfId="26285"/>
    <cellStyle name="强调文字颜色 4 12 5 2 2 3" xfId="8026"/>
    <cellStyle name="强调文字颜色 4 12 5 2 3" xfId="29432"/>
    <cellStyle name="强调文字颜色 4 12 5 2 4" xfId="29433"/>
    <cellStyle name="强调文字颜色 4 12 5 2 5" xfId="29434"/>
    <cellStyle name="强调文字颜色 4 12 5 2 6" xfId="18335"/>
    <cellStyle name="强调文字颜色 4 12 5 2 7" xfId="18339"/>
    <cellStyle name="强调文字颜色 4 12 5 2 8" xfId="29435"/>
    <cellStyle name="强调文字颜色 4 12 5 3" xfId="13255"/>
    <cellStyle name="强调文字颜色 4 12 5 4" xfId="15258"/>
    <cellStyle name="强调文字颜色 4 12 5 5" xfId="15261"/>
    <cellStyle name="强调文字颜色 4 12 5 6" xfId="15263"/>
    <cellStyle name="强调文字颜色 4 12 5 6 2" xfId="21466"/>
    <cellStyle name="强调文字颜色 4 12 5 6 3" xfId="21469"/>
    <cellStyle name="强调文字颜色 4 12 5 7" xfId="29436"/>
    <cellStyle name="强调文字颜色 4 12 5 8" xfId="29437"/>
    <cellStyle name="强调文字颜色 4 12 5 9" xfId="29439"/>
    <cellStyle name="强调文字颜色 4 12 6" xfId="29440"/>
    <cellStyle name="强调文字颜色 4 12 6 2" xfId="13271"/>
    <cellStyle name="强调文字颜色 4 12 6 2 2" xfId="29442"/>
    <cellStyle name="强调文字颜色 4 12 6 2 3" xfId="29443"/>
    <cellStyle name="强调文字颜色 4 12 6 3" xfId="13276"/>
    <cellStyle name="强调文字颜色 4 12 6 4" xfId="10455"/>
    <cellStyle name="强调文字颜色 4 12 6 5" xfId="29444"/>
    <cellStyle name="强调文字颜色 4 12 6 6" xfId="16838"/>
    <cellStyle name="强调文字颜色 4 12 6 7" xfId="16841"/>
    <cellStyle name="强调文字颜色 4 12 6 8" xfId="20459"/>
    <cellStyle name="强调文字颜色 4 12 7" xfId="29445"/>
    <cellStyle name="强调文字颜色 4 12 8" xfId="29446"/>
    <cellStyle name="强调文字颜色 4 12 9" xfId="29447"/>
    <cellStyle name="强调文字颜色 4 12 9 2" xfId="29448"/>
    <cellStyle name="强调文字颜色 4 12 9 3" xfId="29450"/>
    <cellStyle name="强调文字颜色 4 13" xfId="29452"/>
    <cellStyle name="强调文字颜色 4 14" xfId="29453"/>
    <cellStyle name="强调文字颜色 4 15" xfId="29454"/>
    <cellStyle name="强调文字颜色 4 16" xfId="29455"/>
    <cellStyle name="强调文字颜色 4 16 10" xfId="29456"/>
    <cellStyle name="强调文字颜色 4 16 11" xfId="29457"/>
    <cellStyle name="强调文字颜色 4 16 12" xfId="29458"/>
    <cellStyle name="强调文字颜色 4 16 13" xfId="23342"/>
    <cellStyle name="强调文字颜色 4 16 14" xfId="23344"/>
    <cellStyle name="强调文字颜色 4 16 2" xfId="29459"/>
    <cellStyle name="强调文字颜色 4 16 3" xfId="24618"/>
    <cellStyle name="强调文字颜色 4 16 4" xfId="29460"/>
    <cellStyle name="强调文字颜色 4 16 5" xfId="29461"/>
    <cellStyle name="强调文字颜色 4 16 5 10" xfId="15026"/>
    <cellStyle name="强调文字颜色 4 16 5 11" xfId="15030"/>
    <cellStyle name="强调文字颜色 4 16 5 2" xfId="24568"/>
    <cellStyle name="强调文字颜色 4 16 5 2 2" xfId="29462"/>
    <cellStyle name="强调文字颜色 4 16 5 2 2 2" xfId="29463"/>
    <cellStyle name="强调文字颜色 4 16 5 2 2 3" xfId="29464"/>
    <cellStyle name="强调文字颜色 4 16 5 2 3" xfId="29465"/>
    <cellStyle name="强调文字颜色 4 16 5 2 4" xfId="29466"/>
    <cellStyle name="强调文字颜色 4 16 5 2 5" xfId="29467"/>
    <cellStyle name="强调文字颜色 4 16 5 2 6" xfId="29468"/>
    <cellStyle name="强调文字颜色 4 16 5 2 7" xfId="29469"/>
    <cellStyle name="强调文字颜色 4 16 5 2 8" xfId="29470"/>
    <cellStyle name="强调文字颜色 4 16 5 3" xfId="29472"/>
    <cellStyle name="强调文字颜色 4 16 5 4" xfId="29473"/>
    <cellStyle name="强调文字颜色 4 16 5 5" xfId="29474"/>
    <cellStyle name="强调文字颜色 4 16 5 6" xfId="29475"/>
    <cellStyle name="强调文字颜色 4 16 5 6 2" xfId="29476"/>
    <cellStyle name="强调文字颜色 4 16 5 6 3" xfId="29477"/>
    <cellStyle name="强调文字颜色 4 16 5 7" xfId="19988"/>
    <cellStyle name="强调文字颜色 4 16 5 8" xfId="19990"/>
    <cellStyle name="强调文字颜色 4 16 5 9" xfId="29478"/>
    <cellStyle name="强调文字颜色 4 16 6" xfId="29479"/>
    <cellStyle name="强调文字颜色 4 16 6 2" xfId="29480"/>
    <cellStyle name="强调文字颜色 4 16 6 2 2" xfId="29481"/>
    <cellStyle name="强调文字颜色 4 16 6 2 3" xfId="29482"/>
    <cellStyle name="强调文字颜色 4 16 6 3" xfId="29483"/>
    <cellStyle name="强调文字颜色 4 16 6 4" xfId="29485"/>
    <cellStyle name="强调文字颜色 4 16 6 5" xfId="29487"/>
    <cellStyle name="强调文字颜色 4 16 6 6" xfId="29488"/>
    <cellStyle name="强调文字颜色 4 16 6 7" xfId="29489"/>
    <cellStyle name="强调文字颜色 4 16 6 8" xfId="29490"/>
    <cellStyle name="强调文字颜色 4 16 7" xfId="29491"/>
    <cellStyle name="强调文字颜色 4 16 8" xfId="29492"/>
    <cellStyle name="强调文字颜色 4 16 9" xfId="29493"/>
    <cellStyle name="强调文字颜色 4 16 9 2" xfId="29494"/>
    <cellStyle name="强调文字颜色 4 16 9 3" xfId="29495"/>
    <cellStyle name="强调文字颜色 4 17" xfId="23352"/>
    <cellStyle name="强调文字颜色 4 17 10" xfId="29497"/>
    <cellStyle name="强调文字颜色 4 17 11" xfId="29499"/>
    <cellStyle name="强调文字颜色 4 17 12" xfId="24492"/>
    <cellStyle name="强调文字颜色 4 17 13" xfId="29501"/>
    <cellStyle name="强调文字颜色 4 17 14" xfId="29503"/>
    <cellStyle name="强调文字颜色 4 17 2" xfId="29504"/>
    <cellStyle name="强调文字颜色 4 17 3" xfId="29505"/>
    <cellStyle name="强调文字颜色 4 17 4" xfId="29506"/>
    <cellStyle name="强调文字颜色 4 17 5" xfId="29507"/>
    <cellStyle name="强调文字颜色 4 17 5 10" xfId="15200"/>
    <cellStyle name="强调文字颜色 4 17 5 11" xfId="15204"/>
    <cellStyle name="强调文字颜色 4 17 5 2" xfId="26028"/>
    <cellStyle name="强调文字颜色 4 17 5 2 2" xfId="29508"/>
    <cellStyle name="强调文字颜色 4 17 5 2 2 2" xfId="29510"/>
    <cellStyle name="强调文字颜色 4 17 5 2 2 3" xfId="29512"/>
    <cellStyle name="强调文字颜色 4 17 5 2 3" xfId="29514"/>
    <cellStyle name="强调文字颜色 4 17 5 2 4" xfId="29516"/>
    <cellStyle name="强调文字颜色 4 17 5 2 5" xfId="29518"/>
    <cellStyle name="强调文字颜色 4 17 5 2 6" xfId="29520"/>
    <cellStyle name="强调文字颜色 4 17 5 2 7" xfId="29521"/>
    <cellStyle name="强调文字颜色 4 17 5 2 8" xfId="29523"/>
    <cellStyle name="强调文字颜色 4 17 5 3" xfId="29526"/>
    <cellStyle name="强调文字颜色 4 17 5 4" xfId="29527"/>
    <cellStyle name="强调文字颜色 4 17 5 5" xfId="29528"/>
    <cellStyle name="强调文字颜色 4 17 5 6" xfId="29529"/>
    <cellStyle name="强调文字颜色 4 17 5 6 2" xfId="21673"/>
    <cellStyle name="强调文字颜色 4 17 5 6 3" xfId="21675"/>
    <cellStyle name="强调文字颜色 4 17 5 7" xfId="16236"/>
    <cellStyle name="强调文字颜色 4 17 5 8" xfId="2851"/>
    <cellStyle name="强调文字颜色 4 17 5 9" xfId="29530"/>
    <cellStyle name="强调文字颜色 4 17 6" xfId="29531"/>
    <cellStyle name="强调文字颜色 4 17 6 2" xfId="16438"/>
    <cellStyle name="强调文字颜色 4 17 6 2 2" xfId="29533"/>
    <cellStyle name="强调文字颜色 4 17 6 2 3" xfId="29534"/>
    <cellStyle name="强调文字颜色 4 17 6 3" xfId="16440"/>
    <cellStyle name="强调文字颜色 4 17 6 4" xfId="16445"/>
    <cellStyle name="强调文字颜色 4 17 6 5" xfId="29536"/>
    <cellStyle name="强调文字颜色 4 17 6 6" xfId="16905"/>
    <cellStyle name="强调文字颜色 4 17 6 7" xfId="7479"/>
    <cellStyle name="强调文字颜色 4 17 6 8" xfId="29537"/>
    <cellStyle name="强调文字颜色 4 17 7" xfId="29538"/>
    <cellStyle name="强调文字颜色 4 17 8" xfId="29539"/>
    <cellStyle name="强调文字颜色 4 17 9" xfId="29540"/>
    <cellStyle name="强调文字颜色 4 17 9 2" xfId="29541"/>
    <cellStyle name="强调文字颜色 4 17 9 3" xfId="29542"/>
    <cellStyle name="强调文字颜色 4 18" xfId="23354"/>
    <cellStyle name="强调文字颜色 4 18 10" xfId="29543"/>
    <cellStyle name="强调文字颜色 4 18 11" xfId="29544"/>
    <cellStyle name="强调文字颜色 4 18 12" xfId="29545"/>
    <cellStyle name="强调文字颜色 4 18 13" xfId="29546"/>
    <cellStyle name="强调文字颜色 4 18 14" xfId="29547"/>
    <cellStyle name="强调文字颜色 4 18 2" xfId="12406"/>
    <cellStyle name="强调文字颜色 4 18 3" xfId="29548"/>
    <cellStyle name="强调文字颜色 4 18 4" xfId="29549"/>
    <cellStyle name="强调文字颜色 4 18 5" xfId="29550"/>
    <cellStyle name="强调文字颜色 4 18 5 10" xfId="6744"/>
    <cellStyle name="强调文字颜色 4 18 5 11" xfId="6754"/>
    <cellStyle name="强调文字颜色 4 18 5 2" xfId="29551"/>
    <cellStyle name="强调文字颜色 4 18 5 2 2" xfId="29552"/>
    <cellStyle name="强调文字颜色 4 18 5 2 2 2" xfId="29553"/>
    <cellStyle name="强调文字颜色 4 18 5 2 2 3" xfId="29555"/>
    <cellStyle name="强调文字颜色 4 18 5 2 3" xfId="29557"/>
    <cellStyle name="强调文字颜色 4 18 5 2 4" xfId="29558"/>
    <cellStyle name="强调文字颜色 4 18 5 2 5" xfId="29559"/>
    <cellStyle name="强调文字颜色 4 18 5 2 6" xfId="29560"/>
    <cellStyle name="强调文字颜色 4 18 5 2 7" xfId="29561"/>
    <cellStyle name="强调文字颜色 4 18 5 2 8" xfId="28946"/>
    <cellStyle name="强调文字颜色 4 18 5 3" xfId="29562"/>
    <cellStyle name="强调文字颜色 4 18 5 4" xfId="29563"/>
    <cellStyle name="强调文字颜色 4 18 5 5" xfId="29564"/>
    <cellStyle name="强调文字颜色 4 18 5 6" xfId="29565"/>
    <cellStyle name="强调文字颜色 4 18 5 6 2" xfId="12712"/>
    <cellStyle name="强调文字颜色 4 18 5 6 3" xfId="12716"/>
    <cellStyle name="强调文字颜色 4 18 5 7" xfId="29566"/>
    <cellStyle name="强调文字颜色 4 18 5 8" xfId="29567"/>
    <cellStyle name="强调文字颜色 4 18 5 9" xfId="29568"/>
    <cellStyle name="强调文字颜色 4 18 6" xfId="29569"/>
    <cellStyle name="强调文字颜色 4 18 6 2" xfId="29570"/>
    <cellStyle name="强调文字颜色 4 18 6 2 2" xfId="29571"/>
    <cellStyle name="强调文字颜色 4 18 6 2 3" xfId="29572"/>
    <cellStyle name="强调文字颜色 4 18 6 3" xfId="4235"/>
    <cellStyle name="强调文字颜色 4 18 6 4" xfId="4245"/>
    <cellStyle name="强调文字颜色 4 18 6 5" xfId="29573"/>
    <cellStyle name="强调文字颜色 4 18 6 6" xfId="29574"/>
    <cellStyle name="强调文字颜色 4 18 6 7" xfId="29576"/>
    <cellStyle name="强调文字颜色 4 18 6 8" xfId="29578"/>
    <cellStyle name="强调文字颜色 4 18 7" xfId="29579"/>
    <cellStyle name="强调文字颜色 4 18 8" xfId="29580"/>
    <cellStyle name="强调文字颜色 4 18 9" xfId="29581"/>
    <cellStyle name="强调文字颜色 4 18 9 2" xfId="24786"/>
    <cellStyle name="强调文字颜色 4 18 9 3" xfId="24807"/>
    <cellStyle name="强调文字颜色 4 19" xfId="23356"/>
    <cellStyle name="强调文字颜色 4 2" xfId="29582"/>
    <cellStyle name="强调文字颜色 4 2 10" xfId="29583"/>
    <cellStyle name="强调文字颜色 4 2 11" xfId="29584"/>
    <cellStyle name="强调文字颜色 4 2 12" xfId="29585"/>
    <cellStyle name="强调文字颜色 4 2 13" xfId="10572"/>
    <cellStyle name="强调文字颜色 4 2 14" xfId="10580"/>
    <cellStyle name="强调文字颜色 4 2 15" xfId="21237"/>
    <cellStyle name="强调文字颜色 4 2 16" xfId="21239"/>
    <cellStyle name="强调文字颜色 4 2 17" xfId="21241"/>
    <cellStyle name="强调文字颜色 4 2 17 10" xfId="22395"/>
    <cellStyle name="强调文字颜色 4 2 17 11" xfId="29587"/>
    <cellStyle name="强调文字颜色 4 2 17 12" xfId="29589"/>
    <cellStyle name="强调文字颜色 4 2 17 13" xfId="29590"/>
    <cellStyle name="强调文字颜色 4 2 17 14" xfId="29591"/>
    <cellStyle name="强调文字颜色 4 2 17 2" xfId="21600"/>
    <cellStyle name="强调文字颜色 4 2 17 3" xfId="29592"/>
    <cellStyle name="强调文字颜色 4 2 17 4" xfId="29593"/>
    <cellStyle name="强调文字颜色 4 2 17 5" xfId="29594"/>
    <cellStyle name="强调文字颜色 4 2 17 5 10" xfId="26061"/>
    <cellStyle name="强调文字颜色 4 2 17 5 11" xfId="23154"/>
    <cellStyle name="强调文字颜色 4 2 17 5 2" xfId="9382"/>
    <cellStyle name="强调文字颜色 4 2 17 5 2 2" xfId="4848"/>
    <cellStyle name="强调文字颜色 4 2 17 5 2 2 2" xfId="29595"/>
    <cellStyle name="强调文字颜色 4 2 17 5 2 2 3" xfId="11883"/>
    <cellStyle name="强调文字颜色 4 2 17 5 2 3" xfId="4861"/>
    <cellStyle name="强调文字颜色 4 2 17 5 2 4" xfId="29596"/>
    <cellStyle name="强调文字颜色 4 2 17 5 2 5" xfId="29597"/>
    <cellStyle name="强调文字颜色 4 2 17 5 2 6" xfId="29598"/>
    <cellStyle name="强调文字颜色 4 2 17 5 2 7" xfId="29599"/>
    <cellStyle name="强调文字颜色 4 2 17 5 2 8" xfId="29600"/>
    <cellStyle name="强调文字颜色 4 2 17 5 3" xfId="9398"/>
    <cellStyle name="强调文字颜色 4 2 17 5 4" xfId="18722"/>
    <cellStyle name="强调文字颜色 4 2 17 5 5" xfId="219"/>
    <cellStyle name="强调文字颜色 4 2 17 5 6" xfId="9414"/>
    <cellStyle name="强调文字颜色 4 2 17 5 6 2" xfId="29601"/>
    <cellStyle name="强调文字颜色 4 2 17 5 6 3" xfId="29602"/>
    <cellStyle name="强调文字颜色 4 2 17 5 7" xfId="10234"/>
    <cellStyle name="强调文字颜色 4 2 17 5 8" xfId="10244"/>
    <cellStyle name="强调文字颜色 4 2 17 5 9" xfId="10250"/>
    <cellStyle name="强调文字颜色 4 2 17 6" xfId="26076"/>
    <cellStyle name="强调文字颜色 4 2 17 6 2" xfId="7826"/>
    <cellStyle name="强调文字颜色 4 2 17 6 2 2" xfId="4892"/>
    <cellStyle name="强调文字颜色 4 2 17 6 2 3" xfId="7830"/>
    <cellStyle name="强调文字颜色 4 2 17 6 3" xfId="7843"/>
    <cellStyle name="强调文字颜色 4 2 17 6 4" xfId="7857"/>
    <cellStyle name="强调文字颜色 4 2 17 6 5" xfId="7870"/>
    <cellStyle name="强调文字颜色 4 2 17 6 6" xfId="29603"/>
    <cellStyle name="强调文字颜色 4 2 17 6 7" xfId="29604"/>
    <cellStyle name="强调文字颜色 4 2 17 6 8" xfId="29606"/>
    <cellStyle name="强调文字颜色 4 2 17 7" xfId="29607"/>
    <cellStyle name="强调文字颜色 4 2 17 8" xfId="29608"/>
    <cellStyle name="强调文字颜色 4 2 17 9" xfId="29609"/>
    <cellStyle name="强调文字颜色 4 2 17 9 2" xfId="7418"/>
    <cellStyle name="强调文字颜色 4 2 17 9 3" xfId="240"/>
    <cellStyle name="强调文字颜色 4 2 18" xfId="21243"/>
    <cellStyle name="强调文字颜色 4 2 18 10" xfId="29610"/>
    <cellStyle name="强调文字颜色 4 2 18 11" xfId="29611"/>
    <cellStyle name="强调文字颜色 4 2 18 12" xfId="29612"/>
    <cellStyle name="强调文字颜色 4 2 18 13" xfId="29613"/>
    <cellStyle name="强调文字颜色 4 2 18 14" xfId="29614"/>
    <cellStyle name="强调文字颜色 4 2 18 2" xfId="5943"/>
    <cellStyle name="强调文字颜色 4 2 18 3" xfId="29615"/>
    <cellStyle name="强调文字颜色 4 2 18 4" xfId="1509"/>
    <cellStyle name="强调文字颜色 4 2 18 5" xfId="1522"/>
    <cellStyle name="强调文字颜色 4 2 18 5 10" xfId="29617"/>
    <cellStyle name="强调文字颜色 4 2 18 5 11" xfId="29619"/>
    <cellStyle name="强调文字颜色 4 2 18 5 2" xfId="4716"/>
    <cellStyle name="强调文字颜色 4 2 18 5 2 2" xfId="29620"/>
    <cellStyle name="强调文字颜色 4 2 18 5 2 2 2" xfId="26848"/>
    <cellStyle name="强调文字颜色 4 2 18 5 2 2 3" xfId="26854"/>
    <cellStyle name="强调文字颜色 4 2 18 5 2 3" xfId="29621"/>
    <cellStyle name="强调文字颜色 4 2 18 5 2 4" xfId="29622"/>
    <cellStyle name="强调文字颜色 4 2 18 5 2 5" xfId="29623"/>
    <cellStyle name="强调文字颜色 4 2 18 5 2 6" xfId="29624"/>
    <cellStyle name="强调文字颜色 4 2 18 5 2 7" xfId="29625"/>
    <cellStyle name="强调文字颜色 4 2 18 5 2 8" xfId="29626"/>
    <cellStyle name="强调文字颜色 4 2 18 5 3" xfId="4722"/>
    <cellStyle name="强调文字颜色 4 2 18 5 4" xfId="4729"/>
    <cellStyle name="强调文字颜色 4 2 18 5 5" xfId="4738"/>
    <cellStyle name="强调文字颜色 4 2 18 5 6" xfId="29628"/>
    <cellStyle name="强调文字颜色 4 2 18 5 6 2" xfId="29629"/>
    <cellStyle name="强调文字颜色 4 2 18 5 6 3" xfId="29630"/>
    <cellStyle name="强调文字颜色 4 2 18 5 7" xfId="29632"/>
    <cellStyle name="强调文字颜色 4 2 18 5 8" xfId="11346"/>
    <cellStyle name="强调文字颜色 4 2 18 5 9" xfId="11353"/>
    <cellStyle name="强调文字颜色 4 2 18 6" xfId="4426"/>
    <cellStyle name="强调文字颜色 4 2 18 6 2" xfId="4428"/>
    <cellStyle name="强调文字颜色 4 2 18 6 2 2" xfId="4431"/>
    <cellStyle name="强调文字颜色 4 2 18 6 2 3" xfId="2914"/>
    <cellStyle name="强调文字颜色 4 2 18 6 3" xfId="4445"/>
    <cellStyle name="强调文字颜色 4 2 18 6 4" xfId="4462"/>
    <cellStyle name="强调文字颜色 4 2 18 6 5" xfId="4477"/>
    <cellStyle name="强调文字颜色 4 2 18 6 6" xfId="4490"/>
    <cellStyle name="强调文字颜色 4 2 18 6 7" xfId="4504"/>
    <cellStyle name="强调文字颜色 4 2 18 6 8" xfId="4514"/>
    <cellStyle name="强调文字颜色 4 2 18 7" xfId="4520"/>
    <cellStyle name="强调文字颜色 4 2 18 8" xfId="4522"/>
    <cellStyle name="强调文字颜色 4 2 18 9" xfId="4537"/>
    <cellStyle name="强调文字颜色 4 2 18 9 2" xfId="29633"/>
    <cellStyle name="强调文字颜色 4 2 18 9 3" xfId="29634"/>
    <cellStyle name="强调文字颜色 4 2 19" xfId="17595"/>
    <cellStyle name="强调文字颜色 4 2 19 10" xfId="18341"/>
    <cellStyle name="强调文字颜色 4 2 19 11" xfId="24837"/>
    <cellStyle name="强调文字颜色 4 2 19 12" xfId="24839"/>
    <cellStyle name="强调文字颜色 4 2 19 13" xfId="24841"/>
    <cellStyle name="强调文字颜色 4 2 19 14" xfId="24843"/>
    <cellStyle name="强调文字颜色 4 2 19 2" xfId="14469"/>
    <cellStyle name="强调文字颜色 4 2 19 3" xfId="14471"/>
    <cellStyle name="强调文字颜色 4 2 19 4" xfId="14473"/>
    <cellStyle name="强调文字颜色 4 2 19 5" xfId="14476"/>
    <cellStyle name="强调文字颜色 4 2 19 5 10" xfId="26081"/>
    <cellStyle name="强调文字颜色 4 2 19 5 11" xfId="29635"/>
    <cellStyle name="强调文字颜色 4 2 19 5 2" xfId="18945"/>
    <cellStyle name="强调文字颜色 4 2 19 5 2 2" xfId="1921"/>
    <cellStyle name="强调文字颜色 4 2 19 5 2 2 2" xfId="21900"/>
    <cellStyle name="强调文字颜色 4 2 19 5 2 2 3" xfId="28269"/>
    <cellStyle name="强调文字颜色 4 2 19 5 2 3" xfId="1945"/>
    <cellStyle name="强调文字颜色 4 2 19 5 2 4" xfId="1833"/>
    <cellStyle name="强调文字颜色 4 2 19 5 2 5" xfId="1865"/>
    <cellStyle name="强调文字颜色 4 2 19 5 2 6" xfId="5065"/>
    <cellStyle name="强调文字颜色 4 2 19 5 2 7" xfId="5076"/>
    <cellStyle name="强调文字颜色 4 2 19 5 2 8" xfId="29637"/>
    <cellStyle name="强调文字颜色 4 2 19 5 3" xfId="19013"/>
    <cellStyle name="强调文字颜色 4 2 19 5 4" xfId="22892"/>
    <cellStyle name="强调文字颜色 4 2 19 5 5" xfId="22894"/>
    <cellStyle name="强调文字颜色 4 2 19 5 6" xfId="29639"/>
    <cellStyle name="强调文字颜色 4 2 19 5 6 2" xfId="29640"/>
    <cellStyle name="强调文字颜色 4 2 19 5 6 3" xfId="29641"/>
    <cellStyle name="强调文字颜色 4 2 19 5 7" xfId="29643"/>
    <cellStyle name="强调文字颜色 4 2 19 5 8" xfId="29645"/>
    <cellStyle name="强调文字颜色 4 2 19 5 9" xfId="29647"/>
    <cellStyle name="强调文字颜色 4 2 19 6" xfId="1285"/>
    <cellStyle name="强调文字颜色 4 2 19 6 2" xfId="4614"/>
    <cellStyle name="强调文字颜色 4 2 19 6 2 2" xfId="29648"/>
    <cellStyle name="强调文字颜色 4 2 19 6 2 3" xfId="29649"/>
    <cellStyle name="强调文字颜色 4 2 19 6 3" xfId="4622"/>
    <cellStyle name="强调文字颜色 4 2 19 6 4" xfId="11194"/>
    <cellStyle name="强调文字颜色 4 2 19 6 5" xfId="14486"/>
    <cellStyle name="强调文字颜色 4 2 19 6 6" xfId="12963"/>
    <cellStyle name="强调文字颜色 4 2 19 6 7" xfId="12966"/>
    <cellStyle name="强调文字颜色 4 2 19 6 8" xfId="14522"/>
    <cellStyle name="强调文字颜色 4 2 19 7" xfId="1296"/>
    <cellStyle name="强调文字颜色 4 2 19 8" xfId="1307"/>
    <cellStyle name="强调文字颜色 4 2 19 9" xfId="1879"/>
    <cellStyle name="强调文字颜色 4 2 19 9 2" xfId="29650"/>
    <cellStyle name="强调文字颜色 4 2 19 9 3" xfId="29651"/>
    <cellStyle name="强调文字颜色 4 2 2" xfId="29654"/>
    <cellStyle name="强调文字颜色 4 2 2 10" xfId="10792"/>
    <cellStyle name="强调文字颜色 4 2 2 11" xfId="22520"/>
    <cellStyle name="强调文字颜色 4 2 2 12" xfId="29655"/>
    <cellStyle name="强调文字颜色 4 2 2 13" xfId="29656"/>
    <cellStyle name="强调文字颜色 4 2 2 14" xfId="26808"/>
    <cellStyle name="强调文字颜色 4 2 2 2" xfId="29657"/>
    <cellStyle name="强调文字颜色 4 2 2 3" xfId="29658"/>
    <cellStyle name="强调文字颜色 4 2 2 4" xfId="29659"/>
    <cellStyle name="强调文字颜色 4 2 2 5" xfId="29660"/>
    <cellStyle name="强调文字颜色 4 2 2 6" xfId="19510"/>
    <cellStyle name="强调文字颜色 4 2 2 7" xfId="19513"/>
    <cellStyle name="强调文字颜色 4 2 2 8" xfId="19516"/>
    <cellStyle name="强调文字颜色 4 2 2 9" xfId="19519"/>
    <cellStyle name="强调文字颜色 4 2 20" xfId="21238"/>
    <cellStyle name="强调文字颜色 4 2 20 10" xfId="12341"/>
    <cellStyle name="强调文字颜色 4 2 20 11" xfId="7206"/>
    <cellStyle name="强调文字颜色 4 2 20 12" xfId="7212"/>
    <cellStyle name="强调文字颜色 4 2 20 13" xfId="7178"/>
    <cellStyle name="强调文字颜色 4 2 20 14" xfId="16764"/>
    <cellStyle name="强调文字颜色 4 2 20 2" xfId="29661"/>
    <cellStyle name="强调文字颜色 4 2 20 3" xfId="29662"/>
    <cellStyle name="强调文字颜色 4 2 20 4" xfId="29663"/>
    <cellStyle name="强调文字颜色 4 2 20 5" xfId="29664"/>
    <cellStyle name="强调文字颜色 4 2 20 5 10" xfId="2013"/>
    <cellStyle name="强调文字颜色 4 2 20 5 11" xfId="29665"/>
    <cellStyle name="强调文字颜色 4 2 20 5 2" xfId="4299"/>
    <cellStyle name="强调文字颜色 4 2 20 5 2 2" xfId="934"/>
    <cellStyle name="强调文字颜色 4 2 20 5 2 2 2" xfId="29667"/>
    <cellStyle name="强调文字颜色 4 2 20 5 2 2 3" xfId="29669"/>
    <cellStyle name="强调文字颜色 4 2 20 5 2 3" xfId="973"/>
    <cellStyle name="强调文字颜色 4 2 20 5 2 4" xfId="29672"/>
    <cellStyle name="强调文字颜色 4 2 20 5 2 5" xfId="29674"/>
    <cellStyle name="强调文字颜色 4 2 20 5 2 6" xfId="29676"/>
    <cellStyle name="强调文字颜色 4 2 20 5 2 7" xfId="21666"/>
    <cellStyle name="强调文字颜色 4 2 20 5 2 8" xfId="21249"/>
    <cellStyle name="强调文字颜色 4 2 20 5 3" xfId="3965"/>
    <cellStyle name="强调文字颜色 4 2 20 5 4" xfId="3990"/>
    <cellStyle name="强调文字颜色 4 2 20 5 5" xfId="4923"/>
    <cellStyle name="强调文字颜色 4 2 20 5 6" xfId="5225"/>
    <cellStyle name="强调文字颜色 4 2 20 5 6 2" xfId="3689"/>
    <cellStyle name="强调文字颜色 4 2 20 5 6 3" xfId="3693"/>
    <cellStyle name="强调文字颜色 4 2 20 5 7" xfId="2846"/>
    <cellStyle name="强调文字颜色 4 2 20 5 8" xfId="2868"/>
    <cellStyle name="强调文字颜色 4 2 20 5 9" xfId="2886"/>
    <cellStyle name="强调文字颜色 4 2 20 6" xfId="29677"/>
    <cellStyle name="强调文字颜色 4 2 20 6 2" xfId="12315"/>
    <cellStyle name="强调文字颜色 4 2 20 6 2 2" xfId="2932"/>
    <cellStyle name="强调文字颜色 4 2 20 6 2 3" xfId="11332"/>
    <cellStyle name="强调文字颜色 4 2 20 6 3" xfId="2952"/>
    <cellStyle name="强调文字颜色 4 2 20 6 4" xfId="2967"/>
    <cellStyle name="强调文字颜色 4 2 20 6 5" xfId="21582"/>
    <cellStyle name="强调文字颜色 4 2 20 6 6" xfId="27038"/>
    <cellStyle name="强调文字颜色 4 2 20 6 7" xfId="27040"/>
    <cellStyle name="强调文字颜色 4 2 20 6 8" xfId="29678"/>
    <cellStyle name="强调文字颜色 4 2 20 7" xfId="29681"/>
    <cellStyle name="强调文字颜色 4 2 20 8" xfId="17665"/>
    <cellStyle name="强调文字颜色 4 2 20 9" xfId="17667"/>
    <cellStyle name="强调文字颜色 4 2 20 9 2" xfId="6203"/>
    <cellStyle name="强调文字颜色 4 2 20 9 3" xfId="12095"/>
    <cellStyle name="强调文字颜色 4 2 3" xfId="29682"/>
    <cellStyle name="强调文字颜色 4 2 3 10" xfId="25798"/>
    <cellStyle name="强调文字颜色 4 2 3 11" xfId="20603"/>
    <cellStyle name="强调文字颜色 4 2 3 12" xfId="20606"/>
    <cellStyle name="强调文字颜色 4 2 3 13" xfId="15004"/>
    <cellStyle name="强调文字颜色 4 2 3 14" xfId="15178"/>
    <cellStyle name="强调文字颜色 4 2 3 2" xfId="29683"/>
    <cellStyle name="强调文字颜色 4 2 3 3" xfId="25305"/>
    <cellStyle name="强调文字颜色 4 2 3 4" xfId="25310"/>
    <cellStyle name="强调文字颜色 4 2 3 5" xfId="24599"/>
    <cellStyle name="强调文字颜色 4 2 3 6" xfId="25312"/>
    <cellStyle name="强调文字颜色 4 2 3 7" xfId="25314"/>
    <cellStyle name="强调文字颜色 4 2 3 8" xfId="25316"/>
    <cellStyle name="强调文字颜色 4 2 3 9" xfId="25318"/>
    <cellStyle name="强调文字颜色 4 2 4" xfId="29684"/>
    <cellStyle name="强调文字颜色 4 2 4 10" xfId="29685"/>
    <cellStyle name="强调文字颜色 4 2 4 11" xfId="29686"/>
    <cellStyle name="强调文字颜色 4 2 4 12" xfId="25142"/>
    <cellStyle name="强调文字颜色 4 2 4 13" xfId="25218"/>
    <cellStyle name="强调文字颜色 4 2 4 14" xfId="25231"/>
    <cellStyle name="强调文字颜色 4 2 4 2" xfId="7278"/>
    <cellStyle name="强调文字颜色 4 2 4 3" xfId="25321"/>
    <cellStyle name="强调文字颜色 4 2 4 4" xfId="25328"/>
    <cellStyle name="强调文字颜色 4 2 4 5" xfId="25330"/>
    <cellStyle name="强调文字颜色 4 2 4 6" xfId="25332"/>
    <cellStyle name="强调文字颜色 4 2 4 7" xfId="24683"/>
    <cellStyle name="强调文字颜色 4 2 4 8" xfId="24686"/>
    <cellStyle name="强调文字颜色 4 2 4 9" xfId="24689"/>
    <cellStyle name="强调文字颜色 4 2 5" xfId="29687"/>
    <cellStyle name="强调文字颜色 4 2 6" xfId="29688"/>
    <cellStyle name="强调文字颜色 4 2 7" xfId="29689"/>
    <cellStyle name="强调文字颜色 4 2 8" xfId="29690"/>
    <cellStyle name="强调文字颜色 4 2 9" xfId="29691"/>
    <cellStyle name="强调文字颜色 4 3" xfId="29692"/>
    <cellStyle name="强调文字颜色 4 3 10" xfId="2323"/>
    <cellStyle name="强调文字颜色 4 3 11" xfId="20299"/>
    <cellStyle name="强调文字颜色 4 3 12" xfId="20303"/>
    <cellStyle name="强调文字颜色 4 3 13" xfId="20309"/>
    <cellStyle name="强调文字颜色 4 3 14" xfId="4437"/>
    <cellStyle name="强调文字颜色 4 3 15" xfId="4451"/>
    <cellStyle name="强调文字颜色 4 3 16" xfId="4467"/>
    <cellStyle name="强调文字颜色 4 3 17" xfId="4481"/>
    <cellStyle name="强调文字颜色 4 3 17 10" xfId="28143"/>
    <cellStyle name="强调文字颜色 4 3 17 11" xfId="28153"/>
    <cellStyle name="强调文字颜色 4 3 17 12" xfId="28156"/>
    <cellStyle name="强调文字颜色 4 3 17 13" xfId="28159"/>
    <cellStyle name="强调文字颜色 4 3 17 14" xfId="28729"/>
    <cellStyle name="强调文字颜色 4 3 17 2" xfId="13527"/>
    <cellStyle name="强调文字颜色 4 3 17 2 2" xfId="24179"/>
    <cellStyle name="强调文字颜色 4 3 17 3" xfId="13530"/>
    <cellStyle name="强调文字颜色 4 3 17 4" xfId="21552"/>
    <cellStyle name="强调文字颜色 4 3 17 5" xfId="21554"/>
    <cellStyle name="强调文字颜色 4 3 17 5 10" xfId="29693"/>
    <cellStyle name="强调文字颜色 4 3 17 5 11" xfId="29695"/>
    <cellStyle name="强调文字颜色 4 3 17 5 2" xfId="1372"/>
    <cellStyle name="强调文字颜色 4 3 17 5 2 2" xfId="29697"/>
    <cellStyle name="强调文字颜色 4 3 17 5 2 2 2" xfId="29698"/>
    <cellStyle name="强调文字颜色 4 3 17 5 2 2 3" xfId="29699"/>
    <cellStyle name="强调文字颜色 4 3 17 5 2 3" xfId="6621"/>
    <cellStyle name="强调文字颜色 4 3 17 5 2 4" xfId="6629"/>
    <cellStyle name="强调文字颜色 4 3 17 5 2 5" xfId="6636"/>
    <cellStyle name="强调文字颜色 4 3 17 5 2 6" xfId="6642"/>
    <cellStyle name="强调文字颜色 4 3 17 5 2 7" xfId="6649"/>
    <cellStyle name="强调文字颜色 4 3 17 5 2 8" xfId="322"/>
    <cellStyle name="强调文字颜色 4 3 17 5 3" xfId="1385"/>
    <cellStyle name="强调文字颜色 4 3 17 5 4" xfId="1397"/>
    <cellStyle name="强调文字颜色 4 3 17 5 5" xfId="1413"/>
    <cellStyle name="强调文字颜色 4 3 17 5 6" xfId="1677"/>
    <cellStyle name="强调文字颜色 4 3 17 5 6 2" xfId="12515"/>
    <cellStyle name="强调文字颜色 4 3 17 5 6 3" xfId="12525"/>
    <cellStyle name="强调文字颜色 4 3 17 5 7" xfId="20260"/>
    <cellStyle name="强调文字颜色 4 3 17 5 8" xfId="29700"/>
    <cellStyle name="强调文字颜色 4 3 17 5 9" xfId="29701"/>
    <cellStyle name="强调文字颜色 4 3 17 6" xfId="21557"/>
    <cellStyle name="强调文字颜色 4 3 17 6 2" xfId="1965"/>
    <cellStyle name="强调文字颜色 4 3 17 6 2 2" xfId="10183"/>
    <cellStyle name="强调文字颜色 4 3 17 6 2 3" xfId="10191"/>
    <cellStyle name="强调文字颜色 4 3 17 6 3" xfId="1976"/>
    <cellStyle name="强调文字颜色 4 3 17 6 4" xfId="1994"/>
    <cellStyle name="强调文字颜色 4 3 17 6 5" xfId="2014"/>
    <cellStyle name="强调文字颜色 4 3 17 6 6" xfId="29666"/>
    <cellStyle name="强调文字颜色 4 3 17 6 7" xfId="29702"/>
    <cellStyle name="强调文字颜色 4 3 17 6 8" xfId="18717"/>
    <cellStyle name="强调文字颜色 4 3 17 7" xfId="21560"/>
    <cellStyle name="强调文字颜色 4 3 17 8" xfId="2789"/>
    <cellStyle name="强调文字颜色 4 3 17 9" xfId="12106"/>
    <cellStyle name="强调文字颜色 4 3 17 9 2" xfId="10034"/>
    <cellStyle name="强调文字颜色 4 3 17 9 3" xfId="10038"/>
    <cellStyle name="强调文字颜色 4 3 18" xfId="4495"/>
    <cellStyle name="强调文字颜色 4 3 18 10" xfId="29703"/>
    <cellStyle name="强调文字颜色 4 3 18 11" xfId="29704"/>
    <cellStyle name="强调文字颜色 4 3 18 12" xfId="29705"/>
    <cellStyle name="强调文字颜色 4 3 18 13" xfId="29706"/>
    <cellStyle name="强调文字颜色 4 3 18 14" xfId="28739"/>
    <cellStyle name="强调文字颜色 4 3 18 2" xfId="29707"/>
    <cellStyle name="强调文字颜色 4 3 18 3" xfId="8690"/>
    <cellStyle name="强调文字颜色 4 3 18 4" xfId="8699"/>
    <cellStyle name="强调文字颜色 4 3 18 5" xfId="4971"/>
    <cellStyle name="强调文字颜色 4 3 18 5 10" xfId="29708"/>
    <cellStyle name="强调文字颜色 4 3 18 5 11" xfId="29710"/>
    <cellStyle name="强调文字颜色 4 3 18 5 2" xfId="7377"/>
    <cellStyle name="强调文字颜色 4 3 18 5 2 2" xfId="29712"/>
    <cellStyle name="强调文字颜色 4 3 18 5 2 2 2" xfId="29713"/>
    <cellStyle name="强调文字颜色 4 3 18 5 2 2 3" xfId="29714"/>
    <cellStyle name="强调文字颜色 4 3 18 5 2 3" xfId="23787"/>
    <cellStyle name="强调文字颜色 4 3 18 5 2 4" xfId="23789"/>
    <cellStyle name="强调文字颜色 4 3 18 5 2 5" xfId="23791"/>
    <cellStyle name="强调文字颜色 4 3 18 5 2 6" xfId="23793"/>
    <cellStyle name="强调文字颜色 4 3 18 5 2 7" xfId="17796"/>
    <cellStyle name="强调文字颜色 4 3 18 5 2 8" xfId="2431"/>
    <cellStyle name="强调文字颜色 4 3 18 5 3" xfId="7383"/>
    <cellStyle name="强调文字颜色 4 3 18 5 4" xfId="760"/>
    <cellStyle name="强调文字颜色 4 3 18 5 5" xfId="492"/>
    <cellStyle name="强调文字颜色 4 3 18 5 6" xfId="10131"/>
    <cellStyle name="强调文字颜色 4 3 18 5 6 2" xfId="29715"/>
    <cellStyle name="强调文字颜色 4 3 18 5 6 3" xfId="29716"/>
    <cellStyle name="强调文字颜色 4 3 18 5 7" xfId="11479"/>
    <cellStyle name="强调文字颜色 4 3 18 5 8" xfId="11482"/>
    <cellStyle name="强调文字颜色 4 3 18 5 9" xfId="4222"/>
    <cellStyle name="强调文字颜色 4 3 18 6" xfId="4975"/>
    <cellStyle name="强调文字颜色 4 3 18 6 2" xfId="29717"/>
    <cellStyle name="强调文字颜色 4 3 18 6 2 2" xfId="29718"/>
    <cellStyle name="强调文字颜色 4 3 18 6 2 3" xfId="29719"/>
    <cellStyle name="强调文字颜色 4 3 18 6 3" xfId="29720"/>
    <cellStyle name="强调文字颜色 4 3 18 6 4" xfId="29721"/>
    <cellStyle name="强调文字颜色 4 3 18 6 5" xfId="29722"/>
    <cellStyle name="强调文字颜色 4 3 18 6 6" xfId="28630"/>
    <cellStyle name="强调文字颜色 4 3 18 6 7" xfId="28632"/>
    <cellStyle name="强调文字颜色 4 3 18 6 8" xfId="28634"/>
    <cellStyle name="强调文字颜色 4 3 18 7" xfId="6258"/>
    <cellStyle name="强调文字颜色 4 3 18 8" xfId="6267"/>
    <cellStyle name="强调文字颜色 4 3 18 9" xfId="6275"/>
    <cellStyle name="强调文字颜色 4 3 18 9 2" xfId="29724"/>
    <cellStyle name="强调文字颜色 4 3 18 9 3" xfId="29726"/>
    <cellStyle name="强调文字颜色 4 3 19" xfId="4505"/>
    <cellStyle name="强调文字颜色 4 3 19 10" xfId="29727"/>
    <cellStyle name="强调文字颜色 4 3 19 11" xfId="26933"/>
    <cellStyle name="强调文字颜色 4 3 19 12" xfId="26936"/>
    <cellStyle name="强调文字颜色 4 3 19 13" xfId="26938"/>
    <cellStyle name="强调文字颜色 4 3 19 14" xfId="26940"/>
    <cellStyle name="强调文字颜色 4 3 19 2" xfId="29728"/>
    <cellStyle name="强调文字颜色 4 3 19 3" xfId="29729"/>
    <cellStyle name="强调文字颜色 4 3 19 4" xfId="29730"/>
    <cellStyle name="强调文字颜色 4 3 19 5" xfId="24581"/>
    <cellStyle name="强调文字颜色 4 3 19 5 10" xfId="29731"/>
    <cellStyle name="强调文字颜色 4 3 19 5 11" xfId="17389"/>
    <cellStyle name="强调文字颜色 4 3 19 5 2" xfId="415"/>
    <cellStyle name="强调文字颜色 4 3 19 5 2 2" xfId="481"/>
    <cellStyle name="强调文字颜色 4 3 19 5 2 2 2" xfId="20009"/>
    <cellStyle name="强调文字颜色 4 3 19 5 2 2 3" xfId="20011"/>
    <cellStyle name="强调文字颜色 4 3 19 5 2 3" xfId="4338"/>
    <cellStyle name="强调文字颜色 4 3 19 5 2 4" xfId="24314"/>
    <cellStyle name="强调文字颜色 4 3 19 5 2 5" xfId="24318"/>
    <cellStyle name="强调文字颜色 4 3 19 5 2 6" xfId="24322"/>
    <cellStyle name="强调文字颜色 4 3 19 5 2 7" xfId="17843"/>
    <cellStyle name="强调文字颜色 4 3 19 5 2 8" xfId="17853"/>
    <cellStyle name="强调文字颜色 4 3 19 5 3" xfId="23859"/>
    <cellStyle name="强调文字颜色 4 3 19 5 4" xfId="23861"/>
    <cellStyle name="强调文字颜色 4 3 19 5 5" xfId="666"/>
    <cellStyle name="强调文字颜色 4 3 19 5 6" xfId="11297"/>
    <cellStyle name="强调文字颜色 4 3 19 5 6 2" xfId="29733"/>
    <cellStyle name="强调文字颜色 4 3 19 5 6 3" xfId="29734"/>
    <cellStyle name="强调文字颜色 4 3 19 5 7" xfId="29735"/>
    <cellStyle name="强调文字颜色 4 3 19 5 8" xfId="29736"/>
    <cellStyle name="强调文字颜色 4 3 19 5 9" xfId="15182"/>
    <cellStyle name="强调文字颜色 4 3 19 6" xfId="29737"/>
    <cellStyle name="强调文字颜色 4 3 19 6 2" xfId="17748"/>
    <cellStyle name="强调文字颜色 4 3 19 6 2 2" xfId="13334"/>
    <cellStyle name="强调文字颜色 4 3 19 6 2 3" xfId="13336"/>
    <cellStyle name="强调文字颜色 4 3 19 6 3" xfId="29738"/>
    <cellStyle name="强调文字颜色 4 3 19 6 4" xfId="29739"/>
    <cellStyle name="强调文字颜色 4 3 19 6 5" xfId="29740"/>
    <cellStyle name="强调文字颜色 4 3 19 6 6" xfId="29741"/>
    <cellStyle name="强调文字颜色 4 3 19 6 7" xfId="29742"/>
    <cellStyle name="强调文字颜色 4 3 19 6 8" xfId="29743"/>
    <cellStyle name="强调文字颜色 4 3 19 7" xfId="29744"/>
    <cellStyle name="强调文字颜色 4 3 19 8" xfId="29745"/>
    <cellStyle name="强调文字颜色 4 3 19 9" xfId="29746"/>
    <cellStyle name="强调文字颜色 4 3 19 9 2" xfId="29748"/>
    <cellStyle name="强调文字颜色 4 3 19 9 3" xfId="29749"/>
    <cellStyle name="强调文字颜色 4 3 2" xfId="11667"/>
    <cellStyle name="强调文字颜色 4 3 2 10" xfId="29751"/>
    <cellStyle name="强调文字颜色 4 3 2 11" xfId="21641"/>
    <cellStyle name="强调文字颜色 4 3 2 12" xfId="21691"/>
    <cellStyle name="强调文字颜色 4 3 2 13" xfId="21721"/>
    <cellStyle name="强调文字颜色 4 3 2 14" xfId="21733"/>
    <cellStyle name="强调文字颜色 4 3 2 2" xfId="29752"/>
    <cellStyle name="强调文字颜色 4 3 2 3" xfId="29753"/>
    <cellStyle name="强调文字颜色 4 3 2 4" xfId="29754"/>
    <cellStyle name="强调文字颜色 4 3 2 5" xfId="29755"/>
    <cellStyle name="强调文字颜色 4 3 2 6" xfId="29756"/>
    <cellStyle name="强调文字颜色 4 3 2 7" xfId="29757"/>
    <cellStyle name="强调文字颜色 4 3 2 8" xfId="29758"/>
    <cellStyle name="强调文字颜色 4 3 2 9" xfId="29759"/>
    <cellStyle name="强调文字颜色 4 3 20" xfId="4452"/>
    <cellStyle name="强调文字颜色 4 3 20 10" xfId="29761"/>
    <cellStyle name="强调文字颜色 4 3 20 11" xfId="29763"/>
    <cellStyle name="强调文字颜色 4 3 20 12" xfId="29344"/>
    <cellStyle name="强调文字颜色 4 3 20 13" xfId="29347"/>
    <cellStyle name="强调文字颜色 4 3 20 14" xfId="28387"/>
    <cellStyle name="强调文字颜色 4 3 20 2" xfId="29764"/>
    <cellStyle name="强调文字颜色 4 3 20 3" xfId="22599"/>
    <cellStyle name="强调文字颜色 4 3 20 4" xfId="22601"/>
    <cellStyle name="强调文字颜色 4 3 20 5" xfId="22603"/>
    <cellStyle name="强调文字颜色 4 3 20 5 10" xfId="11614"/>
    <cellStyle name="强调文字颜色 4 3 20 5 11" xfId="11621"/>
    <cellStyle name="强调文字颜色 4 3 20 5 2" xfId="28603"/>
    <cellStyle name="强调文字颜色 4 3 20 5 2 2" xfId="8554"/>
    <cellStyle name="强调文字颜色 4 3 20 5 2 2 2" xfId="23091"/>
    <cellStyle name="强调文字颜色 4 3 20 5 2 2 3" xfId="23095"/>
    <cellStyle name="强调文字颜色 4 3 20 5 2 3" xfId="8561"/>
    <cellStyle name="强调文字颜色 4 3 20 5 2 4" xfId="21361"/>
    <cellStyle name="强调文字颜色 4 3 20 5 2 5" xfId="21367"/>
    <cellStyle name="强调文字颜色 4 3 20 5 2 6" xfId="21373"/>
    <cellStyle name="强调文字颜色 4 3 20 5 2 7" xfId="21723"/>
    <cellStyle name="强调文字颜色 4 3 20 5 2 8" xfId="21727"/>
    <cellStyle name="强调文字颜色 4 3 20 5 3" xfId="28605"/>
    <cellStyle name="强调文字颜色 4 3 20 5 4" xfId="28607"/>
    <cellStyle name="强调文字颜色 4 3 20 5 5" xfId="29765"/>
    <cellStyle name="强调文字颜色 4 3 20 5 6" xfId="29766"/>
    <cellStyle name="强调文字颜色 4 3 20 5 6 2" xfId="29767"/>
    <cellStyle name="强调文字颜色 4 3 20 5 6 3" xfId="29768"/>
    <cellStyle name="强调文字颜色 4 3 20 5 7" xfId="29769"/>
    <cellStyle name="强调文字颜色 4 3 20 5 8" xfId="29770"/>
    <cellStyle name="强调文字颜色 4 3 20 5 9" xfId="23514"/>
    <cellStyle name="强调文字颜色 4 3 20 6" xfId="22605"/>
    <cellStyle name="强调文字颜色 4 3 20 6 2" xfId="8596"/>
    <cellStyle name="强调文字颜色 4 3 20 6 2 2" xfId="21764"/>
    <cellStyle name="强调文字颜色 4 3 20 6 2 3" xfId="21770"/>
    <cellStyle name="强调文字颜色 4 3 20 6 3" xfId="8602"/>
    <cellStyle name="强调文字颜色 4 3 20 6 4" xfId="8613"/>
    <cellStyle name="强调文字颜色 4 3 20 6 5" xfId="21775"/>
    <cellStyle name="强调文字颜色 4 3 20 6 6" xfId="29771"/>
    <cellStyle name="强调文字颜色 4 3 20 6 7" xfId="29773"/>
    <cellStyle name="强调文字颜色 4 3 20 6 8" xfId="26566"/>
    <cellStyle name="强调文字颜色 4 3 20 7" xfId="22607"/>
    <cellStyle name="强调文字颜色 4 3 20 8" xfId="29775"/>
    <cellStyle name="强调文字颜色 4 3 20 9" xfId="29776"/>
    <cellStyle name="强调文字颜色 4 3 20 9 2" xfId="13771"/>
    <cellStyle name="强调文字颜色 4 3 20 9 3" xfId="13778"/>
    <cellStyle name="强调文字颜色 4 3 3" xfId="29777"/>
    <cellStyle name="强调文字颜色 4 3 3 10" xfId="3648"/>
    <cellStyle name="强调文字颜色 4 3 3 11" xfId="3655"/>
    <cellStyle name="强调文字颜色 4 3 3 12" xfId="17191"/>
    <cellStyle name="强调文字颜色 4 3 3 13" xfId="17194"/>
    <cellStyle name="强调文字颜色 4 3 3 14" xfId="19081"/>
    <cellStyle name="强调文字颜色 4 3 3 2" xfId="29778"/>
    <cellStyle name="强调文字颜色 4 3 3 3" xfId="25348"/>
    <cellStyle name="强调文字颜色 4 3 3 4" xfId="25360"/>
    <cellStyle name="强调文字颜色 4 3 3 5" xfId="25363"/>
    <cellStyle name="强调文字颜色 4 3 3 6" xfId="25366"/>
    <cellStyle name="强调文字颜色 4 3 3 7" xfId="25369"/>
    <cellStyle name="强调文字颜色 4 3 3 8" xfId="25374"/>
    <cellStyle name="强调文字颜色 4 3 3 9" xfId="25377"/>
    <cellStyle name="强调文字颜色 4 3 4" xfId="29780"/>
    <cellStyle name="强调文字颜色 4 3 4 10" xfId="12877"/>
    <cellStyle name="强调文字颜色 4 3 4 11" xfId="12890"/>
    <cellStyle name="强调文字颜色 4 3 4 12" xfId="12893"/>
    <cellStyle name="强调文字颜色 4 3 4 13" xfId="12896"/>
    <cellStyle name="强调文字颜色 4 3 4 14" xfId="12900"/>
    <cellStyle name="强调文字颜色 4 3 4 2" xfId="24767"/>
    <cellStyle name="强调文字颜色 4 3 4 3" xfId="25380"/>
    <cellStyle name="强调文字颜色 4 3 4 4" xfId="25386"/>
    <cellStyle name="强调文字颜色 4 3 4 5" xfId="25389"/>
    <cellStyle name="强调文字颜色 4 3 4 6" xfId="25392"/>
    <cellStyle name="强调文字颜色 4 3 4 7" xfId="25395"/>
    <cellStyle name="强调文字颜色 4 3 4 8" xfId="25398"/>
    <cellStyle name="强调文字颜色 4 3 4 9" xfId="25401"/>
    <cellStyle name="强调文字颜色 4 3 5" xfId="29781"/>
    <cellStyle name="强调文字颜色 4 3 6" xfId="11683"/>
    <cellStyle name="强调文字颜色 4 3 7" xfId="20372"/>
    <cellStyle name="强调文字颜色 4 3 8" xfId="29782"/>
    <cellStyle name="强调文字颜色 4 3 9" xfId="4530"/>
    <cellStyle name="强调文字颜色 4 4" xfId="29783"/>
    <cellStyle name="强调文字颜色 4 4 10" xfId="29785"/>
    <cellStyle name="强调文字颜色 4 4 11" xfId="29787"/>
    <cellStyle name="强调文字颜色 4 4 12" xfId="11778"/>
    <cellStyle name="强调文字颜色 4 4 13" xfId="11788"/>
    <cellStyle name="强调文字颜色 4 4 14" xfId="20943"/>
    <cellStyle name="强调文字颜色 4 4 15" xfId="20946"/>
    <cellStyle name="强调文字颜色 4 4 16" xfId="20950"/>
    <cellStyle name="强调文字颜色 4 4 17" xfId="27575"/>
    <cellStyle name="强调文字颜色 4 4 17 10" xfId="29788"/>
    <cellStyle name="强调文字颜色 4 4 17 11" xfId="29789"/>
    <cellStyle name="强调文字颜色 4 4 17 12" xfId="29790"/>
    <cellStyle name="强调文字颜色 4 4 17 13" xfId="29791"/>
    <cellStyle name="强调文字颜色 4 4 17 14" xfId="29792"/>
    <cellStyle name="强调文字颜色 4 4 17 2" xfId="29793"/>
    <cellStyle name="强调文字颜色 4 4 17 3" xfId="22933"/>
    <cellStyle name="强调文字颜色 4 4 17 4" xfId="22940"/>
    <cellStyle name="强调文字颜色 4 4 17 5" xfId="22943"/>
    <cellStyle name="强调文字颜色 4 4 17 5 10" xfId="29795"/>
    <cellStyle name="强调文字颜色 4 4 17 5 11" xfId="29796"/>
    <cellStyle name="强调文字颜色 4 4 17 5 2" xfId="29797"/>
    <cellStyle name="强调文字颜色 4 4 17 5 2 2" xfId="9518"/>
    <cellStyle name="强调文字颜色 4 4 17 5 2 2 2" xfId="29798"/>
    <cellStyle name="强调文字颜色 4 4 17 5 2 2 3" xfId="29799"/>
    <cellStyle name="强调文字颜色 4 4 17 5 2 3" xfId="9531"/>
    <cellStyle name="强调文字颜色 4 4 17 5 2 4" xfId="9807"/>
    <cellStyle name="强调文字颜色 4 4 17 5 2 5" xfId="10967"/>
    <cellStyle name="强调文字颜色 4 4 17 5 2 6" xfId="10972"/>
    <cellStyle name="强调文字颜色 4 4 17 5 2 7" xfId="10977"/>
    <cellStyle name="强调文字颜色 4 4 17 5 2 8" xfId="29800"/>
    <cellStyle name="强调文字颜色 4 4 17 5 3" xfId="29801"/>
    <cellStyle name="强调文字颜色 4 4 17 5 4" xfId="29802"/>
    <cellStyle name="强调文字颜色 4 4 17 5 5" xfId="29803"/>
    <cellStyle name="强调文字颜色 4 4 17 5 6" xfId="29804"/>
    <cellStyle name="强调文字颜色 4 4 17 5 6 2" xfId="29806"/>
    <cellStyle name="强调文字颜色 4 4 17 5 6 3" xfId="29807"/>
    <cellStyle name="强调文字颜色 4 4 17 5 7" xfId="24238"/>
    <cellStyle name="强调文字颜色 4 4 17 5 8" xfId="24240"/>
    <cellStyle name="强调文字颜色 4 4 17 5 9" xfId="24242"/>
    <cellStyle name="强调文字颜色 4 4 17 6" xfId="22945"/>
    <cellStyle name="强调文字颜色 4 4 17 6 2" xfId="29808"/>
    <cellStyle name="强调文字颜色 4 4 17 6 2 2" xfId="11631"/>
    <cellStyle name="强调文字颜色 4 4 17 6 2 3" xfId="11634"/>
    <cellStyle name="强调文字颜色 4 4 17 6 3" xfId="29809"/>
    <cellStyle name="强调文字颜色 4 4 17 6 4" xfId="29810"/>
    <cellStyle name="强调文字颜色 4 4 17 6 5" xfId="29811"/>
    <cellStyle name="强调文字颜色 4 4 17 6 6" xfId="29812"/>
    <cellStyle name="强调文字颜色 4 4 17 6 7" xfId="29813"/>
    <cellStyle name="强调文字颜色 4 4 17 6 8" xfId="29814"/>
    <cellStyle name="强调文字颜色 4 4 17 7" xfId="22947"/>
    <cellStyle name="强调文字颜色 4 4 17 8" xfId="22949"/>
    <cellStyle name="强调文字颜色 4 4 17 9" xfId="22951"/>
    <cellStyle name="强调文字颜色 4 4 17 9 2" xfId="29815"/>
    <cellStyle name="强调文字颜色 4 4 17 9 3" xfId="29816"/>
    <cellStyle name="强调文字颜色 4 4 18" xfId="27577"/>
    <cellStyle name="强调文字颜色 4 4 18 10" xfId="29817"/>
    <cellStyle name="强调文字颜色 4 4 18 11" xfId="14411"/>
    <cellStyle name="强调文字颜色 4 4 18 12" xfId="14414"/>
    <cellStyle name="强调文字颜色 4 4 18 13" xfId="22692"/>
    <cellStyle name="强调文字颜色 4 4 18 14" xfId="22694"/>
    <cellStyle name="强调文字颜色 4 4 18 2" xfId="29818"/>
    <cellStyle name="强调文字颜色 4 4 18 3" xfId="5015"/>
    <cellStyle name="强调文字颜色 4 4 18 4" xfId="5017"/>
    <cellStyle name="强调文字颜色 4 4 18 5" xfId="5019"/>
    <cellStyle name="强调文字颜色 4 4 18 5 10" xfId="29820"/>
    <cellStyle name="强调文字颜色 4 4 18 5 11" xfId="29653"/>
    <cellStyle name="强调文字颜色 4 4 18 5 2" xfId="9803"/>
    <cellStyle name="强调文字颜色 4 4 18 5 2 2" xfId="16900"/>
    <cellStyle name="强调文字颜色 4 4 18 5 2 2 2" xfId="381"/>
    <cellStyle name="强调文字颜色 4 4 18 5 2 2 3" xfId="1771"/>
    <cellStyle name="强调文字颜色 4 4 18 5 2 3" xfId="16903"/>
    <cellStyle name="强调文字颜色 4 4 18 5 2 4" xfId="16928"/>
    <cellStyle name="强调文字颜色 4 4 18 5 2 5" xfId="16946"/>
    <cellStyle name="强调文字颜色 4 4 18 5 2 6" xfId="16949"/>
    <cellStyle name="强调文字颜色 4 4 18 5 2 7" xfId="16955"/>
    <cellStyle name="强调文字颜色 4 4 18 5 2 8" xfId="27322"/>
    <cellStyle name="强调文字颜色 4 4 18 5 3" xfId="9527"/>
    <cellStyle name="强调文字颜色 4 4 18 5 4" xfId="9538"/>
    <cellStyle name="强调文字颜色 4 4 18 5 5" xfId="9813"/>
    <cellStyle name="强调文字颜色 4 4 18 5 6" xfId="14723"/>
    <cellStyle name="强调文字颜色 4 4 18 5 6 2" xfId="24328"/>
    <cellStyle name="强调文字颜色 4 4 18 5 6 3" xfId="24332"/>
    <cellStyle name="强调文字颜色 4 4 18 5 7" xfId="14727"/>
    <cellStyle name="强调文字颜色 4 4 18 5 8" xfId="16546"/>
    <cellStyle name="强调文字颜色 4 4 18 5 9" xfId="16550"/>
    <cellStyle name="强调文字颜色 4 4 18 6" xfId="5023"/>
    <cellStyle name="强调文字颜色 4 4 18 6 2" xfId="29821"/>
    <cellStyle name="强调文字颜色 4 4 18 6 2 2" xfId="892"/>
    <cellStyle name="强调文字颜色 4 4 18 6 2 3" xfId="23451"/>
    <cellStyle name="强调文字颜色 4 4 18 6 3" xfId="29822"/>
    <cellStyle name="强调文字颜色 4 4 18 6 4" xfId="29823"/>
    <cellStyle name="强调文字颜色 4 4 18 6 5" xfId="29824"/>
    <cellStyle name="强调文字颜色 4 4 18 6 6" xfId="29283"/>
    <cellStyle name="强调文字颜色 4 4 18 6 7" xfId="22723"/>
    <cellStyle name="强调文字颜色 4 4 18 6 8" xfId="22727"/>
    <cellStyle name="强调文字颜色 4 4 18 7" xfId="5026"/>
    <cellStyle name="强调文字颜色 4 4 18 8" xfId="29825"/>
    <cellStyle name="强调文字颜色 4 4 18 9" xfId="29826"/>
    <cellStyle name="强调文字颜色 4 4 18 9 2" xfId="8109"/>
    <cellStyle name="强调文字颜色 4 4 18 9 3" xfId="8116"/>
    <cellStyle name="强调文字颜色 4 4 19" xfId="27579"/>
    <cellStyle name="强调文字颜色 4 4 19 10" xfId="29827"/>
    <cellStyle name="强调文字颜色 4 4 19 11" xfId="22736"/>
    <cellStyle name="强调文字颜色 4 4 19 12" xfId="22738"/>
    <cellStyle name="强调文字颜色 4 4 19 13" xfId="22740"/>
    <cellStyle name="强调文字颜色 4 4 19 14" xfId="17284"/>
    <cellStyle name="强调文字颜色 4 4 19 2" xfId="29828"/>
    <cellStyle name="强调文字颜色 4 4 19 3" xfId="29830"/>
    <cellStyle name="强调文字颜色 4 4 19 4" xfId="29832"/>
    <cellStyle name="强调文字颜色 4 4 19 5" xfId="29834"/>
    <cellStyle name="强调文字颜色 4 4 19 5 10" xfId="6003"/>
    <cellStyle name="强调文字颜色 4 4 19 5 11" xfId="6007"/>
    <cellStyle name="强调文字颜色 4 4 19 5 2" xfId="20555"/>
    <cellStyle name="强调文字颜色 4 4 19 5 2 2" xfId="19705"/>
    <cellStyle name="强调文字颜色 4 4 19 5 2 2 2" xfId="29837"/>
    <cellStyle name="强调文字颜色 4 4 19 5 2 2 3" xfId="29839"/>
    <cellStyle name="强调文字颜色 4 4 19 5 2 3" xfId="19707"/>
    <cellStyle name="强调文字颜色 4 4 19 5 2 4" xfId="19709"/>
    <cellStyle name="强调文字颜色 4 4 19 5 2 5" xfId="19711"/>
    <cellStyle name="强调文字颜色 4 4 19 5 2 6" xfId="19714"/>
    <cellStyle name="强调文字颜色 4 4 19 5 2 7" xfId="29841"/>
    <cellStyle name="强调文字颜色 4 4 19 5 2 8" xfId="29843"/>
    <cellStyle name="强调文字颜色 4 4 19 5 3" xfId="20557"/>
    <cellStyle name="强调文字颜色 4 4 19 5 4" xfId="20559"/>
    <cellStyle name="强调文字颜色 4 4 19 5 5" xfId="20561"/>
    <cellStyle name="强调文字颜色 4 4 19 5 6" xfId="20564"/>
    <cellStyle name="强调文字颜色 4 4 19 5 6 2" xfId="17515"/>
    <cellStyle name="强调文字颜色 4 4 19 5 6 3" xfId="17520"/>
    <cellStyle name="强调文字颜色 4 4 19 5 7" xfId="20568"/>
    <cellStyle name="强调文字颜色 4 4 19 5 8" xfId="20572"/>
    <cellStyle name="强调文字颜色 4 4 19 5 9" xfId="20617"/>
    <cellStyle name="强调文字颜色 4 4 19 6" xfId="5003"/>
    <cellStyle name="强调文字颜色 4 4 19 6 2" xfId="18839"/>
    <cellStyle name="强调文字颜色 4 4 19 6 2 2" xfId="28347"/>
    <cellStyle name="强调文字颜色 4 4 19 6 2 3" xfId="28349"/>
    <cellStyle name="强调文字颜色 4 4 19 6 3" xfId="24959"/>
    <cellStyle name="强调文字颜色 4 4 19 6 4" xfId="24961"/>
    <cellStyle name="强调文字颜色 4 4 19 6 5" xfId="24963"/>
    <cellStyle name="强调文字颜色 4 4 19 6 6" xfId="24965"/>
    <cellStyle name="强调文字颜色 4 4 19 6 7" xfId="22761"/>
    <cellStyle name="强调文字颜色 4 4 19 6 8" xfId="22763"/>
    <cellStyle name="强调文字颜色 4 4 19 7" xfId="5006"/>
    <cellStyle name="强调文字颜色 4 4 19 8" xfId="29844"/>
    <cellStyle name="强调文字颜色 4 4 19 9" xfId="29846"/>
    <cellStyle name="强调文字颜色 4 4 19 9 2" xfId="8201"/>
    <cellStyle name="强调文字颜色 4 4 19 9 3" xfId="29847"/>
    <cellStyle name="强调文字颜色 4 4 2" xfId="16568"/>
    <cellStyle name="强调文字颜色 4 4 20" xfId="20947"/>
    <cellStyle name="强调文字颜色 4 4 20 10" xfId="29848"/>
    <cellStyle name="强调文字颜色 4 4 20 11" xfId="29849"/>
    <cellStyle name="强调文字颜色 4 4 20 12" xfId="29850"/>
    <cellStyle name="强调文字颜色 4 4 20 13" xfId="29851"/>
    <cellStyle name="强调文字颜色 4 4 20 14" xfId="29852"/>
    <cellStyle name="强调文字颜色 4 4 20 2" xfId="29855"/>
    <cellStyle name="强调文字颜色 4 4 20 3" xfId="29858"/>
    <cellStyle name="强调文字颜色 4 4 20 4" xfId="29861"/>
    <cellStyle name="强调文字颜色 4 4 20 5" xfId="29864"/>
    <cellStyle name="强调文字颜色 4 4 20 5 10" xfId="29865"/>
    <cellStyle name="强调文字颜色 4 4 20 5 11" xfId="29866"/>
    <cellStyle name="强调文字颜色 4 4 20 5 2" xfId="29867"/>
    <cellStyle name="强调文字颜色 4 4 20 5 2 2" xfId="9178"/>
    <cellStyle name="强调文字颜色 4 4 20 5 2 2 2" xfId="29868"/>
    <cellStyle name="强调文字颜色 4 4 20 5 2 2 3" xfId="29869"/>
    <cellStyle name="强调文字颜色 4 4 20 5 2 3" xfId="9182"/>
    <cellStyle name="强调文字颜色 4 4 20 5 2 4" xfId="19783"/>
    <cellStyle name="强调文字颜色 4 4 20 5 2 5" xfId="19785"/>
    <cellStyle name="强调文字颜色 4 4 20 5 2 6" xfId="19787"/>
    <cellStyle name="强调文字颜色 4 4 20 5 2 7" xfId="29870"/>
    <cellStyle name="强调文字颜色 4 4 20 5 2 8" xfId="22665"/>
    <cellStyle name="强调文字颜色 4 4 20 5 3" xfId="29871"/>
    <cellStyle name="强调文字颜色 4 4 20 5 4" xfId="29872"/>
    <cellStyle name="强调文字颜色 4 4 20 5 5" xfId="29873"/>
    <cellStyle name="强调文字颜色 4 4 20 5 6" xfId="29874"/>
    <cellStyle name="强调文字颜色 4 4 20 5 6 2" xfId="29875"/>
    <cellStyle name="强调文字颜色 4 4 20 5 6 3" xfId="3967"/>
    <cellStyle name="强调文字颜色 4 4 20 5 7" xfId="29876"/>
    <cellStyle name="强调文字颜色 4 4 20 5 8" xfId="29877"/>
    <cellStyle name="强调文字颜色 4 4 20 5 9" xfId="29878"/>
    <cellStyle name="强调文字颜色 4 4 20 6" xfId="4632"/>
    <cellStyle name="强调文字颜色 4 4 20 6 2" xfId="6962"/>
    <cellStyle name="强调文字颜色 4 4 20 6 2 2" xfId="24460"/>
    <cellStyle name="强调文字颜色 4 4 20 6 2 3" xfId="24461"/>
    <cellStyle name="强调文字颜色 4 4 20 6 3" xfId="7592"/>
    <cellStyle name="强调文字颜色 4 4 20 6 4" xfId="7923"/>
    <cellStyle name="强调文字颜色 4 4 20 6 5" xfId="24467"/>
    <cellStyle name="强调文字颜色 4 4 20 6 6" xfId="29879"/>
    <cellStyle name="强调文字颜色 4 4 20 6 7" xfId="29880"/>
    <cellStyle name="强调文字颜色 4 4 20 6 8" xfId="28144"/>
    <cellStyle name="强调文字颜色 4 4 20 7" xfId="7604"/>
    <cellStyle name="强调文字颜色 4 4 20 8" xfId="7611"/>
    <cellStyle name="强调文字颜色 4 4 20 9" xfId="6768"/>
    <cellStyle name="强调文字颜色 4 4 20 9 2" xfId="14458"/>
    <cellStyle name="强调文字颜色 4 4 20 9 3" xfId="14467"/>
    <cellStyle name="强调文字颜色 4 4 3" xfId="16575"/>
    <cellStyle name="强调文字颜色 4 4 4" xfId="16578"/>
    <cellStyle name="强调文字颜色 4 4 5" xfId="16581"/>
    <cellStyle name="强调文字颜色 4 4 6" xfId="29881"/>
    <cellStyle name="强调文字颜色 4 4 7" xfId="17880"/>
    <cellStyle name="强调文字颜色 4 4 8" xfId="17882"/>
    <cellStyle name="强调文字颜色 4 4 9" xfId="29882"/>
    <cellStyle name="强调文字颜色 4 5" xfId="24512"/>
    <cellStyle name="强调文字颜色 4 5 10" xfId="29883"/>
    <cellStyle name="强调文字颜色 4 5 11" xfId="29884"/>
    <cellStyle name="强调文字颜色 4 5 12" xfId="29885"/>
    <cellStyle name="强调文字颜色 4 5 13" xfId="29886"/>
    <cellStyle name="强调文字颜色 4 5 14" xfId="29887"/>
    <cellStyle name="强调文字颜色 4 5 2" xfId="4653"/>
    <cellStyle name="强调文字颜色 4 5 3" xfId="4661"/>
    <cellStyle name="强调文字颜色 4 5 4" xfId="13126"/>
    <cellStyle name="强调文字颜色 4 5 5" xfId="29888"/>
    <cellStyle name="强调文字颜色 4 5 6" xfId="29889"/>
    <cellStyle name="强调文字颜色 4 5 7" xfId="29890"/>
    <cellStyle name="强调文字颜色 4 5 8" xfId="29891"/>
    <cellStyle name="强调文字颜色 4 5 9" xfId="21564"/>
    <cellStyle name="强调文字颜色 4 6" xfId="29893"/>
    <cellStyle name="强调文字颜色 4 6 10" xfId="29894"/>
    <cellStyle name="强调文字颜色 4 6 11" xfId="29895"/>
    <cellStyle name="强调文字颜色 4 6 12" xfId="13054"/>
    <cellStyle name="强调文字颜色 4 6 13" xfId="13059"/>
    <cellStyle name="强调文字颜色 4 6 14" xfId="13064"/>
    <cellStyle name="强调文字颜色 4 6 2" xfId="29896"/>
    <cellStyle name="强调文字颜色 4 6 3" xfId="29897"/>
    <cellStyle name="强调文字颜色 4 6 4" xfId="29898"/>
    <cellStyle name="强调文字颜色 4 6 5" xfId="29899"/>
    <cellStyle name="强调文字颜色 4 6 6" xfId="29900"/>
    <cellStyle name="强调文字颜色 4 6 7" xfId="29901"/>
    <cellStyle name="强调文字颜色 4 6 8" xfId="25513"/>
    <cellStyle name="强调文字颜色 4 6 9" xfId="29902"/>
    <cellStyle name="强调文字颜色 4 7" xfId="29903"/>
    <cellStyle name="强调文字颜色 4 8" xfId="29904"/>
    <cellStyle name="强调文字颜色 4 9" xfId="29905"/>
    <cellStyle name="强调文字颜色 5 10" xfId="29906"/>
    <cellStyle name="强调文字颜色 5 11" xfId="29908"/>
    <cellStyle name="强调文字颜色 5 12" xfId="22973"/>
    <cellStyle name="强调文字颜色 5 12 10" xfId="14130"/>
    <cellStyle name="强调文字颜色 5 12 11" xfId="23055"/>
    <cellStyle name="强调文字颜色 5 12 12" xfId="23058"/>
    <cellStyle name="强调文字颜色 5 12 13" xfId="23060"/>
    <cellStyle name="强调文字颜色 5 12 14" xfId="29910"/>
    <cellStyle name="强调文字颜色 5 12 2" xfId="7804"/>
    <cellStyle name="强调文字颜色 5 12 3" xfId="18695"/>
    <cellStyle name="强调文字颜色 5 12 4" xfId="25520"/>
    <cellStyle name="强调文字颜色 5 12 5" xfId="29911"/>
    <cellStyle name="强调文字颜色 5 12 5 10" xfId="20022"/>
    <cellStyle name="强调文字颜色 5 12 5 11" xfId="20024"/>
    <cellStyle name="强调文字颜色 5 12 5 2" xfId="29913"/>
    <cellStyle name="强调文字颜色 5 12 5 2 2" xfId="29914"/>
    <cellStyle name="强调文字颜色 5 12 5 2 2 2" xfId="29915"/>
    <cellStyle name="强调文字颜色 5 12 5 2 2 3" xfId="9329"/>
    <cellStyle name="强调文字颜色 5 12 5 2 3" xfId="29916"/>
    <cellStyle name="强调文字颜色 5 12 5 2 4" xfId="29917"/>
    <cellStyle name="强调文字颜色 5 12 5 2 5" xfId="29918"/>
    <cellStyle name="强调文字颜色 5 12 5 2 6" xfId="29919"/>
    <cellStyle name="强调文字颜色 5 12 5 2 7" xfId="29920"/>
    <cellStyle name="强调文字颜色 5 12 5 2 8" xfId="29921"/>
    <cellStyle name="强调文字颜色 5 12 5 3" xfId="29922"/>
    <cellStyle name="强调文字颜色 5 12 5 4" xfId="29923"/>
    <cellStyle name="强调文字颜色 5 12 5 5" xfId="29924"/>
    <cellStyle name="强调文字颜色 5 12 5 6" xfId="29925"/>
    <cellStyle name="强调文字颜色 5 12 5 6 2" xfId="4453"/>
    <cellStyle name="强调文字颜色 5 12 5 6 3" xfId="4468"/>
    <cellStyle name="强调文字颜色 5 12 5 7" xfId="29926"/>
    <cellStyle name="强调文字颜色 5 12 5 8" xfId="29927"/>
    <cellStyle name="强调文字颜色 5 12 5 9" xfId="25719"/>
    <cellStyle name="强调文字颜色 5 12 6" xfId="29928"/>
    <cellStyle name="强调文字颜色 5 12 6 2" xfId="29930"/>
    <cellStyle name="强调文字颜色 5 12 6 2 2" xfId="29931"/>
    <cellStyle name="强调文字颜色 5 12 6 2 3" xfId="29932"/>
    <cellStyle name="强调文字颜色 5 12 6 3" xfId="29933"/>
    <cellStyle name="强调文字颜色 5 12 6 4" xfId="29934"/>
    <cellStyle name="强调文字颜色 5 12 6 5" xfId="29935"/>
    <cellStyle name="强调文字颜色 5 12 6 6" xfId="29936"/>
    <cellStyle name="强调文字颜色 5 12 6 7" xfId="29937"/>
    <cellStyle name="强调文字颜色 5 12 6 8" xfId="29938"/>
    <cellStyle name="强调文字颜色 5 12 7" xfId="29939"/>
    <cellStyle name="强调文字颜色 5 12 8" xfId="29941"/>
    <cellStyle name="强调文字颜色 5 12 9" xfId="29943"/>
    <cellStyle name="强调文字颜色 5 12 9 2" xfId="29945"/>
    <cellStyle name="强调文字颜色 5 12 9 3" xfId="19912"/>
    <cellStyle name="强调文字颜色 5 13" xfId="22975"/>
    <cellStyle name="强调文字颜色 5 14" xfId="22977"/>
    <cellStyle name="强调文字颜色 5 15" xfId="22979"/>
    <cellStyle name="强调文字颜色 5 16" xfId="22981"/>
    <cellStyle name="强调文字颜色 5 16 10" xfId="29946"/>
    <cellStyle name="强调文字颜色 5 16 11" xfId="29947"/>
    <cellStyle name="强调文字颜色 5 16 12" xfId="29948"/>
    <cellStyle name="强调文字颜色 5 16 13" xfId="8191"/>
    <cellStyle name="强调文字颜色 5 16 14" xfId="8200"/>
    <cellStyle name="强调文字颜色 5 16 2" xfId="29949"/>
    <cellStyle name="强调文字颜色 5 16 3" xfId="29950"/>
    <cellStyle name="强调文字颜色 5 16 4" xfId="29951"/>
    <cellStyle name="强调文字颜色 5 16 5" xfId="29953"/>
    <cellStyle name="强调文字颜色 5 16 5 10" xfId="17188"/>
    <cellStyle name="强调文字颜色 5 16 5 11" xfId="9741"/>
    <cellStyle name="强调文字颜色 5 16 5 2" xfId="21136"/>
    <cellStyle name="强调文字颜色 5 16 5 2 2" xfId="21140"/>
    <cellStyle name="强调文字颜色 5 16 5 2 2 2" xfId="14758"/>
    <cellStyle name="强调文字颜色 5 16 5 2 2 3" xfId="14762"/>
    <cellStyle name="强调文字颜色 5 16 5 2 3" xfId="21144"/>
    <cellStyle name="强调文字颜色 5 16 5 2 4" xfId="21149"/>
    <cellStyle name="强调文字颜色 5 16 5 2 5" xfId="21153"/>
    <cellStyle name="强调文字颜色 5 16 5 2 6" xfId="21157"/>
    <cellStyle name="强调文字颜色 5 16 5 2 7" xfId="18609"/>
    <cellStyle name="强调文字颜色 5 16 5 2 8" xfId="18617"/>
    <cellStyle name="强调文字颜色 5 16 5 3" xfId="21159"/>
    <cellStyle name="强调文字颜色 5 16 5 4" xfId="21162"/>
    <cellStyle name="强调文字颜色 5 16 5 5" xfId="21165"/>
    <cellStyle name="强调文字颜色 5 16 5 6" xfId="29955"/>
    <cellStyle name="强调文字颜色 5 16 5 6 2" xfId="2689"/>
    <cellStyle name="强调文字颜色 5 16 5 6 3" xfId="1121"/>
    <cellStyle name="强调文字颜色 5 16 5 7" xfId="740"/>
    <cellStyle name="强调文字颜色 5 16 5 8" xfId="1266"/>
    <cellStyle name="强调文字颜色 5 16 5 9" xfId="29956"/>
    <cellStyle name="强调文字颜色 5 16 6" xfId="29958"/>
    <cellStyle name="强调文字颜色 5 16 6 2" xfId="1036"/>
    <cellStyle name="强调文字颜色 5 16 6 2 2" xfId="507"/>
    <cellStyle name="强调文字颜色 5 16 6 2 3" xfId="21888"/>
    <cellStyle name="强调文字颜色 5 16 6 3" xfId="1056"/>
    <cellStyle name="强调文字颜色 5 16 6 4" xfId="1077"/>
    <cellStyle name="强调文字颜色 5 16 6 5" xfId="21901"/>
    <cellStyle name="强调文字颜色 5 16 6 6" xfId="28270"/>
    <cellStyle name="强调文字颜色 5 16 6 7" xfId="14007"/>
    <cellStyle name="强调文字颜色 5 16 6 8" xfId="14013"/>
    <cellStyle name="强调文字颜色 5 16 7" xfId="29959"/>
    <cellStyle name="强调文字颜色 5 16 8" xfId="29960"/>
    <cellStyle name="强调文字颜色 5 16 9" xfId="29961"/>
    <cellStyle name="强调文字颜色 5 16 9 2" xfId="23912"/>
    <cellStyle name="强调文字颜色 5 16 9 3" xfId="23917"/>
    <cellStyle name="强调文字颜色 5 17" xfId="22983"/>
    <cellStyle name="强调文字颜色 5 17 10" xfId="29962"/>
    <cellStyle name="强调文字颜色 5 17 11" xfId="29963"/>
    <cellStyle name="强调文字颜色 5 17 12" xfId="29964"/>
    <cellStyle name="强调文字颜色 5 17 13" xfId="29965"/>
    <cellStyle name="强调文字颜色 5 17 14" xfId="29966"/>
    <cellStyle name="强调文字颜色 5 17 2" xfId="29968"/>
    <cellStyle name="强调文字颜色 5 17 3" xfId="29970"/>
    <cellStyle name="强调文字颜色 5 17 4" xfId="29972"/>
    <cellStyle name="强调文字颜色 5 17 5" xfId="29974"/>
    <cellStyle name="强调文字颜色 5 17 5 10" xfId="29975"/>
    <cellStyle name="强调文字颜色 5 17 5 11" xfId="29976"/>
    <cellStyle name="强调文字颜色 5 17 5 2" xfId="28219"/>
    <cellStyle name="强调文字颜色 5 17 5 2 2" xfId="29977"/>
    <cellStyle name="强调文字颜色 5 17 5 2 2 2" xfId="29979"/>
    <cellStyle name="强调文字颜色 5 17 5 2 2 3" xfId="29980"/>
    <cellStyle name="强调文字颜色 5 17 5 2 3" xfId="29981"/>
    <cellStyle name="强调文字颜色 5 17 5 2 4" xfId="29983"/>
    <cellStyle name="强调文字颜色 5 17 5 2 5" xfId="29984"/>
    <cellStyle name="强调文字颜色 5 17 5 2 6" xfId="14661"/>
    <cellStyle name="强调文字颜色 5 17 5 2 7" xfId="14665"/>
    <cellStyle name="强调文字颜色 5 17 5 2 8" xfId="29985"/>
    <cellStyle name="强调文字颜色 5 17 5 3" xfId="28223"/>
    <cellStyle name="强调文字颜色 5 17 5 4" xfId="29987"/>
    <cellStyle name="强调文字颜色 5 17 5 5" xfId="29990"/>
    <cellStyle name="强调文字颜色 5 17 5 6" xfId="29993"/>
    <cellStyle name="强调文字颜色 5 17 5 6 2" xfId="11793"/>
    <cellStyle name="强调文字颜色 5 17 5 6 3" xfId="11797"/>
    <cellStyle name="强调文字颜色 5 17 5 7" xfId="16422"/>
    <cellStyle name="强调文字颜色 5 17 5 8" xfId="16425"/>
    <cellStyle name="强调文字颜色 5 17 5 9" xfId="25721"/>
    <cellStyle name="强调文字颜色 5 17 6" xfId="29996"/>
    <cellStyle name="强调文字颜色 5 17 6 2" xfId="25800"/>
    <cellStyle name="强调文字颜色 5 17 6 2 2" xfId="1495"/>
    <cellStyle name="强调文字颜色 5 17 6 2 3" xfId="29997"/>
    <cellStyle name="强调文字颜色 5 17 6 3" xfId="29998"/>
    <cellStyle name="强调文字颜色 5 17 6 4" xfId="30000"/>
    <cellStyle name="强调文字颜色 5 17 6 5" xfId="30005"/>
    <cellStyle name="强调文字颜色 5 17 6 6" xfId="30010"/>
    <cellStyle name="强调文字颜色 5 17 6 7" xfId="30013"/>
    <cellStyle name="强调文字颜色 5 17 6 8" xfId="30014"/>
    <cellStyle name="强调文字颜色 5 17 7" xfId="30016"/>
    <cellStyle name="强调文字颜色 5 17 8" xfId="30017"/>
    <cellStyle name="强调文字颜色 5 17 9" xfId="17226"/>
    <cellStyle name="强调文字颜色 5 17 9 2" xfId="30018"/>
    <cellStyle name="强调文字颜色 5 17 9 3" xfId="24535"/>
    <cellStyle name="强调文字颜色 5 18" xfId="22986"/>
    <cellStyle name="强调文字颜色 5 18 10" xfId="15592"/>
    <cellStyle name="强调文字颜色 5 18 11" xfId="15596"/>
    <cellStyle name="强调文字颜色 5 18 12" xfId="16569"/>
    <cellStyle name="强调文字颜色 5 18 13" xfId="26109"/>
    <cellStyle name="强调文字颜色 5 18 14" xfId="30019"/>
    <cellStyle name="强调文字颜色 5 18 2" xfId="15922"/>
    <cellStyle name="强调文字颜色 5 18 3" xfId="30021"/>
    <cellStyle name="强调文字颜色 5 18 4" xfId="30023"/>
    <cellStyle name="强调文字颜色 5 18 5" xfId="30025"/>
    <cellStyle name="强调文字颜色 5 18 5 10" xfId="30026"/>
    <cellStyle name="强调文字颜色 5 18 5 11" xfId="30027"/>
    <cellStyle name="强调文字颜色 5 18 5 2" xfId="30028"/>
    <cellStyle name="强调文字颜色 5 18 5 2 2" xfId="30029"/>
    <cellStyle name="强调文字颜色 5 18 5 2 2 2" xfId="30032"/>
    <cellStyle name="强调文字颜色 5 18 5 2 2 3" xfId="30035"/>
    <cellStyle name="强调文字颜色 5 18 5 2 3" xfId="30039"/>
    <cellStyle name="强调文字颜色 5 18 5 2 4" xfId="30041"/>
    <cellStyle name="强调文字颜色 5 18 5 2 5" xfId="30043"/>
    <cellStyle name="强调文字颜色 5 18 5 2 6" xfId="7391"/>
    <cellStyle name="强调文字颜色 5 18 5 2 7" xfId="7405"/>
    <cellStyle name="强调文字颜色 5 18 5 2 8" xfId="7416"/>
    <cellStyle name="强调文字颜色 5 18 5 3" xfId="30045"/>
    <cellStyle name="强调文字颜色 5 18 5 4" xfId="30046"/>
    <cellStyle name="强调文字颜色 5 18 5 5" xfId="30047"/>
    <cellStyle name="强调文字颜色 5 18 5 6" xfId="30048"/>
    <cellStyle name="强调文字颜色 5 18 5 6 2" xfId="13381"/>
    <cellStyle name="强调文字颜色 5 18 5 6 3" xfId="13388"/>
    <cellStyle name="强调文字颜色 5 18 5 7" xfId="30049"/>
    <cellStyle name="强调文字颜色 5 18 5 8" xfId="18047"/>
    <cellStyle name="强调文字颜色 5 18 5 9" xfId="18051"/>
    <cellStyle name="强调文字颜色 5 18 6" xfId="30051"/>
    <cellStyle name="强调文字颜色 5 18 6 2" xfId="30052"/>
    <cellStyle name="强调文字颜色 5 18 6 2 2" xfId="8920"/>
    <cellStyle name="强调文字颜色 5 18 6 2 3" xfId="30053"/>
    <cellStyle name="强调文字颜色 5 18 6 3" xfId="30054"/>
    <cellStyle name="强调文字颜色 5 18 6 4" xfId="30055"/>
    <cellStyle name="强调文字颜色 5 18 6 5" xfId="30056"/>
    <cellStyle name="强调文字颜色 5 18 6 6" xfId="30057"/>
    <cellStyle name="强调文字颜色 5 18 6 7" xfId="13673"/>
    <cellStyle name="强调文字颜色 5 18 6 8" xfId="13676"/>
    <cellStyle name="强调文字颜色 5 18 7" xfId="30058"/>
    <cellStyle name="强调文字颜色 5 18 8" xfId="30059"/>
    <cellStyle name="强调文字颜色 5 18 9" xfId="30060"/>
    <cellStyle name="强调文字颜色 5 18 9 2" xfId="26681"/>
    <cellStyle name="强调文字颜色 5 18 9 3" xfId="30061"/>
    <cellStyle name="强调文字颜色 5 19" xfId="23579"/>
    <cellStyle name="强调文字颜色 5 2" xfId="27792"/>
    <cellStyle name="强调文字颜色 5 2 10" xfId="10710"/>
    <cellStyle name="强调文字颜色 5 2 11" xfId="10715"/>
    <cellStyle name="强调文字颜色 5 2 12" xfId="22498"/>
    <cellStyle name="强调文字颜色 5 2 13" xfId="16168"/>
    <cellStyle name="强调文字颜色 5 2 14" xfId="16171"/>
    <cellStyle name="强调文字颜色 5 2 15" xfId="22500"/>
    <cellStyle name="强调文字颜色 5 2 16" xfId="22503"/>
    <cellStyle name="强调文字颜色 5 2 17" xfId="30062"/>
    <cellStyle name="强调文字颜色 5 2 17 10" xfId="30063"/>
    <cellStyle name="强调文字颜色 5 2 17 11" xfId="30065"/>
    <cellStyle name="强调文字颜色 5 2 17 12" xfId="28669"/>
    <cellStyle name="强调文字颜色 5 2 17 13" xfId="28670"/>
    <cellStyle name="强调文字颜色 5 2 17 14" xfId="28672"/>
    <cellStyle name="强调文字颜色 5 2 17 2" xfId="21802"/>
    <cellStyle name="强调文字颜色 5 2 17 3" xfId="30066"/>
    <cellStyle name="强调文字颜色 5 2 17 4" xfId="30067"/>
    <cellStyle name="强调文字颜色 5 2 17 5" xfId="26587"/>
    <cellStyle name="强调文字颜色 5 2 17 5 10" xfId="30068"/>
    <cellStyle name="强调文字颜色 5 2 17 5 11" xfId="30069"/>
    <cellStyle name="强调文字颜色 5 2 17 5 2" xfId="2738"/>
    <cellStyle name="强调文字颜色 5 2 17 5 2 2" xfId="5364"/>
    <cellStyle name="强调文字颜色 5 2 17 5 2 2 2" xfId="5374"/>
    <cellStyle name="强调文字颜色 5 2 17 5 2 2 3" xfId="5394"/>
    <cellStyle name="强调文字颜色 5 2 17 5 2 3" xfId="5402"/>
    <cellStyle name="强调文字颜色 5 2 17 5 2 4" xfId="5417"/>
    <cellStyle name="强调文字颜色 5 2 17 5 2 5" xfId="5430"/>
    <cellStyle name="强调文字颜色 5 2 17 5 2 6" xfId="5444"/>
    <cellStyle name="强调文字颜色 5 2 17 5 2 7" xfId="5460"/>
    <cellStyle name="强调文字颜色 5 2 17 5 2 8" xfId="5473"/>
    <cellStyle name="强调文字颜色 5 2 17 5 3" xfId="5491"/>
    <cellStyle name="强调文字颜色 5 2 17 5 4" xfId="5565"/>
    <cellStyle name="强调文字颜色 5 2 17 5 5" xfId="5572"/>
    <cellStyle name="强调文字颜色 5 2 17 5 6" xfId="5579"/>
    <cellStyle name="强调文字颜色 5 2 17 5 6 2" xfId="5600"/>
    <cellStyle name="强调文字颜色 5 2 17 5 6 3" xfId="5609"/>
    <cellStyle name="强调文字颜色 5 2 17 5 7" xfId="30070"/>
    <cellStyle name="强调文字颜色 5 2 17 5 8" xfId="30071"/>
    <cellStyle name="强调文字颜色 5 2 17 5 9" xfId="30072"/>
    <cellStyle name="强调文字颜色 5 2 17 6" xfId="26589"/>
    <cellStyle name="强调文字颜色 5 2 17 6 2" xfId="5641"/>
    <cellStyle name="强调文字颜色 5 2 17 6 2 2" xfId="5660"/>
    <cellStyle name="强调文字颜色 5 2 17 6 2 3" xfId="5702"/>
    <cellStyle name="强调文字颜色 5 2 17 6 3" xfId="3038"/>
    <cellStyle name="强调文字颜色 5 2 17 6 4" xfId="3052"/>
    <cellStyle name="强调文字颜色 5 2 17 6 5" xfId="5854"/>
    <cellStyle name="强调文字颜色 5 2 17 6 6" xfId="5860"/>
    <cellStyle name="强调文字颜色 5 2 17 6 7" xfId="7905"/>
    <cellStyle name="强调文字颜色 5 2 17 6 8" xfId="7908"/>
    <cellStyle name="强调文字颜色 5 2 17 7" xfId="30073"/>
    <cellStyle name="强调文字颜色 5 2 17 8" xfId="30074"/>
    <cellStyle name="强调文字颜色 5 2 17 9" xfId="30075"/>
    <cellStyle name="强调文字颜色 5 2 17 9 2" xfId="18532"/>
    <cellStyle name="强调文字颜色 5 2 17 9 3" xfId="20818"/>
    <cellStyle name="强调文字颜色 5 2 18" xfId="30076"/>
    <cellStyle name="强调文字颜色 5 2 18 10" xfId="30077"/>
    <cellStyle name="强调文字颜色 5 2 18 11" xfId="30078"/>
    <cellStyle name="强调文字颜色 5 2 18 12" xfId="30079"/>
    <cellStyle name="强调文字颜色 5 2 18 13" xfId="30081"/>
    <cellStyle name="强调文字颜色 5 2 18 14" xfId="30083"/>
    <cellStyle name="强调文字颜色 5 2 18 2" xfId="15827"/>
    <cellStyle name="强调文字颜色 5 2 18 3" xfId="30084"/>
    <cellStyle name="强调文字颜色 5 2 18 4" xfId="30085"/>
    <cellStyle name="强调文字颜色 5 2 18 5" xfId="30086"/>
    <cellStyle name="强调文字颜色 5 2 18 5 10" xfId="5422"/>
    <cellStyle name="强调文字颜色 5 2 18 5 11" xfId="5435"/>
    <cellStyle name="强调文字颜色 5 2 18 5 2" xfId="9871"/>
    <cellStyle name="强调文字颜色 5 2 18 5 2 2" xfId="18493"/>
    <cellStyle name="强调文字颜色 5 2 18 5 2 2 2" xfId="7948"/>
    <cellStyle name="强调文字颜色 5 2 18 5 2 2 3" xfId="7956"/>
    <cellStyle name="强调文字颜色 5 2 18 5 2 3" xfId="18527"/>
    <cellStyle name="强调文字颜色 5 2 18 5 2 4" xfId="18536"/>
    <cellStyle name="强调文字颜色 5 2 18 5 2 5" xfId="6777"/>
    <cellStyle name="强调文字颜色 5 2 18 5 2 6" xfId="7614"/>
    <cellStyle name="强调文字颜色 5 2 18 5 2 7" xfId="7625"/>
    <cellStyle name="强调文字颜色 5 2 18 5 2 8" xfId="8923"/>
    <cellStyle name="强调文字颜色 5 2 18 5 3" xfId="20833"/>
    <cellStyle name="强调文字颜色 5 2 18 5 4" xfId="21036"/>
    <cellStyle name="强调文字颜色 5 2 18 5 5" xfId="21112"/>
    <cellStyle name="强调文字颜色 5 2 18 5 6" xfId="21137"/>
    <cellStyle name="强调文字颜色 5 2 18 5 6 2" xfId="21141"/>
    <cellStyle name="强调文字颜色 5 2 18 5 6 3" xfId="21145"/>
    <cellStyle name="强调文字颜色 5 2 18 5 7" xfId="21160"/>
    <cellStyle name="强调文字颜色 5 2 18 5 8" xfId="21163"/>
    <cellStyle name="强调文字颜色 5 2 18 5 9" xfId="21166"/>
    <cellStyle name="强调文字颜色 5 2 18 6" xfId="5150"/>
    <cellStyle name="强调文字颜色 5 2 18 6 2" xfId="903"/>
    <cellStyle name="强调文字颜色 5 2 18 6 2 2" xfId="3712"/>
    <cellStyle name="强调文字颜色 5 2 18 6 2 3" xfId="3734"/>
    <cellStyle name="强调文字颜色 5 2 18 6 3" xfId="941"/>
    <cellStyle name="强调文字颜色 5 2 18 6 4" xfId="980"/>
    <cellStyle name="强调文字颜色 5 2 18 6 5" xfId="1002"/>
    <cellStyle name="强调文字颜色 5 2 18 6 6" xfId="1037"/>
    <cellStyle name="强调文字颜色 5 2 18 6 7" xfId="1057"/>
    <cellStyle name="强调文字颜色 5 2 18 6 8" xfId="1078"/>
    <cellStyle name="强调文字颜色 5 2 18 7" xfId="5154"/>
    <cellStyle name="强调文字颜色 5 2 18 8" xfId="5162"/>
    <cellStyle name="强调文字颜色 5 2 18 9" xfId="5171"/>
    <cellStyle name="强调文字颜色 5 2 18 9 2" xfId="21008"/>
    <cellStyle name="强调文字颜色 5 2 18 9 3" xfId="21011"/>
    <cellStyle name="强调文字颜色 5 2 19" xfId="30087"/>
    <cellStyle name="强调文字颜色 5 2 19 10" xfId="11009"/>
    <cellStyle name="强调文字颜色 5 2 19 11" xfId="11018"/>
    <cellStyle name="强调文字颜色 5 2 19 12" xfId="11027"/>
    <cellStyle name="强调文字颜色 5 2 19 13" xfId="9452"/>
    <cellStyle name="强调文字颜色 5 2 19 14" xfId="9463"/>
    <cellStyle name="强调文字颜色 5 2 19 2" xfId="30088"/>
    <cellStyle name="强调文字颜色 5 2 19 3" xfId="30089"/>
    <cellStyle name="强调文字颜色 5 2 19 4" xfId="30090"/>
    <cellStyle name="强调文字颜色 5 2 19 5" xfId="30091"/>
    <cellStyle name="强调文字颜色 5 2 19 5 10" xfId="30092"/>
    <cellStyle name="强调文字颜色 5 2 19 5 11" xfId="30093"/>
    <cellStyle name="强调文字颜色 5 2 19 5 2" xfId="11236"/>
    <cellStyle name="强调文字颜色 5 2 19 5 2 2" xfId="30094"/>
    <cellStyle name="强调文字颜色 5 2 19 5 2 2 2" xfId="30095"/>
    <cellStyle name="强调文字颜色 5 2 19 5 2 2 3" xfId="30096"/>
    <cellStyle name="强调文字颜色 5 2 19 5 2 3" xfId="30097"/>
    <cellStyle name="强调文字颜色 5 2 19 5 2 4" xfId="30098"/>
    <cellStyle name="强调文字颜色 5 2 19 5 2 5" xfId="4792"/>
    <cellStyle name="强调文字颜色 5 2 19 5 2 6" xfId="7672"/>
    <cellStyle name="强调文字颜色 5 2 19 5 2 7" xfId="7677"/>
    <cellStyle name="强调文字颜色 5 2 19 5 2 8" xfId="9661"/>
    <cellStyle name="强调文字颜色 5 2 19 5 3" xfId="28213"/>
    <cellStyle name="强调文字颜色 5 2 19 5 4" xfId="28215"/>
    <cellStyle name="强调文字颜色 5 2 19 5 5" xfId="28217"/>
    <cellStyle name="强调文字颜色 5 2 19 5 6" xfId="28220"/>
    <cellStyle name="强调文字颜色 5 2 19 5 6 2" xfId="29978"/>
    <cellStyle name="强调文字颜色 5 2 19 5 6 3" xfId="29982"/>
    <cellStyle name="强调文字颜色 5 2 19 5 7" xfId="28224"/>
    <cellStyle name="强调文字颜色 5 2 19 5 8" xfId="29988"/>
    <cellStyle name="强调文字颜色 5 2 19 5 9" xfId="29991"/>
    <cellStyle name="强调文字颜色 5 2 19 6" xfId="3856"/>
    <cellStyle name="强调文字颜色 5 2 19 6 2" xfId="3236"/>
    <cellStyle name="强调文字颜色 5 2 19 6 2 2" xfId="30100"/>
    <cellStyle name="强调文字颜色 5 2 19 6 2 3" xfId="30101"/>
    <cellStyle name="强调文字颜色 5 2 19 6 3" xfId="2936"/>
    <cellStyle name="强调文字颜色 5 2 19 6 4" xfId="30102"/>
    <cellStyle name="强调文字颜色 5 2 19 6 5" xfId="30103"/>
    <cellStyle name="强调文字颜色 5 2 19 6 6" xfId="25801"/>
    <cellStyle name="强调文字颜色 5 2 19 6 7" xfId="29999"/>
    <cellStyle name="强调文字颜色 5 2 19 6 8" xfId="30001"/>
    <cellStyle name="强调文字颜色 5 2 19 7" xfId="3898"/>
    <cellStyle name="强调文字颜色 5 2 19 8" xfId="4999"/>
    <cellStyle name="强调文字颜色 5 2 19 9" xfId="5193"/>
    <cellStyle name="强调文字颜色 5 2 19 9 2" xfId="24658"/>
    <cellStyle name="强调文字颜色 5 2 19 9 3" xfId="24660"/>
    <cellStyle name="强调文字颜色 5 2 2" xfId="27795"/>
    <cellStyle name="强调文字颜色 5 2 2 10" xfId="5575"/>
    <cellStyle name="强调文字颜色 5 2 2 11" xfId="17238"/>
    <cellStyle name="强调文字颜色 5 2 2 12" xfId="17240"/>
    <cellStyle name="强调文字颜色 5 2 2 13" xfId="17242"/>
    <cellStyle name="强调文字颜色 5 2 2 14" xfId="17246"/>
    <cellStyle name="强调文字颜色 5 2 2 2" xfId="27797"/>
    <cellStyle name="强调文字颜色 5 2 2 3" xfId="27800"/>
    <cellStyle name="强调文字颜色 5 2 2 4" xfId="27802"/>
    <cellStyle name="强调文字颜色 5 2 2 5" xfId="27804"/>
    <cellStyle name="强调文字颜色 5 2 2 6" xfId="27807"/>
    <cellStyle name="强调文字颜色 5 2 2 7" xfId="27810"/>
    <cellStyle name="强调文字颜色 5 2 2 8" xfId="27812"/>
    <cellStyle name="强调文字颜色 5 2 2 9" xfId="30104"/>
    <cellStyle name="强调文字颜色 5 2 20" xfId="22501"/>
    <cellStyle name="强调文字颜色 5 2 20 10" xfId="30107"/>
    <cellStyle name="强调文字颜色 5 2 20 11" xfId="30108"/>
    <cellStyle name="强调文字颜色 5 2 20 12" xfId="28051"/>
    <cellStyle name="强调文字颜色 5 2 20 13" xfId="28054"/>
    <cellStyle name="强调文字颜色 5 2 20 14" xfId="30109"/>
    <cellStyle name="强调文字颜色 5 2 20 2" xfId="30110"/>
    <cellStyle name="强调文字颜色 5 2 20 3" xfId="30111"/>
    <cellStyle name="强调文字颜色 5 2 20 4" xfId="30112"/>
    <cellStyle name="强调文字颜色 5 2 20 5" xfId="30113"/>
    <cellStyle name="强调文字颜色 5 2 20 5 10" xfId="30114"/>
    <cellStyle name="强调文字颜色 5 2 20 5 11" xfId="30115"/>
    <cellStyle name="强调文字颜色 5 2 20 5 2" xfId="6834"/>
    <cellStyle name="强调文字颜色 5 2 20 5 2 2" xfId="30118"/>
    <cellStyle name="强调文字颜色 5 2 20 5 2 2 2" xfId="30119"/>
    <cellStyle name="强调文字颜色 5 2 20 5 2 2 3" xfId="25668"/>
    <cellStyle name="强调文字颜色 5 2 20 5 2 3" xfId="30121"/>
    <cellStyle name="强调文字颜色 5 2 20 5 2 4" xfId="30122"/>
    <cellStyle name="强调文字颜色 5 2 20 5 2 5" xfId="30123"/>
    <cellStyle name="强调文字颜色 5 2 20 5 2 6" xfId="18204"/>
    <cellStyle name="强调文字颜色 5 2 20 5 2 7" xfId="18207"/>
    <cellStyle name="强调文字颜色 5 2 20 5 2 8" xfId="18210"/>
    <cellStyle name="强调文字颜色 5 2 20 5 3" xfId="6836"/>
    <cellStyle name="强调文字颜色 5 2 20 5 4" xfId="6105"/>
    <cellStyle name="强调文字颜色 5 2 20 5 5" xfId="6112"/>
    <cellStyle name="强调文字颜色 5 2 20 5 6" xfId="6838"/>
    <cellStyle name="强调文字颜色 5 2 20 5 6 2" xfId="30124"/>
    <cellStyle name="强调文字颜色 5 2 20 5 6 3" xfId="30125"/>
    <cellStyle name="强调文字颜色 5 2 20 5 7" xfId="6843"/>
    <cellStyle name="强调文字颜色 5 2 20 5 8" xfId="17357"/>
    <cellStyle name="强调文字颜色 5 2 20 5 9" xfId="17360"/>
    <cellStyle name="强调文字颜色 5 2 20 6" xfId="30126"/>
    <cellStyle name="强调文字颜色 5 2 20 6 2" xfId="21406"/>
    <cellStyle name="强调文字颜色 5 2 20 6 2 2" xfId="22377"/>
    <cellStyle name="强调文字颜色 5 2 20 6 2 3" xfId="22380"/>
    <cellStyle name="强调文字颜色 5 2 20 6 3" xfId="21410"/>
    <cellStyle name="强调文字颜色 5 2 20 6 4" xfId="22382"/>
    <cellStyle name="强调文字颜色 5 2 20 6 5" xfId="22384"/>
    <cellStyle name="强调文字颜色 5 2 20 6 6" xfId="30127"/>
    <cellStyle name="强调文字颜色 5 2 20 6 7" xfId="30129"/>
    <cellStyle name="强调文字颜色 5 2 20 6 8" xfId="30131"/>
    <cellStyle name="强调文字颜色 5 2 20 7" xfId="30134"/>
    <cellStyle name="强调文字颜色 5 2 20 8" xfId="30135"/>
    <cellStyle name="强调文字颜色 5 2 20 9" xfId="30136"/>
    <cellStyle name="强调文字颜色 5 2 20 9 2" xfId="6858"/>
    <cellStyle name="强调文字颜色 5 2 20 9 3" xfId="2680"/>
    <cellStyle name="强调文字颜色 5 2 3" xfId="27816"/>
    <cellStyle name="强调文字颜色 5 2 3 10" xfId="30138"/>
    <cellStyle name="强调文字颜色 5 2 3 11" xfId="17265"/>
    <cellStyle name="强调文字颜色 5 2 3 12" xfId="17268"/>
    <cellStyle name="强调文字颜色 5 2 3 13" xfId="17271"/>
    <cellStyle name="强调文字颜色 5 2 3 14" xfId="6772"/>
    <cellStyle name="强调文字颜色 5 2 3 2" xfId="30139"/>
    <cellStyle name="强调文字颜色 5 2 3 3" xfId="30140"/>
    <cellStyle name="强调文字颜色 5 2 3 4" xfId="30141"/>
    <cellStyle name="强调文字颜色 5 2 3 5" xfId="30142"/>
    <cellStyle name="强调文字颜色 5 2 3 6" xfId="30143"/>
    <cellStyle name="强调文字颜色 5 2 3 7" xfId="30144"/>
    <cellStyle name="强调文字颜色 5 2 3 8" xfId="30145"/>
    <cellStyle name="强调文字颜色 5 2 3 9" xfId="30146"/>
    <cellStyle name="强调文字颜色 5 2 4" xfId="27818"/>
    <cellStyle name="强调文字颜色 5 2 4 10" xfId="30147"/>
    <cellStyle name="强调文字颜色 5 2 4 11" xfId="30148"/>
    <cellStyle name="强调文字颜色 5 2 4 12" xfId="30149"/>
    <cellStyle name="强调文字颜色 5 2 4 13" xfId="30150"/>
    <cellStyle name="强调文字颜色 5 2 4 14" xfId="30151"/>
    <cellStyle name="强调文字颜色 5 2 4 2" xfId="30152"/>
    <cellStyle name="强调文字颜色 5 2 4 3" xfId="30154"/>
    <cellStyle name="强调文字颜色 5 2 4 4" xfId="30156"/>
    <cellStyle name="强调文字颜色 5 2 4 5" xfId="30158"/>
    <cellStyle name="强调文字颜色 5 2 4 6" xfId="30160"/>
    <cellStyle name="强调文字颜色 5 2 4 7" xfId="30162"/>
    <cellStyle name="强调文字颜色 5 2 4 8" xfId="30164"/>
    <cellStyle name="强调文字颜色 5 2 4 9" xfId="30166"/>
    <cellStyle name="强调文字颜色 5 2 5" xfId="27822"/>
    <cellStyle name="强调文字颜色 5 2 6" xfId="27134"/>
    <cellStyle name="强调文字颜色 5 2 7" xfId="27140"/>
    <cellStyle name="强调文字颜色 5 2 8" xfId="27829"/>
    <cellStyle name="强调文字颜色 5 2 9" xfId="27833"/>
    <cellStyle name="强调文字颜色 5 3" xfId="27836"/>
    <cellStyle name="强调文字颜色 5 3 10" xfId="30167"/>
    <cellStyle name="强调文字颜色 5 3 11" xfId="30168"/>
    <cellStyle name="强调文字颜色 5 3 12" xfId="30169"/>
    <cellStyle name="强调文字颜色 5 3 13" xfId="30170"/>
    <cellStyle name="强调文字颜色 5 3 14" xfId="30171"/>
    <cellStyle name="强调文字颜色 5 3 15" xfId="25924"/>
    <cellStyle name="强调文字颜色 5 3 16" xfId="30172"/>
    <cellStyle name="强调文字颜色 5 3 17" xfId="30173"/>
    <cellStyle name="强调文字颜色 5 3 17 10" xfId="30174"/>
    <cellStyle name="强调文字颜色 5 3 17 11" xfId="30175"/>
    <cellStyle name="强调文字颜色 5 3 17 12" xfId="30176"/>
    <cellStyle name="强调文字颜色 5 3 17 13" xfId="30177"/>
    <cellStyle name="强调文字颜色 5 3 17 14" xfId="30179"/>
    <cellStyle name="强调文字颜色 5 3 17 2" xfId="30180"/>
    <cellStyle name="强调文字颜色 5 3 17 2 2" xfId="30181"/>
    <cellStyle name="强调文字颜色 5 3 17 3" xfId="30182"/>
    <cellStyle name="强调文字颜色 5 3 17 4" xfId="30183"/>
    <cellStyle name="强调文字颜色 5 3 17 5" xfId="30184"/>
    <cellStyle name="强调文字颜色 5 3 17 5 10" xfId="30185"/>
    <cellStyle name="强调文字颜色 5 3 17 5 11" xfId="30186"/>
    <cellStyle name="强调文字颜色 5 3 17 5 2" xfId="30187"/>
    <cellStyle name="强调文字颜色 5 3 17 5 2 2" xfId="874"/>
    <cellStyle name="强调文字颜色 5 3 17 5 2 2 2" xfId="17088"/>
    <cellStyle name="强调文字颜色 5 3 17 5 2 2 3" xfId="12782"/>
    <cellStyle name="强调文字颜色 5 3 17 5 2 3" xfId="887"/>
    <cellStyle name="强调文字颜色 5 3 17 5 2 4" xfId="899"/>
    <cellStyle name="强调文字颜色 5 3 17 5 2 5" xfId="29829"/>
    <cellStyle name="强调文字颜色 5 3 17 5 2 6" xfId="29831"/>
    <cellStyle name="强调文字颜色 5 3 17 5 2 7" xfId="29833"/>
    <cellStyle name="强调文字颜色 5 3 17 5 2 8" xfId="29835"/>
    <cellStyle name="强调文字颜色 5 3 17 5 3" xfId="30188"/>
    <cellStyle name="强调文字颜色 5 3 17 5 4" xfId="30189"/>
    <cellStyle name="强调文字颜色 5 3 17 5 5" xfId="30190"/>
    <cellStyle name="强调文字颜色 5 3 17 5 6" xfId="30191"/>
    <cellStyle name="强调文字颜色 5 3 17 5 6 2" xfId="30193"/>
    <cellStyle name="强调文字颜色 5 3 17 5 6 3" xfId="30195"/>
    <cellStyle name="强调文字颜色 5 3 17 5 7" xfId="30196"/>
    <cellStyle name="强调文字颜色 5 3 17 5 8" xfId="30197"/>
    <cellStyle name="强调文字颜色 5 3 17 5 9" xfId="30198"/>
    <cellStyle name="强调文字颜色 5 3 17 6" xfId="30199"/>
    <cellStyle name="强调文字颜色 5 3 17 6 2" xfId="10869"/>
    <cellStyle name="强调文字颜色 5 3 17 6 2 2" xfId="17898"/>
    <cellStyle name="强调文字颜色 5 3 17 6 2 3" xfId="17901"/>
    <cellStyle name="强调文字颜色 5 3 17 6 3" xfId="8953"/>
    <cellStyle name="强调文字颜色 5 3 17 6 4" xfId="8958"/>
    <cellStyle name="强调文字颜色 5 3 17 6 5" xfId="22542"/>
    <cellStyle name="强调文字颜色 5 3 17 6 6" xfId="30200"/>
    <cellStyle name="强调文字颜色 5 3 17 6 7" xfId="30201"/>
    <cellStyle name="强调文字颜色 5 3 17 6 8" xfId="30202"/>
    <cellStyle name="强调文字颜色 5 3 17 7" xfId="30203"/>
    <cellStyle name="强调文字颜色 5 3 17 8" xfId="12510"/>
    <cellStyle name="强调文字颜色 5 3 17 9" xfId="12512"/>
    <cellStyle name="强调文字颜色 5 3 17 9 2" xfId="19596"/>
    <cellStyle name="强调文字颜色 5 3 17 9 3" xfId="5157"/>
    <cellStyle name="强调文字颜色 5 3 18" xfId="30204"/>
    <cellStyle name="强调文字颜色 5 3 18 10" xfId="30205"/>
    <cellStyle name="强调文字颜色 5 3 18 11" xfId="30206"/>
    <cellStyle name="强调文字颜色 5 3 18 12" xfId="30207"/>
    <cellStyle name="强调文字颜色 5 3 18 13" xfId="9901"/>
    <cellStyle name="强调文字颜色 5 3 18 14" xfId="9910"/>
    <cellStyle name="强调文字颜色 5 3 18 2" xfId="30209"/>
    <cellStyle name="强调文字颜色 5 3 18 3" xfId="30210"/>
    <cellStyle name="强调文字颜色 5 3 18 4" xfId="30211"/>
    <cellStyle name="强调文字颜色 5 3 18 5" xfId="30212"/>
    <cellStyle name="强调文字颜色 5 3 18 5 10" xfId="30213"/>
    <cellStyle name="强调文字颜色 5 3 18 5 11" xfId="30214"/>
    <cellStyle name="强调文字颜色 5 3 18 5 2" xfId="25646"/>
    <cellStyle name="强调文字颜色 5 3 18 5 2 2" xfId="16006"/>
    <cellStyle name="强调文字颜色 5 3 18 5 2 2 2" xfId="30215"/>
    <cellStyle name="强调文字颜色 5 3 18 5 2 2 3" xfId="30217"/>
    <cellStyle name="强调文字颜色 5 3 18 5 2 3" xfId="16009"/>
    <cellStyle name="强调文字颜色 5 3 18 5 2 4" xfId="16012"/>
    <cellStyle name="强调文字颜色 5 3 18 5 2 5" xfId="16014"/>
    <cellStyle name="强调文字颜色 5 3 18 5 2 6" xfId="16016"/>
    <cellStyle name="强调文字颜色 5 3 18 5 2 7" xfId="30219"/>
    <cellStyle name="强调文字颜色 5 3 18 5 2 8" xfId="28038"/>
    <cellStyle name="强调文字颜色 5 3 18 5 3" xfId="24668"/>
    <cellStyle name="强调文字颜色 5 3 18 5 4" xfId="30220"/>
    <cellStyle name="强调文字颜色 5 3 18 5 5" xfId="30221"/>
    <cellStyle name="强调文字颜色 5 3 18 5 6" xfId="30222"/>
    <cellStyle name="强调文字颜色 5 3 18 5 6 2" xfId="30224"/>
    <cellStyle name="强调文字颜色 5 3 18 5 6 3" xfId="30226"/>
    <cellStyle name="强调文字颜色 5 3 18 5 7" xfId="30228"/>
    <cellStyle name="强调文字颜色 5 3 18 5 8" xfId="30230"/>
    <cellStyle name="强调文字颜色 5 3 18 5 9" xfId="30232"/>
    <cellStyle name="强调文字颜色 5 3 18 6" xfId="30234"/>
    <cellStyle name="强调文字颜色 5 3 18 6 2" xfId="22577"/>
    <cellStyle name="强调文字颜色 5 3 18 6 2 2" xfId="18168"/>
    <cellStyle name="强调文字颜色 5 3 18 6 2 3" xfId="18170"/>
    <cellStyle name="强调文字颜色 5 3 18 6 3" xfId="22579"/>
    <cellStyle name="强调文字颜色 5 3 18 6 4" xfId="22581"/>
    <cellStyle name="强调文字颜色 5 3 18 6 5" xfId="22583"/>
    <cellStyle name="强调文字颜色 5 3 18 6 6" xfId="22585"/>
    <cellStyle name="强调文字颜色 5 3 18 6 7" xfId="30235"/>
    <cellStyle name="强调文字颜色 5 3 18 6 8" xfId="30238"/>
    <cellStyle name="强调文字颜色 5 3 18 7" xfId="30240"/>
    <cellStyle name="强调文字颜色 5 3 18 8" xfId="30241"/>
    <cellStyle name="强调文字颜色 5 3 18 9" xfId="30242"/>
    <cellStyle name="强调文字颜色 5 3 18 9 2" xfId="20359"/>
    <cellStyle name="强调文字颜色 5 3 18 9 3" xfId="20364"/>
    <cellStyle name="强调文字颜色 5 3 19" xfId="30243"/>
    <cellStyle name="强调文字颜色 5 3 19 10" xfId="30244"/>
    <cellStyle name="强调文字颜色 5 3 19 11" xfId="30246"/>
    <cellStyle name="强调文字颜色 5 3 19 12" xfId="30248"/>
    <cellStyle name="强调文字颜色 5 3 19 13" xfId="30250"/>
    <cellStyle name="强调文字颜色 5 3 19 14" xfId="30252"/>
    <cellStyle name="强调文字颜色 5 3 19 2" xfId="30254"/>
    <cellStyle name="强调文字颜色 5 3 19 3" xfId="30255"/>
    <cellStyle name="强调文字颜色 5 3 19 4" xfId="30256"/>
    <cellStyle name="强调文字颜色 5 3 19 5" xfId="30257"/>
    <cellStyle name="强调文字颜色 5 3 19 5 10" xfId="30258"/>
    <cellStyle name="强调文字颜色 5 3 19 5 11" xfId="30259"/>
    <cellStyle name="强调文字颜色 5 3 19 5 2" xfId="30261"/>
    <cellStyle name="强调文字颜色 5 3 19 5 2 2" xfId="30262"/>
    <cellStyle name="强调文字颜色 5 3 19 5 2 2 2" xfId="30009"/>
    <cellStyle name="强调文字颜色 5 3 19 5 2 2 3" xfId="30011"/>
    <cellStyle name="强调文字颜色 5 3 19 5 2 3" xfId="30263"/>
    <cellStyle name="强调文字颜色 5 3 19 5 2 4" xfId="30264"/>
    <cellStyle name="强调文字颜色 5 3 19 5 2 5" xfId="30265"/>
    <cellStyle name="强调文字颜色 5 3 19 5 2 6" xfId="18995"/>
    <cellStyle name="强调文字颜色 5 3 19 5 2 7" xfId="18957"/>
    <cellStyle name="强调文字颜色 5 3 19 5 2 8" xfId="18963"/>
    <cellStyle name="强调文字颜色 5 3 19 5 3" xfId="22116"/>
    <cellStyle name="强调文字颜色 5 3 19 5 4" xfId="22121"/>
    <cellStyle name="强调文字颜色 5 3 19 5 5" xfId="22124"/>
    <cellStyle name="强调文字颜色 5 3 19 5 6" xfId="22127"/>
    <cellStyle name="强调文字颜色 5 3 19 5 6 2" xfId="30267"/>
    <cellStyle name="强调文字颜色 5 3 19 5 6 3" xfId="30270"/>
    <cellStyle name="强调文字颜色 5 3 19 5 7" xfId="22131"/>
    <cellStyle name="强调文字颜色 5 3 19 5 8" xfId="22134"/>
    <cellStyle name="强调文字颜色 5 3 19 5 9" xfId="19866"/>
    <cellStyle name="强调文字颜色 5 3 19 6" xfId="30272"/>
    <cellStyle name="强调文字颜色 5 3 19 6 2" xfId="30273"/>
    <cellStyle name="强调文字颜色 5 3 19 6 2 2" xfId="30274"/>
    <cellStyle name="强调文字颜色 5 3 19 6 2 3" xfId="30275"/>
    <cellStyle name="强调文字颜色 5 3 19 6 3" xfId="30276"/>
    <cellStyle name="强调文字颜色 5 3 19 6 4" xfId="30277"/>
    <cellStyle name="强调文字颜色 5 3 19 6 5" xfId="30278"/>
    <cellStyle name="强调文字颜色 5 3 19 6 6" xfId="30279"/>
    <cellStyle name="强调文字颜色 5 3 19 6 7" xfId="30281"/>
    <cellStyle name="强调文字颜色 5 3 19 6 8" xfId="30283"/>
    <cellStyle name="强调文字颜色 5 3 19 7" xfId="30285"/>
    <cellStyle name="强调文字颜色 5 3 19 8" xfId="30286"/>
    <cellStyle name="强调文字颜色 5 3 19 9" xfId="30287"/>
    <cellStyle name="强调文字颜色 5 3 19 9 2" xfId="30289"/>
    <cellStyle name="强调文字颜色 5 3 19 9 3" xfId="22142"/>
    <cellStyle name="强调文字颜色 5 3 2" xfId="27838"/>
    <cellStyle name="强调文字颜色 5 3 2 10" xfId="17436"/>
    <cellStyle name="强调文字颜色 5 3 2 11" xfId="18274"/>
    <cellStyle name="强调文字颜色 5 3 2 12" xfId="18278"/>
    <cellStyle name="强调文字颜色 5 3 2 13" xfId="18282"/>
    <cellStyle name="强调文字颜色 5 3 2 14" xfId="18287"/>
    <cellStyle name="强调文字颜色 5 3 2 2" xfId="15071"/>
    <cellStyle name="强调文字颜色 5 3 2 3" xfId="15079"/>
    <cellStyle name="强调文字颜色 5 3 2 4" xfId="15082"/>
    <cellStyle name="强调文字颜色 5 3 2 5" xfId="15086"/>
    <cellStyle name="强调文字颜色 5 3 2 6" xfId="22828"/>
    <cellStyle name="强调文字颜色 5 3 2 7" xfId="22830"/>
    <cellStyle name="强调文字颜色 5 3 2 8" xfId="30290"/>
    <cellStyle name="强调文字颜色 5 3 2 9" xfId="30291"/>
    <cellStyle name="强调文字颜色 5 3 20" xfId="25925"/>
    <cellStyle name="强调文字颜色 5 3 20 10" xfId="30293"/>
    <cellStyle name="强调文字颜色 5 3 20 11" xfId="30295"/>
    <cellStyle name="强调文字颜色 5 3 20 12" xfId="30297"/>
    <cellStyle name="强调文字颜色 5 3 20 13" xfId="30299"/>
    <cellStyle name="强调文字颜色 5 3 20 14" xfId="30301"/>
    <cellStyle name="强调文字颜色 5 3 20 2" xfId="30302"/>
    <cellStyle name="强调文字颜色 5 3 20 3" xfId="30303"/>
    <cellStyle name="强调文字颜色 5 3 20 4" xfId="30304"/>
    <cellStyle name="强调文字颜色 5 3 20 5" xfId="17444"/>
    <cellStyle name="强调文字颜色 5 3 20 5 10" xfId="2045"/>
    <cellStyle name="强调文字颜色 5 3 20 5 11" xfId="2109"/>
    <cellStyle name="强调文字颜色 5 3 20 5 2" xfId="30305"/>
    <cellStyle name="强调文字颜色 5 3 20 5 2 2" xfId="30306"/>
    <cellStyle name="强调文字颜色 5 3 20 5 2 2 2" xfId="30307"/>
    <cellStyle name="强调文字颜色 5 3 20 5 2 2 3" xfId="30310"/>
    <cellStyle name="强调文字颜色 5 3 20 5 2 3" xfId="30311"/>
    <cellStyle name="强调文字颜色 5 3 20 5 2 4" xfId="30312"/>
    <cellStyle name="强调文字颜色 5 3 20 5 2 5" xfId="30313"/>
    <cellStyle name="强调文字颜色 5 3 20 5 2 6" xfId="30314"/>
    <cellStyle name="强调文字颜色 5 3 20 5 2 7" xfId="30315"/>
    <cellStyle name="强调文字颜色 5 3 20 5 2 8" xfId="30316"/>
    <cellStyle name="强调文字颜色 5 3 20 5 3" xfId="30317"/>
    <cellStyle name="强调文字颜色 5 3 20 5 4" xfId="30318"/>
    <cellStyle name="强调文字颜色 5 3 20 5 5" xfId="30319"/>
    <cellStyle name="强调文字颜色 5 3 20 5 6" xfId="30320"/>
    <cellStyle name="强调文字颜色 5 3 20 5 6 2" xfId="2547"/>
    <cellStyle name="强调文字颜色 5 3 20 5 6 3" xfId="2404"/>
    <cellStyle name="强调文字颜色 5 3 20 5 7" xfId="30321"/>
    <cellStyle name="强调文字颜色 5 3 20 5 8" xfId="30322"/>
    <cellStyle name="强调文字颜色 5 3 20 5 9" xfId="30323"/>
    <cellStyle name="强调文字颜色 5 3 20 6" xfId="17492"/>
    <cellStyle name="强调文字颜色 5 3 20 6 2" xfId="8343"/>
    <cellStyle name="强调文字颜色 5 3 20 6 2 2" xfId="22505"/>
    <cellStyle name="强调文字颜色 5 3 20 6 2 3" xfId="22507"/>
    <cellStyle name="强调文字颜色 5 3 20 6 3" xfId="8348"/>
    <cellStyle name="强调文字颜色 5 3 20 6 4" xfId="4526"/>
    <cellStyle name="强调文字颜色 5 3 20 6 5" xfId="22509"/>
    <cellStyle name="强调文字颜色 5 3 20 6 6" xfId="30324"/>
    <cellStyle name="强调文字颜色 5 3 20 6 7" xfId="30326"/>
    <cellStyle name="强调文字颜色 5 3 20 6 8" xfId="26780"/>
    <cellStyle name="强调文字颜色 5 3 20 7" xfId="30327"/>
    <cellStyle name="强调文字颜色 5 3 20 8" xfId="30328"/>
    <cellStyle name="强调文字颜色 5 3 20 9" xfId="30329"/>
    <cellStyle name="强调文字颜色 5 3 20 9 2" xfId="30331"/>
    <cellStyle name="强调文字颜色 5 3 20 9 3" xfId="30332"/>
    <cellStyle name="强调文字颜色 5 3 3" xfId="27840"/>
    <cellStyle name="强调文字颜色 5 3 3 10" xfId="6565"/>
    <cellStyle name="强调文字颜色 5 3 3 11" xfId="6571"/>
    <cellStyle name="强调文字颜色 5 3 3 12" xfId="18304"/>
    <cellStyle name="强调文字颜色 5 3 3 13" xfId="18308"/>
    <cellStyle name="强调文字颜色 5 3 3 14" xfId="18312"/>
    <cellStyle name="强调文字颜色 5 3 3 2" xfId="24948"/>
    <cellStyle name="强调文字颜色 5 3 3 3" xfId="30333"/>
    <cellStyle name="强调文字颜色 5 3 3 4" xfId="30334"/>
    <cellStyle name="强调文字颜色 5 3 3 5" xfId="30335"/>
    <cellStyle name="强调文字颜色 5 3 3 6" xfId="30336"/>
    <cellStyle name="强调文字颜色 5 3 3 7" xfId="30337"/>
    <cellStyle name="强调文字颜色 5 3 3 8" xfId="30338"/>
    <cellStyle name="强调文字颜色 5 3 3 9" xfId="16383"/>
    <cellStyle name="强调文字颜色 5 3 4" xfId="27842"/>
    <cellStyle name="强调文字颜色 5 3 4 10" xfId="6374"/>
    <cellStyle name="强调文字颜色 5 3 4 11" xfId="17079"/>
    <cellStyle name="强调文字颜色 5 3 4 12" xfId="30339"/>
    <cellStyle name="强调文字颜色 5 3 4 13" xfId="30341"/>
    <cellStyle name="强调文字颜色 5 3 4 14" xfId="11550"/>
    <cellStyle name="强调文字颜色 5 3 4 2" xfId="30342"/>
    <cellStyle name="强调文字颜色 5 3 4 3" xfId="23598"/>
    <cellStyle name="强调文字颜色 5 3 4 4" xfId="23607"/>
    <cellStyle name="强调文字颜色 5 3 4 5" xfId="23611"/>
    <cellStyle name="强调文字颜色 5 3 4 6" xfId="23615"/>
    <cellStyle name="强调文字颜色 5 3 4 7" xfId="23619"/>
    <cellStyle name="强调文字颜色 5 3 4 8" xfId="21445"/>
    <cellStyle name="强调文字颜色 5 3 4 9" xfId="21449"/>
    <cellStyle name="强调文字颜色 5 3 5" xfId="27844"/>
    <cellStyle name="强调文字颜色 5 3 6" xfId="27846"/>
    <cellStyle name="强调文字颜色 5 3 7" xfId="27848"/>
    <cellStyle name="强调文字颜色 5 3 8" xfId="27850"/>
    <cellStyle name="强调文字颜色 5 3 9" xfId="30343"/>
    <cellStyle name="强调文字颜色 5 4" xfId="27853"/>
    <cellStyle name="强调文字颜色 5 4 10" xfId="26782"/>
    <cellStyle name="强调文字颜色 5 4 11" xfId="19918"/>
    <cellStyle name="强调文字颜色 5 4 12" xfId="3006"/>
    <cellStyle name="强调文字颜色 5 4 13" xfId="30344"/>
    <cellStyle name="强调文字颜色 5 4 14" xfId="30345"/>
    <cellStyle name="强调文字颜色 5 4 15" xfId="30346"/>
    <cellStyle name="强调文字颜色 5 4 16" xfId="30348"/>
    <cellStyle name="强调文字颜色 5 4 17" xfId="8354"/>
    <cellStyle name="强调文字颜色 5 4 17 10" xfId="30349"/>
    <cellStyle name="强调文字颜色 5 4 17 11" xfId="30350"/>
    <cellStyle name="强调文字颜色 5 4 17 12" xfId="30351"/>
    <cellStyle name="强调文字颜色 5 4 17 13" xfId="30352"/>
    <cellStyle name="强调文字颜色 5 4 17 14" xfId="30353"/>
    <cellStyle name="强调文字颜色 5 4 17 2" xfId="8362"/>
    <cellStyle name="强调文字颜色 5 4 17 3" xfId="5799"/>
    <cellStyle name="强调文字颜色 5 4 17 4" xfId="23128"/>
    <cellStyle name="强调文字颜色 5 4 17 5" xfId="23130"/>
    <cellStyle name="强调文字颜色 5 4 17 5 10" xfId="30354"/>
    <cellStyle name="强调文字颜色 5 4 17 5 11" xfId="30355"/>
    <cellStyle name="强调文字颜色 5 4 17 5 2" xfId="11180"/>
    <cellStyle name="强调文字颜色 5 4 17 5 2 2" xfId="4238"/>
    <cellStyle name="强调文字颜色 5 4 17 5 2 2 2" xfId="20235"/>
    <cellStyle name="强调文字颜色 5 4 17 5 2 2 3" xfId="20238"/>
    <cellStyle name="强调文字颜色 5 4 17 5 2 3" xfId="4248"/>
    <cellStyle name="强调文字颜色 5 4 17 5 2 4" xfId="4256"/>
    <cellStyle name="强调文字颜色 5 4 17 5 2 5" xfId="30356"/>
    <cellStyle name="强调文字颜色 5 4 17 5 2 6" xfId="30358"/>
    <cellStyle name="强调文字颜色 5 4 17 5 2 7" xfId="30360"/>
    <cellStyle name="强调文字颜色 5 4 17 5 2 8" xfId="30362"/>
    <cellStyle name="强调文字颜色 5 4 17 5 3" xfId="30363"/>
    <cellStyle name="强调文字颜色 5 4 17 5 4" xfId="30365"/>
    <cellStyle name="强调文字颜色 5 4 17 5 5" xfId="30367"/>
    <cellStyle name="强调文字颜色 5 4 17 5 6" xfId="30369"/>
    <cellStyle name="强调文字颜色 5 4 17 5 6 2" xfId="30370"/>
    <cellStyle name="强调文字颜色 5 4 17 5 6 3" xfId="30371"/>
    <cellStyle name="强调文字颜色 5 4 17 5 7" xfId="30374"/>
    <cellStyle name="强调文字颜色 5 4 17 5 8" xfId="30377"/>
    <cellStyle name="强调文字颜色 5 4 17 5 9" xfId="30380"/>
    <cellStyle name="强调文字颜色 5 4 17 6" xfId="23132"/>
    <cellStyle name="强调文字颜色 5 4 17 6 2" xfId="30381"/>
    <cellStyle name="强调文字颜色 5 4 17 6 2 2" xfId="30382"/>
    <cellStyle name="强调文字颜色 5 4 17 6 2 3" xfId="30383"/>
    <cellStyle name="强调文字颜色 5 4 17 6 3" xfId="30384"/>
    <cellStyle name="强调文字颜色 5 4 17 6 4" xfId="30386"/>
    <cellStyle name="强调文字颜色 5 4 17 6 5" xfId="30388"/>
    <cellStyle name="强调文字颜色 5 4 17 6 6" xfId="30390"/>
    <cellStyle name="强调文字颜色 5 4 17 6 7" xfId="30392"/>
    <cellStyle name="强调文字颜色 5 4 17 6 8" xfId="30394"/>
    <cellStyle name="强调文字颜色 5 4 17 7" xfId="23134"/>
    <cellStyle name="强调文字颜色 5 4 17 8" xfId="23136"/>
    <cellStyle name="强调文字颜色 5 4 17 9" xfId="23138"/>
    <cellStyle name="强调文字颜色 5 4 17 9 2" xfId="30396"/>
    <cellStyle name="强调文字颜色 5 4 17 9 3" xfId="30397"/>
    <cellStyle name="强调文字颜色 5 4 18" xfId="8364"/>
    <cellStyle name="强调文字颜色 5 4 18 10" xfId="30398"/>
    <cellStyle name="强调文字颜色 5 4 18 11" xfId="23366"/>
    <cellStyle name="强调文字颜色 5 4 18 12" xfId="23368"/>
    <cellStyle name="强调文字颜色 5 4 18 13" xfId="23371"/>
    <cellStyle name="强调文字颜色 5 4 18 14" xfId="23375"/>
    <cellStyle name="强调文字颜色 5 4 18 2" xfId="30399"/>
    <cellStyle name="强调文字颜色 5 4 18 3" xfId="30402"/>
    <cellStyle name="强调文字颜色 5 4 18 4" xfId="30405"/>
    <cellStyle name="强调文字颜色 5 4 18 5" xfId="30408"/>
    <cellStyle name="强调文字颜色 5 4 18 5 10" xfId="30411"/>
    <cellStyle name="强调文字颜色 5 4 18 5 11" xfId="30412"/>
    <cellStyle name="强调文字颜色 5 4 18 5 2" xfId="30413"/>
    <cellStyle name="强调文字颜色 5 4 18 5 2 2" xfId="15687"/>
    <cellStyle name="强调文字颜色 5 4 18 5 2 2 2" xfId="30415"/>
    <cellStyle name="强调文字颜色 5 4 18 5 2 2 3" xfId="30417"/>
    <cellStyle name="强调文字颜色 5 4 18 5 2 3" xfId="15689"/>
    <cellStyle name="强调文字颜色 5 4 18 5 2 4" xfId="15718"/>
    <cellStyle name="强调文字颜色 5 4 18 5 2 5" xfId="15740"/>
    <cellStyle name="强调文字颜色 5 4 18 5 2 6" xfId="15742"/>
    <cellStyle name="强调文字颜色 5 4 18 5 2 7" xfId="15747"/>
    <cellStyle name="强调文字颜色 5 4 18 5 2 8" xfId="16273"/>
    <cellStyle name="强调文字颜色 5 4 18 5 3" xfId="30419"/>
    <cellStyle name="强调文字颜色 5 4 18 5 4" xfId="30422"/>
    <cellStyle name="强调文字颜色 5 4 18 5 5" xfId="30424"/>
    <cellStyle name="强调文字颜色 5 4 18 5 6" xfId="30426"/>
    <cellStyle name="强调文字颜色 5 4 18 5 6 2" xfId="15752"/>
    <cellStyle name="强调文字颜色 5 4 18 5 6 3" xfId="15754"/>
    <cellStyle name="强调文字颜色 5 4 18 5 7" xfId="11967"/>
    <cellStyle name="强调文字颜色 5 4 18 5 8" xfId="11974"/>
    <cellStyle name="强调文字颜色 5 4 18 5 9" xfId="8251"/>
    <cellStyle name="强调文字颜色 5 4 18 6" xfId="30427"/>
    <cellStyle name="强调文字颜色 5 4 18 6 2" xfId="30430"/>
    <cellStyle name="强调文字颜色 5 4 18 6 2 2" xfId="30431"/>
    <cellStyle name="强调文字颜色 5 4 18 6 2 3" xfId="30432"/>
    <cellStyle name="强调文字颜色 5 4 18 6 3" xfId="30433"/>
    <cellStyle name="强调文字颜色 5 4 18 6 4" xfId="30435"/>
    <cellStyle name="强调文字颜色 5 4 18 6 5" xfId="30437"/>
    <cellStyle name="强调文字颜色 5 4 18 6 6" xfId="30439"/>
    <cellStyle name="强调文字颜色 5 4 18 6 7" xfId="23393"/>
    <cellStyle name="强调文字颜色 5 4 18 6 8" xfId="23398"/>
    <cellStyle name="强调文字颜色 5 4 18 7" xfId="30440"/>
    <cellStyle name="强调文字颜色 5 4 18 8" xfId="30444"/>
    <cellStyle name="强调文字颜色 5 4 18 9" xfId="30447"/>
    <cellStyle name="强调文字颜色 5 4 18 9 2" xfId="10427"/>
    <cellStyle name="强调文字颜色 5 4 18 9 3" xfId="10433"/>
    <cellStyle name="强调文字颜色 5 4 19" xfId="8356"/>
    <cellStyle name="强调文字颜色 5 4 19 10" xfId="5160"/>
    <cellStyle name="强调文字颜色 5 4 19 11" xfId="5169"/>
    <cellStyle name="强调文字颜色 5 4 19 12" xfId="5175"/>
    <cellStyle name="强调文字颜色 5 4 19 13" xfId="5178"/>
    <cellStyle name="强调文字颜色 5 4 19 14" xfId="5183"/>
    <cellStyle name="强调文字颜色 5 4 19 2" xfId="30448"/>
    <cellStyle name="强调文字颜色 5 4 19 3" xfId="30450"/>
    <cellStyle name="强调文字颜色 5 4 19 4" xfId="30452"/>
    <cellStyle name="强调文字颜色 5 4 19 5" xfId="30455"/>
    <cellStyle name="强调文字颜色 5 4 19 5 10" xfId="30457"/>
    <cellStyle name="强调文字颜色 5 4 19 5 11" xfId="30460"/>
    <cellStyle name="强调文字颜色 5 4 19 5 2" xfId="30461"/>
    <cellStyle name="强调文字颜色 5 4 19 5 2 2" xfId="30462"/>
    <cellStyle name="强调文字颜色 5 4 19 5 2 2 2" xfId="30465"/>
    <cellStyle name="强调文字颜色 5 4 19 5 2 2 3" xfId="30468"/>
    <cellStyle name="强调文字颜色 5 4 19 5 2 3" xfId="30469"/>
    <cellStyle name="强调文字颜色 5 4 19 5 2 4" xfId="30470"/>
    <cellStyle name="强调文字颜色 5 4 19 5 2 5" xfId="30471"/>
    <cellStyle name="强调文字颜色 5 4 19 5 2 6" xfId="19931"/>
    <cellStyle name="强调文字颜色 5 4 19 5 2 7" xfId="19241"/>
    <cellStyle name="强调文字颜色 5 4 19 5 2 8" xfId="19250"/>
    <cellStyle name="强调文字颜色 5 4 19 5 3" xfId="30472"/>
    <cellStyle name="强调文字颜色 5 4 19 5 4" xfId="30473"/>
    <cellStyle name="强调文字颜色 5 4 19 5 5" xfId="30474"/>
    <cellStyle name="强调文字颜色 5 4 19 5 6" xfId="30475"/>
    <cellStyle name="强调文字颜色 5 4 19 5 6 2" xfId="30476"/>
    <cellStyle name="强调文字颜色 5 4 19 5 6 3" xfId="30477"/>
    <cellStyle name="强调文字颜色 5 4 19 5 7" xfId="23416"/>
    <cellStyle name="强调文字颜色 5 4 19 5 8" xfId="23431"/>
    <cellStyle name="强调文字颜色 5 4 19 5 9" xfId="23433"/>
    <cellStyle name="强调文字颜色 5 4 19 6" xfId="30479"/>
    <cellStyle name="强调文字颜色 5 4 19 6 2" xfId="25175"/>
    <cellStyle name="强调文字颜色 5 4 19 6 2 2" xfId="25644"/>
    <cellStyle name="强调文字颜色 5 4 19 6 2 3" xfId="30481"/>
    <cellStyle name="强调文字颜色 5 4 19 6 3" xfId="25177"/>
    <cellStyle name="强调文字颜色 5 4 19 6 4" xfId="25179"/>
    <cellStyle name="强调文字颜色 5 4 19 6 5" xfId="25181"/>
    <cellStyle name="强调文字颜色 5 4 19 6 6" xfId="25183"/>
    <cellStyle name="强调文字颜色 5 4 19 6 7" xfId="23443"/>
    <cellStyle name="强调文字颜色 5 4 19 6 8" xfId="23445"/>
    <cellStyle name="强调文字颜色 5 4 19 7" xfId="30484"/>
    <cellStyle name="强调文字颜色 5 4 19 8" xfId="30488"/>
    <cellStyle name="强调文字颜色 5 4 19 9" xfId="30491"/>
    <cellStyle name="强调文字颜色 5 4 19 9 2" xfId="10459"/>
    <cellStyle name="强调文字颜色 5 4 19 9 3" xfId="30492"/>
    <cellStyle name="强调文字颜色 5 4 2" xfId="9749"/>
    <cellStyle name="强调文字颜色 5 4 20" xfId="30347"/>
    <cellStyle name="强调文字颜色 5 4 20 10" xfId="30493"/>
    <cellStyle name="强调文字颜色 5 4 20 11" xfId="30494"/>
    <cellStyle name="强调文字颜色 5 4 20 12" xfId="30495"/>
    <cellStyle name="强调文字颜色 5 4 20 13" xfId="30496"/>
    <cellStyle name="强调文字颜色 5 4 20 14" xfId="30497"/>
    <cellStyle name="强调文字颜色 5 4 20 2" xfId="30498"/>
    <cellStyle name="强调文字颜色 5 4 20 3" xfId="30499"/>
    <cellStyle name="强调文字颜色 5 4 20 4" xfId="30500"/>
    <cellStyle name="强调文字颜色 5 4 20 5" xfId="30501"/>
    <cellStyle name="强调文字颜色 5 4 20 5 10" xfId="9411"/>
    <cellStyle name="强调文字颜色 5 4 20 5 11" xfId="30503"/>
    <cellStyle name="强调文字颜色 5 4 20 5 2" xfId="30505"/>
    <cellStyle name="强调文字颜色 5 4 20 5 2 2" xfId="30506"/>
    <cellStyle name="强调文字颜色 5 4 20 5 2 2 2" xfId="30508"/>
    <cellStyle name="强调文字颜色 5 4 20 5 2 2 3" xfId="8000"/>
    <cellStyle name="强调文字颜色 5 4 20 5 2 3" xfId="30509"/>
    <cellStyle name="强调文字颜色 5 4 20 5 2 4" xfId="30510"/>
    <cellStyle name="强调文字颜色 5 4 20 5 2 5" xfId="30511"/>
    <cellStyle name="强调文字颜色 5 4 20 5 2 6" xfId="30512"/>
    <cellStyle name="强调文字颜色 5 4 20 5 2 7" xfId="30513"/>
    <cellStyle name="强调文字颜色 5 4 20 5 2 8" xfId="30514"/>
    <cellStyle name="强调文字颜色 5 4 20 5 3" xfId="30515"/>
    <cellStyle name="强调文字颜色 5 4 20 5 4" xfId="30516"/>
    <cellStyle name="强调文字颜色 5 4 20 5 5" xfId="30517"/>
    <cellStyle name="强调文字颜色 5 4 20 5 6" xfId="30518"/>
    <cellStyle name="强调文字颜色 5 4 20 5 6 2" xfId="8697"/>
    <cellStyle name="强调文字颜色 5 4 20 5 6 3" xfId="4969"/>
    <cellStyle name="强调文字颜色 5 4 20 5 7" xfId="30519"/>
    <cellStyle name="强调文字颜色 5 4 20 5 8" xfId="30520"/>
    <cellStyle name="强调文字颜色 5 4 20 5 9" xfId="30521"/>
    <cellStyle name="强调文字颜色 5 4 20 6" xfId="30522"/>
    <cellStyle name="强调文字颜色 5 4 20 6 2" xfId="30523"/>
    <cellStyle name="强调文字颜色 5 4 20 6 2 2" xfId="25666"/>
    <cellStyle name="强调文字颜色 5 4 20 6 2 3" xfId="30526"/>
    <cellStyle name="强调文字颜色 5 4 20 6 3" xfId="30528"/>
    <cellStyle name="强调文字颜色 5 4 20 6 4" xfId="30530"/>
    <cellStyle name="强调文字颜色 5 4 20 6 5" xfId="30532"/>
    <cellStyle name="强调文字颜色 5 4 20 6 6" xfId="30534"/>
    <cellStyle name="强调文字颜色 5 4 20 6 7" xfId="30536"/>
    <cellStyle name="强调文字颜色 5 4 20 6 8" xfId="28849"/>
    <cellStyle name="强调文字颜色 5 4 20 7" xfId="30537"/>
    <cellStyle name="强调文字颜色 5 4 20 8" xfId="30539"/>
    <cellStyle name="强调文字颜色 5 4 20 9" xfId="30541"/>
    <cellStyle name="强调文字颜色 5 4 20 9 2" xfId="30543"/>
    <cellStyle name="强调文字颜色 5 4 20 9 3" xfId="30544"/>
    <cellStyle name="强调文字颜色 5 4 3" xfId="9754"/>
    <cellStyle name="强调文字颜色 5 4 4" xfId="9759"/>
    <cellStyle name="强调文字颜色 5 4 5" xfId="9764"/>
    <cellStyle name="强调文字颜色 5 4 6" xfId="30545"/>
    <cellStyle name="强调文字颜色 5 4 7" xfId="30546"/>
    <cellStyle name="强调文字颜色 5 4 8" xfId="30547"/>
    <cellStyle name="强调文字颜色 5 4 9" xfId="24676"/>
    <cellStyle name="强调文字颜色 5 5" xfId="27856"/>
    <cellStyle name="强调文字颜色 5 5 10" xfId="17228"/>
    <cellStyle name="强调文字颜色 5 5 11" xfId="30548"/>
    <cellStyle name="强调文字颜色 5 5 12" xfId="30549"/>
    <cellStyle name="强调文字颜色 5 5 13" xfId="15540"/>
    <cellStyle name="强调文字颜色 5 5 14" xfId="15544"/>
    <cellStyle name="强调文字颜色 5 5 2" xfId="6534"/>
    <cellStyle name="强调文字颜色 5 5 3" xfId="16654"/>
    <cellStyle name="强调文字颜色 5 5 4" xfId="16656"/>
    <cellStyle name="强调文字颜色 5 5 5" xfId="30550"/>
    <cellStyle name="强调文字颜色 5 5 6" xfId="9226"/>
    <cellStyle name="强调文字颜色 5 5 7" xfId="9230"/>
    <cellStyle name="强调文字颜色 5 5 8" xfId="9233"/>
    <cellStyle name="强调文字颜色 5 5 9" xfId="9236"/>
    <cellStyle name="强调文字颜色 5 6" xfId="27859"/>
    <cellStyle name="强调文字颜色 5 6 10" xfId="30551"/>
    <cellStyle name="强调文字颜色 5 6 11" xfId="30552"/>
    <cellStyle name="强调文字颜色 5 6 12" xfId="30553"/>
    <cellStyle name="强调文字颜色 5 6 13" xfId="30554"/>
    <cellStyle name="强调文字颜色 5 6 14" xfId="30556"/>
    <cellStyle name="强调文字颜色 5 6 2" xfId="27861"/>
    <cellStyle name="强调文字颜色 5 6 3" xfId="27863"/>
    <cellStyle name="强调文字颜色 5 6 4" xfId="30558"/>
    <cellStyle name="强调文字颜色 5 6 5" xfId="30559"/>
    <cellStyle name="强调文字颜色 5 6 6" xfId="30560"/>
    <cellStyle name="强调文字颜色 5 6 7" xfId="30561"/>
    <cellStyle name="强调文字颜色 5 6 8" xfId="30562"/>
    <cellStyle name="强调文字颜色 5 6 9" xfId="30563"/>
    <cellStyle name="强调文字颜色 5 7" xfId="30565"/>
    <cellStyle name="强调文字颜色 5 8" xfId="30567"/>
    <cellStyle name="强调文字颜色 5 9" xfId="30568"/>
    <cellStyle name="强调文字颜色 6 10" xfId="23264"/>
    <cellStyle name="强调文字颜色 6 11" xfId="23265"/>
    <cellStyle name="强调文字颜色 6 12" xfId="23268"/>
    <cellStyle name="强调文字颜色 6 12 10" xfId="1125"/>
    <cellStyle name="强调文字颜色 6 12 11" xfId="23271"/>
    <cellStyle name="强调文字颜色 6 12 12" xfId="30569"/>
    <cellStyle name="强调文字颜色 6 12 13" xfId="30570"/>
    <cellStyle name="强调文字颜色 6 12 14" xfId="3138"/>
    <cellStyle name="强调文字颜色 6 12 2" xfId="13169"/>
    <cellStyle name="强调文字颜色 6 12 3" xfId="13174"/>
    <cellStyle name="强调文字颜色 6 12 4" xfId="13181"/>
    <cellStyle name="强调文字颜色 6 12 5" xfId="5784"/>
    <cellStyle name="强调文字颜色 6 12 5 10" xfId="30571"/>
    <cellStyle name="强调文字颜色 6 12 5 11" xfId="30572"/>
    <cellStyle name="强调文字颜色 6 12 5 2" xfId="5792"/>
    <cellStyle name="强调文字颜色 6 12 5 2 2" xfId="30573"/>
    <cellStyle name="强调文字颜色 6 12 5 2 2 2" xfId="30574"/>
    <cellStyle name="强调文字颜色 6 12 5 2 2 3" xfId="14623"/>
    <cellStyle name="强调文字颜色 6 12 5 2 3" xfId="30575"/>
    <cellStyle name="强调文字颜色 6 12 5 2 4" xfId="30576"/>
    <cellStyle name="强调文字颜色 6 12 5 2 5" xfId="30577"/>
    <cellStyle name="强调文字颜色 6 12 5 2 6" xfId="30579"/>
    <cellStyle name="强调文字颜色 6 12 5 2 7" xfId="30582"/>
    <cellStyle name="强调文字颜色 6 12 5 2 8" xfId="30585"/>
    <cellStyle name="强调文字颜色 6 12 5 3" xfId="5803"/>
    <cellStyle name="强调文字颜色 6 12 5 4" xfId="30587"/>
    <cellStyle name="强调文字颜色 6 12 5 5" xfId="30589"/>
    <cellStyle name="强调文字颜色 6 12 5 6" xfId="30590"/>
    <cellStyle name="强调文字颜色 6 12 5 6 2" xfId="976"/>
    <cellStyle name="强调文字颜色 6 12 5 6 3" xfId="22855"/>
    <cellStyle name="强调文字颜色 6 12 5 7" xfId="30591"/>
    <cellStyle name="强调文字颜色 6 12 5 8" xfId="15915"/>
    <cellStyle name="强调文字颜色 6 12 5 9" xfId="15918"/>
    <cellStyle name="强调文字颜色 6 12 6" xfId="5811"/>
    <cellStyle name="强调文字颜色 6 12 6 2" xfId="23280"/>
    <cellStyle name="强调文字颜色 6 12 6 2 2" xfId="30594"/>
    <cellStyle name="强调文字颜色 6 12 6 2 3" xfId="30596"/>
    <cellStyle name="强调文字颜色 6 12 6 3" xfId="23282"/>
    <cellStyle name="强调文字颜色 6 12 6 4" xfId="28759"/>
    <cellStyle name="强调文字颜色 6 12 6 5" xfId="28763"/>
    <cellStyle name="强调文字颜色 6 12 6 6" xfId="28765"/>
    <cellStyle name="强调文字颜色 6 12 6 7" xfId="28767"/>
    <cellStyle name="强调文字颜色 6 12 6 8" xfId="28769"/>
    <cellStyle name="强调文字颜色 6 12 7" xfId="5823"/>
    <cellStyle name="强调文字颜色 6 12 8" xfId="5830"/>
    <cellStyle name="强调文字颜色 6 12 9" xfId="5832"/>
    <cellStyle name="强调文字颜色 6 12 9 2" xfId="30599"/>
    <cellStyle name="强调文字颜色 6 12 9 3" xfId="30600"/>
    <cellStyle name="强调文字颜色 6 13" xfId="16468"/>
    <cellStyle name="强调文字颜色 6 14" xfId="16471"/>
    <cellStyle name="强调文字颜色 6 15" xfId="23288"/>
    <cellStyle name="强调文字颜色 6 16" xfId="14848"/>
    <cellStyle name="强调文字颜色 6 16 10" xfId="30601"/>
    <cellStyle name="强调文字颜色 6 16 11" xfId="30602"/>
    <cellStyle name="强调文字颜色 6 16 12" xfId="28373"/>
    <cellStyle name="强调文字颜色 6 16 13" xfId="28375"/>
    <cellStyle name="强调文字颜色 6 16 14" xfId="27237"/>
    <cellStyle name="强调文字颜色 6 16 2" xfId="23290"/>
    <cellStyle name="强调文字颜色 6 16 3" xfId="23292"/>
    <cellStyle name="强调文字颜色 6 16 4" xfId="30603"/>
    <cellStyle name="强调文字颜色 6 16 5" xfId="30604"/>
    <cellStyle name="强调文字颜色 6 16 5 10" xfId="18254"/>
    <cellStyle name="强调文字颜色 6 16 5 11" xfId="18259"/>
    <cellStyle name="强调文字颜色 6 16 5 2" xfId="30223"/>
    <cellStyle name="强调文字颜色 6 16 5 2 2" xfId="30225"/>
    <cellStyle name="强调文字颜色 6 16 5 2 2 2" xfId="30605"/>
    <cellStyle name="强调文字颜色 6 16 5 2 2 3" xfId="30607"/>
    <cellStyle name="强调文字颜色 6 16 5 2 3" xfId="30227"/>
    <cellStyle name="强调文字颜色 6 16 5 2 4" xfId="30608"/>
    <cellStyle name="强调文字颜色 6 16 5 2 5" xfId="30609"/>
    <cellStyle name="强调文字颜色 6 16 5 2 6" xfId="30610"/>
    <cellStyle name="强调文字颜色 6 16 5 2 7" xfId="30611"/>
    <cellStyle name="强调文字颜色 6 16 5 2 8" xfId="30612"/>
    <cellStyle name="强调文字颜色 6 16 5 3" xfId="30229"/>
    <cellStyle name="强调文字颜色 6 16 5 4" xfId="30231"/>
    <cellStyle name="强调文字颜色 6 16 5 5" xfId="30233"/>
    <cellStyle name="强调文字颜色 6 16 5 6" xfId="30613"/>
    <cellStyle name="强调文字颜色 6 16 5 6 2" xfId="30614"/>
    <cellStyle name="强调文字颜色 6 16 5 6 3" xfId="30615"/>
    <cellStyle name="强调文字颜色 6 16 5 7" xfId="30616"/>
    <cellStyle name="强调文字颜色 6 16 5 8" xfId="30617"/>
    <cellStyle name="强调文字颜色 6 16 5 9" xfId="30618"/>
    <cellStyle name="强调文字颜色 6 16 6" xfId="30619"/>
    <cellStyle name="强调文字颜色 6 16 6 2" xfId="22586"/>
    <cellStyle name="强调文字颜色 6 16 6 2 2" xfId="30620"/>
    <cellStyle name="强调文字颜色 6 16 6 2 3" xfId="30621"/>
    <cellStyle name="强调文字颜色 6 16 6 3" xfId="30236"/>
    <cellStyle name="强调文字颜色 6 16 6 4" xfId="30239"/>
    <cellStyle name="强调文字颜色 6 16 6 5" xfId="30623"/>
    <cellStyle name="强调文字颜色 6 16 6 6" xfId="30625"/>
    <cellStyle name="强调文字颜色 6 16 6 7" xfId="2875"/>
    <cellStyle name="强调文字颜色 6 16 6 8" xfId="14419"/>
    <cellStyle name="强调文字颜色 6 16 7" xfId="30626"/>
    <cellStyle name="强调文字颜色 6 16 8" xfId="30627"/>
    <cellStyle name="强调文字颜色 6 16 9" xfId="30628"/>
    <cellStyle name="强调文字颜色 6 16 9 2" xfId="30630"/>
    <cellStyle name="强调文字颜色 6 16 9 3" xfId="30631"/>
    <cellStyle name="强调文字颜色 6 17" xfId="11412"/>
    <cellStyle name="强调文字颜色 6 17 10" xfId="30633"/>
    <cellStyle name="强调文字颜色 6 17 11" xfId="30635"/>
    <cellStyle name="强调文字颜色 6 17 12" xfId="30637"/>
    <cellStyle name="强调文字颜色 6 17 13" xfId="30639"/>
    <cellStyle name="强调文字颜色 6 17 14" xfId="19778"/>
    <cellStyle name="强调文字颜色 6 17 2" xfId="30641"/>
    <cellStyle name="强调文字颜色 6 17 3" xfId="30643"/>
    <cellStyle name="强调文字颜色 6 17 4" xfId="14537"/>
    <cellStyle name="强调文字颜色 6 17 5" xfId="14540"/>
    <cellStyle name="强调文字颜色 6 17 5 10" xfId="30644"/>
    <cellStyle name="强调文字颜色 6 17 5 11" xfId="30645"/>
    <cellStyle name="强调文字颜色 6 17 5 2" xfId="22128"/>
    <cellStyle name="强调文字颜色 6 17 5 2 2" xfId="30268"/>
    <cellStyle name="强调文字颜色 6 17 5 2 2 2" xfId="28309"/>
    <cellStyle name="强调文字颜色 6 17 5 2 2 3" xfId="30646"/>
    <cellStyle name="强调文字颜色 6 17 5 2 3" xfId="30271"/>
    <cellStyle name="强调文字颜色 6 17 5 2 4" xfId="30647"/>
    <cellStyle name="强调文字颜色 6 17 5 2 5" xfId="30648"/>
    <cellStyle name="强调文字颜色 6 17 5 2 6" xfId="30649"/>
    <cellStyle name="强调文字颜色 6 17 5 2 7" xfId="30650"/>
    <cellStyle name="强调文字颜色 6 17 5 2 8" xfId="30651"/>
    <cellStyle name="强调文字颜色 6 17 5 3" xfId="22132"/>
    <cellStyle name="强调文字颜色 6 17 5 4" xfId="22135"/>
    <cellStyle name="强调文字颜色 6 17 5 5" xfId="19867"/>
    <cellStyle name="强调文字颜色 6 17 5 6" xfId="19870"/>
    <cellStyle name="强调文字颜色 6 17 5 6 2" xfId="23063"/>
    <cellStyle name="强调文字颜色 6 17 5 6 3" xfId="23065"/>
    <cellStyle name="强调文字颜色 6 17 5 7" xfId="19872"/>
    <cellStyle name="强调文字颜色 6 17 5 8" xfId="19874"/>
    <cellStyle name="强调文字颜色 6 17 5 9" xfId="19876"/>
    <cellStyle name="强调文字颜色 6 17 6" xfId="24294"/>
    <cellStyle name="强调文字颜色 6 17 6 2" xfId="30280"/>
    <cellStyle name="强调文字颜色 6 17 6 2 2" xfId="30653"/>
    <cellStyle name="强调文字颜色 6 17 6 2 3" xfId="30655"/>
    <cellStyle name="强调文字颜色 6 17 6 3" xfId="30282"/>
    <cellStyle name="强调文字颜色 6 17 6 4" xfId="30284"/>
    <cellStyle name="强调文字颜色 6 17 6 5" xfId="30656"/>
    <cellStyle name="强调文字颜色 6 17 6 6" xfId="30657"/>
    <cellStyle name="强调文字颜色 6 17 6 7" xfId="30658"/>
    <cellStyle name="强调文字颜色 6 17 6 8" xfId="30659"/>
    <cellStyle name="强调文字颜色 6 17 7" xfId="24296"/>
    <cellStyle name="强调文字颜色 6 17 8" xfId="24298"/>
    <cellStyle name="强调文字颜色 6 17 9" xfId="24300"/>
    <cellStyle name="强调文字颜色 6 17 9 2" xfId="30661"/>
    <cellStyle name="强调文字颜色 6 17 9 3" xfId="30662"/>
    <cellStyle name="强调文字颜色 6 18" xfId="8462"/>
    <cellStyle name="强调文字颜色 6 18 10" xfId="23327"/>
    <cellStyle name="强调文字颜色 6 18 11" xfId="16632"/>
    <cellStyle name="强调文字颜色 6 18 12" xfId="16061"/>
    <cellStyle name="强调文字颜色 6 18 13" xfId="16106"/>
    <cellStyle name="强调文字颜色 6 18 14" xfId="14096"/>
    <cellStyle name="强调文字颜色 6 18 2" xfId="16665"/>
    <cellStyle name="强调文字颜色 6 18 3" xfId="30664"/>
    <cellStyle name="强调文字颜色 6 18 4" xfId="24306"/>
    <cellStyle name="强调文字颜色 6 18 5" xfId="24308"/>
    <cellStyle name="强调文字颜色 6 18 5 10" xfId="20565"/>
    <cellStyle name="强调文字颜色 6 18 5 11" xfId="20569"/>
    <cellStyle name="强调文字颜色 6 18 5 2" xfId="18528"/>
    <cellStyle name="强调文字颜色 6 18 5 2 2" xfId="5935"/>
    <cellStyle name="强调文字颜色 6 18 5 2 2 2" xfId="10568"/>
    <cellStyle name="强调文字颜色 6 18 5 2 2 3" xfId="30665"/>
    <cellStyle name="强调文字颜色 6 18 5 2 3" xfId="5947"/>
    <cellStyle name="强调文字颜色 6 18 5 2 4" xfId="5955"/>
    <cellStyle name="强调文字颜色 6 18 5 2 5" xfId="1497"/>
    <cellStyle name="强调文字颜色 6 18 5 2 6" xfId="1512"/>
    <cellStyle name="强调文字颜色 6 18 5 2 7" xfId="4417"/>
    <cellStyle name="强调文字颜色 6 18 5 2 8" xfId="18531"/>
    <cellStyle name="强调文字颜色 6 18 5 3" xfId="18537"/>
    <cellStyle name="强调文字颜色 6 18 5 4" xfId="6778"/>
    <cellStyle name="强调文字颜色 6 18 5 5" xfId="7615"/>
    <cellStyle name="强调文字颜色 6 18 5 6" xfId="7626"/>
    <cellStyle name="强调文字颜色 6 18 5 6 2" xfId="30666"/>
    <cellStyle name="强调文字颜色 6 18 5 6 3" xfId="30667"/>
    <cellStyle name="强调文字颜色 6 18 5 7" xfId="8924"/>
    <cellStyle name="强调文字颜色 6 18 5 8" xfId="921"/>
    <cellStyle name="强调文字颜色 6 18 5 9" xfId="959"/>
    <cellStyle name="强调文字颜色 6 18 6" xfId="24310"/>
    <cellStyle name="强调文字颜色 6 18 6 2" xfId="21002"/>
    <cellStyle name="强调文字颜色 6 18 6 2 2" xfId="10607"/>
    <cellStyle name="强调文字颜色 6 18 6 2 3" xfId="10618"/>
    <cellStyle name="强调文字颜色 6 18 6 3" xfId="21015"/>
    <cellStyle name="强调文字颜色 6 18 6 4" xfId="21027"/>
    <cellStyle name="强调文字颜色 6 18 6 5" xfId="21031"/>
    <cellStyle name="强调文字颜色 6 18 6 6" xfId="21034"/>
    <cellStyle name="强调文字颜色 6 18 6 7" xfId="14159"/>
    <cellStyle name="强调文字颜色 6 18 6 8" xfId="14163"/>
    <cellStyle name="强调文字颜色 6 18 7" xfId="23647"/>
    <cellStyle name="强调文字颜色 6 18 8" xfId="23652"/>
    <cellStyle name="强调文字颜色 6 18 9" xfId="23656"/>
    <cellStyle name="强调文字颜色 6 18 9 2" xfId="21146"/>
    <cellStyle name="强调文字颜色 6 18 9 3" xfId="21150"/>
    <cellStyle name="强调文字颜色 6 19" xfId="8467"/>
    <cellStyle name="强调文字颜色 6 2" xfId="25352"/>
    <cellStyle name="强调文字颜色 6 2 10" xfId="30668"/>
    <cellStyle name="强调文字颜色 6 2 11" xfId="30669"/>
    <cellStyle name="强调文字颜色 6 2 12" xfId="30670"/>
    <cellStyle name="强调文字颜色 6 2 13" xfId="30671"/>
    <cellStyle name="强调文字颜色 6 2 14" xfId="30672"/>
    <cellStyle name="强调文字颜色 6 2 15" xfId="30673"/>
    <cellStyle name="强调文字颜色 6 2 16" xfId="30675"/>
    <cellStyle name="强调文字颜色 6 2 17" xfId="30676"/>
    <cellStyle name="强调文字颜色 6 2 17 10" xfId="30678"/>
    <cellStyle name="强调文字颜色 6 2 17 11" xfId="30679"/>
    <cellStyle name="强调文字颜色 6 2 17 12" xfId="30680"/>
    <cellStyle name="强调文字颜色 6 2 17 13" xfId="26009"/>
    <cellStyle name="强调文字颜色 6 2 17 14" xfId="30681"/>
    <cellStyle name="强调文字颜色 6 2 17 2" xfId="30682"/>
    <cellStyle name="强调文字颜色 6 2 17 3" xfId="30683"/>
    <cellStyle name="强调文字颜色 6 2 17 4" xfId="20186"/>
    <cellStyle name="强调文字颜色 6 2 17 5" xfId="20190"/>
    <cellStyle name="强调文字颜色 6 2 17 5 10" xfId="30684"/>
    <cellStyle name="强调文字颜色 6 2 17 5 11" xfId="20694"/>
    <cellStyle name="强调文字颜色 6 2 17 5 2" xfId="30685"/>
    <cellStyle name="强调文字颜色 6 2 17 5 2 2" xfId="30687"/>
    <cellStyle name="强调文字颜色 6 2 17 5 2 2 2" xfId="30688"/>
    <cellStyle name="强调文字颜色 6 2 17 5 2 2 3" xfId="30689"/>
    <cellStyle name="强调文字颜色 6 2 17 5 2 3" xfId="30691"/>
    <cellStyle name="强调文字颜色 6 2 17 5 2 4" xfId="30693"/>
    <cellStyle name="强调文字颜色 6 2 17 5 2 5" xfId="30695"/>
    <cellStyle name="强调文字颜色 6 2 17 5 2 6" xfId="30697"/>
    <cellStyle name="强调文字颜色 6 2 17 5 2 7" xfId="18778"/>
    <cellStyle name="强调文字颜色 6 2 17 5 2 8" xfId="18782"/>
    <cellStyle name="强调文字颜色 6 2 17 5 3" xfId="30698"/>
    <cellStyle name="强调文字颜色 6 2 17 5 4" xfId="30699"/>
    <cellStyle name="强调文字颜色 6 2 17 5 5" xfId="30700"/>
    <cellStyle name="强调文字颜色 6 2 17 5 6" xfId="30701"/>
    <cellStyle name="强调文字颜色 6 2 17 5 6 2" xfId="25422"/>
    <cellStyle name="强调文字颜色 6 2 17 5 6 3" xfId="30703"/>
    <cellStyle name="强调文字颜色 6 2 17 5 7" xfId="30704"/>
    <cellStyle name="强调文字颜色 6 2 17 5 8" xfId="30705"/>
    <cellStyle name="强调文字颜色 6 2 17 5 9" xfId="30706"/>
    <cellStyle name="强调文字颜色 6 2 17 6" xfId="22869"/>
    <cellStyle name="强调文字颜色 6 2 17 6 2" xfId="22998"/>
    <cellStyle name="强调文字颜色 6 2 17 6 2 2" xfId="1452"/>
    <cellStyle name="强调文字颜色 6 2 17 6 2 3" xfId="22782"/>
    <cellStyle name="强调文字颜色 6 2 17 6 3" xfId="23000"/>
    <cellStyle name="强调文字颜色 6 2 17 6 4" xfId="23002"/>
    <cellStyle name="强调文字颜色 6 2 17 6 5" xfId="23005"/>
    <cellStyle name="强调文字颜色 6 2 17 6 6" xfId="30707"/>
    <cellStyle name="强调文字颜色 6 2 17 6 7" xfId="30708"/>
    <cellStyle name="强调文字颜色 6 2 17 6 8" xfId="30709"/>
    <cellStyle name="强调文字颜色 6 2 17 7" xfId="22871"/>
    <cellStyle name="强调文字颜色 6 2 17 8" xfId="22873"/>
    <cellStyle name="强调文字颜色 6 2 17 9" xfId="20521"/>
    <cellStyle name="强调文字颜色 6 2 17 9 2" xfId="30710"/>
    <cellStyle name="强调文字颜色 6 2 17 9 3" xfId="30711"/>
    <cellStyle name="强调文字颜色 6 2 18" xfId="30712"/>
    <cellStyle name="强调文字颜色 6 2 18 10" xfId="30713"/>
    <cellStyle name="强调文字颜色 6 2 18 11" xfId="30714"/>
    <cellStyle name="强调文字颜色 6 2 18 12" xfId="30715"/>
    <cellStyle name="强调文字颜色 6 2 18 13" xfId="14882"/>
    <cellStyle name="强调文字颜色 6 2 18 14" xfId="14884"/>
    <cellStyle name="强调文字颜色 6 2 18 2" xfId="19982"/>
    <cellStyle name="强调文字颜色 6 2 18 3" xfId="24079"/>
    <cellStyle name="强调文字颜色 6 2 18 4" xfId="24084"/>
    <cellStyle name="强调文字颜色 6 2 18 5" xfId="30716"/>
    <cellStyle name="强调文字颜色 6 2 18 5 10" xfId="30717"/>
    <cellStyle name="强调文字颜色 6 2 18 5 11" xfId="19646"/>
    <cellStyle name="强调文字颜色 6 2 18 5 2" xfId="30718"/>
    <cellStyle name="强调文字颜色 6 2 18 5 2 2" xfId="30721"/>
    <cellStyle name="强调文字颜色 6 2 18 5 2 2 2" xfId="7498"/>
    <cellStyle name="强调文字颜色 6 2 18 5 2 2 3" xfId="7502"/>
    <cellStyle name="强调文字颜色 6 2 18 5 2 3" xfId="30723"/>
    <cellStyle name="强调文字颜色 6 2 18 5 2 4" xfId="30725"/>
    <cellStyle name="强调文字颜色 6 2 18 5 2 5" xfId="30727"/>
    <cellStyle name="强调文字颜色 6 2 18 5 2 6" xfId="30729"/>
    <cellStyle name="强调文字颜色 6 2 18 5 2 7" xfId="30730"/>
    <cellStyle name="强调文字颜色 6 2 18 5 2 8" xfId="30731"/>
    <cellStyle name="强调文字颜色 6 2 18 5 3" xfId="30732"/>
    <cellStyle name="强调文字颜色 6 2 18 5 4" xfId="30733"/>
    <cellStyle name="强调文字颜色 6 2 18 5 5" xfId="30734"/>
    <cellStyle name="强调文字颜色 6 2 18 5 6" xfId="24528"/>
    <cellStyle name="强调文字颜色 6 2 18 5 6 2" xfId="30735"/>
    <cellStyle name="强调文字颜色 6 2 18 5 6 3" xfId="30736"/>
    <cellStyle name="强调文字颜色 6 2 18 5 7" xfId="24530"/>
    <cellStyle name="强调文字颜色 6 2 18 5 8" xfId="24532"/>
    <cellStyle name="强调文字颜色 6 2 18 5 9" xfId="24534"/>
    <cellStyle name="强调文字颜色 6 2 18 6" xfId="30737"/>
    <cellStyle name="强调文字颜色 6 2 18 6 2" xfId="30738"/>
    <cellStyle name="强调文字颜色 6 2 18 6 2 2" xfId="30740"/>
    <cellStyle name="强调文字颜色 6 2 18 6 2 3" xfId="30742"/>
    <cellStyle name="强调文字颜色 6 2 18 6 3" xfId="30743"/>
    <cellStyle name="强调文字颜色 6 2 18 6 4" xfId="30744"/>
    <cellStyle name="强调文字颜色 6 2 18 6 5" xfId="30745"/>
    <cellStyle name="强调文字颜色 6 2 18 6 6" xfId="30746"/>
    <cellStyle name="强调文字颜色 6 2 18 6 7" xfId="30747"/>
    <cellStyle name="强调文字颜色 6 2 18 6 8" xfId="30748"/>
    <cellStyle name="强调文字颜色 6 2 18 7" xfId="30749"/>
    <cellStyle name="强调文字颜色 6 2 18 8" xfId="30750"/>
    <cellStyle name="强调文字颜色 6 2 18 9" xfId="30751"/>
    <cellStyle name="强调文字颜色 6 2 18 9 2" xfId="30752"/>
    <cellStyle name="强调文字颜色 6 2 18 9 3" xfId="30753"/>
    <cellStyle name="强调文字颜色 6 2 19" xfId="30754"/>
    <cellStyle name="强调文字颜色 6 2 19 10" xfId="30755"/>
    <cellStyle name="强调文字颜色 6 2 19 11" xfId="30756"/>
    <cellStyle name="强调文字颜色 6 2 19 12" xfId="30757"/>
    <cellStyle name="强调文字颜色 6 2 19 13" xfId="30759"/>
    <cellStyle name="强调文字颜色 6 2 19 14" xfId="30761"/>
    <cellStyle name="强调文字颜色 6 2 19 2" xfId="30762"/>
    <cellStyle name="强调文字颜色 6 2 19 3" xfId="30763"/>
    <cellStyle name="强调文字颜色 6 2 19 4" xfId="30764"/>
    <cellStyle name="强调文字颜色 6 2 19 5" xfId="30765"/>
    <cellStyle name="强调文字颜色 6 2 19 5 10" xfId="30766"/>
    <cellStyle name="强调文字颜色 6 2 19 5 11" xfId="6294"/>
    <cellStyle name="强调文字颜色 6 2 19 5 2" xfId="30767"/>
    <cellStyle name="强调文字颜色 6 2 19 5 2 2" xfId="30769"/>
    <cellStyle name="强调文字颜色 6 2 19 5 2 2 2" xfId="30770"/>
    <cellStyle name="强调文字颜色 6 2 19 5 2 2 3" xfId="30772"/>
    <cellStyle name="强调文字颜色 6 2 19 5 2 3" xfId="30775"/>
    <cellStyle name="强调文字颜色 6 2 19 5 2 4" xfId="30777"/>
    <cellStyle name="强调文字颜色 6 2 19 5 2 5" xfId="30779"/>
    <cellStyle name="强调文字颜色 6 2 19 5 2 6" xfId="24638"/>
    <cellStyle name="强调文字颜色 6 2 19 5 2 7" xfId="30780"/>
    <cellStyle name="强调文字颜色 6 2 19 5 2 8" xfId="30781"/>
    <cellStyle name="强调文字颜色 6 2 19 5 3" xfId="30783"/>
    <cellStyle name="强调文字颜色 6 2 19 5 4" xfId="29967"/>
    <cellStyle name="强调文字颜色 6 2 19 5 5" xfId="29969"/>
    <cellStyle name="强调文字颜色 6 2 19 5 6" xfId="29971"/>
    <cellStyle name="强调文字颜色 6 2 19 5 6 2" xfId="30784"/>
    <cellStyle name="强调文字颜色 6 2 19 5 6 3" xfId="30785"/>
    <cellStyle name="强调文字颜色 6 2 19 5 7" xfId="29973"/>
    <cellStyle name="强调文字颜色 6 2 19 5 8" xfId="29995"/>
    <cellStyle name="强调文字颜色 6 2 19 5 9" xfId="30015"/>
    <cellStyle name="强调文字颜色 6 2 19 6" xfId="30786"/>
    <cellStyle name="强调文字颜色 6 2 19 6 2" xfId="15821"/>
    <cellStyle name="强调文字颜色 6 2 19 6 2 2" xfId="5122"/>
    <cellStyle name="强调文字颜色 6 2 19 6 2 3" xfId="15836"/>
    <cellStyle name="强调文字颜色 6 2 19 6 3" xfId="15884"/>
    <cellStyle name="强调文字颜色 6 2 19 6 4" xfId="15921"/>
    <cellStyle name="强调文字颜色 6 2 19 6 5" xfId="30020"/>
    <cellStyle name="强调文字颜色 6 2 19 6 6" xfId="30022"/>
    <cellStyle name="强调文字颜色 6 2 19 6 7" xfId="30024"/>
    <cellStyle name="强调文字颜色 6 2 19 6 8" xfId="30050"/>
    <cellStyle name="强调文字颜色 6 2 19 7" xfId="30787"/>
    <cellStyle name="强调文字颜色 6 2 19 8" xfId="15376"/>
    <cellStyle name="强调文字颜色 6 2 19 9" xfId="10544"/>
    <cellStyle name="强调文字颜色 6 2 19 9 2" xfId="30788"/>
    <cellStyle name="强调文字颜色 6 2 19 9 3" xfId="30789"/>
    <cellStyle name="强调文字颜色 6 2 2" xfId="30790"/>
    <cellStyle name="强调文字颜色 6 2 2 10" xfId="30791"/>
    <cellStyle name="强调文字颜色 6 2 2 11" xfId="30792"/>
    <cellStyle name="强调文字颜色 6 2 2 12" xfId="25840"/>
    <cellStyle name="强调文字颜色 6 2 2 13" xfId="23762"/>
    <cellStyle name="强调文字颜色 6 2 2 14" xfId="23770"/>
    <cellStyle name="强调文字颜色 6 2 2 2" xfId="1519"/>
    <cellStyle name="强调文字颜色 6 2 2 3" xfId="30794"/>
    <cellStyle name="强调文字颜色 6 2 2 4" xfId="30796"/>
    <cellStyle name="强调文字颜色 6 2 2 5" xfId="25976"/>
    <cellStyle name="强调文字颜色 6 2 2 6" xfId="30798"/>
    <cellStyle name="强调文字颜色 6 2 2 7" xfId="30800"/>
    <cellStyle name="强调文字颜色 6 2 2 8" xfId="30802"/>
    <cellStyle name="强调文字颜色 6 2 2 9" xfId="30804"/>
    <cellStyle name="强调文字颜色 6 2 20" xfId="30674"/>
    <cellStyle name="强调文字颜色 6 2 20 10" xfId="30805"/>
    <cellStyle name="强调文字颜色 6 2 20 11" xfId="30806"/>
    <cellStyle name="强调文字颜色 6 2 20 12" xfId="25994"/>
    <cellStyle name="强调文字颜色 6 2 20 13" xfId="30807"/>
    <cellStyle name="强调文字颜色 6 2 20 14" xfId="30808"/>
    <cellStyle name="强调文字颜色 6 2 20 2" xfId="20709"/>
    <cellStyle name="强调文字颜色 6 2 20 3" xfId="30809"/>
    <cellStyle name="强调文字颜色 6 2 20 4" xfId="30811"/>
    <cellStyle name="强调文字颜色 6 2 20 5" xfId="30813"/>
    <cellStyle name="强调文字颜色 6 2 20 5 10" xfId="30815"/>
    <cellStyle name="强调文字颜色 6 2 20 5 11" xfId="30818"/>
    <cellStyle name="强调文字颜色 6 2 20 5 2" xfId="7605"/>
    <cellStyle name="强调文字颜色 6 2 20 5 2 2" xfId="17220"/>
    <cellStyle name="强调文字颜色 6 2 20 5 2 2 2" xfId="19922"/>
    <cellStyle name="强调文字颜色 6 2 20 5 2 2 3" xfId="19924"/>
    <cellStyle name="强调文字颜色 6 2 20 5 2 3" xfId="17223"/>
    <cellStyle name="强调文字颜色 6 2 20 5 2 4" xfId="19926"/>
    <cellStyle name="强调文字颜色 6 2 20 5 2 5" xfId="19929"/>
    <cellStyle name="强调文字颜色 6 2 20 5 2 6" xfId="30819"/>
    <cellStyle name="强调文字颜色 6 2 20 5 2 7" xfId="30820"/>
    <cellStyle name="强调文字颜色 6 2 20 5 2 8" xfId="30821"/>
    <cellStyle name="强调文字颜色 6 2 20 5 3" xfId="7612"/>
    <cellStyle name="强调文字颜色 6 2 20 5 4" xfId="6769"/>
    <cellStyle name="强调文字颜色 6 2 20 5 5" xfId="6785"/>
    <cellStyle name="强调文字颜色 6 2 20 5 6" xfId="7623"/>
    <cellStyle name="强调文字颜色 6 2 20 5 6 2" xfId="30822"/>
    <cellStyle name="强调文字颜色 6 2 20 5 6 3" xfId="30823"/>
    <cellStyle name="强调文字颜色 6 2 20 5 7" xfId="7634"/>
    <cellStyle name="强调文字颜色 6 2 20 5 8" xfId="18402"/>
    <cellStyle name="强调文字颜色 6 2 20 5 9" xfId="18405"/>
    <cellStyle name="强调文字颜色 6 2 20 6" xfId="30825"/>
    <cellStyle name="强调文字颜色 6 2 20 6 2" xfId="20756"/>
    <cellStyle name="强调文字颜色 6 2 20 6 2 2" xfId="19970"/>
    <cellStyle name="强调文字颜色 6 2 20 6 2 3" xfId="19976"/>
    <cellStyle name="强调文字颜色 6 2 20 6 3" xfId="22927"/>
    <cellStyle name="强调文字颜色 6 2 20 6 4" xfId="22929"/>
    <cellStyle name="强调文字颜色 6 2 20 6 5" xfId="22931"/>
    <cellStyle name="强调文字颜色 6 2 20 6 6" xfId="30826"/>
    <cellStyle name="强调文字颜色 6 2 20 6 7" xfId="25573"/>
    <cellStyle name="强调文字颜色 6 2 20 6 8" xfId="30827"/>
    <cellStyle name="强调文字颜色 6 2 20 7" xfId="30829"/>
    <cellStyle name="强调文字颜色 6 2 20 8" xfId="30831"/>
    <cellStyle name="强调文字颜色 6 2 20 9" xfId="30832"/>
    <cellStyle name="强调文字颜色 6 2 20 9 2" xfId="5007"/>
    <cellStyle name="强调文字颜色 6 2 20 9 3" xfId="29845"/>
    <cellStyle name="强调文字颜色 6 2 3" xfId="30833"/>
    <cellStyle name="强调文字颜色 6 2 3 10" xfId="30834"/>
    <cellStyle name="强调文字颜色 6 2 3 11" xfId="18662"/>
    <cellStyle name="强调文字颜色 6 2 3 12" xfId="18666"/>
    <cellStyle name="强调文字颜色 6 2 3 13" xfId="18670"/>
    <cellStyle name="强调文字颜色 6 2 3 14" xfId="18675"/>
    <cellStyle name="强调文字颜色 6 2 3 2" xfId="30836"/>
    <cellStyle name="强调文字颜色 6 2 3 3" xfId="30837"/>
    <cellStyle name="强调文字颜色 6 2 3 4" xfId="30839"/>
    <cellStyle name="强调文字颜色 6 2 3 5" xfId="30841"/>
    <cellStyle name="强调文字颜色 6 2 3 6" xfId="25957"/>
    <cellStyle name="强调文字颜色 6 2 3 7" xfId="30843"/>
    <cellStyle name="强调文字颜色 6 2 3 8" xfId="30845"/>
    <cellStyle name="强调文字颜色 6 2 3 9" xfId="30847"/>
    <cellStyle name="强调文字颜色 6 2 4" xfId="30848"/>
    <cellStyle name="强调文字颜色 6 2 4 10" xfId="30578"/>
    <cellStyle name="强调文字颜色 6 2 4 11" xfId="30580"/>
    <cellStyle name="强调文字颜色 6 2 4 12" xfId="30583"/>
    <cellStyle name="强调文字颜色 6 2 4 13" xfId="30586"/>
    <cellStyle name="强调文字颜色 6 2 4 14" xfId="30849"/>
    <cellStyle name="强调文字颜色 6 2 4 2" xfId="30850"/>
    <cellStyle name="强调文字颜色 6 2 4 3" xfId="30851"/>
    <cellStyle name="强调文字颜色 6 2 4 4" xfId="30852"/>
    <cellStyle name="强调文字颜色 6 2 4 5" xfId="30853"/>
    <cellStyle name="强调文字颜色 6 2 4 6" xfId="30854"/>
    <cellStyle name="强调文字颜色 6 2 4 7" xfId="30855"/>
    <cellStyle name="强调文字颜色 6 2 4 8" xfId="30856"/>
    <cellStyle name="强调文字颜色 6 2 4 9" xfId="30857"/>
    <cellStyle name="强调文字颜色 6 2 5" xfId="30858"/>
    <cellStyle name="强调文字颜色 6 2 6" xfId="30859"/>
    <cellStyle name="强调文字颜色 6 2 7" xfId="30860"/>
    <cellStyle name="强调文字颜色 6 2 8" xfId="30861"/>
    <cellStyle name="强调文字颜色 6 2 9" xfId="30862"/>
    <cellStyle name="强调文字颜色 6 3" xfId="877"/>
    <cellStyle name="强调文字颜色 6 3 10" xfId="30863"/>
    <cellStyle name="强调文字颜色 6 3 11" xfId="30864"/>
    <cellStyle name="强调文字颜色 6 3 12" xfId="30865"/>
    <cellStyle name="强调文字颜色 6 3 13" xfId="30866"/>
    <cellStyle name="强调文字颜色 6 3 14" xfId="30867"/>
    <cellStyle name="强调文字颜色 6 3 15" xfId="30524"/>
    <cellStyle name="强调文字颜色 6 3 16" xfId="30529"/>
    <cellStyle name="强调文字颜色 6 3 17" xfId="30531"/>
    <cellStyle name="强调文字颜色 6 3 17 10" xfId="18807"/>
    <cellStyle name="强调文字颜色 6 3 17 11" xfId="18809"/>
    <cellStyle name="强调文字颜色 6 3 17 12" xfId="18813"/>
    <cellStyle name="强调文字颜色 6 3 17 13" xfId="18817"/>
    <cellStyle name="强调文字颜色 6 3 17 14" xfId="24404"/>
    <cellStyle name="强调文字颜色 6 3 17 2" xfId="19349"/>
    <cellStyle name="强调文字颜色 6 3 17 2 2" xfId="30868"/>
    <cellStyle name="强调文字颜色 6 3 17 3" xfId="19351"/>
    <cellStyle name="强调文字颜色 6 3 17 4" xfId="30869"/>
    <cellStyle name="强调文字颜色 6 3 17 5" xfId="30870"/>
    <cellStyle name="强调文字颜色 6 3 17 5 10" xfId="30871"/>
    <cellStyle name="强调文字颜色 6 3 17 5 11" xfId="16601"/>
    <cellStyle name="强调文字颜色 6 3 17 5 2" xfId="30873"/>
    <cellStyle name="强调文字颜色 6 3 17 5 2 2" xfId="30874"/>
    <cellStyle name="强调文字颜色 6 3 17 5 2 2 2" xfId="5529"/>
    <cellStyle name="强调文字颜色 6 3 17 5 2 2 3" xfId="2233"/>
    <cellStyle name="强调文字颜色 6 3 17 5 2 3" xfId="30632"/>
    <cellStyle name="强调文字颜色 6 3 17 5 2 4" xfId="30634"/>
    <cellStyle name="强调文字颜色 6 3 17 5 2 5" xfId="30636"/>
    <cellStyle name="强调文字颜色 6 3 17 5 2 6" xfId="30638"/>
    <cellStyle name="强调文字颜色 6 3 17 5 2 7" xfId="19776"/>
    <cellStyle name="强调文字颜色 6 3 17 5 2 8" xfId="19789"/>
    <cellStyle name="强调文字颜色 6 3 17 5 3" xfId="30875"/>
    <cellStyle name="强调文字颜色 6 3 17 5 4" xfId="30876"/>
    <cellStyle name="强调文字颜色 6 3 17 5 5" xfId="30877"/>
    <cellStyle name="强调文字颜色 6 3 17 5 6" xfId="30878"/>
    <cellStyle name="强调文字颜色 6 3 17 5 6 2" xfId="30879"/>
    <cellStyle name="强调文字颜色 6 3 17 5 6 3" xfId="30880"/>
    <cellStyle name="强调文字颜色 6 3 17 5 7" xfId="30881"/>
    <cellStyle name="强调文字颜色 6 3 17 5 8" xfId="25523"/>
    <cellStyle name="强调文字颜色 6 3 17 5 9" xfId="30882"/>
    <cellStyle name="强调文字颜色 6 3 17 6" xfId="30883"/>
    <cellStyle name="强调文字颜色 6 3 17 6 2" xfId="6052"/>
    <cellStyle name="强调文字颜色 6 3 17 6 2 2" xfId="4192"/>
    <cellStyle name="强调文字颜色 6 3 17 6 2 3" xfId="21752"/>
    <cellStyle name="强调文字颜色 6 3 17 6 3" xfId="6059"/>
    <cellStyle name="强调文字颜色 6 3 17 6 4" xfId="6065"/>
    <cellStyle name="强调文字颜色 6 3 17 6 5" xfId="1890"/>
    <cellStyle name="强调文字颜色 6 3 17 6 6" xfId="1909"/>
    <cellStyle name="强调文字颜色 6 3 17 6 7" xfId="1935"/>
    <cellStyle name="强调文字颜色 6 3 17 6 8" xfId="30885"/>
    <cellStyle name="强调文字颜色 6 3 17 7" xfId="30886"/>
    <cellStyle name="强调文字颜色 6 3 17 8" xfId="825"/>
    <cellStyle name="强调文字颜色 6 3 17 9" xfId="858"/>
    <cellStyle name="强调文字颜色 6 3 17 9 2" xfId="28618"/>
    <cellStyle name="强调文字颜色 6 3 17 9 3" xfId="28621"/>
    <cellStyle name="强调文字颜色 6 3 18" xfId="30533"/>
    <cellStyle name="强调文字颜色 6 3 18 10" xfId="18830"/>
    <cellStyle name="强调文字颜色 6 3 18 11" xfId="18832"/>
    <cellStyle name="强调文字颜色 6 3 18 12" xfId="18834"/>
    <cellStyle name="强调文字颜色 6 3 18 13" xfId="18837"/>
    <cellStyle name="强调文字颜色 6 3 18 14" xfId="24957"/>
    <cellStyle name="强调文字颜色 6 3 18 2" xfId="30888"/>
    <cellStyle name="强调文字颜色 6 3 18 3" xfId="30890"/>
    <cellStyle name="强调文字颜色 6 3 18 4" xfId="30891"/>
    <cellStyle name="强调文字颜色 6 3 18 5" xfId="30892"/>
    <cellStyle name="强调文字颜色 6 3 18 5 10" xfId="30893"/>
    <cellStyle name="强调文字颜色 6 3 18 5 11" xfId="16822"/>
    <cellStyle name="强调文字颜色 6 3 18 5 2" xfId="30895"/>
    <cellStyle name="强调文字颜色 6 3 18 5 2 2" xfId="30897"/>
    <cellStyle name="强调文字颜色 6 3 18 5 2 2 2" xfId="7866"/>
    <cellStyle name="强调文字颜色 6 3 18 5 2 2 3" xfId="10286"/>
    <cellStyle name="强调文字颜色 6 3 18 5 2 3" xfId="30898"/>
    <cellStyle name="强调文字颜色 6 3 18 5 2 4" xfId="30899"/>
    <cellStyle name="强调文字颜色 6 3 18 5 2 5" xfId="30900"/>
    <cellStyle name="强调文字颜色 6 3 18 5 2 6" xfId="30901"/>
    <cellStyle name="强调文字颜色 6 3 18 5 2 7" xfId="30902"/>
    <cellStyle name="强调文字颜色 6 3 18 5 2 8" xfId="28761"/>
    <cellStyle name="强调文字颜色 6 3 18 5 3" xfId="30904"/>
    <cellStyle name="强调文字颜色 6 3 18 5 4" xfId="30906"/>
    <cellStyle name="强调文字颜色 6 3 18 5 5" xfId="30908"/>
    <cellStyle name="强调文字颜色 6 3 18 5 6" xfId="30910"/>
    <cellStyle name="强调文字颜色 6 3 18 5 6 2" xfId="30911"/>
    <cellStyle name="强调文字颜色 6 3 18 5 6 3" xfId="30912"/>
    <cellStyle name="强调文字颜色 6 3 18 5 7" xfId="30914"/>
    <cellStyle name="强调文字颜色 6 3 18 5 8" xfId="30915"/>
    <cellStyle name="强调文字颜色 6 3 18 5 9" xfId="30916"/>
    <cellStyle name="强调文字颜色 6 3 18 6" xfId="30917"/>
    <cellStyle name="强调文字颜色 6 3 18 6 2" xfId="30919"/>
    <cellStyle name="强调文字颜色 6 3 18 6 2 2" xfId="30922"/>
    <cellStyle name="强调文字颜色 6 3 18 6 2 3" xfId="30925"/>
    <cellStyle name="强调文字颜色 6 3 18 6 3" xfId="20806"/>
    <cellStyle name="强调文字颜色 6 3 18 6 4" xfId="20809"/>
    <cellStyle name="强调文字颜色 6 3 18 6 5" xfId="20812"/>
    <cellStyle name="强调文字颜色 6 3 18 6 6" xfId="20815"/>
    <cellStyle name="强调文字颜色 6 3 18 6 7" xfId="20817"/>
    <cellStyle name="强调文字颜色 6 3 18 6 8" xfId="30926"/>
    <cellStyle name="强调文字颜色 6 3 18 7" xfId="30927"/>
    <cellStyle name="强调文字颜色 6 3 18 8" xfId="30928"/>
    <cellStyle name="强调文字颜色 6 3 18 9" xfId="30929"/>
    <cellStyle name="强调文字颜色 6 3 18 9 2" xfId="30930"/>
    <cellStyle name="强调文字颜色 6 3 18 9 3" xfId="30116"/>
    <cellStyle name="强调文字颜色 6 3 19" xfId="30535"/>
    <cellStyle name="强调文字颜色 6 3 19 10" xfId="30931"/>
    <cellStyle name="强调文字颜色 6 3 19 11" xfId="30934"/>
    <cellStyle name="强调文字颜色 6 3 19 12" xfId="30936"/>
    <cellStyle name="强调文字颜色 6 3 19 13" xfId="30938"/>
    <cellStyle name="强调文字颜色 6 3 19 14" xfId="30939"/>
    <cellStyle name="强调文字颜色 6 3 19 2" xfId="30941"/>
    <cellStyle name="强调文字颜色 6 3 19 3" xfId="30942"/>
    <cellStyle name="强调文字颜色 6 3 19 4" xfId="30943"/>
    <cellStyle name="强调文字颜色 6 3 19 5" xfId="30944"/>
    <cellStyle name="强调文字颜色 6 3 19 5 10" xfId="30945"/>
    <cellStyle name="强调文字颜色 6 3 19 5 11" xfId="17066"/>
    <cellStyle name="强调文字颜色 6 3 19 5 2" xfId="30459"/>
    <cellStyle name="强调文字颜色 6 3 19 5 2 2" xfId="25521"/>
    <cellStyle name="强调文字颜色 6 3 19 5 2 2 2" xfId="30946"/>
    <cellStyle name="强调文字颜色 6 3 19 5 2 2 3" xfId="30947"/>
    <cellStyle name="强调文字颜色 6 3 19 5 2 3" xfId="29912"/>
    <cellStyle name="强调文字颜色 6 3 19 5 2 4" xfId="29929"/>
    <cellStyle name="强调文字颜色 6 3 19 5 2 5" xfId="29940"/>
    <cellStyle name="强调文字颜色 6 3 19 5 2 6" xfId="29942"/>
    <cellStyle name="强调文字颜色 6 3 19 5 2 7" xfId="29944"/>
    <cellStyle name="强调文字颜色 6 3 19 5 2 8" xfId="26783"/>
    <cellStyle name="强调文字颜色 6 3 19 5 3" xfId="19234"/>
    <cellStyle name="强调文字颜色 6 3 19 5 4" xfId="22353"/>
    <cellStyle name="强调文字颜色 6 3 19 5 5" xfId="22356"/>
    <cellStyle name="强调文字颜色 6 3 19 5 6" xfId="22359"/>
    <cellStyle name="强调文字颜色 6 3 19 5 6 2" xfId="29952"/>
    <cellStyle name="强调文字颜色 6 3 19 5 6 3" xfId="29954"/>
    <cellStyle name="强调文字颜色 6 3 19 5 7" xfId="22362"/>
    <cellStyle name="强调文字颜色 6 3 19 5 8" xfId="22365"/>
    <cellStyle name="强调文字颜色 6 3 19 5 9" xfId="22368"/>
    <cellStyle name="强调文字颜色 6 3 19 6" xfId="30948"/>
    <cellStyle name="强调文字颜色 6 3 19 6 2" xfId="23414"/>
    <cellStyle name="强调文字颜色 6 3 19 6 2 2" xfId="14658"/>
    <cellStyle name="强调文字颜色 6 3 19 6 2 3" xfId="15115"/>
    <cellStyle name="强调文字颜色 6 3 19 6 3" xfId="30951"/>
    <cellStyle name="强调文字颜色 6 3 19 6 4" xfId="30954"/>
    <cellStyle name="强调文字颜色 6 3 19 6 5" xfId="30956"/>
    <cellStyle name="强调文字颜色 6 3 19 6 6" xfId="30958"/>
    <cellStyle name="强调文字颜色 6 3 19 6 7" xfId="30959"/>
    <cellStyle name="强调文字颜色 6 3 19 6 8" xfId="30960"/>
    <cellStyle name="强调文字颜色 6 3 19 7" xfId="30961"/>
    <cellStyle name="强调文字颜色 6 3 19 8" xfId="30962"/>
    <cellStyle name="强调文字颜色 6 3 19 9" xfId="30963"/>
    <cellStyle name="强调文字颜色 6 3 19 9 2" xfId="30964"/>
    <cellStyle name="强调文字颜色 6 3 19 9 3" xfId="22374"/>
    <cellStyle name="强调文字颜色 6 3 2" xfId="30966"/>
    <cellStyle name="强调文字颜色 6 3 2 10" xfId="30968"/>
    <cellStyle name="强调文字颜色 6 3 2 11" xfId="30971"/>
    <cellStyle name="强调文字颜色 6 3 2 12" xfId="30974"/>
    <cellStyle name="强调文字颜色 6 3 2 13" xfId="26005"/>
    <cellStyle name="强调文字颜色 6 3 2 14" xfId="30977"/>
    <cellStyle name="强调文字颜色 6 3 2 2" xfId="30978"/>
    <cellStyle name="强调文字颜色 6 3 2 3" xfId="30979"/>
    <cellStyle name="强调文字颜色 6 3 2 4" xfId="30980"/>
    <cellStyle name="强调文字颜色 6 3 2 5" xfId="16041"/>
    <cellStyle name="强调文字颜色 6 3 2 6" xfId="16043"/>
    <cellStyle name="强调文字颜色 6 3 2 7" xfId="15377"/>
    <cellStyle name="强调文字颜色 6 3 2 8" xfId="10546"/>
    <cellStyle name="强调文字颜色 6 3 2 9" xfId="10549"/>
    <cellStyle name="强调文字颜色 6 3 20" xfId="30525"/>
    <cellStyle name="强调文字颜色 6 3 20 10" xfId="30982"/>
    <cellStyle name="强调文字颜色 6 3 20 11" xfId="30984"/>
    <cellStyle name="强调文字颜色 6 3 20 12" xfId="30986"/>
    <cellStyle name="强调文字颜色 6 3 20 13" xfId="30988"/>
    <cellStyle name="强调文字颜色 6 3 20 14" xfId="30990"/>
    <cellStyle name="强调文字颜色 6 3 20 2" xfId="25667"/>
    <cellStyle name="强调文字颜色 6 3 20 3" xfId="30527"/>
    <cellStyle name="强调文字颜色 6 3 20 4" xfId="30992"/>
    <cellStyle name="强调文字颜色 6 3 20 5" xfId="30994"/>
    <cellStyle name="强调文字颜色 6 3 20 5 10" xfId="4020"/>
    <cellStyle name="强调文字颜色 6 3 20 5 11" xfId="4029"/>
    <cellStyle name="强调文字颜色 6 3 20 5 2" xfId="30538"/>
    <cellStyle name="强调文字颜色 6 3 20 5 2 2" xfId="30995"/>
    <cellStyle name="强调文字颜色 6 3 20 5 2 2 2" xfId="30996"/>
    <cellStyle name="强调文字颜色 6 3 20 5 2 2 3" xfId="30997"/>
    <cellStyle name="强调文字颜色 6 3 20 5 2 3" xfId="29496"/>
    <cellStyle name="强调文字颜色 6 3 20 5 2 4" xfId="29498"/>
    <cellStyle name="强调文字颜色 6 3 20 5 2 5" xfId="24491"/>
    <cellStyle name="强调文字颜色 6 3 20 5 2 6" xfId="29500"/>
    <cellStyle name="强调文字颜色 6 3 20 5 2 7" xfId="29502"/>
    <cellStyle name="强调文字颜色 6 3 20 5 2 8" xfId="30998"/>
    <cellStyle name="强调文字颜色 6 3 20 5 3" xfId="30540"/>
    <cellStyle name="强调文字颜色 6 3 20 5 4" xfId="30542"/>
    <cellStyle name="强调文字颜色 6 3 20 5 5" xfId="30999"/>
    <cellStyle name="强调文字颜色 6 3 20 5 6" xfId="31000"/>
    <cellStyle name="强调文字颜色 6 3 20 5 6 2" xfId="31001"/>
    <cellStyle name="强调文字颜色 6 3 20 5 6 3" xfId="31004"/>
    <cellStyle name="强调文字颜色 6 3 20 5 7" xfId="31007"/>
    <cellStyle name="强调文字颜色 6 3 20 5 8" xfId="31009"/>
    <cellStyle name="强调文字颜色 6 3 20 5 9" xfId="31011"/>
    <cellStyle name="强调文字颜色 6 3 20 6" xfId="31013"/>
    <cellStyle name="强调文字颜色 6 3 20 6 2" xfId="10509"/>
    <cellStyle name="强调文字颜色 6 3 20 6 2 2" xfId="3044"/>
    <cellStyle name="强调文字颜色 6 3 20 6 2 3" xfId="5848"/>
    <cellStyle name="强调文字颜色 6 3 20 6 3" xfId="10516"/>
    <cellStyle name="强调文字颜色 6 3 20 6 4" xfId="10529"/>
    <cellStyle name="强调文字颜色 6 3 20 6 5" xfId="23122"/>
    <cellStyle name="强调文字颜色 6 3 20 6 6" xfId="29010"/>
    <cellStyle name="强调文字颜色 6 3 20 6 7" xfId="29012"/>
    <cellStyle name="强调文字颜色 6 3 20 6 8" xfId="29441"/>
    <cellStyle name="强调文字颜色 6 3 20 7" xfId="521"/>
    <cellStyle name="强调文字颜色 6 3 20 8" xfId="6033"/>
    <cellStyle name="强调文字颜色 6 3 20 9" xfId="31014"/>
    <cellStyle name="强调文字颜色 6 3 20 9 2" xfId="30485"/>
    <cellStyle name="强调文字颜色 6 3 20 9 3" xfId="30489"/>
    <cellStyle name="强调文字颜色 6 3 3" xfId="12785"/>
    <cellStyle name="强调文字颜色 6 3 3 10" xfId="31015"/>
    <cellStyle name="强调文字颜色 6 3 3 11" xfId="31016"/>
    <cellStyle name="强调文字颜色 6 3 3 12" xfId="31017"/>
    <cellStyle name="强调文字颜色 6 3 3 13" xfId="31018"/>
    <cellStyle name="强调文字颜色 6 3 3 14" xfId="31019"/>
    <cellStyle name="强调文字颜色 6 3 3 2" xfId="25163"/>
    <cellStyle name="强调文字颜色 6 3 3 3" xfId="31020"/>
    <cellStyle name="强调文字颜色 6 3 3 4" xfId="31022"/>
    <cellStyle name="强调文字颜色 6 3 3 5" xfId="31023"/>
    <cellStyle name="强调文字颜色 6 3 3 6" xfId="31024"/>
    <cellStyle name="强调文字颜色 6 3 3 7" xfId="31025"/>
    <cellStyle name="强调文字颜色 6 3 3 8" xfId="31026"/>
    <cellStyle name="强调文字颜色 6 3 3 9" xfId="31027"/>
    <cellStyle name="强调文字颜色 6 3 4" xfId="12790"/>
    <cellStyle name="强调文字颜色 6 3 4 10" xfId="26990"/>
    <cellStyle name="强调文字颜色 6 3 4 11" xfId="26994"/>
    <cellStyle name="强调文字颜色 6 3 4 12" xfId="26997"/>
    <cellStyle name="强调文字颜色 6 3 4 13" xfId="27002"/>
    <cellStyle name="强调文字颜色 6 3 4 14" xfId="27005"/>
    <cellStyle name="强调文字颜色 6 3 4 2" xfId="31028"/>
    <cellStyle name="强调文字颜色 6 3 4 3" xfId="31029"/>
    <cellStyle name="强调文字颜色 6 3 4 4" xfId="31030"/>
    <cellStyle name="强调文字颜色 6 3 4 5" xfId="31031"/>
    <cellStyle name="强调文字颜色 6 3 4 6" xfId="20760"/>
    <cellStyle name="强调文字颜色 6 3 4 7" xfId="20764"/>
    <cellStyle name="强调文字颜色 6 3 4 8" xfId="31032"/>
    <cellStyle name="强调文字颜色 6 3 4 9" xfId="31033"/>
    <cellStyle name="强调文字颜色 6 3 5" xfId="12795"/>
    <cellStyle name="强调文字颜色 6 3 6" xfId="12800"/>
    <cellStyle name="强调文字颜色 6 3 7" xfId="12806"/>
    <cellStyle name="强调文字颜色 6 3 8" xfId="31034"/>
    <cellStyle name="强调文字颜色 6 3 9" xfId="31036"/>
    <cellStyle name="强调文字颜色 6 4" xfId="890"/>
    <cellStyle name="强调文字颜色 6 4 10" xfId="5837"/>
    <cellStyle name="强调文字颜色 6 4 11" xfId="5841"/>
    <cellStyle name="强调文字颜色 6 4 12" xfId="31038"/>
    <cellStyle name="强调文字颜色 6 4 13" xfId="31039"/>
    <cellStyle name="强调文字颜色 6 4 14" xfId="31040"/>
    <cellStyle name="强调文字颜色 6 4 15" xfId="31002"/>
    <cellStyle name="强调文字颜色 6 4 16" xfId="31005"/>
    <cellStyle name="强调文字颜色 6 4 17" xfId="31041"/>
    <cellStyle name="强调文字颜色 6 4 17 10" xfId="719"/>
    <cellStyle name="强调文字颜色 6 4 17 11" xfId="6380"/>
    <cellStyle name="强调文字颜色 6 4 17 12" xfId="6384"/>
    <cellStyle name="强调文字颜色 6 4 17 13" xfId="6391"/>
    <cellStyle name="强调文字颜色 6 4 17 14" xfId="6398"/>
    <cellStyle name="强调文字颜色 6 4 17 2" xfId="31042"/>
    <cellStyle name="强调文字颜色 6 4 17 3" xfId="31043"/>
    <cellStyle name="强调文字颜色 6 4 17 4" xfId="31044"/>
    <cellStyle name="强调文字颜色 6 4 17 5" xfId="29668"/>
    <cellStyle name="强调文字颜色 6 4 17 5 10" xfId="11993"/>
    <cellStyle name="强调文字颜色 6 4 17 5 11" xfId="12027"/>
    <cellStyle name="强调文字颜色 6 4 17 5 2" xfId="25014"/>
    <cellStyle name="强调文字颜色 6 4 17 5 2 2" xfId="31045"/>
    <cellStyle name="强调文字颜色 6 4 17 5 2 2 2" xfId="31047"/>
    <cellStyle name="强调文字颜色 6 4 17 5 2 2 3" xfId="31048"/>
    <cellStyle name="强调文字颜色 6 4 17 5 2 3" xfId="31049"/>
    <cellStyle name="强调文字颜色 6 4 17 5 2 4" xfId="31051"/>
    <cellStyle name="强调文字颜色 6 4 17 5 2 5" xfId="26185"/>
    <cellStyle name="强调文字颜色 6 4 17 5 2 6" xfId="26190"/>
    <cellStyle name="强调文字颜色 6 4 17 5 2 7" xfId="4432"/>
    <cellStyle name="强调文字颜色 6 4 17 5 2 8" xfId="4448"/>
    <cellStyle name="强调文字颜色 6 4 17 5 3" xfId="25016"/>
    <cellStyle name="强调文字颜色 6 4 17 5 4" xfId="25018"/>
    <cellStyle name="强调文字颜色 6 4 17 5 5" xfId="31053"/>
    <cellStyle name="强调文字颜色 6 4 17 5 6" xfId="31054"/>
    <cellStyle name="强调文字颜色 6 4 17 5 6 2" xfId="20474"/>
    <cellStyle name="强调文字颜色 6 4 17 5 6 3" xfId="20476"/>
    <cellStyle name="强调文字颜色 6 4 17 5 7" xfId="31055"/>
    <cellStyle name="强调文字颜色 6 4 17 5 8" xfId="31056"/>
    <cellStyle name="强调文字颜色 6 4 17 5 9" xfId="31057"/>
    <cellStyle name="强调文字颜色 6 4 17 6" xfId="29670"/>
    <cellStyle name="强调文字颜色 6 4 17 6 2" xfId="25250"/>
    <cellStyle name="强调文字颜色 6 4 17 6 2 2" xfId="31058"/>
    <cellStyle name="强调文字颜色 6 4 17 6 2 3" xfId="20318"/>
    <cellStyle name="强调文字颜色 6 4 17 6 3" xfId="25252"/>
    <cellStyle name="强调文字颜色 6 4 17 6 4" xfId="25254"/>
    <cellStyle name="强调文字颜色 6 4 17 6 5" xfId="31060"/>
    <cellStyle name="强调文字颜色 6 4 17 6 6" xfId="31061"/>
    <cellStyle name="强调文字颜色 6 4 17 6 7" xfId="31062"/>
    <cellStyle name="强调文字颜色 6 4 17 6 8" xfId="10730"/>
    <cellStyle name="强调文字颜色 6 4 17 7" xfId="31063"/>
    <cellStyle name="强调文字颜色 6 4 17 8" xfId="31065"/>
    <cellStyle name="强调文字颜色 6 4 17 9" xfId="31067"/>
    <cellStyle name="强调文字颜色 6 4 17 9 2" xfId="22226"/>
    <cellStyle name="强调文字颜色 6 4 17 9 3" xfId="22230"/>
    <cellStyle name="强调文字颜色 6 4 18" xfId="31069"/>
    <cellStyle name="强调文字颜色 6 4 18 10" xfId="31070"/>
    <cellStyle name="强调文字颜色 6 4 18 11" xfId="24000"/>
    <cellStyle name="强调文字颜色 6 4 18 12" xfId="24002"/>
    <cellStyle name="强调文字颜色 6 4 18 13" xfId="24004"/>
    <cellStyle name="强调文字颜色 6 4 18 14" xfId="24006"/>
    <cellStyle name="强调文字颜色 6 4 18 2" xfId="31072"/>
    <cellStyle name="强调文字颜色 6 4 18 3" xfId="31075"/>
    <cellStyle name="强调文字颜色 6 4 18 4" xfId="29068"/>
    <cellStyle name="强调文字颜色 6 4 18 5" xfId="29071"/>
    <cellStyle name="强调文字颜色 6 4 18 5 10" xfId="12400"/>
    <cellStyle name="强调文字颜色 6 4 18 5 11" xfId="12436"/>
    <cellStyle name="强调文字颜色 6 4 18 5 2" xfId="31078"/>
    <cellStyle name="强调文字颜色 6 4 18 5 2 2" xfId="31080"/>
    <cellStyle name="强调文字颜色 6 4 18 5 2 2 2" xfId="26724"/>
    <cellStyle name="强调文字颜色 6 4 18 5 2 2 3" xfId="26726"/>
    <cellStyle name="强调文字颜色 6 4 18 5 2 3" xfId="31081"/>
    <cellStyle name="强调文字颜色 6 4 18 5 2 4" xfId="31082"/>
    <cellStyle name="强调文字颜色 6 4 18 5 2 5" xfId="26211"/>
    <cellStyle name="强调文字颜色 6 4 18 5 2 6" xfId="26215"/>
    <cellStyle name="强调文字颜色 6 4 18 5 2 7" xfId="26217"/>
    <cellStyle name="强调文字颜色 6 4 18 5 2 8" xfId="26219"/>
    <cellStyle name="强调文字颜色 6 4 18 5 3" xfId="31084"/>
    <cellStyle name="强调文字颜色 6 4 18 5 4" xfId="31086"/>
    <cellStyle name="强调文字颜色 6 4 18 5 5" xfId="25943"/>
    <cellStyle name="强调文字颜色 6 4 18 5 6" xfId="31088"/>
    <cellStyle name="强调文字颜色 6 4 18 5 6 2" xfId="31089"/>
    <cellStyle name="强调文字颜色 6 4 18 5 6 3" xfId="31090"/>
    <cellStyle name="强调文字颜色 6 4 18 5 7" xfId="24010"/>
    <cellStyle name="强调文字颜色 6 4 18 5 8" xfId="24018"/>
    <cellStyle name="强调文字颜色 6 4 18 5 9" xfId="24021"/>
    <cellStyle name="强调文字颜色 6 4 18 6" xfId="29074"/>
    <cellStyle name="强调文字颜色 6 4 18 6 2" xfId="22203"/>
    <cellStyle name="强调文字颜色 6 4 18 6 2 2" xfId="22211"/>
    <cellStyle name="强调文字颜色 6 4 18 6 2 3" xfId="4832"/>
    <cellStyle name="强调文字颜色 6 4 18 6 3" xfId="21488"/>
    <cellStyle name="强调文字颜色 6 4 18 6 4" xfId="21491"/>
    <cellStyle name="强调文字颜色 6 4 18 6 5" xfId="21495"/>
    <cellStyle name="强调文字颜色 6 4 18 6 6" xfId="21499"/>
    <cellStyle name="强调文字颜色 6 4 18 6 7" xfId="21503"/>
    <cellStyle name="强调文字颜色 6 4 18 6 8" xfId="24034"/>
    <cellStyle name="强调文字颜色 6 4 18 7" xfId="29077"/>
    <cellStyle name="强调文字颜色 6 4 18 8" xfId="29080"/>
    <cellStyle name="强调文字颜色 6 4 18 9" xfId="29082"/>
    <cellStyle name="强调文字颜色 6 4 18 9 2" xfId="11830"/>
    <cellStyle name="强调文字颜色 6 4 18 9 3" xfId="31093"/>
    <cellStyle name="强调文字颜色 6 4 19" xfId="31094"/>
    <cellStyle name="强调文字颜色 6 4 19 10" xfId="17996"/>
    <cellStyle name="强调文字颜色 6 4 19 11" xfId="18000"/>
    <cellStyle name="强调文字颜色 6 4 19 12" xfId="18003"/>
    <cellStyle name="强调文字颜色 6 4 19 13" xfId="18006"/>
    <cellStyle name="强调文字颜色 6 4 19 14" xfId="18009"/>
    <cellStyle name="强调文字颜色 6 4 19 2" xfId="31095"/>
    <cellStyle name="强调文字颜色 6 4 19 3" xfId="31096"/>
    <cellStyle name="强调文字颜色 6 4 19 4" xfId="31097"/>
    <cellStyle name="强调文字颜色 6 4 19 5" xfId="31099"/>
    <cellStyle name="强调文字颜色 6 4 19 5 10" xfId="12871"/>
    <cellStyle name="强调文字颜色 6 4 19 5 11" xfId="12915"/>
    <cellStyle name="强调文字颜色 6 4 19 5 2" xfId="31103"/>
    <cellStyle name="强调文字颜色 6 4 19 5 2 2" xfId="13671"/>
    <cellStyle name="强调文字颜色 6 4 19 5 2 2 2" xfId="13674"/>
    <cellStyle name="强调文字颜色 6 4 19 5 2 2 3" xfId="13677"/>
    <cellStyle name="强调文字颜色 6 4 19 5 2 3" xfId="31106"/>
    <cellStyle name="强调文字颜色 6 4 19 5 2 4" xfId="27511"/>
    <cellStyle name="强调文字颜色 6 4 19 5 2 5" xfId="27514"/>
    <cellStyle name="强调文字颜色 6 4 19 5 2 6" xfId="27517"/>
    <cellStyle name="强调文字颜色 6 4 19 5 2 7" xfId="27521"/>
    <cellStyle name="强调文字颜色 6 4 19 5 2 8" xfId="27525"/>
    <cellStyle name="强调文字颜色 6 4 19 5 3" xfId="31110"/>
    <cellStyle name="强调文字颜色 6 4 19 5 4" xfId="31113"/>
    <cellStyle name="强调文字颜色 6 4 19 5 5" xfId="31116"/>
    <cellStyle name="强调文字颜色 6 4 19 5 6" xfId="31119"/>
    <cellStyle name="强调文字颜色 6 4 19 5 6 2" xfId="31120"/>
    <cellStyle name="强调文字颜色 6 4 19 5 6 3" xfId="31121"/>
    <cellStyle name="强调文字颜色 6 4 19 5 7" xfId="24045"/>
    <cellStyle name="强调文字颜色 6 4 19 5 8" xfId="24055"/>
    <cellStyle name="强调文字颜色 6 4 19 5 9" xfId="24057"/>
    <cellStyle name="强调文字颜色 6 4 19 6" xfId="31123"/>
    <cellStyle name="强调文字颜色 6 4 19 6 2" xfId="25428"/>
    <cellStyle name="强调文字颜色 6 4 19 6 2 2" xfId="31124"/>
    <cellStyle name="强调文字颜色 6 4 19 6 2 3" xfId="31125"/>
    <cellStyle name="强调文字颜色 6 4 19 6 3" xfId="25431"/>
    <cellStyle name="强调文字颜色 6 4 19 6 4" xfId="25434"/>
    <cellStyle name="强调文字颜色 6 4 19 6 5" xfId="25437"/>
    <cellStyle name="强调文字颜色 6 4 19 6 6" xfId="25440"/>
    <cellStyle name="强调文字颜色 6 4 19 6 7" xfId="2125"/>
    <cellStyle name="强调文字颜色 6 4 19 6 8" xfId="24066"/>
    <cellStyle name="强调文字颜色 6 4 19 7" xfId="31127"/>
    <cellStyle name="强调文字颜色 6 4 19 8" xfId="31130"/>
    <cellStyle name="强调文字颜色 6 4 19 9" xfId="31133"/>
    <cellStyle name="强调文字颜色 6 4 19 9 2" xfId="31136"/>
    <cellStyle name="强调文字颜色 6 4 19 9 3" xfId="31139"/>
    <cellStyle name="强调文字颜色 6 4 2" xfId="16090"/>
    <cellStyle name="强调文字颜色 6 4 20" xfId="31003"/>
    <cellStyle name="强调文字颜色 6 4 20 10" xfId="6900"/>
    <cellStyle name="强调文字颜色 6 4 20 11" xfId="3200"/>
    <cellStyle name="强调文字颜色 6 4 20 12" xfId="3258"/>
    <cellStyle name="强调文字颜色 6 4 20 13" xfId="2654"/>
    <cellStyle name="强调文字颜色 6 4 20 14" xfId="31140"/>
    <cellStyle name="强调文字颜色 6 4 20 2" xfId="31141"/>
    <cellStyle name="强调文字颜色 6 4 20 3" xfId="31142"/>
    <cellStyle name="强调文字颜色 6 4 20 4" xfId="31143"/>
    <cellStyle name="强调文字颜色 6 4 20 5" xfId="31144"/>
    <cellStyle name="强调文字颜色 6 4 20 5 10" xfId="31145"/>
    <cellStyle name="强调文字颜色 6 4 20 5 11" xfId="31146"/>
    <cellStyle name="强调文字颜色 6 4 20 5 2" xfId="31147"/>
    <cellStyle name="强调文字颜色 6 4 20 5 2 2" xfId="31064"/>
    <cellStyle name="强调文字颜色 6 4 20 5 2 2 2" xfId="25461"/>
    <cellStyle name="强调文字颜色 6 4 20 5 2 2 3" xfId="25463"/>
    <cellStyle name="强调文字颜色 6 4 20 5 2 3" xfId="31066"/>
    <cellStyle name="强调文字颜色 6 4 20 5 2 4" xfId="31068"/>
    <cellStyle name="强调文字颜色 6 4 20 5 2 5" xfId="31150"/>
    <cellStyle name="强调文字颜色 6 4 20 5 2 6" xfId="31151"/>
    <cellStyle name="强调文字颜色 6 4 20 5 2 7" xfId="31152"/>
    <cellStyle name="强调文字颜色 6 4 20 5 2 8" xfId="31153"/>
    <cellStyle name="强调文字颜色 6 4 20 5 3" xfId="31154"/>
    <cellStyle name="强调文字颜色 6 4 20 5 4" xfId="31157"/>
    <cellStyle name="强调文字颜色 6 4 20 5 5" xfId="31160"/>
    <cellStyle name="强调文字颜色 6 4 20 5 6" xfId="31162"/>
    <cellStyle name="强调文字颜色 6 4 20 5 6 2" xfId="31164"/>
    <cellStyle name="强调文字颜色 6 4 20 5 6 3" xfId="31165"/>
    <cellStyle name="强调文字颜色 6 4 20 5 7" xfId="31166"/>
    <cellStyle name="强调文字颜色 6 4 20 5 8" xfId="31167"/>
    <cellStyle name="强调文字颜色 6 4 20 5 9" xfId="31168"/>
    <cellStyle name="强调文字颜色 6 4 20 6" xfId="31169"/>
    <cellStyle name="强调文字颜色 6 4 20 6 2" xfId="11158"/>
    <cellStyle name="强调文字颜色 6 4 20 6 2 2" xfId="30309"/>
    <cellStyle name="强调文字颜色 6 4 20 6 2 3" xfId="31171"/>
    <cellStyle name="强调文字颜色 6 4 20 6 3" xfId="31172"/>
    <cellStyle name="强调文字颜色 6 4 20 6 4" xfId="25845"/>
    <cellStyle name="强调文字颜色 6 4 20 6 5" xfId="31173"/>
    <cellStyle name="强调文字颜色 6 4 20 6 6" xfId="31174"/>
    <cellStyle name="强调文字颜色 6 4 20 6 7" xfId="31175"/>
    <cellStyle name="强调文字颜色 6 4 20 6 8" xfId="29532"/>
    <cellStyle name="强调文字颜色 6 4 20 7" xfId="31148"/>
    <cellStyle name="强调文字颜色 6 4 20 8" xfId="31155"/>
    <cellStyle name="强调文字颜色 6 4 20 9" xfId="31158"/>
    <cellStyle name="强调文字颜色 6 4 20 9 2" xfId="31128"/>
    <cellStyle name="强调文字颜色 6 4 20 9 3" xfId="31131"/>
    <cellStyle name="强调文字颜色 6 4 3" xfId="16096"/>
    <cellStyle name="强调文字颜色 6 4 4" xfId="16102"/>
    <cellStyle name="强调文字颜色 6 4 5" xfId="16682"/>
    <cellStyle name="强调文字颜色 6 4 6" xfId="31176"/>
    <cellStyle name="强调文字颜色 6 4 7" xfId="31177"/>
    <cellStyle name="强调文字颜色 6 4 8" xfId="31178"/>
    <cellStyle name="强调文字颜色 6 4 9" xfId="31179"/>
    <cellStyle name="强调文字颜色 6 5" xfId="25354"/>
    <cellStyle name="强调文字颜色 6 5 10" xfId="24302"/>
    <cellStyle name="强调文字颜色 6 5 11" xfId="24304"/>
    <cellStyle name="强调文字颜色 6 5 12" xfId="31180"/>
    <cellStyle name="强调文字颜色 6 5 13" xfId="31181"/>
    <cellStyle name="强调文字颜色 6 5 14" xfId="908"/>
    <cellStyle name="强调文字颜色 6 5 2" xfId="16702"/>
    <cellStyle name="强调文字颜色 6 5 3" xfId="16704"/>
    <cellStyle name="强调文字颜色 6 5 4" xfId="16706"/>
    <cellStyle name="强调文字颜色 6 5 5" xfId="31182"/>
    <cellStyle name="强调文字颜色 6 5 6" xfId="31183"/>
    <cellStyle name="强调文字颜色 6 5 7" xfId="31184"/>
    <cellStyle name="强调文字颜色 6 5 8" xfId="31185"/>
    <cellStyle name="强调文字颜色 6 5 9" xfId="31186"/>
    <cellStyle name="强调文字颜色 6 6" xfId="25356"/>
    <cellStyle name="强调文字颜色 6 6 10" xfId="29772"/>
    <cellStyle name="强调文字颜色 6 6 11" xfId="29774"/>
    <cellStyle name="强调文字颜色 6 6 12" xfId="26567"/>
    <cellStyle name="强调文字颜色 6 6 13" xfId="26572"/>
    <cellStyle name="强调文字颜色 6 6 14" xfId="24592"/>
    <cellStyle name="强调文字颜色 6 6 2" xfId="14101"/>
    <cellStyle name="强调文字颜色 6 6 3" xfId="14104"/>
    <cellStyle name="强调文字颜色 6 6 4" xfId="14107"/>
    <cellStyle name="强调文字颜色 6 6 5" xfId="31187"/>
    <cellStyle name="强调文字颜色 6 6 6" xfId="31188"/>
    <cellStyle name="强调文字颜色 6 6 7" xfId="31189"/>
    <cellStyle name="强调文字颜色 6 6 8" xfId="31190"/>
    <cellStyle name="强调文字颜色 6 6 9" xfId="31191"/>
    <cellStyle name="强调文字颜色 6 7" xfId="25358"/>
    <cellStyle name="强调文字颜色 6 8" xfId="31192"/>
    <cellStyle name="强调文字颜色 6 9" xfId="31193"/>
    <cellStyle name="标题 1 10" xfId="31194"/>
    <cellStyle name="标题 1 11" xfId="31195"/>
    <cellStyle name="标题 1 12" xfId="31196"/>
    <cellStyle name="标题 1 12 10" xfId="8425"/>
    <cellStyle name="标题 1 12 11" xfId="8437"/>
    <cellStyle name="标题 1 12 12" xfId="8449"/>
    <cellStyle name="标题 1 12 13" xfId="8455"/>
    <cellStyle name="标题 1 12 14" xfId="8458"/>
    <cellStyle name="标题 1 12 2" xfId="8299"/>
    <cellStyle name="标题 1 12 3" xfId="8306"/>
    <cellStyle name="标题 1 12 4" xfId="11875"/>
    <cellStyle name="标题 1 12 5" xfId="31198"/>
    <cellStyle name="标题 1 12 5 10" xfId="19745"/>
    <cellStyle name="标题 1 12 5 11" xfId="19747"/>
    <cellStyle name="标题 1 12 5 2" xfId="31199"/>
    <cellStyle name="标题 1 12 5 2 2" xfId="24418"/>
    <cellStyle name="标题 1 12 5 2 2 2" xfId="31204"/>
    <cellStyle name="标题 1 12 5 2 2 3" xfId="31207"/>
    <cellStyle name="标题 1 12 5 2 3" xfId="30400"/>
    <cellStyle name="标题 1 12 5 2 4" xfId="30403"/>
    <cellStyle name="标题 1 12 5 2 5" xfId="30406"/>
    <cellStyle name="标题 1 12 5 2 6" xfId="30409"/>
    <cellStyle name="标题 1 12 5 2 7" xfId="30428"/>
    <cellStyle name="标题 1 12 5 2 8" xfId="30441"/>
    <cellStyle name="标题 1 12 5 3" xfId="31209"/>
    <cellStyle name="标题 1 12 5 4" xfId="31212"/>
    <cellStyle name="标题 1 12 5 5" xfId="31216"/>
    <cellStyle name="标题 1 12 5 6" xfId="31220"/>
    <cellStyle name="标题 1 12 5 6 2" xfId="22249"/>
    <cellStyle name="标题 1 12 5 6 3" xfId="22253"/>
    <cellStyle name="标题 1 12 5 7" xfId="31222"/>
    <cellStyle name="标题 1 12 5 8" xfId="31224"/>
    <cellStyle name="标题 1 12 5 9" xfId="31226"/>
    <cellStyle name="标题 1 12 6" xfId="30216"/>
    <cellStyle name="标题 1 12 6 2" xfId="30038"/>
    <cellStyle name="标题 1 12 6 2 2" xfId="24190"/>
    <cellStyle name="标题 1 12 6 2 3" xfId="24191"/>
    <cellStyle name="标题 1 12 6 3" xfId="31230"/>
    <cellStyle name="标题 1 12 6 4" xfId="31233"/>
    <cellStyle name="标题 1 12 6 5" xfId="31236"/>
    <cellStyle name="标题 1 12 6 6" xfId="29326"/>
    <cellStyle name="标题 1 12 6 7" xfId="22158"/>
    <cellStyle name="标题 1 12 6 8" xfId="22161"/>
    <cellStyle name="标题 1 12 7" xfId="30218"/>
    <cellStyle name="标题 1 12 8" xfId="31237"/>
    <cellStyle name="标题 1 12 9" xfId="31238"/>
    <cellStyle name="标题 1 12 9 2" xfId="31239"/>
    <cellStyle name="标题 1 12 9 3" xfId="31241"/>
    <cellStyle name="标题 1 13" xfId="31243"/>
    <cellStyle name="标题 1 14" xfId="31244"/>
    <cellStyle name="标题 1 15" xfId="31245"/>
    <cellStyle name="标题 1 16" xfId="31246"/>
    <cellStyle name="标题 1 16 10" xfId="31247"/>
    <cellStyle name="标题 1 16 11" xfId="31248"/>
    <cellStyle name="标题 1 16 12" xfId="31250"/>
    <cellStyle name="标题 1 16 13" xfId="31252"/>
    <cellStyle name="标题 1 16 14" xfId="5509"/>
    <cellStyle name="标题 1 16 2" xfId="27418"/>
    <cellStyle name="标题 1 16 3" xfId="27420"/>
    <cellStyle name="标题 1 16 4" xfId="31254"/>
    <cellStyle name="标题 1 16 5" xfId="31255"/>
    <cellStyle name="标题 1 16 5 10" xfId="6265"/>
    <cellStyle name="标题 1 16 5 11" xfId="6273"/>
    <cellStyle name="标题 1 16 5 2" xfId="14352"/>
    <cellStyle name="标题 1 16 5 2 2" xfId="6745"/>
    <cellStyle name="标题 1 16 5 2 2 2" xfId="31257"/>
    <cellStyle name="标题 1 16 5 2 2 3" xfId="31259"/>
    <cellStyle name="标题 1 16 5 2 3" xfId="6756"/>
    <cellStyle name="标题 1 16 5 2 4" xfId="8097"/>
    <cellStyle name="标题 1 16 5 2 5" xfId="6196"/>
    <cellStyle name="标题 1 16 5 2 6" xfId="6206"/>
    <cellStyle name="标题 1 16 5 2 7" xfId="12097"/>
    <cellStyle name="标题 1 16 5 2 8" xfId="12103"/>
    <cellStyle name="标题 1 16 5 3" xfId="14360"/>
    <cellStyle name="标题 1 16 5 4" xfId="14365"/>
    <cellStyle name="标题 1 16 5 5" xfId="14367"/>
    <cellStyle name="标题 1 16 5 6" xfId="14370"/>
    <cellStyle name="标题 1 16 5 6 2" xfId="31260"/>
    <cellStyle name="标题 1 16 5 6 3" xfId="31261"/>
    <cellStyle name="标题 1 16 5 7" xfId="14374"/>
    <cellStyle name="标题 1 16 5 8" xfId="31262"/>
    <cellStyle name="标题 1 16 5 9" xfId="31263"/>
    <cellStyle name="标题 1 16 6" xfId="31264"/>
    <cellStyle name="标题 1 16 6 2" xfId="8531"/>
    <cellStyle name="标题 1 16 6 2 2" xfId="31265"/>
    <cellStyle name="标题 1 16 6 2 3" xfId="31266"/>
    <cellStyle name="标题 1 16 6 3" xfId="8536"/>
    <cellStyle name="标题 1 16 6 4" xfId="8544"/>
    <cellStyle name="标题 1 16 6 5" xfId="31267"/>
    <cellStyle name="标题 1 16 6 6" xfId="31268"/>
    <cellStyle name="标题 1 16 6 7" xfId="31269"/>
    <cellStyle name="标题 1 16 6 8" xfId="31270"/>
    <cellStyle name="标题 1 16 7" xfId="31271"/>
    <cellStyle name="标题 1 16 8" xfId="31272"/>
    <cellStyle name="标题 1 16 9" xfId="31273"/>
    <cellStyle name="标题 1 16 9 2" xfId="14385"/>
    <cellStyle name="标题 1 16 9 3" xfId="31274"/>
    <cellStyle name="标题 1 17" xfId="31275"/>
    <cellStyle name="标题 1 17 10" xfId="26918"/>
    <cellStyle name="标题 1 17 11" xfId="12492"/>
    <cellStyle name="标题 1 17 12" xfId="23739"/>
    <cellStyle name="标题 1 17 13" xfId="31276"/>
    <cellStyle name="标题 1 17 14" xfId="31277"/>
    <cellStyle name="标题 1 17 2" xfId="31278"/>
    <cellStyle name="标题 1 17 3" xfId="3809"/>
    <cellStyle name="标题 1 17 4" xfId="5268"/>
    <cellStyle name="标题 1 17 5" xfId="5288"/>
    <cellStyle name="标题 1 17 5 10" xfId="31279"/>
    <cellStyle name="标题 1 17 5 11" xfId="31280"/>
    <cellStyle name="标题 1 17 5 2" xfId="5042"/>
    <cellStyle name="标题 1 17 5 2 2" xfId="31282"/>
    <cellStyle name="标题 1 17 5 2 2 2" xfId="20681"/>
    <cellStyle name="标题 1 17 5 2 2 3" xfId="21428"/>
    <cellStyle name="标题 1 17 5 2 3" xfId="31073"/>
    <cellStyle name="标题 1 17 5 2 4" xfId="31076"/>
    <cellStyle name="标题 1 17 5 2 5" xfId="29069"/>
    <cellStyle name="标题 1 17 5 2 6" xfId="29072"/>
    <cellStyle name="标题 1 17 5 2 7" xfId="29075"/>
    <cellStyle name="标题 1 17 5 2 8" xfId="29078"/>
    <cellStyle name="标题 1 17 5 3" xfId="31284"/>
    <cellStyle name="标题 1 17 5 4" xfId="31285"/>
    <cellStyle name="标题 1 17 5 5" xfId="31286"/>
    <cellStyle name="标题 1 17 5 6" xfId="31287"/>
    <cellStyle name="标题 1 17 5 6 2" xfId="24742"/>
    <cellStyle name="标题 1 17 5 6 3" xfId="31289"/>
    <cellStyle name="标题 1 17 5 7" xfId="31290"/>
    <cellStyle name="标题 1 17 5 8" xfId="31291"/>
    <cellStyle name="标题 1 17 5 9" xfId="31292"/>
    <cellStyle name="标题 1 17 6" xfId="5298"/>
    <cellStyle name="标题 1 17 6 2" xfId="31294"/>
    <cellStyle name="标题 1 17 6 2 2" xfId="28078"/>
    <cellStyle name="标题 1 17 6 2 3" xfId="28080"/>
    <cellStyle name="标题 1 17 6 3" xfId="31296"/>
    <cellStyle name="标题 1 17 6 4" xfId="31298"/>
    <cellStyle name="标题 1 17 6 5" xfId="31300"/>
    <cellStyle name="标题 1 17 6 6" xfId="31302"/>
    <cellStyle name="标题 1 17 6 7" xfId="31304"/>
    <cellStyle name="标题 1 17 6 8" xfId="31306"/>
    <cellStyle name="标题 1 17 7" xfId="5310"/>
    <cellStyle name="标题 1 17 8" xfId="19565"/>
    <cellStyle name="标题 1 17 9" xfId="18652"/>
    <cellStyle name="标题 1 17 9 2" xfId="12371"/>
    <cellStyle name="标题 1 17 9 3" xfId="12377"/>
    <cellStyle name="标题 1 18" xfId="31307"/>
    <cellStyle name="标题 1 18 10" xfId="31308"/>
    <cellStyle name="标题 1 18 11" xfId="31309"/>
    <cellStyle name="标题 1 18 12" xfId="31310"/>
    <cellStyle name="标题 1 18 13" xfId="31311"/>
    <cellStyle name="标题 1 18 14" xfId="31312"/>
    <cellStyle name="标题 1 18 2" xfId="24457"/>
    <cellStyle name="标题 1 18 3" xfId="31313"/>
    <cellStyle name="标题 1 18 4" xfId="31314"/>
    <cellStyle name="标题 1 18 5" xfId="31315"/>
    <cellStyle name="标题 1 18 5 10" xfId="17736"/>
    <cellStyle name="标题 1 18 5 11" xfId="17740"/>
    <cellStyle name="标题 1 18 5 2" xfId="16859"/>
    <cellStyle name="标题 1 18 5 2 2" xfId="31316"/>
    <cellStyle name="标题 1 18 5 2 2 2" xfId="31318"/>
    <cellStyle name="标题 1 18 5 2 2 3" xfId="25115"/>
    <cellStyle name="标题 1 18 5 2 3" xfId="16866"/>
    <cellStyle name="标题 1 18 5 2 4" xfId="16871"/>
    <cellStyle name="标题 1 18 5 2 5" xfId="29115"/>
    <cellStyle name="标题 1 18 5 2 6" xfId="29117"/>
    <cellStyle name="标题 1 18 5 2 7" xfId="29119"/>
    <cellStyle name="标题 1 18 5 2 8" xfId="29121"/>
    <cellStyle name="标题 1 18 5 3" xfId="14561"/>
    <cellStyle name="标题 1 18 5 4" xfId="14565"/>
    <cellStyle name="标题 1 18 5 5" xfId="16888"/>
    <cellStyle name="标题 1 18 5 6" xfId="24271"/>
    <cellStyle name="标题 1 18 5 6 2" xfId="31319"/>
    <cellStyle name="标题 1 18 5 6 3" xfId="25766"/>
    <cellStyle name="标题 1 18 5 7" xfId="24273"/>
    <cellStyle name="标题 1 18 5 8" xfId="31320"/>
    <cellStyle name="标题 1 18 5 9" xfId="31321"/>
    <cellStyle name="标题 1 18 6" xfId="31322"/>
    <cellStyle name="标题 1 18 6 2" xfId="31324"/>
    <cellStyle name="标题 1 18 6 2 2" xfId="31325"/>
    <cellStyle name="标题 1 18 6 2 3" xfId="31326"/>
    <cellStyle name="标题 1 18 6 3" xfId="31328"/>
    <cellStyle name="标题 1 18 6 4" xfId="31330"/>
    <cellStyle name="标题 1 18 6 5" xfId="16953"/>
    <cellStyle name="标题 1 18 6 6" xfId="5917"/>
    <cellStyle name="标题 1 18 6 7" xfId="5927"/>
    <cellStyle name="标题 1 18 6 8" xfId="689"/>
    <cellStyle name="标题 1 18 7" xfId="15310"/>
    <cellStyle name="标题 1 18 8" xfId="15313"/>
    <cellStyle name="标题 1 18 9" xfId="12546"/>
    <cellStyle name="标题 1 18 9 2" xfId="31331"/>
    <cellStyle name="标题 1 18 9 3" xfId="31333"/>
    <cellStyle name="标题 1 19" xfId="2696"/>
    <cellStyle name="标题 1 2" xfId="30416"/>
    <cellStyle name="标题 1 2 10" xfId="31335"/>
    <cellStyle name="标题 1 2 11" xfId="31336"/>
    <cellStyle name="标题 1 2 12" xfId="31337"/>
    <cellStyle name="标题 1 2 13" xfId="31338"/>
    <cellStyle name="标题 1 2 14" xfId="31339"/>
    <cellStyle name="标题 1 2 15" xfId="24621"/>
    <cellStyle name="标题 1 2 16" xfId="31340"/>
    <cellStyle name="标题 1 2 17" xfId="31342"/>
    <cellStyle name="标题 1 2 17 10" xfId="31343"/>
    <cellStyle name="标题 1 2 17 11" xfId="6993"/>
    <cellStyle name="标题 1 2 17 12" xfId="7001"/>
    <cellStyle name="标题 1 2 17 13" xfId="2762"/>
    <cellStyle name="标题 1 2 17 14" xfId="11068"/>
    <cellStyle name="标题 1 2 17 2" xfId="31344"/>
    <cellStyle name="标题 1 2 17 3" xfId="31345"/>
    <cellStyle name="标题 1 2 17 4" xfId="31346"/>
    <cellStyle name="标题 1 2 17 5" xfId="31347"/>
    <cellStyle name="标题 1 2 17 5 10" xfId="31351"/>
    <cellStyle name="标题 1 2 17 5 11" xfId="31354"/>
    <cellStyle name="标题 1 2 17 5 2" xfId="31355"/>
    <cellStyle name="标题 1 2 17 5 2 2" xfId="16519"/>
    <cellStyle name="标题 1 2 17 5 2 2 2" xfId="31357"/>
    <cellStyle name="标题 1 2 17 5 2 2 3" xfId="31358"/>
    <cellStyle name="标题 1 2 17 5 2 3" xfId="16521"/>
    <cellStyle name="标题 1 2 17 5 2 4" xfId="16523"/>
    <cellStyle name="标题 1 2 17 5 2 5" xfId="16525"/>
    <cellStyle name="标题 1 2 17 5 2 6" xfId="16527"/>
    <cellStyle name="标题 1 2 17 5 2 7" xfId="15270"/>
    <cellStyle name="标题 1 2 17 5 2 8" xfId="31359"/>
    <cellStyle name="标题 1 2 17 5 3" xfId="31360"/>
    <cellStyle name="标题 1 2 17 5 4" xfId="31362"/>
    <cellStyle name="标题 1 2 17 5 5" xfId="31364"/>
    <cellStyle name="标题 1 2 17 5 6" xfId="31365"/>
    <cellStyle name="标题 1 2 17 5 6 2" xfId="2884"/>
    <cellStyle name="标题 1 2 17 5 6 3" xfId="31366"/>
    <cellStyle name="标题 1 2 17 5 7" xfId="31367"/>
    <cellStyle name="标题 1 2 17 5 8" xfId="31368"/>
    <cellStyle name="标题 1 2 17 5 9" xfId="31369"/>
    <cellStyle name="标题 1 2 17 6" xfId="31370"/>
    <cellStyle name="标题 1 2 17 6 2" xfId="2698"/>
    <cellStyle name="标题 1 2 17 6 2 2" xfId="16533"/>
    <cellStyle name="标题 1 2 17 6 2 3" xfId="31371"/>
    <cellStyle name="标题 1 2 17 6 3" xfId="1129"/>
    <cellStyle name="标题 1 2 17 6 4" xfId="31372"/>
    <cellStyle name="标题 1 2 17 6 5" xfId="2705"/>
    <cellStyle name="标题 1 2 17 6 6" xfId="3102"/>
    <cellStyle name="标题 1 2 17 6 7" xfId="3134"/>
    <cellStyle name="标题 1 2 17 6 8" xfId="3151"/>
    <cellStyle name="标题 1 2 17 7" xfId="31374"/>
    <cellStyle name="标题 1 2 17 8" xfId="31375"/>
    <cellStyle name="标题 1 2 17 9" xfId="13005"/>
    <cellStyle name="标题 1 2 17 9 2" xfId="9075"/>
    <cellStyle name="标题 1 2 17 9 3" xfId="9081"/>
    <cellStyle name="标题 1 2 18" xfId="19906"/>
    <cellStyle name="标题 1 2 18 10" xfId="31377"/>
    <cellStyle name="标题 1 2 18 11" xfId="31379"/>
    <cellStyle name="标题 1 2 18 12" xfId="9495"/>
    <cellStyle name="标题 1 2 18 13" xfId="9559"/>
    <cellStyle name="标题 1 2 18 14" xfId="9585"/>
    <cellStyle name="标题 1 2 18 2" xfId="12120"/>
    <cellStyle name="标题 1 2 18 3" xfId="12142"/>
    <cellStyle name="标题 1 2 18 4" xfId="12149"/>
    <cellStyle name="标题 1 2 18 5" xfId="12156"/>
    <cellStyle name="标题 1 2 18 5 10" xfId="31381"/>
    <cellStyle name="标题 1 2 18 5 11" xfId="31382"/>
    <cellStyle name="标题 1 2 18 5 2" xfId="31383"/>
    <cellStyle name="标题 1 2 18 5 2 2" xfId="5389"/>
    <cellStyle name="标题 1 2 18 5 2 2 2" xfId="31384"/>
    <cellStyle name="标题 1 2 18 5 2 2 3" xfId="31385"/>
    <cellStyle name="标题 1 2 18 5 2 3" xfId="1687"/>
    <cellStyle name="标题 1 2 18 5 2 4" xfId="1741"/>
    <cellStyle name="标题 1 2 18 5 2 5" xfId="1752"/>
    <cellStyle name="标题 1 2 18 5 2 6" xfId="1762"/>
    <cellStyle name="标题 1 2 18 5 2 7" xfId="383"/>
    <cellStyle name="标题 1 2 18 5 2 8" xfId="31386"/>
    <cellStyle name="标题 1 2 18 5 3" xfId="31387"/>
    <cellStyle name="标题 1 2 18 5 4" xfId="31389"/>
    <cellStyle name="标题 1 2 18 5 5" xfId="31391"/>
    <cellStyle name="标题 1 2 18 5 6" xfId="31393"/>
    <cellStyle name="标题 1 2 18 5 6 2" xfId="1467"/>
    <cellStyle name="标题 1 2 18 5 6 3" xfId="17496"/>
    <cellStyle name="标题 1 2 18 5 7" xfId="31395"/>
    <cellStyle name="标题 1 2 18 5 8" xfId="31397"/>
    <cellStyle name="标题 1 2 18 5 9" xfId="31399"/>
    <cellStyle name="标题 1 2 18 6" xfId="12162"/>
    <cellStyle name="标题 1 2 18 6 2" xfId="4061"/>
    <cellStyle name="标题 1 2 18 6 2 2" xfId="5520"/>
    <cellStyle name="标题 1 2 18 6 2 3" xfId="24970"/>
    <cellStyle name="标题 1 2 18 6 3" xfId="4069"/>
    <cellStyle name="标题 1 2 18 6 4" xfId="24982"/>
    <cellStyle name="标题 1 2 18 6 5" xfId="24985"/>
    <cellStyle name="标题 1 2 18 6 6" xfId="31401"/>
    <cellStyle name="标题 1 2 18 6 7" xfId="31403"/>
    <cellStyle name="标题 1 2 18 6 8" xfId="31405"/>
    <cellStyle name="标题 1 2 18 7" xfId="12171"/>
    <cellStyle name="标题 1 2 18 8" xfId="12179"/>
    <cellStyle name="标题 1 2 18 9" xfId="12188"/>
    <cellStyle name="标题 1 2 18 9 2" xfId="9825"/>
    <cellStyle name="标题 1 2 18 9 3" xfId="9831"/>
    <cellStyle name="标题 1 2 19" xfId="19909"/>
    <cellStyle name="标题 1 2 19 10" xfId="31407"/>
    <cellStyle name="标题 1 2 19 11" xfId="31409"/>
    <cellStyle name="标题 1 2 19 12" xfId="31411"/>
    <cellStyle name="标题 1 2 19 13" xfId="31413"/>
    <cellStyle name="标题 1 2 19 14" xfId="31415"/>
    <cellStyle name="标题 1 2 19 2" xfId="1202"/>
    <cellStyle name="标题 1 2 19 3" xfId="525"/>
    <cellStyle name="标题 1 2 19 4" xfId="6036"/>
    <cellStyle name="标题 1 2 19 5" xfId="6042"/>
    <cellStyle name="标题 1 2 19 5 10" xfId="27779"/>
    <cellStyle name="标题 1 2 19 5 11" xfId="27781"/>
    <cellStyle name="标题 1 2 19 5 2" xfId="31416"/>
    <cellStyle name="标题 1 2 19 5 2 2" xfId="5685"/>
    <cellStyle name="标题 1 2 19 5 2 2 2" xfId="14480"/>
    <cellStyle name="标题 1 2 19 5 2 2 3" xfId="14483"/>
    <cellStyle name="标题 1 2 19 5 2 3" xfId="5688"/>
    <cellStyle name="标题 1 2 19 5 2 4" xfId="1705"/>
    <cellStyle name="标题 1 2 19 5 2 5" xfId="1731"/>
    <cellStyle name="标题 1 2 19 5 2 6" xfId="5691"/>
    <cellStyle name="标题 1 2 19 5 2 7" xfId="5695"/>
    <cellStyle name="标题 1 2 19 5 2 8" xfId="15882"/>
    <cellStyle name="标题 1 2 19 5 3" xfId="31417"/>
    <cellStyle name="标题 1 2 19 5 4" xfId="24560"/>
    <cellStyle name="标题 1 2 19 5 5" xfId="31419"/>
    <cellStyle name="标题 1 2 19 5 6" xfId="27472"/>
    <cellStyle name="标题 1 2 19 5 6 2" xfId="4089"/>
    <cellStyle name="标题 1 2 19 5 6 3" xfId="27474"/>
    <cellStyle name="标题 1 2 19 5 7" xfId="27476"/>
    <cellStyle name="标题 1 2 19 5 8" xfId="27478"/>
    <cellStyle name="标题 1 2 19 5 9" xfId="20229"/>
    <cellStyle name="标题 1 2 19 6" xfId="6049"/>
    <cellStyle name="标题 1 2 19 6 2" xfId="4197"/>
    <cellStyle name="标题 1 2 19 6 2 2" xfId="5804"/>
    <cellStyle name="标题 1 2 19 6 2 3" xfId="30588"/>
    <cellStyle name="标题 1 2 19 6 3" xfId="4200"/>
    <cellStyle name="标题 1 2 19 6 4" xfId="31420"/>
    <cellStyle name="标题 1 2 19 6 5" xfId="31422"/>
    <cellStyle name="标题 1 2 19 6 6" xfId="31424"/>
    <cellStyle name="标题 1 2 19 6 7" xfId="31426"/>
    <cellStyle name="标题 1 2 19 6 8" xfId="31427"/>
    <cellStyle name="标题 1 2 19 7" xfId="31429"/>
    <cellStyle name="标题 1 2 19 8" xfId="31430"/>
    <cellStyle name="标题 1 2 19 9" xfId="31431"/>
    <cellStyle name="标题 1 2 19 9 2" xfId="31432"/>
    <cellStyle name="标题 1 2 19 9 3" xfId="31433"/>
    <cellStyle name="标题 1 2 2" xfId="31434"/>
    <cellStyle name="标题 1 2 2 10" xfId="31435"/>
    <cellStyle name="标题 1 2 2 11" xfId="19662"/>
    <cellStyle name="标题 1 2 2 12" xfId="19664"/>
    <cellStyle name="标题 1 2 2 13" xfId="31436"/>
    <cellStyle name="标题 1 2 2 14" xfId="31437"/>
    <cellStyle name="标题 1 2 2 2" xfId="18903"/>
    <cellStyle name="标题 1 2 2 3" xfId="24616"/>
    <cellStyle name="标题 1 2 2 4" xfId="27549"/>
    <cellStyle name="标题 1 2 2 5" xfId="27551"/>
    <cellStyle name="标题 1 2 2 6" xfId="27553"/>
    <cellStyle name="标题 1 2 2 7" xfId="27555"/>
    <cellStyle name="标题 1 2 2 8" xfId="27557"/>
    <cellStyle name="标题 1 2 2 9" xfId="27559"/>
    <cellStyle name="标题 1 2 20" xfId="24622"/>
    <cellStyle name="标题 1 2 20 10" xfId="31439"/>
    <cellStyle name="标题 1 2 20 11" xfId="31441"/>
    <cellStyle name="标题 1 2 20 12" xfId="31443"/>
    <cellStyle name="标题 1 2 20 13" xfId="31445"/>
    <cellStyle name="标题 1 2 20 14" xfId="31447"/>
    <cellStyle name="标题 1 2 20 2" xfId="25467"/>
    <cellStyle name="标题 1 2 20 3" xfId="25483"/>
    <cellStyle name="标题 1 2 20 4" xfId="25499"/>
    <cellStyle name="标题 1 2 20 5" xfId="25501"/>
    <cellStyle name="标题 1 2 20 5 10" xfId="13438"/>
    <cellStyle name="标题 1 2 20 5 11" xfId="13442"/>
    <cellStyle name="标题 1 2 20 5 2" xfId="31448"/>
    <cellStyle name="标题 1 2 20 5 2 2" xfId="31450"/>
    <cellStyle name="标题 1 2 20 5 2 2 2" xfId="31451"/>
    <cellStyle name="标题 1 2 20 5 2 2 3" xfId="31453"/>
    <cellStyle name="标题 1 2 20 5 2 3" xfId="31455"/>
    <cellStyle name="标题 1 2 20 5 2 4" xfId="31457"/>
    <cellStyle name="标题 1 2 20 5 2 5" xfId="31460"/>
    <cellStyle name="标题 1 2 20 5 2 6" xfId="31462"/>
    <cellStyle name="标题 1 2 20 5 2 7" xfId="31464"/>
    <cellStyle name="标题 1 2 20 5 2 8" xfId="31466"/>
    <cellStyle name="标题 1 2 20 5 3" xfId="31467"/>
    <cellStyle name="标题 1 2 20 5 4" xfId="31468"/>
    <cellStyle name="标题 1 2 20 5 5" xfId="31469"/>
    <cellStyle name="标题 1 2 20 5 6" xfId="31470"/>
    <cellStyle name="标题 1 2 20 5 6 2" xfId="31471"/>
    <cellStyle name="标题 1 2 20 5 6 3" xfId="22024"/>
    <cellStyle name="标题 1 2 20 5 7" xfId="31472"/>
    <cellStyle name="标题 1 2 20 5 8" xfId="31473"/>
    <cellStyle name="标题 1 2 20 5 9" xfId="31474"/>
    <cellStyle name="标题 1 2 20 6" xfId="25503"/>
    <cellStyle name="标题 1 2 20 6 2" xfId="4611"/>
    <cellStyle name="标题 1 2 20 6 2 2" xfId="31475"/>
    <cellStyle name="标题 1 2 20 6 2 3" xfId="31476"/>
    <cellStyle name="标题 1 2 20 6 3" xfId="402"/>
    <cellStyle name="标题 1 2 20 6 4" xfId="31477"/>
    <cellStyle name="标题 1 2 20 6 5" xfId="31478"/>
    <cellStyle name="标题 1 2 20 6 6" xfId="13292"/>
    <cellStyle name="标题 1 2 20 6 7" xfId="351"/>
    <cellStyle name="标题 1 2 20 6 8" xfId="310"/>
    <cellStyle name="标题 1 2 20 7" xfId="31479"/>
    <cellStyle name="标题 1 2 20 8" xfId="20775"/>
    <cellStyle name="标题 1 2 20 9" xfId="31480"/>
    <cellStyle name="标题 1 2 20 9 2" xfId="31481"/>
    <cellStyle name="标题 1 2 20 9 3" xfId="31482"/>
    <cellStyle name="标题 1 2 3" xfId="25748"/>
    <cellStyle name="标题 1 2 3 10" xfId="16197"/>
    <cellStyle name="标题 1 2 3 11" xfId="14301"/>
    <cellStyle name="标题 1 2 3 12" xfId="14307"/>
    <cellStyle name="标题 1 2 3 13" xfId="16263"/>
    <cellStyle name="标题 1 2 3 14" xfId="16266"/>
    <cellStyle name="标题 1 2 3 2" xfId="31483"/>
    <cellStyle name="标题 1 2 3 3" xfId="31484"/>
    <cellStyle name="标题 1 2 3 4" xfId="31485"/>
    <cellStyle name="标题 1 2 3 5" xfId="31486"/>
    <cellStyle name="标题 1 2 3 6" xfId="31487"/>
    <cellStyle name="标题 1 2 3 7" xfId="31488"/>
    <cellStyle name="标题 1 2 3 8" xfId="31489"/>
    <cellStyle name="标题 1 2 3 9" xfId="31490"/>
    <cellStyle name="标题 1 2 4" xfId="31491"/>
    <cellStyle name="标题 1 2 4 10" xfId="13163"/>
    <cellStyle name="标题 1 2 4 11" xfId="13167"/>
    <cellStyle name="标题 1 2 4 12" xfId="13172"/>
    <cellStyle name="标题 1 2 4 13" xfId="13179"/>
    <cellStyle name="标题 1 2 4 14" xfId="5781"/>
    <cellStyle name="标题 1 2 4 2" xfId="10115"/>
    <cellStyle name="标题 1 2 4 3" xfId="15006"/>
    <cellStyle name="标题 1 2 4 4" xfId="15008"/>
    <cellStyle name="标题 1 2 4 5" xfId="15011"/>
    <cellStyle name="标题 1 2 4 6" xfId="15014"/>
    <cellStyle name="标题 1 2 4 7" xfId="15017"/>
    <cellStyle name="标题 1 2 4 8" xfId="15019"/>
    <cellStyle name="标题 1 2 4 9" xfId="15052"/>
    <cellStyle name="标题 1 2 5" xfId="31492"/>
    <cellStyle name="标题 1 2 6" xfId="31493"/>
    <cellStyle name="标题 1 2 7" xfId="578"/>
    <cellStyle name="标题 1 2 8" xfId="589"/>
    <cellStyle name="标题 1 2 9" xfId="512"/>
    <cellStyle name="标题 1 3" xfId="30418"/>
    <cellStyle name="标题 1 3 10" xfId="31496"/>
    <cellStyle name="标题 1 3 11" xfId="31499"/>
    <cellStyle name="标题 1 3 12" xfId="31502"/>
    <cellStyle name="标题 1 3 13" xfId="31504"/>
    <cellStyle name="标题 1 3 14" xfId="31506"/>
    <cellStyle name="标题 1 3 15" xfId="31508"/>
    <cellStyle name="标题 1 3 16" xfId="1914"/>
    <cellStyle name="标题 1 3 17" xfId="1939"/>
    <cellStyle name="标题 1 3 17 10" xfId="30595"/>
    <cellStyle name="标题 1 3 17 11" xfId="30597"/>
    <cellStyle name="标题 1 3 17 12" xfId="31510"/>
    <cellStyle name="标题 1 3 17 13" xfId="31511"/>
    <cellStyle name="标题 1 3 17 14" xfId="31512"/>
    <cellStyle name="标题 1 3 17 2" xfId="31513"/>
    <cellStyle name="标题 1 3 17 2 2" xfId="12774"/>
    <cellStyle name="标题 1 3 17 3" xfId="12405"/>
    <cellStyle name="标题 1 3 17 4" xfId="12412"/>
    <cellStyle name="标题 1 3 17 5" xfId="12414"/>
    <cellStyle name="标题 1 3 17 5 10" xfId="31516"/>
    <cellStyle name="标题 1 3 17 5 11" xfId="31521"/>
    <cellStyle name="标题 1 3 17 5 2" xfId="31522"/>
    <cellStyle name="标题 1 3 17 5 2 2" xfId="17333"/>
    <cellStyle name="标题 1 3 17 5 2 2 2" xfId="18417"/>
    <cellStyle name="标题 1 3 17 5 2 2 3" xfId="18420"/>
    <cellStyle name="标题 1 3 17 5 2 3" xfId="17336"/>
    <cellStyle name="标题 1 3 17 5 2 4" xfId="17339"/>
    <cellStyle name="标题 1 3 17 5 2 5" xfId="17342"/>
    <cellStyle name="标题 1 3 17 5 2 6" xfId="17346"/>
    <cellStyle name="标题 1 3 17 5 2 7" xfId="17351"/>
    <cellStyle name="标题 1 3 17 5 2 8" xfId="28909"/>
    <cellStyle name="标题 1 3 17 5 3" xfId="31523"/>
    <cellStyle name="标题 1 3 17 5 4" xfId="31524"/>
    <cellStyle name="标题 1 3 17 5 5" xfId="31525"/>
    <cellStyle name="标题 1 3 17 5 6" xfId="21780"/>
    <cellStyle name="标题 1 3 17 5 6 2" xfId="17362"/>
    <cellStyle name="标题 1 3 17 5 6 3" xfId="31527"/>
    <cellStyle name="标题 1 3 17 5 7" xfId="19068"/>
    <cellStyle name="标题 1 3 17 5 8" xfId="31528"/>
    <cellStyle name="标题 1 3 17 5 9" xfId="31530"/>
    <cellStyle name="标题 1 3 17 6" xfId="12416"/>
    <cellStyle name="标题 1 3 17 6 2" xfId="683"/>
    <cellStyle name="标题 1 3 17 6 2 2" xfId="17373"/>
    <cellStyle name="标题 1 3 17 6 2 3" xfId="31532"/>
    <cellStyle name="标题 1 3 17 6 3" xfId="715"/>
    <cellStyle name="标题 1 3 17 6 4" xfId="31533"/>
    <cellStyle name="标题 1 3 17 6 5" xfId="6386"/>
    <cellStyle name="标题 1 3 17 6 6" xfId="6393"/>
    <cellStyle name="标题 1 3 17 6 7" xfId="6400"/>
    <cellStyle name="标题 1 3 17 6 8" xfId="6406"/>
    <cellStyle name="标题 1 3 17 7" xfId="12419"/>
    <cellStyle name="标题 1 3 17 8" xfId="12422"/>
    <cellStyle name="标题 1 3 17 9" xfId="1847"/>
    <cellStyle name="标题 1 3 17 9 2" xfId="31534"/>
    <cellStyle name="标题 1 3 17 9 3" xfId="31535"/>
    <cellStyle name="标题 1 3 18" xfId="31537"/>
    <cellStyle name="标题 1 3 18 10" xfId="31538"/>
    <cellStyle name="标题 1 3 18 11" xfId="31539"/>
    <cellStyle name="标题 1 3 18 12" xfId="17751"/>
    <cellStyle name="标题 1 3 18 13" xfId="17753"/>
    <cellStyle name="标题 1 3 18 14" xfId="17755"/>
    <cellStyle name="标题 1 3 18 2" xfId="6318"/>
    <cellStyle name="标题 1 3 18 3" xfId="6322"/>
    <cellStyle name="标题 1 3 18 4" xfId="6328"/>
    <cellStyle name="标题 1 3 18 5" xfId="6334"/>
    <cellStyle name="标题 1 3 18 5 10" xfId="31540"/>
    <cellStyle name="标题 1 3 18 5 11" xfId="31541"/>
    <cellStyle name="标题 1 3 18 5 2" xfId="31542"/>
    <cellStyle name="标题 1 3 18 5 2 2" xfId="8107"/>
    <cellStyle name="标题 1 3 18 5 2 2 2" xfId="12116"/>
    <cellStyle name="标题 1 3 18 5 2 2 3" xfId="12193"/>
    <cellStyle name="标题 1 3 18 5 2 3" xfId="8114"/>
    <cellStyle name="标题 1 3 18 5 2 4" xfId="8120"/>
    <cellStyle name="标题 1 3 18 5 2 5" xfId="8125"/>
    <cellStyle name="标题 1 3 18 5 2 6" xfId="8131"/>
    <cellStyle name="标题 1 3 18 5 2 7" xfId="1811"/>
    <cellStyle name="标题 1 3 18 5 2 8" xfId="4080"/>
    <cellStyle name="标题 1 3 18 5 3" xfId="31543"/>
    <cellStyle name="标题 1 3 18 5 4" xfId="31544"/>
    <cellStyle name="标题 1 3 18 5 5" xfId="31545"/>
    <cellStyle name="标题 1 3 18 5 6" xfId="31546"/>
    <cellStyle name="标题 1 3 18 5 6 2" xfId="17421"/>
    <cellStyle name="标题 1 3 18 5 6 3" xfId="31547"/>
    <cellStyle name="标题 1 3 18 5 7" xfId="31548"/>
    <cellStyle name="标题 1 3 18 5 8" xfId="31549"/>
    <cellStyle name="标题 1 3 18 5 9" xfId="31550"/>
    <cellStyle name="标题 1 3 18 6" xfId="3402"/>
    <cellStyle name="标题 1 3 18 6 2" xfId="5011"/>
    <cellStyle name="标题 1 3 18 6 2 2" xfId="8194"/>
    <cellStyle name="标题 1 3 18 6 2 3" xfId="31551"/>
    <cellStyle name="标题 1 3 18 6 3" xfId="5013"/>
    <cellStyle name="标题 1 3 18 6 4" xfId="31552"/>
    <cellStyle name="标题 1 3 18 6 5" xfId="31553"/>
    <cellStyle name="标题 1 3 18 6 6" xfId="31554"/>
    <cellStyle name="标题 1 3 18 6 7" xfId="31555"/>
    <cellStyle name="标题 1 3 18 6 8" xfId="31556"/>
    <cellStyle name="标题 1 3 18 7" xfId="1436"/>
    <cellStyle name="标题 1 3 18 8" xfId="1468"/>
    <cellStyle name="标题 1 3 18 9" xfId="17497"/>
    <cellStyle name="标题 1 3 18 9 2" xfId="11389"/>
    <cellStyle name="标题 1 3 18 9 3" xfId="11391"/>
    <cellStyle name="标题 1 3 19" xfId="31558"/>
    <cellStyle name="标题 1 3 19 10" xfId="31559"/>
    <cellStyle name="标题 1 3 19 11" xfId="31561"/>
    <cellStyle name="标题 1 3 19 12" xfId="31563"/>
    <cellStyle name="标题 1 3 19 13" xfId="22698"/>
    <cellStyle name="标题 1 3 19 14" xfId="22701"/>
    <cellStyle name="标题 1 3 19 2" xfId="8422"/>
    <cellStyle name="标题 1 3 19 3" xfId="8433"/>
    <cellStyle name="标题 1 3 19 4" xfId="8443"/>
    <cellStyle name="标题 1 3 19 5" xfId="8446"/>
    <cellStyle name="标题 1 3 19 5 10" xfId="18018"/>
    <cellStyle name="标题 1 3 19 5 11" xfId="18021"/>
    <cellStyle name="标题 1 3 19 5 2" xfId="17771"/>
    <cellStyle name="标题 1 3 19 5 2 2" xfId="17463"/>
    <cellStyle name="标题 1 3 19 5 2 2 2" xfId="4343"/>
    <cellStyle name="标题 1 3 19 5 2 2 3" xfId="9963"/>
    <cellStyle name="标题 1 3 19 5 2 3" xfId="17465"/>
    <cellStyle name="标题 1 3 19 5 2 4" xfId="17467"/>
    <cellStyle name="标题 1 3 19 5 2 5" xfId="17469"/>
    <cellStyle name="标题 1 3 19 5 2 6" xfId="17472"/>
    <cellStyle name="标题 1 3 19 5 2 7" xfId="2248"/>
    <cellStyle name="标题 1 3 19 5 2 8" xfId="16584"/>
    <cellStyle name="标题 1 3 19 5 3" xfId="17773"/>
    <cellStyle name="标题 1 3 19 5 4" xfId="17775"/>
    <cellStyle name="标题 1 3 19 5 5" xfId="17777"/>
    <cellStyle name="标题 1 3 19 5 6" xfId="17780"/>
    <cellStyle name="标题 1 3 19 5 6 2" xfId="17478"/>
    <cellStyle name="标题 1 3 19 5 6 3" xfId="17956"/>
    <cellStyle name="标题 1 3 19 5 7" xfId="17783"/>
    <cellStyle name="标题 1 3 19 5 8" xfId="17786"/>
    <cellStyle name="标题 1 3 19 5 9" xfId="17832"/>
    <cellStyle name="标题 1 3 19 6" xfId="8453"/>
    <cellStyle name="标题 1 3 19 6 2" xfId="5082"/>
    <cellStyle name="标题 1 3 19 6 2 2" xfId="17483"/>
    <cellStyle name="标题 1 3 19 6 2 3" xfId="31564"/>
    <cellStyle name="标题 1 3 19 6 3" xfId="5086"/>
    <cellStyle name="标题 1 3 19 6 4" xfId="31565"/>
    <cellStyle name="标题 1 3 19 6 5" xfId="31566"/>
    <cellStyle name="标题 1 3 19 6 6" xfId="31567"/>
    <cellStyle name="标题 1 3 19 6 7" xfId="31568"/>
    <cellStyle name="标题 1 3 19 6 8" xfId="31569"/>
    <cellStyle name="标题 1 3 19 7" xfId="26618"/>
    <cellStyle name="标题 1 3 19 8" xfId="26620"/>
    <cellStyle name="标题 1 3 19 9" xfId="26623"/>
    <cellStyle name="标题 1 3 19 9 2" xfId="31570"/>
    <cellStyle name="标题 1 3 19 9 3" xfId="31571"/>
    <cellStyle name="标题 1 3 2" xfId="31572"/>
    <cellStyle name="标题 1 3 2 10" xfId="17542"/>
    <cellStyle name="标题 1 3 2 11" xfId="31573"/>
    <cellStyle name="标题 1 3 2 12" xfId="31574"/>
    <cellStyle name="标题 1 3 2 13" xfId="31575"/>
    <cellStyle name="标题 1 3 2 14" xfId="31576"/>
    <cellStyle name="标题 1 3 2 2" xfId="31577"/>
    <cellStyle name="标题 1 3 2 3" xfId="27572"/>
    <cellStyle name="标题 1 3 2 4" xfId="27574"/>
    <cellStyle name="标题 1 3 2 5" xfId="31578"/>
    <cellStyle name="标题 1 3 2 6" xfId="31579"/>
    <cellStyle name="标题 1 3 2 7" xfId="31580"/>
    <cellStyle name="标题 1 3 2 8" xfId="31581"/>
    <cellStyle name="标题 1 3 2 9" xfId="31582"/>
    <cellStyle name="标题 1 3 20" xfId="31509"/>
    <cellStyle name="标题 1 3 20 10" xfId="31583"/>
    <cellStyle name="标题 1 3 20 11" xfId="31584"/>
    <cellStyle name="标题 1 3 20 12" xfId="31585"/>
    <cellStyle name="标题 1 3 20 13" xfId="31586"/>
    <cellStyle name="标题 1 3 20 14" xfId="24646"/>
    <cellStyle name="标题 1 3 20 2" xfId="31587"/>
    <cellStyle name="标题 1 3 20 3" xfId="31588"/>
    <cellStyle name="标题 1 3 20 4" xfId="25525"/>
    <cellStyle name="标题 1 3 20 5" xfId="27064"/>
    <cellStyle name="标题 1 3 20 5 10" xfId="31591"/>
    <cellStyle name="标题 1 3 20 5 11" xfId="31594"/>
    <cellStyle name="标题 1 3 20 5 2" xfId="27066"/>
    <cellStyle name="标题 1 3 20 5 2 2" xfId="31595"/>
    <cellStyle name="标题 1 3 20 5 2 2 2" xfId="31597"/>
    <cellStyle name="标题 1 3 20 5 2 2 3" xfId="31599"/>
    <cellStyle name="标题 1 3 20 5 2 3" xfId="31600"/>
    <cellStyle name="标题 1 3 20 5 2 4" xfId="31601"/>
    <cellStyle name="标题 1 3 20 5 2 5" xfId="31602"/>
    <cellStyle name="标题 1 3 20 5 2 6" xfId="31603"/>
    <cellStyle name="标题 1 3 20 5 2 7" xfId="31604"/>
    <cellStyle name="标题 1 3 20 5 2 8" xfId="31605"/>
    <cellStyle name="标题 1 3 20 5 3" xfId="27068"/>
    <cellStyle name="标题 1 3 20 5 4" xfId="31606"/>
    <cellStyle name="标题 1 3 20 5 5" xfId="31607"/>
    <cellStyle name="标题 1 3 20 5 6" xfId="31608"/>
    <cellStyle name="标题 1 3 20 5 6 2" xfId="2465"/>
    <cellStyle name="标题 1 3 20 5 6 3" xfId="2482"/>
    <cellStyle name="标题 1 3 20 5 7" xfId="31609"/>
    <cellStyle name="标题 1 3 20 5 8" xfId="31610"/>
    <cellStyle name="标题 1 3 20 5 9" xfId="31611"/>
    <cellStyle name="标题 1 3 20 6" xfId="27070"/>
    <cellStyle name="标题 1 3 20 6 2" xfId="5181"/>
    <cellStyle name="标题 1 3 20 6 2 2" xfId="31612"/>
    <cellStyle name="标题 1 3 20 6 2 3" xfId="31613"/>
    <cellStyle name="标题 1 3 20 6 3" xfId="5187"/>
    <cellStyle name="标题 1 3 20 6 4" xfId="31614"/>
    <cellStyle name="标题 1 3 20 6 5" xfId="31615"/>
    <cellStyle name="标题 1 3 20 6 6" xfId="31616"/>
    <cellStyle name="标题 1 3 20 6 7" xfId="31617"/>
    <cellStyle name="标题 1 3 20 6 8" xfId="31618"/>
    <cellStyle name="标题 1 3 20 7" xfId="27073"/>
    <cellStyle name="标题 1 3 20 8" xfId="27076"/>
    <cellStyle name="标题 1 3 20 9" xfId="27079"/>
    <cellStyle name="标题 1 3 20 9 2" xfId="31619"/>
    <cellStyle name="标题 1 3 20 9 3" xfId="15191"/>
    <cellStyle name="标题 1 3 3" xfId="31620"/>
    <cellStyle name="标题 1 3 3 10" xfId="23487"/>
    <cellStyle name="标题 1 3 3 11" xfId="23489"/>
    <cellStyle name="标题 1 3 3 12" xfId="31621"/>
    <cellStyle name="标题 1 3 3 13" xfId="30771"/>
    <cellStyle name="标题 1 3 3 14" xfId="30773"/>
    <cellStyle name="标题 1 3 3 2" xfId="31622"/>
    <cellStyle name="标题 1 3 3 3" xfId="29853"/>
    <cellStyle name="标题 1 3 3 4" xfId="29856"/>
    <cellStyle name="标题 1 3 3 5" xfId="29859"/>
    <cellStyle name="标题 1 3 3 6" xfId="29862"/>
    <cellStyle name="标题 1 3 3 7" xfId="4630"/>
    <cellStyle name="标题 1 3 3 8" xfId="7602"/>
    <cellStyle name="标题 1 3 3 9" xfId="7609"/>
    <cellStyle name="标题 1 3 4" xfId="31624"/>
    <cellStyle name="标题 1 3 4 10" xfId="28998"/>
    <cellStyle name="标题 1 3 4 11" xfId="23323"/>
    <cellStyle name="标题 1 3 4 12" xfId="23337"/>
    <cellStyle name="标题 1 3 4 13" xfId="19674"/>
    <cellStyle name="标题 1 3 4 14" xfId="19678"/>
    <cellStyle name="标题 1 3 4 2" xfId="11280"/>
    <cellStyle name="标题 1 3 4 3" xfId="31625"/>
    <cellStyle name="标题 1 3 4 4" xfId="20737"/>
    <cellStyle name="标题 1 3 4 5" xfId="20740"/>
    <cellStyle name="标题 1 3 4 6" xfId="20743"/>
    <cellStyle name="标题 1 3 4 7" xfId="20749"/>
    <cellStyle name="标题 1 3 4 8" xfId="20754"/>
    <cellStyle name="标题 1 3 4 9" xfId="22925"/>
    <cellStyle name="标题 1 3 5" xfId="31626"/>
    <cellStyle name="标题 1 3 6" xfId="31627"/>
    <cellStyle name="标题 1 3 7" xfId="31628"/>
    <cellStyle name="标题 1 3 8" xfId="31629"/>
    <cellStyle name="标题 1 3 9" xfId="31630"/>
    <cellStyle name="标题 1 4" xfId="31631"/>
    <cellStyle name="标题 1 4 10" xfId="31632"/>
    <cellStyle name="标题 1 4 11" xfId="31633"/>
    <cellStyle name="标题 1 4 12" xfId="27201"/>
    <cellStyle name="标题 1 4 13" xfId="27212"/>
    <cellStyle name="标题 1 4 14" xfId="431"/>
    <cellStyle name="标题 1 4 15" xfId="19836"/>
    <cellStyle name="标题 1 4 16" xfId="19840"/>
    <cellStyle name="标题 1 4 17" xfId="19846"/>
    <cellStyle name="标题 1 4 17 10" xfId="31635"/>
    <cellStyle name="标题 1 4 17 11" xfId="31636"/>
    <cellStyle name="标题 1 4 17 12" xfId="31637"/>
    <cellStyle name="标题 1 4 17 13" xfId="31638"/>
    <cellStyle name="标题 1 4 17 14" xfId="31639"/>
    <cellStyle name="标题 1 4 17 2" xfId="19339"/>
    <cellStyle name="标题 1 4 17 3" xfId="23726"/>
    <cellStyle name="标题 1 4 17 4" xfId="23728"/>
    <cellStyle name="标题 1 4 17 5" xfId="31640"/>
    <cellStyle name="标题 1 4 17 5 10" xfId="21267"/>
    <cellStyle name="标题 1 4 17 5 11" xfId="1550"/>
    <cellStyle name="标题 1 4 17 5 2" xfId="18019"/>
    <cellStyle name="标题 1 4 17 5 2 2" xfId="18389"/>
    <cellStyle name="标题 1 4 17 5 2 2 2" xfId="13657"/>
    <cellStyle name="标题 1 4 17 5 2 2 3" xfId="31641"/>
    <cellStyle name="标题 1 4 17 5 2 3" xfId="18391"/>
    <cellStyle name="标题 1 4 17 5 2 4" xfId="18393"/>
    <cellStyle name="标题 1 4 17 5 2 5" xfId="18395"/>
    <cellStyle name="标题 1 4 17 5 2 6" xfId="18397"/>
    <cellStyle name="标题 1 4 17 5 2 7" xfId="18399"/>
    <cellStyle name="标题 1 4 17 5 2 8" xfId="31642"/>
    <cellStyle name="标题 1 4 17 5 3" xfId="18022"/>
    <cellStyle name="标题 1 4 17 5 4" xfId="6976"/>
    <cellStyle name="标题 1 4 17 5 5" xfId="6982"/>
    <cellStyle name="标题 1 4 17 5 6" xfId="6990"/>
    <cellStyle name="标题 1 4 17 5 6 2" xfId="18403"/>
    <cellStyle name="标题 1 4 17 5 6 3" xfId="31643"/>
    <cellStyle name="标题 1 4 17 5 7" xfId="6997"/>
    <cellStyle name="标题 1 4 17 5 8" xfId="7005"/>
    <cellStyle name="标题 1 4 17 5 9" xfId="2767"/>
    <cellStyle name="标题 1 4 17 6" xfId="31644"/>
    <cellStyle name="标题 1 4 17 6 2" xfId="31645"/>
    <cellStyle name="标题 1 4 17 6 2 2" xfId="18413"/>
    <cellStyle name="标题 1 4 17 6 2 3" xfId="21200"/>
    <cellStyle name="标题 1 4 17 6 3" xfId="25988"/>
    <cellStyle name="标题 1 4 17 6 4" xfId="31646"/>
    <cellStyle name="标题 1 4 17 6 5" xfId="7039"/>
    <cellStyle name="标题 1 4 17 6 6" xfId="7052"/>
    <cellStyle name="标题 1 4 17 6 7" xfId="7062"/>
    <cellStyle name="标题 1 4 17 6 8" xfId="7065"/>
    <cellStyle name="标题 1 4 17 7" xfId="31647"/>
    <cellStyle name="标题 1 4 17 8" xfId="16618"/>
    <cellStyle name="标题 1 4 17 9" xfId="16621"/>
    <cellStyle name="标题 1 4 17 9 2" xfId="28246"/>
    <cellStyle name="标题 1 4 17 9 3" xfId="31648"/>
    <cellStyle name="标题 1 4 18" xfId="19852"/>
    <cellStyle name="标题 1 4 18 10" xfId="31650"/>
    <cellStyle name="标题 1 4 18 11" xfId="31652"/>
    <cellStyle name="标题 1 4 18 12" xfId="16241"/>
    <cellStyle name="标题 1 4 18 13" xfId="18842"/>
    <cellStyle name="标题 1 4 18 14" xfId="18845"/>
    <cellStyle name="标题 1 4 18 2" xfId="18542"/>
    <cellStyle name="标题 1 4 18 3" xfId="18546"/>
    <cellStyle name="标题 1 4 18 4" xfId="18550"/>
    <cellStyle name="标题 1 4 18 5" xfId="18554"/>
    <cellStyle name="标题 1 4 18 5 10" xfId="21964"/>
    <cellStyle name="标题 1 4 18 5 11" xfId="21966"/>
    <cellStyle name="标题 1 4 18 5 2" xfId="31653"/>
    <cellStyle name="标题 1 4 18 5 2 2" xfId="10422"/>
    <cellStyle name="标题 1 4 18 5 2 2 2" xfId="27438"/>
    <cellStyle name="标题 1 4 18 5 2 2 3" xfId="27441"/>
    <cellStyle name="标题 1 4 18 5 2 3" xfId="18446"/>
    <cellStyle name="标题 1 4 18 5 2 4" xfId="18449"/>
    <cellStyle name="标题 1 4 18 5 2 5" xfId="18452"/>
    <cellStyle name="标题 1 4 18 5 2 6" xfId="18456"/>
    <cellStyle name="标题 1 4 18 5 2 7" xfId="6871"/>
    <cellStyle name="标题 1 4 18 5 2 8" xfId="6878"/>
    <cellStyle name="标题 1 4 18 5 3" xfId="25864"/>
    <cellStyle name="标题 1 4 18 5 4" xfId="26266"/>
    <cellStyle name="标题 1 4 18 5 5" xfId="8671"/>
    <cellStyle name="标题 1 4 18 5 6" xfId="8674"/>
    <cellStyle name="标题 1 4 18 5 6 2" xfId="18459"/>
    <cellStyle name="标题 1 4 18 5 6 3" xfId="31654"/>
    <cellStyle name="标题 1 4 18 5 7" xfId="8849"/>
    <cellStyle name="标题 1 4 18 5 8" xfId="6627"/>
    <cellStyle name="标题 1 4 18 5 9" xfId="6634"/>
    <cellStyle name="标题 1 4 18 6" xfId="18557"/>
    <cellStyle name="标题 1 4 18 6 2" xfId="31655"/>
    <cellStyle name="标题 1 4 18 6 2 2" xfId="18468"/>
    <cellStyle name="标题 1 4 18 6 2 3" xfId="16837"/>
    <cellStyle name="标题 1 4 18 6 3" xfId="31656"/>
    <cellStyle name="标题 1 4 18 6 4" xfId="31657"/>
    <cellStyle name="标题 1 4 18 6 5" xfId="8999"/>
    <cellStyle name="标题 1 4 18 6 6" xfId="9002"/>
    <cellStyle name="标题 1 4 18 6 7" xfId="9005"/>
    <cellStyle name="标题 1 4 18 6 8" xfId="9010"/>
    <cellStyle name="标题 1 4 18 7" xfId="18563"/>
    <cellStyle name="标题 1 4 18 8" xfId="16644"/>
    <cellStyle name="标题 1 4 18 9" xfId="16649"/>
    <cellStyle name="标题 1 4 18 9 2" xfId="18582"/>
    <cellStyle name="标题 1 4 18 9 3" xfId="18587"/>
    <cellStyle name="标题 1 4 19" xfId="2427"/>
    <cellStyle name="标题 1 4 19 10" xfId="9393"/>
    <cellStyle name="标题 1 4 19 11" xfId="9407"/>
    <cellStyle name="标题 1 4 19 12" xfId="216"/>
    <cellStyle name="标题 1 4 19 13" xfId="9412"/>
    <cellStyle name="标题 1 4 19 14" xfId="30504"/>
    <cellStyle name="标题 1 4 19 2" xfId="2432"/>
    <cellStyle name="标题 1 4 19 3" xfId="2454"/>
    <cellStyle name="标题 1 4 19 4" xfId="2470"/>
    <cellStyle name="标题 1 4 19 5" xfId="2494"/>
    <cellStyle name="标题 1 4 19 5 10" xfId="27638"/>
    <cellStyle name="标题 1 4 19 5 11" xfId="27641"/>
    <cellStyle name="标题 1 4 19 5 2" xfId="31658"/>
    <cellStyle name="标题 1 4 19 5 2 2" xfId="18511"/>
    <cellStyle name="标题 1 4 19 5 2 2 2" xfId="3703"/>
    <cellStyle name="标题 1 4 19 5 2 2 3" xfId="3708"/>
    <cellStyle name="标题 1 4 19 5 2 3" xfId="18514"/>
    <cellStyle name="标题 1 4 19 5 2 4" xfId="18517"/>
    <cellStyle name="标题 1 4 19 5 2 5" xfId="18520"/>
    <cellStyle name="标题 1 4 19 5 2 6" xfId="18523"/>
    <cellStyle name="标题 1 4 19 5 2 7" xfId="17545"/>
    <cellStyle name="标题 1 4 19 5 2 8" xfId="17548"/>
    <cellStyle name="标题 1 4 19 5 3" xfId="31659"/>
    <cellStyle name="标题 1 4 19 5 4" xfId="31660"/>
    <cellStyle name="标题 1 4 19 5 5" xfId="31661"/>
    <cellStyle name="标题 1 4 19 5 6" xfId="31662"/>
    <cellStyle name="标题 1 4 19 5 6 2" xfId="9387"/>
    <cellStyle name="标题 1 4 19 5 6 3" xfId="31663"/>
    <cellStyle name="标题 1 4 19 5 7" xfId="31665"/>
    <cellStyle name="标题 1 4 19 5 8" xfId="10195"/>
    <cellStyle name="标题 1 4 19 5 9" xfId="10202"/>
    <cellStyle name="标题 1 4 19 6" xfId="31666"/>
    <cellStyle name="标题 1 4 19 6 2" xfId="31667"/>
    <cellStyle name="标题 1 4 19 6 2 2" xfId="10577"/>
    <cellStyle name="标题 1 4 19 6 2 3" xfId="21236"/>
    <cellStyle name="标题 1 4 19 6 3" xfId="31668"/>
    <cellStyle name="标题 1 4 19 6 4" xfId="31669"/>
    <cellStyle name="标题 1 4 19 6 5" xfId="31670"/>
    <cellStyle name="标题 1 4 19 6 6" xfId="31671"/>
    <cellStyle name="标题 1 4 19 6 7" xfId="31672"/>
    <cellStyle name="标题 1 4 19 6 8" xfId="27541"/>
    <cellStyle name="标题 1 4 19 7" xfId="31673"/>
    <cellStyle name="标题 1 4 19 8" xfId="31674"/>
    <cellStyle name="标题 1 4 19 9" xfId="31675"/>
    <cellStyle name="标题 1 4 19 9 2" xfId="28338"/>
    <cellStyle name="标题 1 4 19 9 3" xfId="31676"/>
    <cellStyle name="标题 1 4 2" xfId="31677"/>
    <cellStyle name="标题 1 4 20" xfId="19837"/>
    <cellStyle name="标题 1 4 20 10" xfId="17157"/>
    <cellStyle name="标题 1 4 20 11" xfId="17159"/>
    <cellStyle name="标题 1 4 20 12" xfId="17161"/>
    <cellStyle name="标题 1 4 20 13" xfId="31678"/>
    <cellStyle name="标题 1 4 20 14" xfId="31679"/>
    <cellStyle name="标题 1 4 20 2" xfId="31680"/>
    <cellStyle name="标题 1 4 20 3" xfId="1893"/>
    <cellStyle name="标题 1 4 20 4" xfId="1916"/>
    <cellStyle name="标题 1 4 20 5" xfId="1941"/>
    <cellStyle name="标题 1 4 20 5 10" xfId="28043"/>
    <cellStyle name="标题 1 4 20 5 11" xfId="28046"/>
    <cellStyle name="标题 1 4 20 5 2" xfId="31681"/>
    <cellStyle name="标题 1 4 20 5 2 2" xfId="31682"/>
    <cellStyle name="标题 1 4 20 5 2 2 2" xfId="31683"/>
    <cellStyle name="标题 1 4 20 5 2 2 3" xfId="31684"/>
    <cellStyle name="标题 1 4 20 5 2 3" xfId="31685"/>
    <cellStyle name="标题 1 4 20 5 2 4" xfId="31686"/>
    <cellStyle name="标题 1 4 20 5 2 5" xfId="31687"/>
    <cellStyle name="标题 1 4 20 5 2 6" xfId="31688"/>
    <cellStyle name="标题 1 4 20 5 2 7" xfId="31689"/>
    <cellStyle name="标题 1 4 20 5 2 8" xfId="31690"/>
    <cellStyle name="标题 1 4 20 5 3" xfId="31691"/>
    <cellStyle name="标题 1 4 20 5 4" xfId="31692"/>
    <cellStyle name="标题 1 4 20 5 5" xfId="31693"/>
    <cellStyle name="标题 1 4 20 5 6" xfId="25171"/>
    <cellStyle name="标题 1 4 20 5 6 2" xfId="31695"/>
    <cellStyle name="标题 1 4 20 5 6 3" xfId="31697"/>
    <cellStyle name="标题 1 4 20 5 7" xfId="25173"/>
    <cellStyle name="标题 1 4 20 5 8" xfId="31698"/>
    <cellStyle name="标题 1 4 20 5 9" xfId="31699"/>
    <cellStyle name="标题 1 4 20 6" xfId="1830"/>
    <cellStyle name="标题 1 4 20 6 2" xfId="31700"/>
    <cellStyle name="标题 1 4 20 6 2 2" xfId="31701"/>
    <cellStyle name="标题 1 4 20 6 2 3" xfId="25343"/>
    <cellStyle name="标题 1 4 20 6 3" xfId="31702"/>
    <cellStyle name="标题 1 4 20 6 4" xfId="31703"/>
    <cellStyle name="标题 1 4 20 6 5" xfId="31704"/>
    <cellStyle name="标题 1 4 20 6 6" xfId="25645"/>
    <cellStyle name="标题 1 4 20 6 7" xfId="30482"/>
    <cellStyle name="标题 1 4 20 6 8" xfId="31705"/>
    <cellStyle name="标题 1 4 20 7" xfId="1861"/>
    <cellStyle name="标题 1 4 20 8" xfId="5061"/>
    <cellStyle name="标题 1 4 20 9" xfId="5070"/>
    <cellStyle name="标题 1 4 20 9 2" xfId="28379"/>
    <cellStyle name="标题 1 4 20 9 3" xfId="16050"/>
    <cellStyle name="标题 1 4 3" xfId="31706"/>
    <cellStyle name="标题 1 4 4" xfId="31707"/>
    <cellStyle name="标题 1 4 5" xfId="31708"/>
    <cellStyle name="标题 1 4 6" xfId="31709"/>
    <cellStyle name="标题 1 4 7" xfId="31710"/>
    <cellStyle name="标题 1 4 8" xfId="31711"/>
    <cellStyle name="标题 1 4 9" xfId="31712"/>
    <cellStyle name="标题 1 5" xfId="31713"/>
    <cellStyle name="标题 1 5 10" xfId="14172"/>
    <cellStyle name="标题 1 5 11" xfId="31715"/>
    <cellStyle name="标题 1 5 12" xfId="31717"/>
    <cellStyle name="标题 1 5 13" xfId="31719"/>
    <cellStyle name="标题 1 5 14" xfId="31721"/>
    <cellStyle name="标题 1 5 2" xfId="15294"/>
    <cellStyle name="标题 1 5 3" xfId="4172"/>
    <cellStyle name="标题 1 5 4" xfId="4182"/>
    <cellStyle name="标题 1 5 5" xfId="15298"/>
    <cellStyle name="标题 1 5 6" xfId="17503"/>
    <cellStyle name="标题 1 5 7" xfId="17508"/>
    <cellStyle name="标题 1 5 8" xfId="23471"/>
    <cellStyle name="标题 1 5 9" xfId="23480"/>
    <cellStyle name="标题 1 6" xfId="25188"/>
    <cellStyle name="标题 1 6 10" xfId="31722"/>
    <cellStyle name="标题 1 6 11" xfId="31723"/>
    <cellStyle name="标题 1 6 12" xfId="31724"/>
    <cellStyle name="标题 1 6 13" xfId="31725"/>
    <cellStyle name="标题 1 6 14" xfId="31727"/>
    <cellStyle name="标题 1 6 2" xfId="25190"/>
    <cellStyle name="标题 1 6 3" xfId="25192"/>
    <cellStyle name="标题 1 6 4" xfId="31728"/>
    <cellStyle name="标题 1 6 5" xfId="31729"/>
    <cellStyle name="标题 1 6 6" xfId="31730"/>
    <cellStyle name="标题 1 6 7" xfId="31731"/>
    <cellStyle name="标题 1 6 8" xfId="23492"/>
    <cellStyle name="标题 1 6 9" xfId="23499"/>
    <cellStyle name="标题 1 7" xfId="25195"/>
    <cellStyle name="标题 1 8" xfId="25198"/>
    <cellStyle name="标题 1 9" xfId="25200"/>
    <cellStyle name="标题 10" xfId="31732"/>
    <cellStyle name="标题 11" xfId="28791"/>
    <cellStyle name="标题 12" xfId="28793"/>
    <cellStyle name="标题 13" xfId="31733"/>
    <cellStyle name="标题 14" xfId="12940"/>
    <cellStyle name="标题 15" xfId="12945"/>
    <cellStyle name="标题 15 10" xfId="31734"/>
    <cellStyle name="标题 15 11" xfId="31737"/>
    <cellStyle name="标题 15 12" xfId="31741"/>
    <cellStyle name="标题 15 13" xfId="31745"/>
    <cellStyle name="标题 15 14" xfId="31748"/>
    <cellStyle name="标题 15 2" xfId="31752"/>
    <cellStyle name="标题 15 3" xfId="31755"/>
    <cellStyle name="标题 15 4" xfId="31758"/>
    <cellStyle name="标题 15 5" xfId="31761"/>
    <cellStyle name="标题 15 5 10" xfId="20448"/>
    <cellStyle name="标题 15 5 11" xfId="2350"/>
    <cellStyle name="标题 15 5 2" xfId="31763"/>
    <cellStyle name="标题 15 5 2 2" xfId="14316"/>
    <cellStyle name="标题 15 5 2 2 2" xfId="23774"/>
    <cellStyle name="标题 15 5 2 2 3" xfId="23779"/>
    <cellStyle name="标题 15 5 2 3" xfId="27233"/>
    <cellStyle name="标题 15 5 2 4" xfId="7754"/>
    <cellStyle name="标题 15 5 2 5" xfId="7781"/>
    <cellStyle name="标题 15 5 2 6" xfId="7787"/>
    <cellStyle name="标题 15 5 2 7" xfId="7793"/>
    <cellStyle name="标题 15 5 2 8" xfId="7798"/>
    <cellStyle name="标题 15 5 3" xfId="31765"/>
    <cellStyle name="标题 15 5 4" xfId="31767"/>
    <cellStyle name="标题 15 5 5" xfId="5365"/>
    <cellStyle name="标题 15 5 6" xfId="5383"/>
    <cellStyle name="标题 15 5 6 2" xfId="15002"/>
    <cellStyle name="标题 15 5 6 3" xfId="15175"/>
    <cellStyle name="标题 15 5 7" xfId="12516"/>
    <cellStyle name="标题 15 5 8" xfId="12526"/>
    <cellStyle name="标题 15 5 9" xfId="12536"/>
    <cellStyle name="标题 15 6" xfId="24360"/>
    <cellStyle name="标题 15 6 2" xfId="747"/>
    <cellStyle name="标题 15 6 2 2" xfId="22459"/>
    <cellStyle name="标题 15 6 2 3" xfId="22100"/>
    <cellStyle name="标题 15 6 3" xfId="1273"/>
    <cellStyle name="标题 15 6 4" xfId="6101"/>
    <cellStyle name="标题 15 6 5" xfId="6144"/>
    <cellStyle name="标题 15 6 6" xfId="6154"/>
    <cellStyle name="标题 15 6 7" xfId="20263"/>
    <cellStyle name="标题 15 6 8" xfId="20268"/>
    <cellStyle name="标题 15 7" xfId="24365"/>
    <cellStyle name="标题 15 8" xfId="24370"/>
    <cellStyle name="标题 15 9" xfId="24374"/>
    <cellStyle name="标题 15 9 2" xfId="31770"/>
    <cellStyle name="标题 15 9 3" xfId="31773"/>
    <cellStyle name="标题 16" xfId="12950"/>
    <cellStyle name="标题 17" xfId="12954"/>
    <cellStyle name="标题 18" xfId="12959"/>
    <cellStyle name="标题 19" xfId="26425"/>
    <cellStyle name="标题 19 10" xfId="19304"/>
    <cellStyle name="标题 19 11" xfId="19306"/>
    <cellStyle name="标题 19 12" xfId="24881"/>
    <cellStyle name="标题 19 13" xfId="24883"/>
    <cellStyle name="标题 19 14" xfId="24885"/>
    <cellStyle name="标题 19 2" xfId="26122"/>
    <cellStyle name="标题 19 3" xfId="26126"/>
    <cellStyle name="标题 19 4" xfId="31776"/>
    <cellStyle name="标题 19 5" xfId="31778"/>
    <cellStyle name="标题 19 5 10" xfId="25287"/>
    <cellStyle name="标题 19 5 11" xfId="2758"/>
    <cellStyle name="标题 19 5 2" xfId="25062"/>
    <cellStyle name="标题 19 5 2 2" xfId="20436"/>
    <cellStyle name="标题 19 5 2 2 2" xfId="31780"/>
    <cellStyle name="标题 19 5 2 2 3" xfId="31782"/>
    <cellStyle name="标题 19 5 2 3" xfId="20438"/>
    <cellStyle name="标题 19 5 2 4" xfId="31783"/>
    <cellStyle name="标题 19 5 2 5" xfId="31784"/>
    <cellStyle name="标题 19 5 2 6" xfId="31785"/>
    <cellStyle name="标题 19 5 2 7" xfId="31786"/>
    <cellStyle name="标题 19 5 2 8" xfId="31787"/>
    <cellStyle name="标题 19 5 3" xfId="25066"/>
    <cellStyle name="标题 19 5 4" xfId="31789"/>
    <cellStyle name="标题 19 5 5" xfId="31790"/>
    <cellStyle name="标题 19 5 6" xfId="31791"/>
    <cellStyle name="标题 19 5 6 2" xfId="31792"/>
    <cellStyle name="标题 19 5 6 3" xfId="31793"/>
    <cellStyle name="标题 19 5 7" xfId="31794"/>
    <cellStyle name="标题 19 5 8" xfId="31795"/>
    <cellStyle name="标题 19 5 9" xfId="20083"/>
    <cellStyle name="标题 19 6" xfId="10003"/>
    <cellStyle name="标题 19 6 2" xfId="11760"/>
    <cellStyle name="标题 19 6 2 2" xfId="20485"/>
    <cellStyle name="标题 19 6 2 3" xfId="20488"/>
    <cellStyle name="标题 19 6 3" xfId="11769"/>
    <cellStyle name="标题 19 6 4" xfId="10923"/>
    <cellStyle name="标题 19 6 5" xfId="10055"/>
    <cellStyle name="标题 19 6 6" xfId="10062"/>
    <cellStyle name="标题 19 6 7" xfId="2081"/>
    <cellStyle name="标题 19 6 8" xfId="20218"/>
    <cellStyle name="标题 19 7" xfId="9789"/>
    <cellStyle name="标题 19 8" xfId="9804"/>
    <cellStyle name="标题 19 9" xfId="9528"/>
    <cellStyle name="标题 19 9 2" xfId="31796"/>
    <cellStyle name="标题 19 9 3" xfId="31797"/>
    <cellStyle name="标题 2 10" xfId="15691"/>
    <cellStyle name="标题 2 11" xfId="15693"/>
    <cellStyle name="标题 2 12" xfId="31798"/>
    <cellStyle name="标题 2 12 10" xfId="26895"/>
    <cellStyle name="标题 2 12 11" xfId="26897"/>
    <cellStyle name="标题 2 12 12" xfId="26899"/>
    <cellStyle name="标题 2 12 13" xfId="26901"/>
    <cellStyle name="标题 2 12 14" xfId="26903"/>
    <cellStyle name="标题 2 12 2" xfId="27505"/>
    <cellStyle name="标题 2 12 3" xfId="27507"/>
    <cellStyle name="标题 2 12 4" xfId="31799"/>
    <cellStyle name="标题 2 12 5" xfId="31800"/>
    <cellStyle name="标题 2 12 5 10" xfId="31801"/>
    <cellStyle name="标题 2 12 5 11" xfId="31802"/>
    <cellStyle name="标题 2 12 5 2" xfId="31803"/>
    <cellStyle name="标题 2 12 5 2 2" xfId="31804"/>
    <cellStyle name="标题 2 12 5 2 2 2" xfId="31805"/>
    <cellStyle name="标题 2 12 5 2 2 3" xfId="31807"/>
    <cellStyle name="标题 2 12 5 2 3" xfId="31809"/>
    <cellStyle name="标题 2 12 5 2 4" xfId="31810"/>
    <cellStyle name="标题 2 12 5 2 5" xfId="31811"/>
    <cellStyle name="标题 2 12 5 2 6" xfId="18050"/>
    <cellStyle name="标题 2 12 5 2 7" xfId="18054"/>
    <cellStyle name="标题 2 12 5 2 8" xfId="30719"/>
    <cellStyle name="标题 2 12 5 3" xfId="31812"/>
    <cellStyle name="标题 2 12 5 4" xfId="31813"/>
    <cellStyle name="标题 2 12 5 5" xfId="31814"/>
    <cellStyle name="标题 2 12 5 6" xfId="31816"/>
    <cellStyle name="标题 2 12 5 6 2" xfId="31818"/>
    <cellStyle name="标题 2 12 5 6 3" xfId="31820"/>
    <cellStyle name="标题 2 12 5 7" xfId="7070"/>
    <cellStyle name="标题 2 12 5 8" xfId="7074"/>
    <cellStyle name="标题 2 12 5 9" xfId="31822"/>
    <cellStyle name="标题 2 12 6" xfId="31825"/>
    <cellStyle name="标题 2 12 6 2" xfId="31827"/>
    <cellStyle name="标题 2 12 6 2 2" xfId="31829"/>
    <cellStyle name="标题 2 12 6 2 3" xfId="31830"/>
    <cellStyle name="标题 2 12 6 3" xfId="31831"/>
    <cellStyle name="标题 2 12 6 4" xfId="31832"/>
    <cellStyle name="标题 2 12 6 5" xfId="31833"/>
    <cellStyle name="标题 2 12 6 6" xfId="21169"/>
    <cellStyle name="标题 2 12 6 7" xfId="21171"/>
    <cellStyle name="标题 2 12 6 8" xfId="21173"/>
    <cellStyle name="标题 2 12 7" xfId="31835"/>
    <cellStyle name="标题 2 12 8" xfId="31837"/>
    <cellStyle name="标题 2 12 9" xfId="31839"/>
    <cellStyle name="标题 2 12 9 2" xfId="23041"/>
    <cellStyle name="标题 2 12 9 3" xfId="23045"/>
    <cellStyle name="标题 2 13" xfId="31840"/>
    <cellStyle name="标题 2 14" xfId="19200"/>
    <cellStyle name="标题 2 15" xfId="19204"/>
    <cellStyle name="标题 2 16" xfId="31842"/>
    <cellStyle name="标题 2 16 10" xfId="11637"/>
    <cellStyle name="标题 2 16 11" xfId="11640"/>
    <cellStyle name="标题 2 16 12" xfId="11643"/>
    <cellStyle name="标题 2 16 13" xfId="8361"/>
    <cellStyle name="标题 2 16 14" xfId="31843"/>
    <cellStyle name="标题 2 16 2" xfId="31844"/>
    <cellStyle name="标题 2 16 3" xfId="29184"/>
    <cellStyle name="标题 2 16 4" xfId="29187"/>
    <cellStyle name="标题 2 16 5" xfId="29190"/>
    <cellStyle name="标题 2 16 5 10" xfId="1261"/>
    <cellStyle name="标题 2 16 5 11" xfId="31845"/>
    <cellStyle name="标题 2 16 5 2" xfId="21610"/>
    <cellStyle name="标题 2 16 5 2 2" xfId="5441"/>
    <cellStyle name="标题 2 16 5 2 2 2" xfId="1439"/>
    <cellStyle name="标题 2 16 5 2 2 3" xfId="1471"/>
    <cellStyle name="标题 2 16 5 2 3" xfId="5457"/>
    <cellStyle name="标题 2 16 5 2 4" xfId="5470"/>
    <cellStyle name="标题 2 16 5 2 5" xfId="5479"/>
    <cellStyle name="标题 2 16 5 2 6" xfId="6855"/>
    <cellStyle name="标题 2 16 5 2 7" xfId="2677"/>
    <cellStyle name="标题 2 16 5 2 8" xfId="3270"/>
    <cellStyle name="标题 2 16 5 3" xfId="31846"/>
    <cellStyle name="标题 2 16 5 4" xfId="31847"/>
    <cellStyle name="标题 2 16 5 5" xfId="25874"/>
    <cellStyle name="标题 2 16 5 6" xfId="31850"/>
    <cellStyle name="标题 2 16 5 6 2" xfId="11048"/>
    <cellStyle name="标题 2 16 5 6 3" xfId="11052"/>
    <cellStyle name="标题 2 16 5 7" xfId="31853"/>
    <cellStyle name="标题 2 16 5 8" xfId="31856"/>
    <cellStyle name="标题 2 16 5 9" xfId="31860"/>
    <cellStyle name="标题 2 16 6" xfId="29193"/>
    <cellStyle name="标题 2 16 6 2" xfId="31862"/>
    <cellStyle name="标题 2 16 6 2 2" xfId="5727"/>
    <cellStyle name="标题 2 16 6 2 3" xfId="5748"/>
    <cellStyle name="标题 2 16 6 3" xfId="31863"/>
    <cellStyle name="标题 2 16 6 4" xfId="31864"/>
    <cellStyle name="标题 2 16 6 5" xfId="31865"/>
    <cellStyle name="标题 2 16 6 6" xfId="31866"/>
    <cellStyle name="标题 2 16 6 7" xfId="31867"/>
    <cellStyle name="标题 2 16 6 8" xfId="31869"/>
    <cellStyle name="标题 2 16 7" xfId="29196"/>
    <cellStyle name="标题 2 16 8" xfId="29198"/>
    <cellStyle name="标题 2 16 9" xfId="29200"/>
    <cellStyle name="标题 2 16 9 2" xfId="13533"/>
    <cellStyle name="标题 2 16 9 3" xfId="13535"/>
    <cellStyle name="标题 2 17" xfId="31870"/>
    <cellStyle name="标题 2 17 10" xfId="30686"/>
    <cellStyle name="标题 2 17 11" xfId="30690"/>
    <cellStyle name="标题 2 17 12" xfId="30692"/>
    <cellStyle name="标题 2 17 13" xfId="30694"/>
    <cellStyle name="标题 2 17 14" xfId="30696"/>
    <cellStyle name="标题 2 17 2" xfId="27587"/>
    <cellStyle name="标题 2 17 3" xfId="27590"/>
    <cellStyle name="标题 2 17 4" xfId="29227"/>
    <cellStyle name="标题 2 17 5" xfId="29229"/>
    <cellStyle name="标题 2 17 5 10" xfId="1933"/>
    <cellStyle name="标题 2 17 5 11" xfId="30884"/>
    <cellStyle name="标题 2 17 5 2" xfId="7656"/>
    <cellStyle name="标题 2 17 5 2 2" xfId="7618"/>
    <cellStyle name="标题 2 17 5 2 2 2" xfId="563"/>
    <cellStyle name="标题 2 17 5 2 2 3" xfId="408"/>
    <cellStyle name="标题 2 17 5 2 3" xfId="7630"/>
    <cellStyle name="标题 2 17 5 2 4" xfId="8929"/>
    <cellStyle name="标题 2 17 5 2 5" xfId="916"/>
    <cellStyle name="标题 2 17 5 2 6" xfId="955"/>
    <cellStyle name="标题 2 17 5 2 7" xfId="991"/>
    <cellStyle name="标题 2 17 5 2 8" xfId="1013"/>
    <cellStyle name="标题 2 17 5 3" xfId="31871"/>
    <cellStyle name="标题 2 17 5 4" xfId="31872"/>
    <cellStyle name="标题 2 17 5 5" xfId="31873"/>
    <cellStyle name="标题 2 17 5 6" xfId="31874"/>
    <cellStyle name="标题 2 17 5 6 2" xfId="31875"/>
    <cellStyle name="标题 2 17 5 6 3" xfId="18612"/>
    <cellStyle name="标题 2 17 5 7" xfId="31876"/>
    <cellStyle name="标题 2 17 5 8" xfId="31877"/>
    <cellStyle name="标题 2 17 5 9" xfId="31879"/>
    <cellStyle name="标题 2 17 6" xfId="29232"/>
    <cellStyle name="标题 2 17 6 2" xfId="31880"/>
    <cellStyle name="标题 2 17 6 2 2" xfId="31884"/>
    <cellStyle name="标题 2 17 6 2 3" xfId="18630"/>
    <cellStyle name="标题 2 17 6 3" xfId="31885"/>
    <cellStyle name="标题 2 17 6 4" xfId="31886"/>
    <cellStyle name="标题 2 17 6 5" xfId="31887"/>
    <cellStyle name="标题 2 17 6 6" xfId="21913"/>
    <cellStyle name="标题 2 17 6 7" xfId="21915"/>
    <cellStyle name="标题 2 17 6 8" xfId="21917"/>
    <cellStyle name="标题 2 17 7" xfId="29235"/>
    <cellStyle name="标题 2 17 8" xfId="29238"/>
    <cellStyle name="标题 2 17 9" xfId="29242"/>
    <cellStyle name="标题 2 17 9 2" xfId="14406"/>
    <cellStyle name="标题 2 17 9 3" xfId="14408"/>
    <cellStyle name="标题 2 18" xfId="31888"/>
    <cellStyle name="标题 2 18 10" xfId="31889"/>
    <cellStyle name="标题 2 18 11" xfId="17839"/>
    <cellStyle name="标题 2 18 12" xfId="23275"/>
    <cellStyle name="标题 2 18 13" xfId="15211"/>
    <cellStyle name="标题 2 18 14" xfId="15238"/>
    <cellStyle name="标题 2 18 2" xfId="31891"/>
    <cellStyle name="标题 2 18 3" xfId="29249"/>
    <cellStyle name="标题 2 18 4" xfId="29251"/>
    <cellStyle name="标题 2 18 5" xfId="29253"/>
    <cellStyle name="标题 2 18 5 10" xfId="7311"/>
    <cellStyle name="标题 2 18 5 11" xfId="24579"/>
    <cellStyle name="标题 2 18 5 2" xfId="3881"/>
    <cellStyle name="标题 2 18 5 2 2" xfId="31893"/>
    <cellStyle name="标题 2 18 5 2 2 2" xfId="31895"/>
    <cellStyle name="标题 2 18 5 2 2 3" xfId="31897"/>
    <cellStyle name="标题 2 18 5 2 3" xfId="7683"/>
    <cellStyle name="标题 2 18 5 2 4" xfId="9668"/>
    <cellStyle name="标题 2 18 5 2 5" xfId="9673"/>
    <cellStyle name="标题 2 18 5 2 6" xfId="17885"/>
    <cellStyle name="标题 2 18 5 2 7" xfId="9064"/>
    <cellStyle name="标题 2 18 5 2 8" xfId="9072"/>
    <cellStyle name="标题 2 18 5 3" xfId="3889"/>
    <cellStyle name="标题 2 18 5 4" xfId="17890"/>
    <cellStyle name="标题 2 18 5 5" xfId="4565"/>
    <cellStyle name="标题 2 18 5 6" xfId="4590"/>
    <cellStyle name="标题 2 18 5 6 2" xfId="31899"/>
    <cellStyle name="标题 2 18 5 6 3" xfId="14664"/>
    <cellStyle name="标题 2 18 5 7" xfId="21220"/>
    <cellStyle name="标题 2 18 5 8" xfId="21223"/>
    <cellStyle name="标题 2 18 5 9" xfId="21226"/>
    <cellStyle name="标题 2 18 6" xfId="29255"/>
    <cellStyle name="标题 2 18 6 2" xfId="4108"/>
    <cellStyle name="标题 2 18 6 2 2" xfId="31901"/>
    <cellStyle name="标题 2 18 6 2 3" xfId="17928"/>
    <cellStyle name="标题 2 18 6 3" xfId="3750"/>
    <cellStyle name="标题 2 18 6 4" xfId="31902"/>
    <cellStyle name="标题 2 18 6 5" xfId="31903"/>
    <cellStyle name="标题 2 18 6 6" xfId="31904"/>
    <cellStyle name="标题 2 18 6 7" xfId="31906"/>
    <cellStyle name="标题 2 18 6 8" xfId="31908"/>
    <cellStyle name="标题 2 18 7" xfId="29257"/>
    <cellStyle name="标题 2 18 8" xfId="29259"/>
    <cellStyle name="标题 2 18 9" xfId="29262"/>
    <cellStyle name="标题 2 18 9 2" xfId="31909"/>
    <cellStyle name="标题 2 18 9 3" xfId="25532"/>
    <cellStyle name="标题 2 19" xfId="15057"/>
    <cellStyle name="标题 2 2" xfId="6740"/>
    <cellStyle name="标题 2 2 10" xfId="18579"/>
    <cellStyle name="标题 2 2 11" xfId="18584"/>
    <cellStyle name="标题 2 2 12" xfId="18588"/>
    <cellStyle name="标题 2 2 13" xfId="5368"/>
    <cellStyle name="标题 2 2 14" xfId="5386"/>
    <cellStyle name="标题 2 2 15" xfId="18646"/>
    <cellStyle name="标题 2 2 16" xfId="12519"/>
    <cellStyle name="标题 2 2 17" xfId="12531"/>
    <cellStyle name="标题 2 2 17 10" xfId="31910"/>
    <cellStyle name="标题 2 2 17 11" xfId="3665"/>
    <cellStyle name="标题 2 2 17 12" xfId="3674"/>
    <cellStyle name="标题 2 2 17 13" xfId="3681"/>
    <cellStyle name="标题 2 2 17 14" xfId="2559"/>
    <cellStyle name="标题 2 2 17 2" xfId="18650"/>
    <cellStyle name="标题 2 2 17 3" xfId="14170"/>
    <cellStyle name="标题 2 2 17 4" xfId="31714"/>
    <cellStyle name="标题 2 2 17 5" xfId="31716"/>
    <cellStyle name="标题 2 2 17 5 10" xfId="31911"/>
    <cellStyle name="标题 2 2 17 5 11" xfId="31912"/>
    <cellStyle name="标题 2 2 17 5 2" xfId="31913"/>
    <cellStyle name="标题 2 2 17 5 2 2" xfId="8215"/>
    <cellStyle name="标题 2 2 17 5 2 2 2" xfId="31914"/>
    <cellStyle name="标题 2 2 17 5 2 2 3" xfId="31915"/>
    <cellStyle name="标题 2 2 17 5 2 3" xfId="12084"/>
    <cellStyle name="标题 2 2 17 5 2 4" xfId="12088"/>
    <cellStyle name="标题 2 2 17 5 2 5" xfId="12092"/>
    <cellStyle name="标题 2 2 17 5 2 6" xfId="31916"/>
    <cellStyle name="标题 2 2 17 5 2 7" xfId="31917"/>
    <cellStyle name="标题 2 2 17 5 2 8" xfId="31918"/>
    <cellStyle name="标题 2 2 17 5 3" xfId="31920"/>
    <cellStyle name="标题 2 2 17 5 4" xfId="31922"/>
    <cellStyle name="标题 2 2 17 5 5" xfId="31923"/>
    <cellStyle name="标题 2 2 17 5 6" xfId="31924"/>
    <cellStyle name="标题 2 2 17 5 6 2" xfId="31925"/>
    <cellStyle name="标题 2 2 17 5 6 3" xfId="31926"/>
    <cellStyle name="标题 2 2 17 5 7" xfId="9391"/>
    <cellStyle name="标题 2 2 17 5 8" xfId="9404"/>
    <cellStyle name="标题 2 2 17 5 9" xfId="226"/>
    <cellStyle name="标题 2 2 17 6" xfId="31718"/>
    <cellStyle name="标题 2 2 17 6 2" xfId="1954"/>
    <cellStyle name="标题 2 2 17 6 2 2" xfId="6046"/>
    <cellStyle name="标题 2 2 17 6 2 3" xfId="6054"/>
    <cellStyle name="标题 2 2 17 6 3" xfId="1841"/>
    <cellStyle name="标题 2 2 17 6 4" xfId="31927"/>
    <cellStyle name="标题 2 2 17 6 5" xfId="31928"/>
    <cellStyle name="标题 2 2 17 6 6" xfId="31929"/>
    <cellStyle name="标题 2 2 17 6 7" xfId="7841"/>
    <cellStyle name="标题 2 2 17 6 8" xfId="7854"/>
    <cellStyle name="标题 2 2 17 7" xfId="31720"/>
    <cellStyle name="标题 2 2 17 8" xfId="31930"/>
    <cellStyle name="标题 2 2 17 9" xfId="31931"/>
    <cellStyle name="标题 2 2 17 9 2" xfId="18980"/>
    <cellStyle name="标题 2 2 17 9 3" xfId="7581"/>
    <cellStyle name="标题 2 2 18" xfId="31933"/>
    <cellStyle name="标题 2 2 18 10" xfId="28230"/>
    <cellStyle name="标题 2 2 18 11" xfId="5738"/>
    <cellStyle name="标题 2 2 18 12" xfId="5753"/>
    <cellStyle name="标题 2 2 18 13" xfId="5764"/>
    <cellStyle name="标题 2 2 18 14" xfId="5775"/>
    <cellStyle name="标题 2 2 18 2" xfId="12544"/>
    <cellStyle name="标题 2 2 18 3" xfId="12581"/>
    <cellStyle name="标题 2 2 18 4" xfId="12586"/>
    <cellStyle name="标题 2 2 18 5" xfId="12590"/>
    <cellStyle name="标题 2 2 18 5 10" xfId="23660"/>
    <cellStyle name="标题 2 2 18 5 11" xfId="23663"/>
    <cellStyle name="标题 2 2 18 5 2" xfId="31934"/>
    <cellStyle name="标题 2 2 18 5 2 2" xfId="12786"/>
    <cellStyle name="标题 2 2 18 5 2 2 2" xfId="25164"/>
    <cellStyle name="标题 2 2 18 5 2 2 3" xfId="31021"/>
    <cellStyle name="标题 2 2 18 5 2 3" xfId="12791"/>
    <cellStyle name="标题 2 2 18 5 2 4" xfId="12796"/>
    <cellStyle name="标题 2 2 18 5 2 5" xfId="12801"/>
    <cellStyle name="标题 2 2 18 5 2 6" xfId="12807"/>
    <cellStyle name="标题 2 2 18 5 2 7" xfId="31035"/>
    <cellStyle name="标题 2 2 18 5 2 8" xfId="31037"/>
    <cellStyle name="标题 2 2 18 5 3" xfId="31935"/>
    <cellStyle name="标题 2 2 18 5 4" xfId="31936"/>
    <cellStyle name="标题 2 2 18 5 5" xfId="31937"/>
    <cellStyle name="标题 2 2 18 5 6" xfId="31938"/>
    <cellStyle name="标题 2 2 18 5 6 2" xfId="31939"/>
    <cellStyle name="标题 2 2 18 5 6 3" xfId="31940"/>
    <cellStyle name="标题 2 2 18 5 7" xfId="4721"/>
    <cellStyle name="标题 2 2 18 5 8" xfId="4727"/>
    <cellStyle name="标题 2 2 18 5 9" xfId="4735"/>
    <cellStyle name="标题 2 2 18 6" xfId="12597"/>
    <cellStyle name="标题 2 2 18 6 2" xfId="6866"/>
    <cellStyle name="标题 2 2 18 6 2 2" xfId="27659"/>
    <cellStyle name="标题 2 2 18 6 2 3" xfId="27661"/>
    <cellStyle name="标题 2 2 18 6 3" xfId="2327"/>
    <cellStyle name="标题 2 2 18 6 4" xfId="20302"/>
    <cellStyle name="标题 2 2 18 6 5" xfId="20308"/>
    <cellStyle name="标题 2 2 18 6 6" xfId="20314"/>
    <cellStyle name="标题 2 2 18 6 7" xfId="4443"/>
    <cellStyle name="标题 2 2 18 6 8" xfId="4459"/>
    <cellStyle name="标题 2 2 18 7" xfId="12603"/>
    <cellStyle name="标题 2 2 18 8" xfId="23463"/>
    <cellStyle name="标题 2 2 18 9" xfId="23467"/>
    <cellStyle name="标题 2 2 18 9 2" xfId="15949"/>
    <cellStyle name="标题 2 2 18 9 3" xfId="15953"/>
    <cellStyle name="标题 2 2 19" xfId="30933"/>
    <cellStyle name="标题 2 2 19 10" xfId="31941"/>
    <cellStyle name="标题 2 2 19 11" xfId="10683"/>
    <cellStyle name="标题 2 2 19 12" xfId="10687"/>
    <cellStyle name="标题 2 2 19 13" xfId="10690"/>
    <cellStyle name="标题 2 2 19 14" xfId="10693"/>
    <cellStyle name="标题 2 2 19 2" xfId="12613"/>
    <cellStyle name="标题 2 2 19 3" xfId="12636"/>
    <cellStyle name="标题 2 2 19 4" xfId="12643"/>
    <cellStyle name="标题 2 2 19 5" xfId="12649"/>
    <cellStyle name="标题 2 2 19 5 10" xfId="24927"/>
    <cellStyle name="标题 2 2 19 5 11" xfId="24931"/>
    <cellStyle name="标题 2 2 19 5 2" xfId="31942"/>
    <cellStyle name="标题 2 2 19 5 2 2" xfId="7637"/>
    <cellStyle name="标题 2 2 19 5 2 2 2" xfId="5022"/>
    <cellStyle name="标题 2 2 19 5 2 2 3" xfId="5025"/>
    <cellStyle name="标题 2 2 19 5 2 3" xfId="7639"/>
    <cellStyle name="标题 2 2 19 5 2 4" xfId="7641"/>
    <cellStyle name="标题 2 2 19 5 2 5" xfId="6499"/>
    <cellStyle name="标题 2 2 19 5 2 6" xfId="5864"/>
    <cellStyle name="标题 2 2 19 5 2 7" xfId="31944"/>
    <cellStyle name="标题 2 2 19 5 2 8" xfId="31946"/>
    <cellStyle name="标题 2 2 19 5 3" xfId="31947"/>
    <cellStyle name="标题 2 2 19 5 4" xfId="31948"/>
    <cellStyle name="标题 2 2 19 5 5" xfId="31949"/>
    <cellStyle name="标题 2 2 19 5 6" xfId="27744"/>
    <cellStyle name="标题 2 2 19 5 6 2" xfId="27746"/>
    <cellStyle name="标题 2 2 19 5 6 3" xfId="27748"/>
    <cellStyle name="标题 2 2 19 5 7" xfId="10982"/>
    <cellStyle name="标题 2 2 19 5 8" xfId="10992"/>
    <cellStyle name="标题 2 2 19 5 9" xfId="11002"/>
    <cellStyle name="标题 2 2 19 6" xfId="12656"/>
    <cellStyle name="标题 2 2 19 6 2" xfId="7008"/>
    <cellStyle name="标题 2 2 19 6 2 2" xfId="7696"/>
    <cellStyle name="标题 2 2 19 6 2 3" xfId="7699"/>
    <cellStyle name="标题 2 2 19 6 3" xfId="2770"/>
    <cellStyle name="标题 2 2 19 6 4" xfId="31951"/>
    <cellStyle name="标题 2 2 19 6 5" xfId="31953"/>
    <cellStyle name="标题 2 2 19 6 6" xfId="31955"/>
    <cellStyle name="标题 2 2 19 6 7" xfId="13267"/>
    <cellStyle name="标题 2 2 19 6 8" xfId="11203"/>
    <cellStyle name="标题 2 2 19 7" xfId="31957"/>
    <cellStyle name="标题 2 2 19 8" xfId="31959"/>
    <cellStyle name="标题 2 2 19 9" xfId="31961"/>
    <cellStyle name="标题 2 2 19 9 2" xfId="18107"/>
    <cellStyle name="标题 2 2 19 9 3" xfId="18110"/>
    <cellStyle name="标题 2 2 2" xfId="8036"/>
    <cellStyle name="标题 2 2 2 10" xfId="31341"/>
    <cellStyle name="标题 2 2 2 11" xfId="19903"/>
    <cellStyle name="标题 2 2 2 12" xfId="19907"/>
    <cellStyle name="标题 2 2 2 13" xfId="31962"/>
    <cellStyle name="标题 2 2 2 14" xfId="31963"/>
    <cellStyle name="标题 2 2 2 2" xfId="7582"/>
    <cellStyle name="标题 2 2 2 3" xfId="7395"/>
    <cellStyle name="标题 2 2 2 4" xfId="31964"/>
    <cellStyle name="标题 2 2 2 5" xfId="26038"/>
    <cellStyle name="标题 2 2 2 6" xfId="26041"/>
    <cellStyle name="标题 2 2 2 7" xfId="26044"/>
    <cellStyle name="标题 2 2 2 8" xfId="26046"/>
    <cellStyle name="标题 2 2 2 9" xfId="26048"/>
    <cellStyle name="标题 2 2 20" xfId="18647"/>
    <cellStyle name="标题 2 2 20 10" xfId="21910"/>
    <cellStyle name="标题 2 2 20 11" xfId="698"/>
    <cellStyle name="标题 2 2 20 12" xfId="732"/>
    <cellStyle name="标题 2 2 20 13" xfId="756"/>
    <cellStyle name="标题 2 2 20 14" xfId="1282"/>
    <cellStyle name="标题 2 2 20 2" xfId="31965"/>
    <cellStyle name="标题 2 2 20 3" xfId="31966"/>
    <cellStyle name="标题 2 2 20 4" xfId="31967"/>
    <cellStyle name="标题 2 2 20 5" xfId="31968"/>
    <cellStyle name="标题 2 2 20 5 10" xfId="28172"/>
    <cellStyle name="标题 2 2 20 5 11" xfId="28180"/>
    <cellStyle name="标题 2 2 20 5 2" xfId="31452"/>
    <cellStyle name="标题 2 2 20 5 2 2" xfId="31969"/>
    <cellStyle name="标题 2 2 20 5 2 2 2" xfId="31970"/>
    <cellStyle name="标题 2 2 20 5 2 2 3" xfId="31971"/>
    <cellStyle name="标题 2 2 20 5 2 3" xfId="31972"/>
    <cellStyle name="标题 2 2 20 5 2 4" xfId="31973"/>
    <cellStyle name="标题 2 2 20 5 2 5" xfId="31974"/>
    <cellStyle name="标题 2 2 20 5 2 6" xfId="31975"/>
    <cellStyle name="标题 2 2 20 5 2 7" xfId="31976"/>
    <cellStyle name="标题 2 2 20 5 2 8" xfId="26173"/>
    <cellStyle name="标题 2 2 20 5 3" xfId="31977"/>
    <cellStyle name="标题 2 2 20 5 4" xfId="31978"/>
    <cellStyle name="标题 2 2 20 5 5" xfId="31979"/>
    <cellStyle name="标题 2 2 20 5 6" xfId="31980"/>
    <cellStyle name="标题 2 2 20 5 6 2" xfId="31981"/>
    <cellStyle name="标题 2 2 20 5 6 3" xfId="24657"/>
    <cellStyle name="标题 2 2 20 5 7" xfId="3963"/>
    <cellStyle name="标题 2 2 20 5 8" xfId="3988"/>
    <cellStyle name="标题 2 2 20 5 9" xfId="4920"/>
    <cellStyle name="标题 2 2 20 6" xfId="31982"/>
    <cellStyle name="标题 2 2 20 6 2" xfId="7245"/>
    <cellStyle name="标题 2 2 20 6 2 2" xfId="31983"/>
    <cellStyle name="标题 2 2 20 6 2 3" xfId="6262"/>
    <cellStyle name="标题 2 2 20 6 3" xfId="7256"/>
    <cellStyle name="标题 2 2 20 6 4" xfId="31984"/>
    <cellStyle name="标题 2 2 20 6 5" xfId="31985"/>
    <cellStyle name="标题 2 2 20 6 6" xfId="31986"/>
    <cellStyle name="标题 2 2 20 6 7" xfId="2959"/>
    <cellStyle name="标题 2 2 20 6 8" xfId="2980"/>
    <cellStyle name="标题 2 2 20 7" xfId="31987"/>
    <cellStyle name="标题 2 2 20 8" xfId="31988"/>
    <cellStyle name="标题 2 2 20 9" xfId="31989"/>
    <cellStyle name="标题 2 2 20 9 2" xfId="31990"/>
    <cellStyle name="标题 2 2 20 9 3" xfId="31993"/>
    <cellStyle name="标题 2 2 3" xfId="8041"/>
    <cellStyle name="标题 2 2 3 10" xfId="1937"/>
    <cellStyle name="标题 2 2 3 11" xfId="31536"/>
    <cellStyle name="标题 2 2 3 12" xfId="31557"/>
    <cellStyle name="标题 2 2 3 13" xfId="31994"/>
    <cellStyle name="标题 2 2 3 14" xfId="31995"/>
    <cellStyle name="标题 2 2 3 2" xfId="31996"/>
    <cellStyle name="标题 2 2 3 3" xfId="31997"/>
    <cellStyle name="标题 2 2 3 4" xfId="31998"/>
    <cellStyle name="标题 2 2 3 5" xfId="31999"/>
    <cellStyle name="标题 2 2 3 6" xfId="32000"/>
    <cellStyle name="标题 2 2 3 7" xfId="32001"/>
    <cellStyle name="标题 2 2 3 8" xfId="32002"/>
    <cellStyle name="标题 2 2 3 9" xfId="32003"/>
    <cellStyle name="标题 2 2 4" xfId="8047"/>
    <cellStyle name="标题 2 2 4 10" xfId="19844"/>
    <cellStyle name="标题 2 2 4 11" xfId="19850"/>
    <cellStyle name="标题 2 2 4 12" xfId="2425"/>
    <cellStyle name="标题 2 2 4 13" xfId="2536"/>
    <cellStyle name="标题 2 2 4 14" xfId="2545"/>
    <cellStyle name="标题 2 2 4 2" xfId="18566"/>
    <cellStyle name="标题 2 2 4 3" xfId="18570"/>
    <cellStyle name="标题 2 2 4 4" xfId="18574"/>
    <cellStyle name="标题 2 2 4 5" xfId="19619"/>
    <cellStyle name="标题 2 2 4 6" xfId="19621"/>
    <cellStyle name="标题 2 2 4 7" xfId="19627"/>
    <cellStyle name="标题 2 2 4 8" xfId="19631"/>
    <cellStyle name="标题 2 2 4 9" xfId="19669"/>
    <cellStyle name="标题 2 2 5" xfId="8054"/>
    <cellStyle name="标题 2 2 6" xfId="9881"/>
    <cellStyle name="标题 2 2 7" xfId="8776"/>
    <cellStyle name="标题 2 2 8" xfId="8785"/>
    <cellStyle name="标题 2 2 9" xfId="25306"/>
    <cellStyle name="标题 2 3" xfId="6749"/>
    <cellStyle name="标题 2 3 10" xfId="32005"/>
    <cellStyle name="标题 2 3 11" xfId="23687"/>
    <cellStyle name="标题 2 3 12" xfId="23695"/>
    <cellStyle name="标题 2 3 13" xfId="23698"/>
    <cellStyle name="标题 2 3 14" xfId="23700"/>
    <cellStyle name="标题 2 3 15" xfId="23702"/>
    <cellStyle name="标题 2 3 16" xfId="7300"/>
    <cellStyle name="标题 2 3 17" xfId="7318"/>
    <cellStyle name="标题 2 3 17 10" xfId="15218"/>
    <cellStyle name="标题 2 3 17 11" xfId="15222"/>
    <cellStyle name="标题 2 3 17 12" xfId="15226"/>
    <cellStyle name="标题 2 3 17 13" xfId="15229"/>
    <cellStyle name="标题 2 3 17 14" xfId="15232"/>
    <cellStyle name="标题 2 3 17 2" xfId="29239"/>
    <cellStyle name="标题 2 3 17 2 2" xfId="14405"/>
    <cellStyle name="标题 2 3 17 3" xfId="29243"/>
    <cellStyle name="标题 2 3 17 4" xfId="32008"/>
    <cellStyle name="标题 2 3 17 5" xfId="32010"/>
    <cellStyle name="标题 2 3 17 5 10" xfId="25776"/>
    <cellStyle name="标题 2 3 17 5 11" xfId="32012"/>
    <cellStyle name="标题 2 3 17 5 2" xfId="32014"/>
    <cellStyle name="标题 2 3 17 5 2 2" xfId="13762"/>
    <cellStyle name="标题 2 3 17 5 2 2 2" xfId="32016"/>
    <cellStyle name="标题 2 3 17 5 2 2 3" xfId="32017"/>
    <cellStyle name="标题 2 3 17 5 2 3" xfId="13767"/>
    <cellStyle name="标题 2 3 17 5 2 4" xfId="3755"/>
    <cellStyle name="标题 2 3 17 5 2 5" xfId="3763"/>
    <cellStyle name="标题 2 3 17 5 2 6" xfId="32018"/>
    <cellStyle name="标题 2 3 17 5 2 7" xfId="32019"/>
    <cellStyle name="标题 2 3 17 5 2 8" xfId="13922"/>
    <cellStyle name="标题 2 3 17 5 3" xfId="32021"/>
    <cellStyle name="标题 2 3 17 5 4" xfId="32024"/>
    <cellStyle name="标题 2 3 17 5 5" xfId="32026"/>
    <cellStyle name="标题 2 3 17 5 6" xfId="1379"/>
    <cellStyle name="标题 2 3 17 5 6 2" xfId="32028"/>
    <cellStyle name="标题 2 3 17 5 6 3" xfId="32029"/>
    <cellStyle name="标题 2 3 17 5 7" xfId="1391"/>
    <cellStyle name="标题 2 3 17 5 8" xfId="1405"/>
    <cellStyle name="标题 2 3 17 5 9" xfId="1420"/>
    <cellStyle name="标题 2 3 17 6" xfId="32031"/>
    <cellStyle name="标题 2 3 17 6 2" xfId="7511"/>
    <cellStyle name="标题 2 3 17 6 2 2" xfId="13898"/>
    <cellStyle name="标题 2 3 17 6 2 3" xfId="13902"/>
    <cellStyle name="标题 2 3 17 6 3" xfId="5587"/>
    <cellStyle name="标题 2 3 17 6 4" xfId="32032"/>
    <cellStyle name="标题 2 3 17 6 5" xfId="32034"/>
    <cellStyle name="标题 2 3 17 6 6" xfId="32036"/>
    <cellStyle name="标题 2 3 17 6 7" xfId="32037"/>
    <cellStyle name="标题 2 3 17 6 8" xfId="1991"/>
    <cellStyle name="标题 2 3 17 7" xfId="18221"/>
    <cellStyle name="标题 2 3 17 8" xfId="18223"/>
    <cellStyle name="标题 2 3 17 9" xfId="32038"/>
    <cellStyle name="标题 2 3 17 9 2" xfId="32039"/>
    <cellStyle name="标题 2 3 17 9 3" xfId="32041"/>
    <cellStyle name="标题 2 3 18" xfId="23707"/>
    <cellStyle name="标题 2 3 18 10" xfId="32042"/>
    <cellStyle name="标题 2 3 18 11" xfId="32043"/>
    <cellStyle name="标题 2 3 18 12" xfId="32044"/>
    <cellStyle name="标题 2 3 18 13" xfId="32048"/>
    <cellStyle name="标题 2 3 18 14" xfId="32052"/>
    <cellStyle name="标题 2 3 18 2" xfId="29260"/>
    <cellStyle name="标题 2 3 18 3" xfId="29263"/>
    <cellStyle name="标题 2 3 18 4" xfId="32053"/>
    <cellStyle name="标题 2 3 18 5" xfId="32054"/>
    <cellStyle name="标题 2 3 18 5 10" xfId="14614"/>
    <cellStyle name="标题 2 3 18 5 11" xfId="14619"/>
    <cellStyle name="标题 2 3 18 5 2" xfId="32055"/>
    <cellStyle name="标题 2 3 18 5 2 2" xfId="1214"/>
    <cellStyle name="标题 2 3 18 5 2 2 2" xfId="32058"/>
    <cellStyle name="标题 2 3 18 5 2 2 3" xfId="25049"/>
    <cellStyle name="标题 2 3 18 5 2 3" xfId="537"/>
    <cellStyle name="标题 2 3 18 5 2 4" xfId="15248"/>
    <cellStyle name="标题 2 3 18 5 2 5" xfId="15291"/>
    <cellStyle name="标题 2 3 18 5 2 6" xfId="26210"/>
    <cellStyle name="标题 2 3 18 5 2 7" xfId="26227"/>
    <cellStyle name="标题 2 3 18 5 2 8" xfId="26229"/>
    <cellStyle name="标题 2 3 18 5 3" xfId="32059"/>
    <cellStyle name="标题 2 3 18 5 4" xfId="32060"/>
    <cellStyle name="标题 2 3 18 5 5" xfId="32061"/>
    <cellStyle name="标题 2 3 18 5 6" xfId="25848"/>
    <cellStyle name="标题 2 3 18 5 6 2" xfId="32062"/>
    <cellStyle name="标题 2 3 18 5 6 3" xfId="32063"/>
    <cellStyle name="标题 2 3 18 5 7" xfId="32064"/>
    <cellStyle name="标题 2 3 18 5 8" xfId="32065"/>
    <cellStyle name="标题 2 3 18 5 9" xfId="32066"/>
    <cellStyle name="标题 2 3 18 6" xfId="32067"/>
    <cellStyle name="标题 2 3 18 6 2" xfId="6498"/>
    <cellStyle name="标题 2 3 18 6 2 2" xfId="28418"/>
    <cellStyle name="标题 2 3 18 6 2 3" xfId="28420"/>
    <cellStyle name="标题 2 3 18 6 3" xfId="5863"/>
    <cellStyle name="标题 2 3 18 6 4" xfId="31943"/>
    <cellStyle name="标题 2 3 18 6 5" xfId="31945"/>
    <cellStyle name="标题 2 3 18 6 6" xfId="32068"/>
    <cellStyle name="标题 2 3 18 6 7" xfId="11791"/>
    <cellStyle name="标题 2 3 18 6 8" xfId="11795"/>
    <cellStyle name="标题 2 3 18 7" xfId="32069"/>
    <cellStyle name="标题 2 3 18 8" xfId="32070"/>
    <cellStyle name="标题 2 3 18 9" xfId="32071"/>
    <cellStyle name="标题 2 3 18 9 2" xfId="16709"/>
    <cellStyle name="标题 2 3 18 9 3" xfId="16713"/>
    <cellStyle name="标题 2 3 19" xfId="32073"/>
    <cellStyle name="标题 2 3 19 10" xfId="8936"/>
    <cellStyle name="标题 2 3 19 11" xfId="8945"/>
    <cellStyle name="标题 2 3 19 12" xfId="8951"/>
    <cellStyle name="标题 2 3 19 13" xfId="8992"/>
    <cellStyle name="标题 2 3 19 14" xfId="9032"/>
    <cellStyle name="标题 2 3 19 2" xfId="12898"/>
    <cellStyle name="标题 2 3 19 3" xfId="12903"/>
    <cellStyle name="标题 2 3 19 4" xfId="12908"/>
    <cellStyle name="标题 2 3 19 5" xfId="12910"/>
    <cellStyle name="标题 2 3 19 5 10" xfId="32074"/>
    <cellStyle name="标题 2 3 19 5 11" xfId="32075"/>
    <cellStyle name="标题 2 3 19 5 2" xfId="32076"/>
    <cellStyle name="标题 2 3 19 5 2 2" xfId="10013"/>
    <cellStyle name="标题 2 3 19 5 2 2 2" xfId="32077"/>
    <cellStyle name="标题 2 3 19 5 2 2 3" xfId="32078"/>
    <cellStyle name="标题 2 3 19 5 2 3" xfId="10017"/>
    <cellStyle name="标题 2 3 19 5 2 4" xfId="10021"/>
    <cellStyle name="标题 2 3 19 5 2 5" xfId="10027"/>
    <cellStyle name="标题 2 3 19 5 2 6" xfId="10031"/>
    <cellStyle name="标题 2 3 19 5 2 7" xfId="26341"/>
    <cellStyle name="标题 2 3 19 5 2 8" xfId="26344"/>
    <cellStyle name="标题 2 3 19 5 3" xfId="32079"/>
    <cellStyle name="标题 2 3 19 5 4" xfId="32080"/>
    <cellStyle name="标题 2 3 19 5 5" xfId="32081"/>
    <cellStyle name="标题 2 3 19 5 6" xfId="26849"/>
    <cellStyle name="标题 2 3 19 5 6 2" xfId="32082"/>
    <cellStyle name="标题 2 3 19 5 6 3" xfId="32083"/>
    <cellStyle name="标题 2 3 19 5 7" xfId="26851"/>
    <cellStyle name="标题 2 3 19 5 8" xfId="32084"/>
    <cellStyle name="标题 2 3 19 5 9" xfId="32085"/>
    <cellStyle name="标题 2 3 19 6" xfId="12912"/>
    <cellStyle name="标题 2 3 19 6 2" xfId="7703"/>
    <cellStyle name="标题 2 3 19 6 2 2" xfId="10089"/>
    <cellStyle name="标题 2 3 19 6 2 3" xfId="10092"/>
    <cellStyle name="标题 2 3 19 6 3" xfId="6014"/>
    <cellStyle name="标题 2 3 19 6 4" xfId="32086"/>
    <cellStyle name="标题 2 3 19 6 5" xfId="32087"/>
    <cellStyle name="标题 2 3 19 6 6" xfId="32088"/>
    <cellStyle name="标题 2 3 19 6 7" xfId="32089"/>
    <cellStyle name="标题 2 3 19 6 8" xfId="32090"/>
    <cellStyle name="标题 2 3 19 7" xfId="32091"/>
    <cellStyle name="标题 2 3 19 8" xfId="25700"/>
    <cellStyle name="标题 2 3 19 9" xfId="32092"/>
    <cellStyle name="标题 2 3 19 9 2" xfId="22672"/>
    <cellStyle name="标题 2 3 19 9 3" xfId="22674"/>
    <cellStyle name="标题 2 3 2" xfId="32094"/>
    <cellStyle name="标题 2 3 2 10" xfId="12530"/>
    <cellStyle name="标题 2 3 2 11" xfId="31932"/>
    <cellStyle name="标题 2 3 2 12" xfId="30932"/>
    <cellStyle name="标题 2 3 2 13" xfId="30935"/>
    <cellStyle name="标题 2 3 2 14" xfId="30937"/>
    <cellStyle name="标题 2 3 2 2" xfId="15954"/>
    <cellStyle name="标题 2 3 2 3" xfId="15957"/>
    <cellStyle name="标题 2 3 2 4" xfId="15960"/>
    <cellStyle name="标题 2 3 2 5" xfId="21994"/>
    <cellStyle name="标题 2 3 2 6" xfId="21996"/>
    <cellStyle name="标题 2 3 2 7" xfId="21998"/>
    <cellStyle name="标题 2 3 2 8" xfId="9912"/>
    <cellStyle name="标题 2 3 2 9" xfId="9919"/>
    <cellStyle name="标题 2 3 20" xfId="23703"/>
    <cellStyle name="标题 2 3 20 10" xfId="32095"/>
    <cellStyle name="标题 2 3 20 11" xfId="32096"/>
    <cellStyle name="标题 2 3 20 12" xfId="2648"/>
    <cellStyle name="标题 2 3 20 13" xfId="2667"/>
    <cellStyle name="标题 2 3 20 14" xfId="3287"/>
    <cellStyle name="标题 2 3 20 2" xfId="20988"/>
    <cellStyle name="标题 2 3 20 3" xfId="20992"/>
    <cellStyle name="标题 2 3 20 4" xfId="32097"/>
    <cellStyle name="标题 2 3 20 5" xfId="32098"/>
    <cellStyle name="标题 2 3 20 5 10" xfId="17506"/>
    <cellStyle name="标题 2 3 20 5 11" xfId="23468"/>
    <cellStyle name="标题 2 3 20 5 2" xfId="27224"/>
    <cellStyle name="标题 2 3 20 5 2 2" xfId="27226"/>
    <cellStyle name="标题 2 3 20 5 2 2 2" xfId="32099"/>
    <cellStyle name="标题 2 3 20 5 2 2 3" xfId="32100"/>
    <cellStyle name="标题 2 3 20 5 2 3" xfId="27228"/>
    <cellStyle name="标题 2 3 20 5 2 4" xfId="32101"/>
    <cellStyle name="标题 2 3 20 5 2 5" xfId="32102"/>
    <cellStyle name="标题 2 3 20 5 2 6" xfId="32103"/>
    <cellStyle name="标题 2 3 20 5 2 7" xfId="32104"/>
    <cellStyle name="标题 2 3 20 5 2 8" xfId="8542"/>
    <cellStyle name="标题 2 3 20 5 3" xfId="32105"/>
    <cellStyle name="标题 2 3 20 5 4" xfId="32106"/>
    <cellStyle name="标题 2 3 20 5 5" xfId="32107"/>
    <cellStyle name="标题 2 3 20 5 6" xfId="32108"/>
    <cellStyle name="标题 2 3 20 5 6 2" xfId="32109"/>
    <cellStyle name="标题 2 3 20 5 6 3" xfId="25405"/>
    <cellStyle name="标题 2 3 20 5 7" xfId="32110"/>
    <cellStyle name="标题 2 3 20 5 8" xfId="32111"/>
    <cellStyle name="标题 2 3 20 5 9" xfId="32112"/>
    <cellStyle name="标题 2 3 20 6" xfId="29163"/>
    <cellStyle name="标题 2 3 20 6 2" xfId="7817"/>
    <cellStyle name="标题 2 3 20 6 2 2" xfId="17059"/>
    <cellStyle name="标题 2 3 20 6 2 3" xfId="27253"/>
    <cellStyle name="标题 2 3 20 6 3" xfId="7824"/>
    <cellStyle name="标题 2 3 20 6 4" xfId="32113"/>
    <cellStyle name="标题 2 3 20 6 5" xfId="32114"/>
    <cellStyle name="标题 2 3 20 6 6" xfId="32115"/>
    <cellStyle name="标题 2 3 20 6 7" xfId="32116"/>
    <cellStyle name="标题 2 3 20 6 8" xfId="32117"/>
    <cellStyle name="标题 2 3 20 7" xfId="29165"/>
    <cellStyle name="标题 2 3 20 8" xfId="32118"/>
    <cellStyle name="标题 2 3 20 9" xfId="32120"/>
    <cellStyle name="标题 2 3 20 9 2" xfId="32122"/>
    <cellStyle name="标题 2 3 20 9 3" xfId="32123"/>
    <cellStyle name="标题 2 3 3" xfId="32124"/>
    <cellStyle name="标题 2 3 3 10" xfId="7315"/>
    <cellStyle name="标题 2 3 3 11" xfId="23704"/>
    <cellStyle name="标题 2 3 3 12" xfId="32072"/>
    <cellStyle name="标题 2 3 3 13" xfId="32125"/>
    <cellStyle name="标题 2 3 3 14" xfId="32126"/>
    <cellStyle name="标题 2 3 3 2" xfId="22002"/>
    <cellStyle name="标题 2 3 3 3" xfId="22004"/>
    <cellStyle name="标题 2 3 3 4" xfId="22008"/>
    <cellStyle name="标题 2 3 3 5" xfId="22012"/>
    <cellStyle name="标题 2 3 3 6" xfId="22015"/>
    <cellStyle name="标题 2 3 3 7" xfId="4758"/>
    <cellStyle name="标题 2 3 3 8" xfId="4767"/>
    <cellStyle name="标题 2 3 3 9" xfId="4779"/>
    <cellStyle name="标题 2 3 4" xfId="32127"/>
    <cellStyle name="标题 2 3 4 10" xfId="15659"/>
    <cellStyle name="标题 2 3 4 11" xfId="10882"/>
    <cellStyle name="标题 2 3 4 12" xfId="10892"/>
    <cellStyle name="标题 2 3 4 13" xfId="20545"/>
    <cellStyle name="标题 2 3 4 14" xfId="23973"/>
    <cellStyle name="标题 2 3 4 2" xfId="32128"/>
    <cellStyle name="标题 2 3 4 3" xfId="32129"/>
    <cellStyle name="标题 2 3 4 4" xfId="11781"/>
    <cellStyle name="标题 2 3 4 5" xfId="11787"/>
    <cellStyle name="标题 2 3 4 6" xfId="20942"/>
    <cellStyle name="标题 2 3 4 7" xfId="32131"/>
    <cellStyle name="标题 2 3 4 8" xfId="32133"/>
    <cellStyle name="标题 2 3 4 9" xfId="32134"/>
    <cellStyle name="标题 2 3 5" xfId="25929"/>
    <cellStyle name="标题 2 3 6" xfId="32135"/>
    <cellStyle name="标题 2 3 7" xfId="32136"/>
    <cellStyle name="标题 2 3 8" xfId="32137"/>
    <cellStyle name="标题 2 3 9" xfId="32138"/>
    <cellStyle name="标题 2 4" xfId="6761"/>
    <cellStyle name="标题 2 4 10" xfId="32140"/>
    <cellStyle name="标题 2 4 11" xfId="32141"/>
    <cellStyle name="标题 2 4 12" xfId="32142"/>
    <cellStyle name="标题 2 4 13" xfId="15637"/>
    <cellStyle name="标题 2 4 14" xfId="15642"/>
    <cellStyle name="标题 2 4 15" xfId="15647"/>
    <cellStyle name="标题 2 4 16" xfId="15653"/>
    <cellStyle name="标题 2 4 17" xfId="15658"/>
    <cellStyle name="标题 2 4 17 10" xfId="9447"/>
    <cellStyle name="标题 2 4 17 11" xfId="9457"/>
    <cellStyle name="标题 2 4 17 12" xfId="13253"/>
    <cellStyle name="标题 2 4 17 13" xfId="15256"/>
    <cellStyle name="标题 2 4 17 14" xfId="15259"/>
    <cellStyle name="标题 2 4 17 2" xfId="20528"/>
    <cellStyle name="标题 2 4 17 3" xfId="20531"/>
    <cellStyle name="标题 2 4 17 4" xfId="20534"/>
    <cellStyle name="标题 2 4 17 5" xfId="20537"/>
    <cellStyle name="标题 2 4 17 5 10" xfId="32143"/>
    <cellStyle name="标题 2 4 17 5 11" xfId="30099"/>
    <cellStyle name="标题 2 4 17 5 2" xfId="19374"/>
    <cellStyle name="标题 2 4 17 5 2 2" xfId="32145"/>
    <cellStyle name="标题 2 4 17 5 2 2 2" xfId="17347"/>
    <cellStyle name="标题 2 4 17 5 2 2 3" xfId="17352"/>
    <cellStyle name="标题 2 4 17 5 2 3" xfId="25951"/>
    <cellStyle name="标题 2 4 17 5 2 4" xfId="32147"/>
    <cellStyle name="标题 2 4 17 5 2 5" xfId="32149"/>
    <cellStyle name="标题 2 4 17 5 2 6" xfId="25592"/>
    <cellStyle name="标题 2 4 17 5 2 7" xfId="26305"/>
    <cellStyle name="标题 2 4 17 5 2 8" xfId="26307"/>
    <cellStyle name="标题 2 4 17 5 3" xfId="19376"/>
    <cellStyle name="标题 2 4 17 5 4" xfId="19379"/>
    <cellStyle name="标题 2 4 17 5 5" xfId="19382"/>
    <cellStyle name="标题 2 4 17 5 6" xfId="19385"/>
    <cellStyle name="标题 2 4 17 5 6 2" xfId="32150"/>
    <cellStyle name="标题 2 4 17 5 6 3" xfId="32151"/>
    <cellStyle name="标题 2 4 17 5 7" xfId="19388"/>
    <cellStyle name="标题 2 4 17 5 8" xfId="26470"/>
    <cellStyle name="标题 2 4 17 5 9" xfId="26472"/>
    <cellStyle name="标题 2 4 17 6" xfId="20540"/>
    <cellStyle name="标题 2 4 17 6 2" xfId="19401"/>
    <cellStyle name="标题 2 4 17 6 2 2" xfId="32154"/>
    <cellStyle name="标题 2 4 17 6 2 3" xfId="32157"/>
    <cellStyle name="标题 2 4 17 6 3" xfId="19403"/>
    <cellStyle name="标题 2 4 17 6 4" xfId="19405"/>
    <cellStyle name="标题 2 4 17 6 5" xfId="19407"/>
    <cellStyle name="标题 2 4 17 6 6" xfId="19409"/>
    <cellStyle name="标题 2 4 17 6 7" xfId="19411"/>
    <cellStyle name="标题 2 4 17 6 8" xfId="32158"/>
    <cellStyle name="标题 2 4 17 7" xfId="20543"/>
    <cellStyle name="标题 2 4 17 8" xfId="16848"/>
    <cellStyle name="标题 2 4 17 9" xfId="16852"/>
    <cellStyle name="标题 2 4 17 9 2" xfId="28939"/>
    <cellStyle name="标题 2 4 17 9 3" xfId="32159"/>
    <cellStyle name="标题 2 4 18" xfId="10880"/>
    <cellStyle name="标题 2 4 18 10" xfId="32160"/>
    <cellStyle name="标题 2 4 18 11" xfId="32161"/>
    <cellStyle name="标题 2 4 18 12" xfId="32162"/>
    <cellStyle name="标题 2 4 18 13" xfId="32163"/>
    <cellStyle name="标题 2 4 18 14" xfId="32164"/>
    <cellStyle name="标题 2 4 18 2" xfId="3521"/>
    <cellStyle name="标题 2 4 18 3" xfId="20412"/>
    <cellStyle name="标题 2 4 18 4" xfId="20415"/>
    <cellStyle name="标题 2 4 18 5" xfId="20418"/>
    <cellStyle name="标题 2 4 18 5 10" xfId="1349"/>
    <cellStyle name="标题 2 4 18 5 11" xfId="279"/>
    <cellStyle name="标题 2 4 18 5 2" xfId="20276"/>
    <cellStyle name="标题 2 4 18 5 2 2" xfId="6234"/>
    <cellStyle name="标题 2 4 18 5 2 2 2" xfId="29586"/>
    <cellStyle name="标题 2 4 18 5 2 2 3" xfId="29588"/>
    <cellStyle name="标题 2 4 18 5 2 3" xfId="6237"/>
    <cellStyle name="标题 2 4 18 5 2 4" xfId="21063"/>
    <cellStyle name="标题 2 4 18 5 2 5" xfId="32165"/>
    <cellStyle name="标题 2 4 18 5 2 6" xfId="32166"/>
    <cellStyle name="标题 2 4 18 5 2 7" xfId="26355"/>
    <cellStyle name="标题 2 4 18 5 2 8" xfId="26357"/>
    <cellStyle name="标题 2 4 18 5 3" xfId="20279"/>
    <cellStyle name="标题 2 4 18 5 4" xfId="20283"/>
    <cellStyle name="标题 2 4 18 5 5" xfId="9784"/>
    <cellStyle name="标题 2 4 18 5 6" xfId="9798"/>
    <cellStyle name="标题 2 4 18 5 6 2" xfId="32167"/>
    <cellStyle name="标题 2 4 18 5 6 3" xfId="32168"/>
    <cellStyle name="标题 2 4 18 5 7" xfId="9524"/>
    <cellStyle name="标题 2 4 18 5 8" xfId="9536"/>
    <cellStyle name="标题 2 4 18 5 9" xfId="9811"/>
    <cellStyle name="标题 2 4 18 6" xfId="20421"/>
    <cellStyle name="标题 2 4 18 6 2" xfId="20291"/>
    <cellStyle name="标题 2 4 18 6 2 2" xfId="6396"/>
    <cellStyle name="标题 2 4 18 6 2 3" xfId="6403"/>
    <cellStyle name="标题 2 4 18 6 3" xfId="20294"/>
    <cellStyle name="标题 2 4 18 6 4" xfId="20297"/>
    <cellStyle name="标题 2 4 18 6 5" xfId="10989"/>
    <cellStyle name="标题 2 4 18 6 6" xfId="10999"/>
    <cellStyle name="标题 2 4 18 6 7" xfId="11010"/>
    <cellStyle name="标题 2 4 18 6 8" xfId="11019"/>
    <cellStyle name="标题 2 4 18 7" xfId="23316"/>
    <cellStyle name="标题 2 4 18 8" xfId="16863"/>
    <cellStyle name="标题 2 4 18 9" xfId="16869"/>
    <cellStyle name="标题 2 4 18 9 2" xfId="3490"/>
    <cellStyle name="标题 2 4 18 9 3" xfId="17656"/>
    <cellStyle name="标题 2 4 19" xfId="10890"/>
    <cellStyle name="标题 2 4 19 10" xfId="31623"/>
    <cellStyle name="标题 2 4 19 11" xfId="29854"/>
    <cellStyle name="标题 2 4 19 12" xfId="29857"/>
    <cellStyle name="标题 2 4 19 13" xfId="29860"/>
    <cellStyle name="标题 2 4 19 14" xfId="29863"/>
    <cellStyle name="标题 2 4 19 2" xfId="22911"/>
    <cellStyle name="标题 2 4 19 3" xfId="22913"/>
    <cellStyle name="标题 2 4 19 4" xfId="15805"/>
    <cellStyle name="标题 2 4 19 5" xfId="15808"/>
    <cellStyle name="标题 2 4 19 5 10" xfId="32169"/>
    <cellStyle name="标题 2 4 19 5 11" xfId="4548"/>
    <cellStyle name="标题 2 4 19 5 2" xfId="32170"/>
    <cellStyle name="标题 2 4 19 5 2 2" xfId="11484"/>
    <cellStyle name="标题 2 4 19 5 2 2 2" xfId="30064"/>
    <cellStyle name="标题 2 4 19 5 2 2 3" xfId="28668"/>
    <cellStyle name="标题 2 4 19 5 2 3" xfId="11486"/>
    <cellStyle name="标题 2 4 19 5 2 4" xfId="11488"/>
    <cellStyle name="标题 2 4 19 5 2 5" xfId="11492"/>
    <cellStyle name="标题 2 4 19 5 2 6" xfId="11495"/>
    <cellStyle name="标题 2 4 19 5 2 7" xfId="32172"/>
    <cellStyle name="标题 2 4 19 5 2 8" xfId="32174"/>
    <cellStyle name="标题 2 4 19 5 3" xfId="32175"/>
    <cellStyle name="标题 2 4 19 5 4" xfId="32176"/>
    <cellStyle name="标题 2 4 19 5 5" xfId="30814"/>
    <cellStyle name="标题 2 4 19 5 6" xfId="30816"/>
    <cellStyle name="标题 2 4 19 5 6 2" xfId="32177"/>
    <cellStyle name="标题 2 4 19 5 6 3" xfId="32178"/>
    <cellStyle name="标题 2 4 19 5 7" xfId="32179"/>
    <cellStyle name="标题 2 4 19 5 8" xfId="32180"/>
    <cellStyle name="标题 2 4 19 5 9" xfId="32181"/>
    <cellStyle name="标题 2 4 19 6" xfId="17714"/>
    <cellStyle name="标题 2 4 19 6 2" xfId="32182"/>
    <cellStyle name="标题 2 4 19 6 2 2" xfId="11574"/>
    <cellStyle name="标题 2 4 19 6 2 3" xfId="11578"/>
    <cellStyle name="标题 2 4 19 6 3" xfId="32183"/>
    <cellStyle name="标题 2 4 19 6 4" xfId="32184"/>
    <cellStyle name="标题 2 4 19 6 5" xfId="32185"/>
    <cellStyle name="标题 2 4 19 6 6" xfId="32186"/>
    <cellStyle name="标题 2 4 19 6 7" xfId="32187"/>
    <cellStyle name="标题 2 4 19 6 8" xfId="32188"/>
    <cellStyle name="标题 2 4 19 7" xfId="32189"/>
    <cellStyle name="标题 2 4 19 8" xfId="25703"/>
    <cellStyle name="标题 2 4 19 9" xfId="32191"/>
    <cellStyle name="标题 2 4 19 9 2" xfId="23338"/>
    <cellStyle name="标题 2 4 19 9 3" xfId="19675"/>
    <cellStyle name="标题 2 4 2" xfId="32192"/>
    <cellStyle name="标题 2 4 20" xfId="15648"/>
    <cellStyle name="标题 2 4 20 10" xfId="32193"/>
    <cellStyle name="标题 2 4 20 11" xfId="32194"/>
    <cellStyle name="标题 2 4 20 12" xfId="32195"/>
    <cellStyle name="标题 2 4 20 13" xfId="32196"/>
    <cellStyle name="标题 2 4 20 14" xfId="32197"/>
    <cellStyle name="标题 2 4 20 2" xfId="32198"/>
    <cellStyle name="标题 2 4 20 3" xfId="32199"/>
    <cellStyle name="标题 2 4 20 4" xfId="3319"/>
    <cellStyle name="标题 2 4 20 5" xfId="3329"/>
    <cellStyle name="标题 2 4 20 5 10" xfId="32200"/>
    <cellStyle name="标题 2 4 20 5 11" xfId="32201"/>
    <cellStyle name="标题 2 4 20 5 2" xfId="17231"/>
    <cellStyle name="标题 2 4 20 5 2 2" xfId="32202"/>
    <cellStyle name="标题 2 4 20 5 2 2 2" xfId="9140"/>
    <cellStyle name="标题 2 4 20 5 2 2 3" xfId="9150"/>
    <cellStyle name="标题 2 4 20 5 2 3" xfId="32203"/>
    <cellStyle name="标题 2 4 20 5 2 4" xfId="32204"/>
    <cellStyle name="标题 2 4 20 5 2 5" xfId="32206"/>
    <cellStyle name="标题 2 4 20 5 2 6" xfId="32208"/>
    <cellStyle name="标题 2 4 20 5 2 7" xfId="32210"/>
    <cellStyle name="标题 2 4 20 5 2 8" xfId="32212"/>
    <cellStyle name="标题 2 4 20 5 3" xfId="17233"/>
    <cellStyle name="标题 2 4 20 5 4" xfId="17235"/>
    <cellStyle name="标题 2 4 20 5 5" xfId="7733"/>
    <cellStyle name="标题 2 4 20 5 6" xfId="7889"/>
    <cellStyle name="标题 2 4 20 5 6 2" xfId="32214"/>
    <cellStyle name="标题 2 4 20 5 6 3" xfId="32216"/>
    <cellStyle name="标题 2 4 20 5 7" xfId="7895"/>
    <cellStyle name="标题 2 4 20 5 8" xfId="32218"/>
    <cellStyle name="标题 2 4 20 5 9" xfId="5621"/>
    <cellStyle name="标题 2 4 20 6" xfId="3342"/>
    <cellStyle name="标题 2 4 20 6 2" xfId="17255"/>
    <cellStyle name="标题 2 4 20 6 2 2" xfId="13867"/>
    <cellStyle name="标题 2 4 20 6 2 3" xfId="13909"/>
    <cellStyle name="标题 2 4 20 6 3" xfId="17260"/>
    <cellStyle name="标题 2 4 20 6 4" xfId="17262"/>
    <cellStyle name="标题 2 4 20 6 5" xfId="6957"/>
    <cellStyle name="标题 2 4 20 6 6" xfId="6966"/>
    <cellStyle name="标题 2 4 20 6 7" xfId="7596"/>
    <cellStyle name="标题 2 4 20 6 8" xfId="32219"/>
    <cellStyle name="标题 2 4 20 7" xfId="3355"/>
    <cellStyle name="标题 2 4 20 8" xfId="3370"/>
    <cellStyle name="标题 2 4 20 9" xfId="15772"/>
    <cellStyle name="标题 2 4 20 9 2" xfId="15343"/>
    <cellStyle name="标题 2 4 20 9 3" xfId="15350"/>
    <cellStyle name="标题 2 4 3" xfId="32221"/>
    <cellStyle name="标题 2 4 4" xfId="32223"/>
    <cellStyle name="标题 2 4 5" xfId="32224"/>
    <cellStyle name="标题 2 4 6" xfId="32225"/>
    <cellStyle name="标题 2 4 7" xfId="32226"/>
    <cellStyle name="标题 2 4 8" xfId="32227"/>
    <cellStyle name="标题 2 4 9" xfId="32228"/>
    <cellStyle name="标题 2 5" xfId="15696"/>
    <cellStyle name="标题 2 5 10" xfId="29246"/>
    <cellStyle name="标题 2 5 11" xfId="32007"/>
    <cellStyle name="标题 2 5 12" xfId="32009"/>
    <cellStyle name="标题 2 5 13" xfId="32030"/>
    <cellStyle name="标题 2 5 14" xfId="18219"/>
    <cellStyle name="标题 2 5 2" xfId="17368"/>
    <cellStyle name="标题 2 5 3" xfId="17379"/>
    <cellStyle name="标题 2 5 4" xfId="17382"/>
    <cellStyle name="标题 2 5 5" xfId="17384"/>
    <cellStyle name="标题 2 5 6" xfId="32229"/>
    <cellStyle name="标题 2 5 7" xfId="32231"/>
    <cellStyle name="标题 2 5 8" xfId="32233"/>
    <cellStyle name="标题 2 5 9" xfId="32235"/>
    <cellStyle name="标题 2 6" xfId="15701"/>
    <cellStyle name="标题 2 6 10" xfId="32238"/>
    <cellStyle name="标题 2 6 11" xfId="32239"/>
    <cellStyle name="标题 2 6 12" xfId="32240"/>
    <cellStyle name="标题 2 6 13" xfId="32241"/>
    <cellStyle name="标题 2 6 14" xfId="32242"/>
    <cellStyle name="标题 2 6 2" xfId="3063"/>
    <cellStyle name="标题 2 6 3" xfId="3077"/>
    <cellStyle name="标题 2 6 4" xfId="17429"/>
    <cellStyle name="标题 2 6 5" xfId="17432"/>
    <cellStyle name="标题 2 6 6" xfId="18271"/>
    <cellStyle name="标题 2 6 7" xfId="18275"/>
    <cellStyle name="标题 2 6 8" xfId="18279"/>
    <cellStyle name="标题 2 6 9" xfId="18284"/>
    <cellStyle name="标题 2 7" xfId="15707"/>
    <cellStyle name="标题 2 8" xfId="15711"/>
    <cellStyle name="标题 2 9" xfId="15715"/>
    <cellStyle name="标题 20" xfId="12946"/>
    <cellStyle name="标题 20 10" xfId="31735"/>
    <cellStyle name="标题 20 11" xfId="31738"/>
    <cellStyle name="标题 20 12" xfId="31742"/>
    <cellStyle name="标题 20 13" xfId="31746"/>
    <cellStyle name="标题 20 14" xfId="31749"/>
    <cellStyle name="标题 20 2" xfId="31753"/>
    <cellStyle name="标题 20 3" xfId="31756"/>
    <cellStyle name="标题 20 4" xfId="31759"/>
    <cellStyle name="标题 20 5" xfId="31762"/>
    <cellStyle name="标题 20 5 10" xfId="20449"/>
    <cellStyle name="标题 20 5 11" xfId="2351"/>
    <cellStyle name="标题 20 5 2" xfId="31764"/>
    <cellStyle name="标题 20 5 2 2" xfId="14317"/>
    <cellStyle name="标题 20 5 2 2 2" xfId="23775"/>
    <cellStyle name="标题 20 5 2 2 3" xfId="23780"/>
    <cellStyle name="标题 20 5 2 3" xfId="27234"/>
    <cellStyle name="标题 20 5 2 4" xfId="7755"/>
    <cellStyle name="标题 20 5 2 5" xfId="7782"/>
    <cellStyle name="标题 20 5 2 6" xfId="7788"/>
    <cellStyle name="标题 20 5 2 7" xfId="7794"/>
    <cellStyle name="标题 20 5 2 8" xfId="7799"/>
    <cellStyle name="标题 20 5 3" xfId="31766"/>
    <cellStyle name="标题 20 5 4" xfId="31768"/>
    <cellStyle name="标题 20 5 5" xfId="5366"/>
    <cellStyle name="标题 20 5 6" xfId="5384"/>
    <cellStyle name="标题 20 5 6 2" xfId="15003"/>
    <cellStyle name="标题 20 5 6 3" xfId="15176"/>
    <cellStyle name="标题 20 5 7" xfId="12517"/>
    <cellStyle name="标题 20 5 8" xfId="12527"/>
    <cellStyle name="标题 20 5 9" xfId="12537"/>
    <cellStyle name="标题 20 6" xfId="24361"/>
    <cellStyle name="标题 20 6 2" xfId="748"/>
    <cellStyle name="标题 20 6 2 2" xfId="22460"/>
    <cellStyle name="标题 20 6 2 3" xfId="22101"/>
    <cellStyle name="标题 20 6 3" xfId="1274"/>
    <cellStyle name="标题 20 6 4" xfId="6102"/>
    <cellStyle name="标题 20 6 5" xfId="6145"/>
    <cellStyle name="标题 20 6 6" xfId="6155"/>
    <cellStyle name="标题 20 6 7" xfId="20264"/>
    <cellStyle name="标题 20 6 8" xfId="20269"/>
    <cellStyle name="标题 20 7" xfId="24366"/>
    <cellStyle name="标题 20 8" xfId="24371"/>
    <cellStyle name="标题 20 9" xfId="24375"/>
    <cellStyle name="标题 20 9 2" xfId="31771"/>
    <cellStyle name="标题 20 9 3" xfId="31774"/>
    <cellStyle name="标题 21" xfId="12951"/>
    <cellStyle name="标题 21 10" xfId="1957"/>
    <cellStyle name="标题 21 11" xfId="1844"/>
    <cellStyle name="标题 21 12" xfId="1870"/>
    <cellStyle name="标题 21 13" xfId="7741"/>
    <cellStyle name="标题 21 14" xfId="7827"/>
    <cellStyle name="标题 21 2" xfId="2504"/>
    <cellStyle name="标题 21 3" xfId="2512"/>
    <cellStyle name="标题 21 4" xfId="2522"/>
    <cellStyle name="标题 21 5" xfId="5127"/>
    <cellStyle name="标题 21 5 10" xfId="10651"/>
    <cellStyle name="标题 21 5 11" xfId="9193"/>
    <cellStyle name="标题 21 5 2" xfId="10268"/>
    <cellStyle name="标题 21 5 2 2" xfId="32244"/>
    <cellStyle name="标题 21 5 2 2 2" xfId="13618"/>
    <cellStyle name="标题 21 5 2 2 3" xfId="2526"/>
    <cellStyle name="标题 21 5 2 3" xfId="32245"/>
    <cellStyle name="标题 21 5 2 4" xfId="32246"/>
    <cellStyle name="标题 21 5 2 5" xfId="32247"/>
    <cellStyle name="标题 21 5 2 6" xfId="32248"/>
    <cellStyle name="标题 21 5 2 7" xfId="32249"/>
    <cellStyle name="标题 21 5 2 8" xfId="32250"/>
    <cellStyle name="标题 21 5 3" xfId="10273"/>
    <cellStyle name="标题 21 5 4" xfId="10278"/>
    <cellStyle name="标题 21 5 5" xfId="5502"/>
    <cellStyle name="标题 21 5 6" xfId="5516"/>
    <cellStyle name="标题 21 5 6 2" xfId="10174"/>
    <cellStyle name="标题 21 5 6 3" xfId="10180"/>
    <cellStyle name="标题 21 5 7" xfId="2228"/>
    <cellStyle name="标题 21 5 8" xfId="2254"/>
    <cellStyle name="标题 21 5 9" xfId="2270"/>
    <cellStyle name="标题 21 6" xfId="10728"/>
    <cellStyle name="标题 21 6 2" xfId="10738"/>
    <cellStyle name="标题 21 6 2 2" xfId="19423"/>
    <cellStyle name="标题 21 6 2 3" xfId="19472"/>
    <cellStyle name="标题 21 6 3" xfId="10741"/>
    <cellStyle name="标题 21 6 4" xfId="10746"/>
    <cellStyle name="标题 21 6 5" xfId="10750"/>
    <cellStyle name="标题 21 6 6" xfId="10766"/>
    <cellStyle name="标题 21 6 7" xfId="10797"/>
    <cellStyle name="标题 21 6 8" xfId="9132"/>
    <cellStyle name="标题 21 7" xfId="10800"/>
    <cellStyle name="标题 21 8" xfId="24387"/>
    <cellStyle name="标题 21 9" xfId="24389"/>
    <cellStyle name="标题 21 9 2" xfId="32251"/>
    <cellStyle name="标题 21 9 3" xfId="32253"/>
    <cellStyle name="标题 22" xfId="12955"/>
    <cellStyle name="标题 3 10" xfId="32255"/>
    <cellStyle name="标题 3 11" xfId="32256"/>
    <cellStyle name="标题 3 12" xfId="32257"/>
    <cellStyle name="标题 3 12 10" xfId="15316"/>
    <cellStyle name="标题 3 12 11" xfId="15322"/>
    <cellStyle name="标题 3 12 12" xfId="22711"/>
    <cellStyle name="标题 3 12 13" xfId="22714"/>
    <cellStyle name="标题 3 12 14" xfId="22716"/>
    <cellStyle name="标题 3 12 2" xfId="27769"/>
    <cellStyle name="标题 3 12 3" xfId="27771"/>
    <cellStyle name="标题 3 12 4" xfId="32258"/>
    <cellStyle name="标题 3 12 5" xfId="32259"/>
    <cellStyle name="标题 3 12 5 10" xfId="32260"/>
    <cellStyle name="标题 3 12 5 11" xfId="32261"/>
    <cellStyle name="标题 3 12 5 2" xfId="31376"/>
    <cellStyle name="标题 3 12 5 2 2" xfId="32262"/>
    <cellStyle name="标题 3 12 5 2 2 2" xfId="32263"/>
    <cellStyle name="标题 3 12 5 2 2 3" xfId="32264"/>
    <cellStyle name="标题 3 12 5 2 3" xfId="32265"/>
    <cellStyle name="标题 3 12 5 2 4" xfId="32266"/>
    <cellStyle name="标题 3 12 5 2 5" xfId="32267"/>
    <cellStyle name="标题 3 12 5 2 6" xfId="22935"/>
    <cellStyle name="标题 3 12 5 2 7" xfId="22938"/>
    <cellStyle name="标题 3 12 5 2 8" xfId="30896"/>
    <cellStyle name="标题 3 12 5 3" xfId="31378"/>
    <cellStyle name="标题 3 12 5 4" xfId="9493"/>
    <cellStyle name="标题 3 12 5 5" xfId="9557"/>
    <cellStyle name="标题 3 12 5 6" xfId="9588"/>
    <cellStyle name="标题 3 12 5 6 2" xfId="22899"/>
    <cellStyle name="标题 3 12 5 6 3" xfId="22902"/>
    <cellStyle name="标题 3 12 5 7" xfId="9595"/>
    <cellStyle name="标题 3 12 5 8" xfId="9602"/>
    <cellStyle name="标题 3 12 5 9" xfId="11517"/>
    <cellStyle name="标题 3 12 6" xfId="26085"/>
    <cellStyle name="标题 3 12 6 2" xfId="19810"/>
    <cellStyle name="标题 3 12 6 2 2" xfId="32268"/>
    <cellStyle name="标题 3 12 6 2 3" xfId="32269"/>
    <cellStyle name="标题 3 12 6 3" xfId="32270"/>
    <cellStyle name="标题 3 12 6 4" xfId="32271"/>
    <cellStyle name="标题 3 12 6 5" xfId="32272"/>
    <cellStyle name="标题 3 12 6 6" xfId="32273"/>
    <cellStyle name="标题 3 12 6 7" xfId="25738"/>
    <cellStyle name="标题 3 12 6 8" xfId="6969"/>
    <cellStyle name="标题 3 12 7" xfId="32274"/>
    <cellStyle name="标题 3 12 8" xfId="32275"/>
    <cellStyle name="标题 3 12 9" xfId="32276"/>
    <cellStyle name="标题 3 12 9 2" xfId="32277"/>
    <cellStyle name="标题 3 12 9 3" xfId="32278"/>
    <cellStyle name="标题 3 13" xfId="32279"/>
    <cellStyle name="标题 3 14" xfId="4225"/>
    <cellStyle name="标题 3 15" xfId="4231"/>
    <cellStyle name="标题 3 16" xfId="2064"/>
    <cellStyle name="标题 3 16 10" xfId="23453"/>
    <cellStyle name="标题 3 16 11" xfId="32280"/>
    <cellStyle name="标题 3 16 12" xfId="25687"/>
    <cellStyle name="标题 3 16 13" xfId="32282"/>
    <cellStyle name="标题 3 16 14" xfId="32284"/>
    <cellStyle name="标题 3 16 2" xfId="32285"/>
    <cellStyle name="标题 3 16 3" xfId="32286"/>
    <cellStyle name="标题 3 16 4" xfId="32287"/>
    <cellStyle name="标题 3 16 5" xfId="32289"/>
    <cellStyle name="标题 3 16 5 10" xfId="32291"/>
    <cellStyle name="标题 3 16 5 11" xfId="3598"/>
    <cellStyle name="标题 3 16 5 2" xfId="21808"/>
    <cellStyle name="标题 3 16 5 2 2" xfId="32292"/>
    <cellStyle name="标题 3 16 5 2 2 2" xfId="32293"/>
    <cellStyle name="标题 3 16 5 2 2 3" xfId="32294"/>
    <cellStyle name="标题 3 16 5 2 3" xfId="32295"/>
    <cellStyle name="标题 3 16 5 2 4" xfId="32296"/>
    <cellStyle name="标题 3 16 5 2 5" xfId="32297"/>
    <cellStyle name="标题 3 16 5 2 6" xfId="32298"/>
    <cellStyle name="标题 3 16 5 2 7" xfId="32299"/>
    <cellStyle name="标题 3 16 5 2 8" xfId="32300"/>
    <cellStyle name="标题 3 16 5 3" xfId="2918"/>
    <cellStyle name="标题 3 16 5 4" xfId="2944"/>
    <cellStyle name="标题 3 16 5 5" xfId="2961"/>
    <cellStyle name="标题 3 16 5 6" xfId="2985"/>
    <cellStyle name="标题 3 16 5 6 2" xfId="32302"/>
    <cellStyle name="标题 3 16 5 6 3" xfId="3802"/>
    <cellStyle name="标题 3 16 5 7" xfId="3011"/>
    <cellStyle name="标题 3 16 5 8" xfId="3020"/>
    <cellStyle name="标题 3 16 5 9" xfId="3028"/>
    <cellStyle name="标题 3 16 6" xfId="32304"/>
    <cellStyle name="标题 3 16 6 2" xfId="19750"/>
    <cellStyle name="标题 3 16 6 2 2" xfId="29100"/>
    <cellStyle name="标题 3 16 6 2 3" xfId="29102"/>
    <cellStyle name="标题 3 16 6 3" xfId="32305"/>
    <cellStyle name="标题 3 16 6 4" xfId="32306"/>
    <cellStyle name="标题 3 16 6 5" xfId="32307"/>
    <cellStyle name="标题 3 16 6 6" xfId="32308"/>
    <cellStyle name="标题 3 16 6 7" xfId="32309"/>
    <cellStyle name="标题 3 16 6 8" xfId="32311"/>
    <cellStyle name="标题 3 16 7" xfId="32313"/>
    <cellStyle name="标题 3 16 8" xfId="32314"/>
    <cellStyle name="标题 3 16 9" xfId="20518"/>
    <cellStyle name="标题 3 16 9 2" xfId="20105"/>
    <cellStyle name="标题 3 16 9 3" xfId="3070"/>
    <cellStyle name="标题 3 17" xfId="2087"/>
    <cellStyle name="标题 3 17 10" xfId="30720"/>
    <cellStyle name="标题 3 17 11" xfId="30722"/>
    <cellStyle name="标题 3 17 12" xfId="30724"/>
    <cellStyle name="标题 3 17 13" xfId="30726"/>
    <cellStyle name="标题 3 17 14" xfId="30728"/>
    <cellStyle name="标题 3 17 2" xfId="27865"/>
    <cellStyle name="标题 3 17 3" xfId="27867"/>
    <cellStyle name="标题 3 17 4" xfId="32315"/>
    <cellStyle name="标题 3 17 5" xfId="32316"/>
    <cellStyle name="标题 3 17 5 10" xfId="4651"/>
    <cellStyle name="标题 3 17 5 11" xfId="4659"/>
    <cellStyle name="标题 3 17 5 2" xfId="10064"/>
    <cellStyle name="标题 3 17 5 2 2" xfId="32317"/>
    <cellStyle name="标题 3 17 5 2 2 2" xfId="32319"/>
    <cellStyle name="标题 3 17 5 2 2 3" xfId="32320"/>
    <cellStyle name="标题 3 17 5 2 3" xfId="18895"/>
    <cellStyle name="标题 3 17 5 2 4" xfId="18898"/>
    <cellStyle name="标题 3 17 5 2 5" xfId="5719"/>
    <cellStyle name="标题 3 17 5 2 6" xfId="5740"/>
    <cellStyle name="标题 3 17 5 2 7" xfId="18900"/>
    <cellStyle name="标题 3 17 5 2 8" xfId="18902"/>
    <cellStyle name="标题 3 17 5 3" xfId="2084"/>
    <cellStyle name="标题 3 17 5 4" xfId="3121"/>
    <cellStyle name="标题 3 17 5 5" xfId="32322"/>
    <cellStyle name="标题 3 17 5 6" xfId="32323"/>
    <cellStyle name="标题 3 17 5 6 2" xfId="23572"/>
    <cellStyle name="标题 3 17 5 6 3" xfId="18914"/>
    <cellStyle name="标题 3 17 5 7" xfId="32324"/>
    <cellStyle name="标题 3 17 5 8" xfId="32325"/>
    <cellStyle name="标题 3 17 5 9" xfId="32326"/>
    <cellStyle name="标题 3 17 6" xfId="32327"/>
    <cellStyle name="标题 3 17 6 2" xfId="32328"/>
    <cellStyle name="标题 3 17 6 2 2" xfId="32329"/>
    <cellStyle name="标题 3 17 6 2 3" xfId="18924"/>
    <cellStyle name="标题 3 17 6 3" xfId="32330"/>
    <cellStyle name="标题 3 17 6 4" xfId="32331"/>
    <cellStyle name="标题 3 17 6 5" xfId="32332"/>
    <cellStyle name="标题 3 17 6 6" xfId="32333"/>
    <cellStyle name="标题 3 17 6 7" xfId="25740"/>
    <cellStyle name="标题 3 17 6 8" xfId="32335"/>
    <cellStyle name="标题 3 17 7" xfId="32336"/>
    <cellStyle name="标题 3 17 8" xfId="32337"/>
    <cellStyle name="标题 3 17 9" xfId="20526"/>
    <cellStyle name="标题 3 17 9 2" xfId="14717"/>
    <cellStyle name="标题 3 17 9 3" xfId="14720"/>
    <cellStyle name="标题 3 18" xfId="4239"/>
    <cellStyle name="标题 3 18 10" xfId="32338"/>
    <cellStyle name="标题 3 18 11" xfId="32339"/>
    <cellStyle name="标题 3 18 12" xfId="32340"/>
    <cellStyle name="标题 3 18 13" xfId="25554"/>
    <cellStyle name="标题 3 18 14" xfId="32341"/>
    <cellStyle name="标题 3 18 2" xfId="20236"/>
    <cellStyle name="标题 3 18 3" xfId="20239"/>
    <cellStyle name="标题 3 18 4" xfId="20241"/>
    <cellStyle name="标题 3 18 5" xfId="20243"/>
    <cellStyle name="标题 3 18 5 10" xfId="32342"/>
    <cellStyle name="标题 3 18 5 11" xfId="32343"/>
    <cellStyle name="标题 3 18 5 2" xfId="5066"/>
    <cellStyle name="标题 3 18 5 2 2" xfId="18993"/>
    <cellStyle name="标题 3 18 5 2 2 2" xfId="18997"/>
    <cellStyle name="标题 3 18 5 2 2 3" xfId="19001"/>
    <cellStyle name="标题 3 18 5 2 3" xfId="18960"/>
    <cellStyle name="标题 3 18 5 2 4" xfId="18966"/>
    <cellStyle name="标题 3 18 5 2 5" xfId="18970"/>
    <cellStyle name="标题 3 18 5 2 6" xfId="18973"/>
    <cellStyle name="标题 3 18 5 2 7" xfId="18976"/>
    <cellStyle name="标题 3 18 5 2 8" xfId="18979"/>
    <cellStyle name="标题 3 18 5 3" xfId="5077"/>
    <cellStyle name="标题 3 18 5 4" xfId="29638"/>
    <cellStyle name="标题 3 18 5 5" xfId="32345"/>
    <cellStyle name="标题 3 18 5 6" xfId="32347"/>
    <cellStyle name="标题 3 18 5 6 2" xfId="27297"/>
    <cellStyle name="标题 3 18 5 6 3" xfId="18986"/>
    <cellStyle name="标题 3 18 5 7" xfId="31590"/>
    <cellStyle name="标题 3 18 5 8" xfId="31593"/>
    <cellStyle name="标题 3 18 5 9" xfId="32349"/>
    <cellStyle name="标题 3 18 6" xfId="20245"/>
    <cellStyle name="标题 3 18 6 2" xfId="6893"/>
    <cellStyle name="标题 3 18 6 2 2" xfId="32350"/>
    <cellStyle name="标题 3 18 6 2 3" xfId="19000"/>
    <cellStyle name="标题 3 18 6 3" xfId="6897"/>
    <cellStyle name="标题 3 18 6 4" xfId="32352"/>
    <cellStyle name="标题 3 18 6 5" xfId="32354"/>
    <cellStyle name="标题 3 18 6 6" xfId="32356"/>
    <cellStyle name="标题 3 18 6 7" xfId="32358"/>
    <cellStyle name="标题 3 18 6 8" xfId="32361"/>
    <cellStyle name="标题 3 18 7" xfId="20249"/>
    <cellStyle name="标题 3 18 8" xfId="32362"/>
    <cellStyle name="标题 3 18 9" xfId="3520"/>
    <cellStyle name="标题 3 18 9 2" xfId="2529"/>
    <cellStyle name="标题 3 18 9 3" xfId="5135"/>
    <cellStyle name="标题 3 19" xfId="4249"/>
    <cellStyle name="标题 3 2" xfId="7564"/>
    <cellStyle name="标题 3 2 10" xfId="18881"/>
    <cellStyle name="标题 3 2 11" xfId="18884"/>
    <cellStyle name="标题 3 2 12" xfId="18887"/>
    <cellStyle name="标题 3 2 13" xfId="13846"/>
    <cellStyle name="标题 3 2 14" xfId="13849"/>
    <cellStyle name="标题 3 2 15" xfId="18930"/>
    <cellStyle name="标题 3 2 16" xfId="18933"/>
    <cellStyle name="标题 3 2 17" xfId="18935"/>
    <cellStyle name="标题 3 2 17 10" xfId="32363"/>
    <cellStyle name="标题 3 2 17 11" xfId="32364"/>
    <cellStyle name="标题 3 2 17 12" xfId="32365"/>
    <cellStyle name="标题 3 2 17 13" xfId="30266"/>
    <cellStyle name="标题 3 2 17 14" xfId="30269"/>
    <cellStyle name="标题 3 2 17 2" xfId="18937"/>
    <cellStyle name="标题 3 2 17 3" xfId="18940"/>
    <cellStyle name="标题 3 2 17 4" xfId="32366"/>
    <cellStyle name="标题 3 2 17 5" xfId="32367"/>
    <cellStyle name="标题 3 2 17 5 10" xfId="2419"/>
    <cellStyle name="标题 3 2 17 5 11" xfId="2587"/>
    <cellStyle name="标题 3 2 17 5 2" xfId="32368"/>
    <cellStyle name="标题 3 2 17 5 2 2" xfId="32369"/>
    <cellStyle name="标题 3 2 17 5 2 2 2" xfId="32370"/>
    <cellStyle name="标题 3 2 17 5 2 2 3" xfId="32371"/>
    <cellStyle name="标题 3 2 17 5 2 3" xfId="32372"/>
    <cellStyle name="标题 3 2 17 5 2 4" xfId="32373"/>
    <cellStyle name="标题 3 2 17 5 2 5" xfId="19822"/>
    <cellStyle name="标题 3 2 17 5 2 6" xfId="19826"/>
    <cellStyle name="标题 3 2 17 5 2 7" xfId="19829"/>
    <cellStyle name="标题 3 2 17 5 2 8" xfId="19832"/>
    <cellStyle name="标题 3 2 17 5 3" xfId="32374"/>
    <cellStyle name="标题 3 2 17 5 4" xfId="14074"/>
    <cellStyle name="标题 3 2 17 5 5" xfId="14079"/>
    <cellStyle name="标题 3 2 17 5 6" xfId="32375"/>
    <cellStyle name="标题 3 2 17 5 6 2" xfId="5356"/>
    <cellStyle name="标题 3 2 17 5 6 3" xfId="5406"/>
    <cellStyle name="标题 3 2 17 5 7" xfId="32376"/>
    <cellStyle name="标题 3 2 17 5 8" xfId="32377"/>
    <cellStyle name="标题 3 2 17 5 9" xfId="32378"/>
    <cellStyle name="标题 3 2 17 6" xfId="32379"/>
    <cellStyle name="标题 3 2 17 6 2" xfId="7899"/>
    <cellStyle name="标题 3 2 17 6 2 2" xfId="32380"/>
    <cellStyle name="标题 3 2 17 6 2 3" xfId="32381"/>
    <cellStyle name="标题 3 2 17 6 3" xfId="5616"/>
    <cellStyle name="标题 3 2 17 6 4" xfId="32382"/>
    <cellStyle name="标题 3 2 17 6 5" xfId="26012"/>
    <cellStyle name="标题 3 2 17 6 6" xfId="32383"/>
    <cellStyle name="标题 3 2 17 6 7" xfId="32384"/>
    <cellStyle name="标题 3 2 17 6 8" xfId="32385"/>
    <cellStyle name="标题 3 2 17 7" xfId="32386"/>
    <cellStyle name="标题 3 2 17 8" xfId="32387"/>
    <cellStyle name="标题 3 2 17 9" xfId="32388"/>
    <cellStyle name="标题 3 2 17 9 2" xfId="19269"/>
    <cellStyle name="标题 3 2 17 9 3" xfId="1505"/>
    <cellStyle name="标题 3 2 18" xfId="32389"/>
    <cellStyle name="标题 3 2 18 10" xfId="23077"/>
    <cellStyle name="标题 3 2 18 11" xfId="23080"/>
    <cellStyle name="标题 3 2 18 12" xfId="23082"/>
    <cellStyle name="标题 3 2 18 13" xfId="23084"/>
    <cellStyle name="标题 3 2 18 14" xfId="23086"/>
    <cellStyle name="标题 3 2 18 2" xfId="13074"/>
    <cellStyle name="标题 3 2 18 3" xfId="13099"/>
    <cellStyle name="标题 3 2 18 4" xfId="13102"/>
    <cellStyle name="标题 3 2 18 5" xfId="13106"/>
    <cellStyle name="标题 3 2 18 5 10" xfId="23981"/>
    <cellStyle name="标题 3 2 18 5 11" xfId="23983"/>
    <cellStyle name="标题 3 2 18 5 2" xfId="32390"/>
    <cellStyle name="标题 3 2 18 5 2 2" xfId="20512"/>
    <cellStyle name="标题 3 2 18 5 2 2 2" xfId="32391"/>
    <cellStyle name="标题 3 2 18 5 2 2 3" xfId="32392"/>
    <cellStyle name="标题 3 2 18 5 2 3" xfId="20514"/>
    <cellStyle name="标题 3 2 18 5 2 4" xfId="20516"/>
    <cellStyle name="标题 3 2 18 5 2 5" xfId="32393"/>
    <cellStyle name="标题 3 2 18 5 2 6" xfId="32394"/>
    <cellStyle name="标题 3 2 18 5 2 7" xfId="32396"/>
    <cellStyle name="标题 3 2 18 5 2 8" xfId="32398"/>
    <cellStyle name="标题 3 2 18 5 3" xfId="32399"/>
    <cellStyle name="标题 3 2 18 5 4" xfId="32400"/>
    <cellStyle name="标题 3 2 18 5 5" xfId="32401"/>
    <cellStyle name="标题 3 2 18 5 6" xfId="32402"/>
    <cellStyle name="标题 3 2 18 5 6 2" xfId="29616"/>
    <cellStyle name="标题 3 2 18 5 6 3" xfId="29618"/>
    <cellStyle name="标题 3 2 18 5 7" xfId="32403"/>
    <cellStyle name="标题 3 2 18 5 8" xfId="32404"/>
    <cellStyle name="标题 3 2 18 5 9" xfId="32405"/>
    <cellStyle name="标题 3 2 18 6" xfId="13109"/>
    <cellStyle name="标题 3 2 18 6 2" xfId="9332"/>
    <cellStyle name="标题 3 2 18 6 2 2" xfId="20692"/>
    <cellStyle name="标题 3 2 18 6 2 3" xfId="32406"/>
    <cellStyle name="标题 3 2 18 6 3" xfId="9340"/>
    <cellStyle name="标题 3 2 18 6 4" xfId="32407"/>
    <cellStyle name="标题 3 2 18 6 5" xfId="32408"/>
    <cellStyle name="标题 3 2 18 6 6" xfId="32409"/>
    <cellStyle name="标题 3 2 18 6 7" xfId="32410"/>
    <cellStyle name="标题 3 2 18 6 8" xfId="32411"/>
    <cellStyle name="标题 3 2 18 7" xfId="1244"/>
    <cellStyle name="标题 3 2 18 8" xfId="1259"/>
    <cellStyle name="标题 3 2 18 9" xfId="32413"/>
    <cellStyle name="标题 3 2 18 9 2" xfId="30555"/>
    <cellStyle name="标题 3 2 18 9 3" xfId="30557"/>
    <cellStyle name="标题 3 2 19" xfId="32414"/>
    <cellStyle name="标题 3 2 19 10" xfId="17568"/>
    <cellStyle name="标题 3 2 19 11" xfId="17570"/>
    <cellStyle name="标题 3 2 19 12" xfId="17572"/>
    <cellStyle name="标题 3 2 19 13" xfId="17577"/>
    <cellStyle name="标题 3 2 19 14" xfId="17579"/>
    <cellStyle name="标题 3 2 19 2" xfId="13120"/>
    <cellStyle name="标题 3 2 19 3" xfId="13129"/>
    <cellStyle name="标题 3 2 19 4" xfId="13134"/>
    <cellStyle name="标题 3 2 19 5" xfId="13139"/>
    <cellStyle name="标题 3 2 19 5 10" xfId="20492"/>
    <cellStyle name="标题 3 2 19 5 11" xfId="20494"/>
    <cellStyle name="标题 3 2 19 5 2" xfId="5644"/>
    <cellStyle name="标题 3 2 19 5 2 2" xfId="4469"/>
    <cellStyle name="标题 3 2 19 5 2 2 2" xfId="22286"/>
    <cellStyle name="标题 3 2 19 5 2 2 3" xfId="22289"/>
    <cellStyle name="标题 3 2 19 5 2 3" xfId="4482"/>
    <cellStyle name="标题 3 2 19 5 2 4" xfId="4496"/>
    <cellStyle name="标题 3 2 19 5 2 5" xfId="4506"/>
    <cellStyle name="标题 3 2 19 5 2 6" xfId="11654"/>
    <cellStyle name="标题 3 2 19 5 2 7" xfId="11657"/>
    <cellStyle name="标题 3 2 19 5 2 8" xfId="10410"/>
    <cellStyle name="标题 3 2 19 5 3" xfId="5650"/>
    <cellStyle name="标题 3 2 19 5 4" xfId="11226"/>
    <cellStyle name="标题 3 2 19 5 5" xfId="11233"/>
    <cellStyle name="标题 3 2 19 5 6" xfId="11240"/>
    <cellStyle name="标题 3 2 19 5 6 2" xfId="4774"/>
    <cellStyle name="标题 3 2 19 5 6 3" xfId="27563"/>
    <cellStyle name="标题 3 2 19 5 7" xfId="11245"/>
    <cellStyle name="标题 3 2 19 5 8" xfId="9275"/>
    <cellStyle name="标题 3 2 19 5 9" xfId="9284"/>
    <cellStyle name="标题 3 2 19 6" xfId="13144"/>
    <cellStyle name="标题 3 2 19 6 2" xfId="9546"/>
    <cellStyle name="标题 3 2 19 6 2 2" xfId="11205"/>
    <cellStyle name="标题 3 2 19 6 2 3" xfId="11211"/>
    <cellStyle name="标题 3 2 19 6 3" xfId="9551"/>
    <cellStyle name="标题 3 2 19 6 4" xfId="32415"/>
    <cellStyle name="标题 3 2 19 6 5" xfId="32416"/>
    <cellStyle name="标题 3 2 19 6 6" xfId="26297"/>
    <cellStyle name="标题 3 2 19 6 7" xfId="26299"/>
    <cellStyle name="标题 3 2 19 6 8" xfId="25851"/>
    <cellStyle name="标题 3 2 19 7" xfId="32417"/>
    <cellStyle name="标题 3 2 19 8" xfId="32418"/>
    <cellStyle name="标题 3 2 19 9" xfId="32419"/>
    <cellStyle name="标题 3 2 19 9 2" xfId="7141"/>
    <cellStyle name="标题 3 2 19 9 3" xfId="11422"/>
    <cellStyle name="标题 3 2 2" xfId="15720"/>
    <cellStyle name="标题 3 2 2 10" xfId="32421"/>
    <cellStyle name="标题 3 2 2 11" xfId="20162"/>
    <cellStyle name="标题 3 2 2 12" xfId="20165"/>
    <cellStyle name="标题 3 2 2 13" xfId="22811"/>
    <cellStyle name="标题 3 2 2 14" xfId="22814"/>
    <cellStyle name="标题 3 2 2 2" xfId="19027"/>
    <cellStyle name="标题 3 2 2 3" xfId="27386"/>
    <cellStyle name="标题 3 2 2 4" xfId="27388"/>
    <cellStyle name="标题 3 2 2 5" xfId="23193"/>
    <cellStyle name="标题 3 2 2 6" xfId="23210"/>
    <cellStyle name="标题 3 2 2 7" xfId="23213"/>
    <cellStyle name="标题 3 2 2 8" xfId="23216"/>
    <cellStyle name="标题 3 2 2 9" xfId="23219"/>
    <cellStyle name="标题 3 2 20" xfId="18931"/>
    <cellStyle name="标题 3 2 20 10" xfId="28171"/>
    <cellStyle name="标题 3 2 20 11" xfId="32422"/>
    <cellStyle name="标题 3 2 20 12" xfId="32423"/>
    <cellStyle name="标题 3 2 20 13" xfId="32424"/>
    <cellStyle name="标题 3 2 20 14" xfId="32425"/>
    <cellStyle name="标题 3 2 20 2" xfId="32426"/>
    <cellStyle name="标题 3 2 20 3" xfId="32427"/>
    <cellStyle name="标题 3 2 20 4" xfId="32428"/>
    <cellStyle name="标题 3 2 20 5" xfId="18497"/>
    <cellStyle name="标题 3 2 20 5 10" xfId="6821"/>
    <cellStyle name="标题 3 2 20 5 11" xfId="14864"/>
    <cellStyle name="标题 3 2 20 5 2" xfId="19825"/>
    <cellStyle name="标题 3 2 20 5 2 2" xfId="32429"/>
    <cellStyle name="标题 3 2 20 5 2 2 2" xfId="32431"/>
    <cellStyle name="标题 3 2 20 5 2 2 3" xfId="32432"/>
    <cellStyle name="标题 3 2 20 5 2 3" xfId="32433"/>
    <cellStyle name="标题 3 2 20 5 2 4" xfId="32435"/>
    <cellStyle name="标题 3 2 20 5 2 5" xfId="32437"/>
    <cellStyle name="标题 3 2 20 5 2 6" xfId="32438"/>
    <cellStyle name="标题 3 2 20 5 2 7" xfId="24337"/>
    <cellStyle name="标题 3 2 20 5 2 8" xfId="24340"/>
    <cellStyle name="标题 3 2 20 5 3" xfId="19828"/>
    <cellStyle name="标题 3 2 20 5 4" xfId="19831"/>
    <cellStyle name="标题 3 2 20 5 5" xfId="19834"/>
    <cellStyle name="标题 3 2 20 5 6" xfId="32439"/>
    <cellStyle name="标题 3 2 20 5 6 2" xfId="32440"/>
    <cellStyle name="标题 3 2 20 5 6 3" xfId="32441"/>
    <cellStyle name="标题 3 2 20 5 7" xfId="32442"/>
    <cellStyle name="标题 3 2 20 5 8" xfId="29907"/>
    <cellStyle name="标题 3 2 20 5 9" xfId="29909"/>
    <cellStyle name="标题 3 2 20 6" xfId="18502"/>
    <cellStyle name="标题 3 2 20 6 2" xfId="2410"/>
    <cellStyle name="标题 3 2 20 6 2 2" xfId="2561"/>
    <cellStyle name="标题 3 2 20 6 2 3" xfId="14393"/>
    <cellStyle name="标题 3 2 20 6 3" xfId="9060"/>
    <cellStyle name="标题 3 2 20 6 4" xfId="32444"/>
    <cellStyle name="标题 3 2 20 6 5" xfId="32446"/>
    <cellStyle name="标题 3 2 20 6 6" xfId="32448"/>
    <cellStyle name="标题 3 2 20 6 7" xfId="32450"/>
    <cellStyle name="标题 3 2 20 6 8" xfId="32452"/>
    <cellStyle name="标题 3 2 20 7" xfId="1114"/>
    <cellStyle name="标题 3 2 20 8" xfId="1161"/>
    <cellStyle name="标题 3 2 20 9" xfId="1177"/>
    <cellStyle name="标题 3 2 20 9 2" xfId="5451"/>
    <cellStyle name="标题 3 2 20 9 3" xfId="32454"/>
    <cellStyle name="标题 3 2 3" xfId="15723"/>
    <cellStyle name="标题 3 2 3 10" xfId="21713"/>
    <cellStyle name="标题 3 2 3 11" xfId="21715"/>
    <cellStyle name="标题 3 2 3 12" xfId="21717"/>
    <cellStyle name="标题 3 2 3 13" xfId="32455"/>
    <cellStyle name="标题 3 2 3 14" xfId="32456"/>
    <cellStyle name="标题 3 2 3 2" xfId="32457"/>
    <cellStyle name="标题 3 2 3 3" xfId="32458"/>
    <cellStyle name="标题 3 2 3 4" xfId="7910"/>
    <cellStyle name="标题 3 2 3 5" xfId="7913"/>
    <cellStyle name="标题 3 2 3 6" xfId="7916"/>
    <cellStyle name="标题 3 2 3 7" xfId="23229"/>
    <cellStyle name="标题 3 2 3 8" xfId="23231"/>
    <cellStyle name="标题 3 2 3 9" xfId="23233"/>
    <cellStyle name="标题 3 2 4" xfId="25322"/>
    <cellStyle name="标题 3 2 4 10" xfId="22040"/>
    <cellStyle name="标题 3 2 4 11" xfId="22042"/>
    <cellStyle name="标题 3 2 4 12" xfId="3595"/>
    <cellStyle name="标题 3 2 4 13" xfId="3607"/>
    <cellStyle name="标题 3 2 4 14" xfId="5938"/>
    <cellStyle name="标题 3 2 4 2" xfId="18870"/>
    <cellStyle name="标题 3 2 4 3" xfId="18873"/>
    <cellStyle name="标题 3 2 4 4" xfId="18880"/>
    <cellStyle name="标题 3 2 4 5" xfId="23244"/>
    <cellStyle name="标题 3 2 4 6" xfId="767"/>
    <cellStyle name="标题 3 2 4 7" xfId="497"/>
    <cellStyle name="标题 3 2 4 8" xfId="773"/>
    <cellStyle name="标题 3 2 4 9" xfId="780"/>
    <cellStyle name="标题 3 2 5" xfId="25325"/>
    <cellStyle name="标题 3 2 6" xfId="32459"/>
    <cellStyle name="标题 3 2 7" xfId="32460"/>
    <cellStyle name="标题 3 2 8" xfId="15503"/>
    <cellStyle name="标题 3 2 9" xfId="15506"/>
    <cellStyle name="标题 3 3" xfId="7574"/>
    <cellStyle name="标题 3 3 10" xfId="13595"/>
    <cellStyle name="标题 3 3 11" xfId="13598"/>
    <cellStyle name="标题 3 3 12" xfId="13603"/>
    <cellStyle name="标题 3 3 13" xfId="13612"/>
    <cellStyle name="标题 3 3 14" xfId="25147"/>
    <cellStyle name="标题 3 3 15" xfId="5137"/>
    <cellStyle name="标题 3 3 16" xfId="17573"/>
    <cellStyle name="标题 3 3 17" xfId="25151"/>
    <cellStyle name="标题 3 3 17 10" xfId="32461"/>
    <cellStyle name="标题 3 3 17 11" xfId="3593"/>
    <cellStyle name="标题 3 3 17 12" xfId="3605"/>
    <cellStyle name="标题 3 3 17 13" xfId="5933"/>
    <cellStyle name="标题 3 3 17 14" xfId="5945"/>
    <cellStyle name="标题 3 3 17 2" xfId="32462"/>
    <cellStyle name="标题 3 3 17 2 2" xfId="32463"/>
    <cellStyle name="标题 3 3 17 3" xfId="27729"/>
    <cellStyle name="标题 3 3 17 4" xfId="27731"/>
    <cellStyle name="标题 3 3 17 5" xfId="27733"/>
    <cellStyle name="标题 3 3 17 5 10" xfId="10811"/>
    <cellStyle name="标题 3 3 17 5 11" xfId="32464"/>
    <cellStyle name="标题 3 3 17 5 2" xfId="6807"/>
    <cellStyle name="标题 3 3 17 5 2 2" xfId="32465"/>
    <cellStyle name="标题 3 3 17 5 2 2 2" xfId="32467"/>
    <cellStyle name="标题 3 3 17 5 2 2 3" xfId="32468"/>
    <cellStyle name="标题 3 3 17 5 2 3" xfId="32469"/>
    <cellStyle name="标题 3 3 17 5 2 4" xfId="14088"/>
    <cellStyle name="标题 3 3 17 5 2 5" xfId="14091"/>
    <cellStyle name="标题 3 3 17 5 2 6" xfId="32472"/>
    <cellStyle name="标题 3 3 17 5 2 7" xfId="10536"/>
    <cellStyle name="标题 3 3 17 5 2 8" xfId="10540"/>
    <cellStyle name="标题 3 3 17 5 3" xfId="32473"/>
    <cellStyle name="标题 3 3 17 5 4" xfId="32474"/>
    <cellStyle name="标题 3 3 17 5 5" xfId="32475"/>
    <cellStyle name="标题 3 3 17 5 6" xfId="32476"/>
    <cellStyle name="标题 3 3 17 5 6 2" xfId="32477"/>
    <cellStyle name="标题 3 3 17 5 6 3" xfId="32478"/>
    <cellStyle name="标题 3 3 17 5 7" xfId="32479"/>
    <cellStyle name="标题 3 3 17 5 8" xfId="32480"/>
    <cellStyle name="标题 3 3 17 5 9" xfId="32482"/>
    <cellStyle name="标题 3 3 17 6" xfId="27735"/>
    <cellStyle name="标题 3 3 17 6 2" xfId="9954"/>
    <cellStyle name="标题 3 3 17 6 2 2" xfId="32484"/>
    <cellStyle name="标题 3 3 17 6 2 3" xfId="16019"/>
    <cellStyle name="标题 3 3 17 6 3" xfId="9959"/>
    <cellStyle name="标题 3 3 17 6 4" xfId="32485"/>
    <cellStyle name="标题 3 3 17 6 5" xfId="32486"/>
    <cellStyle name="标题 3 3 17 6 6" xfId="32487"/>
    <cellStyle name="标题 3 3 17 6 7" xfId="8955"/>
    <cellStyle name="标题 3 3 17 6 8" xfId="8960"/>
    <cellStyle name="标题 3 3 17 7" xfId="27737"/>
    <cellStyle name="标题 3 3 17 8" xfId="25922"/>
    <cellStyle name="标题 3 3 17 9" xfId="32488"/>
    <cellStyle name="标题 3 3 17 9 2" xfId="32489"/>
    <cellStyle name="标题 3 3 17 9 3" xfId="32490"/>
    <cellStyle name="标题 3 3 18" xfId="25154"/>
    <cellStyle name="标题 3 3 18 10" xfId="32491"/>
    <cellStyle name="标题 3 3 18 11" xfId="32492"/>
    <cellStyle name="标题 3 3 18 12" xfId="32493"/>
    <cellStyle name="标题 3 3 18 13" xfId="32495"/>
    <cellStyle name="标题 3 3 18 14" xfId="32497"/>
    <cellStyle name="标题 3 3 18 2" xfId="32498"/>
    <cellStyle name="标题 3 3 18 3" xfId="32499"/>
    <cellStyle name="标题 3 3 18 4" xfId="32500"/>
    <cellStyle name="标题 3 3 18 5" xfId="32501"/>
    <cellStyle name="标题 3 3 18 5 10" xfId="32502"/>
    <cellStyle name="标题 3 3 18 5 11" xfId="32503"/>
    <cellStyle name="标题 3 3 18 5 2" xfId="32504"/>
    <cellStyle name="标题 3 3 18 5 2 2" xfId="32505"/>
    <cellStyle name="标题 3 3 18 5 2 2 2" xfId="32506"/>
    <cellStyle name="标题 3 3 18 5 2 2 3" xfId="20641"/>
    <cellStyle name="标题 3 3 18 5 2 3" xfId="32507"/>
    <cellStyle name="标题 3 3 18 5 2 4" xfId="32508"/>
    <cellStyle name="标题 3 3 18 5 2 5" xfId="32509"/>
    <cellStyle name="标题 3 3 18 5 2 6" xfId="32510"/>
    <cellStyle name="标题 3 3 18 5 2 7" xfId="32512"/>
    <cellStyle name="标题 3 3 18 5 2 8" xfId="32514"/>
    <cellStyle name="标题 3 3 18 5 3" xfId="3570"/>
    <cellStyle name="标题 3 3 18 5 4" xfId="3826"/>
    <cellStyle name="标题 3 3 18 5 5" xfId="32515"/>
    <cellStyle name="标题 3 3 18 5 6" xfId="32516"/>
    <cellStyle name="标题 3 3 18 5 6 2" xfId="32517"/>
    <cellStyle name="标题 3 3 18 5 6 3" xfId="32518"/>
    <cellStyle name="标题 3 3 18 5 7" xfId="32519"/>
    <cellStyle name="标题 3 3 18 5 8" xfId="32520"/>
    <cellStyle name="标题 3 3 18 5 9" xfId="32521"/>
    <cellStyle name="标题 3 3 18 6" xfId="32522"/>
    <cellStyle name="标题 3 3 18 6 2" xfId="10024"/>
    <cellStyle name="标题 3 3 18 6 2 2" xfId="9252"/>
    <cellStyle name="标题 3 3 18 6 2 3" xfId="9257"/>
    <cellStyle name="标题 3 3 18 6 3" xfId="10029"/>
    <cellStyle name="标题 3 3 18 6 4" xfId="26339"/>
    <cellStyle name="标题 3 3 18 6 5" xfId="26342"/>
    <cellStyle name="标题 3 3 18 6 6" xfId="27298"/>
    <cellStyle name="标题 3 3 18 6 7" xfId="27300"/>
    <cellStyle name="标题 3 3 18 6 8" xfId="25838"/>
    <cellStyle name="标题 3 3 18 7" xfId="2331"/>
    <cellStyle name="标题 3 3 18 8" xfId="2335"/>
    <cellStyle name="标题 3 3 18 9" xfId="32523"/>
    <cellStyle name="标题 3 3 18 9 2" xfId="32524"/>
    <cellStyle name="标题 3 3 18 9 3" xfId="32525"/>
    <cellStyle name="标题 3 3 19" xfId="25156"/>
    <cellStyle name="标题 3 3 19 10" xfId="8710"/>
    <cellStyle name="标题 3 3 19 11" xfId="8714"/>
    <cellStyle name="标题 3 3 19 12" xfId="8718"/>
    <cellStyle name="标题 3 3 19 13" xfId="8722"/>
    <cellStyle name="标题 3 3 19 14" xfId="8726"/>
    <cellStyle name="标题 3 3 19 2" xfId="32526"/>
    <cellStyle name="标题 3 3 19 3" xfId="32527"/>
    <cellStyle name="标题 3 3 19 4" xfId="32528"/>
    <cellStyle name="标题 3 3 19 5" xfId="32529"/>
    <cellStyle name="标题 3 3 19 5 10" xfId="16257"/>
    <cellStyle name="标题 3 3 19 5 11" xfId="26395"/>
    <cellStyle name="标题 3 3 19 5 2" xfId="32530"/>
    <cellStyle name="标题 3 3 19 5 2 2" xfId="22856"/>
    <cellStyle name="标题 3 3 19 5 2 2 2" xfId="22858"/>
    <cellStyle name="标题 3 3 19 5 2 2 3" xfId="22860"/>
    <cellStyle name="标题 3 3 19 5 2 3" xfId="22862"/>
    <cellStyle name="标题 3 3 19 5 2 4" xfId="22864"/>
    <cellStyle name="标题 3 3 19 5 2 5" xfId="22866"/>
    <cellStyle name="标题 3 3 19 5 2 6" xfId="14845"/>
    <cellStyle name="标题 3 3 19 5 2 7" xfId="14850"/>
    <cellStyle name="标题 3 3 19 5 2 8" xfId="11816"/>
    <cellStyle name="标题 3 3 19 5 3" xfId="32531"/>
    <cellStyle name="标题 3 3 19 5 4" xfId="7668"/>
    <cellStyle name="标题 3 3 19 5 5" xfId="7671"/>
    <cellStyle name="标题 3 3 19 5 6" xfId="15380"/>
    <cellStyle name="标题 3 3 19 5 6 2" xfId="3696"/>
    <cellStyle name="标题 3 3 19 5 6 3" xfId="3700"/>
    <cellStyle name="标题 3 3 19 5 7" xfId="12733"/>
    <cellStyle name="标题 3 3 19 5 8" xfId="12746"/>
    <cellStyle name="标题 3 3 19 5 9" xfId="12752"/>
    <cellStyle name="标题 3 3 19 6" xfId="32532"/>
    <cellStyle name="标题 3 3 19 6 2" xfId="10111"/>
    <cellStyle name="标题 3 3 19 6 2 2" xfId="24244"/>
    <cellStyle name="标题 3 3 19 6 2 3" xfId="17730"/>
    <cellStyle name="标题 3 3 19 6 3" xfId="10114"/>
    <cellStyle name="标题 3 3 19 6 4" xfId="32533"/>
    <cellStyle name="标题 3 3 19 6 5" xfId="32534"/>
    <cellStyle name="标题 3 3 19 6 6" xfId="32535"/>
    <cellStyle name="标题 3 3 19 6 7" xfId="32536"/>
    <cellStyle name="标题 3 3 19 6 8" xfId="32538"/>
    <cellStyle name="标题 3 3 19 7" xfId="28191"/>
    <cellStyle name="标题 3 3 19 8" xfId="28193"/>
    <cellStyle name="标题 3 3 19 9" xfId="32539"/>
    <cellStyle name="标题 3 3 19 9 2" xfId="12932"/>
    <cellStyle name="标题 3 3 19 9 3" xfId="12934"/>
    <cellStyle name="标题 3 3 2" xfId="32540"/>
    <cellStyle name="标题 3 3 2 10" xfId="19661"/>
    <cellStyle name="标题 3 3 2 11" xfId="32541"/>
    <cellStyle name="标题 3 3 2 12" xfId="32543"/>
    <cellStyle name="标题 3 3 2 13" xfId="32545"/>
    <cellStyle name="标题 3 3 2 14" xfId="32547"/>
    <cellStyle name="标题 3 3 2 2" xfId="32548"/>
    <cellStyle name="标题 3 3 2 3" xfId="27399"/>
    <cellStyle name="标题 3 3 2 4" xfId="27401"/>
    <cellStyle name="标题 3 3 2 5" xfId="23884"/>
    <cellStyle name="标题 3 3 2 6" xfId="737"/>
    <cellStyle name="标题 3 3 2 7" xfId="1263"/>
    <cellStyle name="标题 3 3 2 8" xfId="23890"/>
    <cellStyle name="标题 3 3 2 9" xfId="23892"/>
    <cellStyle name="标题 3 3 20" xfId="5138"/>
    <cellStyle name="标题 3 3 20 10" xfId="32549"/>
    <cellStyle name="标题 3 3 20 11" xfId="32550"/>
    <cellStyle name="标题 3 3 20 12" xfId="32551"/>
    <cellStyle name="标题 3 3 20 13" xfId="32552"/>
    <cellStyle name="标题 3 3 20 14" xfId="32553"/>
    <cellStyle name="标题 3 3 20 2" xfId="31249"/>
    <cellStyle name="标题 3 3 20 3" xfId="31251"/>
    <cellStyle name="标题 3 3 20 4" xfId="31253"/>
    <cellStyle name="标题 3 3 20 5" xfId="5510"/>
    <cellStyle name="标题 3 3 20 5 10" xfId="8150"/>
    <cellStyle name="标题 3 3 20 5 11" xfId="8159"/>
    <cellStyle name="标题 3 3 20 5 2" xfId="19345"/>
    <cellStyle name="标题 3 3 20 5 2 2" xfId="32555"/>
    <cellStyle name="标题 3 3 20 5 2 2 2" xfId="32556"/>
    <cellStyle name="标题 3 3 20 5 2 2 3" xfId="32557"/>
    <cellStyle name="标题 3 3 20 5 2 3" xfId="32559"/>
    <cellStyle name="标题 3 3 20 5 2 4" xfId="32560"/>
    <cellStyle name="标题 3 3 20 5 2 5" xfId="32561"/>
    <cellStyle name="标题 3 3 20 5 2 6" xfId="14784"/>
    <cellStyle name="标题 3 3 20 5 2 7" xfId="14793"/>
    <cellStyle name="标题 3 3 20 5 2 8" xfId="10696"/>
    <cellStyle name="标题 3 3 20 5 3" xfId="19347"/>
    <cellStyle name="标题 3 3 20 5 4" xfId="32562"/>
    <cellStyle name="标题 3 3 20 5 5" xfId="32564"/>
    <cellStyle name="标题 3 3 20 5 6" xfId="32566"/>
    <cellStyle name="标题 3 3 20 5 6 2" xfId="25816"/>
    <cellStyle name="标题 3 3 20 5 6 3" xfId="32568"/>
    <cellStyle name="标题 3 3 20 5 7" xfId="32570"/>
    <cellStyle name="标题 3 3 20 5 8" xfId="32572"/>
    <cellStyle name="标题 3 3 20 5 9" xfId="26062"/>
    <cellStyle name="标题 3 3 20 6" xfId="5527"/>
    <cellStyle name="标题 3 3 20 6 2" xfId="10172"/>
    <cellStyle name="标题 3 3 20 6 2 2" xfId="17009"/>
    <cellStyle name="标题 3 3 20 6 2 3" xfId="17013"/>
    <cellStyle name="标题 3 3 20 6 3" xfId="10178"/>
    <cellStyle name="标题 3 3 20 6 4" xfId="32573"/>
    <cellStyle name="标题 3 3 20 6 5" xfId="25594"/>
    <cellStyle name="标题 3 3 20 6 6" xfId="25598"/>
    <cellStyle name="标题 3 3 20 6 7" xfId="25601"/>
    <cellStyle name="标题 3 3 20 6 8" xfId="24188"/>
    <cellStyle name="标题 3 3 20 7" xfId="2237"/>
    <cellStyle name="标题 3 3 20 8" xfId="2261"/>
    <cellStyle name="标题 3 3 20 9" xfId="2277"/>
    <cellStyle name="标题 3 3 20 9 2" xfId="32575"/>
    <cellStyle name="标题 3 3 20 9 3" xfId="32577"/>
    <cellStyle name="标题 3 3 3" xfId="32578"/>
    <cellStyle name="标题 3 3 3 10" xfId="13905"/>
    <cellStyle name="标题 3 3 3 11" xfId="23863"/>
    <cellStyle name="标题 3 3 3 12" xfId="32579"/>
    <cellStyle name="标题 3 3 3 13" xfId="32580"/>
    <cellStyle name="标题 3 3 3 14" xfId="32582"/>
    <cellStyle name="标题 3 3 3 2" xfId="32584"/>
    <cellStyle name="标题 3 3 3 3" xfId="32585"/>
    <cellStyle name="标题 3 3 3 4" xfId="32586"/>
    <cellStyle name="标题 3 3 3 5" xfId="15844"/>
    <cellStyle name="标题 3 3 3 6" xfId="14003"/>
    <cellStyle name="标题 3 3 3 7" xfId="14010"/>
    <cellStyle name="标题 3 3 3 8" xfId="23904"/>
    <cellStyle name="标题 3 3 3 9" xfId="23906"/>
    <cellStyle name="标题 3 3 4" xfId="32587"/>
    <cellStyle name="标题 3 3 4 10" xfId="29361"/>
    <cellStyle name="标题 3 3 4 11" xfId="22187"/>
    <cellStyle name="标题 3 3 4 12" xfId="22190"/>
    <cellStyle name="标题 3 3 4 13" xfId="22193"/>
    <cellStyle name="标题 3 3 4 14" xfId="22195"/>
    <cellStyle name="标题 3 3 4 2" xfId="6466"/>
    <cellStyle name="标题 3 3 4 3" xfId="6476"/>
    <cellStyle name="标题 3 3 4 4" xfId="27359"/>
    <cellStyle name="标题 3 3 4 5" xfId="6291"/>
    <cellStyle name="标题 3 3 4 6" xfId="628"/>
    <cellStyle name="标题 3 3 4 7" xfId="658"/>
    <cellStyle name="标题 3 3 4 8" xfId="1899"/>
    <cellStyle name="标题 3 3 4 9" xfId="1925"/>
    <cellStyle name="标题 3 3 5" xfId="32588"/>
    <cellStyle name="标题 3 3 6" xfId="32589"/>
    <cellStyle name="标题 3 3 7" xfId="32590"/>
    <cellStyle name="标题 3 3 8" xfId="32591"/>
    <cellStyle name="标题 3 3 9" xfId="32592"/>
    <cellStyle name="标题 3 4" xfId="15726"/>
    <cellStyle name="标题 3 4 10" xfId="32593"/>
    <cellStyle name="标题 3 4 11" xfId="32594"/>
    <cellStyle name="标题 3 4 12" xfId="31059"/>
    <cellStyle name="标题 3 4 13" xfId="20319"/>
    <cellStyle name="标题 3 4 14" xfId="20323"/>
    <cellStyle name="标题 3 4 15" xfId="20327"/>
    <cellStyle name="标题 3 4 16" xfId="20333"/>
    <cellStyle name="标题 3 4 17" xfId="20338"/>
    <cellStyle name="标题 3 4 17 10" xfId="445"/>
    <cellStyle name="标题 3 4 17 11" xfId="13466"/>
    <cellStyle name="标题 3 4 17 12" xfId="13472"/>
    <cellStyle name="标题 3 4 17 13" xfId="21506"/>
    <cellStyle name="标题 3 4 17 14" xfId="21511"/>
    <cellStyle name="标题 3 4 17 2" xfId="21289"/>
    <cellStyle name="标题 3 4 17 3" xfId="21295"/>
    <cellStyle name="标题 3 4 17 4" xfId="11116"/>
    <cellStyle name="标题 3 4 17 5" xfId="11122"/>
    <cellStyle name="标题 3 4 17 5 10" xfId="32595"/>
    <cellStyle name="标题 3 4 17 5 11" xfId="32600"/>
    <cellStyle name="标题 3 4 17 5 2" xfId="17330"/>
    <cellStyle name="标题 3 4 17 5 2 2" xfId="32604"/>
    <cellStyle name="标题 3 4 17 5 2 2 2" xfId="32605"/>
    <cellStyle name="标题 3 4 17 5 2 2 3" xfId="32606"/>
    <cellStyle name="标题 3 4 17 5 2 3" xfId="32607"/>
    <cellStyle name="标题 3 4 17 5 2 4" xfId="32608"/>
    <cellStyle name="标题 3 4 17 5 2 5" xfId="32609"/>
    <cellStyle name="标题 3 4 17 5 2 6" xfId="32610"/>
    <cellStyle name="标题 3 4 17 5 2 7" xfId="32612"/>
    <cellStyle name="标题 3 4 17 5 2 8" xfId="32614"/>
    <cellStyle name="标题 3 4 17 5 3" xfId="32615"/>
    <cellStyle name="标题 3 4 17 5 4" xfId="26711"/>
    <cellStyle name="标题 3 4 17 5 5" xfId="26713"/>
    <cellStyle name="标题 3 4 17 5 6" xfId="26715"/>
    <cellStyle name="标题 3 4 17 5 6 2" xfId="23165"/>
    <cellStyle name="标题 3 4 17 5 6 3" xfId="23167"/>
    <cellStyle name="标题 3 4 17 5 7" xfId="26717"/>
    <cellStyle name="标题 3 4 17 5 8" xfId="26719"/>
    <cellStyle name="标题 3 4 17 5 9" xfId="22335"/>
    <cellStyle name="标题 3 4 17 6" xfId="21298"/>
    <cellStyle name="标题 3 4 17 6 2" xfId="32616"/>
    <cellStyle name="标题 3 4 17 6 2 2" xfId="32617"/>
    <cellStyle name="标题 3 4 17 6 2 3" xfId="32618"/>
    <cellStyle name="标题 3 4 17 6 3" xfId="32619"/>
    <cellStyle name="标题 3 4 17 6 4" xfId="26089"/>
    <cellStyle name="标题 3 4 17 6 5" xfId="32621"/>
    <cellStyle name="标题 3 4 17 6 6" xfId="32622"/>
    <cellStyle name="标题 3 4 17 6 7" xfId="32623"/>
    <cellStyle name="标题 3 4 17 6 8" xfId="2822"/>
    <cellStyle name="标题 3 4 17 7" xfId="21300"/>
    <cellStyle name="标题 3 4 17 8" xfId="14931"/>
    <cellStyle name="标题 3 4 17 9" xfId="17085"/>
    <cellStyle name="标题 3 4 17 9 2" xfId="29605"/>
    <cellStyle name="标题 3 4 17 9 3" xfId="32624"/>
    <cellStyle name="标题 3 4 18" xfId="20343"/>
    <cellStyle name="标题 3 4 18 10" xfId="4692"/>
    <cellStyle name="标题 3 4 18 11" xfId="4697"/>
    <cellStyle name="标题 3 4 18 12" xfId="27155"/>
    <cellStyle name="标题 3 4 18 13" xfId="27157"/>
    <cellStyle name="标题 3 4 18 14" xfId="32625"/>
    <cellStyle name="标题 3 4 18 2" xfId="28442"/>
    <cellStyle name="标题 3 4 18 3" xfId="28445"/>
    <cellStyle name="标题 3 4 18 4" xfId="28448"/>
    <cellStyle name="标题 3 4 18 5" xfId="24546"/>
    <cellStyle name="标题 3 4 18 5 10" xfId="13627"/>
    <cellStyle name="标题 3 4 18 5 11" xfId="13639"/>
    <cellStyle name="标题 3 4 18 5 2" xfId="32627"/>
    <cellStyle name="标题 3 4 18 5 2 2" xfId="7352"/>
    <cellStyle name="标题 3 4 18 5 2 2 2" xfId="7533"/>
    <cellStyle name="标题 3 4 18 5 2 2 3" xfId="7545"/>
    <cellStyle name="标题 3 4 18 5 2 3" xfId="7359"/>
    <cellStyle name="标题 3 4 18 5 2 4" xfId="25060"/>
    <cellStyle name="标题 3 4 18 5 2 5" xfId="32628"/>
    <cellStyle name="标题 3 4 18 5 2 6" xfId="6182"/>
    <cellStyle name="标题 3 4 18 5 2 7" xfId="1248"/>
    <cellStyle name="标题 3 4 18 5 2 8" xfId="32629"/>
    <cellStyle name="标题 3 4 18 5 3" xfId="32631"/>
    <cellStyle name="标题 3 4 18 5 4" xfId="26733"/>
    <cellStyle name="标题 3 4 18 5 5" xfId="12257"/>
    <cellStyle name="标题 3 4 18 5 6" xfId="12273"/>
    <cellStyle name="标题 3 4 18 5 6 2" xfId="11982"/>
    <cellStyle name="标题 3 4 18 5 6 3" xfId="12029"/>
    <cellStyle name="标题 3 4 18 5 7" xfId="10100"/>
    <cellStyle name="标题 3 4 18 5 8" xfId="10107"/>
    <cellStyle name="标题 3 4 18 5 9" xfId="11953"/>
    <cellStyle name="标题 3 4 18 6" xfId="28451"/>
    <cellStyle name="标题 3 4 18 6 2" xfId="32632"/>
    <cellStyle name="标题 3 4 18 6 2 2" xfId="25103"/>
    <cellStyle name="标题 3 4 18 6 2 3" xfId="25105"/>
    <cellStyle name="标题 3 4 18 6 3" xfId="32633"/>
    <cellStyle name="标题 3 4 18 6 4" xfId="32634"/>
    <cellStyle name="标题 3 4 18 6 5" xfId="11250"/>
    <cellStyle name="标题 3 4 18 6 6" xfId="9281"/>
    <cellStyle name="标题 3 4 18 6 7" xfId="9290"/>
    <cellStyle name="标题 3 4 18 6 8" xfId="12298"/>
    <cellStyle name="标题 3 4 18 7" xfId="28454"/>
    <cellStyle name="标题 3 4 18 8" xfId="16077"/>
    <cellStyle name="标题 3 4 18 9" xfId="16083"/>
    <cellStyle name="标题 3 4 18 9 2" xfId="4510"/>
    <cellStyle name="标题 3 4 18 9 3" xfId="27900"/>
    <cellStyle name="标题 3 4 19" xfId="20347"/>
    <cellStyle name="标题 3 4 19 10" xfId="27175"/>
    <cellStyle name="标题 3 4 19 11" xfId="27177"/>
    <cellStyle name="标题 3 4 19 12" xfId="27179"/>
    <cellStyle name="标题 3 4 19 13" xfId="27181"/>
    <cellStyle name="标题 3 4 19 14" xfId="13195"/>
    <cellStyle name="标题 3 4 19 2" xfId="32636"/>
    <cellStyle name="标题 3 4 19 3" xfId="32638"/>
    <cellStyle name="标题 3 4 19 4" xfId="16538"/>
    <cellStyle name="标题 3 4 19 5" xfId="16542"/>
    <cellStyle name="标题 3 4 19 5 10" xfId="27813"/>
    <cellStyle name="标题 3 4 19 5 11" xfId="30105"/>
    <cellStyle name="标题 3 4 19 5 2" xfId="32640"/>
    <cellStyle name="标题 3 4 19 5 2 2" xfId="23533"/>
    <cellStyle name="标题 3 4 19 5 2 2 2" xfId="9006"/>
    <cellStyle name="标题 3 4 19 5 2 2 3" xfId="9014"/>
    <cellStyle name="标题 3 4 19 5 2 3" xfId="23537"/>
    <cellStyle name="标题 3 4 19 5 2 4" xfId="799"/>
    <cellStyle name="标题 3 4 19 5 2 5" xfId="368"/>
    <cellStyle name="标题 3 4 19 5 2 6" xfId="15760"/>
    <cellStyle name="标题 3 4 19 5 2 7" xfId="15769"/>
    <cellStyle name="标题 3 4 19 5 2 8" xfId="13417"/>
    <cellStyle name="标题 3 4 19 5 3" xfId="32642"/>
    <cellStyle name="标题 3 4 19 5 4" xfId="32644"/>
    <cellStyle name="标题 3 4 19 5 5" xfId="15564"/>
    <cellStyle name="标题 3 4 19 5 6" xfId="15567"/>
    <cellStyle name="标题 3 4 19 5 6 2" xfId="15393"/>
    <cellStyle name="标题 3 4 19 5 6 3" xfId="15396"/>
    <cellStyle name="标题 3 4 19 5 7" xfId="13207"/>
    <cellStyle name="标题 3 4 19 5 8" xfId="13229"/>
    <cellStyle name="标题 3 4 19 5 9" xfId="13233"/>
    <cellStyle name="标题 3 4 19 6" xfId="32647"/>
    <cellStyle name="标题 3 4 19 6 2" xfId="11947"/>
    <cellStyle name="标题 3 4 19 6 2 2" xfId="32648"/>
    <cellStyle name="标题 3 4 19 6 2 3" xfId="32649"/>
    <cellStyle name="标题 3 4 19 6 3" xfId="32650"/>
    <cellStyle name="标题 3 4 19 6 4" xfId="32651"/>
    <cellStyle name="标题 3 4 19 6 5" xfId="32652"/>
    <cellStyle name="标题 3 4 19 6 6" xfId="32653"/>
    <cellStyle name="标题 3 4 19 6 7" xfId="32654"/>
    <cellStyle name="标题 3 4 19 6 8" xfId="32655"/>
    <cellStyle name="标题 3 4 19 7" xfId="32658"/>
    <cellStyle name="标题 3 4 19 8" xfId="32661"/>
    <cellStyle name="标题 3 4 19 9" xfId="32665"/>
    <cellStyle name="标题 3 4 19 9 2" xfId="14525"/>
    <cellStyle name="标题 3 4 19 9 3" xfId="14528"/>
    <cellStyle name="标题 3 4 2" xfId="32666"/>
    <cellStyle name="标题 3 4 20" xfId="20328"/>
    <cellStyle name="标题 3 4 20 10" xfId="32667"/>
    <cellStyle name="标题 3 4 20 11" xfId="32668"/>
    <cellStyle name="标题 3 4 20 12" xfId="32669"/>
    <cellStyle name="标题 3 4 20 13" xfId="32670"/>
    <cellStyle name="标题 3 4 20 14" xfId="32671"/>
    <cellStyle name="标题 3 4 20 2" xfId="24775"/>
    <cellStyle name="标题 3 4 20 3" xfId="24777"/>
    <cellStyle name="标题 3 4 20 4" xfId="6413"/>
    <cellStyle name="标题 3 4 20 5" xfId="6422"/>
    <cellStyle name="标题 3 4 20 5 10" xfId="32672"/>
    <cellStyle name="标题 3 4 20 5 11" xfId="25963"/>
    <cellStyle name="标题 3 4 20 5 2" xfId="17306"/>
    <cellStyle name="标题 3 4 20 5 2 2" xfId="32674"/>
    <cellStyle name="标题 3 4 20 5 2 2 2" xfId="31919"/>
    <cellStyle name="标题 3 4 20 5 2 2 3" xfId="31921"/>
    <cellStyle name="标题 3 4 20 5 2 3" xfId="32675"/>
    <cellStyle name="标题 3 4 20 5 2 4" xfId="32676"/>
    <cellStyle name="标题 3 4 20 5 2 5" xfId="32677"/>
    <cellStyle name="标题 3 4 20 5 2 6" xfId="8034"/>
    <cellStyle name="标题 3 4 20 5 2 7" xfId="8039"/>
    <cellStyle name="标题 3 4 20 5 2 8" xfId="8045"/>
    <cellStyle name="标题 3 4 20 5 3" xfId="17309"/>
    <cellStyle name="标题 3 4 20 5 4" xfId="17312"/>
    <cellStyle name="标题 3 4 20 5 5" xfId="17315"/>
    <cellStyle name="标题 3 4 20 5 6" xfId="17399"/>
    <cellStyle name="标题 3 4 20 5 6 2" xfId="17404"/>
    <cellStyle name="标题 3 4 20 5 6 3" xfId="17407"/>
    <cellStyle name="标题 3 4 20 5 7" xfId="17446"/>
    <cellStyle name="标题 3 4 20 5 8" xfId="17494"/>
    <cellStyle name="标题 3 4 20 5 9" xfId="32678"/>
    <cellStyle name="标题 3 4 20 6" xfId="6434"/>
    <cellStyle name="标题 3 4 20 6 2" xfId="32679"/>
    <cellStyle name="标题 3 4 20 6 2 2" xfId="17975"/>
    <cellStyle name="标题 3 4 20 6 2 3" xfId="17977"/>
    <cellStyle name="标题 3 4 20 6 3" xfId="32680"/>
    <cellStyle name="标题 3 4 20 6 4" xfId="32682"/>
    <cellStyle name="标题 3 4 20 6 5" xfId="32684"/>
    <cellStyle name="标题 3 4 20 6 6" xfId="28072"/>
    <cellStyle name="标题 3 4 20 6 7" xfId="28074"/>
    <cellStyle name="标题 3 4 20 6 8" xfId="28076"/>
    <cellStyle name="标题 3 4 20 7" xfId="6441"/>
    <cellStyle name="标题 3 4 20 8" xfId="6450"/>
    <cellStyle name="标题 3 4 20 9" xfId="6548"/>
    <cellStyle name="标题 3 4 20 9 2" xfId="29680"/>
    <cellStyle name="标题 3 4 20 9 3" xfId="32686"/>
    <cellStyle name="标题 3 4 3" xfId="32687"/>
    <cellStyle name="标题 3 4 4" xfId="32689"/>
    <cellStyle name="标题 3 4 5" xfId="32691"/>
    <cellStyle name="标题 3 4 6" xfId="32693"/>
    <cellStyle name="标题 3 4 7" xfId="32695"/>
    <cellStyle name="标题 3 4 8" xfId="32697"/>
    <cellStyle name="标题 3 4 9" xfId="32698"/>
    <cellStyle name="标题 3 5" xfId="15729"/>
    <cellStyle name="标题 3 5 10" xfId="20529"/>
    <cellStyle name="标题 3 5 11" xfId="20532"/>
    <cellStyle name="标题 3 5 12" xfId="20535"/>
    <cellStyle name="标题 3 5 13" xfId="20538"/>
    <cellStyle name="标题 3 5 14" xfId="20541"/>
    <cellStyle name="标题 3 5 2" xfId="32699"/>
    <cellStyle name="标题 3 5 3" xfId="32700"/>
    <cellStyle name="标题 3 5 4" xfId="32701"/>
    <cellStyle name="标题 3 5 5" xfId="32702"/>
    <cellStyle name="标题 3 5 6" xfId="32703"/>
    <cellStyle name="标题 3 5 7" xfId="32704"/>
    <cellStyle name="标题 3 5 8" xfId="13630"/>
    <cellStyle name="标题 3 5 9" xfId="13633"/>
    <cellStyle name="标题 3 6" xfId="15732"/>
    <cellStyle name="标题 3 6 10" xfId="23978"/>
    <cellStyle name="标题 3 6 11" xfId="29509"/>
    <cellStyle name="标题 3 6 12" xfId="29515"/>
    <cellStyle name="标题 3 6 13" xfId="29517"/>
    <cellStyle name="标题 3 6 14" xfId="29519"/>
    <cellStyle name="标题 3 6 2" xfId="32705"/>
    <cellStyle name="标题 3 6 3" xfId="32706"/>
    <cellStyle name="标题 3 6 4" xfId="32708"/>
    <cellStyle name="标题 3 6 5" xfId="21615"/>
    <cellStyle name="标题 3 6 6" xfId="21621"/>
    <cellStyle name="标题 3 6 7" xfId="21623"/>
    <cellStyle name="标题 3 6 8" xfId="21626"/>
    <cellStyle name="标题 3 6 9" xfId="21629"/>
    <cellStyle name="标题 3 7" xfId="15734"/>
    <cellStyle name="标题 3 8" xfId="15737"/>
    <cellStyle name="标题 3 9" xfId="10477"/>
    <cellStyle name="标题 4 10" xfId="3168"/>
    <cellStyle name="标题 4 11" xfId="32709"/>
    <cellStyle name="标题 4 12" xfId="28778"/>
    <cellStyle name="标题 4 12 10" xfId="17536"/>
    <cellStyle name="标题 4 12 11" xfId="22745"/>
    <cellStyle name="标题 4 12 12" xfId="22747"/>
    <cellStyle name="标题 4 12 13" xfId="22749"/>
    <cellStyle name="标题 4 12 14" xfId="22751"/>
    <cellStyle name="标题 4 12 2" xfId="30237"/>
    <cellStyle name="标题 4 12 3" xfId="30622"/>
    <cellStyle name="标题 4 12 4" xfId="30624"/>
    <cellStyle name="标题 4 12 5" xfId="2874"/>
    <cellStyle name="标题 4 12 5 10" xfId="32711"/>
    <cellStyle name="标题 4 12 5 11" xfId="32713"/>
    <cellStyle name="标题 4 12 5 2" xfId="32714"/>
    <cellStyle name="标题 4 12 5 2 2" xfId="32716"/>
    <cellStyle name="标题 4 12 5 2 2 2" xfId="32717"/>
    <cellStyle name="标题 4 12 5 2 2 3" xfId="32718"/>
    <cellStyle name="标题 4 12 5 2 3" xfId="32719"/>
    <cellStyle name="标题 4 12 5 2 4" xfId="32720"/>
    <cellStyle name="标题 4 12 5 2 5" xfId="32721"/>
    <cellStyle name="标题 4 12 5 2 6" xfId="23124"/>
    <cellStyle name="标题 4 12 5 2 7" xfId="23126"/>
    <cellStyle name="标题 4 12 5 2 8" xfId="31079"/>
    <cellStyle name="标题 4 12 5 3" xfId="32722"/>
    <cellStyle name="标题 4 12 5 4" xfId="32723"/>
    <cellStyle name="标题 4 12 5 5" xfId="32725"/>
    <cellStyle name="标题 4 12 5 6" xfId="32728"/>
    <cellStyle name="标题 4 12 5 6 2" xfId="32731"/>
    <cellStyle name="标题 4 12 5 6 3" xfId="32734"/>
    <cellStyle name="标题 4 12 5 7" xfId="32735"/>
    <cellStyle name="标题 4 12 5 8" xfId="32736"/>
    <cellStyle name="标题 4 12 5 9" xfId="31348"/>
    <cellStyle name="标题 4 12 6" xfId="14418"/>
    <cellStyle name="标题 4 12 6 2" xfId="20038"/>
    <cellStyle name="标题 4 12 6 2 2" xfId="32738"/>
    <cellStyle name="标题 4 12 6 2 3" xfId="25589"/>
    <cellStyle name="标题 4 12 6 3" xfId="32739"/>
    <cellStyle name="标题 4 12 6 4" xfId="32740"/>
    <cellStyle name="标题 4 12 6 5" xfId="32741"/>
    <cellStyle name="标题 4 12 6 6" xfId="32742"/>
    <cellStyle name="标题 4 12 6 7" xfId="32743"/>
    <cellStyle name="标题 4 12 6 8" xfId="32744"/>
    <cellStyle name="标题 4 12 7" xfId="32746"/>
    <cellStyle name="标题 4 12 8" xfId="32748"/>
    <cellStyle name="标题 4 12 9" xfId="32015"/>
    <cellStyle name="标题 4 12 9 2" xfId="13763"/>
    <cellStyle name="标题 4 12 9 3" xfId="13768"/>
    <cellStyle name="标题 4 13" xfId="28780"/>
    <cellStyle name="标题 4 14" xfId="32749"/>
    <cellStyle name="标题 4 15" xfId="28492"/>
    <cellStyle name="标题 4 16" xfId="28494"/>
    <cellStyle name="标题 4 16 10" xfId="28351"/>
    <cellStyle name="标题 4 16 11" xfId="28353"/>
    <cellStyle name="标题 4 16 12" xfId="32750"/>
    <cellStyle name="标题 4 16 13" xfId="32751"/>
    <cellStyle name="标题 4 16 14" xfId="32752"/>
    <cellStyle name="标题 4 16 2" xfId="20710"/>
    <cellStyle name="标题 4 16 3" xfId="19278"/>
    <cellStyle name="标题 4 16 4" xfId="19291"/>
    <cellStyle name="标题 4 16 5" xfId="19295"/>
    <cellStyle name="标题 4 16 5 10" xfId="14026"/>
    <cellStyle name="标题 4 16 5 11" xfId="14031"/>
    <cellStyle name="标题 4 16 5 2" xfId="32753"/>
    <cellStyle name="标题 4 16 5 2 2" xfId="29575"/>
    <cellStyle name="标题 4 16 5 2 2 2" xfId="32754"/>
    <cellStyle name="标题 4 16 5 2 2 3" xfId="32755"/>
    <cellStyle name="标题 4 16 5 2 3" xfId="29577"/>
    <cellStyle name="标题 4 16 5 2 4" xfId="32756"/>
    <cellStyle name="标题 4 16 5 2 5" xfId="32757"/>
    <cellStyle name="标题 4 16 5 2 6" xfId="32758"/>
    <cellStyle name="标题 4 16 5 2 7" xfId="32759"/>
    <cellStyle name="标题 4 16 5 2 8" xfId="32760"/>
    <cellStyle name="标题 4 16 5 3" xfId="32761"/>
    <cellStyle name="标题 4 16 5 4" xfId="32762"/>
    <cellStyle name="标题 4 16 5 5" xfId="32763"/>
    <cellStyle name="标题 4 16 5 6" xfId="32766"/>
    <cellStyle name="标题 4 16 5 6 2" xfId="32769"/>
    <cellStyle name="标题 4 16 5 6 3" xfId="32772"/>
    <cellStyle name="标题 4 16 5 7" xfId="32775"/>
    <cellStyle name="标题 4 16 5 8" xfId="32778"/>
    <cellStyle name="标题 4 16 5 9" xfId="32781"/>
    <cellStyle name="标题 4 16 6" xfId="19299"/>
    <cellStyle name="标题 4 16 6 2" xfId="20001"/>
    <cellStyle name="标题 4 16 6 2 2" xfId="32782"/>
    <cellStyle name="标题 4 16 6 2 3" xfId="32784"/>
    <cellStyle name="标题 4 16 6 3" xfId="32786"/>
    <cellStyle name="标题 4 16 6 4" xfId="32788"/>
    <cellStyle name="标题 4 16 6 5" xfId="32790"/>
    <cellStyle name="标题 4 16 6 6" xfId="32791"/>
    <cellStyle name="标题 4 16 6 7" xfId="32792"/>
    <cellStyle name="标题 4 16 6 8" xfId="32793"/>
    <cellStyle name="标题 4 16 7" xfId="32794"/>
    <cellStyle name="标题 4 16 8" xfId="32795"/>
    <cellStyle name="标题 4 16 9" xfId="32040"/>
    <cellStyle name="标题 4 16 9 2" xfId="32796"/>
    <cellStyle name="标题 4 16 9 3" xfId="32798"/>
    <cellStyle name="标题 4 17" xfId="32799"/>
    <cellStyle name="标题 4 17 10" xfId="30768"/>
    <cellStyle name="标题 4 17 11" xfId="30774"/>
    <cellStyle name="标题 4 17 12" xfId="30776"/>
    <cellStyle name="标题 4 17 13" xfId="30778"/>
    <cellStyle name="标题 4 17 14" xfId="24636"/>
    <cellStyle name="标题 4 17 2" xfId="20727"/>
    <cellStyle name="标题 4 17 3" xfId="7539"/>
    <cellStyle name="标题 4 17 4" xfId="7551"/>
    <cellStyle name="标题 4 17 5" xfId="20729"/>
    <cellStyle name="标题 4 17 5 10" xfId="32800"/>
    <cellStyle name="标题 4 17 5 11" xfId="32801"/>
    <cellStyle name="标题 4 17 5 2" xfId="32802"/>
    <cellStyle name="标题 4 17 5 2 2" xfId="32803"/>
    <cellStyle name="标题 4 17 5 2 2 2" xfId="32804"/>
    <cellStyle name="标题 4 17 5 2 2 3" xfId="32805"/>
    <cellStyle name="标题 4 17 5 2 3" xfId="15745"/>
    <cellStyle name="标题 4 17 5 2 4" xfId="16271"/>
    <cellStyle name="标题 4 17 5 2 5" xfId="16278"/>
    <cellStyle name="标题 4 17 5 2 6" xfId="16283"/>
    <cellStyle name="标题 4 17 5 2 7" xfId="16287"/>
    <cellStyle name="标题 4 17 5 2 8" xfId="16290"/>
    <cellStyle name="标题 4 17 5 3" xfId="32806"/>
    <cellStyle name="标题 4 17 5 4" xfId="32807"/>
    <cellStyle name="标题 4 17 5 5" xfId="32809"/>
    <cellStyle name="标题 4 17 5 6" xfId="32811"/>
    <cellStyle name="标题 4 17 5 6 2" xfId="32812"/>
    <cellStyle name="标题 4 17 5 6 3" xfId="15803"/>
    <cellStyle name="标题 4 17 5 7" xfId="32813"/>
    <cellStyle name="标题 4 17 5 8" xfId="32814"/>
    <cellStyle name="标题 4 17 5 9" xfId="31380"/>
    <cellStyle name="标题 4 17 6" xfId="32815"/>
    <cellStyle name="标题 4 17 6 2" xfId="24507"/>
    <cellStyle name="标题 4 17 6 2 2" xfId="31841"/>
    <cellStyle name="标题 4 17 6 2 3" xfId="19201"/>
    <cellStyle name="标题 4 17 6 3" xfId="4562"/>
    <cellStyle name="标题 4 17 6 4" xfId="4585"/>
    <cellStyle name="标题 4 17 6 5" xfId="19495"/>
    <cellStyle name="标题 4 17 6 6" xfId="19497"/>
    <cellStyle name="标题 4 17 6 7" xfId="19499"/>
    <cellStyle name="标题 4 17 6 8" xfId="19501"/>
    <cellStyle name="标题 4 17 7" xfId="32817"/>
    <cellStyle name="标题 4 17 8" xfId="32819"/>
    <cellStyle name="标题 4 17 9" xfId="32821"/>
    <cellStyle name="标题 4 17 9 2" xfId="32822"/>
    <cellStyle name="标题 4 17 9 3" xfId="32823"/>
    <cellStyle name="标题 4 18" xfId="32824"/>
    <cellStyle name="标题 4 18 10" xfId="28221"/>
    <cellStyle name="标题 4 18 11" xfId="28225"/>
    <cellStyle name="标题 4 18 12" xfId="29989"/>
    <cellStyle name="标题 4 18 13" xfId="29992"/>
    <cellStyle name="标题 4 18 14" xfId="29994"/>
    <cellStyle name="标题 4 18 2" xfId="32825"/>
    <cellStyle name="标题 4 18 3" xfId="32826"/>
    <cellStyle name="标题 4 18 4" xfId="32828"/>
    <cellStyle name="标题 4 18 5" xfId="32830"/>
    <cellStyle name="标题 4 18 5 10" xfId="32832"/>
    <cellStyle name="标题 4 18 5 11" xfId="32833"/>
    <cellStyle name="标题 4 18 5 2" xfId="3366"/>
    <cellStyle name="标题 4 18 5 2 2" xfId="25293"/>
    <cellStyle name="标题 4 18 5 2 2 2" xfId="19935"/>
    <cellStyle name="标题 4 18 5 2 2 3" xfId="19940"/>
    <cellStyle name="标题 4 18 5 2 3" xfId="19243"/>
    <cellStyle name="标题 4 18 5 2 4" xfId="19252"/>
    <cellStyle name="标题 4 18 5 2 5" xfId="19256"/>
    <cellStyle name="标题 4 18 5 2 6" xfId="19260"/>
    <cellStyle name="标题 4 18 5 2 7" xfId="19264"/>
    <cellStyle name="标题 4 18 5 2 8" xfId="19268"/>
    <cellStyle name="标题 4 18 5 3" xfId="9204"/>
    <cellStyle name="标题 4 18 5 4" xfId="32834"/>
    <cellStyle name="标题 4 18 5 5" xfId="32835"/>
    <cellStyle name="标题 4 18 5 6" xfId="32836"/>
    <cellStyle name="标题 4 18 5 6 2" xfId="28094"/>
    <cellStyle name="标题 4 18 5 6 3" xfId="19275"/>
    <cellStyle name="标题 4 18 5 7" xfId="32837"/>
    <cellStyle name="标题 4 18 5 8" xfId="32838"/>
    <cellStyle name="标题 4 18 5 9" xfId="16586"/>
    <cellStyle name="标题 4 18 6" xfId="10927"/>
    <cellStyle name="标题 4 18 6 2" xfId="9428"/>
    <cellStyle name="标题 4 18 6 2 2" xfId="19986"/>
    <cellStyle name="标题 4 18 6 2 3" xfId="19284"/>
    <cellStyle name="标题 4 18 6 3" xfId="9437"/>
    <cellStyle name="标题 4 18 6 4" xfId="16393"/>
    <cellStyle name="标题 4 18 6 5" xfId="16401"/>
    <cellStyle name="标题 4 18 6 6" xfId="32839"/>
    <cellStyle name="标题 4 18 6 7" xfId="32840"/>
    <cellStyle name="标题 4 18 6 8" xfId="32841"/>
    <cellStyle name="标题 4 18 7" xfId="10933"/>
    <cellStyle name="标题 4 18 8" xfId="32842"/>
    <cellStyle name="标题 4 18 9" xfId="32845"/>
    <cellStyle name="标题 4 18 9 2" xfId="23053"/>
    <cellStyle name="标题 4 18 9 3" xfId="23056"/>
    <cellStyle name="标题 4 19" xfId="32847"/>
    <cellStyle name="标题 4 2" xfId="20779"/>
    <cellStyle name="标题 4 2 10" xfId="19165"/>
    <cellStyle name="标题 4 2 11" xfId="19171"/>
    <cellStyle name="标题 4 2 12" xfId="19176"/>
    <cellStyle name="标题 4 2 13" xfId="19180"/>
    <cellStyle name="标题 4 2 14" xfId="19193"/>
    <cellStyle name="标题 4 2 15" xfId="19215"/>
    <cellStyle name="标题 4 2 16" xfId="19219"/>
    <cellStyle name="标题 4 2 17" xfId="19223"/>
    <cellStyle name="标题 4 2 17 10" xfId="26705"/>
    <cellStyle name="标题 4 2 17 11" xfId="26707"/>
    <cellStyle name="标题 4 2 17 12" xfId="26728"/>
    <cellStyle name="标题 4 2 17 13" xfId="26744"/>
    <cellStyle name="标题 4 2 17 14" xfId="16480"/>
    <cellStyle name="标题 4 2 17 2" xfId="19226"/>
    <cellStyle name="标题 4 2 17 3" xfId="19229"/>
    <cellStyle name="标题 4 2 17 4" xfId="32848"/>
    <cellStyle name="标题 4 2 17 5" xfId="32850"/>
    <cellStyle name="标题 4 2 17 5 10" xfId="30581"/>
    <cellStyle name="标题 4 2 17 5 11" xfId="30584"/>
    <cellStyle name="标题 4 2 17 5 2" xfId="16246"/>
    <cellStyle name="标题 4 2 17 5 2 2" xfId="28563"/>
    <cellStyle name="标题 4 2 17 5 2 2 2" xfId="28566"/>
    <cellStyle name="标题 4 2 17 5 2 2 3" xfId="28568"/>
    <cellStyle name="标题 4 2 17 5 2 3" xfId="28571"/>
    <cellStyle name="标题 4 2 17 5 2 4" xfId="28575"/>
    <cellStyle name="标题 4 2 17 5 2 5" xfId="28578"/>
    <cellStyle name="标题 4 2 17 5 2 6" xfId="32853"/>
    <cellStyle name="标题 4 2 17 5 2 7" xfId="32855"/>
    <cellStyle name="标题 4 2 17 5 2 8" xfId="32857"/>
    <cellStyle name="标题 4 2 17 5 3" xfId="16248"/>
    <cellStyle name="标题 4 2 17 5 4" xfId="1622"/>
    <cellStyle name="标题 4 2 17 5 5" xfId="441"/>
    <cellStyle name="标题 4 2 17 5 6" xfId="13463"/>
    <cellStyle name="标题 4 2 17 5 6 2" xfId="28500"/>
    <cellStyle name="标题 4 2 17 5 6 3" xfId="28511"/>
    <cellStyle name="标题 4 2 17 5 7" xfId="30969"/>
    <cellStyle name="标题 4 2 17 5 8" xfId="30972"/>
    <cellStyle name="标题 4 2 17 5 9" xfId="30975"/>
    <cellStyle name="标题 4 2 17 6" xfId="32858"/>
    <cellStyle name="标题 4 2 17 6 2" xfId="8327"/>
    <cellStyle name="标题 4 2 17 6 2 2" xfId="32859"/>
    <cellStyle name="标题 4 2 17 6 2 3" xfId="32860"/>
    <cellStyle name="标题 4 2 17 6 3" xfId="8409"/>
    <cellStyle name="标题 4 2 17 6 4" xfId="16250"/>
    <cellStyle name="标题 4 2 17 6 5" xfId="16254"/>
    <cellStyle name="标题 4 2 17 6 6" xfId="16258"/>
    <cellStyle name="标题 4 2 17 6 7" xfId="26396"/>
    <cellStyle name="标题 4 2 17 6 8" xfId="26398"/>
    <cellStyle name="标题 4 2 17 7" xfId="32861"/>
    <cellStyle name="标题 4 2 17 8" xfId="32863"/>
    <cellStyle name="标题 4 2 17 9" xfId="24854"/>
    <cellStyle name="标题 4 2 17 9 2" xfId="32865"/>
    <cellStyle name="标题 4 2 17 9 3" xfId="32866"/>
    <cellStyle name="标题 4 2 18" xfId="32868"/>
    <cellStyle name="标题 4 2 18 10" xfId="12019"/>
    <cellStyle name="标题 4 2 18 11" xfId="8484"/>
    <cellStyle name="标题 4 2 18 12" xfId="8489"/>
    <cellStyle name="标题 4 2 18 13" xfId="12024"/>
    <cellStyle name="标题 4 2 18 14" xfId="32869"/>
    <cellStyle name="标题 4 2 18 2" xfId="32870"/>
    <cellStyle name="标题 4 2 18 3" xfId="32871"/>
    <cellStyle name="标题 4 2 18 4" xfId="32872"/>
    <cellStyle name="标题 4 2 18 5" xfId="32873"/>
    <cellStyle name="标题 4 2 18 5 10" xfId="26995"/>
    <cellStyle name="标题 4 2 18 5 11" xfId="26998"/>
    <cellStyle name="标题 4 2 18 5 2" xfId="12944"/>
    <cellStyle name="标题 4 2 18 5 2 2" xfId="31751"/>
    <cellStyle name="标题 4 2 18 5 2 2 2" xfId="24558"/>
    <cellStyle name="标题 4 2 18 5 2 2 3" xfId="31418"/>
    <cellStyle name="标题 4 2 18 5 2 3" xfId="31754"/>
    <cellStyle name="标题 4 2 18 5 2 4" xfId="31757"/>
    <cellStyle name="标题 4 2 18 5 2 5" xfId="31760"/>
    <cellStyle name="标题 4 2 18 5 2 6" xfId="24357"/>
    <cellStyle name="标题 4 2 18 5 2 7" xfId="24362"/>
    <cellStyle name="标题 4 2 18 5 2 8" xfId="24367"/>
    <cellStyle name="标题 4 2 18 5 3" xfId="12949"/>
    <cellStyle name="标题 4 2 18 5 4" xfId="12953"/>
    <cellStyle name="标题 4 2 18 5 5" xfId="12957"/>
    <cellStyle name="标题 4 2 18 5 6" xfId="26423"/>
    <cellStyle name="标题 4 2 18 5 6 2" xfId="26120"/>
    <cellStyle name="标题 4 2 18 5 6 3" xfId="26124"/>
    <cellStyle name="标题 4 2 18 5 7" xfId="26426"/>
    <cellStyle name="标题 4 2 18 5 8" xfId="26428"/>
    <cellStyle name="标题 4 2 18 5 9" xfId="26430"/>
    <cellStyle name="标题 4 2 18 6" xfId="32874"/>
    <cellStyle name="标题 4 2 18 6 2" xfId="11125"/>
    <cellStyle name="标题 4 2 18 6 2 2" xfId="32876"/>
    <cellStyle name="标题 4 2 18 6 2 3" xfId="32877"/>
    <cellStyle name="标题 4 2 18 6 3" xfId="11128"/>
    <cellStyle name="标题 4 2 18 6 4" xfId="26411"/>
    <cellStyle name="标题 4 2 18 6 5" xfId="25819"/>
    <cellStyle name="标题 4 2 18 6 6" xfId="32878"/>
    <cellStyle name="标题 4 2 18 6 7" xfId="32880"/>
    <cellStyle name="标题 4 2 18 6 8" xfId="32883"/>
    <cellStyle name="标题 4 2 18 7" xfId="5321"/>
    <cellStyle name="标题 4 2 18 8" xfId="5326"/>
    <cellStyle name="标题 4 2 18 9" xfId="8807"/>
    <cellStyle name="标题 4 2 18 9 2" xfId="28814"/>
    <cellStyle name="标题 4 2 18 9 3" xfId="28817"/>
    <cellStyle name="标题 4 2 19" xfId="32885"/>
    <cellStyle name="标题 4 2 19 10" xfId="4198"/>
    <cellStyle name="标题 4 2 19 11" xfId="4201"/>
    <cellStyle name="标题 4 2 19 12" xfId="31421"/>
    <cellStyle name="标题 4 2 19 13" xfId="31423"/>
    <cellStyle name="标题 4 2 19 14" xfId="31425"/>
    <cellStyle name="标题 4 2 19 2" xfId="32886"/>
    <cellStyle name="标题 4 2 19 3" xfId="29694"/>
    <cellStyle name="标题 4 2 19 4" xfId="29696"/>
    <cellStyle name="标题 4 2 19 5" xfId="32887"/>
    <cellStyle name="标题 4 2 19 5 10" xfId="23985"/>
    <cellStyle name="标题 4 2 19 5 11" xfId="23987"/>
    <cellStyle name="标题 4 2 19 5 2" xfId="32889"/>
    <cellStyle name="标题 4 2 19 5 2 2" xfId="18354"/>
    <cellStyle name="标题 4 2 19 5 2 2 2" xfId="32890"/>
    <cellStyle name="标题 4 2 19 5 2 2 3" xfId="14066"/>
    <cellStyle name="标题 4 2 19 5 2 3" xfId="18356"/>
    <cellStyle name="标题 4 2 19 5 2 4" xfId="344"/>
    <cellStyle name="标题 4 2 19 5 2 5" xfId="332"/>
    <cellStyle name="标题 4 2 19 5 2 6" xfId="607"/>
    <cellStyle name="标题 4 2 19 5 2 7" xfId="624"/>
    <cellStyle name="标题 4 2 19 5 2 8" xfId="654"/>
    <cellStyle name="标题 4 2 19 5 3" xfId="32891"/>
    <cellStyle name="标题 4 2 19 5 4" xfId="16910"/>
    <cellStyle name="标题 4 2 19 5 5" xfId="15995"/>
    <cellStyle name="标题 4 2 19 5 6" xfId="16000"/>
    <cellStyle name="标题 4 2 19 5 6 2" xfId="26182"/>
    <cellStyle name="标题 4 2 19 5 6 3" xfId="26184"/>
    <cellStyle name="标题 4 2 19 5 7" xfId="13966"/>
    <cellStyle name="标题 4 2 19 5 8" xfId="13985"/>
    <cellStyle name="标题 4 2 19 5 9" xfId="13995"/>
    <cellStyle name="标题 4 2 19 6" xfId="32892"/>
    <cellStyle name="标题 4 2 19 6 2" xfId="11184"/>
    <cellStyle name="标题 4 2 19 6 2 2" xfId="32893"/>
    <cellStyle name="标题 4 2 19 6 2 3" xfId="25901"/>
    <cellStyle name="标题 4 2 19 6 3" xfId="11186"/>
    <cellStyle name="标题 4 2 19 6 4" xfId="32894"/>
    <cellStyle name="标题 4 2 19 6 5" xfId="32895"/>
    <cellStyle name="标题 4 2 19 6 6" xfId="26518"/>
    <cellStyle name="标题 4 2 19 6 7" xfId="22791"/>
    <cellStyle name="标题 4 2 19 6 8" xfId="22794"/>
    <cellStyle name="标题 4 2 19 7" xfId="31736"/>
    <cellStyle name="标题 4 2 19 8" xfId="31739"/>
    <cellStyle name="标题 4 2 19 9" xfId="31743"/>
    <cellStyle name="标题 4 2 19 9 2" xfId="28852"/>
    <cellStyle name="标题 4 2 19 9 3" xfId="28854"/>
    <cellStyle name="标题 4 2 2" xfId="6092"/>
    <cellStyle name="标题 4 2 2 10" xfId="21059"/>
    <cellStyle name="标题 4 2 2 11" xfId="21061"/>
    <cellStyle name="标题 4 2 2 12" xfId="32896"/>
    <cellStyle name="标题 4 2 2 13" xfId="32897"/>
    <cellStyle name="标题 4 2 2 14" xfId="32898"/>
    <cellStyle name="标题 4 2 2 2" xfId="32900"/>
    <cellStyle name="标题 4 2 2 3" xfId="27430"/>
    <cellStyle name="标题 4 2 2 4" xfId="27435"/>
    <cellStyle name="标题 4 2 2 5" xfId="27439"/>
    <cellStyle name="标题 4 2 2 6" xfId="27442"/>
    <cellStyle name="标题 4 2 2 7" xfId="27444"/>
    <cellStyle name="标题 4 2 2 8" xfId="27446"/>
    <cellStyle name="标题 4 2 2 9" xfId="27448"/>
    <cellStyle name="标题 4 2 20" xfId="19216"/>
    <cellStyle name="标题 4 2 20 10" xfId="16673"/>
    <cellStyle name="标题 4 2 20 11" xfId="16677"/>
    <cellStyle name="标题 4 2 20 12" xfId="16630"/>
    <cellStyle name="标题 4 2 20 13" xfId="16059"/>
    <cellStyle name="标题 4 2 20 14" xfId="16104"/>
    <cellStyle name="标题 4 2 20 2" xfId="32902"/>
    <cellStyle name="标题 4 2 20 3" xfId="32904"/>
    <cellStyle name="标题 4 2 20 4" xfId="32906"/>
    <cellStyle name="标题 4 2 20 5" xfId="32908"/>
    <cellStyle name="标题 4 2 20 5 10" xfId="12835"/>
    <cellStyle name="标题 4 2 20 5 11" xfId="12839"/>
    <cellStyle name="标题 4 2 20 5 2" xfId="32471"/>
    <cellStyle name="标题 4 2 20 5 2 2" xfId="6603"/>
    <cellStyle name="标题 4 2 20 5 2 2 2" xfId="32909"/>
    <cellStyle name="标题 4 2 20 5 2 2 3" xfId="32911"/>
    <cellStyle name="标题 4 2 20 5 2 3" xfId="6617"/>
    <cellStyle name="标题 4 2 20 5 2 4" xfId="32913"/>
    <cellStyle name="标题 4 2 20 5 2 5" xfId="6671"/>
    <cellStyle name="标题 4 2 20 5 2 6" xfId="6677"/>
    <cellStyle name="标题 4 2 20 5 2 7" xfId="6683"/>
    <cellStyle name="标题 4 2 20 5 2 8" xfId="6689"/>
    <cellStyle name="标题 4 2 20 5 3" xfId="10535"/>
    <cellStyle name="标题 4 2 20 5 4" xfId="10539"/>
    <cellStyle name="标题 4 2 20 5 5" xfId="4629"/>
    <cellStyle name="标题 4 2 20 5 6" xfId="7601"/>
    <cellStyle name="标题 4 2 20 5 6 2" xfId="7943"/>
    <cellStyle name="标题 4 2 20 5 6 3" xfId="7951"/>
    <cellStyle name="标题 4 2 20 5 7" xfId="7607"/>
    <cellStyle name="标题 4 2 20 5 8" xfId="6766"/>
    <cellStyle name="标题 4 2 20 5 9" xfId="6783"/>
    <cellStyle name="标题 4 2 20 6" xfId="32915"/>
    <cellStyle name="标题 4 2 20 6 2" xfId="11295"/>
    <cellStyle name="标题 4 2 20 6 2 2" xfId="17762"/>
    <cellStyle name="标题 4 2 20 6 2 3" xfId="17764"/>
    <cellStyle name="标题 4 2 20 6 3" xfId="10585"/>
    <cellStyle name="标题 4 2 20 6 4" xfId="10587"/>
    <cellStyle name="标题 4 2 20 6 5" xfId="10589"/>
    <cellStyle name="标题 4 2 20 6 6" xfId="10591"/>
    <cellStyle name="标题 4 2 20 6 7" xfId="10605"/>
    <cellStyle name="标题 4 2 20 6 8" xfId="10643"/>
    <cellStyle name="标题 4 2 20 7" xfId="4383"/>
    <cellStyle name="标题 4 2 20 8" xfId="4396"/>
    <cellStyle name="标题 4 2 20 9" xfId="4407"/>
    <cellStyle name="标题 4 2 20 9 2" xfId="17183"/>
    <cellStyle name="标题 4 2 20 9 3" xfId="17185"/>
    <cellStyle name="标题 4 2 3" xfId="6094"/>
    <cellStyle name="标题 4 2 3 10" xfId="32916"/>
    <cellStyle name="标题 4 2 3 11" xfId="32917"/>
    <cellStyle name="标题 4 2 3 12" xfId="32918"/>
    <cellStyle name="标题 4 2 3 13" xfId="29511"/>
    <cellStyle name="标题 4 2 3 14" xfId="29513"/>
    <cellStyle name="标题 4 2 3 2" xfId="32919"/>
    <cellStyle name="标题 4 2 3 3" xfId="32920"/>
    <cellStyle name="标题 4 2 3 4" xfId="32921"/>
    <cellStyle name="标题 4 2 3 5" xfId="32922"/>
    <cellStyle name="标题 4 2 3 6" xfId="32923"/>
    <cellStyle name="标题 4 2 3 7" xfId="32924"/>
    <cellStyle name="标题 4 2 3 8" xfId="32925"/>
    <cellStyle name="标题 4 2 3 9" xfId="32926"/>
    <cellStyle name="标题 4 2 4" xfId="32927"/>
    <cellStyle name="标题 4 2 4 10" xfId="32928"/>
    <cellStyle name="标题 4 2 4 11" xfId="32929"/>
    <cellStyle name="标题 4 2 4 12" xfId="32930"/>
    <cellStyle name="标题 4 2 4 13" xfId="32931"/>
    <cellStyle name="标题 4 2 4 14" xfId="8372"/>
    <cellStyle name="标题 4 2 4 2" xfId="19158"/>
    <cellStyle name="标题 4 2 4 3" xfId="19161"/>
    <cellStyle name="标题 4 2 4 4" xfId="19164"/>
    <cellStyle name="标题 4 2 4 5" xfId="32933"/>
    <cellStyle name="标题 4 2 4 6" xfId="5258"/>
    <cellStyle name="标题 4 2 4 7" xfId="472"/>
    <cellStyle name="标题 4 2 4 8" xfId="202"/>
    <cellStyle name="标题 4 2 4 9" xfId="3788"/>
    <cellStyle name="标题 4 2 5" xfId="22405"/>
    <cellStyle name="标题 4 2 6" xfId="22407"/>
    <cellStyle name="标题 4 2 7" xfId="22409"/>
    <cellStyle name="标题 4 2 8" xfId="22412"/>
    <cellStyle name="标题 4 2 9" xfId="22432"/>
    <cellStyle name="标题 4 3" xfId="26980"/>
    <cellStyle name="标题 4 3 10" xfId="32935"/>
    <cellStyle name="标题 4 3 11" xfId="32937"/>
    <cellStyle name="标题 4 3 12" xfId="31449"/>
    <cellStyle name="标题 4 3 13" xfId="31454"/>
    <cellStyle name="标题 4 3 14" xfId="31456"/>
    <cellStyle name="标题 4 3 15" xfId="31458"/>
    <cellStyle name="标题 4 3 16" xfId="31461"/>
    <cellStyle name="标题 4 3 17" xfId="31463"/>
    <cellStyle name="标题 4 3 17 10" xfId="32938"/>
    <cellStyle name="标题 4 3 17 11" xfId="32939"/>
    <cellStyle name="标题 4 3 17 12" xfId="32940"/>
    <cellStyle name="标题 4 3 17 13" xfId="32941"/>
    <cellStyle name="标题 4 3 17 14" xfId="32942"/>
    <cellStyle name="标题 4 3 17 2" xfId="32943"/>
    <cellStyle name="标题 4 3 17 2 2" xfId="32944"/>
    <cellStyle name="标题 4 3 17 3" xfId="32945"/>
    <cellStyle name="标题 4 3 17 4" xfId="32946"/>
    <cellStyle name="标题 4 3 17 5" xfId="32947"/>
    <cellStyle name="标题 4 3 17 5 10" xfId="32948"/>
    <cellStyle name="标题 4 3 17 5 11" xfId="32949"/>
    <cellStyle name="标题 4 3 17 5 2" xfId="32950"/>
    <cellStyle name="标题 4 3 17 5 2 2" xfId="32951"/>
    <cellStyle name="标题 4 3 17 5 2 2 2" xfId="16055"/>
    <cellStyle name="标题 4 3 17 5 2 2 3" xfId="16115"/>
    <cellStyle name="标题 4 3 17 5 2 3" xfId="32952"/>
    <cellStyle name="标题 4 3 17 5 2 4" xfId="32954"/>
    <cellStyle name="标题 4 3 17 5 2 5" xfId="32956"/>
    <cellStyle name="标题 4 3 17 5 2 6" xfId="32958"/>
    <cellStyle name="标题 4 3 17 5 2 7" xfId="32960"/>
    <cellStyle name="标题 4 3 17 5 2 8" xfId="32962"/>
    <cellStyle name="标题 4 3 17 5 3" xfId="32963"/>
    <cellStyle name="标题 4 3 17 5 4" xfId="32964"/>
    <cellStyle name="标题 4 3 17 5 5" xfId="32965"/>
    <cellStyle name="标题 4 3 17 5 6" xfId="32966"/>
    <cellStyle name="标题 4 3 17 5 6 2" xfId="32967"/>
    <cellStyle name="标题 4 3 17 5 6 3" xfId="32968"/>
    <cellStyle name="标题 4 3 17 5 7" xfId="32969"/>
    <cellStyle name="标题 4 3 17 5 8" xfId="32970"/>
    <cellStyle name="标题 4 3 17 5 9" xfId="27288"/>
    <cellStyle name="标题 4 3 17 6" xfId="32972"/>
    <cellStyle name="标题 4 3 17 6 2" xfId="1210"/>
    <cellStyle name="标题 4 3 17 6 2 2" xfId="32973"/>
    <cellStyle name="标题 4 3 17 6 2 3" xfId="32974"/>
    <cellStyle name="标题 4 3 17 6 3" xfId="532"/>
    <cellStyle name="标题 4 3 17 6 4" xfId="32975"/>
    <cellStyle name="标题 4 3 17 6 5" xfId="32977"/>
    <cellStyle name="标题 4 3 17 6 6" xfId="32978"/>
    <cellStyle name="标题 4 3 17 6 7" xfId="32980"/>
    <cellStyle name="标题 4 3 17 6 8" xfId="32982"/>
    <cellStyle name="标题 4 3 17 7" xfId="32983"/>
    <cellStyle name="标题 4 3 17 8" xfId="32985"/>
    <cellStyle name="标题 4 3 17 9" xfId="18477"/>
    <cellStyle name="标题 4 3 17 9 2" xfId="13540"/>
    <cellStyle name="标题 4 3 17 9 3" xfId="32986"/>
    <cellStyle name="标题 4 3 18" xfId="31465"/>
    <cellStyle name="标题 4 3 18 10" xfId="27819"/>
    <cellStyle name="标题 4 3 18 11" xfId="27823"/>
    <cellStyle name="标题 4 3 18 12" xfId="27135"/>
    <cellStyle name="标题 4 3 18 13" xfId="27141"/>
    <cellStyle name="标题 4 3 18 14" xfId="27830"/>
    <cellStyle name="标题 4 3 18 2" xfId="32987"/>
    <cellStyle name="标题 4 3 18 3" xfId="32988"/>
    <cellStyle name="标题 4 3 18 4" xfId="32989"/>
    <cellStyle name="标题 4 3 18 5" xfId="32990"/>
    <cellStyle name="标题 4 3 18 5 10" xfId="32991"/>
    <cellStyle name="标题 4 3 18 5 11" xfId="32992"/>
    <cellStyle name="标题 4 3 18 5 2" xfId="32993"/>
    <cellStyle name="标题 4 3 18 5 2 2" xfId="32334"/>
    <cellStyle name="标题 4 3 18 5 2 2 2" xfId="32994"/>
    <cellStyle name="标题 4 3 18 5 2 2 3" xfId="32995"/>
    <cellStyle name="标题 4 3 18 5 2 3" xfId="32996"/>
    <cellStyle name="标题 4 3 18 5 2 4" xfId="32997"/>
    <cellStyle name="标题 4 3 18 5 2 5" xfId="32998"/>
    <cellStyle name="标题 4 3 18 5 2 6" xfId="33000"/>
    <cellStyle name="标题 4 3 18 5 2 7" xfId="33002"/>
    <cellStyle name="标题 4 3 18 5 2 8" xfId="31202"/>
    <cellStyle name="标题 4 3 18 5 3" xfId="33004"/>
    <cellStyle name="标题 4 3 18 5 4" xfId="33005"/>
    <cellStyle name="标题 4 3 18 5 5" xfId="33006"/>
    <cellStyle name="标题 4 3 18 5 6" xfId="33007"/>
    <cellStyle name="标题 4 3 18 5 6 2" xfId="33008"/>
    <cellStyle name="标题 4 3 18 5 6 3" xfId="33009"/>
    <cellStyle name="标题 4 3 18 5 7" xfId="32430"/>
    <cellStyle name="标题 4 3 18 5 8" xfId="32434"/>
    <cellStyle name="标题 4 3 18 5 9" xfId="32436"/>
    <cellStyle name="标题 4 3 18 6" xfId="6500"/>
    <cellStyle name="标题 4 3 18 6 2" xfId="11491"/>
    <cellStyle name="标题 4 3 18 6 2 2" xfId="32359"/>
    <cellStyle name="标题 4 3 18 6 2 3" xfId="33010"/>
    <cellStyle name="标题 4 3 18 6 3" xfId="11494"/>
    <cellStyle name="标题 4 3 18 6 4" xfId="32171"/>
    <cellStyle name="标题 4 3 18 6 5" xfId="32173"/>
    <cellStyle name="标题 4 3 18 6 6" xfId="28095"/>
    <cellStyle name="标题 4 3 18 6 7" xfId="28097"/>
    <cellStyle name="标题 4 3 18 6 8" xfId="24553"/>
    <cellStyle name="标题 4 3 18 7" xfId="5867"/>
    <cellStyle name="标题 4 3 18 8" xfId="5872"/>
    <cellStyle name="标题 4 3 18 9" xfId="33011"/>
    <cellStyle name="标题 4 3 18 9 2" xfId="29484"/>
    <cellStyle name="标题 4 3 18 9 3" xfId="29486"/>
    <cellStyle name="标题 4 3 19" xfId="33012"/>
    <cellStyle name="标题 4 3 19 10" xfId="33013"/>
    <cellStyle name="标题 4 3 19 11" xfId="33014"/>
    <cellStyle name="标题 4 3 19 12" xfId="33015"/>
    <cellStyle name="标题 4 3 19 13" xfId="33016"/>
    <cellStyle name="标题 4 3 19 14" xfId="33017"/>
    <cellStyle name="标题 4 3 19 2" xfId="33018"/>
    <cellStyle name="标题 4 3 19 3" xfId="29709"/>
    <cellStyle name="标题 4 3 19 4" xfId="29711"/>
    <cellStyle name="标题 4 3 19 5" xfId="33019"/>
    <cellStyle name="标题 4 3 19 5 10" xfId="33020"/>
    <cellStyle name="标题 4 3 19 5 11" xfId="33021"/>
    <cellStyle name="标题 4 3 19 5 2" xfId="33022"/>
    <cellStyle name="标题 4 3 19 5 2 2" xfId="19442"/>
    <cellStyle name="标题 4 3 19 5 2 2 2" xfId="26966"/>
    <cellStyle name="标题 4 3 19 5 2 2 3" xfId="26968"/>
    <cellStyle name="标题 4 3 19 5 2 3" xfId="17672"/>
    <cellStyle name="标题 4 3 19 5 2 4" xfId="7767"/>
    <cellStyle name="标题 4 3 19 5 2 5" xfId="7778"/>
    <cellStyle name="标题 4 3 19 5 2 6" xfId="8751"/>
    <cellStyle name="标题 4 3 19 5 2 7" xfId="8757"/>
    <cellStyle name="标题 4 3 19 5 2 8" xfId="8762"/>
    <cellStyle name="标题 4 3 19 5 3" xfId="33023"/>
    <cellStyle name="标题 4 3 19 5 4" xfId="33024"/>
    <cellStyle name="标题 4 3 19 5 5" xfId="4806"/>
    <cellStyle name="标题 4 3 19 5 6" xfId="4937"/>
    <cellStyle name="标题 4 3 19 5 6 2" xfId="20223"/>
    <cellStyle name="标题 4 3 19 5 6 3" xfId="20226"/>
    <cellStyle name="标题 4 3 19 5 7" xfId="2562"/>
    <cellStyle name="标题 4 3 19 5 8" xfId="14394"/>
    <cellStyle name="标题 4 3 19 5 9" xfId="14397"/>
    <cellStyle name="标题 4 3 19 6" xfId="33025"/>
    <cellStyle name="标题 4 3 19 6 2" xfId="11582"/>
    <cellStyle name="标题 4 3 19 6 2 2" xfId="33026"/>
    <cellStyle name="标题 4 3 19 6 2 3" xfId="33027"/>
    <cellStyle name="标题 4 3 19 6 3" xfId="11584"/>
    <cellStyle name="标题 4 3 19 6 4" xfId="33028"/>
    <cellStyle name="标题 4 3 19 6 5" xfId="33029"/>
    <cellStyle name="标题 4 3 19 6 6" xfId="33030"/>
    <cellStyle name="标题 4 3 19 6 7" xfId="33031"/>
    <cellStyle name="标题 4 3 19 6 8" xfId="33032"/>
    <cellStyle name="标题 4 3 19 7" xfId="33033"/>
    <cellStyle name="标题 4 3 19 8" xfId="33034"/>
    <cellStyle name="标题 4 3 19 9" xfId="33035"/>
    <cellStyle name="标题 4 3 19 9 2" xfId="16443"/>
    <cellStyle name="标题 4 3 19 9 3" xfId="29535"/>
    <cellStyle name="标题 4 3 2" xfId="26982"/>
    <cellStyle name="标题 4 3 2 10" xfId="33036"/>
    <cellStyle name="标题 4 3 2 11" xfId="33037"/>
    <cellStyle name="标题 4 3 2 12" xfId="33039"/>
    <cellStyle name="标题 4 3 2 13" xfId="33041"/>
    <cellStyle name="标题 4 3 2 14" xfId="33043"/>
    <cellStyle name="标题 4 3 2 2" xfId="33044"/>
    <cellStyle name="标题 4 3 2 3" xfId="27454"/>
    <cellStyle name="标题 4 3 2 4" xfId="4820"/>
    <cellStyle name="标题 4 3 2 5" xfId="4823"/>
    <cellStyle name="标题 4 3 2 6" xfId="33045"/>
    <cellStyle name="标题 4 3 2 7" xfId="33046"/>
    <cellStyle name="标题 4 3 2 8" xfId="33047"/>
    <cellStyle name="标题 4 3 2 9" xfId="33048"/>
    <cellStyle name="标题 4 3 20" xfId="31459"/>
    <cellStyle name="标题 4 3 20 10" xfId="33049"/>
    <cellStyle name="标题 4 3 20 11" xfId="33051"/>
    <cellStyle name="标题 4 3 20 12" xfId="33053"/>
    <cellStyle name="标题 4 3 20 13" xfId="33055"/>
    <cellStyle name="标题 4 3 20 14" xfId="33056"/>
    <cellStyle name="标题 4 3 20 2" xfId="28690"/>
    <cellStyle name="标题 4 3 20 3" xfId="33058"/>
    <cellStyle name="标题 4 3 20 4" xfId="33060"/>
    <cellStyle name="标题 4 3 20 5" xfId="33062"/>
    <cellStyle name="标题 4 3 20 5 10" xfId="17767"/>
    <cellStyle name="标题 4 3 20 5 11" xfId="18030"/>
    <cellStyle name="标题 4 3 20 5 2" xfId="28058"/>
    <cellStyle name="标题 4 3 20 5 2 2" xfId="33064"/>
    <cellStyle name="标题 4 3 20 5 2 2 2" xfId="33065"/>
    <cellStyle name="标题 4 3 20 5 2 2 3" xfId="33066"/>
    <cellStyle name="标题 4 3 20 5 2 3" xfId="33068"/>
    <cellStyle name="标题 4 3 20 5 2 4" xfId="33071"/>
    <cellStyle name="标题 4 3 20 5 2 5" xfId="33074"/>
    <cellStyle name="标题 4 3 20 5 2 6" xfId="33076"/>
    <cellStyle name="标题 4 3 20 5 2 7" xfId="33078"/>
    <cellStyle name="标题 4 3 20 5 2 8" xfId="33081"/>
    <cellStyle name="标题 4 3 20 5 3" xfId="28060"/>
    <cellStyle name="标题 4 3 20 5 4" xfId="28062"/>
    <cellStyle name="标题 4 3 20 5 5" xfId="28064"/>
    <cellStyle name="标题 4 3 20 5 6" xfId="28105"/>
    <cellStyle name="标题 4 3 20 5 6 2" xfId="28112"/>
    <cellStyle name="标题 4 3 20 5 6 3" xfId="28114"/>
    <cellStyle name="标题 4 3 20 5 7" xfId="28163"/>
    <cellStyle name="标题 4 3 20 5 8" xfId="28202"/>
    <cellStyle name="标题 4 3 20 5 9" xfId="33082"/>
    <cellStyle name="标题 4 3 20 6" xfId="33084"/>
    <cellStyle name="标题 4 3 20 6 2" xfId="11619"/>
    <cellStyle name="标题 4 3 20 6 2 2" xfId="33086"/>
    <cellStyle name="标题 4 3 20 6 2 3" xfId="33088"/>
    <cellStyle name="标题 4 3 20 6 3" xfId="11627"/>
    <cellStyle name="标题 4 3 20 6 4" xfId="33089"/>
    <cellStyle name="标题 4 3 20 6 5" xfId="33091"/>
    <cellStyle name="标题 4 3 20 6 6" xfId="33093"/>
    <cellStyle name="标题 4 3 20 6 7" xfId="33094"/>
    <cellStyle name="标题 4 3 20 6 8" xfId="31828"/>
    <cellStyle name="标题 4 3 20 7" xfId="5788"/>
    <cellStyle name="标题 4 3 20 8" xfId="5816"/>
    <cellStyle name="标题 4 3 20 9" xfId="5825"/>
    <cellStyle name="标题 4 3 20 9 2" xfId="33095"/>
    <cellStyle name="标题 4 3 20 9 3" xfId="33096"/>
    <cellStyle name="标题 4 3 3" xfId="26984"/>
    <cellStyle name="标题 4 3 3 10" xfId="7111"/>
    <cellStyle name="标题 4 3 3 11" xfId="19157"/>
    <cellStyle name="标题 4 3 3 12" xfId="19160"/>
    <cellStyle name="标题 4 3 3 13" xfId="19163"/>
    <cellStyle name="标题 4 3 3 14" xfId="32932"/>
    <cellStyle name="标题 4 3 3 2" xfId="27426"/>
    <cellStyle name="标题 4 3 3 3" xfId="5261"/>
    <cellStyle name="标题 4 3 3 4" xfId="3555"/>
    <cellStyle name="标题 4 3 3 5" xfId="3560"/>
    <cellStyle name="标题 4 3 3 6" xfId="3821"/>
    <cellStyle name="标题 4 3 3 7" xfId="5278"/>
    <cellStyle name="标题 4 3 3 8" xfId="5297"/>
    <cellStyle name="标题 4 3 3 9" xfId="5309"/>
    <cellStyle name="标题 4 3 4" xfId="33097"/>
    <cellStyle name="标题 4 3 4 10" xfId="4921"/>
    <cellStyle name="标题 4 3 4 11" xfId="5222"/>
    <cellStyle name="标题 4 3 4 12" xfId="2843"/>
    <cellStyle name="标题 4 3 4 13" xfId="2865"/>
    <cellStyle name="标题 4 3 4 14" xfId="2882"/>
    <cellStyle name="标题 4 3 4 2" xfId="7186"/>
    <cellStyle name="标题 4 3 4 3" xfId="7189"/>
    <cellStyle name="标题 4 3 4 4" xfId="33098"/>
    <cellStyle name="标题 4 3 4 5" xfId="33099"/>
    <cellStyle name="标题 4 3 4 6" xfId="5613"/>
    <cellStyle name="标题 4 3 4 7" xfId="3939"/>
    <cellStyle name="标题 4 3 4 8" xfId="4023"/>
    <cellStyle name="标题 4 3 4 9" xfId="4032"/>
    <cellStyle name="标题 4 3 5" xfId="22439"/>
    <cellStyle name="标题 4 3 6" xfId="13398"/>
    <cellStyle name="标题 4 3 7" xfId="13402"/>
    <cellStyle name="标题 4 3 8" xfId="13407"/>
    <cellStyle name="标题 4 3 9" xfId="13413"/>
    <cellStyle name="标题 4 4" xfId="26986"/>
    <cellStyle name="标题 4 4 10" xfId="32022"/>
    <cellStyle name="标题 4 4 11" xfId="32025"/>
    <cellStyle name="标题 4 4 12" xfId="32027"/>
    <cellStyle name="标题 4 4 13" xfId="1380"/>
    <cellStyle name="标题 4 4 14" xfId="1392"/>
    <cellStyle name="标题 4 4 15" xfId="1406"/>
    <cellStyle name="标题 4 4 16" xfId="1421"/>
    <cellStyle name="标题 4 4 17" xfId="1684"/>
    <cellStyle name="标题 4 4 17 10" xfId="33100"/>
    <cellStyle name="标题 4 4 17 11" xfId="33101"/>
    <cellStyle name="标题 4 4 17 12" xfId="33102"/>
    <cellStyle name="标题 4 4 17 13" xfId="32934"/>
    <cellStyle name="标题 4 4 17 14" xfId="32936"/>
    <cellStyle name="标题 4 4 17 2" xfId="1695"/>
    <cellStyle name="标题 4 4 17 3" xfId="1748"/>
    <cellStyle name="标题 4 4 17 4" xfId="1758"/>
    <cellStyle name="标题 4 4 17 5" xfId="1768"/>
    <cellStyle name="标题 4 4 17 5 10" xfId="5716"/>
    <cellStyle name="标题 4 4 17 5 11" xfId="5730"/>
    <cellStyle name="标题 4 4 17 5 2" xfId="33103"/>
    <cellStyle name="标题 4 4 17 5 2 2" xfId="33104"/>
    <cellStyle name="标题 4 4 17 5 2 2 2" xfId="32310"/>
    <cellStyle name="标题 4 4 17 5 2 2 3" xfId="32312"/>
    <cellStyle name="标题 4 4 17 5 2 3" xfId="2058"/>
    <cellStyle name="标题 4 4 17 5 2 4" xfId="2128"/>
    <cellStyle name="标题 4 4 17 5 2 5" xfId="33106"/>
    <cellStyle name="标题 4 4 17 5 2 6" xfId="33109"/>
    <cellStyle name="标题 4 4 17 5 2 7" xfId="33112"/>
    <cellStyle name="标题 4 4 17 5 2 8" xfId="33116"/>
    <cellStyle name="标题 4 4 17 5 3" xfId="33117"/>
    <cellStyle name="标题 4 4 17 5 4" xfId="33118"/>
    <cellStyle name="标题 4 4 17 5 5" xfId="33119"/>
    <cellStyle name="标题 4 4 17 5 6" xfId="33120"/>
    <cellStyle name="标题 4 4 17 5 6 2" xfId="33121"/>
    <cellStyle name="标题 4 4 17 5 6 3" xfId="33122"/>
    <cellStyle name="标题 4 4 17 5 7" xfId="33123"/>
    <cellStyle name="标题 4 4 17 5 8" xfId="33124"/>
    <cellStyle name="标题 4 4 17 5 9" xfId="33125"/>
    <cellStyle name="标题 4 4 17 6" xfId="390"/>
    <cellStyle name="标题 4 4 17 6 2" xfId="33126"/>
    <cellStyle name="标题 4 4 17 6 2 2" xfId="33127"/>
    <cellStyle name="标题 4 4 17 6 2 3" xfId="33128"/>
    <cellStyle name="标题 4 4 17 6 3" xfId="33129"/>
    <cellStyle name="标题 4 4 17 6 4" xfId="27362"/>
    <cellStyle name="标题 4 4 17 6 5" xfId="27364"/>
    <cellStyle name="标题 4 4 17 6 6" xfId="33130"/>
    <cellStyle name="标题 4 4 17 6 7" xfId="33131"/>
    <cellStyle name="标题 4 4 17 6 8" xfId="14380"/>
    <cellStyle name="标题 4 4 17 7" xfId="1777"/>
    <cellStyle name="标题 4 4 17 8" xfId="1781"/>
    <cellStyle name="标题 4 4 17 9" xfId="33132"/>
    <cellStyle name="标题 4 4 17 9 2" xfId="7906"/>
    <cellStyle name="标题 4 4 17 9 3" xfId="7911"/>
    <cellStyle name="标题 4 4 18" xfId="1793"/>
    <cellStyle name="标题 4 4 18 10" xfId="32745"/>
    <cellStyle name="标题 4 4 18 11" xfId="32747"/>
    <cellStyle name="标题 4 4 18 12" xfId="32013"/>
    <cellStyle name="标题 4 4 18 13" xfId="32020"/>
    <cellStyle name="标题 4 4 18 14" xfId="32023"/>
    <cellStyle name="标题 4 4 18 2" xfId="15236"/>
    <cellStyle name="标题 4 4 18 3" xfId="33133"/>
    <cellStyle name="标题 4 4 18 4" xfId="33135"/>
    <cellStyle name="标题 4 4 18 5" xfId="33137"/>
    <cellStyle name="标题 4 4 18 5 10" xfId="33138"/>
    <cellStyle name="标题 4 4 18 5 11" xfId="33140"/>
    <cellStyle name="标题 4 4 18 5 2" xfId="20656"/>
    <cellStyle name="标题 4 4 18 5 2 2" xfId="20658"/>
    <cellStyle name="标题 4 4 18 5 2 2 2" xfId="20662"/>
    <cellStyle name="标题 4 4 18 5 2 2 3" xfId="20664"/>
    <cellStyle name="标题 4 4 18 5 2 3" xfId="20667"/>
    <cellStyle name="标题 4 4 18 5 2 4" xfId="20670"/>
    <cellStyle name="标题 4 4 18 5 2 5" xfId="20673"/>
    <cellStyle name="标题 4 4 18 5 2 6" xfId="20675"/>
    <cellStyle name="标题 4 4 18 5 2 7" xfId="20677"/>
    <cellStyle name="标题 4 4 18 5 2 8" xfId="20679"/>
    <cellStyle name="标题 4 4 18 5 3" xfId="20682"/>
    <cellStyle name="标题 4 4 18 5 4" xfId="20684"/>
    <cellStyle name="标题 4 4 18 5 5" xfId="1323"/>
    <cellStyle name="标题 4 4 18 5 6" xfId="1334"/>
    <cellStyle name="标题 4 4 18 5 6 2" xfId="33142"/>
    <cellStyle name="标题 4 4 18 5 6 3" xfId="33144"/>
    <cellStyle name="标题 4 4 18 5 7" xfId="1346"/>
    <cellStyle name="标题 4 4 18 5 8" xfId="262"/>
    <cellStyle name="标题 4 4 18 5 9" xfId="1365"/>
    <cellStyle name="标题 4 4 18 6" xfId="33147"/>
    <cellStyle name="标题 4 4 18 6 2" xfId="20714"/>
    <cellStyle name="标题 4 4 18 6 2 2" xfId="20717"/>
    <cellStyle name="标题 4 4 18 6 2 3" xfId="20724"/>
    <cellStyle name="标题 4 4 18 6 3" xfId="20731"/>
    <cellStyle name="标题 4 4 18 6 4" xfId="20735"/>
    <cellStyle name="标题 4 4 18 6 5" xfId="13972"/>
    <cellStyle name="标题 4 4 18 6 6" xfId="13991"/>
    <cellStyle name="标题 4 4 18 6 7" xfId="14002"/>
    <cellStyle name="标题 4 4 18 6 8" xfId="12362"/>
    <cellStyle name="标题 4 4 18 7" xfId="33149"/>
    <cellStyle name="标题 4 4 18 8" xfId="33151"/>
    <cellStyle name="标题 4 4 18 9" xfId="33153"/>
    <cellStyle name="标题 4 4 18 9 2" xfId="1080"/>
    <cellStyle name="标题 4 4 18 9 3" xfId="21904"/>
    <cellStyle name="标题 4 4 19" xfId="1807"/>
    <cellStyle name="标题 4 4 19 10" xfId="32816"/>
    <cellStyle name="标题 4 4 19 11" xfId="32818"/>
    <cellStyle name="标题 4 4 19 12" xfId="32820"/>
    <cellStyle name="标题 4 4 19 13" xfId="33155"/>
    <cellStyle name="标题 4 4 19 14" xfId="33157"/>
    <cellStyle name="标题 4 4 19 2" xfId="33159"/>
    <cellStyle name="标题 4 4 19 3" xfId="29732"/>
    <cellStyle name="标题 4 4 19 4" xfId="17390"/>
    <cellStyle name="标题 4 4 19 5" xfId="17394"/>
    <cellStyle name="标题 4 4 19 5 10" xfId="28773"/>
    <cellStyle name="标题 4 4 19 5 11" xfId="28775"/>
    <cellStyle name="标题 4 4 19 5 2" xfId="4851"/>
    <cellStyle name="标题 4 4 19 5 2 2" xfId="33160"/>
    <cellStyle name="标题 4 4 19 5 2 2 2" xfId="33161"/>
    <cellStyle name="标题 4 4 19 5 2 2 3" xfId="33162"/>
    <cellStyle name="标题 4 4 19 5 2 3" xfId="33163"/>
    <cellStyle name="标题 4 4 19 5 2 4" xfId="10772"/>
    <cellStyle name="标题 4 4 19 5 2 5" xfId="10777"/>
    <cellStyle name="标题 4 4 19 5 2 6" xfId="10782"/>
    <cellStyle name="标题 4 4 19 5 2 7" xfId="10786"/>
    <cellStyle name="标题 4 4 19 5 2 8" xfId="10789"/>
    <cellStyle name="标题 4 4 19 5 3" xfId="19523"/>
    <cellStyle name="标题 4 4 19 5 4" xfId="19530"/>
    <cellStyle name="标题 4 4 19 5 5" xfId="11861"/>
    <cellStyle name="标题 4 4 19 5 6" xfId="11453"/>
    <cellStyle name="标题 4 4 19 5 6 2" xfId="2413"/>
    <cellStyle name="标题 4 4 19 5 6 3" xfId="33164"/>
    <cellStyle name="标题 4 4 19 5 7" xfId="11464"/>
    <cellStyle name="标题 4 4 19 5 8" xfId="11877"/>
    <cellStyle name="标题 4 4 19 5 9" xfId="14709"/>
    <cellStyle name="标题 4 4 19 6" xfId="33165"/>
    <cellStyle name="标题 4 4 19 6 2" xfId="19554"/>
    <cellStyle name="标题 4 4 19 6 2 2" xfId="33167"/>
    <cellStyle name="标题 4 4 19 6 2 3" xfId="24609"/>
    <cellStyle name="标题 4 4 19 6 3" xfId="19556"/>
    <cellStyle name="标题 4 4 19 6 4" xfId="19560"/>
    <cellStyle name="标题 4 4 19 6 5" xfId="19594"/>
    <cellStyle name="标题 4 4 19 6 6" xfId="19602"/>
    <cellStyle name="标题 4 4 19 6 7" xfId="19608"/>
    <cellStyle name="标题 4 4 19 6 8" xfId="19613"/>
    <cellStyle name="标题 4 4 19 7" xfId="33168"/>
    <cellStyle name="标题 4 4 19 8" xfId="33170"/>
    <cellStyle name="标题 4 4 19 9" xfId="33173"/>
    <cellStyle name="标题 4 4 19 9 2" xfId="30004"/>
    <cellStyle name="标题 4 4 19 9 3" xfId="30008"/>
    <cellStyle name="标题 4 4 2" xfId="33176"/>
    <cellStyle name="标题 4 4 20" xfId="1407"/>
    <cellStyle name="标题 4 4 20 10" xfId="21492"/>
    <cellStyle name="标题 4 4 20 11" xfId="21496"/>
    <cellStyle name="标题 4 4 20 12" xfId="21500"/>
    <cellStyle name="标题 4 4 20 13" xfId="21504"/>
    <cellStyle name="标题 4 4 20 14" xfId="24035"/>
    <cellStyle name="标题 4 4 20 2" xfId="33177"/>
    <cellStyle name="标题 4 4 20 3" xfId="33178"/>
    <cellStyle name="标题 4 4 20 4" xfId="8891"/>
    <cellStyle name="标题 4 4 20 5" xfId="8896"/>
    <cellStyle name="标题 4 4 20 5 10" xfId="33179"/>
    <cellStyle name="标题 4 4 20 5 11" xfId="33180"/>
    <cellStyle name="标题 4 4 20 5 2" xfId="33181"/>
    <cellStyle name="标题 4 4 20 5 2 2" xfId="33184"/>
    <cellStyle name="标题 4 4 20 5 2 2 2" xfId="33188"/>
    <cellStyle name="标题 4 4 20 5 2 2 3" xfId="33192"/>
    <cellStyle name="标题 4 4 20 5 2 3" xfId="33195"/>
    <cellStyle name="标题 4 4 20 5 2 4" xfId="33198"/>
    <cellStyle name="标题 4 4 20 5 2 5" xfId="33200"/>
    <cellStyle name="标题 4 4 20 5 2 6" xfId="33202"/>
    <cellStyle name="标题 4 4 20 5 2 7" xfId="33204"/>
    <cellStyle name="标题 4 4 20 5 2 8" xfId="33206"/>
    <cellStyle name="标题 4 4 20 5 3" xfId="33207"/>
    <cellStyle name="标题 4 4 20 5 4" xfId="25680"/>
    <cellStyle name="标题 4 4 20 5 5" xfId="33208"/>
    <cellStyle name="标题 4 4 20 5 6" xfId="33209"/>
    <cellStyle name="标题 4 4 20 5 6 2" xfId="33210"/>
    <cellStyle name="标题 4 4 20 5 6 3" xfId="33211"/>
    <cellStyle name="标题 4 4 20 5 7" xfId="33213"/>
    <cellStyle name="标题 4 4 20 5 8" xfId="33215"/>
    <cellStyle name="标题 4 4 20 5 9" xfId="33216"/>
    <cellStyle name="标题 4 4 20 6" xfId="8901"/>
    <cellStyle name="标题 4 4 20 6 2" xfId="33219"/>
    <cellStyle name="标题 4 4 20 6 2 2" xfId="33222"/>
    <cellStyle name="标题 4 4 20 6 2 3" xfId="33225"/>
    <cellStyle name="标题 4 4 20 6 3" xfId="33228"/>
    <cellStyle name="标题 4 4 20 6 4" xfId="33231"/>
    <cellStyle name="标题 4 4 20 6 5" xfId="32598"/>
    <cellStyle name="标题 4 4 20 6 6" xfId="32603"/>
    <cellStyle name="标题 4 4 20 6 7" xfId="33233"/>
    <cellStyle name="标题 4 4 20 6 8" xfId="31882"/>
    <cellStyle name="标题 4 4 20 7" xfId="8906"/>
    <cellStyle name="标题 4 4 20 8" xfId="8182"/>
    <cellStyle name="标题 4 4 20 9" xfId="17364"/>
    <cellStyle name="标题 4 4 20 9 2" xfId="30133"/>
    <cellStyle name="标题 4 4 20 9 3" xfId="33235"/>
    <cellStyle name="标题 4 4 3" xfId="33236"/>
    <cellStyle name="标题 4 4 4" xfId="33237"/>
    <cellStyle name="标题 4 4 5" xfId="33238"/>
    <cellStyle name="标题 4 4 6" xfId="33239"/>
    <cellStyle name="标题 4 4 7" xfId="33240"/>
    <cellStyle name="标题 4 4 8" xfId="33241"/>
    <cellStyle name="标题 4 4 9" xfId="33242"/>
    <cellStyle name="标题 4 5" xfId="26988"/>
    <cellStyle name="标题 4 5 10" xfId="33154"/>
    <cellStyle name="标题 4 5 11" xfId="33156"/>
    <cellStyle name="标题 4 5 12" xfId="33243"/>
    <cellStyle name="标题 4 5 13" xfId="33244"/>
    <cellStyle name="标题 4 5 14" xfId="18063"/>
    <cellStyle name="标题 4 5 2" xfId="33245"/>
    <cellStyle name="标题 4 5 3" xfId="33246"/>
    <cellStyle name="标题 4 5 4" xfId="33247"/>
    <cellStyle name="标题 4 5 5" xfId="33248"/>
    <cellStyle name="标题 4 5 6" xfId="33250"/>
    <cellStyle name="标题 4 5 7" xfId="33252"/>
    <cellStyle name="标题 4 5 8" xfId="13511"/>
    <cellStyle name="标题 4 5 9" xfId="13515"/>
    <cellStyle name="标题 4 6" xfId="25214"/>
    <cellStyle name="标题 4 6 10" xfId="2122"/>
    <cellStyle name="标题 4 6 11" xfId="24064"/>
    <cellStyle name="标题 4 6 12" xfId="24067"/>
    <cellStyle name="标题 4 6 13" xfId="24069"/>
    <cellStyle name="标题 4 6 14" xfId="24071"/>
    <cellStyle name="标题 4 6 2" xfId="33254"/>
    <cellStyle name="标题 4 6 3" xfId="33255"/>
    <cellStyle name="标题 4 6 4" xfId="33256"/>
    <cellStyle name="标题 4 6 5" xfId="21633"/>
    <cellStyle name="标题 4 6 6" xfId="21636"/>
    <cellStyle name="标题 4 6 7" xfId="33257"/>
    <cellStyle name="标题 4 6 8" xfId="33259"/>
    <cellStyle name="标题 4 6 9" xfId="33261"/>
    <cellStyle name="标题 4 7" xfId="25216"/>
    <cellStyle name="标题 4 8" xfId="33263"/>
    <cellStyle name="标题 4 9" xfId="33264"/>
    <cellStyle name="标题 5" xfId="15743"/>
    <cellStyle name="标题 5 10" xfId="30920"/>
    <cellStyle name="标题 5 11" xfId="30923"/>
    <cellStyle name="标题 5 12" xfId="33265"/>
    <cellStyle name="标题 5 13" xfId="33267"/>
    <cellStyle name="标题 5 14" xfId="33268"/>
    <cellStyle name="标题 5 15" xfId="33269"/>
    <cellStyle name="标题 5 16" xfId="33271"/>
    <cellStyle name="标题 5 17" xfId="13208"/>
    <cellStyle name="标题 5 17 10" xfId="18257"/>
    <cellStyle name="标题 5 17 11" xfId="18262"/>
    <cellStyle name="标题 5 17 12" xfId="20174"/>
    <cellStyle name="标题 5 17 13" xfId="11380"/>
    <cellStyle name="标题 5 17 14" xfId="26198"/>
    <cellStyle name="标题 5 17 2" xfId="13216"/>
    <cellStyle name="标题 5 17 3" xfId="13225"/>
    <cellStyle name="标题 5 17 4" xfId="18920"/>
    <cellStyle name="标题 5 17 5" xfId="15418"/>
    <cellStyle name="标题 5 17 5 10" xfId="23548"/>
    <cellStyle name="标题 5 17 5 11" xfId="29020"/>
    <cellStyle name="标题 5 17 5 2" xfId="13058"/>
    <cellStyle name="标题 5 17 5 2 2" xfId="33272"/>
    <cellStyle name="标题 5 17 5 2 2 2" xfId="24600"/>
    <cellStyle name="标题 5 17 5 2 2 3" xfId="24603"/>
    <cellStyle name="标题 5 17 5 2 3" xfId="33273"/>
    <cellStyle name="标题 5 17 5 2 4" xfId="29029"/>
    <cellStyle name="标题 5 17 5 2 5" xfId="29031"/>
    <cellStyle name="标题 5 17 5 2 6" xfId="33274"/>
    <cellStyle name="标题 5 17 5 2 7" xfId="33275"/>
    <cellStyle name="标题 5 17 5 2 8" xfId="16734"/>
    <cellStyle name="标题 5 17 5 3" xfId="13063"/>
    <cellStyle name="标题 5 17 5 4" xfId="13068"/>
    <cellStyle name="标题 5 17 5 5" xfId="13116"/>
    <cellStyle name="标题 5 17 5 6" xfId="33276"/>
    <cellStyle name="标题 5 17 5 6 2" xfId="23379"/>
    <cellStyle name="标题 5 17 5 6 3" xfId="33277"/>
    <cellStyle name="标题 5 17 5 7" xfId="6524"/>
    <cellStyle name="标题 5 17 5 8" xfId="1098"/>
    <cellStyle name="标题 5 17 5 9" xfId="1154"/>
    <cellStyle name="标题 5 17 6" xfId="33278"/>
    <cellStyle name="标题 5 17 6 2" xfId="33279"/>
    <cellStyle name="标题 5 17 6 2 2" xfId="33280"/>
    <cellStyle name="标题 5 17 6 2 3" xfId="33281"/>
    <cellStyle name="标题 5 17 6 3" xfId="33282"/>
    <cellStyle name="标题 5 17 6 4" xfId="33283"/>
    <cellStyle name="标题 5 17 6 5" xfId="33284"/>
    <cellStyle name="标题 5 17 6 6" xfId="33285"/>
    <cellStyle name="标题 5 17 6 7" xfId="33286"/>
    <cellStyle name="标题 5 17 6 8" xfId="17608"/>
    <cellStyle name="标题 5 17 7" xfId="33287"/>
    <cellStyle name="标题 5 17 8" xfId="33288"/>
    <cellStyle name="标题 5 17 9" xfId="33289"/>
    <cellStyle name="标题 5 17 9 2" xfId="33291"/>
    <cellStyle name="标题 5 17 9 3" xfId="33293"/>
    <cellStyle name="标题 5 18" xfId="13230"/>
    <cellStyle name="标题 5 18 10" xfId="25545"/>
    <cellStyle name="标题 5 18 11" xfId="28399"/>
    <cellStyle name="标题 5 18 12" xfId="33294"/>
    <cellStyle name="标题 5 18 13" xfId="17527"/>
    <cellStyle name="标题 5 18 14" xfId="17529"/>
    <cellStyle name="标题 5 18 2" xfId="18929"/>
    <cellStyle name="标题 5 18 3" xfId="822"/>
    <cellStyle name="标题 5 18 4" xfId="928"/>
    <cellStyle name="标题 5 18 5" xfId="964"/>
    <cellStyle name="标题 5 18 5 10" xfId="33295"/>
    <cellStyle name="标题 5 18 5 11" xfId="33296"/>
    <cellStyle name="标题 5 18 5 2" xfId="6444"/>
    <cellStyle name="标题 5 18 5 2 2" xfId="2862"/>
    <cellStyle name="标题 5 18 5 2 2 2" xfId="33297"/>
    <cellStyle name="标题 5 18 5 2 2 3" xfId="33298"/>
    <cellStyle name="标题 5 18 5 2 3" xfId="2880"/>
    <cellStyle name="标题 5 18 5 2 4" xfId="2897"/>
    <cellStyle name="标题 5 18 5 2 5" xfId="33299"/>
    <cellStyle name="标题 5 18 5 2 6" xfId="33300"/>
    <cellStyle name="标题 5 18 5 2 7" xfId="33301"/>
    <cellStyle name="标题 5 18 5 2 8" xfId="32864"/>
    <cellStyle name="标题 5 18 5 3" xfId="6543"/>
    <cellStyle name="标题 5 18 5 4" xfId="33302"/>
    <cellStyle name="标题 5 18 5 5" xfId="33303"/>
    <cellStyle name="标题 5 18 5 6" xfId="33304"/>
    <cellStyle name="标题 5 18 5 6 2" xfId="23591"/>
    <cellStyle name="标题 5 18 5 6 3" xfId="33305"/>
    <cellStyle name="标题 5 18 5 7" xfId="33306"/>
    <cellStyle name="标题 5 18 5 8" xfId="33307"/>
    <cellStyle name="标题 5 18 5 9" xfId="33308"/>
    <cellStyle name="标题 5 18 6" xfId="999"/>
    <cellStyle name="标题 5 18 6 2" xfId="11131"/>
    <cellStyle name="标题 5 18 6 2 2" xfId="33309"/>
    <cellStyle name="标题 5 18 6 2 3" xfId="33310"/>
    <cellStyle name="标题 5 18 6 3" xfId="11133"/>
    <cellStyle name="标题 5 18 6 4" xfId="33311"/>
    <cellStyle name="标题 5 18 6 5" xfId="33312"/>
    <cellStyle name="标题 5 18 6 6" xfId="33313"/>
    <cellStyle name="标题 5 18 6 7" xfId="33314"/>
    <cellStyle name="标题 5 18 6 8" xfId="27255"/>
    <cellStyle name="标题 5 18 7" xfId="1018"/>
    <cellStyle name="标题 5 18 8" xfId="1053"/>
    <cellStyle name="标题 5 18 9" xfId="1074"/>
    <cellStyle name="标题 5 18 9 2" xfId="33317"/>
    <cellStyle name="标题 5 18 9 3" xfId="33320"/>
    <cellStyle name="标题 5 19" xfId="13236"/>
    <cellStyle name="标题 5 19 10" xfId="28434"/>
    <cellStyle name="标题 5 19 11" xfId="28436"/>
    <cellStyle name="标题 5 19 12" xfId="25653"/>
    <cellStyle name="标题 5 19 13" xfId="33321"/>
    <cellStyle name="标题 5 19 14" xfId="9866"/>
    <cellStyle name="标题 5 19 2" xfId="18501"/>
    <cellStyle name="标题 5 19 3" xfId="1113"/>
    <cellStyle name="标题 5 19 4" xfId="1160"/>
    <cellStyle name="标题 5 19 5" xfId="1176"/>
    <cellStyle name="标题 5 19 5 10" xfId="33322"/>
    <cellStyle name="标题 5 19 5 11" xfId="33323"/>
    <cellStyle name="标题 5 19 5 2" xfId="5449"/>
    <cellStyle name="标题 5 19 5 2 2" xfId="14198"/>
    <cellStyle name="标题 5 19 5 2 2 2" xfId="33324"/>
    <cellStyle name="标题 5 19 5 2 2 3" xfId="33325"/>
    <cellStyle name="标题 5 19 5 2 3" xfId="14212"/>
    <cellStyle name="标题 5 19 5 2 4" xfId="14218"/>
    <cellStyle name="标题 5 19 5 2 5" xfId="3745"/>
    <cellStyle name="标题 5 19 5 2 6" xfId="7145"/>
    <cellStyle name="标题 5 19 5 2 7" xfId="33326"/>
    <cellStyle name="标题 5 19 5 2 8" xfId="7154"/>
    <cellStyle name="标题 5 19 5 3" xfId="32453"/>
    <cellStyle name="标题 5 19 5 4" xfId="33327"/>
    <cellStyle name="标题 5 19 5 5" xfId="33328"/>
    <cellStyle name="标题 5 19 5 6" xfId="33329"/>
    <cellStyle name="标题 5 19 5 6 2" xfId="15575"/>
    <cellStyle name="标题 5 19 5 6 3" xfId="15581"/>
    <cellStyle name="标题 5 19 5 7" xfId="33330"/>
    <cellStyle name="标题 5 19 5 8" xfId="33331"/>
    <cellStyle name="标题 5 19 5 9" xfId="33332"/>
    <cellStyle name="标题 5 19 6" xfId="1194"/>
    <cellStyle name="标题 5 19 6 2" xfId="32542"/>
    <cellStyle name="标题 5 19 6 2 2" xfId="14288"/>
    <cellStyle name="标题 5 19 6 2 3" xfId="3436"/>
    <cellStyle name="标题 5 19 6 3" xfId="32544"/>
    <cellStyle name="标题 5 19 6 4" xfId="32546"/>
    <cellStyle name="标题 5 19 6 5" xfId="33333"/>
    <cellStyle name="标题 5 19 6 6" xfId="33334"/>
    <cellStyle name="标题 5 19 6 7" xfId="23261"/>
    <cellStyle name="标题 5 19 6 8" xfId="23263"/>
    <cellStyle name="标题 5 19 7" xfId="1199"/>
    <cellStyle name="标题 5 19 8" xfId="1216"/>
    <cellStyle name="标题 5 19 9" xfId="539"/>
    <cellStyle name="标题 5 19 9 2" xfId="33335"/>
    <cellStyle name="标题 5 19 9 3" xfId="21658"/>
    <cellStyle name="标题 5 2" xfId="27001"/>
    <cellStyle name="标题 5 2 10" xfId="20115"/>
    <cellStyle name="标题 5 2 11" xfId="20121"/>
    <cellStyle name="标题 5 2 12" xfId="20133"/>
    <cellStyle name="标题 5 2 13" xfId="9143"/>
    <cellStyle name="标题 5 2 14" xfId="9154"/>
    <cellStyle name="标题 5 2 2" xfId="17825"/>
    <cellStyle name="标题 5 2 3" xfId="25882"/>
    <cellStyle name="标题 5 2 4" xfId="33336"/>
    <cellStyle name="标题 5 2 5" xfId="33337"/>
    <cellStyle name="标题 5 2 6" xfId="33338"/>
    <cellStyle name="标题 5 2 7" xfId="33339"/>
    <cellStyle name="标题 5 2 8" xfId="33340"/>
    <cellStyle name="标题 5 2 9" xfId="33341"/>
    <cellStyle name="标题 5 20" xfId="33270"/>
    <cellStyle name="标题 5 20 10" xfId="33342"/>
    <cellStyle name="标题 5 20 11" xfId="33343"/>
    <cellStyle name="标题 5 20 12" xfId="33344"/>
    <cellStyle name="标题 5 20 13" xfId="6012"/>
    <cellStyle name="标题 5 20 14" xfId="18115"/>
    <cellStyle name="标题 5 20 2" xfId="774"/>
    <cellStyle name="标题 5 20 3" xfId="781"/>
    <cellStyle name="标题 5 20 4" xfId="795"/>
    <cellStyle name="标题 5 20 5" xfId="23245"/>
    <cellStyle name="标题 5 20 5 10" xfId="29449"/>
    <cellStyle name="标题 5 20 5 11" xfId="33345"/>
    <cellStyle name="标题 5 20 5 2" xfId="3956"/>
    <cellStyle name="标题 5 20 5 2 2" xfId="33346"/>
    <cellStyle name="标题 5 20 5 2 2 2" xfId="29840"/>
    <cellStyle name="标题 5 20 5 2 2 3" xfId="29842"/>
    <cellStyle name="标题 5 20 5 2 3" xfId="33347"/>
    <cellStyle name="标题 5 20 5 2 4" xfId="33348"/>
    <cellStyle name="标题 5 20 5 2 5" xfId="33349"/>
    <cellStyle name="标题 5 20 5 2 6" xfId="33350"/>
    <cellStyle name="标题 5 20 5 2 7" xfId="33351"/>
    <cellStyle name="标题 5 20 5 2 8" xfId="33352"/>
    <cellStyle name="标题 5 20 5 3" xfId="3975"/>
    <cellStyle name="标题 5 20 5 4" xfId="4902"/>
    <cellStyle name="标题 5 20 5 5" xfId="33353"/>
    <cellStyle name="标题 5 20 5 6" xfId="33354"/>
    <cellStyle name="标题 5 20 5 6 2" xfId="33355"/>
    <cellStyle name="标题 5 20 5 6 3" xfId="33356"/>
    <cellStyle name="标题 5 20 5 7" xfId="33357"/>
    <cellStyle name="标题 5 20 5 8" xfId="33358"/>
    <cellStyle name="标题 5 20 5 9" xfId="33359"/>
    <cellStyle name="标题 5 20 6" xfId="23248"/>
    <cellStyle name="标题 5 20 6 2" xfId="2948"/>
    <cellStyle name="标题 5 20 6 2 2" xfId="26952"/>
    <cellStyle name="标题 5 20 6 2 3" xfId="26955"/>
    <cellStyle name="标题 5 20 6 3" xfId="2965"/>
    <cellStyle name="标题 5 20 6 4" xfId="2988"/>
    <cellStyle name="标题 5 20 6 5" xfId="33360"/>
    <cellStyle name="标题 5 20 6 6" xfId="33361"/>
    <cellStyle name="标题 5 20 6 7" xfId="33362"/>
    <cellStyle name="标题 5 20 6 8" xfId="17499"/>
    <cellStyle name="标题 5 20 7" xfId="27321"/>
    <cellStyle name="标题 5 20 8" xfId="33363"/>
    <cellStyle name="标题 5 20 9" xfId="33364"/>
    <cellStyle name="标题 5 20 9 2" xfId="33365"/>
    <cellStyle name="标题 5 20 9 3" xfId="33366"/>
    <cellStyle name="标题 5 3" xfId="27004"/>
    <cellStyle name="标题 5 3 10" xfId="33367"/>
    <cellStyle name="标题 5 3 11" xfId="33368"/>
    <cellStyle name="标题 5 3 12" xfId="33369"/>
    <cellStyle name="标题 5 3 13" xfId="33370"/>
    <cellStyle name="标题 5 3 14" xfId="33371"/>
    <cellStyle name="标题 5 3 2" xfId="33372"/>
    <cellStyle name="标题 5 3 3" xfId="33373"/>
    <cellStyle name="标题 5 3 4" xfId="33374"/>
    <cellStyle name="标题 5 3 5" xfId="33375"/>
    <cellStyle name="标题 5 3 6" xfId="33376"/>
    <cellStyle name="标题 5 3 7" xfId="33377"/>
    <cellStyle name="标题 5 3 8" xfId="31806"/>
    <cellStyle name="标题 5 3 9" xfId="31808"/>
    <cellStyle name="标题 5 4" xfId="27007"/>
    <cellStyle name="标题 5 4 10" xfId="7288"/>
    <cellStyle name="标题 5 4 11" xfId="7368"/>
    <cellStyle name="标题 5 4 12" xfId="7437"/>
    <cellStyle name="标题 5 4 13" xfId="2383"/>
    <cellStyle name="标题 5 4 14" xfId="2615"/>
    <cellStyle name="标题 5 4 2" xfId="33378"/>
    <cellStyle name="标题 5 4 3" xfId="33379"/>
    <cellStyle name="标题 5 4 4" xfId="33380"/>
    <cellStyle name="标题 5 4 5" xfId="33381"/>
    <cellStyle name="标题 5 4 6" xfId="33382"/>
    <cellStyle name="标题 5 4 7" xfId="13375"/>
    <cellStyle name="标题 5 4 8" xfId="13379"/>
    <cellStyle name="标题 5 4 9" xfId="13385"/>
    <cellStyle name="标题 5 5" xfId="27009"/>
    <cellStyle name="标题 5 6" xfId="33383"/>
    <cellStyle name="标题 5 7" xfId="33384"/>
    <cellStyle name="标题 5 8" xfId="32554"/>
    <cellStyle name="标题 5 9" xfId="32558"/>
    <cellStyle name="标题 6" xfId="15748"/>
    <cellStyle name="标题 6 10" xfId="33385"/>
    <cellStyle name="标题 6 11" xfId="33386"/>
    <cellStyle name="标题 6 12" xfId="29329"/>
    <cellStyle name="标题 6 13" xfId="29331"/>
    <cellStyle name="标题 6 14" xfId="29333"/>
    <cellStyle name="标题 6 15" xfId="25887"/>
    <cellStyle name="标题 6 16" xfId="29356"/>
    <cellStyle name="标题 6 17" xfId="29364"/>
    <cellStyle name="标题 6 17 10" xfId="13002"/>
    <cellStyle name="标题 6 17 11" xfId="13016"/>
    <cellStyle name="标题 6 17 12" xfId="21441"/>
    <cellStyle name="标题 6 17 13" xfId="29380"/>
    <cellStyle name="标题 6 17 14" xfId="33388"/>
    <cellStyle name="标题 6 17 2" xfId="33389"/>
    <cellStyle name="标题 6 17 2 2" xfId="19011"/>
    <cellStyle name="标题 6 17 3" xfId="33390"/>
    <cellStyle name="标题 6 17 4" xfId="33391"/>
    <cellStyle name="标题 6 17 5" xfId="33392"/>
    <cellStyle name="标题 6 17 5 10" xfId="33393"/>
    <cellStyle name="标题 6 17 5 11" xfId="33394"/>
    <cellStyle name="标题 6 17 5 2" xfId="33395"/>
    <cellStyle name="标题 6 17 5 2 2" xfId="8094"/>
    <cellStyle name="标题 6 17 5 2 2 2" xfId="33397"/>
    <cellStyle name="标题 6 17 5 2 2 3" xfId="33399"/>
    <cellStyle name="标题 6 17 5 2 3" xfId="6194"/>
    <cellStyle name="标题 6 17 5 2 4" xfId="6204"/>
    <cellStyle name="标题 6 17 5 2 5" xfId="12096"/>
    <cellStyle name="标题 6 17 5 2 6" xfId="12102"/>
    <cellStyle name="标题 6 17 5 2 7" xfId="23164"/>
    <cellStyle name="标题 6 17 5 2 8" xfId="16972"/>
    <cellStyle name="标题 6 17 5 3" xfId="33400"/>
    <cellStyle name="标题 6 17 5 4" xfId="33401"/>
    <cellStyle name="标题 6 17 5 5" xfId="33402"/>
    <cellStyle name="标题 6 17 5 6" xfId="25610"/>
    <cellStyle name="标题 6 17 5 6 2" xfId="33403"/>
    <cellStyle name="标题 6 17 5 6 3" xfId="33404"/>
    <cellStyle name="标题 6 17 5 7" xfId="33405"/>
    <cellStyle name="标题 6 17 5 8" xfId="33406"/>
    <cellStyle name="标题 6 17 5 9" xfId="33407"/>
    <cellStyle name="标题 6 17 6" xfId="33408"/>
    <cellStyle name="标题 6 17 6 2" xfId="33409"/>
    <cellStyle name="标题 6 17 6 2 2" xfId="33410"/>
    <cellStyle name="标题 6 17 6 2 3" xfId="33411"/>
    <cellStyle name="标题 6 17 6 3" xfId="33412"/>
    <cellStyle name="标题 6 17 6 4" xfId="33413"/>
    <cellStyle name="标题 6 17 6 5" xfId="33414"/>
    <cellStyle name="标题 6 17 6 6" xfId="33415"/>
    <cellStyle name="标题 6 17 6 7" xfId="24410"/>
    <cellStyle name="标题 6 17 6 8" xfId="17906"/>
    <cellStyle name="标题 6 17 7" xfId="33416"/>
    <cellStyle name="标题 6 17 8" xfId="33417"/>
    <cellStyle name="标题 6 17 9" xfId="33418"/>
    <cellStyle name="标题 6 17 9 2" xfId="33419"/>
    <cellStyle name="标题 6 17 9 3" xfId="33420"/>
    <cellStyle name="标题 6 18" xfId="29366"/>
    <cellStyle name="标题 6 18 10" xfId="28626"/>
    <cellStyle name="标题 6 18 11" xfId="28628"/>
    <cellStyle name="标题 6 18 12" xfId="33421"/>
    <cellStyle name="标题 6 18 13" xfId="20965"/>
    <cellStyle name="标题 6 18 14" xfId="20969"/>
    <cellStyle name="标题 6 18 2" xfId="33422"/>
    <cellStyle name="标题 6 18 3" xfId="2054"/>
    <cellStyle name="标题 6 18 4" xfId="2119"/>
    <cellStyle name="标题 6 18 5" xfId="2146"/>
    <cellStyle name="标题 6 18 5 10" xfId="18023"/>
    <cellStyle name="标题 6 18 5 11" xfId="18025"/>
    <cellStyle name="标题 6 18 5 2" xfId="8188"/>
    <cellStyle name="标题 6 18 5 2 2" xfId="33423"/>
    <cellStyle name="标题 6 18 5 2 2 2" xfId="32849"/>
    <cellStyle name="标题 6 18 5 2 2 3" xfId="32851"/>
    <cellStyle name="标题 6 18 5 2 3" xfId="6352"/>
    <cellStyle name="标题 6 18 5 2 4" xfId="6354"/>
    <cellStyle name="标题 6 18 5 2 5" xfId="33424"/>
    <cellStyle name="标题 6 18 5 2 6" xfId="33425"/>
    <cellStyle name="标题 6 18 5 2 7" xfId="33426"/>
    <cellStyle name="标题 6 18 5 2 8" xfId="33427"/>
    <cellStyle name="标题 6 18 5 3" xfId="8197"/>
    <cellStyle name="标题 6 18 5 4" xfId="33429"/>
    <cellStyle name="标题 6 18 5 5" xfId="33431"/>
    <cellStyle name="标题 6 18 5 6" xfId="33433"/>
    <cellStyle name="标题 6 18 5 6 2" xfId="29471"/>
    <cellStyle name="标题 6 18 5 6 3" xfId="33434"/>
    <cellStyle name="标题 6 18 5 7" xfId="33436"/>
    <cellStyle name="标题 6 18 5 8" xfId="33437"/>
    <cellStyle name="标题 6 18 5 9" xfId="4234"/>
    <cellStyle name="标题 6 18 6" xfId="2164"/>
    <cellStyle name="标题 6 18 6 2" xfId="1650"/>
    <cellStyle name="标题 6 18 6 2 2" xfId="33438"/>
    <cellStyle name="标题 6 18 6 2 3" xfId="33439"/>
    <cellStyle name="标题 6 18 6 3" xfId="1665"/>
    <cellStyle name="标题 6 18 6 4" xfId="33440"/>
    <cellStyle name="标题 6 18 6 5" xfId="33441"/>
    <cellStyle name="标题 6 18 6 6" xfId="22245"/>
    <cellStyle name="标题 6 18 6 7" xfId="22247"/>
    <cellStyle name="标题 6 18 6 8" xfId="22250"/>
    <cellStyle name="标题 6 18 7" xfId="2173"/>
    <cellStyle name="标题 6 18 8" xfId="2190"/>
    <cellStyle name="标题 6 18 9" xfId="2202"/>
    <cellStyle name="标题 6 18 9 2" xfId="33442"/>
    <cellStyle name="标题 6 18 9 3" xfId="33443"/>
    <cellStyle name="标题 6 19" xfId="4067"/>
    <cellStyle name="标题 6 19 10" xfId="21323"/>
    <cellStyle name="标题 6 19 11" xfId="14342"/>
    <cellStyle name="标题 6 19 12" xfId="14350"/>
    <cellStyle name="标题 6 19 13" xfId="14359"/>
    <cellStyle name="标题 6 19 14" xfId="14364"/>
    <cellStyle name="标题 6 19 2" xfId="5525"/>
    <cellStyle name="标题 6 19 3" xfId="2236"/>
    <cellStyle name="标题 6 19 4" xfId="2260"/>
    <cellStyle name="标题 6 19 5" xfId="2276"/>
    <cellStyle name="标题 6 19 5 10" xfId="33444"/>
    <cellStyle name="标题 6 19 5 11" xfId="33445"/>
    <cellStyle name="标题 6 19 5 2" xfId="32574"/>
    <cellStyle name="标题 6 19 5 2 2" xfId="16872"/>
    <cellStyle name="标题 6 19 5 2 2 2" xfId="3352"/>
    <cellStyle name="标题 6 19 5 2 2 3" xfId="3368"/>
    <cellStyle name="标题 6 19 5 2 3" xfId="16875"/>
    <cellStyle name="标题 6 19 5 2 4" xfId="16878"/>
    <cellStyle name="标题 6 19 5 2 5" xfId="16881"/>
    <cellStyle name="标题 6 19 5 2 6" xfId="16884"/>
    <cellStyle name="标题 6 19 5 2 7" xfId="33446"/>
    <cellStyle name="标题 6 19 5 2 8" xfId="16786"/>
    <cellStyle name="标题 6 19 5 3" xfId="32576"/>
    <cellStyle name="标题 6 19 5 4" xfId="33448"/>
    <cellStyle name="标题 6 19 5 5" xfId="33449"/>
    <cellStyle name="标题 6 19 5 6" xfId="33450"/>
    <cellStyle name="标题 6 19 5 6 2" xfId="29524"/>
    <cellStyle name="标题 6 19 5 6 3" xfId="33451"/>
    <cellStyle name="标题 6 19 5 7" xfId="33452"/>
    <cellStyle name="标题 6 19 5 8" xfId="33453"/>
    <cellStyle name="标题 6 19 5 9" xfId="33454"/>
    <cellStyle name="标题 6 19 6" xfId="2289"/>
    <cellStyle name="标题 6 19 6 2" xfId="33038"/>
    <cellStyle name="标题 6 19 6 2 2" xfId="16933"/>
    <cellStyle name="标题 6 19 6 2 3" xfId="16936"/>
    <cellStyle name="标题 6 19 6 3" xfId="33040"/>
    <cellStyle name="标题 6 19 6 4" xfId="33042"/>
    <cellStyle name="标题 6 19 6 5" xfId="33455"/>
    <cellStyle name="标题 6 19 6 6" xfId="22444"/>
    <cellStyle name="标题 6 19 6 7" xfId="22446"/>
    <cellStyle name="标题 6 19 6 8" xfId="22449"/>
    <cellStyle name="标题 6 19 7" xfId="838"/>
    <cellStyle name="标题 6 19 8" xfId="865"/>
    <cellStyle name="标题 6 19 9" xfId="850"/>
    <cellStyle name="标题 6 19 9 2" xfId="27431"/>
    <cellStyle name="标题 6 19 9 3" xfId="27436"/>
    <cellStyle name="标题 6 2" xfId="13010"/>
    <cellStyle name="标题 6 2 10" xfId="32443"/>
    <cellStyle name="标题 6 2 11" xfId="32445"/>
    <cellStyle name="标题 6 2 12" xfId="32447"/>
    <cellStyle name="标题 6 2 13" xfId="32449"/>
    <cellStyle name="标题 6 2 14" xfId="32451"/>
    <cellStyle name="标题 6 2 2" xfId="9076"/>
    <cellStyle name="标题 6 2 3" xfId="33456"/>
    <cellStyle name="标题 6 2 4" xfId="9089"/>
    <cellStyle name="标题 6 2 5" xfId="3917"/>
    <cellStyle name="标题 6 2 6" xfId="3921"/>
    <cellStyle name="标题 6 2 7" xfId="3923"/>
    <cellStyle name="标题 6 2 8" xfId="3928"/>
    <cellStyle name="标题 6 2 9" xfId="4075"/>
    <cellStyle name="标题 6 20" xfId="25888"/>
    <cellStyle name="标题 6 20 10" xfId="29335"/>
    <cellStyle name="标题 6 20 11" xfId="29339"/>
    <cellStyle name="标题 6 20 12" xfId="26097"/>
    <cellStyle name="标题 6 20 13" xfId="33459"/>
    <cellStyle name="标题 6 20 14" xfId="33461"/>
    <cellStyle name="标题 6 20 2" xfId="29341"/>
    <cellStyle name="标题 6 20 3" xfId="29349"/>
    <cellStyle name="标题 6 20 4" xfId="29351"/>
    <cellStyle name="标题 6 20 5" xfId="29354"/>
    <cellStyle name="标题 6 20 5 10" xfId="7219"/>
    <cellStyle name="标题 6 20 5 11" xfId="7224"/>
    <cellStyle name="标题 6 20 5 2" xfId="7330"/>
    <cellStyle name="标题 6 20 5 2 2" xfId="33462"/>
    <cellStyle name="标题 6 20 5 2 2 2" xfId="19239"/>
    <cellStyle name="标题 6 20 5 2 2 3" xfId="19248"/>
    <cellStyle name="标题 6 20 5 2 3" xfId="33463"/>
    <cellStyle name="标题 6 20 5 2 4" xfId="33464"/>
    <cellStyle name="标题 6 20 5 2 5" xfId="27282"/>
    <cellStyle name="标题 6 20 5 2 6" xfId="27284"/>
    <cellStyle name="标题 6 20 5 2 7" xfId="33465"/>
    <cellStyle name="标题 6 20 5 2 8" xfId="9896"/>
    <cellStyle name="标题 6 20 5 3" xfId="7339"/>
    <cellStyle name="标题 6 20 5 4" xfId="7347"/>
    <cellStyle name="标题 6 20 5 5" xfId="33466"/>
    <cellStyle name="标题 6 20 5 6" xfId="33467"/>
    <cellStyle name="标题 6 20 5 6 2" xfId="33468"/>
    <cellStyle name="标题 6 20 5 6 3" xfId="33469"/>
    <cellStyle name="标题 6 20 5 7" xfId="33470"/>
    <cellStyle name="标题 6 20 5 8" xfId="33471"/>
    <cellStyle name="标题 6 20 5 9" xfId="33472"/>
    <cellStyle name="标题 6 20 6" xfId="27349"/>
    <cellStyle name="标题 6 20 6 2" xfId="243"/>
    <cellStyle name="标题 6 20 6 2 2" xfId="33473"/>
    <cellStyle name="标题 6 20 6 2 3" xfId="24915"/>
    <cellStyle name="标题 6 20 6 3" xfId="5921"/>
    <cellStyle name="标题 6 20 6 4" xfId="7426"/>
    <cellStyle name="标题 6 20 6 5" xfId="33474"/>
    <cellStyle name="标题 6 20 6 6" xfId="33475"/>
    <cellStyle name="标题 6 20 6 7" xfId="33476"/>
    <cellStyle name="标题 6 20 6 8" xfId="17093"/>
    <cellStyle name="标题 6 20 7" xfId="21911"/>
    <cellStyle name="标题 6 20 8" xfId="699"/>
    <cellStyle name="标题 6 20 9" xfId="733"/>
    <cellStyle name="标题 6 20 9 2" xfId="33477"/>
    <cellStyle name="标题 6 20 9 3" xfId="33478"/>
    <cellStyle name="标题 6 3" xfId="13023"/>
    <cellStyle name="标题 6 3 10" xfId="33479"/>
    <cellStyle name="标题 6 3 11" xfId="33480"/>
    <cellStyle name="标题 6 3 12" xfId="33481"/>
    <cellStyle name="标题 6 3 13" xfId="33482"/>
    <cellStyle name="标题 6 3 14" xfId="33483"/>
    <cellStyle name="标题 6 3 2" xfId="33484"/>
    <cellStyle name="标题 6 3 3" xfId="33486"/>
    <cellStyle name="标题 6 3 4" xfId="33488"/>
    <cellStyle name="标题 6 3 5" xfId="33490"/>
    <cellStyle name="标题 6 3 6" xfId="31201"/>
    <cellStyle name="标题 6 3 7" xfId="31211"/>
    <cellStyle name="标题 6 3 8" xfId="31215"/>
    <cellStyle name="标题 6 3 9" xfId="31219"/>
    <cellStyle name="标题 6 4" xfId="13025"/>
    <cellStyle name="标题 6 4 10" xfId="33491"/>
    <cellStyle name="标题 6 4 11" xfId="24525"/>
    <cellStyle name="标题 6 4 12" xfId="33492"/>
    <cellStyle name="标题 6 4 13" xfId="277"/>
    <cellStyle name="标题 6 4 14" xfId="1355"/>
    <cellStyle name="标题 6 4 2" xfId="33493"/>
    <cellStyle name="标题 6 4 3" xfId="33495"/>
    <cellStyle name="标题 6 4 4" xfId="33497"/>
    <cellStyle name="标题 6 4 5" xfId="30033"/>
    <cellStyle name="标题 6 4 6" xfId="30036"/>
    <cellStyle name="标题 6 4 7" xfId="31229"/>
    <cellStyle name="标题 6 4 8" xfId="31232"/>
    <cellStyle name="标题 6 4 9" xfId="31235"/>
    <cellStyle name="标题 6 5" xfId="33498"/>
    <cellStyle name="标题 6 6" xfId="33499"/>
    <cellStyle name="标题 6 7" xfId="28800"/>
    <cellStyle name="标题 6 8" xfId="28802"/>
    <cellStyle name="标题 6 9" xfId="33500"/>
    <cellStyle name="标题 7" xfId="16274"/>
    <cellStyle name="标题 7 10" xfId="28873"/>
    <cellStyle name="标题 7 11" xfId="28876"/>
    <cellStyle name="标题 7 12" xfId="28879"/>
    <cellStyle name="标题 7 13" xfId="28882"/>
    <cellStyle name="标题 7 14" xfId="28884"/>
    <cellStyle name="标题 7 15" xfId="28249"/>
    <cellStyle name="标题 7 16" xfId="28253"/>
    <cellStyle name="标题 7 17" xfId="33501"/>
    <cellStyle name="标题 7 17 10" xfId="3271"/>
    <cellStyle name="标题 7 17 11" xfId="3633"/>
    <cellStyle name="标题 7 17 12" xfId="3636"/>
    <cellStyle name="标题 7 17 13" xfId="3640"/>
    <cellStyle name="标题 7 17 14" xfId="3643"/>
    <cellStyle name="标题 7 17 2" xfId="33502"/>
    <cellStyle name="标题 7 17 3" xfId="29779"/>
    <cellStyle name="标题 7 17 4" xfId="25349"/>
    <cellStyle name="标题 7 17 5" xfId="25361"/>
    <cellStyle name="标题 7 17 5 10" xfId="32581"/>
    <cellStyle name="标题 7 17 5 11" xfId="32583"/>
    <cellStyle name="标题 7 17 5 2" xfId="27630"/>
    <cellStyle name="标题 7 17 5 2 2" xfId="5474"/>
    <cellStyle name="标题 7 17 5 2 2 2" xfId="32047"/>
    <cellStyle name="标题 7 17 5 2 2 3" xfId="32051"/>
    <cellStyle name="标题 7 17 5 2 3" xfId="5483"/>
    <cellStyle name="标题 7 17 5 2 4" xfId="6859"/>
    <cellStyle name="标题 7 17 5 2 5" xfId="2681"/>
    <cellStyle name="标题 7 17 5 2 6" xfId="3274"/>
    <cellStyle name="标题 7 17 5 2 7" xfId="33503"/>
    <cellStyle name="标题 7 17 5 2 8" xfId="3639"/>
    <cellStyle name="标题 7 17 5 3" xfId="27632"/>
    <cellStyle name="标题 7 17 5 4" xfId="27652"/>
    <cellStyle name="标题 7 17 5 5" xfId="27666"/>
    <cellStyle name="标题 7 17 5 6" xfId="27668"/>
    <cellStyle name="标题 7 17 5 6 2" xfId="33504"/>
    <cellStyle name="标题 7 17 5 6 3" xfId="33505"/>
    <cellStyle name="标题 7 17 5 7" xfId="27670"/>
    <cellStyle name="标题 7 17 5 8" xfId="33506"/>
    <cellStyle name="标题 7 17 5 9" xfId="33507"/>
    <cellStyle name="标题 7 17 6" xfId="25364"/>
    <cellStyle name="标题 7 17 6 2" xfId="27685"/>
    <cellStyle name="标题 7 17 6 2 2" xfId="5761"/>
    <cellStyle name="标题 7 17 6 2 3" xfId="5772"/>
    <cellStyle name="标题 7 17 6 3" xfId="25997"/>
    <cellStyle name="标题 7 17 6 4" xfId="27705"/>
    <cellStyle name="标题 7 17 6 5" xfId="27721"/>
    <cellStyle name="标题 7 17 6 6" xfId="27723"/>
    <cellStyle name="标题 7 17 6 7" xfId="27725"/>
    <cellStyle name="标题 7 17 6 8" xfId="18177"/>
    <cellStyle name="标题 7 17 7" xfId="25367"/>
    <cellStyle name="标题 7 17 8" xfId="25370"/>
    <cellStyle name="标题 7 17 9" xfId="25375"/>
    <cellStyle name="标题 7 17 9 2" xfId="577"/>
    <cellStyle name="标题 7 17 9 3" xfId="587"/>
    <cellStyle name="标题 7 18" xfId="33508"/>
    <cellStyle name="标题 7 18 10" xfId="22277"/>
    <cellStyle name="标题 7 18 11" xfId="22281"/>
    <cellStyle name="标题 7 18 12" xfId="22283"/>
    <cellStyle name="标题 7 18 13" xfId="15451"/>
    <cellStyle name="标题 7 18 14" xfId="15463"/>
    <cellStyle name="标题 7 18 2" xfId="18752"/>
    <cellStyle name="标题 7 18 3" xfId="24768"/>
    <cellStyle name="标题 7 18 4" xfId="25381"/>
    <cellStyle name="标题 7 18 5" xfId="25387"/>
    <cellStyle name="标题 7 18 5 10" xfId="33509"/>
    <cellStyle name="标题 7 18 5 11" xfId="33510"/>
    <cellStyle name="标题 7 18 5 2" xfId="14151"/>
    <cellStyle name="标题 7 18 5 2 2" xfId="8925"/>
    <cellStyle name="标题 7 18 5 2 2 2" xfId="32494"/>
    <cellStyle name="标题 7 18 5 2 2 3" xfId="32496"/>
    <cellStyle name="标题 7 18 5 2 3" xfId="922"/>
    <cellStyle name="标题 7 18 5 2 4" xfId="960"/>
    <cellStyle name="标题 7 18 5 2 5" xfId="33511"/>
    <cellStyle name="标题 7 18 5 2 6" xfId="33512"/>
    <cellStyle name="标题 7 18 5 2 7" xfId="33513"/>
    <cellStyle name="标题 7 18 5 2 8" xfId="33514"/>
    <cellStyle name="标题 7 18 5 3" xfId="14154"/>
    <cellStyle name="标题 7 18 5 4" xfId="33516"/>
    <cellStyle name="标题 7 18 5 5" xfId="33518"/>
    <cellStyle name="标题 7 18 5 6" xfId="33520"/>
    <cellStyle name="标题 7 18 5 6 2" xfId="18618"/>
    <cellStyle name="标题 7 18 5 6 3" xfId="19416"/>
    <cellStyle name="标题 7 18 5 7" xfId="33522"/>
    <cellStyle name="标题 7 18 5 8" xfId="33524"/>
    <cellStyle name="标题 7 18 5 9" xfId="33526"/>
    <cellStyle name="标题 7 18 6" xfId="25390"/>
    <cellStyle name="标题 7 18 6 2" xfId="14222"/>
    <cellStyle name="标题 7 18 6 2 2" xfId="18632"/>
    <cellStyle name="标题 7 18 6 2 3" xfId="21547"/>
    <cellStyle name="标题 7 18 6 3" xfId="14226"/>
    <cellStyle name="标题 7 18 6 4" xfId="24730"/>
    <cellStyle name="标题 7 18 6 5" xfId="24733"/>
    <cellStyle name="标题 7 18 6 6" xfId="24736"/>
    <cellStyle name="标题 7 18 6 7" xfId="24739"/>
    <cellStyle name="标题 7 18 6 8" xfId="24743"/>
    <cellStyle name="标题 7 18 7" xfId="25393"/>
    <cellStyle name="标题 7 18 8" xfId="25396"/>
    <cellStyle name="标题 7 18 9" xfId="25399"/>
    <cellStyle name="标题 7 18 9 2" xfId="33528"/>
    <cellStyle name="标题 7 18 9 3" xfId="33530"/>
    <cellStyle name="标题 7 19" xfId="33531"/>
    <cellStyle name="标题 7 19 10" xfId="21555"/>
    <cellStyle name="标题 7 19 11" xfId="21558"/>
    <cellStyle name="标题 7 19 12" xfId="21561"/>
    <cellStyle name="标题 7 19 13" xfId="2790"/>
    <cellStyle name="标题 7 19 14" xfId="12107"/>
    <cellStyle name="标题 7 19 2" xfId="6432"/>
    <cellStyle name="标题 7 19 3" xfId="6440"/>
    <cellStyle name="标题 7 19 4" xfId="6449"/>
    <cellStyle name="标题 7 19 5" xfId="6547"/>
    <cellStyle name="标题 7 19 5 10" xfId="33533"/>
    <cellStyle name="标题 7 19 5 11" xfId="33535"/>
    <cellStyle name="标题 7 19 5 2" xfId="29679"/>
    <cellStyle name="标题 7 19 5 2 2" xfId="9662"/>
    <cellStyle name="标题 7 19 5 2 2 2" xfId="27136"/>
    <cellStyle name="标题 7 19 5 2 2 3" xfId="27826"/>
    <cellStyle name="标题 7 19 5 2 3" xfId="9675"/>
    <cellStyle name="标题 7 19 5 2 4" xfId="17887"/>
    <cellStyle name="标题 7 19 5 2 5" xfId="9067"/>
    <cellStyle name="标题 7 19 5 2 6" xfId="9077"/>
    <cellStyle name="标题 7 19 5 2 7" xfId="33457"/>
    <cellStyle name="标题 7 19 5 2 8" xfId="9090"/>
    <cellStyle name="标题 7 19 5 3" xfId="32685"/>
    <cellStyle name="标题 7 19 5 4" xfId="33536"/>
    <cellStyle name="标题 7 19 5 5" xfId="33537"/>
    <cellStyle name="标题 7 19 5 6" xfId="33538"/>
    <cellStyle name="标题 7 19 5 6 2" xfId="29986"/>
    <cellStyle name="标题 7 19 5 6 3" xfId="33539"/>
    <cellStyle name="标题 7 19 5 7" xfId="33540"/>
    <cellStyle name="标题 7 19 5 8" xfId="33541"/>
    <cellStyle name="标题 7 19 5 9" xfId="33542"/>
    <cellStyle name="标题 7 19 6" xfId="6555"/>
    <cellStyle name="标题 7 19 6 2" xfId="18372"/>
    <cellStyle name="标题 7 19 6 2 2" xfId="17933"/>
    <cellStyle name="标题 7 19 6 2 3" xfId="17935"/>
    <cellStyle name="标题 7 19 6 3" xfId="18374"/>
    <cellStyle name="标题 7 19 6 4" xfId="18376"/>
    <cellStyle name="标题 7 19 6 5" xfId="18378"/>
    <cellStyle name="标题 7 19 6 6" xfId="18426"/>
    <cellStyle name="标题 7 19 6 7" xfId="18482"/>
    <cellStyle name="标题 7 19 6 8" xfId="18539"/>
    <cellStyle name="标题 7 19 7" xfId="16531"/>
    <cellStyle name="标题 7 19 8" xfId="33543"/>
    <cellStyle name="标题 7 19 9" xfId="33544"/>
    <cellStyle name="标题 7 19 9 2" xfId="33546"/>
    <cellStyle name="标题 7 19 9 3" xfId="33548"/>
    <cellStyle name="标题 7 2" xfId="12185"/>
    <cellStyle name="标题 7 20" xfId="28250"/>
    <cellStyle name="标题 7 20 10" xfId="16343"/>
    <cellStyle name="标题 7 20 11" xfId="932"/>
    <cellStyle name="标题 7 20 12" xfId="970"/>
    <cellStyle name="标题 7 20 13" xfId="33549"/>
    <cellStyle name="标题 7 20 14" xfId="33550"/>
    <cellStyle name="标题 7 20 2" xfId="33551"/>
    <cellStyle name="标题 7 20 3" xfId="33552"/>
    <cellStyle name="标题 7 20 4" xfId="576"/>
    <cellStyle name="标题 7 20 5" xfId="419"/>
    <cellStyle name="标题 7 20 5 10" xfId="33553"/>
    <cellStyle name="标题 7 20 5 11" xfId="33554"/>
    <cellStyle name="标题 7 20 5 2" xfId="487"/>
    <cellStyle name="标题 7 20 5 2 2" xfId="18211"/>
    <cellStyle name="标题 7 20 5 2 2 2" xfId="27518"/>
    <cellStyle name="标题 7 20 5 2 2 3" xfId="27522"/>
    <cellStyle name="标题 7 20 5 2 3" xfId="18217"/>
    <cellStyle name="标题 7 20 5 2 4" xfId="18237"/>
    <cellStyle name="标题 7 20 5 2 5" xfId="18255"/>
    <cellStyle name="标题 7 20 5 2 6" xfId="18260"/>
    <cellStyle name="标题 7 20 5 2 7" xfId="18264"/>
    <cellStyle name="标题 7 20 5 2 8" xfId="33555"/>
    <cellStyle name="标题 7 20 5 3" xfId="4346"/>
    <cellStyle name="标题 7 20 5 4" xfId="9967"/>
    <cellStyle name="标题 7 20 5 5" xfId="33556"/>
    <cellStyle name="标题 7 20 5 6" xfId="33557"/>
    <cellStyle name="标题 7 20 5 6 2" xfId="2922"/>
    <cellStyle name="标题 7 20 5 6 3" xfId="2949"/>
    <cellStyle name="标题 7 20 5 7" xfId="33558"/>
    <cellStyle name="标题 7 20 5 8" xfId="33559"/>
    <cellStyle name="标题 7 20 5 9" xfId="33560"/>
    <cellStyle name="标题 7 20 6" xfId="292"/>
    <cellStyle name="标题 7 20 6 2" xfId="10040"/>
    <cellStyle name="标题 7 20 6 2 2" xfId="33561"/>
    <cellStyle name="标题 7 20 6 2 3" xfId="33562"/>
    <cellStyle name="标题 7 20 6 3" xfId="10045"/>
    <cellStyle name="标题 7 20 6 4" xfId="7196"/>
    <cellStyle name="标题 7 20 6 5" xfId="33563"/>
    <cellStyle name="标题 7 20 6 6" xfId="33564"/>
    <cellStyle name="标题 7 20 6 7" xfId="33565"/>
    <cellStyle name="标题 7 20 6 8" xfId="18067"/>
    <cellStyle name="标题 7 20 7" xfId="640"/>
    <cellStyle name="标题 7 20 8" xfId="671"/>
    <cellStyle name="标题 7 20 9" xfId="33566"/>
    <cellStyle name="标题 7 20 9 2" xfId="33567"/>
    <cellStyle name="标题 7 20 9 3" xfId="33568"/>
    <cellStyle name="标题 7 3" xfId="13036"/>
    <cellStyle name="标题 7 4" xfId="33570"/>
    <cellStyle name="标题 7 5" xfId="33571"/>
    <cellStyle name="标题 7 6" xfId="33572"/>
    <cellStyle name="标题 7 7" xfId="33573"/>
    <cellStyle name="标题 7 8" xfId="33574"/>
    <cellStyle name="标题 7 9" xfId="23650"/>
    <cellStyle name="标题 8" xfId="16280"/>
    <cellStyle name="标题 8 10" xfId="668"/>
    <cellStyle name="标题 8 11" xfId="11299"/>
    <cellStyle name="标题 8 12" xfId="11301"/>
    <cellStyle name="标题 8 13" xfId="11303"/>
    <cellStyle name="标题 8 14" xfId="5281"/>
    <cellStyle name="标题 8 2" xfId="33576"/>
    <cellStyle name="标题 8 3" xfId="33578"/>
    <cellStyle name="标题 8 4" xfId="33580"/>
    <cellStyle name="标题 8 5" xfId="33581"/>
    <cellStyle name="标题 8 6" xfId="20209"/>
    <cellStyle name="标题 8 7" xfId="20211"/>
    <cellStyle name="标题 8 8" xfId="33582"/>
    <cellStyle name="标题 8 9" xfId="33583"/>
    <cellStyle name="标题 9" xfId="16285"/>
    <cellStyle name="标题 9 10" xfId="33584"/>
    <cellStyle name="标题 9 11" xfId="33585"/>
    <cellStyle name="标题 9 12" xfId="33586"/>
    <cellStyle name="标题 9 13" xfId="33587"/>
    <cellStyle name="标题 9 14" xfId="33588"/>
    <cellStyle name="标题 9 2" xfId="33589"/>
    <cellStyle name="标题 9 3" xfId="33590"/>
    <cellStyle name="标题 9 4" xfId="33591"/>
    <cellStyle name="标题 9 5" xfId="33592"/>
    <cellStyle name="标题 9 6" xfId="33593"/>
    <cellStyle name="标题 9 7" xfId="33594"/>
    <cellStyle name="标题 9 8" xfId="25814"/>
    <cellStyle name="标题 9 9" xfId="32567"/>
    <cellStyle name="检查单元格 10" xfId="2188"/>
    <cellStyle name="检查单元格 11" xfId="2199"/>
    <cellStyle name="检查单元格 12" xfId="2211"/>
    <cellStyle name="检查单元格 12 10" xfId="25004"/>
    <cellStyle name="检查单元格 12 11" xfId="25006"/>
    <cellStyle name="检查单元格 12 12" xfId="25008"/>
    <cellStyle name="检查单元格 12 13" xfId="25010"/>
    <cellStyle name="检查单元格 12 14" xfId="33595"/>
    <cellStyle name="检查单元格 12 2" xfId="26860"/>
    <cellStyle name="检查单元格 12 3" xfId="26862"/>
    <cellStyle name="检查单元格 12 4" xfId="33596"/>
    <cellStyle name="检查单元格 12 5" xfId="33597"/>
    <cellStyle name="检查单元格 12 5 10" xfId="33598"/>
    <cellStyle name="检查单元格 12 5 11" xfId="33599"/>
    <cellStyle name="检查单元格 12 5 2" xfId="31388"/>
    <cellStyle name="检查单元格 12 5 2 2" xfId="27077"/>
    <cellStyle name="检查单元格 12 5 2 2 2" xfId="33600"/>
    <cellStyle name="检查单元格 12 5 2 2 3" xfId="32056"/>
    <cellStyle name="检查单元格 12 5 2 3" xfId="27080"/>
    <cellStyle name="检查单元格 12 5 2 4" xfId="27082"/>
    <cellStyle name="检查单元格 12 5 2 5" xfId="27084"/>
    <cellStyle name="检查单元格 12 5 2 6" xfId="33602"/>
    <cellStyle name="检查单元格 12 5 2 7" xfId="33603"/>
    <cellStyle name="检查单元格 12 5 2 8" xfId="33604"/>
    <cellStyle name="检查单元格 12 5 3" xfId="31390"/>
    <cellStyle name="检查单元格 12 5 4" xfId="31392"/>
    <cellStyle name="检查单元格 12 5 5" xfId="31394"/>
    <cellStyle name="检查单元格 12 5 6" xfId="31396"/>
    <cellStyle name="检查单元格 12 5 6 2" xfId="26621"/>
    <cellStyle name="检查单元格 12 5 6 3" xfId="26624"/>
    <cellStyle name="检查单元格 12 5 7" xfId="31398"/>
    <cellStyle name="检查单元格 12 5 8" xfId="31400"/>
    <cellStyle name="检查单元格 12 5 9" xfId="33606"/>
    <cellStyle name="检查单元格 12 6" xfId="33607"/>
    <cellStyle name="检查单元格 12 6 2" xfId="4070"/>
    <cellStyle name="检查单元格 12 6 2 2" xfId="14804"/>
    <cellStyle name="检查单元格 12 6 2 3" xfId="14809"/>
    <cellStyle name="检查单元格 12 6 3" xfId="24983"/>
    <cellStyle name="检查单元格 12 6 4" xfId="24986"/>
    <cellStyle name="检查单元格 12 6 5" xfId="31402"/>
    <cellStyle name="检查单元格 12 6 6" xfId="31404"/>
    <cellStyle name="检查单元格 12 6 7" xfId="31406"/>
    <cellStyle name="检查单元格 12 6 8" xfId="33608"/>
    <cellStyle name="检查单元格 12 7" xfId="33609"/>
    <cellStyle name="检查单元格 12 8" xfId="33610"/>
    <cellStyle name="检查单元格 12 9" xfId="33611"/>
    <cellStyle name="检查单元格 12 9 2" xfId="9832"/>
    <cellStyle name="检查单元格 12 9 3" xfId="9840"/>
    <cellStyle name="检查单元格 13" xfId="210"/>
    <cellStyle name="检查单元格 14" xfId="26865"/>
    <cellStyle name="检查单元格 15" xfId="1453"/>
    <cellStyle name="检查单元格 16" xfId="22783"/>
    <cellStyle name="检查单元格 16 10" xfId="19049"/>
    <cellStyle name="检查单元格 16 11" xfId="19052"/>
    <cellStyle name="检查单元格 16 12" xfId="33612"/>
    <cellStyle name="检查单元格 16 13" xfId="33614"/>
    <cellStyle name="检查单元格 16 14" xfId="33616"/>
    <cellStyle name="检查单元格 16 2" xfId="33618"/>
    <cellStyle name="检查单元格 16 3" xfId="33619"/>
    <cellStyle name="检查单元格 16 4" xfId="33620"/>
    <cellStyle name="检查单元格 16 5" xfId="33621"/>
    <cellStyle name="检查单元格 16 5 10" xfId="23570"/>
    <cellStyle name="检查单元格 16 5 11" xfId="23574"/>
    <cellStyle name="检查单元格 16 5 2" xfId="21181"/>
    <cellStyle name="检查单元格 16 5 2 2" xfId="33622"/>
    <cellStyle name="检查单元格 16 5 2 2 2" xfId="1120"/>
    <cellStyle name="检查单元格 16 5 2 2 3" xfId="1142"/>
    <cellStyle name="检查单元格 16 5 2 3" xfId="33623"/>
    <cellStyle name="检查单元格 16 5 2 4" xfId="33624"/>
    <cellStyle name="检查单元格 16 5 2 5" xfId="15098"/>
    <cellStyle name="检查单元格 16 5 2 6" xfId="15105"/>
    <cellStyle name="检查单元格 16 5 2 7" xfId="1203"/>
    <cellStyle name="检查单元格 16 5 2 8" xfId="526"/>
    <cellStyle name="检查单元格 16 5 3" xfId="21183"/>
    <cellStyle name="检查单元格 16 5 4" xfId="21185"/>
    <cellStyle name="检查单元格 16 5 5" xfId="33625"/>
    <cellStyle name="检查单元格 16 5 6" xfId="33626"/>
    <cellStyle name="检查单元格 16 5 6 2" xfId="26570"/>
    <cellStyle name="检查单元格 16 5 6 3" xfId="24590"/>
    <cellStyle name="检查单元格 16 5 7" xfId="33627"/>
    <cellStyle name="检查单元格 16 5 8" xfId="18214"/>
    <cellStyle name="检查单元格 16 5 9" xfId="18216"/>
    <cellStyle name="检查单元格 16 6" xfId="33628"/>
    <cellStyle name="检查单元格 16 6 2" xfId="17287"/>
    <cellStyle name="检查单元格 16 6 2 2" xfId="33629"/>
    <cellStyle name="检查单元格 16 6 2 3" xfId="33630"/>
    <cellStyle name="检查单元格 16 6 3" xfId="17290"/>
    <cellStyle name="检查单元格 16 6 4" xfId="2661"/>
    <cellStyle name="检查单元格 16 6 5" xfId="3279"/>
    <cellStyle name="检查单元格 16 6 6" xfId="3871"/>
    <cellStyle name="检查单元格 16 6 7" xfId="3879"/>
    <cellStyle name="检查单元格 16 6 8" xfId="3887"/>
    <cellStyle name="检查单元格 16 7" xfId="33631"/>
    <cellStyle name="检查单元格 16 8" xfId="33632"/>
    <cellStyle name="检查单元格 16 9" xfId="33633"/>
    <cellStyle name="检查单元格 16 9 2" xfId="26161"/>
    <cellStyle name="检查单元格 16 9 3" xfId="26163"/>
    <cellStyle name="检查单元格 17" xfId="26868"/>
    <cellStyle name="检查单元格 17 10" xfId="25240"/>
    <cellStyle name="检查单元格 17 11" xfId="25242"/>
    <cellStyle name="检查单元格 17 12" xfId="25244"/>
    <cellStyle name="检查单元格 17 13" xfId="25246"/>
    <cellStyle name="检查单元格 17 14" xfId="33634"/>
    <cellStyle name="检查单元格 17 2" xfId="33636"/>
    <cellStyle name="检查单元格 17 3" xfId="33637"/>
    <cellStyle name="检查单元格 17 4" xfId="33638"/>
    <cellStyle name="检查单元格 17 5" xfId="21408"/>
    <cellStyle name="检查单元格 17 5 10" xfId="9308"/>
    <cellStyle name="检查单元格 17 5 11" xfId="9320"/>
    <cellStyle name="检查单元格 17 5 2" xfId="33639"/>
    <cellStyle name="检查单元格 17 5 2 2" xfId="32119"/>
    <cellStyle name="检查单元格 17 5 2 2 2" xfId="33640"/>
    <cellStyle name="检查单元格 17 5 2 2 3" xfId="33641"/>
    <cellStyle name="检查单元格 17 5 2 3" xfId="32121"/>
    <cellStyle name="检查单元格 17 5 2 4" xfId="33642"/>
    <cellStyle name="检查单元格 17 5 2 5" xfId="33643"/>
    <cellStyle name="检查单元格 17 5 2 6" xfId="33644"/>
    <cellStyle name="检查单元格 17 5 2 7" xfId="33645"/>
    <cellStyle name="检查单元格 17 5 2 8" xfId="17129"/>
    <cellStyle name="检查单元格 17 5 3" xfId="33646"/>
    <cellStyle name="检查单元格 17 5 4" xfId="33647"/>
    <cellStyle name="检查单元格 17 5 5" xfId="33648"/>
    <cellStyle name="检查单元格 17 5 6" xfId="33649"/>
    <cellStyle name="检查单元格 17 5 6 2" xfId="25701"/>
    <cellStyle name="检查单元格 17 5 6 3" xfId="32093"/>
    <cellStyle name="检查单元格 17 5 7" xfId="33650"/>
    <cellStyle name="检查单元格 17 5 8" xfId="20195"/>
    <cellStyle name="检查单元格 17 5 9" xfId="20200"/>
    <cellStyle name="检查单元格 17 6" xfId="21412"/>
    <cellStyle name="检查单元格 17 6 2" xfId="25204"/>
    <cellStyle name="检查单元格 17 6 2 2" xfId="15698"/>
    <cellStyle name="检查单元格 17 6 2 3" xfId="15704"/>
    <cellStyle name="检查单元格 17 6 3" xfId="25207"/>
    <cellStyle name="检查单元格 17 6 4" xfId="25210"/>
    <cellStyle name="检查单元格 17 6 5" xfId="33651"/>
    <cellStyle name="检查单元格 17 6 6" xfId="33652"/>
    <cellStyle name="检查单元格 17 6 7" xfId="33653"/>
    <cellStyle name="检查单元格 17 6 8" xfId="14546"/>
    <cellStyle name="检查单元格 17 7" xfId="33654"/>
    <cellStyle name="检查单元格 17 8" xfId="33655"/>
    <cellStyle name="检查单元格 17 9" xfId="33656"/>
    <cellStyle name="检查单元格 17 9 2" xfId="11751"/>
    <cellStyle name="检查单元格 17 9 3" xfId="11761"/>
    <cellStyle name="检查单元格 18" xfId="26870"/>
    <cellStyle name="检查单元格 18 10" xfId="25131"/>
    <cellStyle name="检查单元格 18 11" xfId="25133"/>
    <cellStyle name="检查单元格 18 12" xfId="25135"/>
    <cellStyle name="检查单元格 18 13" xfId="25137"/>
    <cellStyle name="检查单元格 18 14" xfId="25139"/>
    <cellStyle name="检查单元格 18 2" xfId="33657"/>
    <cellStyle name="检查单元格 18 3" xfId="33658"/>
    <cellStyle name="检查单元格 18 4" xfId="33659"/>
    <cellStyle name="检查单元格 18 5" xfId="25584"/>
    <cellStyle name="检查单元格 18 5 10" xfId="33660"/>
    <cellStyle name="检查单元格 18 5 11" xfId="33661"/>
    <cellStyle name="检查单元格 18 5 2" xfId="33662"/>
    <cellStyle name="检查单元格 18 5 2 2" xfId="28522"/>
    <cellStyle name="检查单元格 18 5 2 2 2" xfId="33663"/>
    <cellStyle name="检查单元格 18 5 2 2 3" xfId="33664"/>
    <cellStyle name="检查单元格 18 5 2 3" xfId="28524"/>
    <cellStyle name="检查单元格 18 5 2 4" xfId="28526"/>
    <cellStyle name="检查单元格 18 5 2 5" xfId="33665"/>
    <cellStyle name="检查单元格 18 5 2 6" xfId="33666"/>
    <cellStyle name="检查单元格 18 5 2 7" xfId="32783"/>
    <cellStyle name="检查单元格 18 5 2 8" xfId="32785"/>
    <cellStyle name="检查单元格 18 5 3" xfId="33667"/>
    <cellStyle name="检查单元格 18 5 4" xfId="33668"/>
    <cellStyle name="检查单元格 18 5 5" xfId="33669"/>
    <cellStyle name="检查单元格 18 5 6" xfId="23567"/>
    <cellStyle name="检查单元格 18 5 6 2" xfId="33670"/>
    <cellStyle name="检查单元格 18 5 6 3" xfId="33671"/>
    <cellStyle name="检查单元格 18 5 7" xfId="23569"/>
    <cellStyle name="检查单元格 18 5 8" xfId="23573"/>
    <cellStyle name="检查单元格 18 5 9" xfId="18915"/>
    <cellStyle name="检查单元格 18 6" xfId="3146"/>
    <cellStyle name="检查单元格 18 6 2" xfId="33672"/>
    <cellStyle name="检查单元格 18 6 2 2" xfId="13555"/>
    <cellStyle name="检查单元格 18 6 2 3" xfId="28839"/>
    <cellStyle name="检查单元格 18 6 3" xfId="33673"/>
    <cellStyle name="检查单元格 18 6 4" xfId="33674"/>
    <cellStyle name="检查单元格 18 6 5" xfId="33675"/>
    <cellStyle name="检查单元格 18 6 6" xfId="14579"/>
    <cellStyle name="检查单元格 18 6 7" xfId="14583"/>
    <cellStyle name="检查单元格 18 6 8" xfId="33676"/>
    <cellStyle name="检查单元格 18 7" xfId="3158"/>
    <cellStyle name="检查单元格 18 8" xfId="3374"/>
    <cellStyle name="检查单元格 18 9" xfId="3378"/>
    <cellStyle name="检查单元格 18 9 2" xfId="26231"/>
    <cellStyle name="检查单元格 18 9 3" xfId="26233"/>
    <cellStyle name="检查单元格 19" xfId="33677"/>
    <cellStyle name="检查单元格 2" xfId="27603"/>
    <cellStyle name="检查单元格 2 10" xfId="11616"/>
    <cellStyle name="检查单元格 2 11" xfId="11624"/>
    <cellStyle name="检查单元格 2 12" xfId="10491"/>
    <cellStyle name="检查单元格 2 13" xfId="10499"/>
    <cellStyle name="检查单元格 2 14" xfId="10511"/>
    <cellStyle name="检查单元格 2 15" xfId="10518"/>
    <cellStyle name="检查单元格 2 16" xfId="10531"/>
    <cellStyle name="检查单元格 2 17" xfId="28825"/>
    <cellStyle name="检查单元格 2 17 10" xfId="21402"/>
    <cellStyle name="检查单元格 2 17 11" xfId="21413"/>
    <cellStyle name="检查单元格 2 17 12" xfId="21415"/>
    <cellStyle name="检查单元格 2 17 13" xfId="21418"/>
    <cellStyle name="检查单元格 2 17 14" xfId="21421"/>
    <cellStyle name="检查单元格 2 17 2" xfId="33678"/>
    <cellStyle name="检查单元格 2 17 3" xfId="33679"/>
    <cellStyle name="检查单元格 2 17 4" xfId="33680"/>
    <cellStyle name="检查单元格 2 17 5" xfId="33681"/>
    <cellStyle name="检查单元格 2 17 5 10" xfId="19102"/>
    <cellStyle name="检查单元格 2 17 5 11" xfId="33682"/>
    <cellStyle name="检查单元格 2 17 5 2" xfId="3980"/>
    <cellStyle name="检查单元格 2 17 5 2 2" xfId="33683"/>
    <cellStyle name="检查单元格 2 17 5 2 2 2" xfId="32288"/>
    <cellStyle name="检查单元格 2 17 5 2 2 3" xfId="32303"/>
    <cellStyle name="检查单元格 2 17 5 2 3" xfId="20803"/>
    <cellStyle name="检查单元格 2 17 5 2 4" xfId="8246"/>
    <cellStyle name="检查单元格 2 17 5 2 5" xfId="33684"/>
    <cellStyle name="检查单元格 2 17 5 2 6" xfId="33685"/>
    <cellStyle name="检查单元格 2 17 5 2 7" xfId="33686"/>
    <cellStyle name="检查单元格 2 17 5 2 8" xfId="33687"/>
    <cellStyle name="检查单元格 2 17 5 3" xfId="4912"/>
    <cellStyle name="检查单元格 2 17 5 4" xfId="5214"/>
    <cellStyle name="检查单元格 2 17 5 5" xfId="2837"/>
    <cellStyle name="检查单元格 2 17 5 6" xfId="2858"/>
    <cellStyle name="检查单元格 2 17 5 6 2" xfId="33689"/>
    <cellStyle name="检查单元格 2 17 5 6 3" xfId="31283"/>
    <cellStyle name="检查单元格 2 17 5 7" xfId="12032"/>
    <cellStyle name="检查单元格 2 17 5 8" xfId="12040"/>
    <cellStyle name="检查单元格 2 17 5 9" xfId="12042"/>
    <cellStyle name="检查单元格 2 17 6" xfId="405"/>
    <cellStyle name="检查单元格 2 17 6 2" xfId="26540"/>
    <cellStyle name="检查单元格 2 17 6 2 2" xfId="26548"/>
    <cellStyle name="检查单元格 2 17 6 2 3" xfId="26552"/>
    <cellStyle name="检查单元格 2 17 6 3" xfId="33690"/>
    <cellStyle name="检查单元格 2 17 6 4" xfId="33691"/>
    <cellStyle name="检查单元格 2 17 6 5" xfId="33692"/>
    <cellStyle name="检查单元格 2 17 6 6" xfId="33693"/>
    <cellStyle name="检查单元格 2 17 6 7" xfId="33694"/>
    <cellStyle name="检查单元格 2 17 6 8" xfId="33695"/>
    <cellStyle name="检查单元格 2 17 7" xfId="33696"/>
    <cellStyle name="检查单元格 2 17 8" xfId="33697"/>
    <cellStyle name="检查单元格 2 17 9" xfId="33698"/>
    <cellStyle name="检查单元格 2 17 9 2" xfId="33699"/>
    <cellStyle name="检查单元格 2 17 9 3" xfId="33701"/>
    <cellStyle name="检查单元格 2 18" xfId="28827"/>
    <cellStyle name="检查单元格 2 18 10" xfId="27872"/>
    <cellStyle name="检查单元格 2 18 11" xfId="27874"/>
    <cellStyle name="检查单元格 2 18 12" xfId="27876"/>
    <cellStyle name="检查单元格 2 18 13" xfId="27878"/>
    <cellStyle name="检查单元格 2 18 14" xfId="27880"/>
    <cellStyle name="检查单元格 2 18 2" xfId="28829"/>
    <cellStyle name="检查单元格 2 18 3" xfId="28831"/>
    <cellStyle name="检查单元格 2 18 4" xfId="33702"/>
    <cellStyle name="检查单元格 2 18 5" xfId="25794"/>
    <cellStyle name="检查单元格 2 18 5 10" xfId="33703"/>
    <cellStyle name="检查单元格 2 18 5 11" xfId="33704"/>
    <cellStyle name="检查单元格 2 18 5 2" xfId="16867"/>
    <cellStyle name="检查单元格 2 18 5 2 2" xfId="3487"/>
    <cellStyle name="检查单元格 2 18 5 2 2 2" xfId="33705"/>
    <cellStyle name="检查单元格 2 18 5 2 2 3" xfId="33706"/>
    <cellStyle name="检查单元格 2 18 5 2 3" xfId="17653"/>
    <cellStyle name="检查单元格 2 18 5 2 4" xfId="17657"/>
    <cellStyle name="检查单元格 2 18 5 2 5" xfId="8085"/>
    <cellStyle name="检查单元格 2 18 5 2 6" xfId="8103"/>
    <cellStyle name="检查单元格 2 18 5 2 7" xfId="23300"/>
    <cellStyle name="检查单元格 2 18 5 2 8" xfId="23302"/>
    <cellStyle name="检查单元格 2 18 5 3" xfId="16873"/>
    <cellStyle name="检查单元格 2 18 5 4" xfId="16876"/>
    <cellStyle name="检查单元格 2 18 5 5" xfId="16879"/>
    <cellStyle name="检查单元格 2 18 5 6" xfId="16882"/>
    <cellStyle name="检查单元格 2 18 5 6 2" xfId="23313"/>
    <cellStyle name="检查单元格 2 18 5 6 3" xfId="31317"/>
    <cellStyle name="检查单元格 2 18 5 7" xfId="16885"/>
    <cellStyle name="检查单元格 2 18 5 8" xfId="33447"/>
    <cellStyle name="检查单元格 2 18 5 9" xfId="16787"/>
    <cellStyle name="检查单元格 2 18 6" xfId="27614"/>
    <cellStyle name="检查单元格 2 18 6 2" xfId="32190"/>
    <cellStyle name="检查单元格 2 18 6 2 2" xfId="23335"/>
    <cellStyle name="检查单元格 2 18 6 2 3" xfId="19672"/>
    <cellStyle name="检查单元格 2 18 6 3" xfId="33707"/>
    <cellStyle name="检查单元格 2 18 6 4" xfId="33708"/>
    <cellStyle name="检查单元格 2 18 6 5" xfId="27985"/>
    <cellStyle name="检查单元格 2 18 6 6" xfId="27987"/>
    <cellStyle name="检查单元格 2 18 6 7" xfId="33709"/>
    <cellStyle name="检查单元格 2 18 6 8" xfId="33710"/>
    <cellStyle name="检查单元格 2 18 7" xfId="27616"/>
    <cellStyle name="检查单元格 2 18 8" xfId="27618"/>
    <cellStyle name="检查单元格 2 18 9" xfId="27620"/>
    <cellStyle name="检查单元格 2 18 9 2" xfId="29522"/>
    <cellStyle name="检查单元格 2 18 9 3" xfId="29525"/>
    <cellStyle name="检查单元格 2 19" xfId="33711"/>
    <cellStyle name="检查单元格 2 19 10" xfId="33712"/>
    <cellStyle name="检查单元格 2 19 11" xfId="33713"/>
    <cellStyle name="检查单元格 2 19 12" xfId="33714"/>
    <cellStyle name="检查单元格 2 19 13" xfId="24569"/>
    <cellStyle name="检查单元格 2 19 14" xfId="32888"/>
    <cellStyle name="检查单元格 2 19 2" xfId="26390"/>
    <cellStyle name="检查单元格 2 19 3" xfId="26410"/>
    <cellStyle name="检查单元格 2 19 4" xfId="26414"/>
    <cellStyle name="检查单元格 2 19 5" xfId="26416"/>
    <cellStyle name="检查单元格 2 19 5 10" xfId="10936"/>
    <cellStyle name="检查单元格 2 19 5 11" xfId="10940"/>
    <cellStyle name="检查单元格 2 19 5 2" xfId="16931"/>
    <cellStyle name="检查单元格 2 19 5 2 2" xfId="11961"/>
    <cellStyle name="检查单元格 2 19 5 2 2 2" xfId="33715"/>
    <cellStyle name="检查单元格 2 19 5 2 2 3" xfId="33716"/>
    <cellStyle name="检查单元格 2 19 5 2 3" xfId="11968"/>
    <cellStyle name="检查单元格 2 19 5 2 4" xfId="11975"/>
    <cellStyle name="检查单元格 2 19 5 2 5" xfId="8252"/>
    <cellStyle name="检查单元格 2 19 5 2 6" xfId="8256"/>
    <cellStyle name="检查单元格 2 19 5 2 7" xfId="8262"/>
    <cellStyle name="检查单元格 2 19 5 2 8" xfId="5498"/>
    <cellStyle name="检查单元格 2 19 5 3" xfId="16934"/>
    <cellStyle name="检查单元格 2 19 5 4" xfId="16937"/>
    <cellStyle name="检查单元格 2 19 5 5" xfId="16939"/>
    <cellStyle name="检查单元格 2 19 5 6" xfId="16941"/>
    <cellStyle name="检查单元格 2 19 5 6 2" xfId="10447"/>
    <cellStyle name="检查单元格 2 19 5 6 3" xfId="6875"/>
    <cellStyle name="检查单元格 2 19 5 7" xfId="16943"/>
    <cellStyle name="检查单元格 2 19 5 8" xfId="33717"/>
    <cellStyle name="检查单元格 2 19 5 9" xfId="16813"/>
    <cellStyle name="检查单元格 2 19 6" xfId="26418"/>
    <cellStyle name="检查单元格 2 19 6 2" xfId="26420"/>
    <cellStyle name="检查单元格 2 19 6 2 2" xfId="25756"/>
    <cellStyle name="检查单元格 2 19 6 2 3" xfId="33718"/>
    <cellStyle name="检查单元格 2 19 6 3" xfId="26422"/>
    <cellStyle name="检查单元格 2 19 6 4" xfId="33719"/>
    <cellStyle name="检查单元格 2 19 6 5" xfId="33720"/>
    <cellStyle name="检查单元格 2 19 6 6" xfId="33721"/>
    <cellStyle name="检查单元格 2 19 6 7" xfId="33722"/>
    <cellStyle name="检查单元格 2 19 6 8" xfId="33723"/>
    <cellStyle name="检查单元格 2 19 7" xfId="33724"/>
    <cellStyle name="检查单元格 2 19 8" xfId="25829"/>
    <cellStyle name="检查单元格 2 19 9" xfId="33725"/>
    <cellStyle name="检查单元格 2 19 9 2" xfId="33726"/>
    <cellStyle name="检查单元格 2 19 9 3" xfId="33727"/>
    <cellStyle name="检查单元格 2 2" xfId="33728"/>
    <cellStyle name="检查单元格 2 2 10" xfId="33729"/>
    <cellStyle name="检查单元格 2 2 11" xfId="24951"/>
    <cellStyle name="检查单元格 2 2 12" xfId="24953"/>
    <cellStyle name="检查单元格 2 2 13" xfId="13932"/>
    <cellStyle name="检查单元格 2 2 14" xfId="7813"/>
    <cellStyle name="检查单元格 2 2 2" xfId="32879"/>
    <cellStyle name="检查单元格 2 2 3" xfId="32881"/>
    <cellStyle name="检查单元格 2 2 4" xfId="33730"/>
    <cellStyle name="检查单元格 2 2 5" xfId="33732"/>
    <cellStyle name="检查单元格 2 2 6" xfId="801"/>
    <cellStyle name="检查单元格 2 2 7" xfId="370"/>
    <cellStyle name="检查单元格 2 2 8" xfId="33734"/>
    <cellStyle name="检查单元格 2 2 9" xfId="33735"/>
    <cellStyle name="检查单元格 2 20" xfId="10519"/>
    <cellStyle name="检查单元格 2 20 10" xfId="29836"/>
    <cellStyle name="检查单元格 2 20 11" xfId="29838"/>
    <cellStyle name="检查单元格 2 20 12" xfId="33736"/>
    <cellStyle name="检查单元格 2 20 13" xfId="13045"/>
    <cellStyle name="检查单元格 2 20 14" xfId="13047"/>
    <cellStyle name="检查单元格 2 20 2" xfId="28808"/>
    <cellStyle name="检查单元格 2 20 3" xfId="28811"/>
    <cellStyle name="检查单元格 2 20 4" xfId="28813"/>
    <cellStyle name="检查单元格 2 20 5" xfId="28816"/>
    <cellStyle name="检查单元格 2 20 5 10" xfId="33737"/>
    <cellStyle name="检查单元格 2 20 5 11" xfId="33739"/>
    <cellStyle name="检查单元格 2 20 5 2" xfId="17003"/>
    <cellStyle name="检查单元格 2 20 5 2 2" xfId="31858"/>
    <cellStyle name="检查单元格 2 20 5 2 2 2" xfId="26663"/>
    <cellStyle name="检查单元格 2 20 5 2 2 3" xfId="26665"/>
    <cellStyle name="检查单元格 2 20 5 2 3" xfId="33741"/>
    <cellStyle name="检查单元格 2 20 5 2 4" xfId="33743"/>
    <cellStyle name="检查单元格 2 20 5 2 5" xfId="24561"/>
    <cellStyle name="检查单元格 2 20 5 2 6" xfId="33745"/>
    <cellStyle name="检查单元格 2 20 5 2 7" xfId="33746"/>
    <cellStyle name="检查单元格 2 20 5 2 8" xfId="33747"/>
    <cellStyle name="检查单元格 2 20 5 3" xfId="17007"/>
    <cellStyle name="检查单元格 2 20 5 4" xfId="17011"/>
    <cellStyle name="检查单元格 2 20 5 5" xfId="17016"/>
    <cellStyle name="检查单元格 2 20 5 6" xfId="17020"/>
    <cellStyle name="检查单元格 2 20 5 6 2" xfId="10362"/>
    <cellStyle name="检查单元格 2 20 5 6 3" xfId="10364"/>
    <cellStyle name="检查单元格 2 20 5 7" xfId="14815"/>
    <cellStyle name="检查单元格 2 20 5 8" xfId="14818"/>
    <cellStyle name="检查单元格 2 20 5 9" xfId="25094"/>
    <cellStyle name="检查单元格 2 20 6" xfId="28819"/>
    <cellStyle name="检查单元格 2 20 6 2" xfId="33748"/>
    <cellStyle name="检查单元格 2 20 6 2 2" xfId="31878"/>
    <cellStyle name="检查单元格 2 20 6 2 3" xfId="33749"/>
    <cellStyle name="检查单元格 2 20 6 3" xfId="33750"/>
    <cellStyle name="检查单元格 2 20 6 4" xfId="33751"/>
    <cellStyle name="检查单元格 2 20 6 5" xfId="33752"/>
    <cellStyle name="检查单元格 2 20 6 6" xfId="33753"/>
    <cellStyle name="检查单元格 2 20 6 7" xfId="33754"/>
    <cellStyle name="检查单元格 2 20 6 8" xfId="27263"/>
    <cellStyle name="检查单元格 2 20 7" xfId="28821"/>
    <cellStyle name="检查单元格 2 20 8" xfId="28823"/>
    <cellStyle name="检查单元格 2 20 9" xfId="33755"/>
    <cellStyle name="检查单元格 2 20 9 2" xfId="33756"/>
    <cellStyle name="检查单元格 2 20 9 3" xfId="33757"/>
    <cellStyle name="检查单元格 2 3" xfId="33758"/>
    <cellStyle name="检查单元格 2 3 10" xfId="33759"/>
    <cellStyle name="检查单元格 2 3 11" xfId="33760"/>
    <cellStyle name="检查单元格 2 3 12" xfId="14336"/>
    <cellStyle name="检查单元格 2 3 13" xfId="14345"/>
    <cellStyle name="检查单元格 2 3 14" xfId="14355"/>
    <cellStyle name="检查单元格 2 3 2" xfId="16224"/>
    <cellStyle name="检查单元格 2 3 3" xfId="16227"/>
    <cellStyle name="检查单元格 2 3 4" xfId="27377"/>
    <cellStyle name="检查单元格 2 3 5" xfId="27380"/>
    <cellStyle name="检查单元格 2 3 6" xfId="27382"/>
    <cellStyle name="检查单元格 2 3 7" xfId="27412"/>
    <cellStyle name="检查单元格 2 3 8" xfId="27460"/>
    <cellStyle name="检查单元格 2 3 9" xfId="33761"/>
    <cellStyle name="检查单元格 2 4" xfId="33762"/>
    <cellStyle name="检查单元格 2 4 10" xfId="32882"/>
    <cellStyle name="检查单元格 2 4 11" xfId="33731"/>
    <cellStyle name="检查单元格 2 4 12" xfId="33733"/>
    <cellStyle name="检查单元格 2 4 13" xfId="802"/>
    <cellStyle name="检查单元格 2 4 14" xfId="371"/>
    <cellStyle name="检查单元格 2 4 2" xfId="28806"/>
    <cellStyle name="检查单元格 2 4 3" xfId="33763"/>
    <cellStyle name="检查单元格 2 4 4" xfId="33764"/>
    <cellStyle name="检查单元格 2 4 5" xfId="28785"/>
    <cellStyle name="检查单元格 2 4 6" xfId="28787"/>
    <cellStyle name="检查单元格 2 4 7" xfId="28789"/>
    <cellStyle name="检查单元格 2 4 8" xfId="17253"/>
    <cellStyle name="检查单元格 2 4 9" xfId="17258"/>
    <cellStyle name="检查单元格 2 5" xfId="33765"/>
    <cellStyle name="检查单元格 2 6" xfId="33766"/>
    <cellStyle name="检查单元格 2 7" xfId="27024"/>
    <cellStyle name="检查单元格 2 8" xfId="27026"/>
    <cellStyle name="检查单元格 2 9" xfId="27028"/>
    <cellStyle name="检查单元格 3" xfId="22785"/>
    <cellStyle name="检查单元格 3 10" xfId="2065"/>
    <cellStyle name="检查单元格 3 11" xfId="2092"/>
    <cellStyle name="检查单元格 3 12" xfId="4243"/>
    <cellStyle name="检查单元格 3 13" xfId="4253"/>
    <cellStyle name="检查单元格 3 14" xfId="4261"/>
    <cellStyle name="检查单元格 3 15" xfId="33767"/>
    <cellStyle name="检查单元格 3 16" xfId="33769"/>
    <cellStyle name="检查单元格 3 17" xfId="33770"/>
    <cellStyle name="检查单元格 3 17 10" xfId="33771"/>
    <cellStyle name="检查单元格 3 17 11" xfId="5866"/>
    <cellStyle name="检查单元格 3 17 12" xfId="5871"/>
    <cellStyle name="检查单元格 3 17 13" xfId="33772"/>
    <cellStyle name="检查单元格 3 17 14" xfId="21566"/>
    <cellStyle name="检查单元格 3 17 2" xfId="33773"/>
    <cellStyle name="检查单元格 3 17 2 2" xfId="33774"/>
    <cellStyle name="检查单元格 3 17 3" xfId="33775"/>
    <cellStyle name="检查单元格 3 17 4" xfId="33776"/>
    <cellStyle name="检查单元格 3 17 5" xfId="33777"/>
    <cellStyle name="检查单元格 3 17 5 10" xfId="4381"/>
    <cellStyle name="检查单元格 3 17 5 11" xfId="4394"/>
    <cellStyle name="检查单元格 3 17 5 2" xfId="5973"/>
    <cellStyle name="检查单元格 3 17 5 2 2" xfId="16604"/>
    <cellStyle name="检查单元格 3 17 5 2 2 2" xfId="33778"/>
    <cellStyle name="检查单元格 3 17 5 2 2 3" xfId="33779"/>
    <cellStyle name="检查单元格 3 17 5 2 3" xfId="16610"/>
    <cellStyle name="检查单元格 3 17 5 2 4" xfId="16638"/>
    <cellStyle name="检查单元格 3 17 5 2 5" xfId="16659"/>
    <cellStyle name="检查单元格 3 17 5 2 6" xfId="6942"/>
    <cellStyle name="检查单元格 3 17 5 2 7" xfId="6947"/>
    <cellStyle name="检查单元格 3 17 5 2 8" xfId="6952"/>
    <cellStyle name="检查单元格 3 17 5 3" xfId="9746"/>
    <cellStyle name="检查单元格 3 17 5 4" xfId="9751"/>
    <cellStyle name="检查单元格 3 17 5 5" xfId="9756"/>
    <cellStyle name="检查单元格 3 17 5 6" xfId="9761"/>
    <cellStyle name="检查单元格 3 17 5 6 2" xfId="6781"/>
    <cellStyle name="检查单元格 3 17 5 6 3" xfId="7619"/>
    <cellStyle name="检查单元格 3 17 5 7" xfId="17050"/>
    <cellStyle name="检查单元格 3 17 5 8" xfId="33780"/>
    <cellStyle name="检查单元格 3 17 5 9" xfId="33781"/>
    <cellStyle name="检查单元格 3 17 6" xfId="33782"/>
    <cellStyle name="检查单元格 3 17 6 2" xfId="33783"/>
    <cellStyle name="检查单元格 3 17 6 2 2" xfId="33784"/>
    <cellStyle name="检查单元格 3 17 6 2 3" xfId="33785"/>
    <cellStyle name="检查单元格 3 17 6 3" xfId="33786"/>
    <cellStyle name="检查单元格 3 17 6 4" xfId="32144"/>
    <cellStyle name="检查单元格 3 17 6 5" xfId="25949"/>
    <cellStyle name="检查单元格 3 17 6 6" xfId="32146"/>
    <cellStyle name="检查单元格 3 17 6 7" xfId="32148"/>
    <cellStyle name="检查单元格 3 17 6 8" xfId="25591"/>
    <cellStyle name="检查单元格 3 17 7" xfId="33787"/>
    <cellStyle name="检查单元格 3 17 8" xfId="33788"/>
    <cellStyle name="检查单元格 3 17 9" xfId="1106"/>
    <cellStyle name="检查单元格 3 17 9 2" xfId="33789"/>
    <cellStyle name="检查单元格 3 17 9 3" xfId="33790"/>
    <cellStyle name="检查单元格 3 18" xfId="33791"/>
    <cellStyle name="检查单元格 3 18 10" xfId="28589"/>
    <cellStyle name="检查单元格 3 18 11" xfId="28591"/>
    <cellStyle name="检查单元格 3 18 12" xfId="28593"/>
    <cellStyle name="检查单元格 3 18 13" xfId="28595"/>
    <cellStyle name="检查单元格 3 18 14" xfId="28597"/>
    <cellStyle name="检查单元格 3 18 2" xfId="29760"/>
    <cellStyle name="检查单元格 3 18 3" xfId="29762"/>
    <cellStyle name="检查单元格 3 18 4" xfId="29343"/>
    <cellStyle name="检查单元格 3 18 5" xfId="29346"/>
    <cellStyle name="检查单元格 3 18 5 10" xfId="5785"/>
    <cellStyle name="检查单元格 3 18 5 11" xfId="5814"/>
    <cellStyle name="检查单元格 3 18 5 2" xfId="16081"/>
    <cellStyle name="检查单元格 3 18 5 2 2" xfId="4515"/>
    <cellStyle name="检查单元格 3 18 5 2 2 2" xfId="8174"/>
    <cellStyle name="检查单元格 3 18 5 2 2 3" xfId="8179"/>
    <cellStyle name="检查单元格 3 18 5 2 3" xfId="27899"/>
    <cellStyle name="检查单元格 3 18 5 2 4" xfId="27912"/>
    <cellStyle name="检查单元格 3 18 5 2 5" xfId="10408"/>
    <cellStyle name="检查单元格 3 18 5 2 6" xfId="10420"/>
    <cellStyle name="检查单元格 3 18 5 2 7" xfId="27930"/>
    <cellStyle name="检查单元格 3 18 5 2 8" xfId="33793"/>
    <cellStyle name="检查单元格 3 18 5 3" xfId="16087"/>
    <cellStyle name="检查单元格 3 18 5 4" xfId="16093"/>
    <cellStyle name="检查单元格 3 18 5 5" xfId="16099"/>
    <cellStyle name="检查单元格 3 18 5 6" xfId="16679"/>
    <cellStyle name="检查单元格 3 18 5 6 2" xfId="33795"/>
    <cellStyle name="检查单元格 3 18 5 6 3" xfId="31894"/>
    <cellStyle name="检查单元格 3 18 5 7" xfId="17098"/>
    <cellStyle name="检查单元格 3 18 5 8" xfId="33796"/>
    <cellStyle name="检查单元格 3 18 5 9" xfId="33797"/>
    <cellStyle name="检查单元格 3 18 6" xfId="28385"/>
    <cellStyle name="检查单元格 3 18 6 2" xfId="32662"/>
    <cellStyle name="检查单元格 3 18 6 2 2" xfId="14523"/>
    <cellStyle name="检查单元格 3 18 6 2 3" xfId="14526"/>
    <cellStyle name="检查单元格 3 18 6 3" xfId="33798"/>
    <cellStyle name="检查单元格 3 18 6 4" xfId="32152"/>
    <cellStyle name="检查单元格 3 18 6 5" xfId="32155"/>
    <cellStyle name="检查单元格 3 18 6 6" xfId="24629"/>
    <cellStyle name="检查单元格 3 18 6 7" xfId="33799"/>
    <cellStyle name="检查单元格 3 18 6 8" xfId="33800"/>
    <cellStyle name="检查单元格 3 18 7" xfId="28389"/>
    <cellStyle name="检查单元格 3 18 8" xfId="28391"/>
    <cellStyle name="检查单元格 3 18 9" xfId="28393"/>
    <cellStyle name="检查单元格 3 18 9 2" xfId="23522"/>
    <cellStyle name="检查单元格 3 18 9 3" xfId="23524"/>
    <cellStyle name="检查单元格 3 19" xfId="33801"/>
    <cellStyle name="检查单元格 3 19 10" xfId="13691"/>
    <cellStyle name="检查单元格 3 19 11" xfId="13741"/>
    <cellStyle name="检查单元格 3 19 12" xfId="13770"/>
    <cellStyle name="检查单元格 3 19 13" xfId="13776"/>
    <cellStyle name="检查单元格 3 19 14" xfId="13782"/>
    <cellStyle name="检查单元格 3 19 2" xfId="26614"/>
    <cellStyle name="检查单元格 3 19 3" xfId="26637"/>
    <cellStyle name="检查单元格 3 19 4" xfId="26647"/>
    <cellStyle name="检查单元格 3 19 5" xfId="26650"/>
    <cellStyle name="检查单元格 3 19 5 10" xfId="33802"/>
    <cellStyle name="检查单元格 3 19 5 11" xfId="8180"/>
    <cellStyle name="检查单元格 3 19 5 2" xfId="17143"/>
    <cellStyle name="检查单元格 3 19 5 2 2" xfId="31740"/>
    <cellStyle name="检查单元格 3 19 5 2 2 2" xfId="28843"/>
    <cellStyle name="检查单元格 3 19 5 2 2 3" xfId="28845"/>
    <cellStyle name="检查单元格 3 19 5 2 3" xfId="31744"/>
    <cellStyle name="检查单元格 3 19 5 2 4" xfId="31747"/>
    <cellStyle name="检查单元格 3 19 5 2 5" xfId="31750"/>
    <cellStyle name="检查单元格 3 19 5 2 6" xfId="33803"/>
    <cellStyle name="检查单元格 3 19 5 2 7" xfId="29407"/>
    <cellStyle name="检查单元格 3 19 5 2 8" xfId="29409"/>
    <cellStyle name="检查单元格 3 19 5 3" xfId="17146"/>
    <cellStyle name="检查单元格 3 19 5 4" xfId="17150"/>
    <cellStyle name="检查单元格 3 19 5 5" xfId="17155"/>
    <cellStyle name="检查单元格 3 19 5 6" xfId="1799"/>
    <cellStyle name="检查单元格 3 19 5 6 2" xfId="10147"/>
    <cellStyle name="检查单元格 3 19 5 6 3" xfId="9358"/>
    <cellStyle name="检查单元格 3 19 5 7" xfId="1819"/>
    <cellStyle name="检查单元格 3 19 5 8" xfId="8004"/>
    <cellStyle name="检查单元格 3 19 5 9" xfId="8007"/>
    <cellStyle name="检查单元格 3 19 6" xfId="26652"/>
    <cellStyle name="检查单元格 3 19 6 2" xfId="26654"/>
    <cellStyle name="检查单元格 3 19 6 2 2" xfId="33804"/>
    <cellStyle name="检查单元格 3 19 6 2 3" xfId="33805"/>
    <cellStyle name="检查单元格 3 19 6 3" xfId="2000"/>
    <cellStyle name="检查单元格 3 19 6 4" xfId="2215"/>
    <cellStyle name="检查单元格 3 19 6 5" xfId="2295"/>
    <cellStyle name="检查单元格 3 19 6 6" xfId="2304"/>
    <cellStyle name="检查单元格 3 19 6 7" xfId="2312"/>
    <cellStyle name="检查单元格 3 19 6 8" xfId="3229"/>
    <cellStyle name="检查单元格 3 19 7" xfId="33806"/>
    <cellStyle name="检查单元格 3 19 8" xfId="33807"/>
    <cellStyle name="检查单元格 3 19 9" xfId="19365"/>
    <cellStyle name="检查单元格 3 19 9 2" xfId="22613"/>
    <cellStyle name="检查单元格 3 19 9 3" xfId="22616"/>
    <cellStyle name="检查单元格 3 2" xfId="20110"/>
    <cellStyle name="检查单元格 3 2 10" xfId="33808"/>
    <cellStyle name="检查单元格 3 2 11" xfId="33809"/>
    <cellStyle name="检查单元格 3 2 12" xfId="33810"/>
    <cellStyle name="检查单元格 3 2 13" xfId="9711"/>
    <cellStyle name="检查单元格 3 2 14" xfId="9051"/>
    <cellStyle name="检查单元格 3 2 2" xfId="22788"/>
    <cellStyle name="检查单元格 3 2 3" xfId="22792"/>
    <cellStyle name="检查单元格 3 2 4" xfId="24487"/>
    <cellStyle name="检查单元格 3 2 5" xfId="33811"/>
    <cellStyle name="检查单元格 3 2 6" xfId="33812"/>
    <cellStyle name="检查单元格 3 2 7" xfId="33813"/>
    <cellStyle name="检查单元格 3 2 8" xfId="33814"/>
    <cellStyle name="检查单元格 3 2 9" xfId="33815"/>
    <cellStyle name="检查单元格 3 20" xfId="33768"/>
    <cellStyle name="检查单元格 3 20 10" xfId="33816"/>
    <cellStyle name="检查单元格 3 20 11" xfId="32215"/>
    <cellStyle name="检查单元格 3 20 12" xfId="32217"/>
    <cellStyle name="检查单元格 3 20 13" xfId="33817"/>
    <cellStyle name="检查单元格 3 20 14" xfId="33818"/>
    <cellStyle name="检查单元格 3 20 2" xfId="30325"/>
    <cellStyle name="检查单元格 3 20 3" xfId="26778"/>
    <cellStyle name="检查单元格 3 20 4" xfId="26785"/>
    <cellStyle name="检查单元格 3 20 5" xfId="26787"/>
    <cellStyle name="检查单元格 3 20 5 10" xfId="27116"/>
    <cellStyle name="检查单元格 3 20 5 11" xfId="20379"/>
    <cellStyle name="检查单元格 3 20 5 2" xfId="12824"/>
    <cellStyle name="检查单元格 3 20 5 2 2" xfId="27700"/>
    <cellStyle name="检查单元格 3 20 5 2 2 2" xfId="22959"/>
    <cellStyle name="检查单元格 3 20 5 2 2 3" xfId="22961"/>
    <cellStyle name="检查单元格 3 20 5 2 3" xfId="27702"/>
    <cellStyle name="检查单元格 3 20 5 2 4" xfId="33819"/>
    <cellStyle name="检查单元格 3 20 5 2 5" xfId="33820"/>
    <cellStyle name="检查单元格 3 20 5 2 6" xfId="33821"/>
    <cellStyle name="检查单元格 3 20 5 2 7" xfId="33822"/>
    <cellStyle name="检查单元格 3 20 5 2 8" xfId="33823"/>
    <cellStyle name="检查单元格 3 20 5 3" xfId="17200"/>
    <cellStyle name="检查单元格 3 20 5 4" xfId="17204"/>
    <cellStyle name="检查单元格 3 20 5 5" xfId="17209"/>
    <cellStyle name="检查单元格 3 20 5 6" xfId="17214"/>
    <cellStyle name="检查单元格 3 20 5 6 2" xfId="11735"/>
    <cellStyle name="检查单元格 3 20 5 6 3" xfId="11741"/>
    <cellStyle name="检查单元格 3 20 5 7" xfId="14917"/>
    <cellStyle name="检查单元格 3 20 5 8" xfId="14922"/>
    <cellStyle name="检查单元格 3 20 5 9" xfId="18823"/>
    <cellStyle name="检查单元格 3 20 6" xfId="26789"/>
    <cellStyle name="检查单元格 3 20 6 2" xfId="31649"/>
    <cellStyle name="检查单元格 3 20 6 2 2" xfId="27751"/>
    <cellStyle name="检查单元格 3 20 6 2 3" xfId="27753"/>
    <cellStyle name="检查单元格 3 20 6 3" xfId="31651"/>
    <cellStyle name="检查单元格 3 20 6 4" xfId="16239"/>
    <cellStyle name="检查单元格 3 20 6 5" xfId="18840"/>
    <cellStyle name="检查单元格 3 20 6 6" xfId="18843"/>
    <cellStyle name="检查单元格 3 20 6 7" xfId="18846"/>
    <cellStyle name="检查单元格 3 20 6 8" xfId="18848"/>
    <cellStyle name="检查单元格 3 20 7" xfId="26791"/>
    <cellStyle name="检查单元格 3 20 8" xfId="26793"/>
    <cellStyle name="检查单元格 3 20 9" xfId="26795"/>
    <cellStyle name="检查单元格 3 20 9 2" xfId="33824"/>
    <cellStyle name="检查单元格 3 20 9 3" xfId="33825"/>
    <cellStyle name="检查单元格 3 3" xfId="20116"/>
    <cellStyle name="检查单元格 3 3 10" xfId="8573"/>
    <cellStyle name="检查单元格 3 3 11" xfId="8620"/>
    <cellStyle name="检查单元格 3 3 12" xfId="8627"/>
    <cellStyle name="检查单元格 3 3 13" xfId="8634"/>
    <cellStyle name="检查单元格 3 3 14" xfId="33826"/>
    <cellStyle name="检查单元格 3 3 2" xfId="33830"/>
    <cellStyle name="检查单元格 3 3 3" xfId="33831"/>
    <cellStyle name="检查单元格 3 3 4" xfId="33832"/>
    <cellStyle name="检查单元格 3 3 5" xfId="33833"/>
    <cellStyle name="检查单元格 3 3 6" xfId="33834"/>
    <cellStyle name="检查单元格 3 3 7" xfId="33835"/>
    <cellStyle name="检查单元格 3 3 8" xfId="33836"/>
    <cellStyle name="检查单元格 3 3 9" xfId="25024"/>
    <cellStyle name="检查单元格 3 4" xfId="20122"/>
    <cellStyle name="检查单元格 3 4 10" xfId="13579"/>
    <cellStyle name="检查单元格 3 4 11" xfId="13582"/>
    <cellStyle name="检查单元格 3 4 12" xfId="13585"/>
    <cellStyle name="检查单元格 3 4 13" xfId="3206"/>
    <cellStyle name="检查单元格 3 4 14" xfId="3210"/>
    <cellStyle name="检查单元格 3 4 2" xfId="20127"/>
    <cellStyle name="检查单元格 3 4 3" xfId="20130"/>
    <cellStyle name="检查单元格 3 4 4" xfId="30292"/>
    <cellStyle name="检查单元格 3 4 5" xfId="30294"/>
    <cellStyle name="检查单元格 3 4 6" xfId="30296"/>
    <cellStyle name="检查单元格 3 4 7" xfId="30298"/>
    <cellStyle name="检查单元格 3 4 8" xfId="30300"/>
    <cellStyle name="检查单元格 3 4 9" xfId="28560"/>
    <cellStyle name="检查单元格 3 5" xfId="20134"/>
    <cellStyle name="检查单元格 3 6" xfId="9144"/>
    <cellStyle name="检查单元格 3 7" xfId="9155"/>
    <cellStyle name="检查单元格 3 8" xfId="22796"/>
    <cellStyle name="检查单元格 3 9" xfId="8738"/>
    <cellStyle name="检查单元格 4" xfId="22799"/>
    <cellStyle name="检查单元格 4 10" xfId="33837"/>
    <cellStyle name="检查单元格 4 11" xfId="33838"/>
    <cellStyle name="检查单元格 4 12" xfId="33839"/>
    <cellStyle name="检查单元格 4 13" xfId="26016"/>
    <cellStyle name="检查单元格 4 14" xfId="24573"/>
    <cellStyle name="检查单元格 4 15" xfId="33840"/>
    <cellStyle name="检查单元格 4 16" xfId="31769"/>
    <cellStyle name="检查单元格 4 17" xfId="31772"/>
    <cellStyle name="检查单元格 4 17 10" xfId="31824"/>
    <cellStyle name="检查单元格 4 17 11" xfId="31834"/>
    <cellStyle name="检查单元格 4 17 12" xfId="31836"/>
    <cellStyle name="检查单元格 4 17 13" xfId="31838"/>
    <cellStyle name="检查单元格 4 17 14" xfId="32139"/>
    <cellStyle name="检查单元格 4 17 2" xfId="21129"/>
    <cellStyle name="检查单元格 4 17 3" xfId="21133"/>
    <cellStyle name="检查单元格 4 17 4" xfId="7706"/>
    <cellStyle name="检查单元格 4 17 5" xfId="7710"/>
    <cellStyle name="检查单元格 4 17 5 10" xfId="25122"/>
    <cellStyle name="检查单元格 4 17 5 11" xfId="25124"/>
    <cellStyle name="检查单元格 4 17 5 2" xfId="33842"/>
    <cellStyle name="检查单元格 4 17 5 2 2" xfId="33843"/>
    <cellStyle name="检查单元格 4 17 5 2 2 2" xfId="27581"/>
    <cellStyle name="检查单元格 4 17 5 2 2 3" xfId="33844"/>
    <cellStyle name="检查单元格 4 17 5 2 3" xfId="22006"/>
    <cellStyle name="检查单元格 4 17 5 2 4" xfId="22010"/>
    <cellStyle name="检查单元格 4 17 5 2 5" xfId="27546"/>
    <cellStyle name="检查单元格 4 17 5 2 6" xfId="4761"/>
    <cellStyle name="检查单元格 4 17 5 2 7" xfId="4772"/>
    <cellStyle name="检查单元格 4 17 5 2 8" xfId="27562"/>
    <cellStyle name="检查单元格 4 17 5 3" xfId="33845"/>
    <cellStyle name="检查单元格 4 17 5 4" xfId="33846"/>
    <cellStyle name="检查单元格 4 17 5 5" xfId="33847"/>
    <cellStyle name="检查单元格 4 17 5 6" xfId="33848"/>
    <cellStyle name="检查单元格 4 17 5 6 2" xfId="33849"/>
    <cellStyle name="检查单元格 4 17 5 6 3" xfId="32318"/>
    <cellStyle name="检查单元格 4 17 5 7" xfId="27958"/>
    <cellStyle name="检查单元格 4 17 5 8" xfId="27960"/>
    <cellStyle name="检查单元格 4 17 5 9" xfId="27962"/>
    <cellStyle name="检查单元格 4 17 6" xfId="7714"/>
    <cellStyle name="检查单元格 4 17 6 2" xfId="33850"/>
    <cellStyle name="检查单元格 4 17 6 2 2" xfId="33851"/>
    <cellStyle name="检查单元格 4 17 6 2 3" xfId="33852"/>
    <cellStyle name="检查单元格 4 17 6 3" xfId="33853"/>
    <cellStyle name="检查单元格 4 17 6 4" xfId="33854"/>
    <cellStyle name="检查单元格 4 17 6 5" xfId="33855"/>
    <cellStyle name="检查单元格 4 17 6 6" xfId="33856"/>
    <cellStyle name="检查单元格 4 17 6 7" xfId="33857"/>
    <cellStyle name="检查单元格 4 17 6 8" xfId="33858"/>
    <cellStyle name="检查单元格 4 17 7" xfId="7718"/>
    <cellStyle name="检查单元格 4 17 8" xfId="3631"/>
    <cellStyle name="检查单元格 4 17 9" xfId="2241"/>
    <cellStyle name="检查单元格 4 17 9 2" xfId="33859"/>
    <cellStyle name="检查单元格 4 17 9 3" xfId="33860"/>
    <cellStyle name="检查单元格 4 18" xfId="33861"/>
    <cellStyle name="检查单元格 4 18 10" xfId="29230"/>
    <cellStyle name="检查单元格 4 18 11" xfId="29233"/>
    <cellStyle name="检查单元格 4 18 12" xfId="29236"/>
    <cellStyle name="检查单元格 4 18 13" xfId="29240"/>
    <cellStyle name="检查单元格 4 18 14" xfId="29244"/>
    <cellStyle name="检查单元格 4 18 2" xfId="21147"/>
    <cellStyle name="检查单元格 4 18 3" xfId="21151"/>
    <cellStyle name="检查单元格 4 18 4" xfId="21155"/>
    <cellStyle name="检查单元格 4 18 5" xfId="18607"/>
    <cellStyle name="检查单元格 4 18 5 10" xfId="2223"/>
    <cellStyle name="检查单元格 4 18 5 11" xfId="2302"/>
    <cellStyle name="检查单元格 4 18 5 2" xfId="33152"/>
    <cellStyle name="检查单元格 4 18 5 2 2" xfId="1079"/>
    <cellStyle name="检查单元格 4 18 5 2 2 2" xfId="3653"/>
    <cellStyle name="检查单元格 4 18 5 2 2 3" xfId="17189"/>
    <cellStyle name="检查单元格 4 18 5 2 3" xfId="21902"/>
    <cellStyle name="检查单元格 4 18 5 2 4" xfId="28271"/>
    <cellStyle name="检查单元格 4 18 5 2 5" xfId="14008"/>
    <cellStyle name="检查单元格 4 18 5 2 6" xfId="14014"/>
    <cellStyle name="检查单元格 4 18 5 2 7" xfId="33862"/>
    <cellStyle name="检查单元格 4 18 5 2 8" xfId="33863"/>
    <cellStyle name="检查单元格 4 18 5 3" xfId="33864"/>
    <cellStyle name="检查单元格 4 18 5 4" xfId="33865"/>
    <cellStyle name="检查单元格 4 18 5 5" xfId="33866"/>
    <cellStyle name="检查单元格 4 18 5 6" xfId="33867"/>
    <cellStyle name="检查单元格 4 18 5 6 2" xfId="24482"/>
    <cellStyle name="检查单元格 4 18 5 6 3" xfId="18994"/>
    <cellStyle name="检查单元格 4 18 5 7" xfId="33868"/>
    <cellStyle name="检查单元格 4 18 5 8" xfId="15194"/>
    <cellStyle name="检查单元格 4 18 5 9" xfId="20688"/>
    <cellStyle name="检查单元格 4 18 6" xfId="18613"/>
    <cellStyle name="检查单元格 4 18 6 2" xfId="33175"/>
    <cellStyle name="检查单元格 4 18 6 2 2" xfId="30002"/>
    <cellStyle name="检查单元格 4 18 6 2 3" xfId="30006"/>
    <cellStyle name="检查单元格 4 18 6 3" xfId="33871"/>
    <cellStyle name="检查单元格 4 18 6 4" xfId="33872"/>
    <cellStyle name="检查单元格 4 18 6 5" xfId="33873"/>
    <cellStyle name="检查单元格 4 18 6 6" xfId="33874"/>
    <cellStyle name="检查单元格 4 18 6 7" xfId="33875"/>
    <cellStyle name="检查单元格 4 18 6 8" xfId="33876"/>
    <cellStyle name="检查单元格 4 18 7" xfId="19412"/>
    <cellStyle name="检查单元格 4 18 8" xfId="17615"/>
    <cellStyle name="检查单元格 4 18 9" xfId="17620"/>
    <cellStyle name="检查单元格 4 18 9 2" xfId="33877"/>
    <cellStyle name="检查单元格 4 18 9 3" xfId="33878"/>
    <cellStyle name="检查单元格 4 19" xfId="14200"/>
    <cellStyle name="检查单元格 4 19 10" xfId="22806"/>
    <cellStyle name="检查单元格 4 19 11" xfId="22815"/>
    <cellStyle name="检查单元格 4 19 12" xfId="22818"/>
    <cellStyle name="检查单元格 4 19 13" xfId="22821"/>
    <cellStyle name="检查单元格 4 19 14" xfId="32237"/>
    <cellStyle name="检查单元格 4 19 2" xfId="14203"/>
    <cellStyle name="检查单元格 4 19 3" xfId="14206"/>
    <cellStyle name="检查单元格 4 19 4" xfId="26872"/>
    <cellStyle name="检查单元格 4 19 5" xfId="26874"/>
    <cellStyle name="检查单元格 4 19 5 10" xfId="33879"/>
    <cellStyle name="检查单元格 4 19 5 11" xfId="3047"/>
    <cellStyle name="检查单元格 4 19 5 2" xfId="5253"/>
    <cellStyle name="检查单元格 4 19 5 2 2" xfId="5264"/>
    <cellStyle name="检查单元格 4 19 5 2 2 2" xfId="33881"/>
    <cellStyle name="检查单元格 4 19 5 2 2 3" xfId="33882"/>
    <cellStyle name="检查单元格 4 19 5 2 3" xfId="3558"/>
    <cellStyle name="检查单元格 4 19 5 2 4" xfId="25861"/>
    <cellStyle name="检查单元格 4 19 5 2 5" xfId="33883"/>
    <cellStyle name="检查单元格 4 19 5 2 6" xfId="33884"/>
    <cellStyle name="检查单元格 4 19 5 2 7" xfId="33885"/>
    <cellStyle name="检查单元格 4 19 5 2 8" xfId="33886"/>
    <cellStyle name="检查单元格 4 19 5 3" xfId="5336"/>
    <cellStyle name="检查单元格 4 19 5 4" xfId="5349"/>
    <cellStyle name="检查单元格 4 19 5 5" xfId="3221"/>
    <cellStyle name="检查单元格 4 19 5 6" xfId="3240"/>
    <cellStyle name="检查单元格 4 19 5 6 2" xfId="2380"/>
    <cellStyle name="检查单元格 4 19 5 6 3" xfId="2612"/>
    <cellStyle name="检查单元格 4 19 5 7" xfId="2926"/>
    <cellStyle name="检查单元格 4 19 5 8" xfId="33887"/>
    <cellStyle name="检查单元格 4 19 5 9" xfId="33888"/>
    <cellStyle name="检查单元格 4 19 6" xfId="26876"/>
    <cellStyle name="检查单元格 4 19 6 2" xfId="26878"/>
    <cellStyle name="检查单元格 4 19 6 2 2" xfId="33889"/>
    <cellStyle name="检查单元格 4 19 6 2 3" xfId="33890"/>
    <cellStyle name="检查单元格 4 19 6 3" xfId="26880"/>
    <cellStyle name="检查单元格 4 19 6 4" xfId="33891"/>
    <cellStyle name="检查单元格 4 19 6 5" xfId="33892"/>
    <cellStyle name="检查单元格 4 19 6 6" xfId="33893"/>
    <cellStyle name="检查单元格 4 19 6 7" xfId="33894"/>
    <cellStyle name="检查单元格 4 19 6 8" xfId="33895"/>
    <cellStyle name="检查单元格 4 19 7" xfId="33896"/>
    <cellStyle name="检查单元格 4 19 8" xfId="33897"/>
    <cellStyle name="检查单元格 4 19 9" xfId="22663"/>
    <cellStyle name="检查单元格 4 19 9 2" xfId="22666"/>
    <cellStyle name="检查单元格 4 19 9 3" xfId="22668"/>
    <cellStyle name="检查单元格 4 2" xfId="20144"/>
    <cellStyle name="检查单元格 4 20" xfId="33841"/>
    <cellStyle name="检查单元格 4 20 10" xfId="28289"/>
    <cellStyle name="检查单元格 4 20 11" xfId="21973"/>
    <cellStyle name="检查单元格 4 20 12" xfId="21977"/>
    <cellStyle name="检查单元格 4 20 13" xfId="28292"/>
    <cellStyle name="检查单元格 4 20 14" xfId="18583"/>
    <cellStyle name="检查单元格 4 20 2" xfId="21013"/>
    <cellStyle name="检查单元格 4 20 3" xfId="21025"/>
    <cellStyle name="检查单元格 4 20 4" xfId="21029"/>
    <cellStyle name="检查单元格 4 20 5" xfId="21032"/>
    <cellStyle name="检查单元格 4 20 5 10" xfId="27219"/>
    <cellStyle name="检查单元格 4 20 5 11" xfId="16490"/>
    <cellStyle name="检查单元格 4 20 5 2" xfId="19626"/>
    <cellStyle name="检查单元格 4 20 5 2 2" xfId="8942"/>
    <cellStyle name="检查单元格 4 20 5 2 2 2" xfId="33898"/>
    <cellStyle name="检查单元格 4 20 5 2 2 3" xfId="33899"/>
    <cellStyle name="检查单元格 4 20 5 2 3" xfId="8948"/>
    <cellStyle name="检查单元格 4 20 5 2 4" xfId="8996"/>
    <cellStyle name="检查单元格 4 20 5 2 5" xfId="9030"/>
    <cellStyle name="检查单元格 4 20 5 2 6" xfId="7484"/>
    <cellStyle name="检查单元格 4 20 5 2 7" xfId="5355"/>
    <cellStyle name="检查单元格 4 20 5 2 8" xfId="5405"/>
    <cellStyle name="检查单元格 4 20 5 3" xfId="19630"/>
    <cellStyle name="检查单元格 4 20 5 4" xfId="19668"/>
    <cellStyle name="检查单元格 4 20 5 5" xfId="19697"/>
    <cellStyle name="检查单元格 4 20 5 6" xfId="24312"/>
    <cellStyle name="检查单元格 4 20 5 6 2" xfId="8793"/>
    <cellStyle name="检查单元格 4 20 5 6 3" xfId="8800"/>
    <cellStyle name="检查单元格 4 20 5 7" xfId="27265"/>
    <cellStyle name="检查单元格 4 20 5 8" xfId="27267"/>
    <cellStyle name="检查单元格 4 20 5 9" xfId="33900"/>
    <cellStyle name="检查单元格 4 20 6" xfId="14157"/>
    <cellStyle name="检查单元格 4 20 6 2" xfId="33901"/>
    <cellStyle name="检查单元格 4 20 6 2 2" xfId="28496"/>
    <cellStyle name="检查单元格 4 20 6 2 3" xfId="28498"/>
    <cellStyle name="检查单元格 4 20 6 3" xfId="33902"/>
    <cellStyle name="检查单元格 4 20 6 4" xfId="33903"/>
    <cellStyle name="检查单元格 4 20 6 5" xfId="33904"/>
    <cellStyle name="检查单元格 4 20 6 6" xfId="33905"/>
    <cellStyle name="检查单元格 4 20 6 7" xfId="21990"/>
    <cellStyle name="检查单元格 4 20 6 8" xfId="21992"/>
    <cellStyle name="检查单元格 4 20 7" xfId="14161"/>
    <cellStyle name="检查单元格 4 20 8" xfId="33906"/>
    <cellStyle name="检查单元格 4 20 9" xfId="33907"/>
    <cellStyle name="检查单元格 4 20 9 2" xfId="33908"/>
    <cellStyle name="检查单元格 4 20 9 3" xfId="33909"/>
    <cellStyle name="检查单元格 4 3" xfId="20149"/>
    <cellStyle name="检查单元格 4 4" xfId="20152"/>
    <cellStyle name="检查单元格 4 5" xfId="20155"/>
    <cellStyle name="检查单元格 4 6" xfId="20157"/>
    <cellStyle name="检查单元格 4 7" xfId="33910"/>
    <cellStyle name="检查单元格 4 8" xfId="33912"/>
    <cellStyle name="检查单元格 4 9" xfId="33914"/>
    <cellStyle name="检查单元格 5" xfId="22802"/>
    <cellStyle name="检查单元格 5 10" xfId="33916"/>
    <cellStyle name="检查单元格 5 11" xfId="33917"/>
    <cellStyle name="检查单元格 5 12" xfId="33918"/>
    <cellStyle name="检查单元格 5 13" xfId="21865"/>
    <cellStyle name="检查单元格 5 14" xfId="21867"/>
    <cellStyle name="检查单元格 5 2" xfId="33919"/>
    <cellStyle name="检查单元格 5 3" xfId="33921"/>
    <cellStyle name="检查单元格 5 4" xfId="33923"/>
    <cellStyle name="检查单元格 5 5" xfId="33925"/>
    <cellStyle name="检查单元格 5 6" xfId="33926"/>
    <cellStyle name="检查单元格 5 7" xfId="33927"/>
    <cellStyle name="检查单元格 5 8" xfId="33928"/>
    <cellStyle name="检查单元格 5 9" xfId="3499"/>
    <cellStyle name="检查单元格 6" xfId="22804"/>
    <cellStyle name="检查单元格 6 10" xfId="33929"/>
    <cellStyle name="检查单元格 6 11" xfId="33930"/>
    <cellStyle name="检查单元格 6 12" xfId="33931"/>
    <cellStyle name="检查单元格 6 13" xfId="33932"/>
    <cellStyle name="检查单元格 6 14" xfId="33933"/>
    <cellStyle name="检查单元格 6 2" xfId="33934"/>
    <cellStyle name="检查单元格 6 3" xfId="33935"/>
    <cellStyle name="检查单元格 6 4" xfId="33936"/>
    <cellStyle name="检查单元格 6 5" xfId="33937"/>
    <cellStyle name="检查单元格 6 6" xfId="33938"/>
    <cellStyle name="检查单元格 6 7" xfId="33939"/>
    <cellStyle name="检查单元格 6 8" xfId="33940"/>
    <cellStyle name="检查单元格 6 9" xfId="33941"/>
    <cellStyle name="检查单元格 7" xfId="22807"/>
    <cellStyle name="检查单元格 8" xfId="22816"/>
    <cellStyle name="检查单元格 9" xfId="22819"/>
    <cellStyle name="標題" xfId="33942"/>
    <cellStyle name="標題 1" xfId="172"/>
    <cellStyle name="標題 1 1" xfId="173"/>
    <cellStyle name="標題 1 1 2" xfId="174"/>
    <cellStyle name="標題 1 1 2 2" xfId="38417"/>
    <cellStyle name="標題 1 1 3" xfId="38418"/>
    <cellStyle name="標題 1 2" xfId="175"/>
    <cellStyle name="標題 1 2 2" xfId="176"/>
    <cellStyle name="標題 1 2 2 2" xfId="38416"/>
    <cellStyle name="標題 1 2 3" xfId="38409"/>
    <cellStyle name="標題 1 3" xfId="38419"/>
    <cellStyle name="標題 1_VN-E1618" xfId="177"/>
    <cellStyle name="標題 2" xfId="32979"/>
    <cellStyle name="標題 3" xfId="32981"/>
    <cellStyle name="標題 4" xfId="33943"/>
    <cellStyle name="標題 5" xfId="178"/>
    <cellStyle name="標題 5 2" xfId="179"/>
    <cellStyle name="標題 5 2 2" xfId="38413"/>
    <cellStyle name="標題 5 3" xfId="38414"/>
    <cellStyle name="標題 6" xfId="180"/>
    <cellStyle name="標題 6 2" xfId="181"/>
    <cellStyle name="標題 6 2 2" xfId="38411"/>
    <cellStyle name="標題 6 3" xfId="38412"/>
    <cellStyle name="標題_3-20 PAV packing list" xfId="2090"/>
    <cellStyle name="檢查儲存格" xfId="9190"/>
    <cellStyle name="汇总 10" xfId="33944"/>
    <cellStyle name="汇总 11" xfId="33945"/>
    <cellStyle name="汇总 12" xfId="33946"/>
    <cellStyle name="汇总 12 10" xfId="33947"/>
    <cellStyle name="汇总 12 11" xfId="33948"/>
    <cellStyle name="汇总 12 12" xfId="33949"/>
    <cellStyle name="汇总 12 13" xfId="33950"/>
    <cellStyle name="汇总 12 14" xfId="33951"/>
    <cellStyle name="汇总 12 2" xfId="33485"/>
    <cellStyle name="汇总 12 3" xfId="33487"/>
    <cellStyle name="汇总 12 4" xfId="33489"/>
    <cellStyle name="汇总 12 5" xfId="31200"/>
    <cellStyle name="汇总 12 5 10" xfId="33952"/>
    <cellStyle name="汇总 12 5 11" xfId="33953"/>
    <cellStyle name="汇总 12 5 2" xfId="24419"/>
    <cellStyle name="汇总 12 5 2 2" xfId="31205"/>
    <cellStyle name="汇总 12 5 2 2 2" xfId="33954"/>
    <cellStyle name="汇总 12 5 2 2 3" xfId="33955"/>
    <cellStyle name="汇总 12 5 2 3" xfId="31208"/>
    <cellStyle name="汇总 12 5 2 4" xfId="22089"/>
    <cellStyle name="汇总 12 5 2 5" xfId="22093"/>
    <cellStyle name="汇总 12 5 2 6" xfId="22096"/>
    <cellStyle name="汇总 12 5 2 7" xfId="22098"/>
    <cellStyle name="汇总 12 5 2 8" xfId="22147"/>
    <cellStyle name="汇总 12 5 3" xfId="30401"/>
    <cellStyle name="汇总 12 5 4" xfId="30404"/>
    <cellStyle name="汇总 12 5 5" xfId="30407"/>
    <cellStyle name="汇总 12 5 6" xfId="30410"/>
    <cellStyle name="汇总 12 5 6 2" xfId="30414"/>
    <cellStyle name="汇总 12 5 6 3" xfId="30420"/>
    <cellStyle name="汇总 12 5 7" xfId="30429"/>
    <cellStyle name="汇总 12 5 8" xfId="30442"/>
    <cellStyle name="汇总 12 5 9" xfId="30445"/>
    <cellStyle name="汇总 12 6" xfId="31210"/>
    <cellStyle name="汇总 12 6 2" xfId="2105"/>
    <cellStyle name="汇总 12 6 2 2" xfId="33956"/>
    <cellStyle name="汇总 12 6 2 3" xfId="33957"/>
    <cellStyle name="汇总 12 6 3" xfId="30449"/>
    <cellStyle name="汇总 12 6 4" xfId="30451"/>
    <cellStyle name="汇总 12 6 5" xfId="30453"/>
    <cellStyle name="汇总 12 6 6" xfId="30456"/>
    <cellStyle name="汇总 12 6 7" xfId="30480"/>
    <cellStyle name="汇总 12 6 8" xfId="30486"/>
    <cellStyle name="汇总 12 7" xfId="31213"/>
    <cellStyle name="汇总 12 8" xfId="31217"/>
    <cellStyle name="汇总 12 9" xfId="31221"/>
    <cellStyle name="汇总 12 9 2" xfId="22251"/>
    <cellStyle name="汇总 12 9 3" xfId="22254"/>
    <cellStyle name="汇总 13" xfId="33958"/>
    <cellStyle name="汇总 14" xfId="33959"/>
    <cellStyle name="汇总 15" xfId="33960"/>
    <cellStyle name="汇总 16" xfId="33961"/>
    <cellStyle name="汇总 16 10" xfId="33962"/>
    <cellStyle name="汇总 16 11" xfId="33963"/>
    <cellStyle name="汇总 16 12" xfId="33964"/>
    <cellStyle name="汇总 16 13" xfId="33965"/>
    <cellStyle name="汇总 16 14" xfId="33966"/>
    <cellStyle name="汇总 16 2" xfId="33967"/>
    <cellStyle name="汇总 16 3" xfId="33968"/>
    <cellStyle name="汇总 16 4" xfId="33969"/>
    <cellStyle name="汇总 16 5" xfId="31240"/>
    <cellStyle name="汇总 16 5 10" xfId="33970"/>
    <cellStyle name="汇总 16 5 11" xfId="25336"/>
    <cellStyle name="汇总 16 5 2" xfId="25837"/>
    <cellStyle name="汇总 16 5 2 2" xfId="31408"/>
    <cellStyle name="汇总 16 5 2 2 2" xfId="33971"/>
    <cellStyle name="汇总 16 5 2 2 3" xfId="33972"/>
    <cellStyle name="汇总 16 5 2 3" xfId="31410"/>
    <cellStyle name="汇总 16 5 2 4" xfId="31412"/>
    <cellStyle name="汇总 16 5 2 5" xfId="31414"/>
    <cellStyle name="汇总 16 5 2 6" xfId="33973"/>
    <cellStyle name="汇总 16 5 2 7" xfId="33974"/>
    <cellStyle name="汇总 16 5 2 8" xfId="33975"/>
    <cellStyle name="汇总 16 5 3" xfId="33976"/>
    <cellStyle name="汇总 16 5 4" xfId="33977"/>
    <cellStyle name="汇总 16 5 5" xfId="33978"/>
    <cellStyle name="汇总 16 5 6" xfId="16307"/>
    <cellStyle name="汇总 16 5 6 2" xfId="24759"/>
    <cellStyle name="汇总 16 5 6 3" xfId="24762"/>
    <cellStyle name="汇总 16 5 7" xfId="16309"/>
    <cellStyle name="汇总 16 5 8" xfId="33979"/>
    <cellStyle name="汇总 16 5 9" xfId="33980"/>
    <cellStyle name="汇总 16 6" xfId="31242"/>
    <cellStyle name="汇总 16 6 2" xfId="24956"/>
    <cellStyle name="汇总 16 6 2 2" xfId="15172"/>
    <cellStyle name="汇总 16 6 2 3" xfId="7400"/>
    <cellStyle name="汇总 16 6 3" xfId="33981"/>
    <cellStyle name="汇总 16 6 4" xfId="33982"/>
    <cellStyle name="汇总 16 6 5" xfId="33983"/>
    <cellStyle name="汇总 16 6 6" xfId="33985"/>
    <cellStyle name="汇总 16 6 7" xfId="33987"/>
    <cellStyle name="汇总 16 6 8" xfId="30965"/>
    <cellStyle name="汇总 16 7" xfId="33988"/>
    <cellStyle name="汇总 16 8" xfId="33989"/>
    <cellStyle name="汇总 16 9" xfId="33990"/>
    <cellStyle name="汇总 16 9 2" xfId="3085"/>
    <cellStyle name="汇总 16 9 3" xfId="3089"/>
    <cellStyle name="汇总 17" xfId="33182"/>
    <cellStyle name="汇总 17 10" xfId="33991"/>
    <cellStyle name="汇总 17 11" xfId="33992"/>
    <cellStyle name="汇总 17 12" xfId="33993"/>
    <cellStyle name="汇总 17 13" xfId="33994"/>
    <cellStyle name="汇总 17 14" xfId="33995"/>
    <cellStyle name="汇总 17 2" xfId="33186"/>
    <cellStyle name="汇总 17 3" xfId="33190"/>
    <cellStyle name="汇总 17 4" xfId="33997"/>
    <cellStyle name="汇总 17 5" xfId="33999"/>
    <cellStyle name="汇总 17 5 10" xfId="6750"/>
    <cellStyle name="汇总 17 5 11" xfId="6762"/>
    <cellStyle name="汇总 17 5 2" xfId="32537"/>
    <cellStyle name="汇总 17 5 2 2" xfId="31560"/>
    <cellStyle name="汇总 17 5 2 2 2" xfId="34001"/>
    <cellStyle name="汇总 17 5 2 2 3" xfId="34003"/>
    <cellStyle name="汇总 17 5 2 3" xfId="31562"/>
    <cellStyle name="汇总 17 5 2 4" xfId="22697"/>
    <cellStyle name="汇总 17 5 2 5" xfId="22700"/>
    <cellStyle name="汇总 17 5 2 6" xfId="22703"/>
    <cellStyle name="汇总 17 5 2 7" xfId="22705"/>
    <cellStyle name="汇总 17 5 2 8" xfId="22720"/>
    <cellStyle name="汇总 17 5 3" xfId="34005"/>
    <cellStyle name="汇总 17 5 4" xfId="34006"/>
    <cellStyle name="汇总 17 5 5" xfId="34007"/>
    <cellStyle name="汇总 17 5 6" xfId="34008"/>
    <cellStyle name="汇总 17 5 6 2" xfId="34009"/>
    <cellStyle name="汇总 17 5 6 3" xfId="34010"/>
    <cellStyle name="汇总 17 5 7" xfId="34011"/>
    <cellStyle name="汇总 17 5 8" xfId="34012"/>
    <cellStyle name="汇总 17 5 9" xfId="34013"/>
    <cellStyle name="汇总 17 6" xfId="34014"/>
    <cellStyle name="汇总 17 6 2" xfId="34015"/>
    <cellStyle name="汇总 17 6 2 2" xfId="10348"/>
    <cellStyle name="汇总 17 6 2 3" xfId="9819"/>
    <cellStyle name="汇总 17 6 3" xfId="34016"/>
    <cellStyle name="汇总 17 6 4" xfId="34017"/>
    <cellStyle name="汇总 17 6 5" xfId="34018"/>
    <cellStyle name="汇总 17 6 6" xfId="34020"/>
    <cellStyle name="汇总 17 6 7" xfId="34022"/>
    <cellStyle name="汇总 17 6 8" xfId="34023"/>
    <cellStyle name="汇总 17 7" xfId="34024"/>
    <cellStyle name="汇总 17 8" xfId="34025"/>
    <cellStyle name="汇总 17 9" xfId="34026"/>
    <cellStyle name="汇总 17 9 2" xfId="1038"/>
    <cellStyle name="汇总 17 9 3" xfId="1058"/>
    <cellStyle name="汇总 18" xfId="33193"/>
    <cellStyle name="汇总 18 10" xfId="11404"/>
    <cellStyle name="汇总 18 11" xfId="11410"/>
    <cellStyle name="汇总 18 12" xfId="1211"/>
    <cellStyle name="汇总 18 13" xfId="533"/>
    <cellStyle name="汇总 18 14" xfId="32976"/>
    <cellStyle name="汇总 18 2" xfId="34027"/>
    <cellStyle name="汇总 18 3" xfId="34028"/>
    <cellStyle name="汇总 18 4" xfId="34030"/>
    <cellStyle name="汇总 18 5" xfId="34032"/>
    <cellStyle name="汇总 18 5 10" xfId="1568"/>
    <cellStyle name="汇总 18 5 11" xfId="1583"/>
    <cellStyle name="汇总 18 5 2" xfId="20746"/>
    <cellStyle name="汇总 18 5 2 2" xfId="9405"/>
    <cellStyle name="汇总 18 5 2 2 2" xfId="21105"/>
    <cellStyle name="汇总 18 5 2 2 3" xfId="10263"/>
    <cellStyle name="汇总 18 5 2 3" xfId="214"/>
    <cellStyle name="汇总 18 5 2 4" xfId="9409"/>
    <cellStyle name="汇总 18 5 2 5" xfId="30502"/>
    <cellStyle name="汇总 18 5 2 6" xfId="25970"/>
    <cellStyle name="汇总 18 5 2 7" xfId="20188"/>
    <cellStyle name="汇总 18 5 2 8" xfId="20192"/>
    <cellStyle name="汇总 18 5 3" xfId="20751"/>
    <cellStyle name="汇总 18 5 4" xfId="34033"/>
    <cellStyle name="汇总 18 5 5" xfId="34034"/>
    <cellStyle name="汇总 18 5 6" xfId="34035"/>
    <cellStyle name="汇总 18 5 6 2" xfId="34037"/>
    <cellStyle name="汇总 18 5 6 3" xfId="34039"/>
    <cellStyle name="汇总 18 5 7" xfId="34040"/>
    <cellStyle name="汇总 18 5 8" xfId="34041"/>
    <cellStyle name="汇总 18 5 9" xfId="34042"/>
    <cellStyle name="汇总 18 6" xfId="34043"/>
    <cellStyle name="汇总 18 6 2" xfId="34044"/>
    <cellStyle name="汇总 18 6 2 2" xfId="4731"/>
    <cellStyle name="汇总 18 6 2 3" xfId="4740"/>
    <cellStyle name="汇总 18 6 3" xfId="34045"/>
    <cellStyle name="汇总 18 6 4" xfId="25736"/>
    <cellStyle name="汇总 18 6 5" xfId="34046"/>
    <cellStyle name="汇总 18 6 6" xfId="34047"/>
    <cellStyle name="汇总 18 6 7" xfId="34048"/>
    <cellStyle name="汇总 18 6 8" xfId="7685"/>
    <cellStyle name="汇总 18 7" xfId="34049"/>
    <cellStyle name="汇总 18 8" xfId="34050"/>
    <cellStyle name="汇总 18 9" xfId="34051"/>
    <cellStyle name="汇总 18 9 2" xfId="1485"/>
    <cellStyle name="汇总 18 9 3" xfId="228"/>
    <cellStyle name="汇总 19" xfId="33196"/>
    <cellStyle name="汇总 2" xfId="34052"/>
    <cellStyle name="汇总 2 10" xfId="2057"/>
    <cellStyle name="汇总 2 11" xfId="2127"/>
    <cellStyle name="汇总 2 12" xfId="33105"/>
    <cellStyle name="汇总 2 13" xfId="33107"/>
    <cellStyle name="汇总 2 14" xfId="33110"/>
    <cellStyle name="汇总 2 15" xfId="33113"/>
    <cellStyle name="汇总 2 16" xfId="34053"/>
    <cellStyle name="汇总 2 17" xfId="34054"/>
    <cellStyle name="汇总 2 17 10" xfId="24976"/>
    <cellStyle name="汇总 2 17 11" xfId="24978"/>
    <cellStyle name="汇总 2 17 12" xfId="24980"/>
    <cellStyle name="汇总 2 17 13" xfId="34055"/>
    <cellStyle name="汇总 2 17 14" xfId="34056"/>
    <cellStyle name="汇总 2 17 2" xfId="7861"/>
    <cellStyle name="汇总 2 17 3" xfId="10282"/>
    <cellStyle name="汇总 2 17 4" xfId="10290"/>
    <cellStyle name="汇总 2 17 5" xfId="10302"/>
    <cellStyle name="汇总 2 17 5 10" xfId="8410"/>
    <cellStyle name="汇总 2 17 5 11" xfId="16251"/>
    <cellStyle name="汇总 2 17 5 2" xfId="7459"/>
    <cellStyle name="汇总 2 17 5 2 2" xfId="34057"/>
    <cellStyle name="汇总 2 17 5 2 2 2" xfId="33090"/>
    <cellStyle name="汇总 2 17 5 2 2 3" xfId="33092"/>
    <cellStyle name="汇总 2 17 5 2 3" xfId="34058"/>
    <cellStyle name="汇总 2 17 5 2 4" xfId="34059"/>
    <cellStyle name="汇总 2 17 5 2 5" xfId="34060"/>
    <cellStyle name="汇总 2 17 5 2 6" xfId="34061"/>
    <cellStyle name="汇总 2 17 5 2 7" xfId="34062"/>
    <cellStyle name="汇总 2 17 5 2 8" xfId="34063"/>
    <cellStyle name="汇总 2 17 5 3" xfId="7013"/>
    <cellStyle name="汇总 2 17 5 4" xfId="34064"/>
    <cellStyle name="汇总 2 17 5 5" xfId="34065"/>
    <cellStyle name="汇总 2 17 5 6" xfId="7034"/>
    <cellStyle name="汇总 2 17 5 6 2" xfId="7468"/>
    <cellStyle name="汇总 2 17 5 6 3" xfId="7475"/>
    <cellStyle name="汇总 2 17 5 7" xfId="7047"/>
    <cellStyle name="汇总 2 17 5 8" xfId="34066"/>
    <cellStyle name="汇总 2 17 5 9" xfId="34067"/>
    <cellStyle name="汇总 2 17 6" xfId="10308"/>
    <cellStyle name="汇总 2 17 6 2" xfId="34068"/>
    <cellStyle name="汇总 2 17 6 2 2" xfId="34069"/>
    <cellStyle name="汇总 2 17 6 2 3" xfId="34070"/>
    <cellStyle name="汇总 2 17 6 3" xfId="15672"/>
    <cellStyle name="汇总 2 17 6 4" xfId="15674"/>
    <cellStyle name="汇总 2 17 6 5" xfId="15676"/>
    <cellStyle name="汇总 2 17 6 6" xfId="15678"/>
    <cellStyle name="汇总 2 17 6 7" xfId="15680"/>
    <cellStyle name="汇总 2 17 6 8" xfId="34071"/>
    <cellStyle name="汇总 2 17 7" xfId="10315"/>
    <cellStyle name="汇总 2 17 8" xfId="10602"/>
    <cellStyle name="汇总 2 17 9" xfId="30395"/>
    <cellStyle name="汇总 2 17 9 2" xfId="27376"/>
    <cellStyle name="汇总 2 17 9 3" xfId="16223"/>
    <cellStyle name="汇总 2 18" xfId="34072"/>
    <cellStyle name="汇总 2 18 10" xfId="28009"/>
    <cellStyle name="汇总 2 18 11" xfId="28011"/>
    <cellStyle name="汇总 2 18 12" xfId="28013"/>
    <cellStyle name="汇总 2 18 13" xfId="28015"/>
    <cellStyle name="汇总 2 18 14" xfId="28017"/>
    <cellStyle name="汇总 2 18 2" xfId="10620"/>
    <cellStyle name="汇总 2 18 3" xfId="10625"/>
    <cellStyle name="汇总 2 18 4" xfId="10629"/>
    <cellStyle name="汇总 2 18 5" xfId="10633"/>
    <cellStyle name="汇总 2 18 5 10" xfId="34073"/>
    <cellStyle name="汇总 2 18 5 11" xfId="34074"/>
    <cellStyle name="汇总 2 18 5 2" xfId="34075"/>
    <cellStyle name="汇总 2 18 5 2 2" xfId="32321"/>
    <cellStyle name="汇总 2 18 5 2 2 2" xfId="7048"/>
    <cellStyle name="汇总 2 18 5 2 2 3" xfId="7058"/>
    <cellStyle name="汇总 2 18 5 2 3" xfId="34076"/>
    <cellStyle name="汇总 2 18 5 2 4" xfId="34078"/>
    <cellStyle name="汇总 2 18 5 2 5" xfId="34080"/>
    <cellStyle name="汇总 2 18 5 2 6" xfId="34081"/>
    <cellStyle name="汇总 2 18 5 2 7" xfId="24721"/>
    <cellStyle name="汇总 2 18 5 2 8" xfId="24723"/>
    <cellStyle name="汇总 2 18 5 3" xfId="34082"/>
    <cellStyle name="汇总 2 18 5 4" xfId="34083"/>
    <cellStyle name="汇总 2 18 5 5" xfId="34084"/>
    <cellStyle name="汇总 2 18 5 6" xfId="34085"/>
    <cellStyle name="汇总 2 18 5 6 2" xfId="34087"/>
    <cellStyle name="汇总 2 18 5 6 3" xfId="34089"/>
    <cellStyle name="汇总 2 18 5 7" xfId="34090"/>
    <cellStyle name="汇总 2 18 5 8" xfId="34091"/>
    <cellStyle name="汇总 2 18 5 9" xfId="34092"/>
    <cellStyle name="汇总 2 18 6" xfId="10637"/>
    <cellStyle name="汇总 2 18 6 2" xfId="15990"/>
    <cellStyle name="汇总 2 18 6 2 2" xfId="34093"/>
    <cellStyle name="汇总 2 18 6 2 3" xfId="34094"/>
    <cellStyle name="汇总 2 18 6 3" xfId="1321"/>
    <cellStyle name="汇总 2 18 6 4" xfId="1332"/>
    <cellStyle name="汇总 2 18 6 5" xfId="1344"/>
    <cellStyle name="汇总 2 18 6 6" xfId="260"/>
    <cellStyle name="汇总 2 18 6 7" xfId="1363"/>
    <cellStyle name="汇总 2 18 6 8" xfId="13957"/>
    <cellStyle name="汇总 2 18 7" xfId="10640"/>
    <cellStyle name="汇总 2 18 8" xfId="26516"/>
    <cellStyle name="汇总 2 18 9" xfId="26520"/>
    <cellStyle name="汇总 2 18 9 2" xfId="34096"/>
    <cellStyle name="汇总 2 18 9 3" xfId="33829"/>
    <cellStyle name="汇总 2 19" xfId="34097"/>
    <cellStyle name="汇总 2 19 10" xfId="2969"/>
    <cellStyle name="汇总 2 19 11" xfId="34098"/>
    <cellStyle name="汇总 2 19 12" xfId="16735"/>
    <cellStyle name="汇总 2 19 13" xfId="16737"/>
    <cellStyle name="汇总 2 19 14" xfId="34099"/>
    <cellStyle name="汇总 2 19 2" xfId="7348"/>
    <cellStyle name="汇总 2 19 3" xfId="7355"/>
    <cellStyle name="汇总 2 19 4" xfId="19457"/>
    <cellStyle name="汇总 2 19 5" xfId="26527"/>
    <cellStyle name="汇总 2 19 5 10" xfId="34100"/>
    <cellStyle name="汇总 2 19 5 11" xfId="34101"/>
    <cellStyle name="汇总 2 19 5 2" xfId="34102"/>
    <cellStyle name="汇总 2 19 5 2 2" xfId="34103"/>
    <cellStyle name="汇总 2 19 5 2 2 2" xfId="4587"/>
    <cellStyle name="汇总 2 19 5 2 2 3" xfId="21217"/>
    <cellStyle name="汇总 2 19 5 2 3" xfId="31596"/>
    <cellStyle name="汇总 2 19 5 2 4" xfId="31598"/>
    <cellStyle name="汇总 2 19 5 2 5" xfId="34104"/>
    <cellStyle name="汇总 2 19 5 2 6" xfId="34105"/>
    <cellStyle name="汇总 2 19 5 2 7" xfId="34106"/>
    <cellStyle name="汇总 2 19 5 2 8" xfId="34107"/>
    <cellStyle name="汇总 2 19 5 3" xfId="34108"/>
    <cellStyle name="汇总 2 19 5 4" xfId="34109"/>
    <cellStyle name="汇总 2 19 5 5" xfId="30245"/>
    <cellStyle name="汇总 2 19 5 6" xfId="30247"/>
    <cellStyle name="汇总 2 19 5 6 2" xfId="9169"/>
    <cellStyle name="汇总 2 19 5 6 3" xfId="5243"/>
    <cellStyle name="汇总 2 19 5 7" xfId="30249"/>
    <cellStyle name="汇总 2 19 5 8" xfId="30251"/>
    <cellStyle name="汇总 2 19 5 9" xfId="30253"/>
    <cellStyle name="汇总 2 19 6" xfId="26529"/>
    <cellStyle name="汇总 2 19 6 2" xfId="11814"/>
    <cellStyle name="汇总 2 19 6 2 2" xfId="8611"/>
    <cellStyle name="汇总 2 19 6 2 3" xfId="11852"/>
    <cellStyle name="汇总 2 19 6 3" xfId="11869"/>
    <cellStyle name="汇总 2 19 6 4" xfId="11461"/>
    <cellStyle name="汇总 2 19 6 5" xfId="11471"/>
    <cellStyle name="汇总 2 19 6 6" xfId="11881"/>
    <cellStyle name="汇总 2 19 6 7" xfId="24928"/>
    <cellStyle name="汇总 2 19 6 8" xfId="24932"/>
    <cellStyle name="汇总 2 19 7" xfId="26002"/>
    <cellStyle name="汇总 2 19 8" xfId="26531"/>
    <cellStyle name="汇总 2 19 9" xfId="26533"/>
    <cellStyle name="汇总 2 19 9 2" xfId="34110"/>
    <cellStyle name="汇总 2 19 9 3" xfId="34111"/>
    <cellStyle name="汇总 2 2" xfId="34112"/>
    <cellStyle name="汇总 2 2 10" xfId="30137"/>
    <cellStyle name="汇总 2 2 11" xfId="25684"/>
    <cellStyle name="汇总 2 2 12" xfId="34113"/>
    <cellStyle name="汇总 2 2 13" xfId="34114"/>
    <cellStyle name="汇总 2 2 14" xfId="34115"/>
    <cellStyle name="汇总 2 2 2" xfId="34116"/>
    <cellStyle name="汇总 2 2 3" xfId="34117"/>
    <cellStyle name="汇总 2 2 4" xfId="34118"/>
    <cellStyle name="汇总 2 2 5" xfId="34119"/>
    <cellStyle name="汇总 2 2 6" xfId="34120"/>
    <cellStyle name="汇总 2 2 7" xfId="34121"/>
    <cellStyle name="汇总 2 2 8" xfId="34122"/>
    <cellStyle name="汇总 2 2 9" xfId="17649"/>
    <cellStyle name="汇总 2 20" xfId="33114"/>
    <cellStyle name="汇总 2 20 10" xfId="14558"/>
    <cellStyle name="汇总 2 20 11" xfId="14570"/>
    <cellStyle name="汇总 2 20 12" xfId="14572"/>
    <cellStyle name="汇总 2 20 13" xfId="14574"/>
    <cellStyle name="汇总 2 20 14" xfId="34123"/>
    <cellStyle name="汇总 2 20 2" xfId="9325"/>
    <cellStyle name="汇总 2 20 3" xfId="34124"/>
    <cellStyle name="汇总 2 20 4" xfId="34125"/>
    <cellStyle name="汇总 2 20 5" xfId="32730"/>
    <cellStyle name="汇总 2 20 5 10" xfId="11335"/>
    <cellStyle name="汇总 2 20 5 11" xfId="11341"/>
    <cellStyle name="汇总 2 20 5 2" xfId="34126"/>
    <cellStyle name="汇总 2 20 5 2 2" xfId="10464"/>
    <cellStyle name="汇总 2 20 5 2 2 2" xfId="5822"/>
    <cellStyle name="汇总 2 20 5 2 2 3" xfId="5829"/>
    <cellStyle name="汇总 2 20 5 2 3" xfId="10468"/>
    <cellStyle name="汇总 2 20 5 2 4" xfId="10472"/>
    <cellStyle name="汇总 2 20 5 2 5" xfId="23659"/>
    <cellStyle name="汇总 2 20 5 2 6" xfId="23662"/>
    <cellStyle name="汇总 2 20 5 2 7" xfId="23666"/>
    <cellStyle name="汇总 2 20 5 2 8" xfId="23669"/>
    <cellStyle name="汇总 2 20 5 3" xfId="34127"/>
    <cellStyle name="汇总 2 20 5 4" xfId="25580"/>
    <cellStyle name="汇总 2 20 5 5" xfId="34128"/>
    <cellStyle name="汇总 2 20 5 6" xfId="34129"/>
    <cellStyle name="汇总 2 20 5 6 2" xfId="34130"/>
    <cellStyle name="汇总 2 20 5 6 3" xfId="34131"/>
    <cellStyle name="汇总 2 20 5 7" xfId="16156"/>
    <cellStyle name="汇总 2 20 5 8" xfId="14195"/>
    <cellStyle name="汇总 2 20 5 9" xfId="14210"/>
    <cellStyle name="汇总 2 20 6" xfId="32733"/>
    <cellStyle name="汇总 2 20 6 2" xfId="15977"/>
    <cellStyle name="汇总 2 20 6 2 2" xfId="34133"/>
    <cellStyle name="汇总 2 20 6 2 3" xfId="32006"/>
    <cellStyle name="汇总 2 20 6 3" xfId="34134"/>
    <cellStyle name="汇总 2 20 6 4" xfId="34132"/>
    <cellStyle name="汇总 2 20 6 5" xfId="32004"/>
    <cellStyle name="汇总 2 20 6 6" xfId="23685"/>
    <cellStyle name="汇总 2 20 6 7" xfId="23693"/>
    <cellStyle name="汇总 2 20 6 8" xfId="23696"/>
    <cellStyle name="汇总 2 20 7" xfId="34135"/>
    <cellStyle name="汇总 2 20 8" xfId="32673"/>
    <cellStyle name="汇总 2 20 9" xfId="25964"/>
    <cellStyle name="汇总 2 20 9 2" xfId="13558"/>
    <cellStyle name="汇总 2 20 9 3" xfId="13560"/>
    <cellStyle name="汇总 2 3" xfId="34136"/>
    <cellStyle name="汇总 2 3 10" xfId="34137"/>
    <cellStyle name="汇总 2 3 11" xfId="34138"/>
    <cellStyle name="汇总 2 3 12" xfId="34139"/>
    <cellStyle name="汇总 2 3 13" xfId="33601"/>
    <cellStyle name="汇总 2 3 14" xfId="32057"/>
    <cellStyle name="汇总 2 3 2" xfId="32281"/>
    <cellStyle name="汇总 2 3 3" xfId="32283"/>
    <cellStyle name="汇总 2 3 4" xfId="34140"/>
    <cellStyle name="汇总 2 3 5" xfId="34141"/>
    <cellStyle name="汇总 2 3 6" xfId="34142"/>
    <cellStyle name="汇总 2 3 7" xfId="34143"/>
    <cellStyle name="汇总 2 3 8" xfId="34144"/>
    <cellStyle name="汇总 2 3 9" xfId="1242"/>
    <cellStyle name="汇总 2 4" xfId="18078"/>
    <cellStyle name="汇总 2 4 10" xfId="34145"/>
    <cellStyle name="汇总 2 4 11" xfId="34146"/>
    <cellStyle name="汇总 2 4 12" xfId="34147"/>
    <cellStyle name="汇总 2 4 13" xfId="34148"/>
    <cellStyle name="汇总 2 4 14" xfId="34149"/>
    <cellStyle name="汇总 2 4 2" xfId="34150"/>
    <cellStyle name="汇总 2 4 3" xfId="33290"/>
    <cellStyle name="汇总 2 4 4" xfId="33292"/>
    <cellStyle name="汇总 2 4 5" xfId="34151"/>
    <cellStyle name="汇总 2 4 6" xfId="9499"/>
    <cellStyle name="汇总 2 4 7" xfId="9501"/>
    <cellStyle name="汇总 2 4 8" xfId="9503"/>
    <cellStyle name="汇总 2 4 9" xfId="9224"/>
    <cellStyle name="汇总 2 5" xfId="18082"/>
    <cellStyle name="汇总 2 6" xfId="18086"/>
    <cellStyle name="汇总 2 7" xfId="18089"/>
    <cellStyle name="汇总 2 8" xfId="18092"/>
    <cellStyle name="汇总 2 9" xfId="34152"/>
    <cellStyle name="汇总 3" xfId="34153"/>
    <cellStyle name="汇总 3 10" xfId="17968"/>
    <cellStyle name="汇总 3 11" xfId="17981"/>
    <cellStyle name="汇总 3 12" xfId="17983"/>
    <cellStyle name="汇总 3 13" xfId="17985"/>
    <cellStyle name="汇总 3 14" xfId="34154"/>
    <cellStyle name="汇总 3 15" xfId="34155"/>
    <cellStyle name="汇总 3 16" xfId="34157"/>
    <cellStyle name="汇总 3 17" xfId="33050"/>
    <cellStyle name="汇总 3 17 10" xfId="30592"/>
    <cellStyle name="汇总 3 17 11" xfId="15916"/>
    <cellStyle name="汇总 3 17 12" xfId="15919"/>
    <cellStyle name="汇总 3 17 13" xfId="34158"/>
    <cellStyle name="汇总 3 17 14" xfId="34159"/>
    <cellStyle name="汇总 3 17 2" xfId="25334"/>
    <cellStyle name="汇总 3 17 2 2" xfId="25342"/>
    <cellStyle name="汇总 3 17 3" xfId="34160"/>
    <cellStyle name="汇总 3 17 4" xfId="28083"/>
    <cellStyle name="汇总 3 17 5" xfId="13364"/>
    <cellStyle name="汇总 3 17 5 10" xfId="27805"/>
    <cellStyle name="汇总 3 17 5 11" xfId="27808"/>
    <cellStyle name="汇总 3 17 5 2" xfId="34161"/>
    <cellStyle name="汇总 3 17 5 2 2" xfId="32912"/>
    <cellStyle name="汇总 3 17 5 2 2 2" xfId="34162"/>
    <cellStyle name="汇总 3 17 5 2 2 3" xfId="34163"/>
    <cellStyle name="汇总 3 17 5 2 3" xfId="6670"/>
    <cellStyle name="汇总 3 17 5 2 4" xfId="6676"/>
    <cellStyle name="汇总 3 17 5 2 5" xfId="6682"/>
    <cellStyle name="汇总 3 17 5 2 6" xfId="6688"/>
    <cellStyle name="汇总 3 17 5 2 7" xfId="11108"/>
    <cellStyle name="汇总 3 17 5 2 8" xfId="11111"/>
    <cellStyle name="汇总 3 17 5 3" xfId="34164"/>
    <cellStyle name="汇总 3 17 5 4" xfId="34165"/>
    <cellStyle name="汇总 3 17 5 5" xfId="34166"/>
    <cellStyle name="汇总 3 17 5 6" xfId="34167"/>
    <cellStyle name="汇总 3 17 5 6 2" xfId="7962"/>
    <cellStyle name="汇总 3 17 5 6 3" xfId="7969"/>
    <cellStyle name="汇总 3 17 5 7" xfId="34168"/>
    <cellStyle name="汇总 3 17 5 8" xfId="34169"/>
    <cellStyle name="汇总 3 17 5 9" xfId="34170"/>
    <cellStyle name="汇总 3 17 6" xfId="13450"/>
    <cellStyle name="汇总 3 17 6 2" xfId="34172"/>
    <cellStyle name="汇总 3 17 6 2 2" xfId="34173"/>
    <cellStyle name="汇总 3 17 6 2 3" xfId="34174"/>
    <cellStyle name="汇总 3 17 6 3" xfId="34176"/>
    <cellStyle name="汇总 3 17 6 4" xfId="24651"/>
    <cellStyle name="汇总 3 17 6 5" xfId="34178"/>
    <cellStyle name="汇总 3 17 6 6" xfId="34179"/>
    <cellStyle name="汇总 3 17 6 7" xfId="34180"/>
    <cellStyle name="汇总 3 17 6 8" xfId="34181"/>
    <cellStyle name="汇总 3 17 7" xfId="13502"/>
    <cellStyle name="汇总 3 17 8" xfId="13537"/>
    <cellStyle name="汇总 3 17 9" xfId="14319"/>
    <cellStyle name="汇总 3 17 9 2" xfId="34182"/>
    <cellStyle name="汇总 3 17 9 3" xfId="34183"/>
    <cellStyle name="汇总 3 18" xfId="33052"/>
    <cellStyle name="汇总 3 18 10" xfId="20789"/>
    <cellStyle name="汇总 3 18 11" xfId="20791"/>
    <cellStyle name="汇总 3 18 12" xfId="34184"/>
    <cellStyle name="汇总 3 18 13" xfId="34185"/>
    <cellStyle name="汇总 3 18 14" xfId="34186"/>
    <cellStyle name="汇总 3 18 2" xfId="19539"/>
    <cellStyle name="汇总 3 18 3" xfId="19544"/>
    <cellStyle name="汇总 3 18 4" xfId="19546"/>
    <cellStyle name="汇总 3 18 5" xfId="11854"/>
    <cellStyle name="汇总 3 18 5 10" xfId="34187"/>
    <cellStyle name="汇总 3 18 5 11" xfId="34188"/>
    <cellStyle name="汇总 3 18 5 2" xfId="34189"/>
    <cellStyle name="汇总 3 18 5 2 2" xfId="34190"/>
    <cellStyle name="汇总 3 18 5 2 2 2" xfId="34192"/>
    <cellStyle name="汇总 3 18 5 2 2 3" xfId="34194"/>
    <cellStyle name="汇总 3 18 5 2 3" xfId="34195"/>
    <cellStyle name="汇总 3 18 5 2 4" xfId="34196"/>
    <cellStyle name="汇总 3 18 5 2 5" xfId="34197"/>
    <cellStyle name="汇总 3 18 5 2 6" xfId="34198"/>
    <cellStyle name="汇总 3 18 5 2 7" xfId="27467"/>
    <cellStyle name="汇总 3 18 5 2 8" xfId="27469"/>
    <cellStyle name="汇总 3 18 5 3" xfId="9716"/>
    <cellStyle name="汇总 3 18 5 4" xfId="9722"/>
    <cellStyle name="汇总 3 18 5 5" xfId="34200"/>
    <cellStyle name="汇总 3 18 5 6" xfId="34201"/>
    <cellStyle name="汇总 3 18 5 6 2" xfId="34203"/>
    <cellStyle name="汇总 3 18 5 6 3" xfId="34205"/>
    <cellStyle name="汇总 3 18 5 7" xfId="34206"/>
    <cellStyle name="汇总 3 18 5 8" xfId="34207"/>
    <cellStyle name="汇总 3 18 5 9" xfId="34208"/>
    <cellStyle name="汇总 3 18 6" xfId="14424"/>
    <cellStyle name="汇总 3 18 6 2" xfId="16233"/>
    <cellStyle name="汇总 3 18 6 2 2" xfId="16334"/>
    <cellStyle name="汇总 3 18 6 2 3" xfId="13788"/>
    <cellStyle name="汇总 3 18 6 3" xfId="13370"/>
    <cellStyle name="汇总 3 18 6 4" xfId="13377"/>
    <cellStyle name="汇总 3 18 6 5" xfId="13383"/>
    <cellStyle name="汇总 3 18 6 6" xfId="13390"/>
    <cellStyle name="汇总 3 18 6 7" xfId="13394"/>
    <cellStyle name="汇总 3 18 6 8" xfId="14388"/>
    <cellStyle name="汇总 3 18 7" xfId="14427"/>
    <cellStyle name="汇总 3 18 8" xfId="14430"/>
    <cellStyle name="汇总 3 18 9" xfId="14433"/>
    <cellStyle name="汇总 3 18 9 2" xfId="34209"/>
    <cellStyle name="汇总 3 18 9 3" xfId="34210"/>
    <cellStyle name="汇总 3 19" xfId="33054"/>
    <cellStyle name="汇总 3 19 10" xfId="31149"/>
    <cellStyle name="汇总 3 19 11" xfId="31156"/>
    <cellStyle name="汇总 3 19 12" xfId="31159"/>
    <cellStyle name="汇总 3 19 13" xfId="31161"/>
    <cellStyle name="汇总 3 19 14" xfId="31163"/>
    <cellStyle name="汇总 3 19 2" xfId="8293"/>
    <cellStyle name="汇总 3 19 3" xfId="8300"/>
    <cellStyle name="汇总 3 19 4" xfId="19549"/>
    <cellStyle name="汇总 3 19 5" xfId="11597"/>
    <cellStyle name="汇总 3 19 5 10" xfId="34212"/>
    <cellStyle name="汇总 3 19 5 11" xfId="26106"/>
    <cellStyle name="汇总 3 19 5 2" xfId="4126"/>
    <cellStyle name="汇总 3 19 5 2 2" xfId="28574"/>
    <cellStyle name="汇总 3 19 5 2 2 2" xfId="4545"/>
    <cellStyle name="汇总 3 19 5 2 2 3" xfId="17589"/>
    <cellStyle name="汇总 3 19 5 2 3" xfId="28577"/>
    <cellStyle name="汇总 3 19 5 2 4" xfId="32852"/>
    <cellStyle name="汇总 3 19 5 2 5" xfId="32854"/>
    <cellStyle name="汇总 3 19 5 2 6" xfId="32856"/>
    <cellStyle name="汇总 3 19 5 2 7" xfId="34213"/>
    <cellStyle name="汇总 3 19 5 2 8" xfId="34214"/>
    <cellStyle name="汇总 3 19 5 3" xfId="4134"/>
    <cellStyle name="汇总 3 19 5 4" xfId="34215"/>
    <cellStyle name="汇总 3 19 5 5" xfId="34216"/>
    <cellStyle name="汇总 3 19 5 6" xfId="34217"/>
    <cellStyle name="汇总 3 19 5 6 2" xfId="28514"/>
    <cellStyle name="汇总 3 19 5 6 3" xfId="28516"/>
    <cellStyle name="汇总 3 19 5 7" xfId="34218"/>
    <cellStyle name="汇总 3 19 5 8" xfId="34219"/>
    <cellStyle name="汇总 3 19 5 9" xfId="34220"/>
    <cellStyle name="汇总 3 19 6" xfId="6300"/>
    <cellStyle name="汇总 3 19 6 2" xfId="15085"/>
    <cellStyle name="汇总 3 19 6 2 2" xfId="34221"/>
    <cellStyle name="汇总 3 19 6 2 3" xfId="30677"/>
    <cellStyle name="汇总 3 19 6 3" xfId="15089"/>
    <cellStyle name="汇总 3 19 6 4" xfId="34222"/>
    <cellStyle name="汇总 3 19 6 5" xfId="34223"/>
    <cellStyle name="汇总 3 19 6 6" xfId="34224"/>
    <cellStyle name="汇总 3 19 6 7" xfId="34225"/>
    <cellStyle name="汇总 3 19 6 8" xfId="34226"/>
    <cellStyle name="汇总 3 19 7" xfId="6305"/>
    <cellStyle name="汇总 3 19 8" xfId="6698"/>
    <cellStyle name="汇总 3 19 9" xfId="6706"/>
    <cellStyle name="汇总 3 19 9 2" xfId="34227"/>
    <cellStyle name="汇总 3 19 9 3" xfId="34228"/>
    <cellStyle name="汇总 3 2" xfId="32999"/>
    <cellStyle name="汇总 3 2 10" xfId="30330"/>
    <cellStyle name="汇总 3 2 11" xfId="25686"/>
    <cellStyle name="汇总 3 2 12" xfId="34229"/>
    <cellStyle name="汇总 3 2 13" xfId="34230"/>
    <cellStyle name="汇总 3 2 14" xfId="34231"/>
    <cellStyle name="汇总 3 2 2" xfId="11192"/>
    <cellStyle name="汇总 3 2 3" xfId="1027"/>
    <cellStyle name="汇总 3 2 4" xfId="1032"/>
    <cellStyle name="汇总 3 2 5" xfId="34232"/>
    <cellStyle name="汇总 3 2 6" xfId="34233"/>
    <cellStyle name="汇总 3 2 7" xfId="30192"/>
    <cellStyle name="汇总 3 2 8" xfId="30194"/>
    <cellStyle name="汇总 3 2 9" xfId="34234"/>
    <cellStyle name="汇总 3 20" xfId="34156"/>
    <cellStyle name="汇总 3 20 10" xfId="34235"/>
    <cellStyle name="汇总 3 20 11" xfId="34236"/>
    <cellStyle name="汇总 3 20 12" xfId="34237"/>
    <cellStyle name="汇总 3 20 13" xfId="21662"/>
    <cellStyle name="汇总 3 20 14" xfId="21671"/>
    <cellStyle name="汇总 3 20 2" xfId="3175"/>
    <cellStyle name="汇总 3 20 3" xfId="3179"/>
    <cellStyle name="汇总 3 20 4" xfId="503"/>
    <cellStyle name="汇总 3 20 5" xfId="10757"/>
    <cellStyle name="汇总 3 20 5 10" xfId="33217"/>
    <cellStyle name="汇总 3 20 5 11" xfId="33226"/>
    <cellStyle name="汇总 3 20 5 2" xfId="34239"/>
    <cellStyle name="汇总 3 20 5 2 2" xfId="34241"/>
    <cellStyle name="汇总 3 20 5 2 2 2" xfId="34242"/>
    <cellStyle name="汇总 3 20 5 2 2 3" xfId="34243"/>
    <cellStyle name="汇总 3 20 5 2 3" xfId="34245"/>
    <cellStyle name="汇总 3 20 5 2 4" xfId="24196"/>
    <cellStyle name="汇总 3 20 5 2 5" xfId="24205"/>
    <cellStyle name="汇总 3 20 5 2 6" xfId="24208"/>
    <cellStyle name="汇总 3 20 5 2 7" xfId="24211"/>
    <cellStyle name="汇总 3 20 5 2 8" xfId="24214"/>
    <cellStyle name="汇总 3 20 5 3" xfId="34246"/>
    <cellStyle name="汇总 3 20 5 4" xfId="15853"/>
    <cellStyle name="汇总 3 20 5 5" xfId="15862"/>
    <cellStyle name="汇总 3 20 5 6" xfId="13811"/>
    <cellStyle name="汇总 3 20 5 6 2" xfId="34248"/>
    <cellStyle name="汇总 3 20 5 6 3" xfId="34250"/>
    <cellStyle name="汇总 3 20 5 7" xfId="13823"/>
    <cellStyle name="汇总 3 20 5 8" xfId="13828"/>
    <cellStyle name="汇总 3 20 5 9" xfId="13835"/>
    <cellStyle name="汇总 3 20 6" xfId="10760"/>
    <cellStyle name="汇总 3 20 6 2" xfId="34251"/>
    <cellStyle name="汇总 3 20 6 2 2" xfId="17717"/>
    <cellStyle name="汇总 3 20 6 2 3" xfId="17720"/>
    <cellStyle name="汇总 3 20 6 3" xfId="34252"/>
    <cellStyle name="汇总 3 20 6 4" xfId="34253"/>
    <cellStyle name="汇总 3 20 6 5" xfId="27628"/>
    <cellStyle name="汇总 3 20 6 6" xfId="13873"/>
    <cellStyle name="汇总 3 20 6 7" xfId="13884"/>
    <cellStyle name="汇总 3 20 6 8" xfId="13891"/>
    <cellStyle name="汇总 3 20 7" xfId="10763"/>
    <cellStyle name="汇总 3 20 8" xfId="34254"/>
    <cellStyle name="汇总 3 20 9" xfId="25967"/>
    <cellStyle name="汇总 3 20 9 2" xfId="34255"/>
    <cellStyle name="汇总 3 20 9 3" xfId="34256"/>
    <cellStyle name="汇总 3 3" xfId="33001"/>
    <cellStyle name="汇总 3 3 10" xfId="34257"/>
    <cellStyle name="汇总 3 3 11" xfId="34258"/>
    <cellStyle name="汇总 3 3 12" xfId="34259"/>
    <cellStyle name="汇总 3 3 13" xfId="34260"/>
    <cellStyle name="汇总 3 3 14" xfId="34261"/>
    <cellStyle name="汇总 3 3 2" xfId="34262"/>
    <cellStyle name="汇总 3 3 3" xfId="34263"/>
    <cellStyle name="汇总 3 3 4" xfId="28325"/>
    <cellStyle name="汇总 3 3 5" xfId="17947"/>
    <cellStyle name="汇总 3 3 6" xfId="17949"/>
    <cellStyle name="汇总 3 3 7" xfId="17951"/>
    <cellStyle name="汇总 3 3 8" xfId="17954"/>
    <cellStyle name="汇总 3 3 9" xfId="3301"/>
    <cellStyle name="汇总 3 4" xfId="33003"/>
    <cellStyle name="汇总 3 4 10" xfId="32688"/>
    <cellStyle name="汇总 3 4 11" xfId="32690"/>
    <cellStyle name="汇总 3 4 12" xfId="32692"/>
    <cellStyle name="汇总 3 4 13" xfId="32694"/>
    <cellStyle name="汇总 3 4 14" xfId="32696"/>
    <cellStyle name="汇总 3 4 2" xfId="34264"/>
    <cellStyle name="汇总 3 4 3" xfId="33315"/>
    <cellStyle name="汇总 3 4 4" xfId="33318"/>
    <cellStyle name="汇总 3 4 5" xfId="25872"/>
    <cellStyle name="汇总 3 4 6" xfId="9568"/>
    <cellStyle name="汇总 3 4 7" xfId="9572"/>
    <cellStyle name="汇总 3 4 8" xfId="34265"/>
    <cellStyle name="汇总 3 4 9" xfId="34266"/>
    <cellStyle name="汇总 3 5" xfId="31203"/>
    <cellStyle name="汇总 3 6" xfId="31206"/>
    <cellStyle name="汇总 3 7" xfId="22087"/>
    <cellStyle name="汇总 3 8" xfId="22091"/>
    <cellStyle name="汇总 3 9" xfId="22094"/>
    <cellStyle name="汇总 4" xfId="34267"/>
    <cellStyle name="汇总 4 10" xfId="31223"/>
    <cellStyle name="汇总 4 11" xfId="31225"/>
    <cellStyle name="汇总 4 12" xfId="31227"/>
    <cellStyle name="汇总 4 13" xfId="26974"/>
    <cellStyle name="汇总 4 14" xfId="26976"/>
    <cellStyle name="汇总 4 15" xfId="34268"/>
    <cellStyle name="汇总 4 16" xfId="34270"/>
    <cellStyle name="汇总 4 17" xfId="34271"/>
    <cellStyle name="汇总 4 17 10" xfId="34272"/>
    <cellStyle name="汇总 4 17 11" xfId="34273"/>
    <cellStyle name="汇总 4 17 12" xfId="29554"/>
    <cellStyle name="汇总 4 17 13" xfId="29556"/>
    <cellStyle name="汇总 4 17 14" xfId="34274"/>
    <cellStyle name="汇总 4 17 2" xfId="6113"/>
    <cellStyle name="汇总 4 17 3" xfId="6839"/>
    <cellStyle name="汇总 4 17 4" xfId="6844"/>
    <cellStyle name="汇总 4 17 5" xfId="17358"/>
    <cellStyle name="汇总 4 17 5 10" xfId="32724"/>
    <cellStyle name="汇总 4 17 5 11" xfId="32727"/>
    <cellStyle name="汇总 4 17 5 2" xfId="8593"/>
    <cellStyle name="汇总 4 17 5 2 2" xfId="33069"/>
    <cellStyle name="汇总 4 17 5 2 2 2" xfId="11028"/>
    <cellStyle name="汇总 4 17 5 2 2 3" xfId="9453"/>
    <cellStyle name="汇总 4 17 5 2 3" xfId="33072"/>
    <cellStyle name="汇总 4 17 5 2 4" xfId="33075"/>
    <cellStyle name="汇总 4 17 5 2 5" xfId="33077"/>
    <cellStyle name="汇总 4 17 5 2 6" xfId="33079"/>
    <cellStyle name="汇总 4 17 5 2 7" xfId="34275"/>
    <cellStyle name="汇总 4 17 5 2 8" xfId="34276"/>
    <cellStyle name="汇总 4 17 5 3" xfId="34277"/>
    <cellStyle name="汇总 4 17 5 4" xfId="34278"/>
    <cellStyle name="汇总 4 17 5 5" xfId="31293"/>
    <cellStyle name="汇总 4 17 5 6" xfId="31295"/>
    <cellStyle name="汇总 4 17 5 6 2" xfId="28115"/>
    <cellStyle name="汇总 4 17 5 6 3" xfId="28117"/>
    <cellStyle name="汇总 4 17 5 7" xfId="31297"/>
    <cellStyle name="汇总 4 17 5 8" xfId="31299"/>
    <cellStyle name="汇总 4 17 5 9" xfId="31301"/>
    <cellStyle name="汇总 4 17 6" xfId="17361"/>
    <cellStyle name="汇总 4 17 6 2" xfId="25884"/>
    <cellStyle name="汇总 4 17 6 2 2" xfId="34279"/>
    <cellStyle name="汇总 4 17 6 2 3" xfId="24913"/>
    <cellStyle name="汇总 4 17 6 3" xfId="34281"/>
    <cellStyle name="汇总 4 17 6 4" xfId="34283"/>
    <cellStyle name="汇总 4 17 6 5" xfId="34284"/>
    <cellStyle name="汇总 4 17 6 6" xfId="25775"/>
    <cellStyle name="汇总 4 17 6 7" xfId="32011"/>
    <cellStyle name="汇总 4 17 6 8" xfId="34285"/>
    <cellStyle name="汇总 4 17 7" xfId="31526"/>
    <cellStyle name="汇总 4 17 8" xfId="34286"/>
    <cellStyle name="汇总 4 17 9" xfId="34287"/>
    <cellStyle name="汇总 4 17 9 2" xfId="34288"/>
    <cellStyle name="汇总 4 17 9 3" xfId="34291"/>
    <cellStyle name="汇总 4 18" xfId="34292"/>
    <cellStyle name="汇总 4 18 10" xfId="9809"/>
    <cellStyle name="汇总 4 18 11" xfId="10969"/>
    <cellStyle name="汇总 4 18 12" xfId="10974"/>
    <cellStyle name="汇总 4 18 13" xfId="10979"/>
    <cellStyle name="汇总 4 18 14" xfId="34293"/>
    <cellStyle name="汇总 4 18 2" xfId="22385"/>
    <cellStyle name="汇总 4 18 3" xfId="30128"/>
    <cellStyle name="汇总 4 18 4" xfId="30130"/>
    <cellStyle name="汇总 4 18 5" xfId="30132"/>
    <cellStyle name="汇总 4 18 5 10" xfId="32808"/>
    <cellStyle name="汇总 4 18 5 11" xfId="32810"/>
    <cellStyle name="汇总 4 18 5 2" xfId="30782"/>
    <cellStyle name="汇总 4 18 5 2 2" xfId="1615"/>
    <cellStyle name="汇总 4 18 5 2 2 2" xfId="30758"/>
    <cellStyle name="汇总 4 18 5 2 2 3" xfId="30760"/>
    <cellStyle name="汇总 4 18 5 2 3" xfId="1637"/>
    <cellStyle name="汇总 4 18 5 2 4" xfId="1653"/>
    <cellStyle name="汇总 4 18 5 2 5" xfId="1668"/>
    <cellStyle name="汇总 4 18 5 2 6" xfId="23346"/>
    <cellStyle name="汇总 4 18 5 2 7" xfId="34294"/>
    <cellStyle name="汇总 4 18 5 2 8" xfId="34295"/>
    <cellStyle name="汇总 4 18 5 3" xfId="34296"/>
    <cellStyle name="汇总 4 18 5 4" xfId="34297"/>
    <cellStyle name="汇总 4 18 5 5" xfId="31323"/>
    <cellStyle name="汇总 4 18 5 6" xfId="31327"/>
    <cellStyle name="汇总 4 18 5 6 2" xfId="34298"/>
    <cellStyle name="汇总 4 18 5 6 3" xfId="34299"/>
    <cellStyle name="汇总 4 18 5 7" xfId="31329"/>
    <cellStyle name="汇总 4 18 5 8" xfId="16952"/>
    <cellStyle name="汇总 4 18 5 9" xfId="5915"/>
    <cellStyle name="汇总 4 18 6" xfId="33234"/>
    <cellStyle name="汇总 4 18 6 2" xfId="16406"/>
    <cellStyle name="汇总 4 18 6 2 2" xfId="2166"/>
    <cellStyle name="汇总 4 18 6 2 3" xfId="2182"/>
    <cellStyle name="汇总 4 18 6 3" xfId="14668"/>
    <cellStyle name="汇总 4 18 6 4" xfId="14683"/>
    <cellStyle name="汇总 4 18 6 5" xfId="14687"/>
    <cellStyle name="汇总 4 18 6 6" xfId="14691"/>
    <cellStyle name="汇总 4 18 6 7" xfId="14695"/>
    <cellStyle name="汇总 4 18 6 8" xfId="14701"/>
    <cellStyle name="汇总 4 18 7" xfId="34300"/>
    <cellStyle name="汇总 4 18 8" xfId="34301"/>
    <cellStyle name="汇总 4 18 9" xfId="28951"/>
    <cellStyle name="汇总 4 18 9 2" xfId="34302"/>
    <cellStyle name="汇总 4 18 9 3" xfId="34304"/>
    <cellStyle name="汇总 4 19" xfId="34305"/>
    <cellStyle name="汇总 4 19 10" xfId="34307"/>
    <cellStyle name="汇总 4 19 11" xfId="34309"/>
    <cellStyle name="汇总 4 19 12" xfId="34311"/>
    <cellStyle name="汇总 4 19 13" xfId="34313"/>
    <cellStyle name="汇总 4 19 14" xfId="34315"/>
    <cellStyle name="汇总 4 19 2" xfId="34316"/>
    <cellStyle name="汇总 4 19 3" xfId="34317"/>
    <cellStyle name="汇总 4 19 4" xfId="3386"/>
    <cellStyle name="汇总 4 19 5" xfId="3395"/>
    <cellStyle name="汇总 4 19 5 10" xfId="27775"/>
    <cellStyle name="汇总 4 19 5 11" xfId="27777"/>
    <cellStyle name="汇总 4 19 5 2" xfId="881"/>
    <cellStyle name="汇总 4 19 5 2 2" xfId="32953"/>
    <cellStyle name="汇总 4 19 5 2 2 2" xfId="9720"/>
    <cellStyle name="汇总 4 19 5 2 2 3" xfId="34199"/>
    <cellStyle name="汇总 4 19 5 2 3" xfId="32955"/>
    <cellStyle name="汇总 4 19 5 2 4" xfId="32957"/>
    <cellStyle name="汇总 4 19 5 2 5" xfId="32959"/>
    <cellStyle name="汇总 4 19 5 2 6" xfId="32961"/>
    <cellStyle name="汇总 4 19 5 2 7" xfId="34318"/>
    <cellStyle name="汇总 4 19 5 2 8" xfId="34319"/>
    <cellStyle name="汇总 4 19 5 3" xfId="894"/>
    <cellStyle name="汇总 4 19 5 4" xfId="34320"/>
    <cellStyle name="汇总 4 19 5 5" xfId="34321"/>
    <cellStyle name="汇总 4 19 5 6" xfId="34322"/>
    <cellStyle name="汇总 4 19 5 6 2" xfId="34323"/>
    <cellStyle name="汇总 4 19 5 6 3" xfId="34324"/>
    <cellStyle name="汇总 4 19 5 7" xfId="34325"/>
    <cellStyle name="汇总 4 19 5 8" xfId="18076"/>
    <cellStyle name="汇总 4 19 5 9" xfId="5970"/>
    <cellStyle name="汇总 4 19 6" xfId="34326"/>
    <cellStyle name="汇总 4 19 6 2" xfId="15910"/>
    <cellStyle name="汇总 4 19 6 2 2" xfId="34327"/>
    <cellStyle name="汇总 4 19 6 2 3" xfId="34328"/>
    <cellStyle name="汇总 4 19 6 3" xfId="15913"/>
    <cellStyle name="汇总 4 19 6 4" xfId="34329"/>
    <cellStyle name="汇总 4 19 6 5" xfId="15329"/>
    <cellStyle name="汇总 4 19 6 6" xfId="15331"/>
    <cellStyle name="汇总 4 19 6 7" xfId="34330"/>
    <cellStyle name="汇总 4 19 6 8" xfId="34331"/>
    <cellStyle name="汇总 4 19 7" xfId="34332"/>
    <cellStyle name="汇总 4 19 8" xfId="34333"/>
    <cellStyle name="汇总 4 19 9" xfId="34334"/>
    <cellStyle name="汇总 4 19 9 2" xfId="34335"/>
    <cellStyle name="汇总 4 19 9 3" xfId="26086"/>
    <cellStyle name="汇总 4 2" xfId="34336"/>
    <cellStyle name="汇总 4 20" xfId="34269"/>
    <cellStyle name="汇总 4 20 10" xfId="24235"/>
    <cellStyle name="汇总 4 20 11" xfId="34338"/>
    <cellStyle name="汇总 4 20 12" xfId="34340"/>
    <cellStyle name="汇总 4 20 13" xfId="34341"/>
    <cellStyle name="汇总 4 20 14" xfId="34342"/>
    <cellStyle name="汇总 4 20 2" xfId="34343"/>
    <cellStyle name="汇总 4 20 3" xfId="34344"/>
    <cellStyle name="汇总 4 20 4" xfId="34345"/>
    <cellStyle name="汇总 4 20 5" xfId="33218"/>
    <cellStyle name="汇总 4 20 5 10" xfId="13405"/>
    <cellStyle name="汇总 4 20 5 11" xfId="13410"/>
    <cellStyle name="汇总 4 20 5 2" xfId="33220"/>
    <cellStyle name="汇总 4 20 5 2 2" xfId="21929"/>
    <cellStyle name="汇总 4 20 5 2 2 2" xfId="21934"/>
    <cellStyle name="汇总 4 20 5 2 2 3" xfId="21941"/>
    <cellStyle name="汇总 4 20 5 2 3" xfId="21952"/>
    <cellStyle name="汇总 4 20 5 2 4" xfId="21955"/>
    <cellStyle name="汇总 4 20 5 2 5" xfId="21957"/>
    <cellStyle name="汇总 4 20 5 2 6" xfId="22485"/>
    <cellStyle name="汇总 4 20 5 2 7" xfId="22487"/>
    <cellStyle name="汇总 4 20 5 2 8" xfId="21325"/>
    <cellStyle name="汇总 4 20 5 3" xfId="33223"/>
    <cellStyle name="汇总 4 20 5 4" xfId="34346"/>
    <cellStyle name="汇总 4 20 5 5" xfId="34347"/>
    <cellStyle name="汇总 4 20 5 6" xfId="34349"/>
    <cellStyle name="汇总 4 20 5 6 2" xfId="14258"/>
    <cellStyle name="汇总 4 20 5 6 3" xfId="14267"/>
    <cellStyle name="汇总 4 20 5 7" xfId="34351"/>
    <cellStyle name="汇总 4 20 5 8" xfId="34353"/>
    <cellStyle name="汇总 4 20 5 9" xfId="34355"/>
    <cellStyle name="汇总 4 20 6" xfId="33227"/>
    <cellStyle name="汇总 4 20 6 2" xfId="34356"/>
    <cellStyle name="汇总 4 20 6 2 2" xfId="34358"/>
    <cellStyle name="汇总 4 20 6 2 3" xfId="34360"/>
    <cellStyle name="汇总 4 20 6 3" xfId="34361"/>
    <cellStyle name="汇总 4 20 6 4" xfId="34362"/>
    <cellStyle name="汇总 4 20 6 5" xfId="34363"/>
    <cellStyle name="汇总 4 20 6 6" xfId="34364"/>
    <cellStyle name="汇总 4 20 6 7" xfId="34365"/>
    <cellStyle name="汇总 4 20 6 8" xfId="34366"/>
    <cellStyle name="汇总 4 20 7" xfId="33229"/>
    <cellStyle name="汇总 4 20 8" xfId="32596"/>
    <cellStyle name="汇总 4 20 9" xfId="32601"/>
    <cellStyle name="汇总 4 20 9 2" xfId="34367"/>
    <cellStyle name="汇总 4 20 9 3" xfId="29336"/>
    <cellStyle name="汇总 4 3" xfId="34368"/>
    <cellStyle name="汇总 4 4" xfId="33532"/>
    <cellStyle name="汇总 4 5" xfId="33534"/>
    <cellStyle name="汇总 4 6" xfId="34369"/>
    <cellStyle name="汇总 4 7" xfId="22169"/>
    <cellStyle name="汇总 4 8" xfId="22171"/>
    <cellStyle name="汇总 4 9" xfId="22173"/>
    <cellStyle name="汇总 5" xfId="34370"/>
    <cellStyle name="汇总 5 10" xfId="34371"/>
    <cellStyle name="汇总 5 11" xfId="34372"/>
    <cellStyle name="汇总 5 12" xfId="34373"/>
    <cellStyle name="汇总 5 13" xfId="34374"/>
    <cellStyle name="汇总 5 14" xfId="34375"/>
    <cellStyle name="汇总 5 2" xfId="25587"/>
    <cellStyle name="汇总 5 3" xfId="34376"/>
    <cellStyle name="汇总 5 4" xfId="34378"/>
    <cellStyle name="汇总 5 5" xfId="34380"/>
    <cellStyle name="汇总 5 6" xfId="34382"/>
    <cellStyle name="汇总 5 7" xfId="22212"/>
    <cellStyle name="汇总 5 8" xfId="4833"/>
    <cellStyle name="汇总 5 9" xfId="4855"/>
    <cellStyle name="汇总 6" xfId="34384"/>
    <cellStyle name="汇总 6 10" xfId="1862"/>
    <cellStyle name="汇总 6 11" xfId="5062"/>
    <cellStyle name="汇总 6 12" xfId="5071"/>
    <cellStyle name="汇总 6 13" xfId="14854"/>
    <cellStyle name="汇总 6 14" xfId="14858"/>
    <cellStyle name="汇总 6 2" xfId="34385"/>
    <cellStyle name="汇总 6 3" xfId="34386"/>
    <cellStyle name="汇总 6 4" xfId="34387"/>
    <cellStyle name="汇总 6 5" xfId="34388"/>
    <cellStyle name="汇总 6 6" xfId="34389"/>
    <cellStyle name="汇总 6 7" xfId="34390"/>
    <cellStyle name="汇总 6 8" xfId="34391"/>
    <cellStyle name="汇总 6 9" xfId="34392"/>
    <cellStyle name="汇总 7" xfId="34393"/>
    <cellStyle name="汇总 8" xfId="34394"/>
    <cellStyle name="汇总 9" xfId="34395"/>
    <cellStyle name="注释 10" xfId="13339"/>
    <cellStyle name="注释 11" xfId="815"/>
    <cellStyle name="注释 12" xfId="31896"/>
    <cellStyle name="注释 13" xfId="31898"/>
    <cellStyle name="注释 14" xfId="34396"/>
    <cellStyle name="注释 15" xfId="34397"/>
    <cellStyle name="注释 16" xfId="34398"/>
    <cellStyle name="注释 17" xfId="34399"/>
    <cellStyle name="注释 18" xfId="34400"/>
    <cellStyle name="注释 19" xfId="14169"/>
    <cellStyle name="注释 2" xfId="27206"/>
    <cellStyle name="注释 2 10" xfId="34401"/>
    <cellStyle name="注释 2 10 2" xfId="34402"/>
    <cellStyle name="注释 2 11" xfId="34403"/>
    <cellStyle name="注释 2 11 2" xfId="34404"/>
    <cellStyle name="注释 2 12" xfId="34405"/>
    <cellStyle name="注释 2 12 2" xfId="20618"/>
    <cellStyle name="注释 2 13" xfId="28261"/>
    <cellStyle name="注释 2 13 2" xfId="22765"/>
    <cellStyle name="注释 2 14" xfId="28263"/>
    <cellStyle name="注释 2 14 2" xfId="34406"/>
    <cellStyle name="注释 2 15" xfId="28265"/>
    <cellStyle name="注释 2 15 2" xfId="4152"/>
    <cellStyle name="注释 2 16" xfId="28268"/>
    <cellStyle name="注释 2 16 2" xfId="28274"/>
    <cellStyle name="注释 2 17" xfId="28286"/>
    <cellStyle name="注释 2 17 10" xfId="6793"/>
    <cellStyle name="注释 2 17 11" xfId="6796"/>
    <cellStyle name="注释 2 17 12" xfId="34407"/>
    <cellStyle name="注释 2 17 13" xfId="34408"/>
    <cellStyle name="注释 2 17 14" xfId="34409"/>
    <cellStyle name="注释 2 17 2" xfId="9936"/>
    <cellStyle name="注释 2 17 2 2" xfId="20860"/>
    <cellStyle name="注释 2 17 3" xfId="9940"/>
    <cellStyle name="注释 2 17 4" xfId="28288"/>
    <cellStyle name="注释 2 17 5" xfId="21971"/>
    <cellStyle name="注释 2 17 5 10" xfId="34410"/>
    <cellStyle name="注释 2 17 5 11" xfId="34411"/>
    <cellStyle name="注释 2 17 5 2" xfId="34412"/>
    <cellStyle name="注释 2 17 5 2 2" xfId="34413"/>
    <cellStyle name="注释 2 17 5 2 2 2" xfId="32412"/>
    <cellStyle name="注释 2 17 5 2 2 3" xfId="34414"/>
    <cellStyle name="注释 2 17 5 2 3" xfId="34415"/>
    <cellStyle name="注释 2 17 5 2 4" xfId="34416"/>
    <cellStyle name="注释 2 17 5 2 5" xfId="34417"/>
    <cellStyle name="注释 2 17 5 2 6" xfId="34418"/>
    <cellStyle name="注释 2 17 5 2 7" xfId="34419"/>
    <cellStyle name="注释 2 17 5 2 8" xfId="34420"/>
    <cellStyle name="注释 2 17 5 3" xfId="31494"/>
    <cellStyle name="注释 2 17 5 4" xfId="31497"/>
    <cellStyle name="注释 2 17 5 5" xfId="31500"/>
    <cellStyle name="注释 2 17 5 6" xfId="31503"/>
    <cellStyle name="注释 2 17 5 6 2" xfId="34421"/>
    <cellStyle name="注释 2 17 5 6 3" xfId="34422"/>
    <cellStyle name="注释 2 17 5 7" xfId="31505"/>
    <cellStyle name="注释 2 17 5 8" xfId="31507"/>
    <cellStyle name="注释 2 17 5 9" xfId="1912"/>
    <cellStyle name="注释 2 17 6" xfId="21975"/>
    <cellStyle name="注释 2 17 6 2" xfId="34423"/>
    <cellStyle name="注释 2 17 6 2 2" xfId="34424"/>
    <cellStyle name="注释 2 17 6 2 3" xfId="34425"/>
    <cellStyle name="注释 2 17 6 3" xfId="34426"/>
    <cellStyle name="注释 2 17 6 4" xfId="34427"/>
    <cellStyle name="注释 2 17 6 5" xfId="34428"/>
    <cellStyle name="注释 2 17 6 6" xfId="34429"/>
    <cellStyle name="注释 2 17 6 7" xfId="28305"/>
    <cellStyle name="注释 2 17 6 8" xfId="28307"/>
    <cellStyle name="注释 2 17 7" xfId="28291"/>
    <cellStyle name="注释 2 17 8" xfId="18580"/>
    <cellStyle name="注释 2 17 9" xfId="18585"/>
    <cellStyle name="注释 2 17 9 2" xfId="34430"/>
    <cellStyle name="注释 2 17 9 3" xfId="34431"/>
    <cellStyle name="注释 2 18" xfId="25894"/>
    <cellStyle name="注释 2 18 10" xfId="34432"/>
    <cellStyle name="注释 2 18 11" xfId="23410"/>
    <cellStyle name="注释 2 18 12" xfId="23412"/>
    <cellStyle name="注释 2 18 13" xfId="30949"/>
    <cellStyle name="注释 2 18 14" xfId="30952"/>
    <cellStyle name="注释 2 18 2" xfId="34433"/>
    <cellStyle name="注释 2 18 3" xfId="34434"/>
    <cellStyle name="注释 2 18 4" xfId="34435"/>
    <cellStyle name="注释 2 18 5" xfId="34436"/>
    <cellStyle name="注释 2 18 5 10" xfId="34437"/>
    <cellStyle name="注释 2 18 5 11" xfId="34438"/>
    <cellStyle name="注释 2 18 5 2" xfId="34439"/>
    <cellStyle name="注释 2 18 5 2 2" xfId="34440"/>
    <cellStyle name="注释 2 18 5 2 2 2" xfId="34441"/>
    <cellStyle name="注释 2 18 5 2 2 3" xfId="34442"/>
    <cellStyle name="注释 2 18 5 2 3" xfId="34443"/>
    <cellStyle name="注释 2 18 5 2 4" xfId="34444"/>
    <cellStyle name="注释 2 18 5 2 5" xfId="34445"/>
    <cellStyle name="注释 2 18 5 2 6" xfId="34446"/>
    <cellStyle name="注释 2 18 5 2 7" xfId="34447"/>
    <cellStyle name="注释 2 18 5 2 8" xfId="34448"/>
    <cellStyle name="注释 2 18 5 3" xfId="34449"/>
    <cellStyle name="注释 2 18 5 4" xfId="23733"/>
    <cellStyle name="注释 2 18 5 5" xfId="23745"/>
    <cellStyle name="注释 2 18 5 6" xfId="23748"/>
    <cellStyle name="注释 2 18 5 6 2" xfId="33635"/>
    <cellStyle name="注释 2 18 5 6 3" xfId="34450"/>
    <cellStyle name="注释 2 18 5 7" xfId="23751"/>
    <cellStyle name="注释 2 18 5 8" xfId="23754"/>
    <cellStyle name="注释 2 18 5 9" xfId="23757"/>
    <cellStyle name="注释 2 18 6" xfId="34451"/>
    <cellStyle name="注释 2 18 6 2" xfId="30793"/>
    <cellStyle name="注释 2 18 6 2 2" xfId="609"/>
    <cellStyle name="注释 2 18 6 2 3" xfId="643"/>
    <cellStyle name="注释 2 18 6 3" xfId="25841"/>
    <cellStyle name="注释 2 18 6 4" xfId="23763"/>
    <cellStyle name="注释 2 18 6 5" xfId="23771"/>
    <cellStyle name="注释 2 18 6 6" xfId="23776"/>
    <cellStyle name="注释 2 18 6 7" xfId="23435"/>
    <cellStyle name="注释 2 18 6 8" xfId="23439"/>
    <cellStyle name="注释 2 18 7" xfId="701"/>
    <cellStyle name="注释 2 18 8" xfId="741"/>
    <cellStyle name="注释 2 18 9" xfId="1267"/>
    <cellStyle name="注释 2 18 9 2" xfId="3181"/>
    <cellStyle name="注释 2 18 9 3" xfId="3186"/>
    <cellStyle name="注释 2 19" xfId="28294"/>
    <cellStyle name="注释 2 19 10" xfId="328"/>
    <cellStyle name="注释 2 19 11" xfId="604"/>
    <cellStyle name="注释 2 19 12" xfId="619"/>
    <cellStyle name="注释 2 19 13" xfId="650"/>
    <cellStyle name="注释 2 19 14" xfId="34452"/>
    <cellStyle name="注释 2 19 2" xfId="34453"/>
    <cellStyle name="注释 2 19 3" xfId="34454"/>
    <cellStyle name="注释 2 19 4" xfId="34455"/>
    <cellStyle name="注释 2 19 5" xfId="34456"/>
    <cellStyle name="注释 2 19 5 10" xfId="34457"/>
    <cellStyle name="注释 2 19 5 11" xfId="34458"/>
    <cellStyle name="注释 2 19 5 2" xfId="34459"/>
    <cellStyle name="注释 2 19 5 2 2" xfId="22309"/>
    <cellStyle name="注释 2 19 5 2 2 2" xfId="34460"/>
    <cellStyle name="注释 2 19 5 2 2 3" xfId="34461"/>
    <cellStyle name="注释 2 19 5 2 3" xfId="363"/>
    <cellStyle name="注释 2 19 5 2 4" xfId="21830"/>
    <cellStyle name="注释 2 19 5 2 5" xfId="21833"/>
    <cellStyle name="注释 2 19 5 2 6" xfId="20088"/>
    <cellStyle name="注释 2 19 5 2 7" xfId="20092"/>
    <cellStyle name="注释 2 19 5 2 8" xfId="20095"/>
    <cellStyle name="注释 2 19 5 3" xfId="30153"/>
    <cellStyle name="注释 2 19 5 4" xfId="30155"/>
    <cellStyle name="注释 2 19 5 5" xfId="30157"/>
    <cellStyle name="注释 2 19 5 6" xfId="30159"/>
    <cellStyle name="注释 2 19 5 6 2" xfId="34462"/>
    <cellStyle name="注释 2 19 5 6 3" xfId="34463"/>
    <cellStyle name="注释 2 19 5 7" xfId="30161"/>
    <cellStyle name="注释 2 19 5 8" xfId="30163"/>
    <cellStyle name="注释 2 19 5 9" xfId="30165"/>
    <cellStyle name="注释 2 19 6" xfId="34464"/>
    <cellStyle name="注释 2 19 6 2" xfId="24647"/>
    <cellStyle name="注释 2 19 6 2 2" xfId="31529"/>
    <cellStyle name="注释 2 19 6 2 3" xfId="31531"/>
    <cellStyle name="注释 2 19 6 3" xfId="34465"/>
    <cellStyle name="注释 2 19 6 4" xfId="34466"/>
    <cellStyle name="注释 2 19 6 5" xfId="34467"/>
    <cellStyle name="注释 2 19 6 6" xfId="34468"/>
    <cellStyle name="注释 2 19 6 7" xfId="34469"/>
    <cellStyle name="注释 2 19 6 8" xfId="34470"/>
    <cellStyle name="注释 2 19 7" xfId="6169"/>
    <cellStyle name="注释 2 19 8" xfId="6172"/>
    <cellStyle name="注释 2 19 9" xfId="6177"/>
    <cellStyle name="注释 2 19 9 2" xfId="34471"/>
    <cellStyle name="注释 2 19 9 3" xfId="34472"/>
    <cellStyle name="注释 2 2" xfId="12596"/>
    <cellStyle name="注释 2 2 10" xfId="34473"/>
    <cellStyle name="注释 2 2 11" xfId="29132"/>
    <cellStyle name="注释 2 2 12" xfId="29136"/>
    <cellStyle name="注释 2 2 13" xfId="29138"/>
    <cellStyle name="注释 2 2 14" xfId="29140"/>
    <cellStyle name="注释 2 2 15" xfId="29142"/>
    <cellStyle name="注释 2 2 2" xfId="6864"/>
    <cellStyle name="注释 2 2 3" xfId="2325"/>
    <cellStyle name="注释 2 2 4" xfId="20301"/>
    <cellStyle name="注释 2 2 5" xfId="20307"/>
    <cellStyle name="注释 2 2 6" xfId="20313"/>
    <cellStyle name="注释 2 2 7" xfId="4441"/>
    <cellStyle name="注释 2 2 8" xfId="4457"/>
    <cellStyle name="注释 2 2 9" xfId="4473"/>
    <cellStyle name="注释 2 20" xfId="28266"/>
    <cellStyle name="注释 2 20 10" xfId="20609"/>
    <cellStyle name="注释 2 20 11" xfId="20611"/>
    <cellStyle name="注释 2 20 12" xfId="20613"/>
    <cellStyle name="注释 2 20 13" xfId="25885"/>
    <cellStyle name="注释 2 20 14" xfId="34282"/>
    <cellStyle name="注释 2 20 2" xfId="4153"/>
    <cellStyle name="注释 2 20 3" xfId="4158"/>
    <cellStyle name="注释 2 20 4" xfId="4163"/>
    <cellStyle name="注释 2 20 5" xfId="4187"/>
    <cellStyle name="注释 2 20 5 10" xfId="22233"/>
    <cellStyle name="注释 2 20 5 11" xfId="8497"/>
    <cellStyle name="注释 2 20 5 2" xfId="34474"/>
    <cellStyle name="注释 2 20 5 2 2" xfId="34475"/>
    <cellStyle name="注释 2 20 5 2 2 2" xfId="6868"/>
    <cellStyle name="注释 2 20 5 2 2 3" xfId="6889"/>
    <cellStyle name="注释 2 20 5 2 3" xfId="34476"/>
    <cellStyle name="注释 2 20 5 2 4" xfId="34477"/>
    <cellStyle name="注释 2 20 5 2 5" xfId="34478"/>
    <cellStyle name="注释 2 20 5 2 6" xfId="12616"/>
    <cellStyle name="注释 2 20 5 2 7" xfId="12640"/>
    <cellStyle name="注释 2 20 5 2 8" xfId="12647"/>
    <cellStyle name="注释 2 20 5 3" xfId="22472"/>
    <cellStyle name="注释 2 20 5 4" xfId="22474"/>
    <cellStyle name="注释 2 20 5 5" xfId="34479"/>
    <cellStyle name="注释 2 20 5 6" xfId="34480"/>
    <cellStyle name="注释 2 20 5 6 2" xfId="34481"/>
    <cellStyle name="注释 2 20 5 6 3" xfId="34482"/>
    <cellStyle name="注释 2 20 5 7" xfId="24670"/>
    <cellStyle name="注释 2 20 5 8" xfId="34483"/>
    <cellStyle name="注释 2 20 5 9" xfId="4370"/>
    <cellStyle name="注释 2 20 6" xfId="4194"/>
    <cellStyle name="注释 2 20 6 2" xfId="29168"/>
    <cellStyle name="注释 2 20 6 2 2" xfId="34484"/>
    <cellStyle name="注释 2 20 6 2 3" xfId="34485"/>
    <cellStyle name="注释 2 20 6 3" xfId="29171"/>
    <cellStyle name="注释 2 20 6 4" xfId="29174"/>
    <cellStyle name="注释 2 20 6 5" xfId="29177"/>
    <cellStyle name="注释 2 20 6 6" xfId="29180"/>
    <cellStyle name="注释 2 20 6 7" xfId="34487"/>
    <cellStyle name="注释 2 20 6 8" xfId="34489"/>
    <cellStyle name="注释 2 20 7" xfId="34490"/>
    <cellStyle name="注释 2 20 8" xfId="18766"/>
    <cellStyle name="注释 2 20 9" xfId="18769"/>
    <cellStyle name="注释 2 20 9 2" xfId="34491"/>
    <cellStyle name="注释 2 20 9 3" xfId="34492"/>
    <cellStyle name="注释 2 3" xfId="12602"/>
    <cellStyle name="注释 2 3 10" xfId="20387"/>
    <cellStyle name="注释 2 3 11" xfId="20390"/>
    <cellStyle name="注释 2 3 12" xfId="20393"/>
    <cellStyle name="注释 2 3 13" xfId="20396"/>
    <cellStyle name="注释 2 3 14" xfId="32875"/>
    <cellStyle name="注释 2 3 2" xfId="3432"/>
    <cellStyle name="注释 2 3 3" xfId="34493"/>
    <cellStyle name="注释 2 3 4" xfId="34494"/>
    <cellStyle name="注释 2 3 5" xfId="11372"/>
    <cellStyle name="注释 2 3 6" xfId="7105"/>
    <cellStyle name="注释 2 3 7" xfId="7118"/>
    <cellStyle name="注释 2 3 8" xfId="7125"/>
    <cellStyle name="注释 2 3 9" xfId="7131"/>
    <cellStyle name="注释 2 4" xfId="23462"/>
    <cellStyle name="注释 2 4 10" xfId="34495"/>
    <cellStyle name="注释 2 4 11" xfId="34496"/>
    <cellStyle name="注释 2 4 12" xfId="34497"/>
    <cellStyle name="注释 2 4 13" xfId="34498"/>
    <cellStyle name="注释 2 4 14" xfId="34499"/>
    <cellStyle name="注释 2 4 2" xfId="34501"/>
    <cellStyle name="注释 2 4 3" xfId="34503"/>
    <cellStyle name="注释 2 4 4" xfId="34505"/>
    <cellStyle name="注释 2 4 5" xfId="9611"/>
    <cellStyle name="注释 2 4 6" xfId="11445"/>
    <cellStyle name="注释 2 4 7" xfId="11449"/>
    <cellStyle name="注释 2 4 8" xfId="11496"/>
    <cellStyle name="注释 2 4 9" xfId="11501"/>
    <cellStyle name="注释 2 5" xfId="23466"/>
    <cellStyle name="注释 2 5 2" xfId="15946"/>
    <cellStyle name="注释 2 6" xfId="34506"/>
    <cellStyle name="注释 2 6 2" xfId="14264"/>
    <cellStyle name="注释 2 7" xfId="9116"/>
    <cellStyle name="注释 2 7 2" xfId="34507"/>
    <cellStyle name="注释 2 8" xfId="19806"/>
    <cellStyle name="注释 2 8 2" xfId="34508"/>
    <cellStyle name="注释 2 9" xfId="24459"/>
    <cellStyle name="注释 2 9 2" xfId="22018"/>
    <cellStyle name="注释 3" xfId="34509"/>
    <cellStyle name="注释 3 10" xfId="34510"/>
    <cellStyle name="注释 3 11" xfId="34511"/>
    <cellStyle name="注释 3 12" xfId="34512"/>
    <cellStyle name="注释 3 13" xfId="34513"/>
    <cellStyle name="注释 3 14" xfId="34514"/>
    <cellStyle name="注释 3 15" xfId="25935"/>
    <cellStyle name="注释 3 16" xfId="34515"/>
    <cellStyle name="注释 3 17" xfId="34191"/>
    <cellStyle name="注释 3 17 10" xfId="34516"/>
    <cellStyle name="注释 3 17 11" xfId="34517"/>
    <cellStyle name="注释 3 17 12" xfId="34518"/>
    <cellStyle name="注释 3 17 13" xfId="33880"/>
    <cellStyle name="注释 3 17 14" xfId="3048"/>
    <cellStyle name="注释 3 17 2" xfId="1083"/>
    <cellStyle name="注释 3 17 3" xfId="4896"/>
    <cellStyle name="注释 3 17 4" xfId="27311"/>
    <cellStyle name="注释 3 17 5" xfId="22031"/>
    <cellStyle name="注释 3 17 5 10" xfId="11708"/>
    <cellStyle name="注释 3 17 5 11" xfId="11716"/>
    <cellStyle name="注释 3 17 5 2" xfId="34519"/>
    <cellStyle name="注释 3 17 5 2 2" xfId="34520"/>
    <cellStyle name="注释 3 17 5 2 2 2" xfId="25038"/>
    <cellStyle name="注释 3 17 5 2 2 3" xfId="25043"/>
    <cellStyle name="注释 3 17 5 2 3" xfId="34521"/>
    <cellStyle name="注释 3 17 5 2 4" xfId="34522"/>
    <cellStyle name="注释 3 17 5 2 5" xfId="34523"/>
    <cellStyle name="注释 3 17 5 2 6" xfId="34524"/>
    <cellStyle name="注释 3 17 5 2 7" xfId="34525"/>
    <cellStyle name="注释 3 17 5 2 8" xfId="11936"/>
    <cellStyle name="注释 3 17 5 3" xfId="22835"/>
    <cellStyle name="注释 3 17 5 4" xfId="22883"/>
    <cellStyle name="注释 3 17 5 5" xfId="21704"/>
    <cellStyle name="注释 3 17 5 6" xfId="21707"/>
    <cellStyle name="注释 3 17 5 6 2" xfId="33605"/>
    <cellStyle name="注释 3 17 5 6 3" xfId="34526"/>
    <cellStyle name="注释 3 17 5 7" xfId="14377"/>
    <cellStyle name="注释 3 17 5 8" xfId="14383"/>
    <cellStyle name="注释 3 17 5 9" xfId="21710"/>
    <cellStyle name="注释 3 17 6" xfId="22034"/>
    <cellStyle name="注释 3 17 6 2" xfId="23227"/>
    <cellStyle name="注释 3 17 6 2 2" xfId="26435"/>
    <cellStyle name="注释 3 17 6 2 3" xfId="26437"/>
    <cellStyle name="注释 3 17 6 3" xfId="23020"/>
    <cellStyle name="注释 3 17 6 4" xfId="8555"/>
    <cellStyle name="注释 3 17 6 5" xfId="8562"/>
    <cellStyle name="注释 3 17 6 6" xfId="21362"/>
    <cellStyle name="注释 3 17 6 7" xfId="21368"/>
    <cellStyle name="注释 3 17 6 8" xfId="21374"/>
    <cellStyle name="注释 3 17 7" xfId="34527"/>
    <cellStyle name="注释 3 17 8" xfId="18882"/>
    <cellStyle name="注释 3 17 9" xfId="18885"/>
    <cellStyle name="注释 3 17 9 2" xfId="18879"/>
    <cellStyle name="注释 3 17 9 3" xfId="23243"/>
    <cellStyle name="注释 3 18" xfId="34193"/>
    <cellStyle name="注释 3 18 10" xfId="34528"/>
    <cellStyle name="注释 3 18 11" xfId="34529"/>
    <cellStyle name="注释 3 18 12" xfId="27334"/>
    <cellStyle name="注释 3 18 13" xfId="27336"/>
    <cellStyle name="注释 3 18 14" xfId="34530"/>
    <cellStyle name="注释 3 18 2" xfId="18137"/>
    <cellStyle name="注释 3 18 3" xfId="18140"/>
    <cellStyle name="注释 3 18 4" xfId="18143"/>
    <cellStyle name="注释 3 18 5" xfId="34531"/>
    <cellStyle name="注释 3 18 5 10" xfId="29420"/>
    <cellStyle name="注释 3 18 5 11" xfId="29451"/>
    <cellStyle name="注释 3 18 5 2" xfId="34532"/>
    <cellStyle name="注释 3 18 5 2 2" xfId="34533"/>
    <cellStyle name="注释 3 18 5 2 2 2" xfId="34534"/>
    <cellStyle name="注释 3 18 5 2 2 3" xfId="34535"/>
    <cellStyle name="注释 3 18 5 2 3" xfId="25081"/>
    <cellStyle name="注释 3 18 5 2 4" xfId="25083"/>
    <cellStyle name="注释 3 18 5 2 5" xfId="34536"/>
    <cellStyle name="注释 3 18 5 2 6" xfId="34537"/>
    <cellStyle name="注释 3 18 5 2 7" xfId="34538"/>
    <cellStyle name="注释 3 18 5 2 8" xfId="13507"/>
    <cellStyle name="注释 3 18 5 3" xfId="20734"/>
    <cellStyle name="注释 3 18 5 4" xfId="13968"/>
    <cellStyle name="注释 3 18 5 5" xfId="13987"/>
    <cellStyle name="注释 3 18 5 6" xfId="13997"/>
    <cellStyle name="注释 3 18 5 6 2" xfId="34539"/>
    <cellStyle name="注释 3 18 5 6 3" xfId="34540"/>
    <cellStyle name="注释 3 18 5 7" xfId="12357"/>
    <cellStyle name="注释 3 18 5 8" xfId="12368"/>
    <cellStyle name="注释 3 18 5 9" xfId="12375"/>
    <cellStyle name="注释 3 18 6" xfId="34541"/>
    <cellStyle name="注释 3 18 6 2" xfId="34542"/>
    <cellStyle name="注释 3 18 6 2 2" xfId="34543"/>
    <cellStyle name="注释 3 18 6 2 3" xfId="34544"/>
    <cellStyle name="注释 3 18 6 3" xfId="23719"/>
    <cellStyle name="注释 3 18 6 4" xfId="21765"/>
    <cellStyle name="注释 3 18 6 5" xfId="21771"/>
    <cellStyle name="注释 3 18 6 6" xfId="23796"/>
    <cellStyle name="注释 3 18 6 7" xfId="23800"/>
    <cellStyle name="注释 3 18 6 8" xfId="23804"/>
    <cellStyle name="注释 3 18 7" xfId="34545"/>
    <cellStyle name="注释 3 18 8" xfId="1919"/>
    <cellStyle name="注释 3 18 9" xfId="1943"/>
    <cellStyle name="注释 3 18 9 2" xfId="27357"/>
    <cellStyle name="注释 3 18 9 3" xfId="6290"/>
    <cellStyle name="注释 3 19" xfId="34546"/>
    <cellStyle name="注释 3 19 10" xfId="34547"/>
    <cellStyle name="注释 3 19 11" xfId="34548"/>
    <cellStyle name="注释 3 19 12" xfId="34549"/>
    <cellStyle name="注释 3 19 13" xfId="34550"/>
    <cellStyle name="注释 3 19 14" xfId="34551"/>
    <cellStyle name="注释 3 19 2" xfId="18150"/>
    <cellStyle name="注释 3 19 3" xfId="18153"/>
    <cellStyle name="注释 3 19 4" xfId="26193"/>
    <cellStyle name="注释 3 19 5" xfId="26888"/>
    <cellStyle name="注释 3 19 5 10" xfId="5112"/>
    <cellStyle name="注释 3 19 5 11" xfId="18321"/>
    <cellStyle name="注释 3 19 5 2" xfId="34552"/>
    <cellStyle name="注释 3 19 5 2 2" xfId="34553"/>
    <cellStyle name="注释 3 19 5 2 2 2" xfId="34554"/>
    <cellStyle name="注释 3 19 5 2 2 3" xfId="34555"/>
    <cellStyle name="注释 3 19 5 2 3" xfId="34556"/>
    <cellStyle name="注释 3 19 5 2 4" xfId="22543"/>
    <cellStyle name="注释 3 19 5 2 5" xfId="22549"/>
    <cellStyle name="注释 3 19 5 2 6" xfId="22551"/>
    <cellStyle name="注释 3 19 5 2 7" xfId="22553"/>
    <cellStyle name="注释 3 19 5 2 8" xfId="22555"/>
    <cellStyle name="注释 3 19 5 3" xfId="19559"/>
    <cellStyle name="注释 3 19 5 4" xfId="19593"/>
    <cellStyle name="注释 3 19 5 5" xfId="19601"/>
    <cellStyle name="注释 3 19 5 6" xfId="19605"/>
    <cellStyle name="注释 3 19 5 6 2" xfId="5206"/>
    <cellStyle name="注释 3 19 5 6 3" xfId="18370"/>
    <cellStyle name="注释 3 19 5 7" xfId="19610"/>
    <cellStyle name="注释 3 19 5 8" xfId="22563"/>
    <cellStyle name="注释 3 19 5 9" xfId="22566"/>
    <cellStyle name="注释 3 19 6" xfId="26890"/>
    <cellStyle name="注释 3 19 6 2" xfId="34557"/>
    <cellStyle name="注释 3 19 6 2 2" xfId="1408"/>
    <cellStyle name="注释 3 19 6 2 3" xfId="1422"/>
    <cellStyle name="注释 3 19 6 3" xfId="24275"/>
    <cellStyle name="注释 3 19 6 4" xfId="19682"/>
    <cellStyle name="注释 3 19 6 5" xfId="19685"/>
    <cellStyle name="注释 3 19 6 6" xfId="24326"/>
    <cellStyle name="注释 3 19 6 7" xfId="24330"/>
    <cellStyle name="注释 3 19 6 8" xfId="24334"/>
    <cellStyle name="注释 3 19 7" xfId="26892"/>
    <cellStyle name="注释 3 19 8" xfId="6817"/>
    <cellStyle name="注释 3 19 9" xfId="6826"/>
    <cellStyle name="注释 3 19 9 2" xfId="34558"/>
    <cellStyle name="注释 3 19 9 3" xfId="6846"/>
    <cellStyle name="注释 3 2" xfId="12655"/>
    <cellStyle name="注释 3 2 10" xfId="31046"/>
    <cellStyle name="注释 3 2 11" xfId="31050"/>
    <cellStyle name="注释 3 2 12" xfId="31052"/>
    <cellStyle name="注释 3 2 13" xfId="26186"/>
    <cellStyle name="注释 3 2 14" xfId="26191"/>
    <cellStyle name="注释 3 2 2" xfId="7006"/>
    <cellStyle name="注释 3 2 3" xfId="2768"/>
    <cellStyle name="注释 3 2 4" xfId="31950"/>
    <cellStyle name="注释 3 2 5" xfId="31952"/>
    <cellStyle name="注释 3 2 6" xfId="31954"/>
    <cellStyle name="注释 3 2 7" xfId="13265"/>
    <cellStyle name="注释 3 2 8" xfId="11201"/>
    <cellStyle name="注释 3 2 9" xfId="11208"/>
    <cellStyle name="注释 3 20" xfId="25936"/>
    <cellStyle name="注释 3 20 10" xfId="33911"/>
    <cellStyle name="注释 3 20 11" xfId="33913"/>
    <cellStyle name="注释 3 20 12" xfId="33915"/>
    <cellStyle name="注释 3 20 13" xfId="34559"/>
    <cellStyle name="注释 3 20 14" xfId="34560"/>
    <cellStyle name="注释 3 20 2" xfId="34561"/>
    <cellStyle name="注释 3 20 3" xfId="34562"/>
    <cellStyle name="注释 3 20 4" xfId="34563"/>
    <cellStyle name="注释 3 20 5" xfId="34565"/>
    <cellStyle name="注释 3 20 5 10" xfId="15930"/>
    <cellStyle name="注释 3 20 5 11" xfId="34568"/>
    <cellStyle name="注释 3 20 5 2" xfId="34569"/>
    <cellStyle name="注释 3 20 5 2 2" xfId="34570"/>
    <cellStyle name="注释 3 20 5 2 2 2" xfId="34571"/>
    <cellStyle name="注释 3 20 5 2 2 3" xfId="34572"/>
    <cellStyle name="注释 3 20 5 2 3" xfId="32252"/>
    <cellStyle name="注释 3 20 5 2 4" xfId="32254"/>
    <cellStyle name="注释 3 20 5 2 5" xfId="34573"/>
    <cellStyle name="注释 3 20 5 2 6" xfId="14291"/>
    <cellStyle name="注释 3 20 5 2 7" xfId="3440"/>
    <cellStyle name="注释 3 20 5 2 8" xfId="3458"/>
    <cellStyle name="注释 3 20 5 3" xfId="3713"/>
    <cellStyle name="注释 3 20 5 4" xfId="3735"/>
    <cellStyle name="注释 3 20 5 5" xfId="21527"/>
    <cellStyle name="注释 3 20 5 6" xfId="21543"/>
    <cellStyle name="注释 3 20 5 6 2" xfId="22572"/>
    <cellStyle name="注释 3 20 5 6 3" xfId="22176"/>
    <cellStyle name="注释 3 20 5 7" xfId="21545"/>
    <cellStyle name="注释 3 20 5 8" xfId="18627"/>
    <cellStyle name="注释 3 20 5 9" xfId="18633"/>
    <cellStyle name="注释 3 20 6" xfId="34574"/>
    <cellStyle name="注释 3 20 6 2" xfId="29750"/>
    <cellStyle name="注释 3 20 6 2 2" xfId="7017"/>
    <cellStyle name="注释 3 20 6 2 3" xfId="7025"/>
    <cellStyle name="注释 3 20 6 3" xfId="21640"/>
    <cellStyle name="注释 3 20 6 4" xfId="21690"/>
    <cellStyle name="注释 3 20 6 5" xfId="21720"/>
    <cellStyle name="注释 3 20 6 6" xfId="21732"/>
    <cellStyle name="注释 3 20 6 7" xfId="21735"/>
    <cellStyle name="注释 3 20 6 8" xfId="21737"/>
    <cellStyle name="注释 3 20 7" xfId="34575"/>
    <cellStyle name="注释 3 20 8" xfId="19070"/>
    <cellStyle name="注释 3 20 9" xfId="19072"/>
    <cellStyle name="注释 3 20 9 2" xfId="3398"/>
    <cellStyle name="注释 3 20 9 3" xfId="508"/>
    <cellStyle name="注释 3 3" xfId="31956"/>
    <cellStyle name="注释 3 3 10" xfId="20499"/>
    <cellStyle name="注释 3 3 11" xfId="20501"/>
    <cellStyle name="注释 3 3 12" xfId="16855"/>
    <cellStyle name="注释 3 3 13" xfId="11774"/>
    <cellStyle name="注释 3 3 14" xfId="11783"/>
    <cellStyle name="注释 3 3 2" xfId="7066"/>
    <cellStyle name="注释 3 3 3" xfId="34576"/>
    <cellStyle name="注释 3 3 4" xfId="34577"/>
    <cellStyle name="注释 3 3 5" xfId="34578"/>
    <cellStyle name="注释 3 3 6" xfId="34579"/>
    <cellStyle name="注释 3 3 7" xfId="34580"/>
    <cellStyle name="注释 3 3 8" xfId="34581"/>
    <cellStyle name="注释 3 3 9" xfId="34582"/>
    <cellStyle name="注释 3 4" xfId="31958"/>
    <cellStyle name="注释 3 4 10" xfId="34583"/>
    <cellStyle name="注释 3 4 11" xfId="34584"/>
    <cellStyle name="注释 3 4 12" xfId="26149"/>
    <cellStyle name="注释 3 4 13" xfId="26151"/>
    <cellStyle name="注释 3 4 14" xfId="33700"/>
    <cellStyle name="注释 3 4 2" xfId="34586"/>
    <cellStyle name="注释 3 4 3" xfId="34588"/>
    <cellStyle name="注释 3 4 4" xfId="34590"/>
    <cellStyle name="注释 3 4 5" xfId="34592"/>
    <cellStyle name="注释 3 4 6" xfId="34593"/>
    <cellStyle name="注释 3 4 7" xfId="19654"/>
    <cellStyle name="注释 3 4 8" xfId="19656"/>
    <cellStyle name="注释 3 4 9" xfId="29805"/>
    <cellStyle name="注释 3 5" xfId="31960"/>
    <cellStyle name="注释 3 6" xfId="27655"/>
    <cellStyle name="注释 3 7" xfId="27657"/>
    <cellStyle name="注释 3 8" xfId="34594"/>
    <cellStyle name="注释 3 9" xfId="34595"/>
    <cellStyle name="注释 4" xfId="24698"/>
    <cellStyle name="注释 4 10" xfId="34597"/>
    <cellStyle name="注释 4 11" xfId="34599"/>
    <cellStyle name="注释 4 12" xfId="34601"/>
    <cellStyle name="注释 4 13" xfId="34602"/>
    <cellStyle name="注释 4 14" xfId="34603"/>
    <cellStyle name="注释 4 15" xfId="8607"/>
    <cellStyle name="注释 4 16" xfId="11849"/>
    <cellStyle name="注释 4 17" xfId="9137"/>
    <cellStyle name="注释 4 17 10" xfId="34348"/>
    <cellStyle name="注释 4 17 11" xfId="34350"/>
    <cellStyle name="注释 4 17 12" xfId="34352"/>
    <cellStyle name="注释 4 17 13" xfId="34354"/>
    <cellStyle name="注释 4 17 14" xfId="34604"/>
    <cellStyle name="注释 4 17 2" xfId="22398"/>
    <cellStyle name="注释 4 17 3" xfId="22437"/>
    <cellStyle name="注释 4 17 4" xfId="21528"/>
    <cellStyle name="注释 4 17 5" xfId="1426"/>
    <cellStyle name="注释 4 17 5 10" xfId="34605"/>
    <cellStyle name="注释 4 17 5 11" xfId="34606"/>
    <cellStyle name="注释 4 17 5 2" xfId="33249"/>
    <cellStyle name="注释 4 17 5 2 2" xfId="34607"/>
    <cellStyle name="注释 4 17 5 2 2 2" xfId="34608"/>
    <cellStyle name="注释 4 17 5 2 2 3" xfId="34609"/>
    <cellStyle name="注释 4 17 5 2 3" xfId="34610"/>
    <cellStyle name="注释 4 17 5 2 4" xfId="34611"/>
    <cellStyle name="注释 4 17 5 2 5" xfId="34612"/>
    <cellStyle name="注释 4 17 5 2 6" xfId="34613"/>
    <cellStyle name="注释 4 17 5 2 7" xfId="34614"/>
    <cellStyle name="注释 4 17 5 2 8" xfId="34615"/>
    <cellStyle name="注释 4 17 5 3" xfId="33251"/>
    <cellStyle name="注释 4 17 5 4" xfId="33253"/>
    <cellStyle name="注释 4 17 5 5" xfId="13512"/>
    <cellStyle name="注释 4 17 5 6" xfId="13516"/>
    <cellStyle name="注释 4 17 5 6 2" xfId="9575"/>
    <cellStyle name="注释 4 17 5 6 3" xfId="11336"/>
    <cellStyle name="注释 4 17 5 7" xfId="34616"/>
    <cellStyle name="注释 4 17 5 8" xfId="34617"/>
    <cellStyle name="注释 4 17 5 9" xfId="25980"/>
    <cellStyle name="注释 4 17 6" xfId="1457"/>
    <cellStyle name="注释 4 17 6 2" xfId="21634"/>
    <cellStyle name="注释 4 17 6 2 2" xfId="34618"/>
    <cellStyle name="注释 4 17 6 2 3" xfId="34619"/>
    <cellStyle name="注释 4 17 6 3" xfId="21637"/>
    <cellStyle name="注释 4 17 6 4" xfId="33258"/>
    <cellStyle name="注释 4 17 6 5" xfId="33260"/>
    <cellStyle name="注释 4 17 6 6" xfId="33262"/>
    <cellStyle name="注释 4 17 6 7" xfId="34620"/>
    <cellStyle name="注释 4 17 6 8" xfId="34621"/>
    <cellStyle name="注释 4 17 7" xfId="21530"/>
    <cellStyle name="注释 4 17 8" xfId="19166"/>
    <cellStyle name="注释 4 17 9" xfId="19172"/>
    <cellStyle name="注释 4 17 9 2" xfId="22111"/>
    <cellStyle name="注释 4 17 9 3" xfId="34623"/>
    <cellStyle name="注释 4 18" xfId="9147"/>
    <cellStyle name="注释 4 18 10" xfId="34624"/>
    <cellStyle name="注释 4 18 11" xfId="34625"/>
    <cellStyle name="注释 4 18 12" xfId="34626"/>
    <cellStyle name="注释 4 18 13" xfId="34627"/>
    <cellStyle name="注释 4 18 14" xfId="3758"/>
    <cellStyle name="注释 4 18 2" xfId="22403"/>
    <cellStyle name="注释 4 18 3" xfId="34628"/>
    <cellStyle name="注释 4 18 4" xfId="34629"/>
    <cellStyle name="注释 4 18 5" xfId="34630"/>
    <cellStyle name="注释 4 18 5 10" xfId="6790"/>
    <cellStyle name="注释 4 18 5 11" xfId="18927"/>
    <cellStyle name="注释 4 18 5 2" xfId="4808"/>
    <cellStyle name="注释 4 18 5 2 2" xfId="4141"/>
    <cellStyle name="注释 4 18 5 2 2 2" xfId="28694"/>
    <cellStyle name="注释 4 18 5 2 2 3" xfId="28708"/>
    <cellStyle name="注释 4 18 5 2 3" xfId="4209"/>
    <cellStyle name="注释 4 18 5 2 4" xfId="4269"/>
    <cellStyle name="注释 4 18 5 2 5" xfId="4279"/>
    <cellStyle name="注释 4 18 5 2 6" xfId="4296"/>
    <cellStyle name="注释 4 18 5 2 7" xfId="3954"/>
    <cellStyle name="注释 4 18 5 2 8" xfId="3973"/>
    <cellStyle name="注释 4 18 5 3" xfId="4939"/>
    <cellStyle name="注释 4 18 5 4" xfId="2565"/>
    <cellStyle name="注释 4 18 5 5" xfId="34631"/>
    <cellStyle name="注释 4 18 5 6" xfId="34632"/>
    <cellStyle name="注释 4 18 5 6 2" xfId="34633"/>
    <cellStyle name="注释 4 18 5 6 3" xfId="34634"/>
    <cellStyle name="注释 4 18 5 7" xfId="34635"/>
    <cellStyle name="注释 4 18 5 8" xfId="34636"/>
    <cellStyle name="注释 4 18 5 9" xfId="34637"/>
    <cellStyle name="注释 4 18 6" xfId="34638"/>
    <cellStyle name="注释 4 18 6 2" xfId="34639"/>
    <cellStyle name="注释 4 18 6 2 2" xfId="25065"/>
    <cellStyle name="注释 4 18 6 2 3" xfId="31788"/>
    <cellStyle name="注释 4 18 6 3" xfId="34640"/>
    <cellStyle name="注释 4 18 6 4" xfId="34641"/>
    <cellStyle name="注释 4 18 6 5" xfId="34642"/>
    <cellStyle name="注释 4 18 6 6" xfId="34643"/>
    <cellStyle name="注释 4 18 6 7" xfId="34644"/>
    <cellStyle name="注释 4 18 6 8" xfId="34645"/>
    <cellStyle name="注释 4 18 7" xfId="34646"/>
    <cellStyle name="注释 4 18 8" xfId="7294"/>
    <cellStyle name="注释 4 18 9" xfId="7303"/>
    <cellStyle name="注释 4 18 9 2" xfId="28188"/>
    <cellStyle name="注释 4 18 9 3" xfId="34647"/>
    <cellStyle name="注释 4 19" xfId="11424"/>
    <cellStyle name="注释 4 19 10" xfId="31992"/>
    <cellStyle name="注释 4 19 11" xfId="34649"/>
    <cellStyle name="注释 4 19 12" xfId="34651"/>
    <cellStyle name="注释 4 19 13" xfId="34653"/>
    <cellStyle name="注释 4 19 14" xfId="34654"/>
    <cellStyle name="注释 4 19 2" xfId="34655"/>
    <cellStyle name="注释 4 19 3" xfId="34656"/>
    <cellStyle name="注释 4 19 4" xfId="30030"/>
    <cellStyle name="注释 4 19 5" xfId="30040"/>
    <cellStyle name="注释 4 19 5 10" xfId="34657"/>
    <cellStyle name="注释 4 19 5 11" xfId="34658"/>
    <cellStyle name="注释 4 19 5 2" xfId="34659"/>
    <cellStyle name="注释 4 19 5 2 2" xfId="34660"/>
    <cellStyle name="注释 4 19 5 2 2 2" xfId="34661"/>
    <cellStyle name="注释 4 19 5 2 2 3" xfId="34662"/>
    <cellStyle name="注释 4 19 5 2 3" xfId="34664"/>
    <cellStyle name="注释 4 19 5 2 4" xfId="23174"/>
    <cellStyle name="注释 4 19 5 2 5" xfId="23178"/>
    <cellStyle name="注释 4 19 5 2 6" xfId="23181"/>
    <cellStyle name="注释 4 19 5 2 7" xfId="23184"/>
    <cellStyle name="注释 4 19 5 2 8" xfId="23187"/>
    <cellStyle name="注释 4 19 5 3" xfId="34665"/>
    <cellStyle name="注释 4 19 5 4" xfId="25768"/>
    <cellStyle name="注释 4 19 5 5" xfId="34666"/>
    <cellStyle name="注释 4 19 5 6" xfId="34667"/>
    <cellStyle name="注释 4 19 5 6 2" xfId="31515"/>
    <cellStyle name="注释 4 19 5 6 3" xfId="31519"/>
    <cellStyle name="注释 4 19 5 7" xfId="34668"/>
    <cellStyle name="注释 4 19 5 8" xfId="34669"/>
    <cellStyle name="注释 4 19 5 9" xfId="34670"/>
    <cellStyle name="注释 4 19 6" xfId="30042"/>
    <cellStyle name="注释 4 19 6 2" xfId="17046"/>
    <cellStyle name="注释 4 19 6 2 2" xfId="32481"/>
    <cellStyle name="注释 4 19 6 2 3" xfId="32483"/>
    <cellStyle name="注释 4 19 6 3" xfId="25631"/>
    <cellStyle name="注释 4 19 6 4" xfId="34671"/>
    <cellStyle name="注释 4 19 6 5" xfId="34672"/>
    <cellStyle name="注释 4 19 6 6" xfId="34673"/>
    <cellStyle name="注释 4 19 6 7" xfId="34674"/>
    <cellStyle name="注释 4 19 6 8" xfId="26036"/>
    <cellStyle name="注释 4 19 7" xfId="30044"/>
    <cellStyle name="注释 4 19 8" xfId="7392"/>
    <cellStyle name="注释 4 19 9" xfId="7406"/>
    <cellStyle name="注释 4 19 9 2" xfId="34029"/>
    <cellStyle name="注释 4 19 9 3" xfId="34031"/>
    <cellStyle name="注释 4 2" xfId="25403"/>
    <cellStyle name="注释 4 20" xfId="8608"/>
    <cellStyle name="注释 4 20 10" xfId="34676"/>
    <cellStyle name="注释 4 20 11" xfId="34677"/>
    <cellStyle name="注释 4 20 12" xfId="34678"/>
    <cellStyle name="注释 4 20 13" xfId="26073"/>
    <cellStyle name="注释 4 20 14" xfId="34679"/>
    <cellStyle name="注释 4 20 2" xfId="11818"/>
    <cellStyle name="注释 4 20 3" xfId="11827"/>
    <cellStyle name="注释 4 20 4" xfId="31091"/>
    <cellStyle name="注释 4 20 5" xfId="34680"/>
    <cellStyle name="注释 4 20 5 10" xfId="34681"/>
    <cellStyle name="注释 4 20 5 11" xfId="34683"/>
    <cellStyle name="注释 4 20 5 2" xfId="17385"/>
    <cellStyle name="注释 4 20 5 2 2" xfId="17391"/>
    <cellStyle name="注释 4 20 5 2 2 2" xfId="19485"/>
    <cellStyle name="注释 4 20 5 2 2 3" xfId="19487"/>
    <cellStyle name="注释 4 20 5 2 3" xfId="17395"/>
    <cellStyle name="注释 4 20 5 2 4" xfId="33166"/>
    <cellStyle name="注释 4 20 5 2 5" xfId="33169"/>
    <cellStyle name="注释 4 20 5 2 6" xfId="33171"/>
    <cellStyle name="注释 4 20 5 2 7" xfId="33174"/>
    <cellStyle name="注释 4 20 5 2 8" xfId="33870"/>
    <cellStyle name="注释 4 20 5 3" xfId="32230"/>
    <cellStyle name="注释 4 20 5 4" xfId="32232"/>
    <cellStyle name="注释 4 20 5 5" xfId="32234"/>
    <cellStyle name="注释 4 20 5 6" xfId="32236"/>
    <cellStyle name="注释 4 20 5 6 2" xfId="34685"/>
    <cellStyle name="注释 4 20 5 6 3" xfId="34687"/>
    <cellStyle name="注释 4 20 5 7" xfId="34688"/>
    <cellStyle name="注释 4 20 5 8" xfId="34689"/>
    <cellStyle name="注释 4 20 5 9" xfId="34690"/>
    <cellStyle name="注释 4 20 6" xfId="34691"/>
    <cellStyle name="注释 4 20 6 2" xfId="17433"/>
    <cellStyle name="注释 4 20 6 2 2" xfId="17437"/>
    <cellStyle name="注释 4 20 6 2 3" xfId="17440"/>
    <cellStyle name="注释 4 20 6 3" xfId="18272"/>
    <cellStyle name="注释 4 20 6 4" xfId="18276"/>
    <cellStyle name="注释 4 20 6 5" xfId="18280"/>
    <cellStyle name="注释 4 20 6 6" xfId="18285"/>
    <cellStyle name="注释 4 20 6 7" xfId="18290"/>
    <cellStyle name="注释 4 20 6 8" xfId="34692"/>
    <cellStyle name="注释 4 20 7" xfId="10149"/>
    <cellStyle name="注释 4 20 8" xfId="9351"/>
    <cellStyle name="注释 4 20 9" xfId="9368"/>
    <cellStyle name="注释 4 20 9 2" xfId="13927"/>
    <cellStyle name="注释 4 20 9 3" xfId="13930"/>
    <cellStyle name="注释 4 3" xfId="25406"/>
    <cellStyle name="注释 4 4" xfId="25408"/>
    <cellStyle name="注释 4 5" xfId="25410"/>
    <cellStyle name="注释 4 6" xfId="25412"/>
    <cellStyle name="注释 4 7" xfId="34693"/>
    <cellStyle name="注释 4 8" xfId="34694"/>
    <cellStyle name="注释 4 9" xfId="34695"/>
    <cellStyle name="注释 5" xfId="24700"/>
    <cellStyle name="注释 5 10" xfId="12231"/>
    <cellStyle name="注释 5 11" xfId="12235"/>
    <cellStyle name="注释 5 12" xfId="25451"/>
    <cellStyle name="注释 5 13" xfId="25453"/>
    <cellStyle name="注释 5 14" xfId="8325"/>
    <cellStyle name="注释 5 15" xfId="10825"/>
    <cellStyle name="注释 5 16" xfId="25530"/>
    <cellStyle name="注释 5 17" xfId="34696"/>
    <cellStyle name="注释 5 17 10" xfId="4155"/>
    <cellStyle name="注释 5 17 11" xfId="4160"/>
    <cellStyle name="注释 5 17 12" xfId="4164"/>
    <cellStyle name="注释 5 17 13" xfId="4188"/>
    <cellStyle name="注释 5 17 14" xfId="4195"/>
    <cellStyle name="注释 5 17 2" xfId="22953"/>
    <cellStyle name="注释 5 17 3" xfId="20964"/>
    <cellStyle name="注释 5 17 4" xfId="20967"/>
    <cellStyle name="注释 5 17 5" xfId="2028"/>
    <cellStyle name="注释 5 17 5 10" xfId="34697"/>
    <cellStyle name="注释 5 17 5 11" xfId="34698"/>
    <cellStyle name="注释 5 17 5 2" xfId="1319"/>
    <cellStyle name="注释 5 17 5 2 2" xfId="20102"/>
    <cellStyle name="注释 5 17 5 2 2 2" xfId="31520"/>
    <cellStyle name="注释 5 17 5 2 2 3" xfId="6703"/>
    <cellStyle name="注释 5 17 5 2 3" xfId="20104"/>
    <cellStyle name="注释 5 17 5 2 4" xfId="34699"/>
    <cellStyle name="注释 5 17 5 2 5" xfId="34700"/>
    <cellStyle name="注释 5 17 5 2 6" xfId="34701"/>
    <cellStyle name="注释 5 17 5 2 7" xfId="34702"/>
    <cellStyle name="注释 5 17 5 2 8" xfId="34703"/>
    <cellStyle name="注释 5 17 5 3" xfId="1330"/>
    <cellStyle name="注释 5 17 5 4" xfId="1342"/>
    <cellStyle name="注释 5 17 5 5" xfId="258"/>
    <cellStyle name="注释 5 17 5 6" xfId="1361"/>
    <cellStyle name="注释 5 17 5 6 2" xfId="34704"/>
    <cellStyle name="注释 5 17 5 6 3" xfId="34705"/>
    <cellStyle name="注释 5 17 5 7" xfId="13955"/>
    <cellStyle name="注释 5 17 5 8" xfId="20108"/>
    <cellStyle name="注释 5 17 5 9" xfId="28550"/>
    <cellStyle name="注释 5 17 6" xfId="2040"/>
    <cellStyle name="注释 5 17 6 2" xfId="13962"/>
    <cellStyle name="注释 5 17 6 2 2" xfId="34706"/>
    <cellStyle name="注释 5 17 6 2 3" xfId="34707"/>
    <cellStyle name="注释 5 17 6 3" xfId="13982"/>
    <cellStyle name="注释 5 17 6 4" xfId="13992"/>
    <cellStyle name="注释 5 17 6 5" xfId="12353"/>
    <cellStyle name="注释 5 17 6 6" xfId="12365"/>
    <cellStyle name="注释 5 17 6 7" xfId="34708"/>
    <cellStyle name="注释 5 17 6 8" xfId="34709"/>
    <cellStyle name="注释 5 17 7" xfId="20111"/>
    <cellStyle name="注释 5 17 8" xfId="20117"/>
    <cellStyle name="注释 5 17 9" xfId="20123"/>
    <cellStyle name="注释 5 17 9 2" xfId="20128"/>
    <cellStyle name="注释 5 17 9 3" xfId="20131"/>
    <cellStyle name="注释 5 18" xfId="34710"/>
    <cellStyle name="注释 5 18 10" xfId="34711"/>
    <cellStyle name="注释 5 18 11" xfId="34712"/>
    <cellStyle name="注释 5 18 12" xfId="25649"/>
    <cellStyle name="注释 5 18 13" xfId="34713"/>
    <cellStyle name="注释 5 18 14" xfId="34714"/>
    <cellStyle name="注释 5 18 2" xfId="34715"/>
    <cellStyle name="注释 5 18 3" xfId="34716"/>
    <cellStyle name="注释 5 18 4" xfId="34717"/>
    <cellStyle name="注释 5 18 5" xfId="20138"/>
    <cellStyle name="注释 5 18 5 10" xfId="7645"/>
    <cellStyle name="注释 5 18 5 11" xfId="24705"/>
    <cellStyle name="注释 5 18 5 2" xfId="11867"/>
    <cellStyle name="注释 5 18 5 2 2" xfId="8272"/>
    <cellStyle name="注释 5 18 5 2 2 2" xfId="1548"/>
    <cellStyle name="注释 5 18 5 2 2 3" xfId="11870"/>
    <cellStyle name="注释 5 18 5 2 3" xfId="8279"/>
    <cellStyle name="注释 5 18 5 2 4" xfId="8285"/>
    <cellStyle name="注释 5 18 5 2 5" xfId="8291"/>
    <cellStyle name="注释 5 18 5 2 6" xfId="8297"/>
    <cellStyle name="注释 5 18 5 2 7" xfId="8304"/>
    <cellStyle name="注释 5 18 5 2 8" xfId="11872"/>
    <cellStyle name="注释 5 18 5 3" xfId="11459"/>
    <cellStyle name="注释 5 18 5 4" xfId="11469"/>
    <cellStyle name="注释 5 18 5 5" xfId="11879"/>
    <cellStyle name="注释 5 18 5 6" xfId="24925"/>
    <cellStyle name="注释 5 18 5 6 2" xfId="34718"/>
    <cellStyle name="注释 5 18 5 6 3" xfId="27415"/>
    <cellStyle name="注释 5 18 5 7" xfId="24929"/>
    <cellStyle name="注释 5 18 5 8" xfId="24933"/>
    <cellStyle name="注释 5 18 5 9" xfId="24935"/>
    <cellStyle name="注释 5 18 6" xfId="20141"/>
    <cellStyle name="注释 5 18 6 2" xfId="11926"/>
    <cellStyle name="注释 5 18 6 2 2" xfId="8375"/>
    <cellStyle name="注释 5 18 6 2 3" xfId="8382"/>
    <cellStyle name="注释 5 18 6 3" xfId="11933"/>
    <cellStyle name="注释 5 18 6 4" xfId="10958"/>
    <cellStyle name="注释 5 18 6 5" xfId="10962"/>
    <cellStyle name="注释 5 18 6 6" xfId="12551"/>
    <cellStyle name="注释 5 18 6 7" xfId="12563"/>
    <cellStyle name="注释 5 18 6 8" xfId="12568"/>
    <cellStyle name="注释 5 18 7" xfId="20145"/>
    <cellStyle name="注释 5 18 8" xfId="20150"/>
    <cellStyle name="注释 5 18 9" xfId="20153"/>
    <cellStyle name="注释 5 18 9 2" xfId="1552"/>
    <cellStyle name="注释 5 18 9 3" xfId="34719"/>
    <cellStyle name="注释 5 19" xfId="34720"/>
    <cellStyle name="注释 5 19 10" xfId="34721"/>
    <cellStyle name="注释 5 19 11" xfId="34722"/>
    <cellStyle name="注释 5 19 12" xfId="34723"/>
    <cellStyle name="注释 5 19 13" xfId="21837"/>
    <cellStyle name="注释 5 19 14" xfId="21849"/>
    <cellStyle name="注释 5 19 2" xfId="34724"/>
    <cellStyle name="注释 5 19 3" xfId="34725"/>
    <cellStyle name="注释 5 19 4" xfId="34726"/>
    <cellStyle name="注释 5 19 5" xfId="34727"/>
    <cellStyle name="注释 5 19 5 10" xfId="9388"/>
    <cellStyle name="注释 5 19 5 11" xfId="31664"/>
    <cellStyle name="注释 5 19 5 2" xfId="13570"/>
    <cellStyle name="注释 5 19 5 2 2" xfId="23900"/>
    <cellStyle name="注释 5 19 5 2 2 2" xfId="26628"/>
    <cellStyle name="注释 5 19 5 2 2 3" xfId="26630"/>
    <cellStyle name="注释 5 19 5 2 3" xfId="23902"/>
    <cellStyle name="注释 5 19 5 2 4" xfId="23865"/>
    <cellStyle name="注释 5 19 5 2 5" xfId="23870"/>
    <cellStyle name="注释 5 19 5 2 6" xfId="23872"/>
    <cellStyle name="注释 5 19 5 2 7" xfId="23874"/>
    <cellStyle name="注释 5 19 5 2 8" xfId="23876"/>
    <cellStyle name="注释 5 19 5 3" xfId="13590"/>
    <cellStyle name="注释 5 19 5 4" xfId="13596"/>
    <cellStyle name="注释 5 19 5 5" xfId="13599"/>
    <cellStyle name="注释 5 19 5 6" xfId="13604"/>
    <cellStyle name="注释 5 19 5 6 2" xfId="22536"/>
    <cellStyle name="注释 5 19 5 6 3" xfId="27675"/>
    <cellStyle name="注释 5 19 5 7" xfId="13613"/>
    <cellStyle name="注释 5 19 5 8" xfId="25148"/>
    <cellStyle name="注释 5 19 5 9" xfId="5139"/>
    <cellStyle name="注释 5 19 6" xfId="34728"/>
    <cellStyle name="注释 5 19 6 2" xfId="13623"/>
    <cellStyle name="注释 5 19 6 2 2" xfId="32971"/>
    <cellStyle name="注释 5 19 6 2 3" xfId="27289"/>
    <cellStyle name="注释 5 19 6 3" xfId="13635"/>
    <cellStyle name="注释 5 19 6 4" xfId="13641"/>
    <cellStyle name="注释 5 19 6 5" xfId="13646"/>
    <cellStyle name="注释 5 19 6 6" xfId="12620"/>
    <cellStyle name="注释 5 19 6 7" xfId="12629"/>
    <cellStyle name="注释 5 19 6 8" xfId="13652"/>
    <cellStyle name="注释 5 19 7" xfId="33920"/>
    <cellStyle name="注释 5 19 8" xfId="33922"/>
    <cellStyle name="注释 5 19 9" xfId="33924"/>
    <cellStyle name="注释 5 19 9 2" xfId="25761"/>
    <cellStyle name="注释 5 19 9 3" xfId="34729"/>
    <cellStyle name="注释 5 2" xfId="34730"/>
    <cellStyle name="注释 5 20" xfId="10826"/>
    <cellStyle name="注释 5 20 10" xfId="34731"/>
    <cellStyle name="注释 5 20 11" xfId="34732"/>
    <cellStyle name="注释 5 20 12" xfId="26699"/>
    <cellStyle name="注释 5 20 13" xfId="26701"/>
    <cellStyle name="注释 5 20 14" xfId="26703"/>
    <cellStyle name="注释 5 20 2" xfId="34733"/>
    <cellStyle name="注释 5 20 3" xfId="34734"/>
    <cellStyle name="注释 5 20 4" xfId="34735"/>
    <cellStyle name="注释 5 20 5" xfId="21091"/>
    <cellStyle name="注释 5 20 5 10" xfId="18691"/>
    <cellStyle name="注释 5 20 5 11" xfId="18693"/>
    <cellStyle name="注释 5 20 5 2" xfId="34736"/>
    <cellStyle name="注释 5 20 5 2 2" xfId="34740"/>
    <cellStyle name="注释 5 20 5 2 2 2" xfId="34741"/>
    <cellStyle name="注释 5 20 5 2 2 3" xfId="32797"/>
    <cellStyle name="注释 5 20 5 2 3" xfId="34744"/>
    <cellStyle name="注释 5 20 5 2 4" xfId="25657"/>
    <cellStyle name="注释 5 20 5 2 5" xfId="34746"/>
    <cellStyle name="注释 5 20 5 2 6" xfId="10343"/>
    <cellStyle name="注释 5 20 5 2 7" xfId="10347"/>
    <cellStyle name="注释 5 20 5 2 8" xfId="34747"/>
    <cellStyle name="注释 5 20 5 3" xfId="34748"/>
    <cellStyle name="注释 5 20 5 4" xfId="34749"/>
    <cellStyle name="注释 5 20 5 5" xfId="34202"/>
    <cellStyle name="注释 5 20 5 6" xfId="34204"/>
    <cellStyle name="注释 5 20 5 6 2" xfId="34750"/>
    <cellStyle name="注释 5 20 5 6 3" xfId="34751"/>
    <cellStyle name="注释 5 20 5 7" xfId="34752"/>
    <cellStyle name="注释 5 20 5 8" xfId="34753"/>
    <cellStyle name="注释 5 20 5 9" xfId="34754"/>
    <cellStyle name="注释 5 20 6" xfId="21093"/>
    <cellStyle name="注释 5 20 6 2" xfId="30967"/>
    <cellStyle name="注释 5 20 6 2 2" xfId="34755"/>
    <cellStyle name="注释 5 20 6 2 3" xfId="34756"/>
    <cellStyle name="注释 5 20 6 3" xfId="30970"/>
    <cellStyle name="注释 5 20 6 4" xfId="30973"/>
    <cellStyle name="注释 5 20 6 5" xfId="26004"/>
    <cellStyle name="注释 5 20 6 6" xfId="30976"/>
    <cellStyle name="注释 5 20 6 7" xfId="34757"/>
    <cellStyle name="注释 5 20 6 8" xfId="34758"/>
    <cellStyle name="注释 5 20 7" xfId="34759"/>
    <cellStyle name="注释 5 20 8" xfId="34760"/>
    <cellStyle name="注释 5 20 9" xfId="34761"/>
    <cellStyle name="注释 5 20 9 2" xfId="34762"/>
    <cellStyle name="注释 5 20 9 3" xfId="23710"/>
    <cellStyle name="注释 5 3" xfId="34763"/>
    <cellStyle name="注释 5 4" xfId="34764"/>
    <cellStyle name="注释 5 5" xfId="34765"/>
    <cellStyle name="注释 5 6" xfId="34766"/>
    <cellStyle name="注释 5 7" xfId="34767"/>
    <cellStyle name="注释 5 8" xfId="34768"/>
    <cellStyle name="注释 5 9" xfId="9174"/>
    <cellStyle name="注释 6" xfId="34769"/>
    <cellStyle name="注释 6 2" xfId="31726"/>
    <cellStyle name="注释 7" xfId="34770"/>
    <cellStyle name="注释 7 2" xfId="34771"/>
    <cellStyle name="注释 8" xfId="34772"/>
    <cellStyle name="注释 9" xfId="34773"/>
    <cellStyle name="解释性文本 10" xfId="26345"/>
    <cellStyle name="解释性文本 11" xfId="26347"/>
    <cellStyle name="解释性文本 12" xfId="26730"/>
    <cellStyle name="解释性文本 12 10" xfId="12318"/>
    <cellStyle name="解释性文本 12 11" xfId="12336"/>
    <cellStyle name="解释性文本 12 12" xfId="12342"/>
    <cellStyle name="解释性文本 12 13" xfId="12344"/>
    <cellStyle name="解释性文本 12 14" xfId="12346"/>
    <cellStyle name="解释性文本 12 2" xfId="26734"/>
    <cellStyle name="解释性文本 12 3" xfId="12258"/>
    <cellStyle name="解释性文本 12 4" xfId="12274"/>
    <cellStyle name="解释性文本 12 5" xfId="10101"/>
    <cellStyle name="解释性文本 12 5 10" xfId="21598"/>
    <cellStyle name="解释性文本 12 5 11" xfId="21601"/>
    <cellStyle name="解释性文本 12 5 2" xfId="34774"/>
    <cellStyle name="解释性文本 12 5 2 2" xfId="355"/>
    <cellStyle name="解释性文本 12 5 2 2 2" xfId="13294"/>
    <cellStyle name="解释性文本 12 5 2 2 3" xfId="9620"/>
    <cellStyle name="解释性文本 12 5 2 3" xfId="361"/>
    <cellStyle name="解释性文本 12 5 2 4" xfId="13343"/>
    <cellStyle name="解释性文本 12 5 2 5" xfId="9210"/>
    <cellStyle name="解释性文本 12 5 2 6" xfId="34775"/>
    <cellStyle name="解释性文本 12 5 2 7" xfId="34776"/>
    <cellStyle name="解释性文本 12 5 2 8" xfId="34778"/>
    <cellStyle name="解释性文本 12 5 3" xfId="34779"/>
    <cellStyle name="解释性文本 12 5 4" xfId="34780"/>
    <cellStyle name="解释性文本 12 5 5" xfId="34781"/>
    <cellStyle name="解释性文本 12 5 6" xfId="34782"/>
    <cellStyle name="解释性文本 12 5 6 2" xfId="13411"/>
    <cellStyle name="解释性文本 12 5 6 3" xfId="13428"/>
    <cellStyle name="解释性文本 12 5 7" xfId="34783"/>
    <cellStyle name="解释性文本 12 5 8" xfId="34784"/>
    <cellStyle name="解释性文本 12 5 9" xfId="34785"/>
    <cellStyle name="解释性文本 12 6" xfId="10108"/>
    <cellStyle name="解释性文本 12 6 2" xfId="34786"/>
    <cellStyle name="解释性文本 12 6 2 2" xfId="34787"/>
    <cellStyle name="解释性文本 12 6 2 3" xfId="7471"/>
    <cellStyle name="解释性文本 12 6 3" xfId="34788"/>
    <cellStyle name="解释性文本 12 6 4" xfId="34789"/>
    <cellStyle name="解释性文本 12 6 5" xfId="34790"/>
    <cellStyle name="解释性文本 12 6 6" xfId="34791"/>
    <cellStyle name="解释性文本 12 6 7" xfId="33738"/>
    <cellStyle name="解释性文本 12 6 8" xfId="33740"/>
    <cellStyle name="解释性文本 12 7" xfId="11954"/>
    <cellStyle name="解释性文本 12 8" xfId="11960"/>
    <cellStyle name="解释性文本 12 9" xfId="11964"/>
    <cellStyle name="解释性文本 12 9 2" xfId="1399"/>
    <cellStyle name="解释性文本 12 9 3" xfId="1414"/>
    <cellStyle name="解释性文本 13" xfId="3843"/>
    <cellStyle name="解释性文本 14" xfId="3851"/>
    <cellStyle name="解释性文本 15" xfId="26736"/>
    <cellStyle name="解释性文本 16" xfId="26738"/>
    <cellStyle name="解释性文本 16 10" xfId="34793"/>
    <cellStyle name="解释性文本 16 11" xfId="34795"/>
    <cellStyle name="解释性文本 16 12" xfId="34797"/>
    <cellStyle name="解释性文本 16 13" xfId="34799"/>
    <cellStyle name="解释性文本 16 14" xfId="34801"/>
    <cellStyle name="解释性文本 16 2" xfId="27910"/>
    <cellStyle name="解释性文本 16 3" xfId="10406"/>
    <cellStyle name="解释性文本 16 4" xfId="10418"/>
    <cellStyle name="解释性文本 16 5" xfId="27928"/>
    <cellStyle name="解释性文本 16 5 10" xfId="23373"/>
    <cellStyle name="解释性文本 16 5 11" xfId="23376"/>
    <cellStyle name="解释性文本 16 5 2" xfId="27931"/>
    <cellStyle name="解释性文本 16 5 2 2" xfId="34802"/>
    <cellStyle name="解释性文本 16 5 2 2 2" xfId="28229"/>
    <cellStyle name="解释性文本 16 5 2 2 3" xfId="5736"/>
    <cellStyle name="解释性文本 16 5 2 3" xfId="32737"/>
    <cellStyle name="解释性文本 16 5 2 4" xfId="25588"/>
    <cellStyle name="解释性文本 16 5 2 5" xfId="34377"/>
    <cellStyle name="解释性文本 16 5 2 6" xfId="34379"/>
    <cellStyle name="解释性文本 16 5 2 7" xfId="34381"/>
    <cellStyle name="解释性文本 16 5 2 8" xfId="34383"/>
    <cellStyle name="解释性文本 16 5 3" xfId="27933"/>
    <cellStyle name="解释性文本 16 5 4" xfId="34803"/>
    <cellStyle name="解释性文本 16 5 5" xfId="28031"/>
    <cellStyle name="解释性文本 16 5 6" xfId="26546"/>
    <cellStyle name="解释性文本 16 5 6 2" xfId="26473"/>
    <cellStyle name="解释性文本 16 5 6 3" xfId="26475"/>
    <cellStyle name="解释性文本 16 5 7" xfId="26550"/>
    <cellStyle name="解释性文本 16 5 8" xfId="26554"/>
    <cellStyle name="解释性文本 16 5 9" xfId="26557"/>
    <cellStyle name="解释性文本 16 6" xfId="33792"/>
    <cellStyle name="解释性文本 16 6 2" xfId="25030"/>
    <cellStyle name="解释性文本 16 6 2 2" xfId="30080"/>
    <cellStyle name="解释性文本 16 6 2 3" xfId="30082"/>
    <cellStyle name="解释性文本 16 6 3" xfId="25032"/>
    <cellStyle name="解释性文本 16 6 4" xfId="34804"/>
    <cellStyle name="解释性文本 16 6 5" xfId="33063"/>
    <cellStyle name="解释性文本 16 6 6" xfId="33067"/>
    <cellStyle name="解释性文本 16 6 7" xfId="33070"/>
    <cellStyle name="解释性文本 16 6 8" xfId="33073"/>
    <cellStyle name="解释性文本 16 7" xfId="31356"/>
    <cellStyle name="解释性文本 16 8" xfId="31361"/>
    <cellStyle name="解释性文本 16 9" xfId="31363"/>
    <cellStyle name="解释性文本 16 9 2" xfId="32681"/>
    <cellStyle name="解释性文本 16 9 3" xfId="32683"/>
    <cellStyle name="解释性文本 17" xfId="26740"/>
    <cellStyle name="解释性文本 17 10" xfId="14016"/>
    <cellStyle name="解释性文本 17 11" xfId="14038"/>
    <cellStyle name="解释性文本 17 12" xfId="14055"/>
    <cellStyle name="解释性文本 17 13" xfId="14057"/>
    <cellStyle name="解释性文本 17 14" xfId="14059"/>
    <cellStyle name="解释性文本 17 2" xfId="196"/>
    <cellStyle name="解释性文本 17 3" xfId="3783"/>
    <cellStyle name="解释性文本 17 4" xfId="3793"/>
    <cellStyle name="解释性文本 17 5" xfId="3807"/>
    <cellStyle name="解释性文本 17 5 10" xfId="12490"/>
    <cellStyle name="解释性文本 17 5 11" xfId="12497"/>
    <cellStyle name="解释性文本 17 5 2" xfId="3565"/>
    <cellStyle name="解释性文本 17 5 2 2" xfId="23073"/>
    <cellStyle name="解释性文本 17 5 2 2 2" xfId="23075"/>
    <cellStyle name="解释性文本 17 5 2 2 3" xfId="23078"/>
    <cellStyle name="解释性文本 17 5 2 3" xfId="19723"/>
    <cellStyle name="解释性文本 17 5 2 4" xfId="19730"/>
    <cellStyle name="解释性文本 17 5 2 5" xfId="19733"/>
    <cellStyle name="解释性文本 17 5 2 6" xfId="34805"/>
    <cellStyle name="解释性文本 17 5 2 7" xfId="34807"/>
    <cellStyle name="解释性文本 17 5 2 8" xfId="34809"/>
    <cellStyle name="解释性文本 17 5 3" xfId="3814"/>
    <cellStyle name="解释性文本 17 5 4" xfId="5272"/>
    <cellStyle name="解释性文本 17 5 5" xfId="5292"/>
    <cellStyle name="解释性文本 17 5 6" xfId="5303"/>
    <cellStyle name="解释性文本 17 5 6 2" xfId="15282"/>
    <cellStyle name="解释性文本 17 5 6 3" xfId="15285"/>
    <cellStyle name="解释性文本 17 5 7" xfId="5315"/>
    <cellStyle name="解释性文本 17 5 8" xfId="7442"/>
    <cellStyle name="解释性文本 17 5 9" xfId="7447"/>
    <cellStyle name="解释性文本 17 6" xfId="3833"/>
    <cellStyle name="解释性文本 17 6 2" xfId="34810"/>
    <cellStyle name="解释性文本 17 6 2 2" xfId="30208"/>
    <cellStyle name="解释性文本 17 6 2 3" xfId="9902"/>
    <cellStyle name="解释性文本 17 6 3" xfId="34811"/>
    <cellStyle name="解释性文本 17 6 4" xfId="34812"/>
    <cellStyle name="解释性文本 17 6 5" xfId="33085"/>
    <cellStyle name="解释性文本 17 6 6" xfId="33087"/>
    <cellStyle name="解释性文本 17 6 7" xfId="34280"/>
    <cellStyle name="解释性文本 17 6 8" xfId="24914"/>
    <cellStyle name="解释性文本 17 7" xfId="2699"/>
    <cellStyle name="解释性文本 17 8" xfId="1130"/>
    <cellStyle name="解释性文本 17 9" xfId="31373"/>
    <cellStyle name="解释性文本 17 9 2" xfId="14082"/>
    <cellStyle name="解释性文本 17 9 3" xfId="2729"/>
    <cellStyle name="解释性文本 18" xfId="26742"/>
    <cellStyle name="解释性文本 18 10" xfId="34813"/>
    <cellStyle name="解释性文本 18 11" xfId="33139"/>
    <cellStyle name="解释性文本 18 12" xfId="33141"/>
    <cellStyle name="解释性文本 18 13" xfId="34814"/>
    <cellStyle name="解释性文本 18 14" xfId="34815"/>
    <cellStyle name="解释性文本 18 2" xfId="3306"/>
    <cellStyle name="解释性文本 18 3" xfId="3861"/>
    <cellStyle name="解释性文本 18 4" xfId="3864"/>
    <cellStyle name="解释性文本 18 5" xfId="3867"/>
    <cellStyle name="解释性文本 18 5 10" xfId="34816"/>
    <cellStyle name="解释性文本 18 5 11" xfId="3285"/>
    <cellStyle name="解释性文本 18 5 2" xfId="21292"/>
    <cellStyle name="解释性文本 18 5 2 2" xfId="15104"/>
    <cellStyle name="解释性文本 18 5 2 2 2" xfId="12017"/>
    <cellStyle name="解释性文本 18 5 2 2 3" xfId="8482"/>
    <cellStyle name="解释性文本 18 5 2 3" xfId="1201"/>
    <cellStyle name="解释性文本 18 5 2 4" xfId="523"/>
    <cellStyle name="解释性文本 18 5 2 5" xfId="6035"/>
    <cellStyle name="解释性文本 18 5 2 6" xfId="6041"/>
    <cellStyle name="解释性文本 18 5 2 7" xfId="6048"/>
    <cellStyle name="解释性文本 18 5 2 8" xfId="31428"/>
    <cellStyle name="解释性文本 18 5 3" xfId="11928"/>
    <cellStyle name="解释性文本 18 5 4" xfId="11931"/>
    <cellStyle name="解释性文本 18 5 5" xfId="34817"/>
    <cellStyle name="解释性文本 18 5 6" xfId="34818"/>
    <cellStyle name="解释性文本 18 5 6 2" xfId="26576"/>
    <cellStyle name="解释性文本 18 5 6 3" xfId="16781"/>
    <cellStyle name="解释性文本 18 5 7" xfId="13937"/>
    <cellStyle name="解释性文本 18 5 8" xfId="13941"/>
    <cellStyle name="解释性文本 18 5 9" xfId="13944"/>
    <cellStyle name="解释性文本 18 6" xfId="1632"/>
    <cellStyle name="解释性文本 18 6 2" xfId="13086"/>
    <cellStyle name="解释性文本 18 6 2 2" xfId="23369"/>
    <cellStyle name="解释性文本 18 6 2 3" xfId="23372"/>
    <cellStyle name="解释性文本 18 6 3" xfId="13090"/>
    <cellStyle name="解释性文本 18 6 4" xfId="13094"/>
    <cellStyle name="解释性文本 18 6 5" xfId="13097"/>
    <cellStyle name="解释性文本 18 6 6" xfId="34819"/>
    <cellStyle name="解释性文本 18 6 7" xfId="33143"/>
    <cellStyle name="解释性文本 18 6 8" xfId="33145"/>
    <cellStyle name="解释性文本 18 7" xfId="451"/>
    <cellStyle name="解释性文本 18 8" xfId="8911"/>
    <cellStyle name="解释性文本 18 9" xfId="8913"/>
    <cellStyle name="解释性文本 18 9 2" xfId="32620"/>
    <cellStyle name="解释性文本 18 9 3" xfId="26090"/>
    <cellStyle name="解释性文本 19" xfId="30835"/>
    <cellStyle name="解释性文本 2" xfId="200"/>
    <cellStyle name="解释性文本 2 10" xfId="7482"/>
    <cellStyle name="解释性文本 2 11" xfId="7489"/>
    <cellStyle name="解释性文本 2 12" xfId="7491"/>
    <cellStyle name="解释性文本 2 13" xfId="7497"/>
    <cellStyle name="解释性文本 2 14" xfId="7501"/>
    <cellStyle name="解释性文本 2 15" xfId="7523"/>
    <cellStyle name="解释性文本 2 16" xfId="7512"/>
    <cellStyle name="解释性文本 2 17" xfId="5588"/>
    <cellStyle name="解释性文本 2 17 10" xfId="8858"/>
    <cellStyle name="解释性文本 2 17 11" xfId="8862"/>
    <cellStyle name="解释性文本 2 17 12" xfId="21817"/>
    <cellStyle name="解释性文本 2 17 13" xfId="21821"/>
    <cellStyle name="解释性文本 2 17 14" xfId="21824"/>
    <cellStyle name="解释性文本 2 17 2" xfId="34820"/>
    <cellStyle name="解释性文本 2 17 3" xfId="34821"/>
    <cellStyle name="解释性文本 2 17 4" xfId="34822"/>
    <cellStyle name="解释性文本 2 17 5" xfId="34823"/>
    <cellStyle name="解释性文本 2 17 5 10" xfId="34824"/>
    <cellStyle name="解释性文本 2 17 5 11" xfId="34825"/>
    <cellStyle name="解释性文本 2 17 5 2" xfId="33827"/>
    <cellStyle name="解释性文本 2 17 5 2 2" xfId="34826"/>
    <cellStyle name="解释性文本 2 17 5 2 2 2" xfId="34827"/>
    <cellStyle name="解释性文本 2 17 5 2 2 3" xfId="34828"/>
    <cellStyle name="解释性文本 2 17 5 2 3" xfId="32420"/>
    <cellStyle name="解释性文本 2 17 5 2 4" xfId="20161"/>
    <cellStyle name="解释性文本 2 17 5 2 5" xfId="20164"/>
    <cellStyle name="解释性文本 2 17 5 2 6" xfId="22809"/>
    <cellStyle name="解释性文本 2 17 5 2 7" xfId="22812"/>
    <cellStyle name="解释性文本 2 17 5 2 8" xfId="34829"/>
    <cellStyle name="解释性文本 2 17 5 3" xfId="34830"/>
    <cellStyle name="解释性文本 2 17 5 4" xfId="34831"/>
    <cellStyle name="解释性文本 2 17 5 5" xfId="34832"/>
    <cellStyle name="解释性文本 2 17 5 6" xfId="34833"/>
    <cellStyle name="解释性文本 2 17 5 6 2" xfId="21647"/>
    <cellStyle name="解释性文本 2 17 5 6 3" xfId="21649"/>
    <cellStyle name="解释性文本 2 17 5 7" xfId="34834"/>
    <cellStyle name="解释性文本 2 17 5 8" xfId="34835"/>
    <cellStyle name="解释性文本 2 17 5 9" xfId="34836"/>
    <cellStyle name="解释性文本 2 17 6" xfId="34837"/>
    <cellStyle name="解释性文本 2 17 6 2" xfId="34211"/>
    <cellStyle name="解释性文本 2 17 6 2 2" xfId="4401"/>
    <cellStyle name="解释性文本 2 17 6 2 3" xfId="4411"/>
    <cellStyle name="解释性文本 2 17 6 3" xfId="26105"/>
    <cellStyle name="解释性文本 2 17 6 4" xfId="34838"/>
    <cellStyle name="解释性文本 2 17 6 5" xfId="34839"/>
    <cellStyle name="解释性文本 2 17 6 6" xfId="34840"/>
    <cellStyle name="解释性文本 2 17 6 7" xfId="33527"/>
    <cellStyle name="解释性文本 2 17 6 8" xfId="33529"/>
    <cellStyle name="解释性文本 2 17 7" xfId="34841"/>
    <cellStyle name="解释性文本 2 17 8" xfId="34842"/>
    <cellStyle name="解释性文本 2 17 9" xfId="34843"/>
    <cellStyle name="解释性文本 2 17 9 2" xfId="25954"/>
    <cellStyle name="解释性文本 2 17 9 3" xfId="34844"/>
    <cellStyle name="解释性文本 2 18" xfId="32033"/>
    <cellStyle name="解释性文本 2 18 10" xfId="34845"/>
    <cellStyle name="解释性文本 2 18 11" xfId="34846"/>
    <cellStyle name="解释性文本 2 18 12" xfId="34847"/>
    <cellStyle name="解释性文本 2 18 13" xfId="34848"/>
    <cellStyle name="解释性文本 2 18 14" xfId="34849"/>
    <cellStyle name="解释性文本 2 18 2" xfId="34850"/>
    <cellStyle name="解释性文本 2 18 3" xfId="34851"/>
    <cellStyle name="解释性文本 2 18 4" xfId="34852"/>
    <cellStyle name="解释性文本 2 18 5" xfId="34853"/>
    <cellStyle name="解释性文本 2 18 5 10" xfId="34855"/>
    <cellStyle name="解释性文本 2 18 5 11" xfId="34857"/>
    <cellStyle name="解释性文本 2 18 5 2" xfId="12094"/>
    <cellStyle name="解释性文本 2 18 5 2 2" xfId="34858"/>
    <cellStyle name="解释性文本 2 18 5 2 2 2" xfId="34806"/>
    <cellStyle name="解释性文本 2 18 5 2 2 3" xfId="34808"/>
    <cellStyle name="解释性文本 2 18 5 2 3" xfId="34859"/>
    <cellStyle name="解释性文本 2 18 5 2 4" xfId="34860"/>
    <cellStyle name="解释性文本 2 18 5 2 5" xfId="34861"/>
    <cellStyle name="解释性文本 2 18 5 2 6" xfId="34862"/>
    <cellStyle name="解释性文本 2 18 5 2 7" xfId="34863"/>
    <cellStyle name="解释性文本 2 18 5 2 8" xfId="34864"/>
    <cellStyle name="解释性文本 2 18 5 3" xfId="12101"/>
    <cellStyle name="解释性文本 2 18 5 4" xfId="23163"/>
    <cellStyle name="解释性文本 2 18 5 5" xfId="16970"/>
    <cellStyle name="解释性文本 2 18 5 6" xfId="16975"/>
    <cellStyle name="解释性文本 2 18 5 6 2" xfId="22452"/>
    <cellStyle name="解释性文本 2 18 5 6 3" xfId="22454"/>
    <cellStyle name="解释性文本 2 18 5 7" xfId="16977"/>
    <cellStyle name="解释性文本 2 18 5 8" xfId="16980"/>
    <cellStyle name="解释性文本 2 18 5 9" xfId="16983"/>
    <cellStyle name="解释性文本 2 18 6" xfId="34865"/>
    <cellStyle name="解释性文本 2 18 6 2" xfId="12200"/>
    <cellStyle name="解释性文本 2 18 6 2 2" xfId="34866"/>
    <cellStyle name="解释性文本 2 18 6 2 3" xfId="15487"/>
    <cellStyle name="解释性文本 2 18 6 3" xfId="10475"/>
    <cellStyle name="解释性文本 2 18 6 4" xfId="23191"/>
    <cellStyle name="解释性文本 2 18 6 5" xfId="34867"/>
    <cellStyle name="解释性文本 2 18 6 6" xfId="34868"/>
    <cellStyle name="解释性文本 2 18 6 7" xfId="33545"/>
    <cellStyle name="解释性文本 2 18 6 8" xfId="33547"/>
    <cellStyle name="解释性文本 2 18 7" xfId="34869"/>
    <cellStyle name="解释性文本 2 18 8" xfId="34870"/>
    <cellStyle name="解释性文本 2 18 9" xfId="34871"/>
    <cellStyle name="解释性文本 2 18 9 2" xfId="34872"/>
    <cellStyle name="解释性文本 2 18 9 3" xfId="34873"/>
    <cellStyle name="解释性文本 2 19" xfId="32035"/>
    <cellStyle name="解释性文本 2 19 10" xfId="10157"/>
    <cellStyle name="解释性文本 2 19 11" xfId="10163"/>
    <cellStyle name="解释性文本 2 19 12" xfId="4702"/>
    <cellStyle name="解释性文本 2 19 13" xfId="34874"/>
    <cellStyle name="解释性文本 2 19 14" xfId="34875"/>
    <cellStyle name="解释性文本 2 19 2" xfId="34876"/>
    <cellStyle name="解释性文本 2 19 3" xfId="34877"/>
    <cellStyle name="解释性文本 2 19 4" xfId="34878"/>
    <cellStyle name="解释性文本 2 19 5" xfId="34879"/>
    <cellStyle name="解释性文本 2 19 5 10" xfId="34880"/>
    <cellStyle name="解释性文本 2 19 5 11" xfId="34881"/>
    <cellStyle name="解释性文本 2 19 5 2" xfId="34882"/>
    <cellStyle name="解释性文本 2 19 5 2 2" xfId="29280"/>
    <cellStyle name="解释性文本 2 19 5 2 2 2" xfId="29284"/>
    <cellStyle name="解释性文本 2 19 5 2 2 3" xfId="22724"/>
    <cellStyle name="解释性文本 2 19 5 2 3" xfId="16693"/>
    <cellStyle name="解释性文本 2 19 5 2 4" xfId="16699"/>
    <cellStyle name="解释性文本 2 19 5 2 5" xfId="34884"/>
    <cellStyle name="解释性文本 2 19 5 2 6" xfId="34886"/>
    <cellStyle name="解释性文本 2 19 5 2 7" xfId="34888"/>
    <cellStyle name="解释性文本 2 19 5 2 8" xfId="34889"/>
    <cellStyle name="解释性文本 2 19 5 3" xfId="34890"/>
    <cellStyle name="解释性文本 2 19 5 4" xfId="34891"/>
    <cellStyle name="解释性文本 2 19 5 5" xfId="17000"/>
    <cellStyle name="解释性文本 2 19 5 6" xfId="13459"/>
    <cellStyle name="解释性文本 2 19 5 6 2" xfId="23033"/>
    <cellStyle name="解释性文本 2 19 5 6 3" xfId="23036"/>
    <cellStyle name="解释性文本 2 19 5 7" xfId="13462"/>
    <cellStyle name="解释性文本 2 19 5 8" xfId="34892"/>
    <cellStyle name="解释性文本 2 19 5 9" xfId="34893"/>
    <cellStyle name="解释性文本 2 19 6" xfId="34894"/>
    <cellStyle name="解释性文本 2 19 6 2" xfId="31849"/>
    <cellStyle name="解释性文本 2 19 6 2 2" xfId="11047"/>
    <cellStyle name="解释性文本 2 19 6 2 3" xfId="11051"/>
    <cellStyle name="解释性文本 2 19 6 3" xfId="31852"/>
    <cellStyle name="解释性文本 2 19 6 4" xfId="31855"/>
    <cellStyle name="解释性文本 2 19 6 5" xfId="31859"/>
    <cellStyle name="解释性文本 2 19 6 6" xfId="33742"/>
    <cellStyle name="解释性文本 2 19 6 7" xfId="33744"/>
    <cellStyle name="解释性文本 2 19 6 8" xfId="24562"/>
    <cellStyle name="解释性文本 2 19 7" xfId="34895"/>
    <cellStyle name="解释性文本 2 19 8" xfId="34896"/>
    <cellStyle name="解释性文本 2 19 9" xfId="34897"/>
    <cellStyle name="解释性文本 2 19 9 2" xfId="14741"/>
    <cellStyle name="解释性文本 2 19 9 3" xfId="14743"/>
    <cellStyle name="解释性文本 2 2" xfId="11941"/>
    <cellStyle name="解释性文本 2 2 10" xfId="34898"/>
    <cellStyle name="解释性文本 2 2 11" xfId="25419"/>
    <cellStyle name="解释性文本 2 2 12" xfId="25421"/>
    <cellStyle name="解释性文本 2 2 13" xfId="30702"/>
    <cellStyle name="解释性文本 2 2 14" xfId="34899"/>
    <cellStyle name="解释性文本 2 2 2" xfId="14000"/>
    <cellStyle name="解释性文本 2 2 3" xfId="12360"/>
    <cellStyle name="解释性文本 2 2 4" xfId="12372"/>
    <cellStyle name="解释性文本 2 2 5" xfId="12378"/>
    <cellStyle name="解释性文本 2 2 6" xfId="12384"/>
    <cellStyle name="解释性文本 2 2 7" xfId="34900"/>
    <cellStyle name="解释性文本 2 2 8" xfId="34901"/>
    <cellStyle name="解释性文本 2 2 9" xfId="8889"/>
    <cellStyle name="解释性文本 2 20" xfId="7524"/>
    <cellStyle name="解释性文本 2 20 10" xfId="34902"/>
    <cellStyle name="解释性文本 2 20 11" xfId="34903"/>
    <cellStyle name="解释性文本 2 20 12" xfId="34904"/>
    <cellStyle name="解释性文本 2 20 13" xfId="34905"/>
    <cellStyle name="解释性文本 2 20 14" xfId="34906"/>
    <cellStyle name="解释性文本 2 20 2" xfId="13834"/>
    <cellStyle name="解释性文本 2 20 3" xfId="13841"/>
    <cellStyle name="解释性文本 2 20 4" xfId="13853"/>
    <cellStyle name="解释性文本 2 20 5" xfId="13859"/>
    <cellStyle name="解释性文本 2 20 5 10" xfId="34907"/>
    <cellStyle name="解释性文本 2 20 5 11" xfId="34908"/>
    <cellStyle name="解释性文本 2 20 5 2" xfId="6887"/>
    <cellStyle name="解释性文本 2 20 5 2 2" xfId="19020"/>
    <cellStyle name="解释性文本 2 20 5 2 2 2" xfId="2717"/>
    <cellStyle name="解释性文本 2 20 5 2 2 3" xfId="2735"/>
    <cellStyle name="解释性文本 2 20 5 2 3" xfId="19029"/>
    <cellStyle name="解释性文本 2 20 5 2 4" xfId="19031"/>
    <cellStyle name="解释性文本 2 20 5 2 5" xfId="19033"/>
    <cellStyle name="解释性文本 2 20 5 2 6" xfId="19035"/>
    <cellStyle name="解释性文本 2 20 5 2 7" xfId="19038"/>
    <cellStyle name="解释性文本 2 20 5 2 8" xfId="19041"/>
    <cellStyle name="解释性文本 2 20 5 3" xfId="6891"/>
    <cellStyle name="解释性文本 2 20 5 4" xfId="6895"/>
    <cellStyle name="解释性文本 2 20 5 5" xfId="19050"/>
    <cellStyle name="解释性文本 2 20 5 6" xfId="19053"/>
    <cellStyle name="解释性文本 2 20 5 6 2" xfId="19055"/>
    <cellStyle name="解释性文本 2 20 5 6 3" xfId="19057"/>
    <cellStyle name="解释性文本 2 20 5 7" xfId="33613"/>
    <cellStyle name="解释性文本 2 20 5 8" xfId="33615"/>
    <cellStyle name="解释性文本 2 20 5 9" xfId="33617"/>
    <cellStyle name="解释性文本 2 20 6" xfId="13865"/>
    <cellStyle name="解释性文本 2 20 6 2" xfId="31815"/>
    <cellStyle name="解释性文本 2 20 6 2 2" xfId="31817"/>
    <cellStyle name="解释性文本 2 20 6 2 3" xfId="31819"/>
    <cellStyle name="解释性文本 2 20 6 3" xfId="7068"/>
    <cellStyle name="解释性文本 2 20 6 4" xfId="7072"/>
    <cellStyle name="解释性文本 2 20 6 5" xfId="31821"/>
    <cellStyle name="解释性文本 2 20 6 6" xfId="34909"/>
    <cellStyle name="解释性文本 2 20 6 7" xfId="34910"/>
    <cellStyle name="解释性文本 2 20 6 8" xfId="34911"/>
    <cellStyle name="解释性文本 2 20 7" xfId="21168"/>
    <cellStyle name="解释性文本 2 20 8" xfId="21206"/>
    <cellStyle name="解释性文本 2 20 9" xfId="21208"/>
    <cellStyle name="解释性文本 2 20 9 2" xfId="12630"/>
    <cellStyle name="解释性文本 2 20 9 3" xfId="13653"/>
    <cellStyle name="解释性文本 2 3" xfId="11944"/>
    <cellStyle name="解释性文本 2 3 10" xfId="34912"/>
    <cellStyle name="解释性文本 2 3 11" xfId="34913"/>
    <cellStyle name="解释性文本 2 3 12" xfId="34914"/>
    <cellStyle name="解释性文本 2 3 13" xfId="34915"/>
    <cellStyle name="解释性文本 2 3 14" xfId="34916"/>
    <cellStyle name="解释性文本 2 3 2" xfId="34290"/>
    <cellStyle name="解释性文本 2 3 3" xfId="34918"/>
    <cellStyle name="解释性文本 2 3 4" xfId="34920"/>
    <cellStyle name="解释性文本 2 3 5" xfId="34922"/>
    <cellStyle name="解释性文本 2 3 6" xfId="34924"/>
    <cellStyle name="解释性文本 2 3 7" xfId="34925"/>
    <cellStyle name="解释性文本 2 3 8" xfId="34926"/>
    <cellStyle name="解释性文本 2 3 9" xfId="9616"/>
    <cellStyle name="解释性文本 2 4" xfId="16686"/>
    <cellStyle name="解释性文本 2 4 10" xfId="34927"/>
    <cellStyle name="解释性文本 2 4 11" xfId="34928"/>
    <cellStyle name="解释性文本 2 4 12" xfId="34929"/>
    <cellStyle name="解释性文本 2 4 13" xfId="3934"/>
    <cellStyle name="解释性文本 2 4 14" xfId="4017"/>
    <cellStyle name="解释性文本 2 4 2" xfId="29957"/>
    <cellStyle name="解释性文本 2 4 3" xfId="34930"/>
    <cellStyle name="解释性文本 2 4 4" xfId="34931"/>
    <cellStyle name="解释性文本 2 4 5" xfId="34932"/>
    <cellStyle name="解释性文本 2 4 6" xfId="34933"/>
    <cellStyle name="解释性文本 2 4 7" xfId="34934"/>
    <cellStyle name="解释性文本 2 4 8" xfId="25632"/>
    <cellStyle name="解释性文本 2 4 9" xfId="9299"/>
    <cellStyle name="解释性文本 2 5" xfId="27953"/>
    <cellStyle name="解释性文本 2 6" xfId="27955"/>
    <cellStyle name="解释性文本 2 7" xfId="34935"/>
    <cellStyle name="解释性文本 2 8" xfId="34936"/>
    <cellStyle name="解释性文本 2 9" xfId="34937"/>
    <cellStyle name="解释性文本 3" xfId="3786"/>
    <cellStyle name="解释性文本 3 10" xfId="32827"/>
    <cellStyle name="解释性文本 3 11" xfId="32829"/>
    <cellStyle name="解释性文本 3 12" xfId="32831"/>
    <cellStyle name="解释性文本 3 13" xfId="10928"/>
    <cellStyle name="解释性文本 3 14" xfId="10934"/>
    <cellStyle name="解释性文本 3 15" xfId="32843"/>
    <cellStyle name="解释性文本 3 16" xfId="32846"/>
    <cellStyle name="解释性文本 3 17" xfId="34938"/>
    <cellStyle name="解释性文本 3 17 10" xfId="34939"/>
    <cellStyle name="解释性文本 3 17 11" xfId="28034"/>
    <cellStyle name="解释性文本 3 17 12" xfId="28036"/>
    <cellStyle name="解释性文本 3 17 13" xfId="34940"/>
    <cellStyle name="解释性文本 3 17 14" xfId="34941"/>
    <cellStyle name="解释性文本 3 17 2" xfId="34942"/>
    <cellStyle name="解释性文本 3 17 2 2" xfId="11666"/>
    <cellStyle name="解释性文本 3 17 3" xfId="34943"/>
    <cellStyle name="解释性文本 3 17 4" xfId="34944"/>
    <cellStyle name="解释性文本 3 17 5" xfId="34945"/>
    <cellStyle name="解释性文本 3 17 5 10" xfId="34077"/>
    <cellStyle name="解释性文本 3 17 5 11" xfId="34079"/>
    <cellStyle name="解释性文本 3 17 5 2" xfId="34946"/>
    <cellStyle name="解释性文本 3 17 5 2 2" xfId="2197"/>
    <cellStyle name="解释性文本 3 17 5 2 2 2" xfId="34947"/>
    <cellStyle name="解释性文本 3 17 5 2 2 3" xfId="34948"/>
    <cellStyle name="解释性文本 3 17 5 2 3" xfId="2208"/>
    <cellStyle name="解释性文本 3 17 5 2 4" xfId="207"/>
    <cellStyle name="解释性文本 3 17 5 2 5" xfId="26863"/>
    <cellStyle name="解释性文本 3 17 5 2 6" xfId="1449"/>
    <cellStyle name="解释性文本 3 17 5 2 7" xfId="22778"/>
    <cellStyle name="解释性文本 3 17 5 2 8" xfId="26866"/>
    <cellStyle name="解释性文本 3 17 5 3" xfId="34949"/>
    <cellStyle name="解释性文本 3 17 5 4" xfId="34950"/>
    <cellStyle name="解释性文本 3 17 5 5" xfId="34951"/>
    <cellStyle name="解释性文本 3 17 5 6" xfId="34952"/>
    <cellStyle name="解释性文本 3 17 5 6 2" xfId="34953"/>
    <cellStyle name="解释性文本 3 17 5 6 3" xfId="34954"/>
    <cellStyle name="解释性文本 3 17 5 7" xfId="26071"/>
    <cellStyle name="解释性文本 3 17 5 8" xfId="34955"/>
    <cellStyle name="解释性文本 3 17 5 9" xfId="34956"/>
    <cellStyle name="解释性文本 3 17 6" xfId="34957"/>
    <cellStyle name="解释性文本 3 17 6 2" xfId="32205"/>
    <cellStyle name="解释性文本 3 17 6 2 2" xfId="2596"/>
    <cellStyle name="解释性文本 3 17 6 2 3" xfId="2603"/>
    <cellStyle name="解释性文本 3 17 6 3" xfId="32207"/>
    <cellStyle name="解释性文本 3 17 6 4" xfId="32209"/>
    <cellStyle name="解释性文本 3 17 6 5" xfId="32211"/>
    <cellStyle name="解释性文本 3 17 6 6" xfId="32213"/>
    <cellStyle name="解释性文本 3 17 6 7" xfId="5330"/>
    <cellStyle name="解释性文本 3 17 6 8" xfId="5345"/>
    <cellStyle name="解释性文本 3 17 7" xfId="34958"/>
    <cellStyle name="解释性文本 3 17 8" xfId="34959"/>
    <cellStyle name="解释性文本 3 17 9" xfId="16667"/>
    <cellStyle name="解释性文本 3 17 9 2" xfId="34960"/>
    <cellStyle name="解释性文本 3 17 9 3" xfId="7109"/>
    <cellStyle name="解释性文本 3 18" xfId="34961"/>
    <cellStyle name="解释性文本 3 18 10" xfId="34962"/>
    <cellStyle name="解释性文本 3 18 11" xfId="26559"/>
    <cellStyle name="解释性文本 3 18 12" xfId="26561"/>
    <cellStyle name="解释性文本 3 18 13" xfId="34963"/>
    <cellStyle name="解释性文本 3 18 14" xfId="34964"/>
    <cellStyle name="解释性文本 3 18 2" xfId="30981"/>
    <cellStyle name="解释性文本 3 18 3" xfId="30983"/>
    <cellStyle name="解释性文本 3 18 4" xfId="30985"/>
    <cellStyle name="解释性文本 3 18 5" xfId="30987"/>
    <cellStyle name="解释性文本 3 18 5 10" xfId="34965"/>
    <cellStyle name="解释性文本 3 18 5 11" xfId="34966"/>
    <cellStyle name="解释性文本 3 18 5 2" xfId="13777"/>
    <cellStyle name="解释性文本 3 18 5 2 2" xfId="34967"/>
    <cellStyle name="解释性文本 3 18 5 2 2 2" xfId="1880"/>
    <cellStyle name="解释性文本 3 18 5 2 2 3" xfId="2338"/>
    <cellStyle name="解释性文本 3 18 5 2 3" xfId="34968"/>
    <cellStyle name="解释性文本 3 18 5 2 4" xfId="34969"/>
    <cellStyle name="解释性文本 3 18 5 2 5" xfId="34970"/>
    <cellStyle name="解释性文本 3 18 5 2 6" xfId="30739"/>
    <cellStyle name="解释性文本 3 18 5 2 7" xfId="30741"/>
    <cellStyle name="解释性文本 3 18 5 2 8" xfId="34971"/>
    <cellStyle name="解释性文本 3 18 5 3" xfId="13783"/>
    <cellStyle name="解释性文本 3 18 5 4" xfId="23855"/>
    <cellStyle name="解释性文本 3 18 5 5" xfId="34972"/>
    <cellStyle name="解释性文本 3 18 5 6" xfId="34973"/>
    <cellStyle name="解释性文本 3 18 5 6 2" xfId="34974"/>
    <cellStyle name="解释性文本 3 18 5 6 3" xfId="34975"/>
    <cellStyle name="解释性文本 3 18 5 7" xfId="34976"/>
    <cellStyle name="解释性文本 3 18 5 8" xfId="34977"/>
    <cellStyle name="解释性文本 3 18 5 9" xfId="34978"/>
    <cellStyle name="解释性文本 3 18 6" xfId="30989"/>
    <cellStyle name="解释性文本 3 18 6 2" xfId="13914"/>
    <cellStyle name="解释性文本 3 18 6 2 2" xfId="34979"/>
    <cellStyle name="解释性文本 3 18 6 2 3" xfId="16346"/>
    <cellStyle name="解释性文本 3 18 6 3" xfId="13918"/>
    <cellStyle name="解释性文本 3 18 6 4" xfId="23881"/>
    <cellStyle name="解释性文本 3 18 6 5" xfId="34980"/>
    <cellStyle name="解释性文本 3 18 6 6" xfId="34981"/>
    <cellStyle name="解释性文本 3 18 6 7" xfId="26583"/>
    <cellStyle name="解释性文本 3 18 6 8" xfId="26585"/>
    <cellStyle name="解释性文本 3 18 7" xfId="32466"/>
    <cellStyle name="解释性文本 3 18 8" xfId="32470"/>
    <cellStyle name="解释性文本 3 18 9" xfId="14089"/>
    <cellStyle name="解释性文本 3 18 9 2" xfId="34982"/>
    <cellStyle name="解释性文本 3 18 9 3" xfId="34983"/>
    <cellStyle name="解释性文本 3 19" xfId="34984"/>
    <cellStyle name="解释性文本 3 19 10" xfId="30454"/>
    <cellStyle name="解释性文本 3 19 11" xfId="30478"/>
    <cellStyle name="解释性文本 3 19 12" xfId="30483"/>
    <cellStyle name="解释性文本 3 19 13" xfId="30487"/>
    <cellStyle name="解释性文本 3 19 14" xfId="30490"/>
    <cellStyle name="解释性文本 3 19 2" xfId="34985"/>
    <cellStyle name="解释性文本 3 19 3" xfId="34986"/>
    <cellStyle name="解释性文本 3 19 4" xfId="34987"/>
    <cellStyle name="解释性文本 3 19 5" xfId="6660"/>
    <cellStyle name="解释性文本 3 19 5 10" xfId="24791"/>
    <cellStyle name="解释性文本 3 19 5 11" xfId="24793"/>
    <cellStyle name="解释性文本 3 19 5 2" xfId="4903"/>
    <cellStyle name="解释性文本 3 19 5 2 2" xfId="4925"/>
    <cellStyle name="解释性文本 3 19 5 2 2 2" xfId="34564"/>
    <cellStyle name="解释性文本 3 19 5 2 2 3" xfId="34566"/>
    <cellStyle name="解释性文本 3 19 5 2 3" xfId="4931"/>
    <cellStyle name="解释性文本 3 19 5 2 4" xfId="34988"/>
    <cellStyle name="解释性文本 3 19 5 2 5" xfId="34989"/>
    <cellStyle name="解释性文本 3 19 5 2 6" xfId="5120"/>
    <cellStyle name="解释性文本 3 19 5 2 7" xfId="15834"/>
    <cellStyle name="解释性文本 3 19 5 2 8" xfId="15838"/>
    <cellStyle name="解释性文本 3 19 5 3" xfId="5204"/>
    <cellStyle name="解释性文本 3 19 5 4" xfId="11259"/>
    <cellStyle name="解释性文本 3 19 5 5" xfId="11261"/>
    <cellStyle name="解释性文本 3 19 5 6" xfId="11263"/>
    <cellStyle name="解释性文本 3 19 5 6 2" xfId="12250"/>
    <cellStyle name="解释性文本 3 19 5 6 3" xfId="34990"/>
    <cellStyle name="解释性文本 3 19 5 7" xfId="11265"/>
    <cellStyle name="解释性文本 3 19 5 8" xfId="11268"/>
    <cellStyle name="解释性文本 3 19 5 9" xfId="34991"/>
    <cellStyle name="解释性文本 3 19 6" xfId="6664"/>
    <cellStyle name="解释性文本 3 19 6 2" xfId="2984"/>
    <cellStyle name="解释性文本 3 19 6 2 2" xfId="32301"/>
    <cellStyle name="解释性文本 3 19 6 2 3" xfId="3800"/>
    <cellStyle name="解释性文本 3 19 6 3" xfId="3010"/>
    <cellStyle name="解释性文本 3 19 6 4" xfId="3019"/>
    <cellStyle name="解释性文本 3 19 6 5" xfId="3027"/>
    <cellStyle name="解释性文本 3 19 6 6" xfId="34992"/>
    <cellStyle name="解释性文本 3 19 6 7" xfId="34993"/>
    <cellStyle name="解释性文本 3 19 6 8" xfId="34994"/>
    <cellStyle name="解释性文本 3 19 7" xfId="11272"/>
    <cellStyle name="解释性文本 3 19 8" xfId="11277"/>
    <cellStyle name="解释性文本 3 19 9" xfId="11282"/>
    <cellStyle name="解释性文本 3 19 9 2" xfId="11284"/>
    <cellStyle name="解释性文本 3 19 9 3" xfId="11288"/>
    <cellStyle name="解释性文本 3 2" xfId="34995"/>
    <cellStyle name="解释性文本 3 2 10" xfId="34002"/>
    <cellStyle name="解释性文本 3 2 11" xfId="34004"/>
    <cellStyle name="解释性文本 3 2 12" xfId="34996"/>
    <cellStyle name="解释性文本 3 2 13" xfId="34997"/>
    <cellStyle name="解释性文本 3 2 14" xfId="34998"/>
    <cellStyle name="解释性文本 3 2 2" xfId="19607"/>
    <cellStyle name="解释性文本 3 2 3" xfId="19612"/>
    <cellStyle name="解释性文本 3 2 4" xfId="31332"/>
    <cellStyle name="解释性文本 3 2 5" xfId="31334"/>
    <cellStyle name="解释性文本 3 2 6" xfId="34999"/>
    <cellStyle name="解释性文本 3 2 7" xfId="35000"/>
    <cellStyle name="解释性文本 3 2 8" xfId="35001"/>
    <cellStyle name="解释性文本 3 2 9" xfId="10875"/>
    <cellStyle name="解释性文本 3 20" xfId="32844"/>
    <cellStyle name="解释性文本 3 20 10" xfId="35002"/>
    <cellStyle name="解释性文本 3 20 11" xfId="35003"/>
    <cellStyle name="解释性文本 3 20 12" xfId="35004"/>
    <cellStyle name="解释性文本 3 20 13" xfId="30872"/>
    <cellStyle name="解释性文本 3 20 14" xfId="16602"/>
    <cellStyle name="解释性文本 3 20 2" xfId="35005"/>
    <cellStyle name="解释性文本 3 20 3" xfId="35006"/>
    <cellStyle name="解释性文本 3 20 4" xfId="7587"/>
    <cellStyle name="解释性文本 3 20 5" xfId="7919"/>
    <cellStyle name="解释性文本 3 20 5 10" xfId="35009"/>
    <cellStyle name="解释性文本 3 20 5 11" xfId="35013"/>
    <cellStyle name="解释性文本 3 20 5 2" xfId="9422"/>
    <cellStyle name="解释性文本 3 20 5 2 2" xfId="19942"/>
    <cellStyle name="解释性文本 3 20 5 2 2 2" xfId="19944"/>
    <cellStyle name="解释性文本 3 20 5 2 2 3" xfId="19947"/>
    <cellStyle name="解释性文本 3 20 5 2 3" xfId="19956"/>
    <cellStyle name="解释性文本 3 20 5 2 4" xfId="19959"/>
    <cellStyle name="解释性文本 3 20 5 2 5" xfId="19962"/>
    <cellStyle name="解释性文本 3 20 5 2 6" xfId="19966"/>
    <cellStyle name="解释性文本 3 20 5 2 7" xfId="19972"/>
    <cellStyle name="解释性文本 3 20 5 2 8" xfId="19978"/>
    <cellStyle name="解释性文本 3 20 5 3" xfId="9426"/>
    <cellStyle name="解释性文本 3 20 5 4" xfId="9435"/>
    <cellStyle name="解释性文本 3 20 5 5" xfId="16389"/>
    <cellStyle name="解释性文本 3 20 5 6" xfId="16397"/>
    <cellStyle name="解释性文本 3 20 5 6 2" xfId="7660"/>
    <cellStyle name="解释性文本 3 20 5 6 3" xfId="19999"/>
    <cellStyle name="解释性文本 3 20 5 7" xfId="16777"/>
    <cellStyle name="解释性文本 3 20 5 8" xfId="35015"/>
    <cellStyle name="解释性文本 3 20 5 9" xfId="34738"/>
    <cellStyle name="解释性文本 3 20 6" xfId="28871"/>
    <cellStyle name="解释性文本 3 20 6 2" xfId="9586"/>
    <cellStyle name="解释性文本 3 20 6 2 2" xfId="22897"/>
    <cellStyle name="解释性文本 3 20 6 2 3" xfId="22900"/>
    <cellStyle name="解释性文本 3 20 6 3" xfId="9593"/>
    <cellStyle name="解释性文本 3 20 6 4" xfId="9601"/>
    <cellStyle name="解释性文本 3 20 6 5" xfId="11516"/>
    <cellStyle name="解释性文本 3 20 6 6" xfId="12881"/>
    <cellStyle name="解释性文本 3 20 6 7" xfId="12886"/>
    <cellStyle name="解释性文本 3 20 6 8" xfId="35017"/>
    <cellStyle name="解释性文本 3 20 7" xfId="28874"/>
    <cellStyle name="解释性文本 3 20 8" xfId="28877"/>
    <cellStyle name="解释性文本 3 20 9" xfId="28880"/>
    <cellStyle name="解释性文本 3 20 9 2" xfId="35018"/>
    <cellStyle name="解释性文本 3 20 9 3" xfId="35019"/>
    <cellStyle name="解释性文本 3 3" xfId="35020"/>
    <cellStyle name="解释性文本 3 3 10" xfId="14728"/>
    <cellStyle name="解释性文本 3 3 11" xfId="16547"/>
    <cellStyle name="解释性文本 3 3 12" xfId="16551"/>
    <cellStyle name="解释性文本 3 3 13" xfId="16554"/>
    <cellStyle name="解释性文本 3 3 14" xfId="22718"/>
    <cellStyle name="解释性文本 3 3 2" xfId="34303"/>
    <cellStyle name="解释性文本 3 3 3" xfId="35021"/>
    <cellStyle name="解释性文本 3 3 4" xfId="35022"/>
    <cellStyle name="解释性文本 3 3 5" xfId="35023"/>
    <cellStyle name="解释性文本 3 3 6" xfId="35024"/>
    <cellStyle name="解释性文本 3 3 7" xfId="18073"/>
    <cellStyle name="解释性文本 3 3 8" xfId="2284"/>
    <cellStyle name="解释性文本 3 3 9" xfId="832"/>
    <cellStyle name="解释性文本 3 4" xfId="35025"/>
    <cellStyle name="解释性文本 3 4 10" xfId="16588"/>
    <cellStyle name="解释性文本 3 4 11" xfId="16590"/>
    <cellStyle name="解释性文本 3 4 12" xfId="16593"/>
    <cellStyle name="解释性文本 3 4 13" xfId="300"/>
    <cellStyle name="解释性文本 3 4 14" xfId="5057"/>
    <cellStyle name="解释性文本 3 4 2" xfId="25722"/>
    <cellStyle name="解释性文本 3 4 3" xfId="35026"/>
    <cellStyle name="解释性文本 3 4 4" xfId="15319"/>
    <cellStyle name="解释性文本 3 4 5" xfId="15325"/>
    <cellStyle name="解释性文本 3 4 6" xfId="35027"/>
    <cellStyle name="解释性文本 3 4 7" xfId="35028"/>
    <cellStyle name="解释性文本 3 4 8" xfId="35029"/>
    <cellStyle name="解释性文本 3 4 9" xfId="9510"/>
    <cellStyle name="解释性文本 3 5" xfId="35030"/>
    <cellStyle name="解释性文本 3 6" xfId="35031"/>
    <cellStyle name="解释性文本 3 7" xfId="35032"/>
    <cellStyle name="解释性文本 3 8" xfId="35033"/>
    <cellStyle name="解释性文本 3 9" xfId="35034"/>
    <cellStyle name="解释性文本 4" xfId="3796"/>
    <cellStyle name="解释性文本 4 10" xfId="11971"/>
    <cellStyle name="解释性文本 4 11" xfId="35035"/>
    <cellStyle name="解释性文本 4 12" xfId="35036"/>
    <cellStyle name="解释性文本 4 13" xfId="35037"/>
    <cellStyle name="解释性文本 4 14" xfId="35038"/>
    <cellStyle name="解释性文本 4 15" xfId="35039"/>
    <cellStyle name="解释性文本 4 16" xfId="35041"/>
    <cellStyle name="解释性文本 4 17" xfId="35042"/>
    <cellStyle name="解释性文本 4 17 10" xfId="35043"/>
    <cellStyle name="解释性文本 4 17 11" xfId="28120"/>
    <cellStyle name="解释性文本 4 17 12" xfId="28122"/>
    <cellStyle name="解释性文本 4 17 13" xfId="35044"/>
    <cellStyle name="解释性文本 4 17 14" xfId="35045"/>
    <cellStyle name="解释性文本 4 17 2" xfId="35046"/>
    <cellStyle name="解释性文本 4 17 3" xfId="35047"/>
    <cellStyle name="解释性文本 4 17 4" xfId="35048"/>
    <cellStyle name="解释性文本 4 17 5" xfId="35049"/>
    <cellStyle name="解释性文本 4 17 5 10" xfId="19048"/>
    <cellStyle name="解释性文本 4 17 5 11" xfId="15944"/>
    <cellStyle name="解释性文本 4 17 5 2" xfId="35050"/>
    <cellStyle name="解释性文本 4 17 5 2 2" xfId="25780"/>
    <cellStyle name="解释性文本 4 17 5 2 2 2" xfId="35052"/>
    <cellStyle name="解释性文本 4 17 5 2 2 3" xfId="35054"/>
    <cellStyle name="解释性文本 4 17 5 2 3" xfId="35055"/>
    <cellStyle name="解释性文本 4 17 5 2 4" xfId="35056"/>
    <cellStyle name="解释性文本 4 17 5 2 5" xfId="35057"/>
    <cellStyle name="解释性文本 4 17 5 2 6" xfId="4190"/>
    <cellStyle name="解释性文本 4 17 5 2 7" xfId="21749"/>
    <cellStyle name="解释性文本 4 17 5 2 8" xfId="18764"/>
    <cellStyle name="解释性文本 4 17 5 3" xfId="27531"/>
    <cellStyle name="解释性文本 4 17 5 4" xfId="27533"/>
    <cellStyle name="解释性文本 4 17 5 5" xfId="27535"/>
    <cellStyle name="解释性文本 4 17 5 6" xfId="27537"/>
    <cellStyle name="解释性文本 4 17 5 6 2" xfId="35058"/>
    <cellStyle name="解释性文本 4 17 5 6 3" xfId="35059"/>
    <cellStyle name="解释性文本 4 17 5 7" xfId="27539"/>
    <cellStyle name="解释性文本 4 17 5 8" xfId="35060"/>
    <cellStyle name="解释性文本 4 17 5 9" xfId="35061"/>
    <cellStyle name="解释性文本 4 17 6" xfId="35062"/>
    <cellStyle name="解释性文本 4 17 6 2" xfId="35063"/>
    <cellStyle name="解释性文本 4 17 6 2 2" xfId="28044"/>
    <cellStyle name="解释性文本 4 17 6 2 3" xfId="35064"/>
    <cellStyle name="解释性文本 4 17 6 3" xfId="35065"/>
    <cellStyle name="解释性文本 4 17 6 4" xfId="35066"/>
    <cellStyle name="解释性文本 4 17 6 5" xfId="35067"/>
    <cellStyle name="解释性文本 4 17 6 6" xfId="35068"/>
    <cellStyle name="解释性文本 4 17 6 7" xfId="28137"/>
    <cellStyle name="解释性文本 4 17 6 8" xfId="28139"/>
    <cellStyle name="解释性文本 4 17 7" xfId="18095"/>
    <cellStyle name="解释性文本 4 17 8" xfId="18097"/>
    <cellStyle name="解释性文本 4 17 9" xfId="24809"/>
    <cellStyle name="解释性文本 4 17 9 2" xfId="10676"/>
    <cellStyle name="解释性文本 4 17 9 3" xfId="10685"/>
    <cellStyle name="解释性文本 4 18" xfId="35069"/>
    <cellStyle name="解释性文本 4 18 10" xfId="6511"/>
    <cellStyle name="解释性文本 4 18 11" xfId="282"/>
    <cellStyle name="解释性文本 4 18 12" xfId="6517"/>
    <cellStyle name="解释性文本 4 18 13" xfId="35070"/>
    <cellStyle name="解释性文本 4 18 14" xfId="35071"/>
    <cellStyle name="解释性文本 4 18 2" xfId="24942"/>
    <cellStyle name="解释性文本 4 18 3" xfId="35072"/>
    <cellStyle name="解释性文本 4 18 4" xfId="35073"/>
    <cellStyle name="解释性文本 4 18 5" xfId="35075"/>
    <cellStyle name="解释性文本 4 18 5 10" xfId="35076"/>
    <cellStyle name="解释性文本 4 18 5 11" xfId="35077"/>
    <cellStyle name="解释性文本 4 18 5 2" xfId="14466"/>
    <cellStyle name="解释性文本 4 18 5 2 2" xfId="35078"/>
    <cellStyle name="解释性文本 4 18 5 2 2 2" xfId="35079"/>
    <cellStyle name="解释性文本 4 18 5 2 2 3" xfId="35080"/>
    <cellStyle name="解释性文本 4 18 5 2 3" xfId="35081"/>
    <cellStyle name="解释性文本 4 18 5 2 4" xfId="35082"/>
    <cellStyle name="解释性文本 4 18 5 2 5" xfId="35083"/>
    <cellStyle name="解释性文本 4 18 5 2 6" xfId="30921"/>
    <cellStyle name="解释性文本 4 18 5 2 7" xfId="30924"/>
    <cellStyle name="解释性文本 4 18 5 2 8" xfId="33266"/>
    <cellStyle name="解释性文本 4 18 5 3" xfId="24396"/>
    <cellStyle name="解释性文本 4 18 5 4" xfId="24399"/>
    <cellStyle name="解释性文本 4 18 5 5" xfId="35085"/>
    <cellStyle name="解释性文本 4 18 5 6" xfId="35086"/>
    <cellStyle name="解释性文本 4 18 5 6 2" xfId="4618"/>
    <cellStyle name="解释性文本 4 18 5 6 3" xfId="4626"/>
    <cellStyle name="解释性文本 4 18 5 7" xfId="35087"/>
    <cellStyle name="解释性文本 4 18 5 8" xfId="35088"/>
    <cellStyle name="解释性文本 4 18 5 9" xfId="35089"/>
    <cellStyle name="解释性文本 4 18 6" xfId="35091"/>
    <cellStyle name="解释性文本 4 18 6 2" xfId="17108"/>
    <cellStyle name="解释性文本 4 18 6 2 2" xfId="35092"/>
    <cellStyle name="解释性文本 4 18 6 2 3" xfId="8821"/>
    <cellStyle name="解释性文本 4 18 6 3" xfId="24428"/>
    <cellStyle name="解释性文本 4 18 6 4" xfId="24431"/>
    <cellStyle name="解释性文本 4 18 6 5" xfId="35094"/>
    <cellStyle name="解释性文本 4 18 6 6" xfId="35095"/>
    <cellStyle name="解释性文本 4 18 6 7" xfId="35096"/>
    <cellStyle name="解释性文本 4 18 6 8" xfId="35097"/>
    <cellStyle name="解释性文本 4 18 7" xfId="35099"/>
    <cellStyle name="解释性文本 4 18 8" xfId="35101"/>
    <cellStyle name="解释性文本 4 18 9" xfId="14165"/>
    <cellStyle name="解释性文本 4 18 9 2" xfId="35103"/>
    <cellStyle name="解释性文本 4 18 9 3" xfId="35105"/>
    <cellStyle name="解释性文本 4 19" xfId="35106"/>
    <cellStyle name="解释性文本 4 19 10" xfId="24093"/>
    <cellStyle name="解释性文本 4 19 11" xfId="24097"/>
    <cellStyle name="解释性文本 4 19 12" xfId="24100"/>
    <cellStyle name="解释性文本 4 19 13" xfId="24103"/>
    <cellStyle name="解释性文本 4 19 14" xfId="35010"/>
    <cellStyle name="解释性文本 4 19 2" xfId="11055"/>
    <cellStyle name="解释性文本 4 19 3" xfId="35107"/>
    <cellStyle name="解释性文本 4 19 4" xfId="35108"/>
    <cellStyle name="解释性文本 4 19 5" xfId="35109"/>
    <cellStyle name="解释性文本 4 19 5 10" xfId="2973"/>
    <cellStyle name="解释性文本 4 19 5 11" xfId="2992"/>
    <cellStyle name="解释性文本 4 19 5 2" xfId="35112"/>
    <cellStyle name="解释性文本 4 19 5 2 2" xfId="35114"/>
    <cellStyle name="解释性文本 4 19 5 2 2 2" xfId="35116"/>
    <cellStyle name="解释性文本 4 19 5 2 2 3" xfId="35118"/>
    <cellStyle name="解释性文本 4 19 5 2 3" xfId="35120"/>
    <cellStyle name="解释性文本 4 19 5 2 4" xfId="35122"/>
    <cellStyle name="解释性文本 4 19 5 2 5" xfId="14649"/>
    <cellStyle name="解释性文本 4 19 5 2 6" xfId="14655"/>
    <cellStyle name="解释性文本 4 19 5 2 7" xfId="15112"/>
    <cellStyle name="解释性文本 4 19 5 2 8" xfId="15117"/>
    <cellStyle name="解释性文本 4 19 5 3" xfId="35125"/>
    <cellStyle name="解释性文本 4 19 5 4" xfId="35127"/>
    <cellStyle name="解释性文本 4 19 5 5" xfId="35129"/>
    <cellStyle name="解释性文本 4 19 5 6" xfId="22878"/>
    <cellStyle name="解释性文本 4 19 5 6 2" xfId="35130"/>
    <cellStyle name="解释性文本 4 19 5 6 3" xfId="35131"/>
    <cellStyle name="解释性文本 4 19 5 7" xfId="22880"/>
    <cellStyle name="解释性文本 4 19 5 8" xfId="28358"/>
    <cellStyle name="解释性文本 4 19 5 9" xfId="28365"/>
    <cellStyle name="解释性文本 4 19 6" xfId="35132"/>
    <cellStyle name="解释性文本 4 19 6 2" xfId="32765"/>
    <cellStyle name="解释性文本 4 19 6 2 2" xfId="32768"/>
    <cellStyle name="解释性文本 4 19 6 2 3" xfId="32771"/>
    <cellStyle name="解释性文本 4 19 6 3" xfId="32774"/>
    <cellStyle name="解释性文本 4 19 6 4" xfId="32777"/>
    <cellStyle name="解释性文本 4 19 6 5" xfId="32780"/>
    <cellStyle name="解释性文本 4 19 6 6" xfId="24276"/>
    <cellStyle name="解释性文本 4 19 6 7" xfId="24278"/>
    <cellStyle name="解释性文本 4 19 6 8" xfId="24280"/>
    <cellStyle name="解释性文本 4 19 7" xfId="35133"/>
    <cellStyle name="解释性文本 4 19 8" xfId="35134"/>
    <cellStyle name="解释性文本 4 19 9" xfId="35135"/>
    <cellStyle name="解释性文本 4 19 9 2" xfId="35136"/>
    <cellStyle name="解释性文本 4 19 9 3" xfId="35137"/>
    <cellStyle name="解释性文本 4 2" xfId="35138"/>
    <cellStyle name="解释性文本 4 20" xfId="35040"/>
    <cellStyle name="解释性文本 4 20 10" xfId="4460"/>
    <cellStyle name="解释性文本 4 20 11" xfId="4475"/>
    <cellStyle name="解释性文本 4 20 12" xfId="4487"/>
    <cellStyle name="解释性文本 4 20 13" xfId="4501"/>
    <cellStyle name="解释性文本 4 20 14" xfId="4511"/>
    <cellStyle name="解释性文本 4 20 2" xfId="35139"/>
    <cellStyle name="解释性文本 4 20 3" xfId="35140"/>
    <cellStyle name="解释性文本 4 20 4" xfId="35141"/>
    <cellStyle name="解释性文本 4 20 5" xfId="35142"/>
    <cellStyle name="解释性文本 4 20 5 10" xfId="26482"/>
    <cellStyle name="解释性文本 4 20 5 11" xfId="26494"/>
    <cellStyle name="解释性文本 4 20 5 2" xfId="35143"/>
    <cellStyle name="解释性文本 4 20 5 2 2" xfId="5625"/>
    <cellStyle name="解释性文本 4 20 5 2 2 2" xfId="16454"/>
    <cellStyle name="解释性文本 4 20 5 2 2 3" xfId="3960"/>
    <cellStyle name="解释性文本 4 20 5 2 3" xfId="5630"/>
    <cellStyle name="解释性文本 4 20 5 2 4" xfId="5637"/>
    <cellStyle name="解释性文本 4 20 5 2 5" xfId="3034"/>
    <cellStyle name="解释性文本 4 20 5 2 6" xfId="3045"/>
    <cellStyle name="解释性文本 4 20 5 2 7" xfId="5849"/>
    <cellStyle name="解释性文本 4 20 5 2 8" xfId="5855"/>
    <cellStyle name="解释性文本 4 20 5 3" xfId="35144"/>
    <cellStyle name="解释性文本 4 20 5 4" xfId="35145"/>
    <cellStyle name="解释性文本 4 20 5 5" xfId="34792"/>
    <cellStyle name="解释性文本 4 20 5 6" xfId="34794"/>
    <cellStyle name="解释性文本 4 20 5 6 2" xfId="26485"/>
    <cellStyle name="解释性文本 4 20 5 6 3" xfId="26487"/>
    <cellStyle name="解释性文本 4 20 5 7" xfId="34796"/>
    <cellStyle name="解释性文本 4 20 5 8" xfId="34798"/>
    <cellStyle name="解释性文本 4 20 5 9" xfId="34800"/>
    <cellStyle name="解释性文本 4 20 6" xfId="35146"/>
    <cellStyle name="解释性文本 4 20 6 2" xfId="32726"/>
    <cellStyle name="解释性文本 4 20 6 2 2" xfId="32729"/>
    <cellStyle name="解释性文本 4 20 6 2 3" xfId="32732"/>
    <cellStyle name="解释性文本 4 20 6 3" xfId="35147"/>
    <cellStyle name="解释性文本 4 20 6 4" xfId="35149"/>
    <cellStyle name="解释性文本 4 20 6 5" xfId="31350"/>
    <cellStyle name="解释性文本 4 20 6 6" xfId="31353"/>
    <cellStyle name="解释性文本 4 20 6 7" xfId="35151"/>
    <cellStyle name="解释性文本 4 20 6 8" xfId="35153"/>
    <cellStyle name="解释性文本 4 20 7" xfId="35154"/>
    <cellStyle name="解释性文本 4 20 8" xfId="4531"/>
    <cellStyle name="解释性文本 4 20 9" xfId="4541"/>
    <cellStyle name="解释性文本 4 20 9 2" xfId="35155"/>
    <cellStyle name="解释性文本 4 20 9 3" xfId="35156"/>
    <cellStyle name="解释性文本 4 3" xfId="35157"/>
    <cellStyle name="解释性文本 4 4" xfId="35158"/>
    <cellStyle name="解释性文本 4 5" xfId="35159"/>
    <cellStyle name="解释性文本 4 6" xfId="35160"/>
    <cellStyle name="解释性文本 4 7" xfId="35161"/>
    <cellStyle name="解释性文本 4 8" xfId="35162"/>
    <cellStyle name="解释性文本 4 9" xfId="35163"/>
    <cellStyle name="解释性文本 5" xfId="11999"/>
    <cellStyle name="解释性文本 5 10" xfId="2703"/>
    <cellStyle name="解释性文本 5 11" xfId="3100"/>
    <cellStyle name="解释性文本 5 12" xfId="3132"/>
    <cellStyle name="解释性文本 5 13" xfId="3149"/>
    <cellStyle name="解释性文本 5 14" xfId="3161"/>
    <cellStyle name="解释性文本 5 2" xfId="35164"/>
    <cellStyle name="解释性文本 5 3" xfId="35165"/>
    <cellStyle name="解释性文本 5 4" xfId="35166"/>
    <cellStyle name="解释性文本 5 5" xfId="35167"/>
    <cellStyle name="解释性文本 5 6" xfId="35168"/>
    <cellStyle name="解释性文本 5 7" xfId="35169"/>
    <cellStyle name="解释性文本 5 8" xfId="35170"/>
    <cellStyle name="解释性文本 5 9" xfId="35171"/>
    <cellStyle name="解释性文本 6" xfId="12002"/>
    <cellStyle name="解释性文本 6 10" xfId="35172"/>
    <cellStyle name="解释性文本 6 11" xfId="35173"/>
    <cellStyle name="解释性文本 6 12" xfId="35174"/>
    <cellStyle name="解释性文本 6 13" xfId="35175"/>
    <cellStyle name="解释性文本 6 14" xfId="35176"/>
    <cellStyle name="解释性文本 6 2" xfId="35177"/>
    <cellStyle name="解释性文本 6 3" xfId="35178"/>
    <cellStyle name="解释性文本 6 4" xfId="35179"/>
    <cellStyle name="解释性文本 6 5" xfId="35180"/>
    <cellStyle name="解释性文本 6 6" xfId="35181"/>
    <cellStyle name="解释性文本 6 7" xfId="35182"/>
    <cellStyle name="解释性文本 6 8" xfId="35183"/>
    <cellStyle name="解释性文本 6 9" xfId="35184"/>
    <cellStyle name="解释性文本 7" xfId="12005"/>
    <cellStyle name="解释性文本 8" xfId="12008"/>
    <cellStyle name="解释性文本 9" xfId="35185"/>
    <cellStyle name="計算方式" xfId="35186"/>
    <cellStyle name="說明文字" xfId="30178"/>
    <cellStyle name="警告文字" xfId="35187"/>
    <cellStyle name="警告文本 10" xfId="22363"/>
    <cellStyle name="警告文本 11" xfId="22366"/>
    <cellStyle name="警告文本 12" xfId="22369"/>
    <cellStyle name="警告文本 12 10" xfId="29182"/>
    <cellStyle name="警告文本 12 11" xfId="29185"/>
    <cellStyle name="警告文本 12 12" xfId="29188"/>
    <cellStyle name="警告文本 12 13" xfId="29191"/>
    <cellStyle name="警告文本 12 14" xfId="29194"/>
    <cellStyle name="警告文本 12 2" xfId="35188"/>
    <cellStyle name="警告文本 12 3" xfId="35189"/>
    <cellStyle name="警告文本 12 4" xfId="35190"/>
    <cellStyle name="警告文本 12 5" xfId="35191"/>
    <cellStyle name="警告文本 12 5 10" xfId="35192"/>
    <cellStyle name="警告文本 12 5 11" xfId="35193"/>
    <cellStyle name="警告文本 12 5 2" xfId="35194"/>
    <cellStyle name="警告文本 12 5 2 2" xfId="35195"/>
    <cellStyle name="警告文本 12 5 2 2 2" xfId="2834"/>
    <cellStyle name="警告文本 12 5 2 2 3" xfId="2855"/>
    <cellStyle name="警告文本 12 5 2 3" xfId="35196"/>
    <cellStyle name="警告文本 12 5 2 4" xfId="35197"/>
    <cellStyle name="警告文本 12 5 2 5" xfId="35198"/>
    <cellStyle name="警告文本 12 5 2 6" xfId="35199"/>
    <cellStyle name="警告文本 12 5 2 7" xfId="35200"/>
    <cellStyle name="警告文本 12 5 2 8" xfId="35201"/>
    <cellStyle name="警告文本 12 5 3" xfId="35202"/>
    <cellStyle name="警告文本 12 5 4" xfId="35203"/>
    <cellStyle name="警告文本 12 5 5" xfId="35204"/>
    <cellStyle name="警告文本 12 5 6" xfId="35205"/>
    <cellStyle name="警告文本 12 5 6 2" xfId="35206"/>
    <cellStyle name="警告文本 12 5 6 3" xfId="35207"/>
    <cellStyle name="警告文本 12 5 7" xfId="35208"/>
    <cellStyle name="警告文本 12 5 8" xfId="35209"/>
    <cellStyle name="警告文本 12 5 9" xfId="35210"/>
    <cellStyle name="警告文本 12 6" xfId="35211"/>
    <cellStyle name="警告文本 12 6 2" xfId="20629"/>
    <cellStyle name="警告文本 12 6 2 2" xfId="35213"/>
    <cellStyle name="警告文本 12 6 2 3" xfId="10319"/>
    <cellStyle name="警告文本 12 6 3" xfId="35215"/>
    <cellStyle name="警告文本 12 6 4" xfId="35217"/>
    <cellStyle name="警告文本 12 6 5" xfId="35219"/>
    <cellStyle name="警告文本 12 6 6" xfId="35220"/>
    <cellStyle name="警告文本 12 6 7" xfId="35221"/>
    <cellStyle name="警告文本 12 6 8" xfId="25803"/>
    <cellStyle name="警告文本 12 7" xfId="35222"/>
    <cellStyle name="警告文本 12 8" xfId="9302"/>
    <cellStyle name="警告文本 12 9" xfId="9309"/>
    <cellStyle name="警告文本 12 9 2" xfId="9311"/>
    <cellStyle name="警告文本 12 9 3" xfId="9315"/>
    <cellStyle name="警告文本 13" xfId="35223"/>
    <cellStyle name="警告文本 14" xfId="35224"/>
    <cellStyle name="警告文本 15" xfId="35225"/>
    <cellStyle name="警告文本 16" xfId="35226"/>
    <cellStyle name="警告文本 16 10" xfId="35227"/>
    <cellStyle name="警告文本 16 11" xfId="35228"/>
    <cellStyle name="警告文本 16 12" xfId="35229"/>
    <cellStyle name="警告文本 16 13" xfId="35230"/>
    <cellStyle name="警告文本 16 14" xfId="35231"/>
    <cellStyle name="警告文本 16 2" xfId="9702"/>
    <cellStyle name="警告文本 16 3" xfId="7464"/>
    <cellStyle name="警告文本 16 4" xfId="35232"/>
    <cellStyle name="警告文本 16 5" xfId="35233"/>
    <cellStyle name="警告文本 16 5 10" xfId="8583"/>
    <cellStyle name="警告文本 16 5 11" xfId="8590"/>
    <cellStyle name="警告文本 16 5 2" xfId="35234"/>
    <cellStyle name="警告文本 16 5 2 2" xfId="35236"/>
    <cellStyle name="警告文本 16 5 2 2 2" xfId="35238"/>
    <cellStyle name="警告文本 16 5 2 2 3" xfId="35240"/>
    <cellStyle name="警告文本 16 5 2 3" xfId="35242"/>
    <cellStyle name="警告文本 16 5 2 4" xfId="35244"/>
    <cellStyle name="警告文本 16 5 2 5" xfId="35245"/>
    <cellStyle name="警告文本 16 5 2 6" xfId="35246"/>
    <cellStyle name="警告文本 16 5 2 7" xfId="35247"/>
    <cellStyle name="警告文本 16 5 2 8" xfId="29747"/>
    <cellStyle name="警告文本 16 5 3" xfId="35248"/>
    <cellStyle name="警告文本 16 5 4" xfId="35249"/>
    <cellStyle name="警告文本 16 5 5" xfId="35250"/>
    <cellStyle name="警告文本 16 5 6" xfId="35251"/>
    <cellStyle name="警告文本 16 5 6 2" xfId="35252"/>
    <cellStyle name="警告文本 16 5 6 3" xfId="35253"/>
    <cellStyle name="警告文本 16 5 7" xfId="35254"/>
    <cellStyle name="警告文本 16 5 8" xfId="35255"/>
    <cellStyle name="警告文本 16 5 9" xfId="35257"/>
    <cellStyle name="警告文本 16 6" xfId="35258"/>
    <cellStyle name="警告文本 16 6 2" xfId="35259"/>
    <cellStyle name="警告文本 16 6 2 2" xfId="35260"/>
    <cellStyle name="警告文本 16 6 2 3" xfId="35261"/>
    <cellStyle name="警告文本 16 6 3" xfId="35262"/>
    <cellStyle name="警告文本 16 6 4" xfId="35263"/>
    <cellStyle name="警告文本 16 6 5" xfId="35264"/>
    <cellStyle name="警告文本 16 6 6" xfId="35265"/>
    <cellStyle name="警告文本 16 6 7" xfId="35267"/>
    <cellStyle name="警告文本 16 6 8" xfId="35269"/>
    <cellStyle name="警告文本 16 7" xfId="35270"/>
    <cellStyle name="警告文本 16 8" xfId="35271"/>
    <cellStyle name="警告文本 16 9" xfId="25158"/>
    <cellStyle name="警告文本 16 9 2" xfId="18727"/>
    <cellStyle name="警告文本 16 9 3" xfId="18730"/>
    <cellStyle name="警告文本 17" xfId="35272"/>
    <cellStyle name="警告文本 17 10" xfId="35273"/>
    <cellStyle name="警告文本 17 11" xfId="35274"/>
    <cellStyle name="警告文本 17 12" xfId="35275"/>
    <cellStyle name="警告文本 17 13" xfId="35276"/>
    <cellStyle name="警告文本 17 14" xfId="35277"/>
    <cellStyle name="警告文本 17 2" xfId="23593"/>
    <cellStyle name="警告文本 17 3" xfId="23595"/>
    <cellStyle name="警告文本 17 4" xfId="23623"/>
    <cellStyle name="警告文本 17 5" xfId="23640"/>
    <cellStyle name="警告文本 17 5 10" xfId="7569"/>
    <cellStyle name="警告文本 17 5 11" xfId="12112"/>
    <cellStyle name="警告文本 17 5 2" xfId="35278"/>
    <cellStyle name="警告文本 17 5 2 2" xfId="12747"/>
    <cellStyle name="警告文本 17 5 2 2 2" xfId="17817"/>
    <cellStyle name="警告文本 17 5 2 2 3" xfId="17821"/>
    <cellStyle name="警告文本 17 5 2 3" xfId="12757"/>
    <cellStyle name="警告文本 17 5 2 4" xfId="12765"/>
    <cellStyle name="警告文本 17 5 2 5" xfId="12770"/>
    <cellStyle name="警告文本 17 5 2 6" xfId="25673"/>
    <cellStyle name="警告文本 17 5 2 7" xfId="35279"/>
    <cellStyle name="警告文本 17 5 2 8" xfId="35280"/>
    <cellStyle name="警告文本 17 5 3" xfId="35281"/>
    <cellStyle name="警告文本 17 5 4" xfId="35282"/>
    <cellStyle name="警告文本 17 5 5" xfId="35283"/>
    <cellStyle name="警告文本 17 5 6" xfId="35284"/>
    <cellStyle name="警告文本 17 5 6 2" xfId="2817"/>
    <cellStyle name="警告文本 17 5 6 3" xfId="35285"/>
    <cellStyle name="警告文本 17 5 7" xfId="35286"/>
    <cellStyle name="警告文本 17 5 8" xfId="35287"/>
    <cellStyle name="警告文本 17 5 9" xfId="35288"/>
    <cellStyle name="警告文本 17 6" xfId="23642"/>
    <cellStyle name="警告文本 17 6 2" xfId="30357"/>
    <cellStyle name="警告文本 17 6 2 2" xfId="35289"/>
    <cellStyle name="警告文本 17 6 2 3" xfId="35290"/>
    <cellStyle name="警告文本 17 6 3" xfId="30359"/>
    <cellStyle name="警告文本 17 6 4" xfId="30361"/>
    <cellStyle name="警告文本 17 6 5" xfId="35291"/>
    <cellStyle name="警告文本 17 6 6" xfId="35292"/>
    <cellStyle name="警告文本 17 6 7" xfId="35293"/>
    <cellStyle name="警告文本 17 6 8" xfId="35294"/>
    <cellStyle name="警告文本 17 7" xfId="23644"/>
    <cellStyle name="警告文本 17 8" xfId="35295"/>
    <cellStyle name="警告文本 17 9" xfId="34036"/>
    <cellStyle name="警告文本 17 9 2" xfId="21083"/>
    <cellStyle name="警告文本 17 9 3" xfId="21085"/>
    <cellStyle name="警告文本 18" xfId="35296"/>
    <cellStyle name="警告文本 18 10" xfId="35297"/>
    <cellStyle name="警告文本 18 11" xfId="35298"/>
    <cellStyle name="警告文本 18 12" xfId="35299"/>
    <cellStyle name="警告文本 18 13" xfId="35300"/>
    <cellStyle name="警告文本 18 14" xfId="35301"/>
    <cellStyle name="警告文本 18 2" xfId="16116"/>
    <cellStyle name="警告文本 18 3" xfId="7646"/>
    <cellStyle name="警告文本 18 4" xfId="7652"/>
    <cellStyle name="警告文本 18 5" xfId="7658"/>
    <cellStyle name="警告文本 18 5 10" xfId="12522"/>
    <cellStyle name="警告文本 18 5 11" xfId="12533"/>
    <cellStyle name="警告文本 18 5 2" xfId="35302"/>
    <cellStyle name="警告文本 18 5 2 2" xfId="35303"/>
    <cellStyle name="警告文本 18 5 2 2 2" xfId="35304"/>
    <cellStyle name="警告文本 18 5 2 2 3" xfId="17662"/>
    <cellStyle name="警告文本 18 5 2 3" xfId="35305"/>
    <cellStyle name="警告文本 18 5 2 4" xfId="35306"/>
    <cellStyle name="警告文本 18 5 2 5" xfId="35307"/>
    <cellStyle name="警告文本 18 5 2 6" xfId="35308"/>
    <cellStyle name="警告文本 18 5 2 7" xfId="35309"/>
    <cellStyle name="警告文本 18 5 2 8" xfId="35310"/>
    <cellStyle name="警告文本 18 5 3" xfId="35311"/>
    <cellStyle name="警告文本 18 5 4" xfId="35312"/>
    <cellStyle name="警告文本 18 5 5" xfId="35313"/>
    <cellStyle name="警告文本 18 5 6" xfId="35314"/>
    <cellStyle name="警告文本 18 5 6 2" xfId="35315"/>
    <cellStyle name="警告文本 18 5 6 3" xfId="35316"/>
    <cellStyle name="警告文本 18 5 7" xfId="35317"/>
    <cellStyle name="警告文本 18 5 8" xfId="35318"/>
    <cellStyle name="警告文本 18 5 9" xfId="35319"/>
    <cellStyle name="警告文本 18 6" xfId="19996"/>
    <cellStyle name="警告文本 18 6 2" xfId="35320"/>
    <cellStyle name="警告文本 18 6 2 2" xfId="35321"/>
    <cellStyle name="警告文本 18 6 2 3" xfId="30106"/>
    <cellStyle name="警告文本 18 6 3" xfId="20594"/>
    <cellStyle name="警告文本 18 6 4" xfId="20596"/>
    <cellStyle name="警告文本 18 6 5" xfId="35322"/>
    <cellStyle name="警告文本 18 6 6" xfId="35323"/>
    <cellStyle name="警告文本 18 6 7" xfId="35325"/>
    <cellStyle name="警告文本 18 6 8" xfId="35327"/>
    <cellStyle name="警告文本 18 7" xfId="23676"/>
    <cellStyle name="警告文本 18 8" xfId="35329"/>
    <cellStyle name="警告文本 18 9" xfId="35331"/>
    <cellStyle name="警告文本 18 9 2" xfId="35333"/>
    <cellStyle name="警告文本 18 9 3" xfId="35334"/>
    <cellStyle name="警告文本 19" xfId="35335"/>
    <cellStyle name="警告文本 2" xfId="35336"/>
    <cellStyle name="警告文本 2 10" xfId="8373"/>
    <cellStyle name="警告文本 2 11" xfId="8380"/>
    <cellStyle name="警告文本 2 12" xfId="8388"/>
    <cellStyle name="警告文本 2 13" xfId="35337"/>
    <cellStyle name="警告文本 2 14" xfId="35338"/>
    <cellStyle name="警告文本 2 15" xfId="35340"/>
    <cellStyle name="警告文本 2 16" xfId="35341"/>
    <cellStyle name="警告文本 2 17" xfId="35342"/>
    <cellStyle name="警告文本 2 17 10" xfId="35343"/>
    <cellStyle name="警告文本 2 17 11" xfId="35344"/>
    <cellStyle name="警告文本 2 17 12" xfId="35345"/>
    <cellStyle name="警告文本 2 17 13" xfId="35346"/>
    <cellStyle name="警告文本 2 17 14" xfId="17670"/>
    <cellStyle name="警告文本 2 17 2" xfId="35347"/>
    <cellStyle name="警告文本 2 17 3" xfId="35348"/>
    <cellStyle name="警告文本 2 17 4" xfId="35349"/>
    <cellStyle name="警告文本 2 17 5" xfId="35350"/>
    <cellStyle name="警告文本 2 17 5 10" xfId="26922"/>
    <cellStyle name="警告文本 2 17 5 11" xfId="26924"/>
    <cellStyle name="警告文本 2 17 5 2" xfId="35351"/>
    <cellStyle name="警告文本 2 17 5 2 2" xfId="35352"/>
    <cellStyle name="警告文本 2 17 5 2 2 2" xfId="35353"/>
    <cellStyle name="警告文本 2 17 5 2 2 3" xfId="35354"/>
    <cellStyle name="警告文本 2 17 5 2 3" xfId="35355"/>
    <cellStyle name="警告文本 2 17 5 2 4" xfId="35356"/>
    <cellStyle name="警告文本 2 17 5 2 5" xfId="35357"/>
    <cellStyle name="警告文本 2 17 5 2 6" xfId="35358"/>
    <cellStyle name="警告文本 2 17 5 2 7" xfId="35359"/>
    <cellStyle name="警告文本 2 17 5 2 8" xfId="35360"/>
    <cellStyle name="警告文本 2 17 5 3" xfId="22218"/>
    <cellStyle name="警告文本 2 17 5 4" xfId="22224"/>
    <cellStyle name="警告文本 2 17 5 5" xfId="22228"/>
    <cellStyle name="警告文本 2 17 5 6" xfId="22234"/>
    <cellStyle name="警告文本 2 17 5 6 2" xfId="35361"/>
    <cellStyle name="警告文本 2 17 5 6 3" xfId="35362"/>
    <cellStyle name="警告文本 2 17 5 7" xfId="8498"/>
    <cellStyle name="警告文本 2 17 5 8" xfId="8501"/>
    <cellStyle name="警告文本 2 17 5 9" xfId="22236"/>
    <cellStyle name="警告文本 2 17 6" xfId="35363"/>
    <cellStyle name="警告文本 2 17 6 2" xfId="35364"/>
    <cellStyle name="警告文本 2 17 6 2 2" xfId="35366"/>
    <cellStyle name="警告文本 2 17 6 2 3" xfId="35368"/>
    <cellStyle name="警告文本 2 17 6 3" xfId="35369"/>
    <cellStyle name="警告文本 2 17 6 4" xfId="35370"/>
    <cellStyle name="警告文本 2 17 6 5" xfId="35371"/>
    <cellStyle name="警告文本 2 17 6 6" xfId="35372"/>
    <cellStyle name="警告文本 2 17 6 7" xfId="21588"/>
    <cellStyle name="警告文本 2 17 6 8" xfId="21592"/>
    <cellStyle name="警告文本 2 17 7" xfId="35373"/>
    <cellStyle name="警告文本 2 17 8" xfId="35374"/>
    <cellStyle name="警告文本 2 17 9" xfId="35375"/>
    <cellStyle name="警告文本 2 17 9 2" xfId="35376"/>
    <cellStyle name="警告文本 2 17 9 3" xfId="22238"/>
    <cellStyle name="警告文本 2 18" xfId="35377"/>
    <cellStyle name="警告文本 2 18 10" xfId="35378"/>
    <cellStyle name="警告文本 2 18 11" xfId="35379"/>
    <cellStyle name="警告文本 2 18 12" xfId="35380"/>
    <cellStyle name="警告文本 2 18 13" xfId="35381"/>
    <cellStyle name="警告文本 2 18 14" xfId="35382"/>
    <cellStyle name="警告文本 2 18 2" xfId="35385"/>
    <cellStyle name="警告文本 2 18 3" xfId="35388"/>
    <cellStyle name="警告文本 2 18 4" xfId="35390"/>
    <cellStyle name="警告文本 2 18 5" xfId="35392"/>
    <cellStyle name="警告文本 2 18 5 10" xfId="35393"/>
    <cellStyle name="警告文本 2 18 5 11" xfId="35394"/>
    <cellStyle name="警告文本 2 18 5 2" xfId="35396"/>
    <cellStyle name="警告文本 2 18 5 2 2" xfId="17298"/>
    <cellStyle name="警告文本 2 18 5 2 2 2" xfId="17300"/>
    <cellStyle name="警告文本 2 18 5 2 2 3" xfId="17302"/>
    <cellStyle name="警告文本 2 18 5 2 3" xfId="18032"/>
    <cellStyle name="警告文本 2 18 5 2 4" xfId="18034"/>
    <cellStyle name="警告文本 2 18 5 2 5" xfId="18036"/>
    <cellStyle name="警告文本 2 18 5 2 6" xfId="18038"/>
    <cellStyle name="警告文本 2 18 5 2 7" xfId="18040"/>
    <cellStyle name="警告文本 2 18 5 2 8" xfId="18042"/>
    <cellStyle name="警告文本 2 18 5 3" xfId="11820"/>
    <cellStyle name="警告文本 2 18 5 4" xfId="11828"/>
    <cellStyle name="警告文本 2 18 5 5" xfId="31092"/>
    <cellStyle name="警告文本 2 18 5 6" xfId="35397"/>
    <cellStyle name="警告文本 2 18 5 6 2" xfId="17386"/>
    <cellStyle name="警告文本 2 18 5 6 3" xfId="35398"/>
    <cellStyle name="警告文本 2 18 5 7" xfId="35399"/>
    <cellStyle name="警告文本 2 18 5 8" xfId="10150"/>
    <cellStyle name="警告文本 2 18 5 9" xfId="9352"/>
    <cellStyle name="警告文本 2 18 6" xfId="18504"/>
    <cellStyle name="警告文本 2 18 6 2" xfId="35400"/>
    <cellStyle name="警告文本 2 18 6 2 2" xfId="35401"/>
    <cellStyle name="警告文本 2 18 6 2 3" xfId="35402"/>
    <cellStyle name="警告文本 2 18 6 3" xfId="35404"/>
    <cellStyle name="警告文本 2 18 6 4" xfId="35406"/>
    <cellStyle name="警告文本 2 18 6 5" xfId="35407"/>
    <cellStyle name="警告文本 2 18 6 6" xfId="35408"/>
    <cellStyle name="警告文本 2 18 6 7" xfId="1955"/>
    <cellStyle name="警告文本 2 18 6 8" xfId="1842"/>
    <cellStyle name="警告文本 2 18 7" xfId="18507"/>
    <cellStyle name="警告文本 2 18 8" xfId="26992"/>
    <cellStyle name="警告文本 2 18 9" xfId="35409"/>
    <cellStyle name="警告文本 2 18 9 2" xfId="35410"/>
    <cellStyle name="警告文本 2 18 9 3" xfId="35411"/>
    <cellStyle name="警告文本 2 19" xfId="35412"/>
    <cellStyle name="警告文本 2 19 10" xfId="35413"/>
    <cellStyle name="警告文本 2 19 11" xfId="35414"/>
    <cellStyle name="警告文本 2 19 12" xfId="5726"/>
    <cellStyle name="警告文本 2 19 13" xfId="5747"/>
    <cellStyle name="警告文本 2 19 14" xfId="35415"/>
    <cellStyle name="警告文本 2 19 2" xfId="35417"/>
    <cellStyle name="警告文本 2 19 3" xfId="3688"/>
    <cellStyle name="警告文本 2 19 4" xfId="3692"/>
    <cellStyle name="警告文本 2 19 5" xfId="35419"/>
    <cellStyle name="警告文本 2 19 5 10" xfId="35420"/>
    <cellStyle name="警告文本 2 19 5 11" xfId="18165"/>
    <cellStyle name="警告文本 2 19 5 2" xfId="35422"/>
    <cellStyle name="警告文本 2 19 5 2 2" xfId="27790"/>
    <cellStyle name="警告文本 2 19 5 2 2 2" xfId="27793"/>
    <cellStyle name="警告文本 2 19 5 2 2 3" xfId="27814"/>
    <cellStyle name="警告文本 2 19 5 2 3" xfId="27834"/>
    <cellStyle name="警告文本 2 19 5 2 4" xfId="27851"/>
    <cellStyle name="警告文本 2 19 5 2 5" xfId="27854"/>
    <cellStyle name="警告文本 2 19 5 2 6" xfId="27857"/>
    <cellStyle name="警告文本 2 19 5 2 7" xfId="30564"/>
    <cellStyle name="警告文本 2 19 5 2 8" xfId="30566"/>
    <cellStyle name="警告文本 2 19 5 3" xfId="35424"/>
    <cellStyle name="警告文本 2 19 5 4" xfId="31135"/>
    <cellStyle name="警告文本 2 19 5 5" xfId="31138"/>
    <cellStyle name="警告文本 2 19 5 6" xfId="35425"/>
    <cellStyle name="警告文本 2 19 5 6 2" xfId="25790"/>
    <cellStyle name="警告文本 2 19 5 6 3" xfId="27755"/>
    <cellStyle name="警告文本 2 19 5 7" xfId="35426"/>
    <cellStyle name="警告文本 2 19 5 8" xfId="35427"/>
    <cellStyle name="警告文本 2 19 5 9" xfId="9562"/>
    <cellStyle name="警告文本 2 19 6" xfId="35428"/>
    <cellStyle name="警告文本 2 19 6 2" xfId="12978"/>
    <cellStyle name="警告文本 2 19 6 2 2" xfId="35429"/>
    <cellStyle name="警告文本 2 19 6 2 3" xfId="35430"/>
    <cellStyle name="警告文本 2 19 6 3" xfId="12982"/>
    <cellStyle name="警告文本 2 19 6 4" xfId="12987"/>
    <cellStyle name="警告文本 2 19 6 5" xfId="5673"/>
    <cellStyle name="警告文本 2 19 6 6" xfId="5680"/>
    <cellStyle name="警告文本 2 19 6 7" xfId="35431"/>
    <cellStyle name="警告文本 2 19 6 8" xfId="35432"/>
    <cellStyle name="警告文本 2 19 7" xfId="35433"/>
    <cellStyle name="警告文本 2 19 8" xfId="35434"/>
    <cellStyle name="警告文本 2 19 9" xfId="3724"/>
    <cellStyle name="警告文本 2 19 9 2" xfId="35435"/>
    <cellStyle name="警告文本 2 19 9 3" xfId="35436"/>
    <cellStyle name="警告文本 2 2" xfId="9213"/>
    <cellStyle name="警告文本 2 2 10" xfId="25908"/>
    <cellStyle name="警告文本 2 2 11" xfId="35437"/>
    <cellStyle name="警告文本 2 2 12" xfId="35438"/>
    <cellStyle name="警告文本 2 2 13" xfId="35439"/>
    <cellStyle name="警告文本 2 2 14" xfId="35440"/>
    <cellStyle name="警告文本 2 2 2" xfId="35441"/>
    <cellStyle name="警告文本 2 2 3" xfId="35442"/>
    <cellStyle name="警告文本 2 2 4" xfId="11884"/>
    <cellStyle name="警告文本 2 2 5" xfId="11891"/>
    <cellStyle name="警告文本 2 2 6" xfId="11896"/>
    <cellStyle name="警告文本 2 2 7" xfId="11901"/>
    <cellStyle name="警告文本 2 2 8" xfId="11908"/>
    <cellStyle name="警告文本 2 2 9" xfId="35443"/>
    <cellStyle name="警告文本 2 20" xfId="35339"/>
    <cellStyle name="警告文本 2 20 10" xfId="35444"/>
    <cellStyle name="警告文本 2 20 11" xfId="35445"/>
    <cellStyle name="警告文本 2 20 12" xfId="35446"/>
    <cellStyle name="警告文本 2 20 13" xfId="35447"/>
    <cellStyle name="警告文本 2 20 14" xfId="35448"/>
    <cellStyle name="警告文本 2 20 2" xfId="35449"/>
    <cellStyle name="警告文本 2 20 3" xfId="933"/>
    <cellStyle name="警告文本 2 20 4" xfId="971"/>
    <cellStyle name="警告文本 2 20 5" xfId="29671"/>
    <cellStyle name="警告文本 2 20 5 10" xfId="35450"/>
    <cellStyle name="警告文本 2 20 5 11" xfId="35451"/>
    <cellStyle name="警告文本 2 20 5 2" xfId="31098"/>
    <cellStyle name="警告文本 2 20 5 2 2" xfId="31102"/>
    <cellStyle name="警告文本 2 20 5 2 2 2" xfId="13670"/>
    <cellStyle name="警告文本 2 20 5 2 2 3" xfId="31105"/>
    <cellStyle name="警告文本 2 20 5 2 3" xfId="31109"/>
    <cellStyle name="警告文本 2 20 5 2 4" xfId="31112"/>
    <cellStyle name="警告文本 2 20 5 2 5" xfId="31115"/>
    <cellStyle name="警告文本 2 20 5 2 6" xfId="31118"/>
    <cellStyle name="警告文本 2 20 5 2 7" xfId="24043"/>
    <cellStyle name="警告文本 2 20 5 2 8" xfId="24053"/>
    <cellStyle name="警告文本 2 20 5 3" xfId="31122"/>
    <cellStyle name="警告文本 2 20 5 4" xfId="31126"/>
    <cellStyle name="警告文本 2 20 5 5" xfId="31129"/>
    <cellStyle name="警告文本 2 20 5 6" xfId="31132"/>
    <cellStyle name="警告文本 2 20 5 6 2" xfId="31134"/>
    <cellStyle name="警告文本 2 20 5 6 3" xfId="31137"/>
    <cellStyle name="警告文本 2 20 5 7" xfId="35452"/>
    <cellStyle name="警告文本 2 20 5 8" xfId="35453"/>
    <cellStyle name="警告文本 2 20 5 9" xfId="35454"/>
    <cellStyle name="警告文本 2 20 6" xfId="29673"/>
    <cellStyle name="警告文本 2 20 6 2" xfId="35455"/>
    <cellStyle name="警告文本 2 20 6 2 2" xfId="2458"/>
    <cellStyle name="警告文本 2 20 6 2 3" xfId="2474"/>
    <cellStyle name="警告文本 2 20 6 3" xfId="35456"/>
    <cellStyle name="警告文本 2 20 6 4" xfId="35457"/>
    <cellStyle name="警告文本 2 20 6 5" xfId="5088"/>
    <cellStyle name="警告文本 2 20 6 6" xfId="9102"/>
    <cellStyle name="警告文本 2 20 6 7" xfId="35458"/>
    <cellStyle name="警告文本 2 20 6 8" xfId="35459"/>
    <cellStyle name="警告文本 2 20 7" xfId="29675"/>
    <cellStyle name="警告文本 2 20 8" xfId="21664"/>
    <cellStyle name="警告文本 2 20 9" xfId="21246"/>
    <cellStyle name="警告文本 2 20 9 2" xfId="21250"/>
    <cellStyle name="警告文本 2 20 9 3" xfId="11415"/>
    <cellStyle name="警告文本 2 3" xfId="14450"/>
    <cellStyle name="警告文本 2 3 10" xfId="32901"/>
    <cellStyle name="警告文本 2 3 11" xfId="32903"/>
    <cellStyle name="警告文本 2 3 12" xfId="32905"/>
    <cellStyle name="警告文本 2 3 13" xfId="32907"/>
    <cellStyle name="警告文本 2 3 14" xfId="32914"/>
    <cellStyle name="警告文本 2 3 2" xfId="35460"/>
    <cellStyle name="警告文本 2 3 3" xfId="35461"/>
    <cellStyle name="警告文本 2 3 4" xfId="35462"/>
    <cellStyle name="警告文本 2 3 5" xfId="35463"/>
    <cellStyle name="警告文本 2 3 6" xfId="35464"/>
    <cellStyle name="警告文本 2 3 7" xfId="35465"/>
    <cellStyle name="警告文本 2 3 8" xfId="35466"/>
    <cellStyle name="警告文本 2 3 9" xfId="34000"/>
    <cellStyle name="警告文本 2 4" xfId="14454"/>
    <cellStyle name="警告文本 2 4 10" xfId="22078"/>
    <cellStyle name="警告文本 2 4 11" xfId="22153"/>
    <cellStyle name="警告文本 2 4 12" xfId="35467"/>
    <cellStyle name="警告文本 2 4 13" xfId="35468"/>
    <cellStyle name="警告文本 2 4 14" xfId="35469"/>
    <cellStyle name="警告文本 2 4 2" xfId="24358"/>
    <cellStyle name="警告文本 2 4 3" xfId="24363"/>
    <cellStyle name="警告文本 2 4 4" xfId="24368"/>
    <cellStyle name="警告文本 2 4 5" xfId="24372"/>
    <cellStyle name="警告文本 2 4 6" xfId="24376"/>
    <cellStyle name="警告文本 2 4 7" xfId="24380"/>
    <cellStyle name="警告文本 2 4 8" xfId="24382"/>
    <cellStyle name="警告文本 2 4 9" xfId="24384"/>
    <cellStyle name="警告文本 2 5" xfId="14459"/>
    <cellStyle name="警告文本 2 6" xfId="14464"/>
    <cellStyle name="警告文本 2 7" xfId="24394"/>
    <cellStyle name="警告文本 2 8" xfId="24397"/>
    <cellStyle name="警告文本 2 9" xfId="35084"/>
    <cellStyle name="警告文本 3" xfId="35470"/>
    <cellStyle name="警告文本 3 10" xfId="17202"/>
    <cellStyle name="警告文本 3 11" xfId="17207"/>
    <cellStyle name="警告文本 3 12" xfId="17212"/>
    <cellStyle name="警告文本 3 13" xfId="14915"/>
    <cellStyle name="警告文本 3 14" xfId="14920"/>
    <cellStyle name="警告文本 3 15" xfId="18822"/>
    <cellStyle name="警告文本 3 16" xfId="35471"/>
    <cellStyle name="警告文本 3 17" xfId="35472"/>
    <cellStyle name="警告文本 3 17 10" xfId="30443"/>
    <cellStyle name="警告文本 3 17 11" xfId="30446"/>
    <cellStyle name="警告文本 3 17 12" xfId="35473"/>
    <cellStyle name="警告文本 3 17 13" xfId="35474"/>
    <cellStyle name="警告文本 3 17 14" xfId="35475"/>
    <cellStyle name="警告文本 3 17 2" xfId="35476"/>
    <cellStyle name="警告文本 3 17 2 2" xfId="35477"/>
    <cellStyle name="警告文本 3 17 3" xfId="35478"/>
    <cellStyle name="警告文本 3 17 4" xfId="35479"/>
    <cellStyle name="警告文本 3 17 5" xfId="35480"/>
    <cellStyle name="警告文本 3 17 5 10" xfId="35482"/>
    <cellStyle name="警告文本 3 17 5 11" xfId="35484"/>
    <cellStyle name="警告文本 3 17 5 2" xfId="35487"/>
    <cellStyle name="警告文本 3 17 5 2 2" xfId="35488"/>
    <cellStyle name="警告文本 3 17 5 2 2 2" xfId="17277"/>
    <cellStyle name="警告文本 3 17 5 2 2 3" xfId="17280"/>
    <cellStyle name="警告文本 3 17 5 2 3" xfId="35489"/>
    <cellStyle name="警告文本 3 17 5 2 4" xfId="35490"/>
    <cellStyle name="警告文本 3 17 5 2 5" xfId="35492"/>
    <cellStyle name="警告文本 3 17 5 2 6" xfId="35494"/>
    <cellStyle name="警告文本 3 17 5 2 7" xfId="33396"/>
    <cellStyle name="警告文本 3 17 5 2 8" xfId="33398"/>
    <cellStyle name="警告文本 3 17 5 3" xfId="35496"/>
    <cellStyle name="警告文本 3 17 5 4" xfId="35498"/>
    <cellStyle name="警告文本 3 17 5 5" xfId="35500"/>
    <cellStyle name="警告文本 3 17 5 6" xfId="35502"/>
    <cellStyle name="警告文本 3 17 5 6 2" xfId="35504"/>
    <cellStyle name="警告文本 3 17 5 6 3" xfId="35506"/>
    <cellStyle name="警告文本 3 17 5 7" xfId="35508"/>
    <cellStyle name="警告文本 3 17 5 8" xfId="8702"/>
    <cellStyle name="警告文本 3 17 5 9" xfId="8707"/>
    <cellStyle name="警告文本 3 17 6" xfId="28616"/>
    <cellStyle name="警告文本 3 17 6 2" xfId="35511"/>
    <cellStyle name="警告文本 3 17 6 2 2" xfId="35512"/>
    <cellStyle name="警告文本 3 17 6 2 3" xfId="35513"/>
    <cellStyle name="警告文本 3 17 6 3" xfId="35515"/>
    <cellStyle name="警告文本 3 17 6 4" xfId="25037"/>
    <cellStyle name="警告文本 3 17 6 5" xfId="25042"/>
    <cellStyle name="警告文本 3 17 6 6" xfId="35517"/>
    <cellStyle name="警告文本 3 17 6 7" xfId="7764"/>
    <cellStyle name="警告文本 3 17 6 8" xfId="7774"/>
    <cellStyle name="警告文本 3 17 7" xfId="28619"/>
    <cellStyle name="警告文本 3 17 8" xfId="28622"/>
    <cellStyle name="警告文本 3 17 9" xfId="28624"/>
    <cellStyle name="警告文本 3 17 9 2" xfId="10615"/>
    <cellStyle name="警告文本 3 17 9 3" xfId="15362"/>
    <cellStyle name="警告文本 3 18" xfId="35518"/>
    <cellStyle name="警告文本 3 18 10" xfId="35519"/>
    <cellStyle name="警告文本 3 18 11" xfId="35520"/>
    <cellStyle name="警告文本 3 18 12" xfId="35521"/>
    <cellStyle name="警告文本 3 18 13" xfId="35522"/>
    <cellStyle name="警告文本 3 18 14" xfId="35523"/>
    <cellStyle name="警告文本 3 18 2" xfId="21788"/>
    <cellStyle name="警告文本 3 18 3" xfId="21791"/>
    <cellStyle name="警告文本 3 18 4" xfId="21795"/>
    <cellStyle name="警告文本 3 18 5" xfId="4885"/>
    <cellStyle name="警告文本 3 18 5 10" xfId="32862"/>
    <cellStyle name="警告文本 3 18 5 11" xfId="24852"/>
    <cellStyle name="警告文本 3 18 5 2" xfId="17628"/>
    <cellStyle name="警告文本 3 18 5 2 2" xfId="35524"/>
    <cellStyle name="警告文本 3 18 5 2 2 2" xfId="35525"/>
    <cellStyle name="警告文本 3 18 5 2 2 3" xfId="35526"/>
    <cellStyle name="警告文本 3 18 5 2 3" xfId="14892"/>
    <cellStyle name="警告文本 3 18 5 2 4" xfId="14898"/>
    <cellStyle name="警告文本 3 18 5 2 5" xfId="14903"/>
    <cellStyle name="警告文本 3 18 5 2 6" xfId="14908"/>
    <cellStyle name="警告文本 3 18 5 2 7" xfId="14237"/>
    <cellStyle name="警告文本 3 18 5 2 8" xfId="14243"/>
    <cellStyle name="警告文本 3 18 5 3" xfId="17632"/>
    <cellStyle name="警告文本 3 18 5 4" xfId="17635"/>
    <cellStyle name="警告文本 3 18 5 5" xfId="17638"/>
    <cellStyle name="警告文本 3 18 5 6" xfId="12349"/>
    <cellStyle name="警告文本 3 18 5 6 2" xfId="35527"/>
    <cellStyle name="警告文本 3 18 5 6 3" xfId="35528"/>
    <cellStyle name="警告文本 3 18 5 7" xfId="35529"/>
    <cellStyle name="警告文本 3 18 5 8" xfId="35530"/>
    <cellStyle name="警告文本 3 18 5 9" xfId="8829"/>
    <cellStyle name="警告文本 3 18 6" xfId="4889"/>
    <cellStyle name="警告文本 3 18 6 2" xfId="35532"/>
    <cellStyle name="警告文本 3 18 6 2 2" xfId="35533"/>
    <cellStyle name="警告文本 3 18 6 2 3" xfId="5493"/>
    <cellStyle name="警告文本 3 18 6 3" xfId="35534"/>
    <cellStyle name="警告文本 3 18 6 4" xfId="35535"/>
    <cellStyle name="警告文本 3 18 6 5" xfId="35537"/>
    <cellStyle name="警告文本 3 18 6 6" xfId="35539"/>
    <cellStyle name="警告文本 3 18 6 7" xfId="7505"/>
    <cellStyle name="警告文本 3 18 6 8" xfId="5581"/>
    <cellStyle name="警告文本 3 18 7" xfId="35540"/>
    <cellStyle name="警告文本 3 18 8" xfId="35541"/>
    <cellStyle name="警告文本 3 18 9" xfId="35542"/>
    <cellStyle name="警告文本 3 18 9 2" xfId="35543"/>
    <cellStyle name="警告文本 3 18 9 3" xfId="35544"/>
    <cellStyle name="警告文本 3 19" xfId="20100"/>
    <cellStyle name="警告文本 3 19 10" xfId="32599"/>
    <cellStyle name="警告文本 3 19 11" xfId="35545"/>
    <cellStyle name="警告文本 3 19 12" xfId="31883"/>
    <cellStyle name="警告文本 3 19 13" xfId="18628"/>
    <cellStyle name="警告文本 3 19 14" xfId="18634"/>
    <cellStyle name="警告文本 3 19 2" xfId="31518"/>
    <cellStyle name="警告文本 3 19 3" xfId="6702"/>
    <cellStyle name="警告文本 3 19 4" xfId="35547"/>
    <cellStyle name="警告文本 3 19 5" xfId="35549"/>
    <cellStyle name="警告文本 3 19 5 10" xfId="32984"/>
    <cellStyle name="警告文本 3 19 5 11" xfId="18475"/>
    <cellStyle name="警告文本 3 19 5 2" xfId="35551"/>
    <cellStyle name="警告文本 3 19 5 2 2" xfId="35553"/>
    <cellStyle name="警告文本 3 19 5 2 2 2" xfId="35554"/>
    <cellStyle name="警告文本 3 19 5 2 2 3" xfId="35555"/>
    <cellStyle name="警告文本 3 19 5 2 3" xfId="35556"/>
    <cellStyle name="警告文本 3 19 5 2 4" xfId="35557"/>
    <cellStyle name="警告文本 3 19 5 2 5" xfId="33185"/>
    <cellStyle name="警告文本 3 19 5 2 6" xfId="33189"/>
    <cellStyle name="警告文本 3 19 5 2 7" xfId="33996"/>
    <cellStyle name="警告文本 3 19 5 2 8" xfId="33998"/>
    <cellStyle name="警告文本 3 19 5 3" xfId="35559"/>
    <cellStyle name="警告文本 3 19 5 4" xfId="35560"/>
    <cellStyle name="警告文本 3 19 5 5" xfId="35561"/>
    <cellStyle name="警告文本 3 19 5 6" xfId="35562"/>
    <cellStyle name="警告文本 3 19 5 6 2" xfId="35564"/>
    <cellStyle name="警告文本 3 19 5 6 3" xfId="35566"/>
    <cellStyle name="警告文本 3 19 5 7" xfId="34247"/>
    <cellStyle name="警告文本 3 19 5 8" xfId="34249"/>
    <cellStyle name="警告文本 3 19 5 9" xfId="10121"/>
    <cellStyle name="警告文本 3 19 6" xfId="35567"/>
    <cellStyle name="警告文本 3 19 6 2" xfId="35568"/>
    <cellStyle name="警告文本 3 19 6 2 2" xfId="35569"/>
    <cellStyle name="警告文本 3 19 6 2 3" xfId="35570"/>
    <cellStyle name="警告文本 3 19 6 3" xfId="35571"/>
    <cellStyle name="警告文本 3 19 6 4" xfId="35572"/>
    <cellStyle name="警告文本 3 19 6 5" xfId="35574"/>
    <cellStyle name="警告文本 3 19 6 6" xfId="35576"/>
    <cellStyle name="警告文本 3 19 6 7" xfId="35577"/>
    <cellStyle name="警告文本 3 19 6 8" xfId="35578"/>
    <cellStyle name="警告文本 3 19 7" xfId="35579"/>
    <cellStyle name="警告文本 3 19 8" xfId="35580"/>
    <cellStyle name="警告文本 3 19 9" xfId="35581"/>
    <cellStyle name="警告文本 3 19 9 2" xfId="35582"/>
    <cellStyle name="警告文本 3 19 9 3" xfId="35583"/>
    <cellStyle name="警告文本 3 2" xfId="17071"/>
    <cellStyle name="警告文本 3 2 10" xfId="29337"/>
    <cellStyle name="警告文本 3 2 11" xfId="26095"/>
    <cellStyle name="警告文本 3 2 12" xfId="33458"/>
    <cellStyle name="警告文本 3 2 13" xfId="33460"/>
    <cellStyle name="警告文本 3 2 14" xfId="35584"/>
    <cellStyle name="警告文本 3 2 2" xfId="35585"/>
    <cellStyle name="警告文本 3 2 3" xfId="35586"/>
    <cellStyle name="警告文本 3 2 4" xfId="17087"/>
    <cellStyle name="警告文本 3 2 5" xfId="12781"/>
    <cellStyle name="警告文本 3 2 6" xfId="35587"/>
    <cellStyle name="警告文本 3 2 7" xfId="35588"/>
    <cellStyle name="警告文本 3 2 8" xfId="35589"/>
    <cellStyle name="警告文本 3 2 9" xfId="35590"/>
    <cellStyle name="警告文本 3 20" xfId="18821"/>
    <cellStyle name="警告文本 3 20 10" xfId="35591"/>
    <cellStyle name="警告文本 3 20 11" xfId="35592"/>
    <cellStyle name="警告文本 3 20 12" xfId="35593"/>
    <cellStyle name="警告文本 3 20 13" xfId="35594"/>
    <cellStyle name="警告文本 3 20 14" xfId="35595"/>
    <cellStyle name="警告文本 3 20 2" xfId="34663"/>
    <cellStyle name="警告文本 3 20 3" xfId="23173"/>
    <cellStyle name="警告文本 3 20 4" xfId="23177"/>
    <cellStyle name="警告文本 3 20 5" xfId="23180"/>
    <cellStyle name="警告文本 3 20 5 10" xfId="35596"/>
    <cellStyle name="警告文本 3 20 5 11" xfId="35597"/>
    <cellStyle name="警告文本 3 20 5 2" xfId="35598"/>
    <cellStyle name="警告文本 3 20 5 2 2" xfId="31303"/>
    <cellStyle name="警告文本 3 20 5 2 2 2" xfId="35599"/>
    <cellStyle name="警告文本 3 20 5 2 2 3" xfId="35600"/>
    <cellStyle name="警告文本 3 20 5 2 3" xfId="31305"/>
    <cellStyle name="警告文本 3 20 5 2 4" xfId="35601"/>
    <cellStyle name="警告文本 3 20 5 2 5" xfId="35602"/>
    <cellStyle name="警告文本 3 20 5 2 6" xfId="35603"/>
    <cellStyle name="警告文本 3 20 5 2 7" xfId="35604"/>
    <cellStyle name="警告文本 3 20 5 2 8" xfId="35605"/>
    <cellStyle name="警告文本 3 20 5 3" xfId="35606"/>
    <cellStyle name="警告文本 3 20 5 4" xfId="35608"/>
    <cellStyle name="警告文本 3 20 5 5" xfId="35610"/>
    <cellStyle name="警告文本 3 20 5 6" xfId="9099"/>
    <cellStyle name="警告文本 3 20 5 6 2" xfId="9615"/>
    <cellStyle name="警告文本 3 20 5 6 3" xfId="35611"/>
    <cellStyle name="警告文本 3 20 5 7" xfId="9876"/>
    <cellStyle name="警告文本 3 20 5 8" xfId="10215"/>
    <cellStyle name="警告文本 3 20 5 9" xfId="10186"/>
    <cellStyle name="警告文本 3 20 6" xfId="23183"/>
    <cellStyle name="警告文本 3 20 6 2" xfId="35612"/>
    <cellStyle name="警告文本 3 20 6 2 2" xfId="5925"/>
    <cellStyle name="警告文本 3 20 6 2 3" xfId="687"/>
    <cellStyle name="警告文本 3 20 6 3" xfId="25627"/>
    <cellStyle name="警告文本 3 20 6 4" xfId="35613"/>
    <cellStyle name="警告文本 3 20 6 5" xfId="35614"/>
    <cellStyle name="警告文本 3 20 6 6" xfId="35615"/>
    <cellStyle name="警告文本 3 20 6 7" xfId="35616"/>
    <cellStyle name="警告文本 3 20 6 8" xfId="35617"/>
    <cellStyle name="警告文本 3 20 7" xfId="23186"/>
    <cellStyle name="警告文本 3 20 8" xfId="35618"/>
    <cellStyle name="警告文本 3 20 9" xfId="35619"/>
    <cellStyle name="警告文本 3 20 9 2" xfId="35620"/>
    <cellStyle name="警告文本 3 20 9 3" xfId="35621"/>
    <cellStyle name="警告文本 3 3" xfId="17095"/>
    <cellStyle name="警告文本 3 3 10" xfId="28688"/>
    <cellStyle name="警告文本 3 3 11" xfId="33057"/>
    <cellStyle name="警告文本 3 3 12" xfId="33059"/>
    <cellStyle name="警告文本 3 3 13" xfId="33061"/>
    <cellStyle name="警告文本 3 3 14" xfId="33083"/>
    <cellStyle name="警告文本 3 3 2" xfId="16073"/>
    <cellStyle name="警告文本 3 3 3" xfId="16079"/>
    <cellStyle name="警告文本 3 3 4" xfId="16085"/>
    <cellStyle name="警告文本 3 3 5" xfId="16091"/>
    <cellStyle name="警告文本 3 3 6" xfId="16097"/>
    <cellStyle name="警告文本 3 3 7" xfId="35622"/>
    <cellStyle name="警告文本 3 3 8" xfId="35623"/>
    <cellStyle name="警告文本 3 3 9" xfId="35624"/>
    <cellStyle name="警告文本 3 4" xfId="17100"/>
    <cellStyle name="警告文本 3 4 10" xfId="13012"/>
    <cellStyle name="警告文本 3 4 11" xfId="21438"/>
    <cellStyle name="警告文本 3 4 12" xfId="29379"/>
    <cellStyle name="警告文本 3 4 13" xfId="33387"/>
    <cellStyle name="警告文本 3 4 14" xfId="35625"/>
    <cellStyle name="警告文本 3 4 2" xfId="18810"/>
    <cellStyle name="警告文本 3 4 3" xfId="18814"/>
    <cellStyle name="警告文本 3 4 4" xfId="18818"/>
    <cellStyle name="警告文本 3 4 5" xfId="24405"/>
    <cellStyle name="警告文本 3 4 6" xfId="24407"/>
    <cellStyle name="警告文本 3 4 7" xfId="24411"/>
    <cellStyle name="警告文本 3 4 8" xfId="24413"/>
    <cellStyle name="警告文本 3 4 9" xfId="11697"/>
    <cellStyle name="警告文本 3 5" xfId="17103"/>
    <cellStyle name="警告文本 3 6" xfId="17106"/>
    <cellStyle name="警告文本 3 7" xfId="24426"/>
    <cellStyle name="警告文本 3 8" xfId="24429"/>
    <cellStyle name="警告文本 3 9" xfId="35093"/>
    <cellStyle name="警告文本 4" xfId="35626"/>
    <cellStyle name="警告文本 4 10" xfId="9321"/>
    <cellStyle name="警告文本 4 11" xfId="9333"/>
    <cellStyle name="警告文本 4 12" xfId="9341"/>
    <cellStyle name="警告文本 4 13" xfId="35627"/>
    <cellStyle name="警告文本 4 14" xfId="35628"/>
    <cellStyle name="警告文本 4 15" xfId="35630"/>
    <cellStyle name="警告文本 4 16" xfId="35631"/>
    <cellStyle name="警告文本 4 17" xfId="35632"/>
    <cellStyle name="警告文本 4 17 10" xfId="35634"/>
    <cellStyle name="警告文本 4 17 11" xfId="35635"/>
    <cellStyle name="警告文本 4 17 12" xfId="35636"/>
    <cellStyle name="警告文本 4 17 13" xfId="35637"/>
    <cellStyle name="警告文本 4 17 14" xfId="35638"/>
    <cellStyle name="警告文本 4 17 2" xfId="35639"/>
    <cellStyle name="警告文本 4 17 3" xfId="35640"/>
    <cellStyle name="警告文本 4 17 4" xfId="35641"/>
    <cellStyle name="警告文本 4 17 5" xfId="35642"/>
    <cellStyle name="警告文本 4 17 5 10" xfId="35643"/>
    <cellStyle name="警告文本 4 17 5 11" xfId="35644"/>
    <cellStyle name="警告文本 4 17 5 2" xfId="35645"/>
    <cellStyle name="警告文本 4 17 5 2 2" xfId="35646"/>
    <cellStyle name="警告文本 4 17 5 2 2 2" xfId="24510"/>
    <cellStyle name="警告文本 4 17 5 2 2 3" xfId="29892"/>
    <cellStyle name="警告文本 4 17 5 2 3" xfId="35647"/>
    <cellStyle name="警告文本 4 17 5 2 4" xfId="35648"/>
    <cellStyle name="警告文本 4 17 5 2 5" xfId="35649"/>
    <cellStyle name="警告文本 4 17 5 2 6" xfId="35650"/>
    <cellStyle name="警告文本 4 17 5 2 7" xfId="35651"/>
    <cellStyle name="警告文本 4 17 5 2 8" xfId="35652"/>
    <cellStyle name="警告文本 4 17 5 3" xfId="35653"/>
    <cellStyle name="警告文本 4 17 5 4" xfId="35654"/>
    <cellStyle name="警告文本 4 17 5 5" xfId="35655"/>
    <cellStyle name="警告文本 4 17 5 6" xfId="35656"/>
    <cellStyle name="警告文本 4 17 5 6 2" xfId="35657"/>
    <cellStyle name="警告文本 4 17 5 6 3" xfId="35658"/>
    <cellStyle name="警告文本 4 17 5 7" xfId="35659"/>
    <cellStyle name="警告文本 4 17 5 8" xfId="35660"/>
    <cellStyle name="警告文本 4 17 5 9" xfId="35661"/>
    <cellStyle name="警告文本 4 17 6" xfId="35662"/>
    <cellStyle name="警告文本 4 17 6 2" xfId="11825"/>
    <cellStyle name="警告文本 4 17 6 2 2" xfId="35663"/>
    <cellStyle name="警告文本 4 17 6 2 3" xfId="34238"/>
    <cellStyle name="警告文本 4 17 6 3" xfId="11834"/>
    <cellStyle name="警告文本 4 17 6 4" xfId="11839"/>
    <cellStyle name="警告文本 4 17 6 5" xfId="11845"/>
    <cellStyle name="警告文本 4 17 6 6" xfId="35665"/>
    <cellStyle name="警告文本 4 17 6 7" xfId="35666"/>
    <cellStyle name="警告文本 4 17 6 8" xfId="9366"/>
    <cellStyle name="警告文本 4 17 7" xfId="35667"/>
    <cellStyle name="警告文本 4 17 8" xfId="35668"/>
    <cellStyle name="警告文本 4 17 9" xfId="35669"/>
    <cellStyle name="警告文本 4 17 9 2" xfId="9693"/>
    <cellStyle name="警告文本 4 17 9 3" xfId="9700"/>
    <cellStyle name="警告文本 4 18" xfId="35670"/>
    <cellStyle name="警告文本 4 18 10" xfId="29642"/>
    <cellStyle name="警告文本 4 18 11" xfId="29644"/>
    <cellStyle name="警告文本 4 18 12" xfId="29646"/>
    <cellStyle name="警告文本 4 18 13" xfId="35671"/>
    <cellStyle name="警告文本 4 18 14" xfId="35672"/>
    <cellStyle name="警告文本 4 18 2" xfId="35673"/>
    <cellStyle name="警告文本 4 18 3" xfId="35674"/>
    <cellStyle name="警告文本 4 18 4" xfId="35675"/>
    <cellStyle name="警告文本 4 18 5" xfId="35676"/>
    <cellStyle name="警告文本 4 18 5 10" xfId="35677"/>
    <cellStyle name="警告文本 4 18 5 11" xfId="35678"/>
    <cellStyle name="警告文本 4 18 5 2" xfId="15476"/>
    <cellStyle name="警告文本 4 18 5 2 2" xfId="13028"/>
    <cellStyle name="警告文本 4 18 5 2 2 2" xfId="12146"/>
    <cellStyle name="警告文本 4 18 5 2 2 3" xfId="12153"/>
    <cellStyle name="警告文本 4 18 5 2 3" xfId="13041"/>
    <cellStyle name="警告文本 4 18 5 2 4" xfId="13043"/>
    <cellStyle name="警告文本 4 18 5 2 5" xfId="817"/>
    <cellStyle name="警告文本 4 18 5 2 6" xfId="912"/>
    <cellStyle name="警告文本 4 18 5 2 7" xfId="947"/>
    <cellStyle name="警告文本 4 18 5 2 8" xfId="983"/>
    <cellStyle name="警告文本 4 18 5 3" xfId="15479"/>
    <cellStyle name="警告文本 4 18 5 4" xfId="35679"/>
    <cellStyle name="警告文本 4 18 5 5" xfId="35680"/>
    <cellStyle name="警告文本 4 18 5 6" xfId="35681"/>
    <cellStyle name="警告文本 4 18 5 6 2" xfId="35682"/>
    <cellStyle name="警告文本 4 18 5 6 3" xfId="35683"/>
    <cellStyle name="警告文本 4 18 5 7" xfId="35684"/>
    <cellStyle name="警告文本 4 18 5 8" xfId="35685"/>
    <cellStyle name="警告文本 4 18 5 9" xfId="9506"/>
    <cellStyle name="警告文本 4 18 6" xfId="35686"/>
    <cellStyle name="警告文本 4 18 6 2" xfId="17739"/>
    <cellStyle name="警告文本 4 18 6 2 2" xfId="35687"/>
    <cellStyle name="警告文本 4 18 6 2 3" xfId="35688"/>
    <cellStyle name="警告文本 4 18 6 3" xfId="35689"/>
    <cellStyle name="警告文本 4 18 6 4" xfId="35690"/>
    <cellStyle name="警告文本 4 18 6 5" xfId="35691"/>
    <cellStyle name="警告文本 4 18 6 6" xfId="35692"/>
    <cellStyle name="警告文本 4 18 6 7" xfId="35693"/>
    <cellStyle name="警告文本 4 18 6 8" xfId="35694"/>
    <cellStyle name="警告文本 4 18 7" xfId="35695"/>
    <cellStyle name="警告文本 4 18 8" xfId="35696"/>
    <cellStyle name="警告文本 4 18 9" xfId="35697"/>
    <cellStyle name="警告文本 4 18 9 2" xfId="35698"/>
    <cellStyle name="警告文本 4 18 9 3" xfId="35699"/>
    <cellStyle name="警告文本 4 19" xfId="35700"/>
    <cellStyle name="警告文本 4 19 10" xfId="35701"/>
    <cellStyle name="警告文本 4 19 11" xfId="35702"/>
    <cellStyle name="警告文本 4 19 12" xfId="31900"/>
    <cellStyle name="警告文本 4 19 13" xfId="17926"/>
    <cellStyle name="警告文本 4 19 14" xfId="17930"/>
    <cellStyle name="警告文本 4 19 2" xfId="35703"/>
    <cellStyle name="警告文本 4 19 3" xfId="35704"/>
    <cellStyle name="警告文本 4 19 4" xfId="35705"/>
    <cellStyle name="警告文本 4 19 5" xfId="35706"/>
    <cellStyle name="警告文本 4 19 5 10" xfId="35707"/>
    <cellStyle name="警告文本 4 19 5 11" xfId="17847"/>
    <cellStyle name="警告文本 4 19 5 2" xfId="12134"/>
    <cellStyle name="警告文本 4 19 5 2 2" xfId="35708"/>
    <cellStyle name="警告文本 4 19 5 2 2 2" xfId="35710"/>
    <cellStyle name="警告文本 4 19 5 2 2 3" xfId="35711"/>
    <cellStyle name="警告文本 4 19 5 2 3" xfId="35712"/>
    <cellStyle name="警告文本 4 19 5 2 4" xfId="35713"/>
    <cellStyle name="警告文本 4 19 5 2 5" xfId="26066"/>
    <cellStyle name="警告文本 4 19 5 2 6" xfId="35714"/>
    <cellStyle name="警告文本 4 19 5 2 7" xfId="35715"/>
    <cellStyle name="警告文本 4 19 5 2 8" xfId="35716"/>
    <cellStyle name="警告文本 4 19 5 3" xfId="12138"/>
    <cellStyle name="警告文本 4 19 5 4" xfId="35717"/>
    <cellStyle name="警告文本 4 19 5 5" xfId="26121"/>
    <cellStyle name="警告文本 4 19 5 6" xfId="26125"/>
    <cellStyle name="警告文本 4 19 5 6 2" xfId="25206"/>
    <cellStyle name="警告文本 4 19 5 6 3" xfId="25209"/>
    <cellStyle name="警告文本 4 19 5 7" xfId="31775"/>
    <cellStyle name="警告文本 4 19 5 8" xfId="31777"/>
    <cellStyle name="警告文本 4 19 5 9" xfId="10001"/>
    <cellStyle name="警告文本 4 19 6" xfId="35718"/>
    <cellStyle name="警告文本 4 19 6 2" xfId="35719"/>
    <cellStyle name="警告文本 4 19 6 2 2" xfId="35720"/>
    <cellStyle name="警告文本 4 19 6 2 3" xfId="35721"/>
    <cellStyle name="警告文本 4 19 6 3" xfId="35722"/>
    <cellStyle name="警告文本 4 19 6 4" xfId="35723"/>
    <cellStyle name="警告文本 4 19 6 5" xfId="35724"/>
    <cellStyle name="警告文本 4 19 6 6" xfId="35725"/>
    <cellStyle name="警告文本 4 19 6 7" xfId="35726"/>
    <cellStyle name="警告文本 4 19 6 8" xfId="35727"/>
    <cellStyle name="警告文本 4 19 7" xfId="35728"/>
    <cellStyle name="警告文本 4 19 8" xfId="35729"/>
    <cellStyle name="警告文本 4 19 9" xfId="35730"/>
    <cellStyle name="警告文本 4 19 9 2" xfId="35731"/>
    <cellStyle name="警告文本 4 19 9 3" xfId="35732"/>
    <cellStyle name="警告文本 4 2" xfId="35733"/>
    <cellStyle name="警告文本 4 20" xfId="35629"/>
    <cellStyle name="警告文本 4 20 10" xfId="35734"/>
    <cellStyle name="警告文本 4 20 11" xfId="14293"/>
    <cellStyle name="警告文本 4 20 12" xfId="19774"/>
    <cellStyle name="警告文本 4 20 13" xfId="35735"/>
    <cellStyle name="警告文本 4 20 14" xfId="30260"/>
    <cellStyle name="警告文本 4 20 2" xfId="3715"/>
    <cellStyle name="警告文本 4 20 3" xfId="3727"/>
    <cellStyle name="警告文本 4 20 4" xfId="11155"/>
    <cellStyle name="警告文本 4 20 5" xfId="35737"/>
    <cellStyle name="警告文本 4 20 5 10" xfId="25771"/>
    <cellStyle name="警告文本 4 20 5 11" xfId="35738"/>
    <cellStyle name="警告文本 4 20 5 2" xfId="35739"/>
    <cellStyle name="警告文本 4 20 5 2 2" xfId="27493"/>
    <cellStyle name="警告文本 4 20 5 2 2 2" xfId="10747"/>
    <cellStyle name="警告文本 4 20 5 2 2 3" xfId="10751"/>
    <cellStyle name="警告文本 4 20 5 2 3" xfId="27495"/>
    <cellStyle name="警告文本 4 20 5 2 4" xfId="27497"/>
    <cellStyle name="警告文本 4 20 5 2 5" xfId="35740"/>
    <cellStyle name="警告文本 4 20 5 2 6" xfId="35741"/>
    <cellStyle name="警告文本 4 20 5 2 7" xfId="35742"/>
    <cellStyle name="警告文本 4 20 5 2 8" xfId="35743"/>
    <cellStyle name="警告文本 4 20 5 3" xfId="35744"/>
    <cellStyle name="警告文本 4 20 5 4" xfId="35745"/>
    <cellStyle name="警告文本 4 20 5 5" xfId="35746"/>
    <cellStyle name="警告文本 4 20 5 6" xfId="35747"/>
    <cellStyle name="警告文本 4 20 5 6 2" xfId="35748"/>
    <cellStyle name="警告文本 4 20 5 6 3" xfId="35749"/>
    <cellStyle name="警告文本 4 20 5 7" xfId="35750"/>
    <cellStyle name="警告文本 4 20 5 8" xfId="35751"/>
    <cellStyle name="警告文本 4 20 5 9" xfId="35752"/>
    <cellStyle name="警告文本 4 20 6" xfId="35755"/>
    <cellStyle name="警告文本 4 20 6 2" xfId="35756"/>
    <cellStyle name="警告文本 4 20 6 2 2" xfId="8365"/>
    <cellStyle name="警告文本 4 20 6 2 3" xfId="8357"/>
    <cellStyle name="警告文本 4 20 6 3" xfId="35757"/>
    <cellStyle name="警告文本 4 20 6 4" xfId="35758"/>
    <cellStyle name="警告文本 4 20 6 5" xfId="35759"/>
    <cellStyle name="警告文本 4 20 6 6" xfId="35760"/>
    <cellStyle name="警告文本 4 20 6 7" xfId="19793"/>
    <cellStyle name="警告文本 4 20 6 8" xfId="19795"/>
    <cellStyle name="警告文本 4 20 7" xfId="35763"/>
    <cellStyle name="警告文本 4 20 8" xfId="32046"/>
    <cellStyle name="警告文本 4 20 9" xfId="32050"/>
    <cellStyle name="警告文本 4 20 9 2" xfId="35764"/>
    <cellStyle name="警告文本 4 20 9 3" xfId="35765"/>
    <cellStyle name="警告文本 4 3" xfId="35766"/>
    <cellStyle name="警告文本 4 4" xfId="35767"/>
    <cellStyle name="警告文本 4 5" xfId="35768"/>
    <cellStyle name="警告文本 4 6" xfId="35769"/>
    <cellStyle name="警告文本 4 7" xfId="35770"/>
    <cellStyle name="警告文本 4 8" xfId="35771"/>
    <cellStyle name="警告文本 4 9" xfId="35772"/>
    <cellStyle name="警告文本 5" xfId="35773"/>
    <cellStyle name="警告文本 5 10" xfId="34038"/>
    <cellStyle name="警告文本 5 11" xfId="35774"/>
    <cellStyle name="警告文本 5 12" xfId="35775"/>
    <cellStyle name="警告文本 5 13" xfId="35776"/>
    <cellStyle name="警告文本 5 14" xfId="35777"/>
    <cellStyle name="警告文本 5 2" xfId="35779"/>
    <cellStyle name="警告文本 5 3" xfId="35781"/>
    <cellStyle name="警告文本 5 4" xfId="35783"/>
    <cellStyle name="警告文本 5 5" xfId="35785"/>
    <cellStyle name="警告文本 5 6" xfId="35786"/>
    <cellStyle name="警告文本 5 7" xfId="35787"/>
    <cellStyle name="警告文本 5 8" xfId="35788"/>
    <cellStyle name="警告文本 5 9" xfId="35789"/>
    <cellStyle name="警告文本 6" xfId="35790"/>
    <cellStyle name="警告文本 6 10" xfId="35792"/>
    <cellStyle name="警告文本 6 11" xfId="35794"/>
    <cellStyle name="警告文本 6 12" xfId="35796"/>
    <cellStyle name="警告文本 6 13" xfId="35798"/>
    <cellStyle name="警告文本 6 14" xfId="35800"/>
    <cellStyle name="警告文本 6 2" xfId="23426"/>
    <cellStyle name="警告文本 6 3" xfId="23428"/>
    <cellStyle name="警告文本 6 4" xfId="10711"/>
    <cellStyle name="警告文本 6 5" xfId="10716"/>
    <cellStyle name="警告文本 6 6" xfId="35102"/>
    <cellStyle name="警告文本 6 7" xfId="35104"/>
    <cellStyle name="警告文本 6 8" xfId="35801"/>
    <cellStyle name="警告文本 6 9" xfId="35802"/>
    <cellStyle name="警告文本 7" xfId="9897"/>
    <cellStyle name="警告文本 8" xfId="9905"/>
    <cellStyle name="警告文本 9" xfId="4314"/>
    <cellStyle name="计算 10" xfId="35804"/>
    <cellStyle name="计算 11" xfId="35806"/>
    <cellStyle name="计算 12" xfId="35808"/>
    <cellStyle name="计算 12 10" xfId="6325"/>
    <cellStyle name="计算 12 11" xfId="6331"/>
    <cellStyle name="计算 12 12" xfId="3400"/>
    <cellStyle name="计算 12 13" xfId="1433"/>
    <cellStyle name="计算 12 14" xfId="1465"/>
    <cellStyle name="计算 12 2" xfId="35809"/>
    <cellStyle name="计算 12 3" xfId="35810"/>
    <cellStyle name="计算 12 4" xfId="35811"/>
    <cellStyle name="计算 12 5" xfId="35812"/>
    <cellStyle name="计算 12 5 10" xfId="14510"/>
    <cellStyle name="计算 12 5 11" xfId="14513"/>
    <cellStyle name="计算 12 5 2" xfId="35813"/>
    <cellStyle name="计算 12 5 2 2" xfId="35814"/>
    <cellStyle name="计算 12 5 2 2 2" xfId="35815"/>
    <cellStyle name="计算 12 5 2 2 3" xfId="35816"/>
    <cellStyle name="计算 12 5 2 3" xfId="35817"/>
    <cellStyle name="计算 12 5 2 4" xfId="35818"/>
    <cellStyle name="计算 12 5 2 5" xfId="35819"/>
    <cellStyle name="计算 12 5 2 6" xfId="35820"/>
    <cellStyle name="计算 12 5 2 7" xfId="35821"/>
    <cellStyle name="计算 12 5 2 8" xfId="35822"/>
    <cellStyle name="计算 12 5 3" xfId="35823"/>
    <cellStyle name="计算 12 5 4" xfId="35824"/>
    <cellStyle name="计算 12 5 5" xfId="35825"/>
    <cellStyle name="计算 12 5 6" xfId="35826"/>
    <cellStyle name="计算 12 5 6 2" xfId="35827"/>
    <cellStyle name="计算 12 5 6 3" xfId="35828"/>
    <cellStyle name="计算 12 5 7" xfId="35829"/>
    <cellStyle name="计算 12 5 8" xfId="35830"/>
    <cellStyle name="计算 12 5 9" xfId="35831"/>
    <cellStyle name="计算 12 6" xfId="421"/>
    <cellStyle name="计算 12 6 2" xfId="35832"/>
    <cellStyle name="计算 12 6 2 2" xfId="35833"/>
    <cellStyle name="计算 12 6 2 3" xfId="35834"/>
    <cellStyle name="计算 12 6 3" xfId="35836"/>
    <cellStyle name="计算 12 6 4" xfId="35838"/>
    <cellStyle name="计算 12 6 5" xfId="35839"/>
    <cellStyle name="计算 12 6 6" xfId="35840"/>
    <cellStyle name="计算 12 6 7" xfId="35841"/>
    <cellStyle name="计算 12 6 8" xfId="35842"/>
    <cellStyle name="计算 12 7" xfId="15518"/>
    <cellStyle name="计算 12 8" xfId="35843"/>
    <cellStyle name="计算 12 9" xfId="35844"/>
    <cellStyle name="计算 12 9 2" xfId="35845"/>
    <cellStyle name="计算 12 9 3" xfId="35846"/>
    <cellStyle name="计算 13" xfId="35848"/>
    <cellStyle name="计算 14" xfId="35486"/>
    <cellStyle name="计算 15" xfId="35495"/>
    <cellStyle name="计算 16" xfId="35497"/>
    <cellStyle name="计算 16 10" xfId="18305"/>
    <cellStyle name="计算 16 11" xfId="18309"/>
    <cellStyle name="计算 16 12" xfId="18313"/>
    <cellStyle name="计算 16 13" xfId="19354"/>
    <cellStyle name="计算 16 14" xfId="19357"/>
    <cellStyle name="计算 16 2" xfId="32563"/>
    <cellStyle name="计算 16 3" xfId="32565"/>
    <cellStyle name="计算 16 4" xfId="32569"/>
    <cellStyle name="计算 16 5" xfId="32571"/>
    <cellStyle name="计算 16 5 10" xfId="35849"/>
    <cellStyle name="计算 16 5 11" xfId="35850"/>
    <cellStyle name="计算 16 5 2" xfId="8599"/>
    <cellStyle name="计算 16 5 2 2" xfId="35851"/>
    <cellStyle name="计算 16 5 2 2 2" xfId="35852"/>
    <cellStyle name="计算 16 5 2 2 3" xfId="35853"/>
    <cellStyle name="计算 16 5 2 3" xfId="35854"/>
    <cellStyle name="计算 16 5 2 4" xfId="34289"/>
    <cellStyle name="计算 16 5 2 5" xfId="34917"/>
    <cellStyle name="计算 16 5 2 6" xfId="34919"/>
    <cellStyle name="计算 16 5 2 7" xfId="34921"/>
    <cellStyle name="计算 16 5 2 8" xfId="34923"/>
    <cellStyle name="计算 16 5 3" xfId="8605"/>
    <cellStyle name="计算 16 5 4" xfId="8617"/>
    <cellStyle name="计算 16 5 5" xfId="35856"/>
    <cellStyle name="计算 16 5 6" xfId="35858"/>
    <cellStyle name="计算 16 5 6 2" xfId="35859"/>
    <cellStyle name="计算 16 5 6 3" xfId="35860"/>
    <cellStyle name="计算 16 5 7" xfId="35862"/>
    <cellStyle name="计算 16 5 8" xfId="35864"/>
    <cellStyle name="计算 16 5 9" xfId="35866"/>
    <cellStyle name="计算 16 6" xfId="26059"/>
    <cellStyle name="计算 16 6 2" xfId="35868"/>
    <cellStyle name="计算 16 6 2 2" xfId="35869"/>
    <cellStyle name="计算 16 6 2 3" xfId="35870"/>
    <cellStyle name="计算 16 6 3" xfId="35871"/>
    <cellStyle name="计算 16 6 4" xfId="35873"/>
    <cellStyle name="计算 16 6 5" xfId="35875"/>
    <cellStyle name="计算 16 6 6" xfId="35877"/>
    <cellStyle name="计算 16 6 7" xfId="35879"/>
    <cellStyle name="计算 16 6 8" xfId="35881"/>
    <cellStyle name="计算 16 7" xfId="23153"/>
    <cellStyle name="计算 16 8" xfId="35882"/>
    <cellStyle name="计算 16 9" xfId="35883"/>
    <cellStyle name="计算 16 9 2" xfId="35884"/>
    <cellStyle name="计算 16 9 3" xfId="35885"/>
    <cellStyle name="计算 17" xfId="35499"/>
    <cellStyle name="计算 17 10" xfId="30340"/>
    <cellStyle name="计算 17 11" xfId="11549"/>
    <cellStyle name="计算 17 12" xfId="35886"/>
    <cellStyle name="计算 17 13" xfId="35887"/>
    <cellStyle name="计算 17 14" xfId="35888"/>
    <cellStyle name="计算 17 2" xfId="25593"/>
    <cellStyle name="计算 17 3" xfId="25597"/>
    <cellStyle name="计算 17 4" xfId="25600"/>
    <cellStyle name="计算 17 5" xfId="24186"/>
    <cellStyle name="计算 17 5 10" xfId="35889"/>
    <cellStyle name="计算 17 5 11" xfId="35890"/>
    <cellStyle name="计算 17 5 2" xfId="8760"/>
    <cellStyle name="计算 17 5 2 2" xfId="35891"/>
    <cellStyle name="计算 17 5 2 2 2" xfId="35892"/>
    <cellStyle name="计算 17 5 2 2 3" xfId="35893"/>
    <cellStyle name="计算 17 5 2 3" xfId="35894"/>
    <cellStyle name="计算 17 5 2 4" xfId="35895"/>
    <cellStyle name="计算 17 5 2 5" xfId="35896"/>
    <cellStyle name="计算 17 5 2 6" xfId="35897"/>
    <cellStyle name="计算 17 5 2 7" xfId="17970"/>
    <cellStyle name="计算 17 5 2 8" xfId="1714"/>
    <cellStyle name="计算 17 5 3" xfId="8765"/>
    <cellStyle name="计算 17 5 4" xfId="8773"/>
    <cellStyle name="计算 17 5 5" xfId="35899"/>
    <cellStyle name="计算 17 5 6" xfId="35900"/>
    <cellStyle name="计算 17 5 6 2" xfId="35901"/>
    <cellStyle name="计算 17 5 6 3" xfId="35902"/>
    <cellStyle name="计算 17 5 7" xfId="27313"/>
    <cellStyle name="计算 17 5 8" xfId="27315"/>
    <cellStyle name="计算 17 5 9" xfId="27317"/>
    <cellStyle name="计算 17 6" xfId="24192"/>
    <cellStyle name="计算 17 6 2" xfId="4552"/>
    <cellStyle name="计算 17 6 2 2" xfId="35903"/>
    <cellStyle name="计算 17 6 2 3" xfId="35904"/>
    <cellStyle name="计算 17 6 3" xfId="4573"/>
    <cellStyle name="计算 17 6 4" xfId="15824"/>
    <cellStyle name="计算 17 6 5" xfId="15829"/>
    <cellStyle name="计算 17 6 6" xfId="15832"/>
    <cellStyle name="计算 17 6 7" xfId="27340"/>
    <cellStyle name="计算 17 6 8" xfId="27342"/>
    <cellStyle name="计算 17 7" xfId="35905"/>
    <cellStyle name="计算 17 8" xfId="35906"/>
    <cellStyle name="计算 17 9" xfId="35907"/>
    <cellStyle name="计算 17 9 2" xfId="35908"/>
    <cellStyle name="计算 17 9 3" xfId="35909"/>
    <cellStyle name="计算 18" xfId="35501"/>
    <cellStyle name="计算 18 10" xfId="35910"/>
    <cellStyle name="计算 18 11" xfId="35911"/>
    <cellStyle name="计算 18 12" xfId="35912"/>
    <cellStyle name="计算 18 13" xfId="35913"/>
    <cellStyle name="计算 18 14" xfId="35914"/>
    <cellStyle name="计算 18 2" xfId="35503"/>
    <cellStyle name="计算 18 3" xfId="35505"/>
    <cellStyle name="计算 18 4" xfId="35915"/>
    <cellStyle name="计算 18 5" xfId="35916"/>
    <cellStyle name="计算 18 5 10" xfId="35403"/>
    <cellStyle name="计算 18 5 11" xfId="35405"/>
    <cellStyle name="计算 18 5 2" xfId="1966"/>
    <cellStyle name="计算 18 5 2 2" xfId="10184"/>
    <cellStyle name="计算 18 5 2 2 2" xfId="7838"/>
    <cellStyle name="计算 18 5 2 2 3" xfId="7850"/>
    <cellStyle name="计算 18 5 2 3" xfId="10192"/>
    <cellStyle name="计算 18 5 2 4" xfId="10198"/>
    <cellStyle name="计算 18 5 2 5" xfId="10205"/>
    <cellStyle name="计算 18 5 2 6" xfId="10209"/>
    <cellStyle name="计算 18 5 2 7" xfId="691"/>
    <cellStyle name="计算 18 5 2 8" xfId="724"/>
    <cellStyle name="计算 18 5 3" xfId="1971"/>
    <cellStyle name="计算 18 5 4" xfId="1995"/>
    <cellStyle name="计算 18 5 5" xfId="2015"/>
    <cellStyle name="计算 18 5 6" xfId="35917"/>
    <cellStyle name="计算 18 5 6 2" xfId="2226"/>
    <cellStyle name="计算 18 5 6 3" xfId="2252"/>
    <cellStyle name="计算 18 5 7" xfId="35918"/>
    <cellStyle name="计算 18 5 8" xfId="35919"/>
    <cellStyle name="计算 18 5 9" xfId="35920"/>
    <cellStyle name="计算 18 6" xfId="35921"/>
    <cellStyle name="计算 18 6 2" xfId="35922"/>
    <cellStyle name="计算 18 6 2 2" xfId="35923"/>
    <cellStyle name="计算 18 6 2 3" xfId="35924"/>
    <cellStyle name="计算 18 6 3" xfId="35925"/>
    <cellStyle name="计算 18 6 4" xfId="35926"/>
    <cellStyle name="计算 18 6 5" xfId="35927"/>
    <cellStyle name="计算 18 6 6" xfId="35928"/>
    <cellStyle name="计算 18 6 7" xfId="35929"/>
    <cellStyle name="计算 18 6 8" xfId="35930"/>
    <cellStyle name="计算 18 7" xfId="35931"/>
    <cellStyle name="计算 18 8" xfId="35932"/>
    <cellStyle name="计算 18 9" xfId="35933"/>
    <cellStyle name="计算 18 9 2" xfId="10117"/>
    <cellStyle name="计算 18 9 3" xfId="10133"/>
    <cellStyle name="计算 19" xfId="35507"/>
    <cellStyle name="计算 2" xfId="26033"/>
    <cellStyle name="计算 2 10" xfId="33230"/>
    <cellStyle name="计算 2 11" xfId="32597"/>
    <cellStyle name="计算 2 12" xfId="32602"/>
    <cellStyle name="计算 2 13" xfId="33232"/>
    <cellStyle name="计算 2 14" xfId="31881"/>
    <cellStyle name="计算 2 15" xfId="35935"/>
    <cellStyle name="计算 2 16" xfId="35936"/>
    <cellStyle name="计算 2 17" xfId="29291"/>
    <cellStyle name="计算 2 17 10" xfId="35937"/>
    <cellStyle name="计算 2 17 11" xfId="35938"/>
    <cellStyle name="计算 2 17 12" xfId="35939"/>
    <cellStyle name="计算 2 17 13" xfId="35940"/>
    <cellStyle name="计算 2 17 14" xfId="35941"/>
    <cellStyle name="计算 2 17 2" xfId="35942"/>
    <cellStyle name="计算 2 17 3" xfId="35943"/>
    <cellStyle name="计算 2 17 4" xfId="35944"/>
    <cellStyle name="计算 2 17 5" xfId="35945"/>
    <cellStyle name="计算 2 17 5 10" xfId="32707"/>
    <cellStyle name="计算 2 17 5 11" xfId="21614"/>
    <cellStyle name="计算 2 17 5 2" xfId="35946"/>
    <cellStyle name="计算 2 17 5 2 2" xfId="35947"/>
    <cellStyle name="计算 2 17 5 2 2 2" xfId="35948"/>
    <cellStyle name="计算 2 17 5 2 2 3" xfId="35949"/>
    <cellStyle name="计算 2 17 5 2 3" xfId="35950"/>
    <cellStyle name="计算 2 17 5 2 4" xfId="35951"/>
    <cellStyle name="计算 2 17 5 2 5" xfId="35952"/>
    <cellStyle name="计算 2 17 5 2 6" xfId="35953"/>
    <cellStyle name="计算 2 17 5 2 7" xfId="35954"/>
    <cellStyle name="计算 2 17 5 2 8" xfId="35955"/>
    <cellStyle name="计算 2 17 5 3" xfId="35051"/>
    <cellStyle name="计算 2 17 5 4" xfId="35053"/>
    <cellStyle name="计算 2 17 5 5" xfId="35956"/>
    <cellStyle name="计算 2 17 5 6" xfId="35957"/>
    <cellStyle name="计算 2 17 5 6 2" xfId="35958"/>
    <cellStyle name="计算 2 17 5 6 3" xfId="35959"/>
    <cellStyle name="计算 2 17 5 7" xfId="35960"/>
    <cellStyle name="计算 2 17 5 8" xfId="35962"/>
    <cellStyle name="计算 2 17 5 9" xfId="35964"/>
    <cellStyle name="计算 2 17 6" xfId="35965"/>
    <cellStyle name="计算 2 17 6 2" xfId="35966"/>
    <cellStyle name="计算 2 17 6 2 2" xfId="35967"/>
    <cellStyle name="计算 2 17 6 2 3" xfId="35968"/>
    <cellStyle name="计算 2 17 6 3" xfId="35969"/>
    <cellStyle name="计算 2 17 6 4" xfId="35970"/>
    <cellStyle name="计算 2 17 6 5" xfId="35971"/>
    <cellStyle name="计算 2 17 6 6" xfId="35972"/>
    <cellStyle name="计算 2 17 6 7" xfId="35973"/>
    <cellStyle name="计算 2 17 6 8" xfId="35974"/>
    <cellStyle name="计算 2 17 7" xfId="35975"/>
    <cellStyle name="计算 2 17 8" xfId="35976"/>
    <cellStyle name="计算 2 17 9" xfId="5789"/>
    <cellStyle name="计算 2 17 9 2" xfId="5795"/>
    <cellStyle name="计算 2 17 9 3" xfId="5806"/>
    <cellStyle name="计算 2 18" xfId="29293"/>
    <cellStyle name="计算 2 18 10" xfId="31214"/>
    <cellStyle name="计算 2 18 11" xfId="31218"/>
    <cellStyle name="计算 2 18 12" xfId="35977"/>
    <cellStyle name="计算 2 18 13" xfId="35978"/>
    <cellStyle name="计算 2 18 14" xfId="35979"/>
    <cellStyle name="计算 2 18 2" xfId="35980"/>
    <cellStyle name="计算 2 18 3" xfId="35981"/>
    <cellStyle name="计算 2 18 4" xfId="35982"/>
    <cellStyle name="计算 2 18 5" xfId="35983"/>
    <cellStyle name="计算 2 18 5 10" xfId="33212"/>
    <cellStyle name="计算 2 18 5 11" xfId="33214"/>
    <cellStyle name="计算 2 18 5 2" xfId="35984"/>
    <cellStyle name="计算 2 18 5 2 2" xfId="35985"/>
    <cellStyle name="计算 2 18 5 2 2 2" xfId="28068"/>
    <cellStyle name="计算 2 18 5 2 2 3" xfId="28070"/>
    <cellStyle name="计算 2 18 5 2 3" xfId="35986"/>
    <cellStyle name="计算 2 18 5 2 4" xfId="35987"/>
    <cellStyle name="计算 2 18 5 2 5" xfId="35988"/>
    <cellStyle name="计算 2 18 5 2 6" xfId="35989"/>
    <cellStyle name="计算 2 18 5 2 7" xfId="35990"/>
    <cellStyle name="计算 2 18 5 2 8" xfId="35991"/>
    <cellStyle name="计算 2 18 5 3" xfId="35992"/>
    <cellStyle name="计算 2 18 5 4" xfId="35993"/>
    <cellStyle name="计算 2 18 5 5" xfId="35994"/>
    <cellStyle name="计算 2 18 5 6" xfId="35995"/>
    <cellStyle name="计算 2 18 5 6 2" xfId="35996"/>
    <cellStyle name="计算 2 18 5 6 3" xfId="35997"/>
    <cellStyle name="计算 2 18 5 7" xfId="35998"/>
    <cellStyle name="计算 2 18 5 8" xfId="15854"/>
    <cellStyle name="计算 2 18 5 9" xfId="15863"/>
    <cellStyle name="计算 2 18 6" xfId="31991"/>
    <cellStyle name="计算 2 18 6 2" xfId="23304"/>
    <cellStyle name="计算 2 18 6 2 2" xfId="3340"/>
    <cellStyle name="计算 2 18 6 2 3" xfId="3353"/>
    <cellStyle name="计算 2 18 6 3" xfId="23307"/>
    <cellStyle name="计算 2 18 6 4" xfId="23309"/>
    <cellStyle name="计算 2 18 6 5" xfId="23311"/>
    <cellStyle name="计算 2 18 6 6" xfId="35999"/>
    <cellStyle name="计算 2 18 6 7" xfId="36000"/>
    <cellStyle name="计算 2 18 6 8" xfId="36001"/>
    <cellStyle name="计算 2 18 7" xfId="34648"/>
    <cellStyle name="计算 2 18 8" xfId="34650"/>
    <cellStyle name="计算 2 18 9" xfId="34652"/>
    <cellStyle name="计算 2 18 9 2" xfId="36002"/>
    <cellStyle name="计算 2 18 9 3" xfId="36003"/>
    <cellStyle name="计算 2 19" xfId="7403"/>
    <cellStyle name="计算 2 19 10" xfId="36004"/>
    <cellStyle name="计算 2 19 11" xfId="36005"/>
    <cellStyle name="计算 2 19 12" xfId="36006"/>
    <cellStyle name="计算 2 19 13" xfId="36007"/>
    <cellStyle name="计算 2 19 14" xfId="36008"/>
    <cellStyle name="计算 2 19 2" xfId="36009"/>
    <cellStyle name="计算 2 19 3" xfId="36010"/>
    <cellStyle name="计算 2 19 4" xfId="36011"/>
    <cellStyle name="计算 2 19 5" xfId="36012"/>
    <cellStyle name="计算 2 19 5 10" xfId="13592"/>
    <cellStyle name="计算 2 19 5 11" xfId="13601"/>
    <cellStyle name="计算 2 19 5 2" xfId="36013"/>
    <cellStyle name="计算 2 19 5 2 2" xfId="36014"/>
    <cellStyle name="计算 2 19 5 2 2 2" xfId="36015"/>
    <cellStyle name="计算 2 19 5 2 2 3" xfId="36016"/>
    <cellStyle name="计算 2 19 5 2 3" xfId="36017"/>
    <cellStyle name="计算 2 19 5 2 4" xfId="36018"/>
    <cellStyle name="计算 2 19 5 2 5" xfId="34095"/>
    <cellStyle name="计算 2 19 5 2 6" xfId="33828"/>
    <cellStyle name="计算 2 19 5 2 7" xfId="36019"/>
    <cellStyle name="计算 2 19 5 2 8" xfId="36020"/>
    <cellStyle name="计算 2 19 5 3" xfId="36021"/>
    <cellStyle name="计算 2 19 5 4" xfId="36022"/>
    <cellStyle name="计算 2 19 5 5" xfId="36023"/>
    <cellStyle name="计算 2 19 5 6" xfId="36024"/>
    <cellStyle name="计算 2 19 5 6 2" xfId="36025"/>
    <cellStyle name="计算 2 19 5 6 3" xfId="36026"/>
    <cellStyle name="计算 2 19 5 7" xfId="36027"/>
    <cellStyle name="计算 2 19 5 8" xfId="15874"/>
    <cellStyle name="计算 2 19 5 9" xfId="15877"/>
    <cellStyle name="计算 2 19 6" xfId="36028"/>
    <cellStyle name="计算 2 19 6 2" xfId="11737"/>
    <cellStyle name="计算 2 19 6 2 2" xfId="36029"/>
    <cellStyle name="计算 2 19 6 2 3" xfId="36030"/>
    <cellStyle name="计算 2 19 6 3" xfId="36031"/>
    <cellStyle name="计算 2 19 6 4" xfId="36032"/>
    <cellStyle name="计算 2 19 6 5" xfId="31694"/>
    <cellStyle name="计算 2 19 6 6" xfId="31696"/>
    <cellStyle name="计算 2 19 6 7" xfId="36033"/>
    <cellStyle name="计算 2 19 6 8" xfId="36034"/>
    <cellStyle name="计算 2 19 7" xfId="36035"/>
    <cellStyle name="计算 2 19 8" xfId="36036"/>
    <cellStyle name="计算 2 19 9" xfId="36037"/>
    <cellStyle name="计算 2 19 9 2" xfId="36038"/>
    <cellStyle name="计算 2 19 9 3" xfId="36039"/>
    <cellStyle name="计算 2 2" xfId="36040"/>
    <cellStyle name="计算 2 2 10" xfId="11660"/>
    <cellStyle name="计算 2 2 11" xfId="11663"/>
    <cellStyle name="计算 2 2 12" xfId="36041"/>
    <cellStyle name="计算 2 2 13" xfId="36042"/>
    <cellStyle name="计算 2 2 14" xfId="36043"/>
    <cellStyle name="计算 2 2 2" xfId="36044"/>
    <cellStyle name="计算 2 2 3" xfId="36045"/>
    <cellStyle name="计算 2 2 4" xfId="34854"/>
    <cellStyle name="计算 2 2 5" xfId="34856"/>
    <cellStyle name="计算 2 2 6" xfId="36046"/>
    <cellStyle name="计算 2 2 7" xfId="36047"/>
    <cellStyle name="计算 2 2 8" xfId="36048"/>
    <cellStyle name="计算 2 2 9" xfId="36049"/>
    <cellStyle name="计算 2 20" xfId="35934"/>
    <cellStyle name="计算 2 20 10" xfId="36050"/>
    <cellStyle name="计算 2 20 11" xfId="25696"/>
    <cellStyle name="计算 2 20 12" xfId="36051"/>
    <cellStyle name="计算 2 20 13" xfId="36052"/>
    <cellStyle name="计算 2 20 14" xfId="36053"/>
    <cellStyle name="计算 2 20 2" xfId="36054"/>
    <cellStyle name="计算 2 20 3" xfId="36055"/>
    <cellStyle name="计算 2 20 4" xfId="36056"/>
    <cellStyle name="计算 2 20 5" xfId="36057"/>
    <cellStyle name="计算 2 20 5 10" xfId="36058"/>
    <cellStyle name="计算 2 20 5 11" xfId="36059"/>
    <cellStyle name="计算 2 20 5 2" xfId="36060"/>
    <cellStyle name="计算 2 20 5 2 2" xfId="36061"/>
    <cellStyle name="计算 2 20 5 2 2 2" xfId="19712"/>
    <cellStyle name="计算 2 20 5 2 2 3" xfId="19715"/>
    <cellStyle name="计算 2 20 5 2 3" xfId="36062"/>
    <cellStyle name="计算 2 20 5 2 4" xfId="14637"/>
    <cellStyle name="计算 2 20 5 2 5" xfId="16301"/>
    <cellStyle name="计算 2 20 5 2 6" xfId="36063"/>
    <cellStyle name="计算 2 20 5 2 7" xfId="36064"/>
    <cellStyle name="计算 2 20 5 2 8" xfId="36065"/>
    <cellStyle name="计算 2 20 5 3" xfId="6263"/>
    <cellStyle name="计算 2 20 5 4" xfId="6271"/>
    <cellStyle name="计算 2 20 5 5" xfId="6279"/>
    <cellStyle name="计算 2 20 5 6" xfId="4830"/>
    <cellStyle name="计算 2 20 5 6 2" xfId="36067"/>
    <cellStyle name="计算 2 20 5 6 3" xfId="36068"/>
    <cellStyle name="计算 2 20 5 7" xfId="4853"/>
    <cellStyle name="计算 2 20 5 8" xfId="26195"/>
    <cellStyle name="计算 2 20 5 9" xfId="19527"/>
    <cellStyle name="计算 2 20 6" xfId="36069"/>
    <cellStyle name="计算 2 20 6 2" xfId="36070"/>
    <cellStyle name="计算 2 20 6 2 2" xfId="31868"/>
    <cellStyle name="计算 2 20 6 2 3" xfId="36071"/>
    <cellStyle name="计算 2 20 6 3" xfId="36072"/>
    <cellStyle name="计算 2 20 6 4" xfId="36073"/>
    <cellStyle name="计算 2 20 6 5" xfId="36074"/>
    <cellStyle name="计算 2 20 6 6" xfId="36075"/>
    <cellStyle name="计算 2 20 6 7" xfId="36077"/>
    <cellStyle name="计算 2 20 6 8" xfId="36079"/>
    <cellStyle name="计算 2 20 7" xfId="36080"/>
    <cellStyle name="计算 2 20 8" xfId="36081"/>
    <cellStyle name="计算 2 20 9" xfId="36082"/>
    <cellStyle name="计算 2 20 9 2" xfId="36083"/>
    <cellStyle name="计算 2 20 9 3" xfId="36084"/>
    <cellStyle name="计算 2 3" xfId="36085"/>
    <cellStyle name="计算 2 3 10" xfId="36086"/>
    <cellStyle name="计算 2 3 11" xfId="36087"/>
    <cellStyle name="计算 2 3 12" xfId="36088"/>
    <cellStyle name="计算 2 3 13" xfId="32899"/>
    <cellStyle name="计算 2 3 14" xfId="27428"/>
    <cellStyle name="计算 2 3 2" xfId="36089"/>
    <cellStyle name="计算 2 3 3" xfId="36090"/>
    <cellStyle name="计算 2 3 4" xfId="36091"/>
    <cellStyle name="计算 2 3 5" xfId="12698"/>
    <cellStyle name="计算 2 3 6" xfId="12710"/>
    <cellStyle name="计算 2 3 7" xfId="12714"/>
    <cellStyle name="计算 2 3 8" xfId="12718"/>
    <cellStyle name="计算 2 3 9" xfId="12722"/>
    <cellStyle name="计算 2 4" xfId="36092"/>
    <cellStyle name="计算 2 4 10" xfId="4310"/>
    <cellStyle name="计算 2 4 11" xfId="4569"/>
    <cellStyle name="计算 2 4 12" xfId="4595"/>
    <cellStyle name="计算 2 4 13" xfId="4765"/>
    <cellStyle name="计算 2 4 14" xfId="4777"/>
    <cellStyle name="计算 2 4 2" xfId="36094"/>
    <cellStyle name="计算 2 4 3" xfId="36096"/>
    <cellStyle name="计算 2 4 4" xfId="36097"/>
    <cellStyle name="计算 2 4 5" xfId="12736"/>
    <cellStyle name="计算 2 4 6" xfId="12749"/>
    <cellStyle name="计算 2 4 7" xfId="12755"/>
    <cellStyle name="计算 2 4 8" xfId="12762"/>
    <cellStyle name="计算 2 4 9" xfId="12772"/>
    <cellStyle name="计算 2 5" xfId="36098"/>
    <cellStyle name="计算 2 6" xfId="36099"/>
    <cellStyle name="计算 2 7" xfId="28052"/>
    <cellStyle name="计算 2 8" xfId="28055"/>
    <cellStyle name="计算 2 9" xfId="36100"/>
    <cellStyle name="计算 3" xfId="36101"/>
    <cellStyle name="计算 3 10" xfId="36102"/>
    <cellStyle name="计算 3 11" xfId="36103"/>
    <cellStyle name="计算 3 12" xfId="36104"/>
    <cellStyle name="计算 3 13" xfId="36105"/>
    <cellStyle name="计算 3 14" xfId="36106"/>
    <cellStyle name="计算 3 15" xfId="36108"/>
    <cellStyle name="计算 3 16" xfId="36109"/>
    <cellStyle name="计算 3 17" xfId="36110"/>
    <cellStyle name="计算 3 17 10" xfId="22066"/>
    <cellStyle name="计算 3 17 11" xfId="22068"/>
    <cellStyle name="计算 3 17 12" xfId="22070"/>
    <cellStyle name="计算 3 17 13" xfId="22072"/>
    <cellStyle name="计算 3 17 14" xfId="22074"/>
    <cellStyle name="计算 3 17 2" xfId="250"/>
    <cellStyle name="计算 3 17 2 2" xfId="22256"/>
    <cellStyle name="计算 3 17 3" xfId="13934"/>
    <cellStyle name="计算 3 17 4" xfId="36112"/>
    <cellStyle name="计算 3 17 5" xfId="36114"/>
    <cellStyle name="计算 3 17 5 10" xfId="36115"/>
    <cellStyle name="计算 3 17 5 11" xfId="36116"/>
    <cellStyle name="计算 3 17 5 2" xfId="36118"/>
    <cellStyle name="计算 3 17 5 2 2" xfId="33494"/>
    <cellStyle name="计算 3 17 5 2 2 2" xfId="35491"/>
    <cellStyle name="计算 3 17 5 2 2 3" xfId="35493"/>
    <cellStyle name="计算 3 17 5 2 3" xfId="33496"/>
    <cellStyle name="计算 3 17 5 2 4" xfId="30031"/>
    <cellStyle name="计算 3 17 5 2 5" xfId="30034"/>
    <cellStyle name="计算 3 17 5 2 6" xfId="31228"/>
    <cellStyle name="计算 3 17 5 2 7" xfId="31231"/>
    <cellStyle name="计算 3 17 5 2 8" xfId="31234"/>
    <cellStyle name="计算 3 17 5 3" xfId="36120"/>
    <cellStyle name="计算 3 17 5 4" xfId="36121"/>
    <cellStyle name="计算 3 17 5 5" xfId="36122"/>
    <cellStyle name="计算 3 17 5 6" xfId="33183"/>
    <cellStyle name="计算 3 17 5 6 2" xfId="33187"/>
    <cellStyle name="计算 3 17 5 6 3" xfId="33191"/>
    <cellStyle name="计算 3 17 5 7" xfId="33194"/>
    <cellStyle name="计算 3 17 5 8" xfId="33197"/>
    <cellStyle name="计算 3 17 5 9" xfId="33199"/>
    <cellStyle name="计算 3 17 6" xfId="8893"/>
    <cellStyle name="计算 3 17 6 2" xfId="17331"/>
    <cellStyle name="计算 3 17 6 2 2" xfId="16674"/>
    <cellStyle name="计算 3 17 6 2 3" xfId="16626"/>
    <cellStyle name="计算 3 17 6 3" xfId="17334"/>
    <cellStyle name="计算 3 17 6 4" xfId="17337"/>
    <cellStyle name="计算 3 17 6 5" xfId="17340"/>
    <cellStyle name="计算 3 17 6 6" xfId="17343"/>
    <cellStyle name="计算 3 17 6 7" xfId="17348"/>
    <cellStyle name="计算 3 17 6 8" xfId="17353"/>
    <cellStyle name="计算 3 17 7" xfId="8898"/>
    <cellStyle name="计算 3 17 8" xfId="8903"/>
    <cellStyle name="计算 3 17 9" xfId="8907"/>
    <cellStyle name="计算 3 17 9 2" xfId="36123"/>
    <cellStyle name="计算 3 17 9 3" xfId="36124"/>
    <cellStyle name="计算 3 18" xfId="36125"/>
    <cellStyle name="计算 3 18 10" xfId="22320"/>
    <cellStyle name="计算 3 18 11" xfId="22322"/>
    <cellStyle name="计算 3 18 12" xfId="22324"/>
    <cellStyle name="计算 3 18 13" xfId="22326"/>
    <cellStyle name="计算 3 18 14" xfId="22328"/>
    <cellStyle name="计算 3 18 2" xfId="36127"/>
    <cellStyle name="计算 3 18 3" xfId="36129"/>
    <cellStyle name="计算 3 18 4" xfId="36131"/>
    <cellStyle name="计算 3 18 5" xfId="36133"/>
    <cellStyle name="计算 3 18 5 10" xfId="36134"/>
    <cellStyle name="计算 3 18 5 11" xfId="36135"/>
    <cellStyle name="计算 3 18 5 2" xfId="15040"/>
    <cellStyle name="计算 3 18 5 2 2" xfId="19222"/>
    <cellStyle name="计算 3 18 5 2 2 2" xfId="19225"/>
    <cellStyle name="计算 3 18 5 2 2 3" xfId="19228"/>
    <cellStyle name="计算 3 18 5 2 3" xfId="32867"/>
    <cellStyle name="计算 3 18 5 2 4" xfId="32884"/>
    <cellStyle name="计算 3 18 5 2 5" xfId="36136"/>
    <cellStyle name="计算 3 18 5 2 6" xfId="24671"/>
    <cellStyle name="计算 3 18 5 2 7" xfId="36137"/>
    <cellStyle name="计算 3 18 5 2 8" xfId="36138"/>
    <cellStyle name="计算 3 18 5 3" xfId="36139"/>
    <cellStyle name="计算 3 18 5 4" xfId="12692"/>
    <cellStyle name="计算 3 18 5 5" xfId="12695"/>
    <cellStyle name="计算 3 18 5 6" xfId="33221"/>
    <cellStyle name="计算 3 18 5 6 2" xfId="21930"/>
    <cellStyle name="计算 3 18 5 6 3" xfId="21953"/>
    <cellStyle name="计算 3 18 5 7" xfId="33224"/>
    <cellStyle name="计算 3 18 5 8" xfId="36140"/>
    <cellStyle name="计算 3 18 5 9" xfId="36141"/>
    <cellStyle name="计算 3 18 6" xfId="1585"/>
    <cellStyle name="计算 3 18 6 2" xfId="17371"/>
    <cellStyle name="计算 3 18 6 2 2" xfId="36142"/>
    <cellStyle name="计算 3 18 6 2 3" xfId="36143"/>
    <cellStyle name="计算 3 18 6 3" xfId="17374"/>
    <cellStyle name="计算 3 18 6 4" xfId="36144"/>
    <cellStyle name="计算 3 18 6 5" xfId="36145"/>
    <cellStyle name="计算 3 18 6 6" xfId="36146"/>
    <cellStyle name="计算 3 18 6 7" xfId="36147"/>
    <cellStyle name="计算 3 18 6 8" xfId="36148"/>
    <cellStyle name="计算 3 18 7" xfId="1601"/>
    <cellStyle name="计算 3 18 8" xfId="1617"/>
    <cellStyle name="计算 3 18 9" xfId="1640"/>
    <cellStyle name="计算 3 18 9 2" xfId="36149"/>
    <cellStyle name="计算 3 18 9 3" xfId="36150"/>
    <cellStyle name="计算 3 19" xfId="36151"/>
    <cellStyle name="计算 3 19 10" xfId="22488"/>
    <cellStyle name="计算 3 19 11" xfId="21326"/>
    <cellStyle name="计算 3 19 12" xfId="21329"/>
    <cellStyle name="计算 3 19 13" xfId="21332"/>
    <cellStyle name="计算 3 19 14" xfId="21335"/>
    <cellStyle name="计算 3 19 2" xfId="5375"/>
    <cellStyle name="计算 3 19 3" xfId="5395"/>
    <cellStyle name="计算 3 19 4" xfId="1696"/>
    <cellStyle name="计算 3 19 5" xfId="1749"/>
    <cellStyle name="计算 3 19 5 10" xfId="36152"/>
    <cellStyle name="计算 3 19 5 11" xfId="36153"/>
    <cellStyle name="计算 3 19 5 2" xfId="36154"/>
    <cellStyle name="计算 3 19 5 2 2" xfId="36156"/>
    <cellStyle name="计算 3 19 5 2 2 2" xfId="36157"/>
    <cellStyle name="计算 3 19 5 2 2 3" xfId="36158"/>
    <cellStyle name="计算 3 19 5 2 3" xfId="36159"/>
    <cellStyle name="计算 3 19 5 2 4" xfId="25484"/>
    <cellStyle name="计算 3 19 5 2 5" xfId="25486"/>
    <cellStyle name="计算 3 19 5 2 6" xfId="25488"/>
    <cellStyle name="计算 3 19 5 2 7" xfId="25490"/>
    <cellStyle name="计算 3 19 5 2 8" xfId="25492"/>
    <cellStyle name="计算 3 19 5 3" xfId="36160"/>
    <cellStyle name="计算 3 19 5 4" xfId="36161"/>
    <cellStyle name="计算 3 19 5 5" xfId="8494"/>
    <cellStyle name="计算 3 19 5 6" xfId="8508"/>
    <cellStyle name="计算 3 19 5 6 2" xfId="36162"/>
    <cellStyle name="计算 3 19 5 6 3" xfId="36163"/>
    <cellStyle name="计算 3 19 5 7" xfId="8515"/>
    <cellStyle name="计算 3 19 5 8" xfId="8522"/>
    <cellStyle name="计算 3 19 5 9" xfId="8529"/>
    <cellStyle name="计算 3 19 6" xfId="1759"/>
    <cellStyle name="计算 3 19 6 2" xfId="7449"/>
    <cellStyle name="计算 3 19 6 2 2" xfId="36164"/>
    <cellStyle name="计算 3 19 6 2 3" xfId="36165"/>
    <cellStyle name="计算 3 19 6 3" xfId="7452"/>
    <cellStyle name="计算 3 19 6 4" xfId="7456"/>
    <cellStyle name="计算 3 19 6 5" xfId="7011"/>
    <cellStyle name="计算 3 19 6 6" xfId="7019"/>
    <cellStyle name="计算 3 19 6 7" xfId="7027"/>
    <cellStyle name="计算 3 19 6 8" xfId="7036"/>
    <cellStyle name="计算 3 19 7" xfId="1769"/>
    <cellStyle name="计算 3 19 8" xfId="36166"/>
    <cellStyle name="计算 3 19 9" xfId="36167"/>
    <cellStyle name="计算 3 19 9 2" xfId="36168"/>
    <cellStyle name="计算 3 19 9 3" xfId="36169"/>
    <cellStyle name="计算 3 2" xfId="36170"/>
    <cellStyle name="计算 3 2 10" xfId="36171"/>
    <cellStyle name="计算 3 2 11" xfId="36172"/>
    <cellStyle name="计算 3 2 12" xfId="36173"/>
    <cellStyle name="计算 3 2 13" xfId="36174"/>
    <cellStyle name="计算 3 2 14" xfId="36175"/>
    <cellStyle name="计算 3 2 2" xfId="36176"/>
    <cellStyle name="计算 3 2 3" xfId="36177"/>
    <cellStyle name="计算 3 2 4" xfId="36178"/>
    <cellStyle name="计算 3 2 5" xfId="36179"/>
    <cellStyle name="计算 3 2 6" xfId="36180"/>
    <cellStyle name="计算 3 2 7" xfId="36181"/>
    <cellStyle name="计算 3 2 8" xfId="36182"/>
    <cellStyle name="计算 3 2 9" xfId="36183"/>
    <cellStyle name="计算 3 20" xfId="36107"/>
    <cellStyle name="计算 3 20 10" xfId="36184"/>
    <cellStyle name="计算 3 20 11" xfId="36185"/>
    <cellStyle name="计算 3 20 12" xfId="36186"/>
    <cellStyle name="计算 3 20 13" xfId="36187"/>
    <cellStyle name="计算 3 20 14" xfId="36188"/>
    <cellStyle name="计算 3 20 2" xfId="8666"/>
    <cellStyle name="计算 3 20 3" xfId="36189"/>
    <cellStyle name="计算 3 20 4" xfId="36190"/>
    <cellStyle name="计算 3 20 5" xfId="36191"/>
    <cellStyle name="计算 3 20 5 10" xfId="36192"/>
    <cellStyle name="计算 3 20 5 11" xfId="36193"/>
    <cellStyle name="计算 3 20 5 2" xfId="36194"/>
    <cellStyle name="计算 3 20 5 2 2" xfId="25714"/>
    <cellStyle name="计算 3 20 5 2 2 2" xfId="36195"/>
    <cellStyle name="计算 3 20 5 2 2 3" xfId="19932"/>
    <cellStyle name="计算 3 20 5 2 3" xfId="27663"/>
    <cellStyle name="计算 3 20 5 2 4" xfId="36196"/>
    <cellStyle name="计算 3 20 5 2 5" xfId="36197"/>
    <cellStyle name="计算 3 20 5 2 6" xfId="36198"/>
    <cellStyle name="计算 3 20 5 2 7" xfId="36199"/>
    <cellStyle name="计算 3 20 5 2 8" xfId="36200"/>
    <cellStyle name="计算 3 20 5 3" xfId="36201"/>
    <cellStyle name="计算 3 20 5 4" xfId="36202"/>
    <cellStyle name="计算 3 20 5 5" xfId="36203"/>
    <cellStyle name="计算 3 20 5 6" xfId="36204"/>
    <cellStyle name="计算 3 20 5 6 2" xfId="36205"/>
    <cellStyle name="计算 3 20 5 6 3" xfId="36206"/>
    <cellStyle name="计算 3 20 5 7" xfId="36207"/>
    <cellStyle name="计算 3 20 5 8" xfId="36208"/>
    <cellStyle name="计算 3 20 5 9" xfId="30037"/>
    <cellStyle name="计算 3 20 6" xfId="36209"/>
    <cellStyle name="计算 3 20 6 2" xfId="36210"/>
    <cellStyle name="计算 3 20 6 2 2" xfId="27715"/>
    <cellStyle name="计算 3 20 6 2 3" xfId="27718"/>
    <cellStyle name="计算 3 20 6 3" xfId="36211"/>
    <cellStyle name="计算 3 20 6 4" xfId="36212"/>
    <cellStyle name="计算 3 20 6 5" xfId="36213"/>
    <cellStyle name="计算 3 20 6 6" xfId="36214"/>
    <cellStyle name="计算 3 20 6 7" xfId="36215"/>
    <cellStyle name="计算 3 20 6 8" xfId="36216"/>
    <cellStyle name="计算 3 20 7" xfId="36217"/>
    <cellStyle name="计算 3 20 8" xfId="36218"/>
    <cellStyle name="计算 3 20 9" xfId="36219"/>
    <cellStyle name="计算 3 20 9 2" xfId="36220"/>
    <cellStyle name="计算 3 20 9 3" xfId="35552"/>
    <cellStyle name="计算 3 3" xfId="14940"/>
    <cellStyle name="计算 3 3 10" xfId="35148"/>
    <cellStyle name="计算 3 3 11" xfId="31349"/>
    <cellStyle name="计算 3 3 12" xfId="31352"/>
    <cellStyle name="计算 3 3 13" xfId="35150"/>
    <cellStyle name="计算 3 3 14" xfId="35152"/>
    <cellStyle name="计算 3 3 2" xfId="36221"/>
    <cellStyle name="计算 3 3 3" xfId="36222"/>
    <cellStyle name="计算 3 3 4" xfId="36223"/>
    <cellStyle name="计算 3 3 5" xfId="36224"/>
    <cellStyle name="计算 3 3 6" xfId="36225"/>
    <cellStyle name="计算 3 3 7" xfId="36226"/>
    <cellStyle name="计算 3 3 8" xfId="36227"/>
    <cellStyle name="计算 3 3 9" xfId="36228"/>
    <cellStyle name="计算 3 4" xfId="14945"/>
    <cellStyle name="计算 3 4 10" xfId="36229"/>
    <cellStyle name="计算 3 4 11" xfId="36230"/>
    <cellStyle name="计算 3 4 12" xfId="36231"/>
    <cellStyle name="计算 3 4 13" xfId="36232"/>
    <cellStyle name="计算 3 4 14" xfId="36233"/>
    <cellStyle name="计算 3 4 2" xfId="36234"/>
    <cellStyle name="计算 3 4 3" xfId="26164"/>
    <cellStyle name="计算 3 4 4" xfId="26166"/>
    <cellStyle name="计算 3 4 5" xfId="36235"/>
    <cellStyle name="计算 3 4 6" xfId="36236"/>
    <cellStyle name="计算 3 4 7" xfId="36237"/>
    <cellStyle name="计算 3 4 8" xfId="36238"/>
    <cellStyle name="计算 3 4 9" xfId="36239"/>
    <cellStyle name="计算 3 5" xfId="12279"/>
    <cellStyle name="计算 3 6" xfId="12285"/>
    <cellStyle name="计算 3 7" xfId="14949"/>
    <cellStyle name="计算 3 8" xfId="36240"/>
    <cellStyle name="计算 3 9" xfId="36241"/>
    <cellStyle name="计算 4" xfId="20838"/>
    <cellStyle name="计算 4 10" xfId="36242"/>
    <cellStyle name="计算 4 11" xfId="36243"/>
    <cellStyle name="计算 4 12" xfId="36244"/>
    <cellStyle name="计算 4 13" xfId="36245"/>
    <cellStyle name="计算 4 14" xfId="36246"/>
    <cellStyle name="计算 4 15" xfId="36248"/>
    <cellStyle name="计算 4 16" xfId="36249"/>
    <cellStyle name="计算 4 17" xfId="14994"/>
    <cellStyle name="计算 4 17 10" xfId="36250"/>
    <cellStyle name="计算 4 17 11" xfId="36251"/>
    <cellStyle name="计算 4 17 12" xfId="36252"/>
    <cellStyle name="计算 4 17 13" xfId="36253"/>
    <cellStyle name="计算 4 17 14" xfId="36254"/>
    <cellStyle name="计算 4 17 2" xfId="36255"/>
    <cellStyle name="计算 4 17 3" xfId="36256"/>
    <cellStyle name="计算 4 17 4" xfId="36257"/>
    <cellStyle name="计算 4 17 5" xfId="36258"/>
    <cellStyle name="计算 4 17 5 10" xfId="36259"/>
    <cellStyle name="计算 4 17 5 11" xfId="36260"/>
    <cellStyle name="计算 4 17 5 2" xfId="36261"/>
    <cellStyle name="计算 4 17 5 2 2" xfId="25219"/>
    <cellStyle name="计算 4 17 5 2 2 2" xfId="35754"/>
    <cellStyle name="计算 4 17 5 2 2 3" xfId="35762"/>
    <cellStyle name="计算 4 17 5 2 3" xfId="25221"/>
    <cellStyle name="计算 4 17 5 2 4" xfId="25223"/>
    <cellStyle name="计算 4 17 5 2 5" xfId="25225"/>
    <cellStyle name="计算 4 17 5 2 6" xfId="36262"/>
    <cellStyle name="计算 4 17 5 2 7" xfId="36263"/>
    <cellStyle name="计算 4 17 5 2 8" xfId="36264"/>
    <cellStyle name="计算 4 17 5 3" xfId="36265"/>
    <cellStyle name="计算 4 17 5 4" xfId="36266"/>
    <cellStyle name="计算 4 17 5 5" xfId="36267"/>
    <cellStyle name="计算 4 17 5 6" xfId="8782"/>
    <cellStyle name="计算 4 17 5 6 2" xfId="36268"/>
    <cellStyle name="计算 4 17 5 6 3" xfId="36269"/>
    <cellStyle name="计算 4 17 5 7" xfId="8797"/>
    <cellStyle name="计算 4 17 5 8" xfId="36270"/>
    <cellStyle name="计算 4 17 5 9" xfId="36271"/>
    <cellStyle name="计算 4 17 6" xfId="9624"/>
    <cellStyle name="计算 4 17 6 2" xfId="20014"/>
    <cellStyle name="计算 4 17 6 2 2" xfId="29784"/>
    <cellStyle name="计算 4 17 6 2 3" xfId="29786"/>
    <cellStyle name="计算 4 17 6 3" xfId="20016"/>
    <cellStyle name="计算 4 17 6 4" xfId="36272"/>
    <cellStyle name="计算 4 17 6 5" xfId="36273"/>
    <cellStyle name="计算 4 17 6 6" xfId="15851"/>
    <cellStyle name="计算 4 17 6 7" xfId="15860"/>
    <cellStyle name="计算 4 17 6 8" xfId="13813"/>
    <cellStyle name="计算 4 17 7" xfId="9629"/>
    <cellStyle name="计算 4 17 8" xfId="9634"/>
    <cellStyle name="计算 4 17 9" xfId="9638"/>
    <cellStyle name="计算 4 17 9 2" xfId="36274"/>
    <cellStyle name="计算 4 17 9 3" xfId="36275"/>
    <cellStyle name="计算 4 18" xfId="14996"/>
    <cellStyle name="计算 4 18 10" xfId="36276"/>
    <cellStyle name="计算 4 18 11" xfId="28742"/>
    <cellStyle name="计算 4 18 12" xfId="28744"/>
    <cellStyle name="计算 4 18 13" xfId="28746"/>
    <cellStyle name="计算 4 18 14" xfId="28748"/>
    <cellStyle name="计算 4 18 2" xfId="36277"/>
    <cellStyle name="计算 4 18 3" xfId="36278"/>
    <cellStyle name="计算 4 18 4" xfId="36279"/>
    <cellStyle name="计算 4 18 5" xfId="36280"/>
    <cellStyle name="计算 4 18 5 10" xfId="36282"/>
    <cellStyle name="计算 4 18 5 11" xfId="36284"/>
    <cellStyle name="计算 4 18 5 2" xfId="36285"/>
    <cellStyle name="计算 4 18 5 2 2" xfId="36287"/>
    <cellStyle name="计算 4 18 5 2 2 2" xfId="36288"/>
    <cellStyle name="计算 4 18 5 2 2 3" xfId="36289"/>
    <cellStyle name="计算 4 18 5 2 3" xfId="36290"/>
    <cellStyle name="计算 4 18 5 2 4" xfId="36291"/>
    <cellStyle name="计算 4 18 5 2 5" xfId="36292"/>
    <cellStyle name="计算 4 18 5 2 6" xfId="36293"/>
    <cellStyle name="计算 4 18 5 2 7" xfId="36294"/>
    <cellStyle name="计算 4 18 5 2 8" xfId="36295"/>
    <cellStyle name="计算 4 18 5 3" xfId="36296"/>
    <cellStyle name="计算 4 18 5 4" xfId="36297"/>
    <cellStyle name="计算 4 18 5 5" xfId="36298"/>
    <cellStyle name="计算 4 18 5 6" xfId="36299"/>
    <cellStyle name="计算 4 18 5 6 2" xfId="36300"/>
    <cellStyle name="计算 4 18 5 6 3" xfId="36301"/>
    <cellStyle name="计算 4 18 5 7" xfId="36302"/>
    <cellStyle name="计算 4 18 5 8" xfId="36303"/>
    <cellStyle name="计算 4 18 5 9" xfId="36304"/>
    <cellStyle name="计算 4 18 6" xfId="36305"/>
    <cellStyle name="计算 4 18 6 2" xfId="36306"/>
    <cellStyle name="计算 4 18 6 2 2" xfId="36307"/>
    <cellStyle name="计算 4 18 6 2 3" xfId="6472"/>
    <cellStyle name="计算 4 18 6 3" xfId="36308"/>
    <cellStyle name="计算 4 18 6 4" xfId="36309"/>
    <cellStyle name="计算 4 18 6 5" xfId="36310"/>
    <cellStyle name="计算 4 18 6 6" xfId="36311"/>
    <cellStyle name="计算 4 18 6 7" xfId="36312"/>
    <cellStyle name="计算 4 18 6 8" xfId="36313"/>
    <cellStyle name="计算 4 18 7" xfId="36314"/>
    <cellStyle name="计算 4 18 8" xfId="36315"/>
    <cellStyle name="计算 4 18 9" xfId="36316"/>
    <cellStyle name="计算 4 18 9 2" xfId="26932"/>
    <cellStyle name="计算 4 18 9 3" xfId="26935"/>
    <cellStyle name="计算 4 19" xfId="36317"/>
    <cellStyle name="计算 4 19 10" xfId="36318"/>
    <cellStyle name="计算 4 19 11" xfId="36319"/>
    <cellStyle name="计算 4 19 12" xfId="36320"/>
    <cellStyle name="计算 4 19 13" xfId="36321"/>
    <cellStyle name="计算 4 19 14" xfId="17959"/>
    <cellStyle name="计算 4 19 2" xfId="36322"/>
    <cellStyle name="计算 4 19 3" xfId="36323"/>
    <cellStyle name="计算 4 19 4" xfId="36324"/>
    <cellStyle name="计算 4 19 5" xfId="36325"/>
    <cellStyle name="计算 4 19 5 10" xfId="35384"/>
    <cellStyle name="计算 4 19 5 11" xfId="35387"/>
    <cellStyle name="计算 4 19 5 2" xfId="36326"/>
    <cellStyle name="计算 4 19 5 2 2" xfId="36328"/>
    <cellStyle name="计算 4 19 5 2 2 2" xfId="36329"/>
    <cellStyle name="计算 4 19 5 2 2 3" xfId="36330"/>
    <cellStyle name="计算 4 19 5 2 3" xfId="36331"/>
    <cellStyle name="计算 4 19 5 2 4" xfId="36332"/>
    <cellStyle name="计算 4 19 5 2 5" xfId="36333"/>
    <cellStyle name="计算 4 19 5 2 6" xfId="36334"/>
    <cellStyle name="计算 4 19 5 2 7" xfId="36335"/>
    <cellStyle name="计算 4 19 5 2 8" xfId="36336"/>
    <cellStyle name="计算 4 19 5 3" xfId="36337"/>
    <cellStyle name="计算 4 19 5 4" xfId="36338"/>
    <cellStyle name="计算 4 19 5 5" xfId="36339"/>
    <cellStyle name="计算 4 19 5 6" xfId="36340"/>
    <cellStyle name="计算 4 19 5 6 2" xfId="36341"/>
    <cellStyle name="计算 4 19 5 6 3" xfId="36342"/>
    <cellStyle name="计算 4 19 5 7" xfId="36343"/>
    <cellStyle name="计算 4 19 5 8" xfId="36344"/>
    <cellStyle name="计算 4 19 5 9" xfId="31861"/>
    <cellStyle name="计算 4 19 6" xfId="36345"/>
    <cellStyle name="计算 4 19 6 2" xfId="36346"/>
    <cellStyle name="计算 4 19 6 2 2" xfId="36347"/>
    <cellStyle name="计算 4 19 6 2 3" xfId="36348"/>
    <cellStyle name="计算 4 19 6 3" xfId="36349"/>
    <cellStyle name="计算 4 19 6 4" xfId="13399"/>
    <cellStyle name="计算 4 19 6 5" xfId="13403"/>
    <cellStyle name="计算 4 19 6 6" xfId="13408"/>
    <cellStyle name="计算 4 19 6 7" xfId="13414"/>
    <cellStyle name="计算 4 19 6 8" xfId="13430"/>
    <cellStyle name="计算 4 19 7" xfId="36350"/>
    <cellStyle name="计算 4 19 8" xfId="36351"/>
    <cellStyle name="计算 4 19 9" xfId="36352"/>
    <cellStyle name="计算 4 19 9 2" xfId="36353"/>
    <cellStyle name="计算 4 19 9 3" xfId="36354"/>
    <cellStyle name="计算 4 2" xfId="3977"/>
    <cellStyle name="计算 4 20" xfId="36247"/>
    <cellStyle name="计算 4 20 10" xfId="14617"/>
    <cellStyle name="计算 4 20 11" xfId="14621"/>
    <cellStyle name="计算 4 20 12" xfId="14629"/>
    <cellStyle name="计算 4 20 13" xfId="14632"/>
    <cellStyle name="计算 4 20 14" xfId="14635"/>
    <cellStyle name="计算 4 20 2" xfId="36355"/>
    <cellStyle name="计算 4 20 3" xfId="36356"/>
    <cellStyle name="计算 4 20 4" xfId="36357"/>
    <cellStyle name="计算 4 20 5" xfId="36358"/>
    <cellStyle name="计算 4 20 5 10" xfId="21757"/>
    <cellStyle name="计算 4 20 5 11" xfId="21759"/>
    <cellStyle name="计算 4 20 5 2" xfId="36359"/>
    <cellStyle name="计算 4 20 5 2 2" xfId="28423"/>
    <cellStyle name="计算 4 20 5 2 2 2" xfId="36360"/>
    <cellStyle name="计算 4 20 5 2 2 3" xfId="36361"/>
    <cellStyle name="计算 4 20 5 2 3" xfId="28425"/>
    <cellStyle name="计算 4 20 5 2 4" xfId="36362"/>
    <cellStyle name="计算 4 20 5 2 5" xfId="36363"/>
    <cellStyle name="计算 4 20 5 2 6" xfId="36364"/>
    <cellStyle name="计算 4 20 5 2 7" xfId="36365"/>
    <cellStyle name="计算 4 20 5 2 8" xfId="36366"/>
    <cellStyle name="计算 4 20 5 3" xfId="36367"/>
    <cellStyle name="计算 4 20 5 4" xfId="36368"/>
    <cellStyle name="计算 4 20 5 5" xfId="36369"/>
    <cellStyle name="计算 4 20 5 6" xfId="36370"/>
    <cellStyle name="计算 4 20 5 6 2" xfId="35961"/>
    <cellStyle name="计算 4 20 5 6 3" xfId="35963"/>
    <cellStyle name="计算 4 20 5 7" xfId="36371"/>
    <cellStyle name="计算 4 20 5 8" xfId="36372"/>
    <cellStyle name="计算 4 20 5 9" xfId="31826"/>
    <cellStyle name="计算 4 20 6" xfId="36373"/>
    <cellStyle name="计算 4 20 6 2" xfId="36374"/>
    <cellStyle name="计算 4 20 6 2 2" xfId="28467"/>
    <cellStyle name="计算 4 20 6 2 3" xfId="19642"/>
    <cellStyle name="计算 4 20 6 3" xfId="36375"/>
    <cellStyle name="计算 4 20 6 4" xfId="21777"/>
    <cellStyle name="计算 4 20 6 5" xfId="21809"/>
    <cellStyle name="计算 4 20 6 6" xfId="15848"/>
    <cellStyle name="计算 4 20 6 7" xfId="15866"/>
    <cellStyle name="计算 4 20 6 8" xfId="13571"/>
    <cellStyle name="计算 4 20 7" xfId="36376"/>
    <cellStyle name="计算 4 20 8" xfId="36377"/>
    <cellStyle name="计算 4 20 9" xfId="36378"/>
    <cellStyle name="计算 4 20 9 2" xfId="36379"/>
    <cellStyle name="计算 4 20 9 3" xfId="36380"/>
    <cellStyle name="计算 4 3" xfId="4909"/>
    <cellStyle name="计算 4 4" xfId="5211"/>
    <cellStyle name="计算 4 5" xfId="2833"/>
    <cellStyle name="计算 4 6" xfId="2854"/>
    <cellStyle name="计算 4 7" xfId="12035"/>
    <cellStyle name="计算 4 8" xfId="12037"/>
    <cellStyle name="计算 4 9" xfId="36381"/>
    <cellStyle name="计算 5" xfId="403"/>
    <cellStyle name="计算 5 10" xfId="36382"/>
    <cellStyle name="计算 5 11" xfId="36383"/>
    <cellStyle name="计算 5 12" xfId="36384"/>
    <cellStyle name="计算 5 13" xfId="36385"/>
    <cellStyle name="计算 5 14" xfId="36386"/>
    <cellStyle name="计算 5 2" xfId="24203"/>
    <cellStyle name="计算 5 3" xfId="24206"/>
    <cellStyle name="计算 5 4" xfId="24209"/>
    <cellStyle name="计算 5 5" xfId="24212"/>
    <cellStyle name="计算 5 6" xfId="24215"/>
    <cellStyle name="计算 5 7" xfId="24217"/>
    <cellStyle name="计算 5 8" xfId="24219"/>
    <cellStyle name="计算 5 9" xfId="36387"/>
    <cellStyle name="计算 6" xfId="20842"/>
    <cellStyle name="计算 6 10" xfId="36388"/>
    <cellStyle name="计算 6 11" xfId="36389"/>
    <cellStyle name="计算 6 12" xfId="36390"/>
    <cellStyle name="计算 6 13" xfId="36391"/>
    <cellStyle name="计算 6 14" xfId="10743"/>
    <cellStyle name="计算 6 2" xfId="24223"/>
    <cellStyle name="计算 6 3" xfId="24225"/>
    <cellStyle name="计算 6 4" xfId="24227"/>
    <cellStyle name="计算 6 5" xfId="24229"/>
    <cellStyle name="计算 6 6" xfId="24231"/>
    <cellStyle name="计算 6 7" xfId="24233"/>
    <cellStyle name="计算 6 8" xfId="34337"/>
    <cellStyle name="计算 6 9" xfId="34339"/>
    <cellStyle name="计算 7" xfId="20845"/>
    <cellStyle name="计算 8" xfId="20848"/>
    <cellStyle name="计算 9" xfId="15410"/>
    <cellStyle name="货币 2" xfId="36392"/>
    <cellStyle name="超链接_报关发票" xfId="38787"/>
    <cellStyle name="輔色1" xfId="36393"/>
    <cellStyle name="輔色2" xfId="36394"/>
    <cellStyle name="輔色3" xfId="36395"/>
    <cellStyle name="輔色4" xfId="36396"/>
    <cellStyle name="輔色5" xfId="36397"/>
    <cellStyle name="輔色6" xfId="36398"/>
    <cellStyle name="輸入" xfId="22589"/>
    <cellStyle name="輸出" xfId="36399"/>
    <cellStyle name="输入 10" xfId="15183"/>
    <cellStyle name="输入 11" xfId="15185"/>
    <cellStyle name="输入 12" xfId="15187"/>
    <cellStyle name="输入 12 10" xfId="36400"/>
    <cellStyle name="输入 12 11" xfId="36401"/>
    <cellStyle name="输入 12 12" xfId="36402"/>
    <cellStyle name="输入 12 13" xfId="36403"/>
    <cellStyle name="输入 12 14" xfId="36404"/>
    <cellStyle name="输入 12 2" xfId="4728"/>
    <cellStyle name="输入 12 3" xfId="4737"/>
    <cellStyle name="输入 12 4" xfId="29627"/>
    <cellStyle name="输入 12 5" xfId="29631"/>
    <cellStyle name="输入 12 5 10" xfId="15535"/>
    <cellStyle name="输入 12 5 11" xfId="36405"/>
    <cellStyle name="输入 12 5 2" xfId="24251"/>
    <cellStyle name="输入 12 5 2 2" xfId="36406"/>
    <cellStyle name="输入 12 5 2 2 2" xfId="30817"/>
    <cellStyle name="输入 12 5 2 2 3" xfId="36407"/>
    <cellStyle name="输入 12 5 2 3" xfId="36408"/>
    <cellStyle name="输入 12 5 2 4" xfId="36409"/>
    <cellStyle name="输入 12 5 2 5" xfId="36410"/>
    <cellStyle name="输入 12 5 2 6" xfId="36411"/>
    <cellStyle name="输入 12 5 2 7" xfId="36412"/>
    <cellStyle name="输入 12 5 2 8" xfId="36413"/>
    <cellStyle name="输入 12 5 3" xfId="24253"/>
    <cellStyle name="输入 12 5 4" xfId="12504"/>
    <cellStyle name="输入 12 5 5" xfId="12506"/>
    <cellStyle name="输入 12 5 6" xfId="36414"/>
    <cellStyle name="输入 12 5 6 2" xfId="36415"/>
    <cellStyle name="输入 12 5 6 3" xfId="36416"/>
    <cellStyle name="输入 12 5 7" xfId="15981"/>
    <cellStyle name="输入 12 5 8" xfId="15983"/>
    <cellStyle name="输入 12 5 9" xfId="36417"/>
    <cellStyle name="输入 12 6" xfId="11345"/>
    <cellStyle name="输入 12 6 2" xfId="36418"/>
    <cellStyle name="输入 12 6 2 2" xfId="36419"/>
    <cellStyle name="输入 12 6 2 3" xfId="31823"/>
    <cellStyle name="输入 12 6 3" xfId="36420"/>
    <cellStyle name="输入 12 6 4" xfId="36421"/>
    <cellStyle name="输入 12 6 5" xfId="36422"/>
    <cellStyle name="输入 12 6 6" xfId="36423"/>
    <cellStyle name="输入 12 6 7" xfId="36424"/>
    <cellStyle name="输入 12 6 8" xfId="30598"/>
    <cellStyle name="输入 12 7" xfId="11352"/>
    <cellStyle name="输入 12 8" xfId="10815"/>
    <cellStyle name="输入 12 9" xfId="10818"/>
    <cellStyle name="输入 12 9 2" xfId="16918"/>
    <cellStyle name="输入 12 9 3" xfId="16921"/>
    <cellStyle name="输入 13" xfId="15189"/>
    <cellStyle name="输入 14" xfId="36425"/>
    <cellStyle name="输入 15" xfId="36426"/>
    <cellStyle name="输入 16" xfId="36427"/>
    <cellStyle name="输入 16 10" xfId="33134"/>
    <cellStyle name="输入 16 11" xfId="33136"/>
    <cellStyle name="输入 16 12" xfId="33146"/>
    <cellStyle name="输入 16 13" xfId="33148"/>
    <cellStyle name="输入 16 14" xfId="33150"/>
    <cellStyle name="输入 16 2" xfId="36428"/>
    <cellStyle name="输入 16 3" xfId="36429"/>
    <cellStyle name="输入 16 4" xfId="36430"/>
    <cellStyle name="输入 16 5" xfId="36431"/>
    <cellStyle name="输入 16 5 10" xfId="36432"/>
    <cellStyle name="输入 16 5 11" xfId="36433"/>
    <cellStyle name="输入 16 5 2" xfId="36434"/>
    <cellStyle name="输入 16 5 2 2" xfId="36435"/>
    <cellStyle name="输入 16 5 2 2 2" xfId="36436"/>
    <cellStyle name="输入 16 5 2 2 3" xfId="36437"/>
    <cellStyle name="输入 16 5 2 3" xfId="36438"/>
    <cellStyle name="输入 16 5 2 4" xfId="17438"/>
    <cellStyle name="输入 16 5 2 5" xfId="17441"/>
    <cellStyle name="输入 16 5 2 6" xfId="36439"/>
    <cellStyle name="输入 16 5 2 7" xfId="36440"/>
    <cellStyle name="输入 16 5 2 8" xfId="36441"/>
    <cellStyle name="输入 16 5 3" xfId="36442"/>
    <cellStyle name="输入 16 5 4" xfId="36443"/>
    <cellStyle name="输入 16 5 5" xfId="36444"/>
    <cellStyle name="输入 16 5 6" xfId="36445"/>
    <cellStyle name="输入 16 5 6 2" xfId="27637"/>
    <cellStyle name="输入 16 5 6 3" xfId="27640"/>
    <cellStyle name="输入 16 5 7" xfId="36446"/>
    <cellStyle name="输入 16 5 8" xfId="36447"/>
    <cellStyle name="输入 16 5 9" xfId="36448"/>
    <cellStyle name="输入 16 6" xfId="36449"/>
    <cellStyle name="输入 16 6 2" xfId="2740"/>
    <cellStyle name="输入 16 6 2 2" xfId="36450"/>
    <cellStyle name="输入 16 6 2 3" xfId="36451"/>
    <cellStyle name="输入 16 6 3" xfId="2749"/>
    <cellStyle name="输入 16 6 4" xfId="20357"/>
    <cellStyle name="输入 16 6 5" xfId="20362"/>
    <cellStyle name="输入 16 6 6" xfId="27270"/>
    <cellStyle name="输入 16 6 7" xfId="36452"/>
    <cellStyle name="输入 16 6 8" xfId="30629"/>
    <cellStyle name="输入 16 7" xfId="36453"/>
    <cellStyle name="输入 16 8" xfId="36454"/>
    <cellStyle name="输入 16 9" xfId="36455"/>
    <cellStyle name="输入 16 9 2" xfId="36456"/>
    <cellStyle name="输入 16 9 3" xfId="36457"/>
    <cellStyle name="输入 17" xfId="31779"/>
    <cellStyle name="输入 17 10" xfId="34684"/>
    <cellStyle name="输入 17 11" xfId="34686"/>
    <cellStyle name="输入 17 12" xfId="36458"/>
    <cellStyle name="输入 17 13" xfId="36459"/>
    <cellStyle name="输入 17 14" xfId="36460"/>
    <cellStyle name="输入 17 2" xfId="21218"/>
    <cellStyle name="输入 17 3" xfId="21221"/>
    <cellStyle name="输入 17 4" xfId="21224"/>
    <cellStyle name="输入 17 5" xfId="21227"/>
    <cellStyle name="输入 17 5 10" xfId="19771"/>
    <cellStyle name="输入 17 5 11" xfId="36461"/>
    <cellStyle name="输入 17 5 2" xfId="36462"/>
    <cellStyle name="输入 17 5 2 2" xfId="36463"/>
    <cellStyle name="输入 17 5 2 2 2" xfId="36465"/>
    <cellStyle name="输入 17 5 2 2 3" xfId="36467"/>
    <cellStyle name="输入 17 5 2 3" xfId="36468"/>
    <cellStyle name="输入 17 5 2 4" xfId="21617"/>
    <cellStyle name="输入 17 5 2 5" xfId="21619"/>
    <cellStyle name="输入 17 5 2 6" xfId="36469"/>
    <cellStyle name="输入 17 5 2 7" xfId="36470"/>
    <cellStyle name="输入 17 5 2 8" xfId="36471"/>
    <cellStyle name="输入 17 5 3" xfId="36472"/>
    <cellStyle name="输入 17 5 4" xfId="36473"/>
    <cellStyle name="输入 17 5 5" xfId="36474"/>
    <cellStyle name="输入 17 5 6" xfId="36475"/>
    <cellStyle name="输入 17 5 6 2" xfId="36476"/>
    <cellStyle name="输入 17 5 6 3" xfId="36477"/>
    <cellStyle name="输入 17 5 7" xfId="36478"/>
    <cellStyle name="输入 17 5 8" xfId="23922"/>
    <cellStyle name="输入 17 5 9" xfId="23925"/>
    <cellStyle name="输入 17 6" xfId="33794"/>
    <cellStyle name="输入 17 6 2" xfId="36479"/>
    <cellStyle name="输入 17 6 2 2" xfId="36480"/>
    <cellStyle name="输入 17 6 2 3" xfId="36481"/>
    <cellStyle name="输入 17 6 3" xfId="36482"/>
    <cellStyle name="输入 17 6 4" xfId="30288"/>
    <cellStyle name="输入 17 6 5" xfId="22141"/>
    <cellStyle name="输入 17 6 6" xfId="36483"/>
    <cellStyle name="输入 17 6 7" xfId="36484"/>
    <cellStyle name="输入 17 6 8" xfId="30660"/>
    <cellStyle name="输入 17 7" xfId="31892"/>
    <cellStyle name="输入 17 8" xfId="7680"/>
    <cellStyle name="输入 17 9" xfId="9665"/>
    <cellStyle name="输入 17 9 2" xfId="36485"/>
    <cellStyle name="输入 17 9 3" xfId="36486"/>
    <cellStyle name="输入 18" xfId="31781"/>
    <cellStyle name="输入 18 10" xfId="5407"/>
    <cellStyle name="输入 18 11" xfId="5419"/>
    <cellStyle name="输入 18 12" xfId="5432"/>
    <cellStyle name="输入 18 13" xfId="5446"/>
    <cellStyle name="输入 18 14" xfId="5462"/>
    <cellStyle name="输入 18 2" xfId="31905"/>
    <cellStyle name="输入 18 3" xfId="31907"/>
    <cellStyle name="输入 18 4" xfId="36487"/>
    <cellStyle name="输入 18 5" xfId="34357"/>
    <cellStyle name="输入 18 5 10" xfId="36489"/>
    <cellStyle name="输入 18 5 11" xfId="36491"/>
    <cellStyle name="输入 18 5 2" xfId="29149"/>
    <cellStyle name="输入 18 5 2 2" xfId="36492"/>
    <cellStyle name="输入 18 5 2 2 2" xfId="36493"/>
    <cellStyle name="输入 18 5 2 2 3" xfId="36494"/>
    <cellStyle name="输入 18 5 2 3" xfId="36495"/>
    <cellStyle name="输入 18 5 2 4" xfId="36496"/>
    <cellStyle name="输入 18 5 2 5" xfId="36497"/>
    <cellStyle name="输入 18 5 2 6" xfId="36498"/>
    <cellStyle name="输入 18 5 2 7" xfId="36499"/>
    <cellStyle name="输入 18 5 2 8" xfId="36500"/>
    <cellStyle name="输入 18 5 3" xfId="29151"/>
    <cellStyle name="输入 18 5 4" xfId="29153"/>
    <cellStyle name="输入 18 5 5" xfId="36501"/>
    <cellStyle name="输入 18 5 6" xfId="36502"/>
    <cellStyle name="输入 18 5 6 2" xfId="10990"/>
    <cellStyle name="输入 18 5 6 3" xfId="11000"/>
    <cellStyle name="输入 18 5 7" xfId="21122"/>
    <cellStyle name="输入 18 5 8" xfId="21125"/>
    <cellStyle name="输入 18 5 9" xfId="21130"/>
    <cellStyle name="输入 18 6" xfId="34359"/>
    <cellStyle name="输入 18 6 2" xfId="36503"/>
    <cellStyle name="输入 18 6 2 2" xfId="36504"/>
    <cellStyle name="输入 18 6 2 3" xfId="36505"/>
    <cellStyle name="输入 18 6 3" xfId="36506"/>
    <cellStyle name="输入 18 6 4" xfId="36507"/>
    <cellStyle name="输入 18 6 5" xfId="36508"/>
    <cellStyle name="输入 18 6 6" xfId="36509"/>
    <cellStyle name="输入 18 6 7" xfId="21138"/>
    <cellStyle name="输入 18 6 8" xfId="21142"/>
    <cellStyle name="输入 18 7" xfId="36510"/>
    <cellStyle name="输入 18 8" xfId="36511"/>
    <cellStyle name="输入 18 9" xfId="36512"/>
    <cellStyle name="输入 18 9 2" xfId="36513"/>
    <cellStyle name="输入 18 9 3" xfId="36514"/>
    <cellStyle name="输入 19" xfId="36515"/>
    <cellStyle name="输入 2" xfId="36516"/>
    <cellStyle name="输入 2 10" xfId="17865"/>
    <cellStyle name="输入 2 11" xfId="25569"/>
    <cellStyle name="输入 2 12" xfId="17873"/>
    <cellStyle name="输入 2 13" xfId="14786"/>
    <cellStyle name="输入 2 14" xfId="14790"/>
    <cellStyle name="输入 2 15" xfId="20712"/>
    <cellStyle name="输入 2 16" xfId="19279"/>
    <cellStyle name="输入 2 17" xfId="19292"/>
    <cellStyle name="输入 2 17 10" xfId="28916"/>
    <cellStyle name="输入 2 17 11" xfId="28919"/>
    <cellStyle name="输入 2 17 12" xfId="28921"/>
    <cellStyle name="输入 2 17 13" xfId="28923"/>
    <cellStyle name="输入 2 17 14" xfId="28925"/>
    <cellStyle name="输入 2 17 2" xfId="36518"/>
    <cellStyle name="输入 2 17 3" xfId="36520"/>
    <cellStyle name="输入 2 17 4" xfId="36522"/>
    <cellStyle name="输入 2 17 5" xfId="36524"/>
    <cellStyle name="输入 2 17 5 10" xfId="36525"/>
    <cellStyle name="输入 2 17 5 11" xfId="36526"/>
    <cellStyle name="输入 2 17 5 2" xfId="36527"/>
    <cellStyle name="输入 2 17 5 2 2" xfId="19170"/>
    <cellStyle name="输入 2 17 5 2 2 2" xfId="22108"/>
    <cellStyle name="输入 2 17 5 2 2 3" xfId="34622"/>
    <cellStyle name="输入 2 17 5 2 3" xfId="19175"/>
    <cellStyle name="输入 2 17 5 2 4" xfId="19179"/>
    <cellStyle name="输入 2 17 5 2 5" xfId="19192"/>
    <cellStyle name="输入 2 17 5 2 6" xfId="19214"/>
    <cellStyle name="输入 2 17 5 2 7" xfId="19218"/>
    <cellStyle name="输入 2 17 5 2 8" xfId="19221"/>
    <cellStyle name="输入 2 17 5 3" xfId="36528"/>
    <cellStyle name="输入 2 17 5 4" xfId="36529"/>
    <cellStyle name="输入 2 17 5 5" xfId="36530"/>
    <cellStyle name="输入 2 17 5 6" xfId="36531"/>
    <cellStyle name="输入 2 17 5 6 2" xfId="36532"/>
    <cellStyle name="输入 2 17 5 6 3" xfId="36533"/>
    <cellStyle name="输入 2 17 5 7" xfId="36534"/>
    <cellStyle name="输入 2 17 5 8" xfId="36535"/>
    <cellStyle name="输入 2 17 5 9" xfId="36536"/>
    <cellStyle name="输入 2 17 6" xfId="35111"/>
    <cellStyle name="输入 2 17 6 2" xfId="35113"/>
    <cellStyle name="输入 2 17 6 2 2" xfId="35115"/>
    <cellStyle name="输入 2 17 6 2 3" xfId="35117"/>
    <cellStyle name="输入 2 17 6 3" xfId="35119"/>
    <cellStyle name="输入 2 17 6 4" xfId="35121"/>
    <cellStyle name="输入 2 17 6 5" xfId="14648"/>
    <cellStyle name="输入 2 17 6 6" xfId="14654"/>
    <cellStyle name="输入 2 17 6 7" xfId="15111"/>
    <cellStyle name="输入 2 17 6 8" xfId="15116"/>
    <cellStyle name="输入 2 17 7" xfId="35124"/>
    <cellStyle name="输入 2 17 8" xfId="35126"/>
    <cellStyle name="输入 2 17 9" xfId="35128"/>
    <cellStyle name="输入 2 17 9 2" xfId="36537"/>
    <cellStyle name="输入 2 17 9 3" xfId="36538"/>
    <cellStyle name="输入 2 18" xfId="19296"/>
    <cellStyle name="输入 2 18 10" xfId="14027"/>
    <cellStyle name="输入 2 18 11" xfId="14032"/>
    <cellStyle name="输入 2 18 12" xfId="787"/>
    <cellStyle name="输入 2 18 13" xfId="11086"/>
    <cellStyle name="输入 2 18 14" xfId="25021"/>
    <cellStyle name="输入 2 18 2" xfId="36539"/>
    <cellStyle name="输入 2 18 3" xfId="36540"/>
    <cellStyle name="输入 2 18 4" xfId="36541"/>
    <cellStyle name="输入 2 18 5" xfId="36542"/>
    <cellStyle name="输入 2 18 5 10" xfId="8496"/>
    <cellStyle name="输入 2 18 5 11" xfId="36543"/>
    <cellStyle name="输入 2 18 5 2" xfId="36544"/>
    <cellStyle name="输入 2 18 5 2 2" xfId="12638"/>
    <cellStyle name="输入 2 18 5 2 2 2" xfId="20003"/>
    <cellStyle name="输入 2 18 5 2 2 3" xfId="20040"/>
    <cellStyle name="输入 2 18 5 2 3" xfId="12645"/>
    <cellStyle name="输入 2 18 5 2 4" xfId="12651"/>
    <cellStyle name="输入 2 18 5 2 5" xfId="12657"/>
    <cellStyle name="输入 2 18 5 2 6" xfId="12660"/>
    <cellStyle name="输入 2 18 5 2 7" xfId="12663"/>
    <cellStyle name="输入 2 18 5 2 8" xfId="36155"/>
    <cellStyle name="输入 2 18 5 3" xfId="36545"/>
    <cellStyle name="输入 2 18 5 4" xfId="36546"/>
    <cellStyle name="输入 2 18 5 5" xfId="31438"/>
    <cellStyle name="输入 2 18 5 6" xfId="31440"/>
    <cellStyle name="输入 2 18 5 6 2" xfId="36547"/>
    <cellStyle name="输入 2 18 5 6 3" xfId="36548"/>
    <cellStyle name="输入 2 18 5 7" xfId="31442"/>
    <cellStyle name="输入 2 18 5 8" xfId="31444"/>
    <cellStyle name="输入 2 18 5 9" xfId="31446"/>
    <cellStyle name="输入 2 18 6" xfId="32764"/>
    <cellStyle name="输入 2 18 6 2" xfId="32767"/>
    <cellStyle name="输入 2 18 6 2 2" xfId="36549"/>
    <cellStyle name="输入 2 18 6 2 3" xfId="36550"/>
    <cellStyle name="输入 2 18 6 3" xfId="32770"/>
    <cellStyle name="输入 2 18 6 4" xfId="36551"/>
    <cellStyle name="输入 2 18 6 5" xfId="36552"/>
    <cellStyle name="输入 2 18 6 6" xfId="36553"/>
    <cellStyle name="输入 2 18 6 7" xfId="36554"/>
    <cellStyle name="输入 2 18 6 8" xfId="21256"/>
    <cellStyle name="输入 2 18 7" xfId="32773"/>
    <cellStyle name="输入 2 18 8" xfId="32776"/>
    <cellStyle name="输入 2 18 9" xfId="32779"/>
    <cellStyle name="输入 2 18 9 2" xfId="36555"/>
    <cellStyle name="输入 2 18 9 3" xfId="36556"/>
    <cellStyle name="输入 2 19" xfId="19300"/>
    <cellStyle name="输入 2 19 10" xfId="36557"/>
    <cellStyle name="输入 2 19 11" xfId="14047"/>
    <cellStyle name="输入 2 19 12" xfId="16511"/>
    <cellStyle name="输入 2 19 13" xfId="16513"/>
    <cellStyle name="输入 2 19 14" xfId="16515"/>
    <cellStyle name="输入 2 19 2" xfId="19998"/>
    <cellStyle name="输入 2 19 3" xfId="36558"/>
    <cellStyle name="输入 2 19 4" xfId="36559"/>
    <cellStyle name="输入 2 19 5" xfId="36560"/>
    <cellStyle name="输入 2 19 5 10" xfId="36561"/>
    <cellStyle name="输入 2 19 5 11" xfId="30507"/>
    <cellStyle name="输入 2 19 5 2" xfId="36562"/>
    <cellStyle name="输入 2 19 5 2 2" xfId="36563"/>
    <cellStyle name="输入 2 19 5 2 2 2" xfId="22495"/>
    <cellStyle name="输入 2 19 5 2 2 3" xfId="11084"/>
    <cellStyle name="输入 2 19 5 2 3" xfId="27913"/>
    <cellStyle name="输入 2 19 5 2 4" xfId="27917"/>
    <cellStyle name="输入 2 19 5 2 5" xfId="27919"/>
    <cellStyle name="输入 2 19 5 2 6" xfId="27921"/>
    <cellStyle name="输入 2 19 5 2 7" xfId="27923"/>
    <cellStyle name="输入 2 19 5 2 8" xfId="27925"/>
    <cellStyle name="输入 2 19 5 3" xfId="36564"/>
    <cellStyle name="输入 2 19 5 4" xfId="36565"/>
    <cellStyle name="输入 2 19 5 5" xfId="36566"/>
    <cellStyle name="输入 2 19 5 6" xfId="36567"/>
    <cellStyle name="输入 2 19 5 6 2" xfId="36568"/>
    <cellStyle name="输入 2 19 5 6 3" xfId="36569"/>
    <cellStyle name="输入 2 19 5 7" xfId="6414"/>
    <cellStyle name="输入 2 19 5 8" xfId="6423"/>
    <cellStyle name="输入 2 19 5 9" xfId="6429"/>
    <cellStyle name="输入 2 19 6" xfId="36570"/>
    <cellStyle name="输入 2 19 6 2" xfId="36571"/>
    <cellStyle name="输入 2 19 6 2 2" xfId="36572"/>
    <cellStyle name="输入 2 19 6 2 3" xfId="26269"/>
    <cellStyle name="输入 2 19 6 3" xfId="36573"/>
    <cellStyle name="输入 2 19 6 4" xfId="36574"/>
    <cellStyle name="输入 2 19 6 5" xfId="36575"/>
    <cellStyle name="输入 2 19 6 6" xfId="36576"/>
    <cellStyle name="输入 2 19 6 7" xfId="14889"/>
    <cellStyle name="输入 2 19 6 8" xfId="14895"/>
    <cellStyle name="输入 2 19 7" xfId="36577"/>
    <cellStyle name="输入 2 19 8" xfId="36578"/>
    <cellStyle name="输入 2 19 9" xfId="36579"/>
    <cellStyle name="输入 2 19 9 2" xfId="36580"/>
    <cellStyle name="输入 2 19 9 3" xfId="36581"/>
    <cellStyle name="输入 2 2" xfId="36582"/>
    <cellStyle name="输入 2 2 10" xfId="36583"/>
    <cellStyle name="输入 2 2 11" xfId="36584"/>
    <cellStyle name="输入 2 2 12" xfId="36585"/>
    <cellStyle name="输入 2 2 13" xfId="36586"/>
    <cellStyle name="输入 2 2 14" xfId="36587"/>
    <cellStyle name="输入 2 2 2" xfId="36588"/>
    <cellStyle name="输入 2 2 3" xfId="36589"/>
    <cellStyle name="输入 2 2 4" xfId="36590"/>
    <cellStyle name="输入 2 2 5" xfId="36591"/>
    <cellStyle name="输入 2 2 6" xfId="36592"/>
    <cellStyle name="输入 2 2 7" xfId="36593"/>
    <cellStyle name="输入 2 2 8" xfId="36594"/>
    <cellStyle name="输入 2 2 9" xfId="36595"/>
    <cellStyle name="输入 2 20" xfId="20711"/>
    <cellStyle name="输入 2 20 10" xfId="36596"/>
    <cellStyle name="输入 2 20 11" xfId="3409"/>
    <cellStyle name="输入 2 20 12" xfId="1446"/>
    <cellStyle name="输入 2 20 13" xfId="16461"/>
    <cellStyle name="输入 2 20 14" xfId="16463"/>
    <cellStyle name="输入 2 20 2" xfId="19955"/>
    <cellStyle name="输入 2 20 3" xfId="19958"/>
    <cellStyle name="输入 2 20 4" xfId="19961"/>
    <cellStyle name="输入 2 20 5" xfId="19965"/>
    <cellStyle name="输入 2 20 5 10" xfId="29161"/>
    <cellStyle name="输入 2 20 5 11" xfId="36597"/>
    <cellStyle name="输入 2 20 5 2" xfId="36598"/>
    <cellStyle name="输入 2 20 5 2 2" xfId="7688"/>
    <cellStyle name="输入 2 20 5 2 2 2" xfId="32130"/>
    <cellStyle name="输入 2 20 5 2 2 3" xfId="32132"/>
    <cellStyle name="输入 2 20 5 2 3" xfId="7692"/>
    <cellStyle name="输入 2 20 5 2 4" xfId="7694"/>
    <cellStyle name="输入 2 20 5 2 5" xfId="7698"/>
    <cellStyle name="输入 2 20 5 2 6" xfId="36599"/>
    <cellStyle name="输入 2 20 5 2 7" xfId="36600"/>
    <cellStyle name="输入 2 20 5 2 8" xfId="36601"/>
    <cellStyle name="输入 2 20 5 3" xfId="36602"/>
    <cellStyle name="输入 2 20 5 4" xfId="36603"/>
    <cellStyle name="输入 2 20 5 5" xfId="36604"/>
    <cellStyle name="输入 2 20 5 6" xfId="36605"/>
    <cellStyle name="输入 2 20 5 6 2" xfId="36606"/>
    <cellStyle name="输入 2 20 5 6 3" xfId="36607"/>
    <cellStyle name="输入 2 20 5 7" xfId="16477"/>
    <cellStyle name="输入 2 20 5 8" xfId="16488"/>
    <cellStyle name="输入 2 20 5 9" xfId="16493"/>
    <cellStyle name="输入 2 20 6" xfId="19971"/>
    <cellStyle name="输入 2 20 6 2" xfId="36608"/>
    <cellStyle name="输入 2 20 6 2 2" xfId="21853"/>
    <cellStyle name="输入 2 20 6 2 3" xfId="21855"/>
    <cellStyle name="输入 2 20 6 3" xfId="36609"/>
    <cellStyle name="输入 2 20 6 4" xfId="18637"/>
    <cellStyle name="输入 2 20 6 5" xfId="18640"/>
    <cellStyle name="输入 2 20 6 6" xfId="18643"/>
    <cellStyle name="输入 2 20 6 7" xfId="15666"/>
    <cellStyle name="输入 2 20 6 8" xfId="16505"/>
    <cellStyle name="输入 2 20 7" xfId="19977"/>
    <cellStyle name="输入 2 20 8" xfId="19981"/>
    <cellStyle name="输入 2 20 9" xfId="24078"/>
    <cellStyle name="输入 2 20 9 2" xfId="36610"/>
    <cellStyle name="输入 2 20 9 3" xfId="36611"/>
    <cellStyle name="输入 2 3" xfId="36612"/>
    <cellStyle name="输入 2 3 10" xfId="26746"/>
    <cellStyle name="输入 2 3 11" xfId="36613"/>
    <cellStyle name="输入 2 3 12" xfId="36614"/>
    <cellStyle name="输入 2 3 13" xfId="36615"/>
    <cellStyle name="输入 2 3 14" xfId="25854"/>
    <cellStyle name="输入 2 3 2" xfId="36616"/>
    <cellStyle name="输入 2 3 3" xfId="36617"/>
    <cellStyle name="输入 2 3 4" xfId="36618"/>
    <cellStyle name="输入 2 3 5" xfId="36619"/>
    <cellStyle name="输入 2 3 6" xfId="36620"/>
    <cellStyle name="输入 2 3 7" xfId="36621"/>
    <cellStyle name="输入 2 3 8" xfId="36622"/>
    <cellStyle name="输入 2 3 9" xfId="36623"/>
    <cellStyle name="输入 2 4" xfId="36624"/>
    <cellStyle name="输入 2 4 10" xfId="30810"/>
    <cellStyle name="输入 2 4 11" xfId="30812"/>
    <cellStyle name="输入 2 4 12" xfId="30824"/>
    <cellStyle name="输入 2 4 13" xfId="30828"/>
    <cellStyle name="输入 2 4 14" xfId="30830"/>
    <cellStyle name="输入 2 4 2" xfId="36625"/>
    <cellStyle name="输入 2 4 3" xfId="36626"/>
    <cellStyle name="输入 2 4 4" xfId="36627"/>
    <cellStyle name="输入 2 4 5" xfId="36628"/>
    <cellStyle name="输入 2 4 6" xfId="22375"/>
    <cellStyle name="输入 2 4 7" xfId="22378"/>
    <cellStyle name="输入 2 4 8" xfId="36629"/>
    <cellStyle name="输入 2 4 9" xfId="36630"/>
    <cellStyle name="输入 2 5" xfId="36631"/>
    <cellStyle name="输入 2 6" xfId="36632"/>
    <cellStyle name="输入 2 7" xfId="36633"/>
    <cellStyle name="输入 2 8" xfId="36634"/>
    <cellStyle name="输入 2 9" xfId="33158"/>
    <cellStyle name="输入 3" xfId="36635"/>
    <cellStyle name="输入 3 10" xfId="36636"/>
    <cellStyle name="输入 3 11" xfId="36637"/>
    <cellStyle name="输入 3 12" xfId="36638"/>
    <cellStyle name="输入 3 13" xfId="36639"/>
    <cellStyle name="输入 3 14" xfId="36640"/>
    <cellStyle name="输入 3 15" xfId="36642"/>
    <cellStyle name="输入 3 16" xfId="36644"/>
    <cellStyle name="输入 3 17" xfId="36646"/>
    <cellStyle name="输入 3 17 10" xfId="14208"/>
    <cellStyle name="输入 3 17 11" xfId="14215"/>
    <cellStyle name="输入 3 17 12" xfId="3742"/>
    <cellStyle name="输入 3 17 13" xfId="7142"/>
    <cellStyle name="输入 3 17 14" xfId="20398"/>
    <cellStyle name="输入 3 17 2" xfId="35872"/>
    <cellStyle name="输入 3 17 2 2" xfId="30012"/>
    <cellStyle name="输入 3 17 3" xfId="35874"/>
    <cellStyle name="输入 3 17 4" xfId="35876"/>
    <cellStyle name="输入 3 17 5" xfId="35878"/>
    <cellStyle name="输入 3 17 5 10" xfId="36647"/>
    <cellStyle name="输入 3 17 5 11" xfId="36648"/>
    <cellStyle name="输入 3 17 5 2" xfId="36649"/>
    <cellStyle name="输入 3 17 5 2 2" xfId="5909"/>
    <cellStyle name="输入 3 17 5 2 2 2" xfId="36650"/>
    <cellStyle name="输入 3 17 5 2 2 3" xfId="7940"/>
    <cellStyle name="输入 3 17 5 2 3" xfId="266"/>
    <cellStyle name="输入 3 17 5 2 4" xfId="5880"/>
    <cellStyle name="输入 3 17 5 2 5" xfId="5886"/>
    <cellStyle name="输入 3 17 5 2 6" xfId="5894"/>
    <cellStyle name="输入 3 17 5 2 7" xfId="5899"/>
    <cellStyle name="输入 3 17 5 2 8" xfId="36286"/>
    <cellStyle name="输入 3 17 5 3" xfId="36651"/>
    <cellStyle name="输入 3 17 5 4" xfId="36652"/>
    <cellStyle name="输入 3 17 5 5" xfId="36653"/>
    <cellStyle name="输入 3 17 5 6" xfId="34500"/>
    <cellStyle name="输入 3 17 5 6 2" xfId="36654"/>
    <cellStyle name="输入 3 17 5 6 3" xfId="36655"/>
    <cellStyle name="输入 3 17 5 7" xfId="34502"/>
    <cellStyle name="输入 3 17 5 8" xfId="34504"/>
    <cellStyle name="输入 3 17 5 9" xfId="9610"/>
    <cellStyle name="输入 3 17 6" xfId="35880"/>
    <cellStyle name="输入 3 17 6 2" xfId="19003"/>
    <cellStyle name="输入 3 17 6 2 2" xfId="10252"/>
    <cellStyle name="输入 3 17 6 2 3" xfId="10257"/>
    <cellStyle name="输入 3 17 6 3" xfId="36656"/>
    <cellStyle name="输入 3 17 6 4" xfId="36657"/>
    <cellStyle name="输入 3 17 6 5" xfId="36658"/>
    <cellStyle name="输入 3 17 6 6" xfId="15945"/>
    <cellStyle name="输入 3 17 6 7" xfId="36659"/>
    <cellStyle name="输入 3 17 6 8" xfId="36660"/>
    <cellStyle name="输入 3 17 7" xfId="36661"/>
    <cellStyle name="输入 3 17 8" xfId="36662"/>
    <cellStyle name="输入 3 17 9" xfId="36663"/>
    <cellStyle name="输入 3 17 9 2" xfId="36664"/>
    <cellStyle name="输入 3 17 9 3" xfId="36665"/>
    <cellStyle name="输入 3 18" xfId="31101"/>
    <cellStyle name="输入 3 18 10" xfId="15611"/>
    <cellStyle name="输入 3 18 11" xfId="15616"/>
    <cellStyle name="输入 3 18 12" xfId="2633"/>
    <cellStyle name="输入 3 18 13" xfId="9728"/>
    <cellStyle name="输入 3 18 14" xfId="36666"/>
    <cellStyle name="输入 3 18 2" xfId="13669"/>
    <cellStyle name="输入 3 18 3" xfId="31104"/>
    <cellStyle name="输入 3 18 4" xfId="27509"/>
    <cellStyle name="输入 3 18 5" xfId="27512"/>
    <cellStyle name="输入 3 18 5 10" xfId="34567"/>
    <cellStyle name="输入 3 18 5 11" xfId="36667"/>
    <cellStyle name="输入 3 18 5 2" xfId="36668"/>
    <cellStyle name="输入 3 18 5 2 2" xfId="3438"/>
    <cellStyle name="输入 3 18 5 2 2 2" xfId="36669"/>
    <cellStyle name="输入 3 18 5 2 2 3" xfId="36670"/>
    <cellStyle name="输入 3 18 5 2 3" xfId="3455"/>
    <cellStyle name="输入 3 18 5 2 4" xfId="8333"/>
    <cellStyle name="输入 3 18 5 2 5" xfId="8337"/>
    <cellStyle name="输入 3 18 5 2 6" xfId="7097"/>
    <cellStyle name="输入 3 18 5 2 7" xfId="7112"/>
    <cellStyle name="输入 3 18 5 2 8" xfId="36327"/>
    <cellStyle name="输入 3 18 5 3" xfId="36671"/>
    <cellStyle name="输入 3 18 5 4" xfId="36672"/>
    <cellStyle name="输入 3 18 5 5" xfId="36673"/>
    <cellStyle name="输入 3 18 5 6" xfId="34585"/>
    <cellStyle name="输入 3 18 5 6 2" xfId="36674"/>
    <cellStyle name="输入 3 18 5 6 3" xfId="36675"/>
    <cellStyle name="输入 3 18 5 7" xfId="34587"/>
    <cellStyle name="输入 3 18 5 8" xfId="34589"/>
    <cellStyle name="输入 3 18 5 9" xfId="34591"/>
    <cellStyle name="输入 3 18 6" xfId="27515"/>
    <cellStyle name="输入 3 18 6 2" xfId="36676"/>
    <cellStyle name="输入 3 18 6 2 2" xfId="36677"/>
    <cellStyle name="输入 3 18 6 2 3" xfId="36678"/>
    <cellStyle name="输入 3 18 6 3" xfId="36679"/>
    <cellStyle name="输入 3 18 6 4" xfId="36680"/>
    <cellStyle name="输入 3 18 6 5" xfId="36681"/>
    <cellStyle name="输入 3 18 6 6" xfId="36682"/>
    <cellStyle name="输入 3 18 6 7" xfId="36683"/>
    <cellStyle name="输入 3 18 6 8" xfId="36684"/>
    <cellStyle name="输入 3 18 7" xfId="27519"/>
    <cellStyle name="输入 3 18 8" xfId="27523"/>
    <cellStyle name="输入 3 18 9" xfId="27526"/>
    <cellStyle name="输入 3 18 9 2" xfId="32395"/>
    <cellStyle name="输入 3 18 9 3" xfId="32397"/>
    <cellStyle name="输入 3 19" xfId="31108"/>
    <cellStyle name="输入 3 19 10" xfId="36685"/>
    <cellStyle name="输入 3 19 11" xfId="17316"/>
    <cellStyle name="输入 3 19 12" xfId="17318"/>
    <cellStyle name="输入 3 19 13" xfId="17320"/>
    <cellStyle name="输入 3 19 14" xfId="9261"/>
    <cellStyle name="输入 3 19 2" xfId="36686"/>
    <cellStyle name="输入 3 19 3" xfId="36687"/>
    <cellStyle name="输入 3 19 4" xfId="27592"/>
    <cellStyle name="输入 3 19 5" xfId="27594"/>
    <cellStyle name="输入 3 19 5 10" xfId="36688"/>
    <cellStyle name="输入 3 19 5 11" xfId="36689"/>
    <cellStyle name="输入 3 19 5 2" xfId="36690"/>
    <cellStyle name="输入 3 19 5 2 2" xfId="36691"/>
    <cellStyle name="输入 3 19 5 2 2 2" xfId="32220"/>
    <cellStyle name="输入 3 19 5 2 2 3" xfId="32222"/>
    <cellStyle name="输入 3 19 5 2 3" xfId="4240"/>
    <cellStyle name="输入 3 19 5 2 4" xfId="4250"/>
    <cellStyle name="输入 3 19 5 2 5" xfId="4258"/>
    <cellStyle name="输入 3 19 5 2 6" xfId="6481"/>
    <cellStyle name="输入 3 19 5 2 7" xfId="6488"/>
    <cellStyle name="输入 3 19 5 2 8" xfId="28650"/>
    <cellStyle name="输入 3 19 5 3" xfId="249"/>
    <cellStyle name="输入 3 19 5 4" xfId="13933"/>
    <cellStyle name="输入 3 19 5 5" xfId="36111"/>
    <cellStyle name="输入 3 19 5 6" xfId="36113"/>
    <cellStyle name="输入 3 19 5 6 2" xfId="36117"/>
    <cellStyle name="输入 3 19 5 6 3" xfId="36119"/>
    <cellStyle name="输入 3 19 5 7" xfId="8892"/>
    <cellStyle name="输入 3 19 5 8" xfId="8897"/>
    <cellStyle name="输入 3 19 5 9" xfId="8902"/>
    <cellStyle name="输入 3 19 6" xfId="27596"/>
    <cellStyle name="输入 3 19 6 2" xfId="36692"/>
    <cellStyle name="输入 3 19 6 2 2" xfId="36693"/>
    <cellStyle name="输入 3 19 6 2 3" xfId="25527"/>
    <cellStyle name="输入 3 19 6 3" xfId="36126"/>
    <cellStyle name="输入 3 19 6 4" xfId="36128"/>
    <cellStyle name="输入 3 19 6 5" xfId="36130"/>
    <cellStyle name="输入 3 19 6 6" xfId="36132"/>
    <cellStyle name="输入 3 19 6 7" xfId="1584"/>
    <cellStyle name="输入 3 19 6 8" xfId="1600"/>
    <cellStyle name="输入 3 19 7" xfId="18224"/>
    <cellStyle name="输入 3 19 8" xfId="18229"/>
    <cellStyle name="输入 3 19 9" xfId="18232"/>
    <cellStyle name="输入 3 19 9 2" xfId="36694"/>
    <cellStyle name="输入 3 19 9 3" xfId="36695"/>
    <cellStyle name="输入 3 2" xfId="36696"/>
    <cellStyle name="输入 3 2 10" xfId="12021"/>
    <cellStyle name="输入 3 2 11" xfId="36697"/>
    <cellStyle name="输入 3 2 12" xfId="36698"/>
    <cellStyle name="输入 3 2 13" xfId="36699"/>
    <cellStyle name="输入 3 2 14" xfId="36700"/>
    <cellStyle name="输入 3 2 2" xfId="12767"/>
    <cellStyle name="输入 3 2 3" xfId="36701"/>
    <cellStyle name="输入 3 2 4" xfId="36702"/>
    <cellStyle name="输入 3 2 5" xfId="36703"/>
    <cellStyle name="输入 3 2 6" xfId="36704"/>
    <cellStyle name="输入 3 2 7" xfId="36705"/>
    <cellStyle name="输入 3 2 8" xfId="36706"/>
    <cellStyle name="输入 3 2 9" xfId="36707"/>
    <cellStyle name="输入 3 20" xfId="36641"/>
    <cellStyle name="输入 3 20 10" xfId="36708"/>
    <cellStyle name="输入 3 20 11" xfId="4388"/>
    <cellStyle name="输入 3 20 12" xfId="4403"/>
    <cellStyle name="输入 3 20 13" xfId="17276"/>
    <cellStyle name="输入 3 20 14" xfId="17279"/>
    <cellStyle name="输入 3 20 2" xfId="8568"/>
    <cellStyle name="输入 3 20 3" xfId="8570"/>
    <cellStyle name="输入 3 20 4" xfId="36709"/>
    <cellStyle name="输入 3 20 5" xfId="36710"/>
    <cellStyle name="输入 3 20 5 10" xfId="30117"/>
    <cellStyle name="输入 3 20 5 11" xfId="30120"/>
    <cellStyle name="输入 3 20 5 2" xfId="36711"/>
    <cellStyle name="输入 3 20 5 2 2" xfId="36712"/>
    <cellStyle name="输入 3 20 5 2 2 2" xfId="24184"/>
    <cellStyle name="输入 3 20 5 2 2 3" xfId="36713"/>
    <cellStyle name="输入 3 20 5 2 3" xfId="10085"/>
    <cellStyle name="输入 3 20 5 2 4" xfId="10087"/>
    <cellStyle name="输入 3 20 5 2 5" xfId="10091"/>
    <cellStyle name="输入 3 20 5 2 6" xfId="36714"/>
    <cellStyle name="输入 3 20 5 2 7" xfId="36715"/>
    <cellStyle name="输入 3 20 5 2 8" xfId="36716"/>
    <cellStyle name="输入 3 20 5 3" xfId="36717"/>
    <cellStyle name="输入 3 20 5 4" xfId="36718"/>
    <cellStyle name="输入 3 20 5 5" xfId="36719"/>
    <cellStyle name="输入 3 20 5 6" xfId="36720"/>
    <cellStyle name="输入 3 20 5 6 2" xfId="36721"/>
    <cellStyle name="输入 3 20 5 6 3" xfId="36722"/>
    <cellStyle name="输入 3 20 5 7" xfId="15419"/>
    <cellStyle name="输入 3 20 5 8" xfId="15341"/>
    <cellStyle name="输入 3 20 5 9" xfId="15348"/>
    <cellStyle name="输入 3 20 6" xfId="36723"/>
    <cellStyle name="输入 3 20 6 2" xfId="36724"/>
    <cellStyle name="输入 3 20 6 2 2" xfId="36725"/>
    <cellStyle name="输入 3 20 6 2 3" xfId="36726"/>
    <cellStyle name="输入 3 20 6 3" xfId="36727"/>
    <cellStyle name="输入 3 20 6 4" xfId="36728"/>
    <cellStyle name="输入 3 20 6 5" xfId="36729"/>
    <cellStyle name="输入 3 20 6 6" xfId="36730"/>
    <cellStyle name="输入 3 20 6 7" xfId="965"/>
    <cellStyle name="输入 3 20 6 8" xfId="996"/>
    <cellStyle name="输入 3 20 7" xfId="36731"/>
    <cellStyle name="输入 3 20 8" xfId="30887"/>
    <cellStyle name="输入 3 20 9" xfId="30889"/>
    <cellStyle name="输入 3 20 9 2" xfId="36732"/>
    <cellStyle name="输入 3 20 9 3" xfId="36733"/>
    <cellStyle name="输入 3 3" xfId="36734"/>
    <cellStyle name="输入 3 3 10" xfId="36735"/>
    <cellStyle name="输入 3 3 11" xfId="36736"/>
    <cellStyle name="输入 3 3 12" xfId="36737"/>
    <cellStyle name="输入 3 3 13" xfId="36738"/>
    <cellStyle name="输入 3 3 14" xfId="36739"/>
    <cellStyle name="输入 3 3 2" xfId="36740"/>
    <cellStyle name="输入 3 3 3" xfId="36741"/>
    <cellStyle name="输入 3 3 4" xfId="36742"/>
    <cellStyle name="输入 3 3 5" xfId="36743"/>
    <cellStyle name="输入 3 3 6" xfId="36744"/>
    <cellStyle name="输入 3 3 7" xfId="36745"/>
    <cellStyle name="输入 3 3 8" xfId="36746"/>
    <cellStyle name="输入 3 3 9" xfId="36747"/>
    <cellStyle name="输入 3 4" xfId="36748"/>
    <cellStyle name="输入 3 4 10" xfId="30991"/>
    <cellStyle name="输入 3 4 11" xfId="30993"/>
    <cellStyle name="输入 3 4 12" xfId="31012"/>
    <cellStyle name="输入 3 4 13" xfId="519"/>
    <cellStyle name="输入 3 4 14" xfId="6031"/>
    <cellStyle name="输入 3 4 2" xfId="36749"/>
    <cellStyle name="输入 3 4 3" xfId="36750"/>
    <cellStyle name="输入 3 4 4" xfId="36751"/>
    <cellStyle name="输入 3 4 5" xfId="36752"/>
    <cellStyle name="输入 3 4 6" xfId="36753"/>
    <cellStyle name="输入 3 4 7" xfId="36754"/>
    <cellStyle name="输入 3 4 8" xfId="36755"/>
    <cellStyle name="输入 3 4 9" xfId="36756"/>
    <cellStyle name="输入 3 5" xfId="36757"/>
    <cellStyle name="输入 3 6" xfId="36758"/>
    <cellStyle name="输入 3 7" xfId="36759"/>
    <cellStyle name="输入 3 8" xfId="36760"/>
    <cellStyle name="输入 3 9" xfId="1852"/>
    <cellStyle name="输入 4" xfId="36761"/>
    <cellStyle name="输入 4 10" xfId="36762"/>
    <cellStyle name="输入 4 11" xfId="36763"/>
    <cellStyle name="输入 4 12" xfId="36764"/>
    <cellStyle name="输入 4 13" xfId="36765"/>
    <cellStyle name="输入 4 14" xfId="36766"/>
    <cellStyle name="输入 4 15" xfId="36768"/>
    <cellStyle name="输入 4 16" xfId="12977"/>
    <cellStyle name="输入 4 17" xfId="12981"/>
    <cellStyle name="输入 4 17 10" xfId="23928"/>
    <cellStyle name="输入 4 17 11" xfId="23931"/>
    <cellStyle name="输入 4 17 12" xfId="23934"/>
    <cellStyle name="输入 4 17 13" xfId="23940"/>
    <cellStyle name="输入 4 17 14" xfId="23945"/>
    <cellStyle name="输入 4 17 2" xfId="25383"/>
    <cellStyle name="输入 4 17 3" xfId="36769"/>
    <cellStyle name="输入 4 17 4" xfId="36770"/>
    <cellStyle name="输入 4 17 5" xfId="36771"/>
    <cellStyle name="输入 4 17 5 10" xfId="24453"/>
    <cellStyle name="输入 4 17 5 11" xfId="24455"/>
    <cellStyle name="输入 4 17 5 2" xfId="24917"/>
    <cellStyle name="输入 4 17 5 2 2" xfId="36772"/>
    <cellStyle name="输入 4 17 5 2 2 2" xfId="11873"/>
    <cellStyle name="输入 4 17 5 2 2 3" xfId="31197"/>
    <cellStyle name="输入 4 17 5 2 3" xfId="36773"/>
    <cellStyle name="输入 4 17 5 2 4" xfId="36774"/>
    <cellStyle name="输入 4 17 5 2 5" xfId="36775"/>
    <cellStyle name="输入 4 17 5 2 6" xfId="36776"/>
    <cellStyle name="输入 4 17 5 2 7" xfId="36777"/>
    <cellStyle name="输入 4 17 5 2 8" xfId="36778"/>
    <cellStyle name="输入 4 17 5 3" xfId="24919"/>
    <cellStyle name="输入 4 17 5 4" xfId="24921"/>
    <cellStyle name="输入 4 17 5 5" xfId="24923"/>
    <cellStyle name="输入 4 17 5 6" xfId="36779"/>
    <cellStyle name="输入 4 17 5 6 2" xfId="36780"/>
    <cellStyle name="输入 4 17 5 6 3" xfId="36781"/>
    <cellStyle name="输入 4 17 5 7" xfId="36782"/>
    <cellStyle name="输入 4 17 5 8" xfId="36783"/>
    <cellStyle name="输入 4 17 5 9" xfId="36784"/>
    <cellStyle name="输入 4 17 6" xfId="36785"/>
    <cellStyle name="输入 4 17 6 2" xfId="14182"/>
    <cellStyle name="输入 4 17 6 2 2" xfId="36786"/>
    <cellStyle name="输入 4 17 6 2 3" xfId="36787"/>
    <cellStyle name="输入 4 17 6 3" xfId="14186"/>
    <cellStyle name="输入 4 17 6 4" xfId="8011"/>
    <cellStyle name="输入 4 17 6 5" xfId="36788"/>
    <cellStyle name="输入 4 17 6 6" xfId="36789"/>
    <cellStyle name="输入 4 17 6 7" xfId="36790"/>
    <cellStyle name="输入 4 17 6 8" xfId="36791"/>
    <cellStyle name="输入 4 17 7" xfId="36792"/>
    <cellStyle name="输入 4 17 8" xfId="36793"/>
    <cellStyle name="输入 4 17 9" xfId="36794"/>
    <cellStyle name="输入 4 17 9 2" xfId="36795"/>
    <cellStyle name="输入 4 17 9 3" xfId="36796"/>
    <cellStyle name="输入 4 18" xfId="12986"/>
    <cellStyle name="输入 4 18 10" xfId="36797"/>
    <cellStyle name="输入 4 18 11" xfId="36798"/>
    <cellStyle name="输入 4 18 12" xfId="4950"/>
    <cellStyle name="输入 4 18 13" xfId="11188"/>
    <cellStyle name="输入 4 18 14" xfId="36799"/>
    <cellStyle name="输入 4 18 2" xfId="14153"/>
    <cellStyle name="输入 4 18 3" xfId="33515"/>
    <cellStyle name="输入 4 18 4" xfId="33517"/>
    <cellStyle name="输入 4 18 5" xfId="33519"/>
    <cellStyle name="输入 4 18 5 10" xfId="34682"/>
    <cellStyle name="输入 4 18 5 11" xfId="31890"/>
    <cellStyle name="输入 4 18 5 2" xfId="18614"/>
    <cellStyle name="输入 4 18 5 2 2" xfId="33172"/>
    <cellStyle name="输入 4 18 5 2 2 2" xfId="30003"/>
    <cellStyle name="输入 4 18 5 2 2 3" xfId="30007"/>
    <cellStyle name="输入 4 18 5 2 3" xfId="33869"/>
    <cellStyle name="输入 4 18 5 2 4" xfId="36800"/>
    <cellStyle name="输入 4 18 5 2 5" xfId="36801"/>
    <cellStyle name="输入 4 18 5 2 6" xfId="36802"/>
    <cellStyle name="输入 4 18 5 2 7" xfId="36803"/>
    <cellStyle name="输入 4 18 5 2 8" xfId="36804"/>
    <cellStyle name="输入 4 18 5 3" xfId="19413"/>
    <cellStyle name="输入 4 18 5 4" xfId="17616"/>
    <cellStyle name="输入 4 18 5 5" xfId="17621"/>
    <cellStyle name="输入 4 18 5 6" xfId="29052"/>
    <cellStyle name="输入 4 18 5 6 2" xfId="36805"/>
    <cellStyle name="输入 4 18 5 6 3" xfId="36806"/>
    <cellStyle name="输入 4 18 5 7" xfId="29054"/>
    <cellStyle name="输入 4 18 5 8" xfId="29057"/>
    <cellStyle name="输入 4 18 5 9" xfId="29059"/>
    <cellStyle name="输入 4 18 6" xfId="33521"/>
    <cellStyle name="输入 4 18 6 2" xfId="36807"/>
    <cellStyle name="输入 4 18 6 2 2" xfId="36808"/>
    <cellStyle name="输入 4 18 6 2 3" xfId="36809"/>
    <cellStyle name="输入 4 18 6 3" xfId="36810"/>
    <cellStyle name="输入 4 18 6 4" xfId="36811"/>
    <cellStyle name="输入 4 18 6 5" xfId="36812"/>
    <cellStyle name="输入 4 18 6 6" xfId="36813"/>
    <cellStyle name="输入 4 18 6 7" xfId="36814"/>
    <cellStyle name="输入 4 18 6 8" xfId="36815"/>
    <cellStyle name="输入 4 18 7" xfId="33523"/>
    <cellStyle name="输入 4 18 8" xfId="33525"/>
    <cellStyle name="输入 4 18 9" xfId="36816"/>
    <cellStyle name="输入 4 18 9 2" xfId="36817"/>
    <cellStyle name="输入 4 18 9 3" xfId="36818"/>
    <cellStyle name="输入 4 19" xfId="5672"/>
    <cellStyle name="输入 4 19 10" xfId="36819"/>
    <cellStyle name="输入 4 19 11" xfId="18380"/>
    <cellStyle name="输入 4 19 12" xfId="5027"/>
    <cellStyle name="输入 4 19 13" xfId="6505"/>
    <cellStyle name="输入 4 19 14" xfId="16152"/>
    <cellStyle name="输入 4 19 2" xfId="14225"/>
    <cellStyle name="输入 4 19 3" xfId="24728"/>
    <cellStyle name="输入 4 19 4" xfId="24731"/>
    <cellStyle name="输入 4 19 5" xfId="24734"/>
    <cellStyle name="输入 4 19 5 10" xfId="36820"/>
    <cellStyle name="输入 4 19 5 11" xfId="20234"/>
    <cellStyle name="输入 4 19 5 2" xfId="21894"/>
    <cellStyle name="输入 4 19 5 2 2" xfId="36821"/>
    <cellStyle name="输入 4 19 5 2 2 2" xfId="36822"/>
    <cellStyle name="输入 4 19 5 2 2 3" xfId="36823"/>
    <cellStyle name="输入 4 19 5 2 3" xfId="29289"/>
    <cellStyle name="输入 4 19 5 2 4" xfId="29295"/>
    <cellStyle name="输入 4 19 5 2 5" xfId="29297"/>
    <cellStyle name="输入 4 19 5 2 6" xfId="14953"/>
    <cellStyle name="输入 4 19 5 2 7" xfId="14959"/>
    <cellStyle name="输入 4 19 5 2 8" xfId="14965"/>
    <cellStyle name="输入 4 19 5 3" xfId="21897"/>
    <cellStyle name="输入 4 19 5 4" xfId="36824"/>
    <cellStyle name="输入 4 19 5 5" xfId="19023"/>
    <cellStyle name="输入 4 19 5 6" xfId="19025"/>
    <cellStyle name="输入 4 19 5 6 2" xfId="36825"/>
    <cellStyle name="输入 4 19 5 6 3" xfId="36826"/>
    <cellStyle name="输入 4 19 5 7" xfId="10885"/>
    <cellStyle name="输入 4 19 5 8" xfId="10895"/>
    <cellStyle name="输入 4 19 5 9" xfId="10898"/>
    <cellStyle name="输入 4 19 6" xfId="24737"/>
    <cellStyle name="输入 4 19 6 2" xfId="36827"/>
    <cellStyle name="输入 4 19 6 2 2" xfId="36828"/>
    <cellStyle name="输入 4 19 6 2 3" xfId="29317"/>
    <cellStyle name="输入 4 19 6 3" xfId="36829"/>
    <cellStyle name="输入 4 19 6 4" xfId="36830"/>
    <cellStyle name="输入 4 19 6 5" xfId="36831"/>
    <cellStyle name="输入 4 19 6 6" xfId="36832"/>
    <cellStyle name="输入 4 19 6 7" xfId="5413"/>
    <cellStyle name="输入 4 19 6 8" xfId="5426"/>
    <cellStyle name="输入 4 19 7" xfId="24740"/>
    <cellStyle name="输入 4 19 8" xfId="31288"/>
    <cellStyle name="输入 4 19 9" xfId="36833"/>
    <cellStyle name="输入 4 19 9 2" xfId="36834"/>
    <cellStyle name="输入 4 19 9 3" xfId="36835"/>
    <cellStyle name="输入 4 2" xfId="36836"/>
    <cellStyle name="输入 4 20" xfId="36767"/>
    <cellStyle name="输入 4 20 10" xfId="36837"/>
    <cellStyle name="输入 4 20 11" xfId="5106"/>
    <cellStyle name="输入 4 20 12" xfId="5113"/>
    <cellStyle name="输入 4 20 13" xfId="18322"/>
    <cellStyle name="输入 4 20 14" xfId="18326"/>
    <cellStyle name="输入 4 20 2" xfId="36838"/>
    <cellStyle name="输入 4 20 3" xfId="36839"/>
    <cellStyle name="输入 4 20 4" xfId="36840"/>
    <cellStyle name="输入 4 20 5" xfId="36841"/>
    <cellStyle name="输入 4 20 5 10" xfId="36843"/>
    <cellStyle name="输入 4 20 5 11" xfId="36844"/>
    <cellStyle name="输入 4 20 5 2" xfId="36845"/>
    <cellStyle name="输入 4 20 5 2 2" xfId="36847"/>
    <cellStyle name="输入 4 20 5 2 2 2" xfId="36848"/>
    <cellStyle name="输入 4 20 5 2 2 3" xfId="36849"/>
    <cellStyle name="输入 4 20 5 2 3" xfId="36851"/>
    <cellStyle name="输入 4 20 5 2 4" xfId="11573"/>
    <cellStyle name="输入 4 20 5 2 5" xfId="11577"/>
    <cellStyle name="输入 4 20 5 2 6" xfId="36852"/>
    <cellStyle name="输入 4 20 5 2 7" xfId="36853"/>
    <cellStyle name="输入 4 20 5 2 8" xfId="36854"/>
    <cellStyle name="输入 4 20 5 3" xfId="36855"/>
    <cellStyle name="输入 4 20 5 4" xfId="36856"/>
    <cellStyle name="输入 4 20 5 5" xfId="36857"/>
    <cellStyle name="输入 4 20 5 6" xfId="36858"/>
    <cellStyle name="输入 4 20 5 6 2" xfId="2315"/>
    <cellStyle name="输入 4 20 5 6 3" xfId="36859"/>
    <cellStyle name="输入 4 20 5 7" xfId="18344"/>
    <cellStyle name="输入 4 20 5 8" xfId="18358"/>
    <cellStyle name="输入 4 20 5 9" xfId="18360"/>
    <cellStyle name="输入 4 20 6" xfId="33688"/>
    <cellStyle name="输入 4 20 6 2" xfId="19207"/>
    <cellStyle name="输入 4 20 6 2 2" xfId="36860"/>
    <cellStyle name="输入 4 20 6 2 3" xfId="36861"/>
    <cellStyle name="输入 4 20 6 3" xfId="19210"/>
    <cellStyle name="输入 4 20 6 4" xfId="36862"/>
    <cellStyle name="输入 4 20 6 5" xfId="36863"/>
    <cellStyle name="输入 4 20 6 6" xfId="36864"/>
    <cellStyle name="输入 4 20 6 7" xfId="4282"/>
    <cellStyle name="输入 4 20 6 8" xfId="4289"/>
    <cellStyle name="输入 4 20 7" xfId="31281"/>
    <cellStyle name="输入 4 20 8" xfId="31071"/>
    <cellStyle name="输入 4 20 9" xfId="31074"/>
    <cellStyle name="输入 4 20 9 2" xfId="36865"/>
    <cellStyle name="输入 4 20 9 3" xfId="12809"/>
    <cellStyle name="输入 4 3" xfId="36866"/>
    <cellStyle name="输入 4 4" xfId="36867"/>
    <cellStyle name="输入 4 5" xfId="36868"/>
    <cellStyle name="输入 4 6" xfId="36869"/>
    <cellStyle name="输入 4 7" xfId="1440"/>
    <cellStyle name="输入 4 8" xfId="1472"/>
    <cellStyle name="输入 4 9" xfId="36870"/>
    <cellStyle name="输入 5" xfId="36871"/>
    <cellStyle name="输入 5 10" xfId="9671"/>
    <cellStyle name="输入 5 11" xfId="17883"/>
    <cellStyle name="输入 5 12" xfId="9062"/>
    <cellStyle name="输入 5 13" xfId="9069"/>
    <cellStyle name="输入 5 14" xfId="9082"/>
    <cellStyle name="输入 5 2" xfId="8417"/>
    <cellStyle name="输入 5 3" xfId="8426"/>
    <cellStyle name="输入 5 4" xfId="8438"/>
    <cellStyle name="输入 5 5" xfId="36872"/>
    <cellStyle name="输入 5 6" xfId="36873"/>
    <cellStyle name="输入 5 7" xfId="36874"/>
    <cellStyle name="输入 5 8" xfId="36875"/>
    <cellStyle name="输入 5 9" xfId="36876"/>
    <cellStyle name="输入 6" xfId="36877"/>
    <cellStyle name="输入 6 10" xfId="22115"/>
    <cellStyle name="输入 6 11" xfId="22120"/>
    <cellStyle name="输入 6 12" xfId="22123"/>
    <cellStyle name="输入 6 13" xfId="22126"/>
    <cellStyle name="输入 6 14" xfId="22130"/>
    <cellStyle name="输入 6 2" xfId="3726"/>
    <cellStyle name="输入 6 3" xfId="11154"/>
    <cellStyle name="输入 6 4" xfId="35736"/>
    <cellStyle name="输入 6 5" xfId="35753"/>
    <cellStyle name="输入 6 6" xfId="35761"/>
    <cellStyle name="输入 6 7" xfId="32045"/>
    <cellStyle name="输入 6 8" xfId="32049"/>
    <cellStyle name="输入 6 9" xfId="36878"/>
    <cellStyle name="输入 7" xfId="36879"/>
    <cellStyle name="输入 8" xfId="36880"/>
    <cellStyle name="输入 9" xfId="36066"/>
    <cellStyle name="输出 10" xfId="11919"/>
    <cellStyle name="输出 11" xfId="19567"/>
    <cellStyle name="输出 12" xfId="19570"/>
    <cellStyle name="输出 12 10" xfId="21922"/>
    <cellStyle name="输出 12 11" xfId="21924"/>
    <cellStyle name="输出 12 12" xfId="21926"/>
    <cellStyle name="输出 12 13" xfId="10702"/>
    <cellStyle name="输出 12 14" xfId="10705"/>
    <cellStyle name="输出 12 2" xfId="36881"/>
    <cellStyle name="输出 12 3" xfId="36882"/>
    <cellStyle name="输出 12 4" xfId="36883"/>
    <cellStyle name="输出 12 5" xfId="36884"/>
    <cellStyle name="输出 12 5 10" xfId="5663"/>
    <cellStyle name="输出 12 5 11" xfId="15570"/>
    <cellStyle name="输出 12 5 2" xfId="36885"/>
    <cellStyle name="输出 12 5 2 2" xfId="35074"/>
    <cellStyle name="输出 12 5 2 2 2" xfId="14463"/>
    <cellStyle name="输出 12 5 2 2 3" xfId="24393"/>
    <cellStyle name="输出 12 5 2 3" xfId="35090"/>
    <cellStyle name="输出 12 5 2 4" xfId="35098"/>
    <cellStyle name="输出 12 5 2 5" xfId="35100"/>
    <cellStyle name="输出 12 5 2 6" xfId="14164"/>
    <cellStyle name="输出 12 5 2 7" xfId="36886"/>
    <cellStyle name="输出 12 5 2 8" xfId="36887"/>
    <cellStyle name="输出 12 5 3" xfId="36888"/>
    <cellStyle name="输出 12 5 4" xfId="36889"/>
    <cellStyle name="输出 12 5 5" xfId="36890"/>
    <cellStyle name="输出 12 5 6" xfId="36891"/>
    <cellStyle name="输出 12 5 6 2" xfId="36892"/>
    <cellStyle name="输出 12 5 6 3" xfId="36893"/>
    <cellStyle name="输出 12 5 7" xfId="36894"/>
    <cellStyle name="输出 12 5 8" xfId="36895"/>
    <cellStyle name="输出 12 5 9" xfId="36896"/>
    <cellStyle name="输出 12 6" xfId="34086"/>
    <cellStyle name="输出 12 6 2" xfId="36897"/>
    <cellStyle name="输出 12 6 2 2" xfId="36898"/>
    <cellStyle name="输出 12 6 2 3" xfId="36899"/>
    <cellStyle name="输出 12 6 3" xfId="36900"/>
    <cellStyle name="输出 12 6 4" xfId="36901"/>
    <cellStyle name="输出 12 6 5" xfId="36902"/>
    <cellStyle name="输出 12 6 6" xfId="33316"/>
    <cellStyle name="输出 12 6 7" xfId="33319"/>
    <cellStyle name="输出 12 6 8" xfId="36903"/>
    <cellStyle name="输出 12 7" xfId="34088"/>
    <cellStyle name="输出 12 8" xfId="36904"/>
    <cellStyle name="输出 12 9" xfId="36905"/>
    <cellStyle name="输出 12 9 2" xfId="17119"/>
    <cellStyle name="输出 12 9 3" xfId="23851"/>
    <cellStyle name="输出 13" xfId="19573"/>
    <cellStyle name="输出 14" xfId="19580"/>
    <cellStyle name="输出 15" xfId="19584"/>
    <cellStyle name="输出 16" xfId="19588"/>
    <cellStyle name="输出 16 10" xfId="36906"/>
    <cellStyle name="输出 16 11" xfId="35778"/>
    <cellStyle name="输出 16 12" xfId="35780"/>
    <cellStyle name="输出 16 13" xfId="35782"/>
    <cellStyle name="输出 16 14" xfId="35784"/>
    <cellStyle name="输出 16 2" xfId="36907"/>
    <cellStyle name="输出 16 3" xfId="36908"/>
    <cellStyle name="输出 16 4" xfId="23493"/>
    <cellStyle name="输出 16 5" xfId="23496"/>
    <cellStyle name="输出 16 5 10" xfId="36909"/>
    <cellStyle name="输出 16 5 11" xfId="36910"/>
    <cellStyle name="输出 16 5 2" xfId="23675"/>
    <cellStyle name="输出 16 5 2 2" xfId="23678"/>
    <cellStyle name="输出 16 5 2 2 2" xfId="36911"/>
    <cellStyle name="输出 16 5 2 2 3" xfId="36912"/>
    <cellStyle name="输出 16 5 2 3" xfId="23681"/>
    <cellStyle name="输出 16 5 2 4" xfId="29113"/>
    <cellStyle name="输出 16 5 2 5" xfId="29125"/>
    <cellStyle name="输出 16 5 2 6" xfId="29127"/>
    <cellStyle name="输出 16 5 2 7" xfId="2244"/>
    <cellStyle name="输出 16 5 2 8" xfId="2266"/>
    <cellStyle name="输出 16 5 3" xfId="35328"/>
    <cellStyle name="输出 16 5 4" xfId="35330"/>
    <cellStyle name="输出 16 5 5" xfId="36913"/>
    <cellStyle name="输出 16 5 6" xfId="36914"/>
    <cellStyle name="输出 16 5 6 2" xfId="36915"/>
    <cellStyle name="输出 16 5 6 3" xfId="36916"/>
    <cellStyle name="输出 16 5 7" xfId="36917"/>
    <cellStyle name="输出 16 5 8" xfId="36918"/>
    <cellStyle name="输出 16 5 9" xfId="36919"/>
    <cellStyle name="输出 16 6" xfId="36920"/>
    <cellStyle name="输出 16 6 2" xfId="23716"/>
    <cellStyle name="输出 16 6 2 2" xfId="23691"/>
    <cellStyle name="输出 16 6 2 3" xfId="15602"/>
    <cellStyle name="输出 16 6 3" xfId="36921"/>
    <cellStyle name="输出 16 6 4" xfId="36922"/>
    <cellStyle name="输出 16 6 5" xfId="36923"/>
    <cellStyle name="输出 16 6 6" xfId="36924"/>
    <cellStyle name="输出 16 6 7" xfId="36925"/>
    <cellStyle name="输出 16 6 8" xfId="36926"/>
    <cellStyle name="输出 16 7" xfId="36927"/>
    <cellStyle name="输出 16 8" xfId="36928"/>
    <cellStyle name="输出 16 9" xfId="36929"/>
    <cellStyle name="输出 16 9 2" xfId="36930"/>
    <cellStyle name="输出 16 9 3" xfId="36931"/>
    <cellStyle name="输出 17" xfId="36932"/>
    <cellStyle name="输出 17 10" xfId="21938"/>
    <cellStyle name="输出 17 11" xfId="25618"/>
    <cellStyle name="输出 17 12" xfId="36933"/>
    <cellStyle name="输出 17 13" xfId="36934"/>
    <cellStyle name="输出 17 14" xfId="36935"/>
    <cellStyle name="输出 17 2" xfId="30795"/>
    <cellStyle name="输出 17 3" xfId="25975"/>
    <cellStyle name="输出 17 4" xfId="30797"/>
    <cellStyle name="输出 17 5" xfId="30799"/>
    <cellStyle name="输出 17 5 10" xfId="36936"/>
    <cellStyle name="输出 17 5 11" xfId="36937"/>
    <cellStyle name="输出 17 5 2" xfId="32511"/>
    <cellStyle name="输出 17 5 2 2" xfId="36938"/>
    <cellStyle name="输出 17 5 2 2 2" xfId="36939"/>
    <cellStyle name="输出 17 5 2 2 3" xfId="36940"/>
    <cellStyle name="输出 17 5 2 3" xfId="36941"/>
    <cellStyle name="输出 17 5 2 4" xfId="36942"/>
    <cellStyle name="输出 17 5 2 5" xfId="36943"/>
    <cellStyle name="输出 17 5 2 6" xfId="36944"/>
    <cellStyle name="输出 17 5 2 7" xfId="36945"/>
    <cellStyle name="输出 17 5 2 8" xfId="36946"/>
    <cellStyle name="输出 17 5 3" xfId="32513"/>
    <cellStyle name="输出 17 5 4" xfId="36947"/>
    <cellStyle name="输出 17 5 5" xfId="36948"/>
    <cellStyle name="输出 17 5 6" xfId="36949"/>
    <cellStyle name="输出 17 5 6 2" xfId="36950"/>
    <cellStyle name="输出 17 5 6 3" xfId="36951"/>
    <cellStyle name="输出 17 5 7" xfId="36952"/>
    <cellStyle name="输出 17 5 8" xfId="36953"/>
    <cellStyle name="输出 17 5 9" xfId="36954"/>
    <cellStyle name="输出 17 6" xfId="30801"/>
    <cellStyle name="输出 17 6 2" xfId="36955"/>
    <cellStyle name="输出 17 6 2 2" xfId="36956"/>
    <cellStyle name="输出 17 6 2 3" xfId="36957"/>
    <cellStyle name="输出 17 6 3" xfId="36958"/>
    <cellStyle name="输出 17 6 4" xfId="36959"/>
    <cellStyle name="输出 17 6 5" xfId="36960"/>
    <cellStyle name="输出 17 6 6" xfId="36961"/>
    <cellStyle name="输出 17 6 7" xfId="36962"/>
    <cellStyle name="输出 17 6 8" xfId="36963"/>
    <cellStyle name="输出 17 7" xfId="30803"/>
    <cellStyle name="输出 17 8" xfId="25707"/>
    <cellStyle name="输出 17 9" xfId="36964"/>
    <cellStyle name="输出 17 9 2" xfId="36965"/>
    <cellStyle name="输出 17 9 3" xfId="36966"/>
    <cellStyle name="输出 18" xfId="36967"/>
    <cellStyle name="输出 18 10" xfId="27250"/>
    <cellStyle name="输出 18 11" xfId="36968"/>
    <cellStyle name="输出 18 12" xfId="36969"/>
    <cellStyle name="输出 18 13" xfId="36970"/>
    <cellStyle name="输出 18 14" xfId="36971"/>
    <cellStyle name="输出 18 2" xfId="30838"/>
    <cellStyle name="输出 18 3" xfId="30840"/>
    <cellStyle name="输出 18 4" xfId="25956"/>
    <cellStyle name="输出 18 5" xfId="30842"/>
    <cellStyle name="输出 18 5 10" xfId="9683"/>
    <cellStyle name="输出 18 5 11" xfId="36972"/>
    <cellStyle name="输出 18 5 2" xfId="9433"/>
    <cellStyle name="输出 18 5 2 2" xfId="36973"/>
    <cellStyle name="输出 18 5 2 2 2" xfId="16235"/>
    <cellStyle name="输出 18 5 2 2 3" xfId="2850"/>
    <cellStyle name="输出 18 5 2 3" xfId="36517"/>
    <cellStyle name="输出 18 5 2 4" xfId="36519"/>
    <cellStyle name="输出 18 5 2 5" xfId="36521"/>
    <cellStyle name="输出 18 5 2 6" xfId="36523"/>
    <cellStyle name="输出 18 5 2 7" xfId="35110"/>
    <cellStyle name="输出 18 5 2 8" xfId="35123"/>
    <cellStyle name="输出 18 5 3" xfId="16387"/>
    <cellStyle name="输出 18 5 4" xfId="16395"/>
    <cellStyle name="输出 18 5 5" xfId="16775"/>
    <cellStyle name="输出 18 5 6" xfId="35014"/>
    <cellStyle name="输出 18 5 6 2" xfId="36974"/>
    <cellStyle name="输出 18 5 6 3" xfId="24520"/>
    <cellStyle name="输出 18 5 7" xfId="34737"/>
    <cellStyle name="输出 18 5 8" xfId="36975"/>
    <cellStyle name="输出 18 5 9" xfId="25658"/>
    <cellStyle name="输出 18 6" xfId="30844"/>
    <cellStyle name="输出 18 6 2" xfId="9599"/>
    <cellStyle name="输出 18 6 2 2" xfId="35835"/>
    <cellStyle name="输出 18 6 2 3" xfId="35837"/>
    <cellStyle name="输出 18 6 3" xfId="11514"/>
    <cellStyle name="输出 18 6 4" xfId="12879"/>
    <cellStyle name="输出 18 6 5" xfId="12884"/>
    <cellStyle name="输出 18 6 6" xfId="35016"/>
    <cellStyle name="输出 18 6 7" xfId="36976"/>
    <cellStyle name="输出 18 6 8" xfId="36977"/>
    <cellStyle name="输出 18 7" xfId="30846"/>
    <cellStyle name="输出 18 8" xfId="36978"/>
    <cellStyle name="输出 18 9" xfId="36979"/>
    <cellStyle name="输出 18 9 2" xfId="36980"/>
    <cellStyle name="输出 18 9 3" xfId="36981"/>
    <cellStyle name="输出 19" xfId="36982"/>
    <cellStyle name="输出 2" xfId="36983"/>
    <cellStyle name="输出 2 10" xfId="36984"/>
    <cellStyle name="输出 2 11" xfId="36985"/>
    <cellStyle name="输出 2 12" xfId="36986"/>
    <cellStyle name="输出 2 13" xfId="36987"/>
    <cellStyle name="输出 2 14" xfId="36988"/>
    <cellStyle name="输出 2 15" xfId="36990"/>
    <cellStyle name="输出 2 16" xfId="36991"/>
    <cellStyle name="输出 2 17" xfId="34596"/>
    <cellStyle name="输出 2 17 10" xfId="31006"/>
    <cellStyle name="输出 2 17 11" xfId="31008"/>
    <cellStyle name="输出 2 17 12" xfId="31010"/>
    <cellStyle name="输出 2 17 13" xfId="36992"/>
    <cellStyle name="输出 2 17 14" xfId="36993"/>
    <cellStyle name="输出 2 17 2" xfId="13948"/>
    <cellStyle name="输出 2 17 3" xfId="13950"/>
    <cellStyle name="输出 2 17 4" xfId="12841"/>
    <cellStyle name="输出 2 17 5" xfId="36994"/>
    <cellStyle name="输出 2 17 5 10" xfId="36996"/>
    <cellStyle name="输出 2 17 5 11" xfId="36997"/>
    <cellStyle name="输出 2 17 5 2" xfId="36998"/>
    <cellStyle name="输出 2 17 5 2 2" xfId="16537"/>
    <cellStyle name="输出 2 17 5 2 2 2" xfId="35008"/>
    <cellStyle name="输出 2 17 5 2 2 3" xfId="35012"/>
    <cellStyle name="输出 2 17 5 2 3" xfId="16541"/>
    <cellStyle name="输出 2 17 5 2 4" xfId="32646"/>
    <cellStyle name="输出 2 17 5 2 5" xfId="32657"/>
    <cellStyle name="输出 2 17 5 2 6" xfId="32660"/>
    <cellStyle name="输出 2 17 5 2 7" xfId="32664"/>
    <cellStyle name="输出 2 17 5 2 8" xfId="37000"/>
    <cellStyle name="输出 2 17 5 3" xfId="37001"/>
    <cellStyle name="输出 2 17 5 4" xfId="37002"/>
    <cellStyle name="输出 2 17 5 5" xfId="23517"/>
    <cellStyle name="输出 2 17 5 6" xfId="23526"/>
    <cellStyle name="输出 2 17 5 6 2" xfId="37003"/>
    <cellStyle name="输出 2 17 5 6 3" xfId="37004"/>
    <cellStyle name="输出 2 17 5 7" xfId="23528"/>
    <cellStyle name="输出 2 17 5 8" xfId="23530"/>
    <cellStyle name="输出 2 17 5 9" xfId="23534"/>
    <cellStyle name="输出 2 17 6" xfId="37005"/>
    <cellStyle name="输出 2 17 6 2" xfId="37006"/>
    <cellStyle name="输出 2 17 6 2 2" xfId="37007"/>
    <cellStyle name="输出 2 17 6 2 3" xfId="37008"/>
    <cellStyle name="输出 2 17 6 3" xfId="37009"/>
    <cellStyle name="输出 2 17 6 4" xfId="37010"/>
    <cellStyle name="输出 2 17 6 5" xfId="17243"/>
    <cellStyle name="输出 2 17 6 6" xfId="17247"/>
    <cellStyle name="输出 2 17 6 7" xfId="16217"/>
    <cellStyle name="输出 2 17 6 8" xfId="16225"/>
    <cellStyle name="输出 2 17 7" xfId="37011"/>
    <cellStyle name="输出 2 17 8" xfId="37012"/>
    <cellStyle name="输出 2 17 9" xfId="37013"/>
    <cellStyle name="输出 2 17 9 2" xfId="37014"/>
    <cellStyle name="输出 2 17 9 3" xfId="37015"/>
    <cellStyle name="输出 2 18" xfId="34598"/>
    <cellStyle name="输出 2 18 10" xfId="28647"/>
    <cellStyle name="输出 2 18 11" xfId="37016"/>
    <cellStyle name="输出 2 18 12" xfId="37017"/>
    <cellStyle name="输出 2 18 13" xfId="37018"/>
    <cellStyle name="输出 2 18 14" xfId="37019"/>
    <cellStyle name="输出 2 18 2" xfId="37020"/>
    <cellStyle name="输出 2 18 3" xfId="37021"/>
    <cellStyle name="输出 2 18 4" xfId="37022"/>
    <cellStyle name="输出 2 18 5" xfId="37023"/>
    <cellStyle name="输出 2 18 5 10" xfId="37024"/>
    <cellStyle name="输出 2 18 5 11" xfId="37025"/>
    <cellStyle name="输出 2 18 5 2" xfId="30364"/>
    <cellStyle name="输出 2 18 5 2 2" xfId="26799"/>
    <cellStyle name="输出 2 18 5 2 2 2" xfId="26481"/>
    <cellStyle name="输出 2 18 5 2 2 3" xfId="26493"/>
    <cellStyle name="输出 2 18 5 2 3" xfId="37026"/>
    <cellStyle name="输出 2 18 5 2 4" xfId="684"/>
    <cellStyle name="输出 2 18 5 2 5" xfId="716"/>
    <cellStyle name="输出 2 18 5 2 6" xfId="6377"/>
    <cellStyle name="输出 2 18 5 2 7" xfId="6381"/>
    <cellStyle name="输出 2 18 5 2 8" xfId="6387"/>
    <cellStyle name="输出 2 18 5 3" xfId="30366"/>
    <cellStyle name="输出 2 18 5 4" xfId="30368"/>
    <cellStyle name="输出 2 18 5 5" xfId="30373"/>
    <cellStyle name="输出 2 18 5 6" xfId="30376"/>
    <cellStyle name="输出 2 18 5 6 2" xfId="5115"/>
    <cellStyle name="输出 2 18 5 6 3" xfId="24826"/>
    <cellStyle name="输出 2 18 5 7" xfId="30379"/>
    <cellStyle name="输出 2 18 5 8" xfId="37028"/>
    <cellStyle name="输出 2 18 5 9" xfId="37030"/>
    <cellStyle name="输出 2 18 6" xfId="25944"/>
    <cellStyle name="输出 2 18 6 2" xfId="30385"/>
    <cellStyle name="输出 2 18 6 2 2" xfId="30606"/>
    <cellStyle name="输出 2 18 6 2 3" xfId="37031"/>
    <cellStyle name="输出 2 18 6 3" xfId="30387"/>
    <cellStyle name="输出 2 18 6 4" xfId="30389"/>
    <cellStyle name="输出 2 18 6 5" xfId="30391"/>
    <cellStyle name="输出 2 18 6 6" xfId="30393"/>
    <cellStyle name="输出 2 18 6 7" xfId="37032"/>
    <cellStyle name="输出 2 18 6 8" xfId="37033"/>
    <cellStyle name="输出 2 18 7" xfId="37034"/>
    <cellStyle name="输出 2 18 8" xfId="37035"/>
    <cellStyle name="输出 2 18 9" xfId="37036"/>
    <cellStyle name="输出 2 18 9 2" xfId="37037"/>
    <cellStyle name="输出 2 18 9 3" xfId="37038"/>
    <cellStyle name="输出 2 19" xfId="34600"/>
    <cellStyle name="输出 2 19 10" xfId="33201"/>
    <cellStyle name="输出 2 19 11" xfId="33203"/>
    <cellStyle name="输出 2 19 12" xfId="33205"/>
    <cellStyle name="输出 2 19 13" xfId="37039"/>
    <cellStyle name="输出 2 19 14" xfId="37040"/>
    <cellStyle name="输出 2 19 2" xfId="22155"/>
    <cellStyle name="输出 2 19 3" xfId="22204"/>
    <cellStyle name="输出 2 19 4" xfId="37041"/>
    <cellStyle name="输出 2 19 5" xfId="37042"/>
    <cellStyle name="输出 2 19 5 10" xfId="37043"/>
    <cellStyle name="输出 2 19 5 11" xfId="36842"/>
    <cellStyle name="输出 2 19 5 2" xfId="30421"/>
    <cellStyle name="输出 2 19 5 2 2" xfId="35791"/>
    <cellStyle name="输出 2 19 5 2 2 2" xfId="37044"/>
    <cellStyle name="输出 2 19 5 2 2 3" xfId="24586"/>
    <cellStyle name="输出 2 19 5 2 3" xfId="35793"/>
    <cellStyle name="输出 2 19 5 2 4" xfId="35795"/>
    <cellStyle name="输出 2 19 5 2 5" xfId="35797"/>
    <cellStyle name="输出 2 19 5 2 6" xfId="35799"/>
    <cellStyle name="输出 2 19 5 2 7" xfId="36846"/>
    <cellStyle name="输出 2 19 5 2 8" xfId="36850"/>
    <cellStyle name="输出 2 19 5 3" xfId="30423"/>
    <cellStyle name="输出 2 19 5 4" xfId="30425"/>
    <cellStyle name="输出 2 19 5 5" xfId="11965"/>
    <cellStyle name="输出 2 19 5 6" xfId="11972"/>
    <cellStyle name="输出 2 19 5 6 2" xfId="1987"/>
    <cellStyle name="输出 2 19 5 6 3" xfId="2007"/>
    <cellStyle name="输出 2 19 5 7" xfId="8249"/>
    <cellStyle name="输出 2 19 5 8" xfId="8258"/>
    <cellStyle name="输出 2 19 5 9" xfId="8264"/>
    <cellStyle name="输出 2 19 6" xfId="37045"/>
    <cellStyle name="输出 2 19 6 2" xfId="30434"/>
    <cellStyle name="输出 2 19 6 2 2" xfId="37046"/>
    <cellStyle name="输出 2 19 6 2 3" xfId="37047"/>
    <cellStyle name="输出 2 19 6 3" xfId="30436"/>
    <cellStyle name="输出 2 19 6 4" xfId="30438"/>
    <cellStyle name="输出 2 19 6 5" xfId="23391"/>
    <cellStyle name="输出 2 19 6 6" xfId="23396"/>
    <cellStyle name="输出 2 19 6 7" xfId="23399"/>
    <cellStyle name="输出 2 19 6 8" xfId="23401"/>
    <cellStyle name="输出 2 19 7" xfId="37048"/>
    <cellStyle name="输出 2 19 8" xfId="37049"/>
    <cellStyle name="输出 2 19 9" xfId="37050"/>
    <cellStyle name="输出 2 19 9 2" xfId="10438"/>
    <cellStyle name="输出 2 19 9 3" xfId="37051"/>
    <cellStyle name="输出 2 2" xfId="11800"/>
    <cellStyle name="输出 2 2 10" xfId="25875"/>
    <cellStyle name="输出 2 2 11" xfId="31848"/>
    <cellStyle name="输出 2 2 12" xfId="31851"/>
    <cellStyle name="输出 2 2 13" xfId="31854"/>
    <cellStyle name="输出 2 2 14" xfId="31857"/>
    <cellStyle name="输出 2 2 2" xfId="29170"/>
    <cellStyle name="输出 2 2 3" xfId="29173"/>
    <cellStyle name="输出 2 2 4" xfId="29176"/>
    <cellStyle name="输出 2 2 5" xfId="29179"/>
    <cellStyle name="输出 2 2 6" xfId="34486"/>
    <cellStyle name="输出 2 2 7" xfId="34488"/>
    <cellStyle name="输出 2 2 8" xfId="37052"/>
    <cellStyle name="输出 2 2 9" xfId="37053"/>
    <cellStyle name="输出 2 20" xfId="36989"/>
    <cellStyle name="输出 2 20 10" xfId="37054"/>
    <cellStyle name="输出 2 20 11" xfId="37055"/>
    <cellStyle name="输出 2 20 12" xfId="37056"/>
    <cellStyle name="输出 2 20 13" xfId="37057"/>
    <cellStyle name="输出 2 20 14" xfId="37058"/>
    <cellStyle name="输出 2 20 2" xfId="37059"/>
    <cellStyle name="输出 2 20 3" xfId="37060"/>
    <cellStyle name="输出 2 20 4" xfId="37061"/>
    <cellStyle name="输出 2 20 5" xfId="37062"/>
    <cellStyle name="输出 2 20 5 10" xfId="2811"/>
    <cellStyle name="输出 2 20 5 11" xfId="37063"/>
    <cellStyle name="输出 2 20 5 2" xfId="37064"/>
    <cellStyle name="输出 2 20 5 2 2" xfId="37065"/>
    <cellStyle name="输出 2 20 5 2 2 2" xfId="37066"/>
    <cellStyle name="输出 2 20 5 2 2 3" xfId="37067"/>
    <cellStyle name="输出 2 20 5 2 3" xfId="37068"/>
    <cellStyle name="输出 2 20 5 2 4" xfId="37069"/>
    <cellStyle name="输出 2 20 5 2 5" xfId="37070"/>
    <cellStyle name="输出 2 20 5 2 6" xfId="13792"/>
    <cellStyle name="输出 2 20 5 2 7" xfId="13797"/>
    <cellStyle name="输出 2 20 5 2 8" xfId="13801"/>
    <cellStyle name="输出 2 20 5 3" xfId="37071"/>
    <cellStyle name="输出 2 20 5 4" xfId="37072"/>
    <cellStyle name="输出 2 20 5 5" xfId="37073"/>
    <cellStyle name="输出 2 20 5 6" xfId="37074"/>
    <cellStyle name="输出 2 20 5 6 2" xfId="37075"/>
    <cellStyle name="输出 2 20 5 6 3" xfId="37076"/>
    <cellStyle name="输出 2 20 5 7" xfId="37077"/>
    <cellStyle name="输出 2 20 5 8" xfId="37078"/>
    <cellStyle name="输出 2 20 5 9" xfId="37079"/>
    <cellStyle name="输出 2 20 6" xfId="37080"/>
    <cellStyle name="输出 2 20 6 2" xfId="37081"/>
    <cellStyle name="输出 2 20 6 2 2" xfId="37082"/>
    <cellStyle name="输出 2 20 6 2 3" xfId="37083"/>
    <cellStyle name="输出 2 20 6 3" xfId="37084"/>
    <cellStyle name="输出 2 20 6 4" xfId="37085"/>
    <cellStyle name="输出 2 20 6 5" xfId="13554"/>
    <cellStyle name="输出 2 20 6 6" xfId="28838"/>
    <cellStyle name="输出 2 20 6 7" xfId="37086"/>
    <cellStyle name="输出 2 20 6 8" xfId="37087"/>
    <cellStyle name="输出 2 20 7" xfId="37088"/>
    <cellStyle name="输出 2 20 8" xfId="37089"/>
    <cellStyle name="输出 2 20 9" xfId="37090"/>
    <cellStyle name="输出 2 20 9 2" xfId="37091"/>
    <cellStyle name="输出 2 20 9 3" xfId="37092"/>
    <cellStyle name="输出 2 3" xfId="11803"/>
    <cellStyle name="输出 2 3 10" xfId="35365"/>
    <cellStyle name="输出 2 3 11" xfId="35367"/>
    <cellStyle name="输出 2 3 12" xfId="37093"/>
    <cellStyle name="输出 2 3 13" xfId="37094"/>
    <cellStyle name="输出 2 3 14" xfId="37095"/>
    <cellStyle name="输出 2 3 2" xfId="27117"/>
    <cellStyle name="输出 2 3 3" xfId="9270"/>
    <cellStyle name="输出 2 3 4" xfId="9291"/>
    <cellStyle name="输出 2 3 5" xfId="9293"/>
    <cellStyle name="输出 2 3 6" xfId="8651"/>
    <cellStyle name="输出 2 3 7" xfId="8655"/>
    <cellStyle name="输出 2 3 8" xfId="8660"/>
    <cellStyle name="输出 2 3 9" xfId="8665"/>
    <cellStyle name="输出 2 4" xfId="22475"/>
    <cellStyle name="输出 2 4 10" xfId="18362"/>
    <cellStyle name="输出 2 4 11" xfId="6918"/>
    <cellStyle name="输出 2 4 12" xfId="6926"/>
    <cellStyle name="输出 2 4 13" xfId="6935"/>
    <cellStyle name="输出 2 4 14" xfId="4959"/>
    <cellStyle name="输出 2 4 2" xfId="37096"/>
    <cellStyle name="输出 2 4 3" xfId="37097"/>
    <cellStyle name="输出 2 4 4" xfId="37098"/>
    <cellStyle name="输出 2 4 5" xfId="37099"/>
    <cellStyle name="输出 2 4 6" xfId="37100"/>
    <cellStyle name="输出 2 4 7" xfId="37101"/>
    <cellStyle name="输出 2 4 8" xfId="37102"/>
    <cellStyle name="输出 2 4 9" xfId="37103"/>
    <cellStyle name="输出 2 5" xfId="27119"/>
    <cellStyle name="输出 2 6" xfId="27121"/>
    <cellStyle name="输出 2 7" xfId="27123"/>
    <cellStyle name="输出 2 8" xfId="27126"/>
    <cellStyle name="输出 2 9" xfId="27129"/>
    <cellStyle name="输出 3" xfId="37104"/>
    <cellStyle name="输出 3 10" xfId="37105"/>
    <cellStyle name="输出 3 11" xfId="37106"/>
    <cellStyle name="输出 3 12" xfId="37107"/>
    <cellStyle name="输出 3 13" xfId="21338"/>
    <cellStyle name="输出 3 14" xfId="21340"/>
    <cellStyle name="输出 3 15" xfId="37109"/>
    <cellStyle name="输出 3 16" xfId="37110"/>
    <cellStyle name="输出 3 17" xfId="12229"/>
    <cellStyle name="输出 3 17 10" xfId="37111"/>
    <cellStyle name="输出 3 17 11" xfId="37112"/>
    <cellStyle name="输出 3 17 12" xfId="37113"/>
    <cellStyle name="输出 3 17 13" xfId="37114"/>
    <cellStyle name="输出 3 17 14" xfId="37115"/>
    <cellStyle name="输出 3 17 2" xfId="37116"/>
    <cellStyle name="输出 3 17 2 2" xfId="37117"/>
    <cellStyle name="输出 3 17 3" xfId="37118"/>
    <cellStyle name="输出 3 17 4" xfId="37119"/>
    <cellStyle name="输出 3 17 5" xfId="37120"/>
    <cellStyle name="输出 3 17 5 10" xfId="2120"/>
    <cellStyle name="输出 3 17 5 11" xfId="37121"/>
    <cellStyle name="输出 3 17 5 2" xfId="37122"/>
    <cellStyle name="输出 3 17 5 2 2" xfId="37123"/>
    <cellStyle name="输出 3 17 5 2 2 2" xfId="24619"/>
    <cellStyle name="输出 3 17 5 2 2 3" xfId="37124"/>
    <cellStyle name="输出 3 17 5 2 3" xfId="37125"/>
    <cellStyle name="输出 3 17 5 2 4" xfId="37126"/>
    <cellStyle name="输出 3 17 5 2 5" xfId="25711"/>
    <cellStyle name="输出 3 17 5 2 6" xfId="26202"/>
    <cellStyle name="输出 3 17 5 2 7" xfId="26204"/>
    <cellStyle name="输出 3 17 5 2 8" xfId="26206"/>
    <cellStyle name="输出 3 17 5 3" xfId="37127"/>
    <cellStyle name="输出 3 17 5 4" xfId="37128"/>
    <cellStyle name="输出 3 17 5 5" xfId="23734"/>
    <cellStyle name="输出 3 17 5 6" xfId="23746"/>
    <cellStyle name="输出 3 17 5 6 2" xfId="37129"/>
    <cellStyle name="输出 3 17 5 6 3" xfId="37130"/>
    <cellStyle name="输出 3 17 5 7" xfId="23749"/>
    <cellStyle name="输出 3 17 5 8" xfId="23752"/>
    <cellStyle name="输出 3 17 5 9" xfId="23755"/>
    <cellStyle name="输出 3 17 6" xfId="37131"/>
    <cellStyle name="输出 3 17 6 2" xfId="37132"/>
    <cellStyle name="输出 3 17 6 2 2" xfId="37133"/>
    <cellStyle name="输出 3 17 6 2 3" xfId="37134"/>
    <cellStyle name="输出 3 17 6 3" xfId="37135"/>
    <cellStyle name="输出 3 17 6 4" xfId="25842"/>
    <cellStyle name="输出 3 17 6 5" xfId="23764"/>
    <cellStyle name="输出 3 17 6 6" xfId="23772"/>
    <cellStyle name="输出 3 17 6 7" xfId="23777"/>
    <cellStyle name="输出 3 17 6 8" xfId="23436"/>
    <cellStyle name="输出 3 17 7" xfId="37136"/>
    <cellStyle name="输出 3 17 8" xfId="37137"/>
    <cellStyle name="输出 3 17 9" xfId="37138"/>
    <cellStyle name="输出 3 17 9 2" xfId="17036"/>
    <cellStyle name="输出 3 17 9 3" xfId="3182"/>
    <cellStyle name="输出 3 18" xfId="12233"/>
    <cellStyle name="输出 3 18 10" xfId="37139"/>
    <cellStyle name="输出 3 18 11" xfId="36464"/>
    <cellStyle name="输出 3 18 12" xfId="36466"/>
    <cellStyle name="输出 3 18 13" xfId="37140"/>
    <cellStyle name="输出 3 18 14" xfId="13234"/>
    <cellStyle name="输出 3 18 2" xfId="37141"/>
    <cellStyle name="输出 3 18 3" xfId="37142"/>
    <cellStyle name="输出 3 18 4" xfId="37143"/>
    <cellStyle name="输出 3 18 5" xfId="37144"/>
    <cellStyle name="输出 3 18 5 10" xfId="15389"/>
    <cellStyle name="输出 3 18 5 11" xfId="37145"/>
    <cellStyle name="输出 3 18 5 2" xfId="37146"/>
    <cellStyle name="输出 3 18 5 2 2" xfId="35536"/>
    <cellStyle name="输出 3 18 5 2 2 2" xfId="37147"/>
    <cellStyle name="输出 3 18 5 2 2 3" xfId="5597"/>
    <cellStyle name="输出 3 18 5 2 3" xfId="35538"/>
    <cellStyle name="输出 3 18 5 2 4" xfId="7504"/>
    <cellStyle name="输出 3 18 5 2 5" xfId="5580"/>
    <cellStyle name="输出 3 18 5 2 6" xfId="8866"/>
    <cellStyle name="输出 3 18 5 2 7" xfId="8870"/>
    <cellStyle name="输出 3 18 5 2 8" xfId="1963"/>
    <cellStyle name="输出 3 18 5 3" xfId="37148"/>
    <cellStyle name="输出 3 18 5 4" xfId="37149"/>
    <cellStyle name="输出 3 18 5 5" xfId="37150"/>
    <cellStyle name="输出 3 18 5 6" xfId="37151"/>
    <cellStyle name="输出 3 18 5 6 2" xfId="37152"/>
    <cellStyle name="输出 3 18 5 6 3" xfId="37153"/>
    <cellStyle name="输出 3 18 5 7" xfId="37154"/>
    <cellStyle name="输出 3 18 5 8" xfId="37155"/>
    <cellStyle name="输出 3 18 5 9" xfId="37156"/>
    <cellStyle name="输出 3 18 6" xfId="37157"/>
    <cellStyle name="输出 3 18 6 2" xfId="37158"/>
    <cellStyle name="输出 3 18 6 2 2" xfId="35573"/>
    <cellStyle name="输出 3 18 6 2 3" xfId="35575"/>
    <cellStyle name="输出 3 18 6 3" xfId="24648"/>
    <cellStyle name="输出 3 18 6 4" xfId="37159"/>
    <cellStyle name="输出 3 18 6 5" xfId="37160"/>
    <cellStyle name="输出 3 18 6 6" xfId="37161"/>
    <cellStyle name="输出 3 18 6 7" xfId="37162"/>
    <cellStyle name="输出 3 18 6 8" xfId="37163"/>
    <cellStyle name="输出 3 18 7" xfId="37164"/>
    <cellStyle name="输出 3 18 8" xfId="37165"/>
    <cellStyle name="输出 3 18 9" xfId="37166"/>
    <cellStyle name="输出 3 18 9 2" xfId="37167"/>
    <cellStyle name="输出 3 18 9 3" xfId="37168"/>
    <cellStyle name="输出 3 19" xfId="25450"/>
    <cellStyle name="输出 3 19 10" xfId="4034"/>
    <cellStyle name="输出 3 19 11" xfId="4042"/>
    <cellStyle name="输出 3 19 12" xfId="4048"/>
    <cellStyle name="输出 3 19 13" xfId="4055"/>
    <cellStyle name="输出 3 19 14" xfId="4063"/>
    <cellStyle name="输出 3 19 2" xfId="21443"/>
    <cellStyle name="输出 3 19 3" xfId="22772"/>
    <cellStyle name="输出 3 19 4" xfId="37169"/>
    <cellStyle name="输出 3 19 5" xfId="21694"/>
    <cellStyle name="输出 3 19 5 10" xfId="37170"/>
    <cellStyle name="输出 3 19 5 11" xfId="37171"/>
    <cellStyle name="输出 3 19 5 2" xfId="37172"/>
    <cellStyle name="输出 3 19 5 2 2" xfId="26302"/>
    <cellStyle name="输出 3 19 5 2 2 2" xfId="18368"/>
    <cellStyle name="输出 3 19 5 2 2 3" xfId="26308"/>
    <cellStyle name="输出 3 19 5 2 3" xfId="26319"/>
    <cellStyle name="输出 3 19 5 2 4" xfId="26321"/>
    <cellStyle name="输出 3 19 5 2 5" xfId="26323"/>
    <cellStyle name="输出 3 19 5 2 6" xfId="37173"/>
    <cellStyle name="输出 3 19 5 2 7" xfId="37174"/>
    <cellStyle name="输出 3 19 5 2 8" xfId="37175"/>
    <cellStyle name="输出 3 19 5 3" xfId="37176"/>
    <cellStyle name="输出 3 19 5 4" xfId="37177"/>
    <cellStyle name="输出 3 19 5 5" xfId="23599"/>
    <cellStyle name="输出 3 19 5 6" xfId="23608"/>
    <cellStyle name="输出 3 19 5 6 2" xfId="21417"/>
    <cellStyle name="输出 3 19 5 6 3" xfId="21420"/>
    <cellStyle name="输出 3 19 5 7" xfId="23612"/>
    <cellStyle name="输出 3 19 5 8" xfId="23616"/>
    <cellStyle name="输出 3 19 5 9" xfId="23620"/>
    <cellStyle name="输出 3 19 6" xfId="21697"/>
    <cellStyle name="输出 3 19 6 2" xfId="37178"/>
    <cellStyle name="输出 3 19 6 2 2" xfId="37179"/>
    <cellStyle name="输出 3 19 6 2 3" xfId="37180"/>
    <cellStyle name="输出 3 19 6 3" xfId="37181"/>
    <cellStyle name="输出 3 19 6 4" xfId="37182"/>
    <cellStyle name="输出 3 19 6 5" xfId="23625"/>
    <cellStyle name="输出 3 19 6 6" xfId="23630"/>
    <cellStyle name="输出 3 19 6 7" xfId="23632"/>
    <cellStyle name="输出 3 19 6 8" xfId="23635"/>
    <cellStyle name="输出 3 19 7" xfId="37183"/>
    <cellStyle name="输出 3 19 8" xfId="37184"/>
    <cellStyle name="输出 3 19 9" xfId="37185"/>
    <cellStyle name="输出 3 19 9 2" xfId="28487"/>
    <cellStyle name="输出 3 19 9 3" xfId="37186"/>
    <cellStyle name="输出 3 2" xfId="9640"/>
    <cellStyle name="输出 3 2 10" xfId="37187"/>
    <cellStyle name="输出 3 2 11" xfId="37188"/>
    <cellStyle name="输出 3 2 12" xfId="37189"/>
    <cellStyle name="输出 3 2 13" xfId="37190"/>
    <cellStyle name="输出 3 2 14" xfId="37191"/>
    <cellStyle name="输出 3 2 2" xfId="8313"/>
    <cellStyle name="输出 3 2 3" xfId="6251"/>
    <cellStyle name="输出 3 2 4" xfId="10219"/>
    <cellStyle name="输出 3 2 5" xfId="10222"/>
    <cellStyle name="输出 3 2 6" xfId="10229"/>
    <cellStyle name="输出 3 2 7" xfId="6027"/>
    <cellStyle name="输出 3 2 8" xfId="6693"/>
    <cellStyle name="输出 3 2 9" xfId="37192"/>
    <cellStyle name="输出 3 20" xfId="37108"/>
    <cellStyle name="输出 3 20 10" xfId="37193"/>
    <cellStyle name="输出 3 20 11" xfId="37194"/>
    <cellStyle name="输出 3 20 12" xfId="37195"/>
    <cellStyle name="输出 3 20 13" xfId="37196"/>
    <cellStyle name="输出 3 20 14" xfId="37197"/>
    <cellStyle name="输出 3 20 2" xfId="6751"/>
    <cellStyle name="输出 3 20 3" xfId="6763"/>
    <cellStyle name="输出 3 20 4" xfId="37198"/>
    <cellStyle name="输出 3 20 5" xfId="37199"/>
    <cellStyle name="输出 3 20 5 10" xfId="37200"/>
    <cellStyle name="输出 3 20 5 11" xfId="37201"/>
    <cellStyle name="输出 3 20 5 2" xfId="37202"/>
    <cellStyle name="输出 3 20 5 2 2" xfId="2141"/>
    <cellStyle name="输出 3 20 5 2 2 2" xfId="37203"/>
    <cellStyle name="输出 3 20 5 2 2 3" xfId="37204"/>
    <cellStyle name="输出 3 20 5 2 3" xfId="2159"/>
    <cellStyle name="输出 3 20 5 2 4" xfId="2168"/>
    <cellStyle name="输出 3 20 5 2 5" xfId="2184"/>
    <cellStyle name="输出 3 20 5 2 6" xfId="2193"/>
    <cellStyle name="输出 3 20 5 2 7" xfId="2204"/>
    <cellStyle name="输出 3 20 5 2 8" xfId="37205"/>
    <cellStyle name="输出 3 20 5 3" xfId="37206"/>
    <cellStyle name="输出 3 20 5 4" xfId="37207"/>
    <cellStyle name="输出 3 20 5 5" xfId="37208"/>
    <cellStyle name="输出 3 20 5 6" xfId="37209"/>
    <cellStyle name="输出 3 20 5 6 2" xfId="37210"/>
    <cellStyle name="输出 3 20 5 6 3" xfId="37211"/>
    <cellStyle name="输出 3 20 5 7" xfId="37212"/>
    <cellStyle name="输出 3 20 5 8" xfId="37213"/>
    <cellStyle name="输出 3 20 5 9" xfId="37214"/>
    <cellStyle name="输出 3 20 6" xfId="37215"/>
    <cellStyle name="输出 3 20 6 2" xfId="37216"/>
    <cellStyle name="输出 3 20 6 2 2" xfId="37217"/>
    <cellStyle name="输出 3 20 6 2 3" xfId="37218"/>
    <cellStyle name="输出 3 20 6 3" xfId="37219"/>
    <cellStyle name="输出 3 20 6 4" xfId="37220"/>
    <cellStyle name="输出 3 20 6 5" xfId="37221"/>
    <cellStyle name="输出 3 20 6 6" xfId="37222"/>
    <cellStyle name="输出 3 20 6 7" xfId="37223"/>
    <cellStyle name="输出 3 20 6 8" xfId="10227"/>
    <cellStyle name="输出 3 20 7" xfId="37224"/>
    <cellStyle name="输出 3 20 8" xfId="37225"/>
    <cellStyle name="输出 3 20 9" xfId="37226"/>
    <cellStyle name="输出 3 20 9 2" xfId="37228"/>
    <cellStyle name="输出 3 20 9 3" xfId="37230"/>
    <cellStyle name="输出 3 3" xfId="13311"/>
    <cellStyle name="输出 3 3 10" xfId="37231"/>
    <cellStyle name="输出 3 3 11" xfId="37232"/>
    <cellStyle name="输出 3 3 12" xfId="17709"/>
    <cellStyle name="输出 3 3 13" xfId="17712"/>
    <cellStyle name="输出 3 3 14" xfId="37234"/>
    <cellStyle name="输出 3 3 2" xfId="391"/>
    <cellStyle name="输出 3 3 3" xfId="8403"/>
    <cellStyle name="输出 3 3 4" xfId="9360"/>
    <cellStyle name="输出 3 3 5" xfId="27095"/>
    <cellStyle name="输出 3 3 6" xfId="27097"/>
    <cellStyle name="输出 3 3 7" xfId="27099"/>
    <cellStyle name="输出 3 3 8" xfId="27101"/>
    <cellStyle name="输出 3 3 9" xfId="27103"/>
    <cellStyle name="输出 3 4" xfId="37235"/>
    <cellStyle name="输出 3 4 10" xfId="37236"/>
    <cellStyle name="输出 3 4 11" xfId="37237"/>
    <cellStyle name="输出 3 4 12" xfId="37238"/>
    <cellStyle name="输出 3 4 13" xfId="37240"/>
    <cellStyle name="输出 3 4 14" xfId="37242"/>
    <cellStyle name="输出 3 4 2" xfId="37243"/>
    <cellStyle name="输出 3 4 3" xfId="37244"/>
    <cellStyle name="输出 3 4 4" xfId="27159"/>
    <cellStyle name="输出 3 4 5" xfId="27161"/>
    <cellStyle name="输出 3 4 6" xfId="27163"/>
    <cellStyle name="输出 3 4 7" xfId="27165"/>
    <cellStyle name="输出 3 4 8" xfId="27167"/>
    <cellStyle name="输出 3 4 9" xfId="27169"/>
    <cellStyle name="输出 3 5" xfId="37245"/>
    <cellStyle name="输出 3 6" xfId="37246"/>
    <cellStyle name="输出 3 7" xfId="37247"/>
    <cellStyle name="输出 3 8" xfId="37248"/>
    <cellStyle name="输出 3 9" xfId="37249"/>
    <cellStyle name="输出 4" xfId="37250"/>
    <cellStyle name="输出 4 10" xfId="37251"/>
    <cellStyle name="输出 4 11" xfId="37252"/>
    <cellStyle name="输出 4 12" xfId="37253"/>
    <cellStyle name="输出 4 13" xfId="37254"/>
    <cellStyle name="输出 4 14" xfId="37255"/>
    <cellStyle name="输出 4 15" xfId="37257"/>
    <cellStyle name="输出 4 16" xfId="37258"/>
    <cellStyle name="输出 4 17" xfId="37259"/>
    <cellStyle name="输出 4 17 10" xfId="37260"/>
    <cellStyle name="输出 4 17 11" xfId="37261"/>
    <cellStyle name="输出 4 17 12" xfId="37262"/>
    <cellStyle name="输出 4 17 13" xfId="37263"/>
    <cellStyle name="输出 4 17 14" xfId="37264"/>
    <cellStyle name="输出 4 17 2" xfId="37265"/>
    <cellStyle name="输出 4 17 3" xfId="37266"/>
    <cellStyle name="输出 4 17 4" xfId="37267"/>
    <cellStyle name="输出 4 17 5" xfId="37268"/>
    <cellStyle name="输出 4 17 5 10" xfId="19815"/>
    <cellStyle name="输出 4 17 5 11" xfId="37269"/>
    <cellStyle name="输出 4 17 5 2" xfId="37270"/>
    <cellStyle name="输出 4 17 5 2 2" xfId="37271"/>
    <cellStyle name="输出 4 17 5 2 2 2" xfId="37272"/>
    <cellStyle name="输出 4 17 5 2 2 3" xfId="37273"/>
    <cellStyle name="输出 4 17 5 2 3" xfId="37274"/>
    <cellStyle name="输出 4 17 5 2 4" xfId="37275"/>
    <cellStyle name="输出 4 17 5 2 5" xfId="37276"/>
    <cellStyle name="输出 4 17 5 2 6" xfId="37277"/>
    <cellStyle name="输出 4 17 5 2 7" xfId="37278"/>
    <cellStyle name="输出 4 17 5 2 8" xfId="37279"/>
    <cellStyle name="输出 4 17 5 3" xfId="37280"/>
    <cellStyle name="输出 4 17 5 4" xfId="37281"/>
    <cellStyle name="输出 4 17 5 5" xfId="13969"/>
    <cellStyle name="输出 4 17 5 6" xfId="13988"/>
    <cellStyle name="输出 4 17 5 6 2" xfId="21571"/>
    <cellStyle name="输出 4 17 5 6 3" xfId="37282"/>
    <cellStyle name="输出 4 17 5 7" xfId="13998"/>
    <cellStyle name="输出 4 17 5 8" xfId="12358"/>
    <cellStyle name="输出 4 17 5 9" xfId="12369"/>
    <cellStyle name="输出 4 17 6" xfId="37283"/>
    <cellStyle name="输出 4 17 6 2" xfId="37284"/>
    <cellStyle name="输出 4 17 6 2 2" xfId="37286"/>
    <cellStyle name="输出 4 17 6 2 3" xfId="37287"/>
    <cellStyle name="输出 4 17 6 3" xfId="37288"/>
    <cellStyle name="输出 4 17 6 4" xfId="37289"/>
    <cellStyle name="输出 4 17 6 5" xfId="21766"/>
    <cellStyle name="输出 4 17 6 6" xfId="21772"/>
    <cellStyle name="输出 4 17 6 7" xfId="23797"/>
    <cellStyle name="输出 4 17 6 8" xfId="23801"/>
    <cellStyle name="输出 4 17 7" xfId="27396"/>
    <cellStyle name="输出 4 17 8" xfId="27402"/>
    <cellStyle name="输出 4 17 9" xfId="27404"/>
    <cellStyle name="输出 4 17 9 2" xfId="6474"/>
    <cellStyle name="输出 4 17 9 3" xfId="27358"/>
    <cellStyle name="输出 4 18" xfId="37290"/>
    <cellStyle name="输出 4 18 10" xfId="37291"/>
    <cellStyle name="输出 4 18 11" xfId="29819"/>
    <cellStyle name="输出 4 18 12" xfId="29652"/>
    <cellStyle name="输出 4 18 13" xfId="37292"/>
    <cellStyle name="输出 4 18 14" xfId="37293"/>
    <cellStyle name="输出 4 18 2" xfId="37294"/>
    <cellStyle name="输出 4 18 3" xfId="37295"/>
    <cellStyle name="输出 4 18 4" xfId="37296"/>
    <cellStyle name="输出 4 18 5" xfId="37297"/>
    <cellStyle name="输出 4 18 5 10" xfId="17047"/>
    <cellStyle name="输出 4 18 5 11" xfId="37298"/>
    <cellStyle name="输出 4 18 5 2" xfId="36076"/>
    <cellStyle name="输出 4 18 5 2 2" xfId="37299"/>
    <cellStyle name="输出 4 18 5 2 2 2" xfId="37300"/>
    <cellStyle name="输出 4 18 5 2 2 3" xfId="37301"/>
    <cellStyle name="输出 4 18 5 2 3" xfId="37302"/>
    <cellStyle name="输出 4 18 5 2 4" xfId="9950"/>
    <cellStyle name="输出 4 18 5 2 5" xfId="9955"/>
    <cellStyle name="输出 4 18 5 2 6" xfId="10860"/>
    <cellStyle name="输出 4 18 5 2 7" xfId="10863"/>
    <cellStyle name="输出 4 18 5 2 8" xfId="10867"/>
    <cellStyle name="输出 4 18 5 3" xfId="36078"/>
    <cellStyle name="输出 4 18 5 4" xfId="37303"/>
    <cellStyle name="输出 4 18 5 5" xfId="37304"/>
    <cellStyle name="输出 4 18 5 6" xfId="37305"/>
    <cellStyle name="输出 4 18 5 6 2" xfId="6932"/>
    <cellStyle name="输出 4 18 5 6 3" xfId="4964"/>
    <cellStyle name="输出 4 18 5 7" xfId="37306"/>
    <cellStyle name="输出 4 18 5 8" xfId="37307"/>
    <cellStyle name="输出 4 18 5 9" xfId="37308"/>
    <cellStyle name="输出 4 18 6" xfId="37309"/>
    <cellStyle name="输出 4 18 6 2" xfId="37310"/>
    <cellStyle name="输出 4 18 6 2 2" xfId="37311"/>
    <cellStyle name="输出 4 18 6 2 3" xfId="37312"/>
    <cellStyle name="输出 4 18 6 3" xfId="37313"/>
    <cellStyle name="输出 4 18 6 4" xfId="37314"/>
    <cellStyle name="输出 4 18 6 5" xfId="37315"/>
    <cellStyle name="输出 4 18 6 6" xfId="37316"/>
    <cellStyle name="输出 4 18 6 7" xfId="24327"/>
    <cellStyle name="输出 4 18 6 8" xfId="24331"/>
    <cellStyle name="输出 4 18 7" xfId="37317"/>
    <cellStyle name="输出 4 18 8" xfId="37318"/>
    <cellStyle name="输出 4 18 9" xfId="37319"/>
    <cellStyle name="输出 4 18 9 2" xfId="37320"/>
    <cellStyle name="输出 4 18 9 3" xfId="37321"/>
    <cellStyle name="输出 4 19" xfId="37322"/>
    <cellStyle name="输出 4 19 10" xfId="33108"/>
    <cellStyle name="输出 4 19 11" xfId="33111"/>
    <cellStyle name="输出 4 19 12" xfId="33115"/>
    <cellStyle name="输出 4 19 13" xfId="37323"/>
    <cellStyle name="输出 4 19 14" xfId="37324"/>
    <cellStyle name="输出 4 19 2" xfId="1874"/>
    <cellStyle name="输出 4 19 3" xfId="9038"/>
    <cellStyle name="输出 4 19 4" xfId="37325"/>
    <cellStyle name="输出 4 19 5" xfId="37326"/>
    <cellStyle name="输出 4 19 5 10" xfId="37327"/>
    <cellStyle name="输出 4 19 5 11" xfId="37328"/>
    <cellStyle name="输出 4 19 5 2" xfId="15492"/>
    <cellStyle name="输出 4 19 5 2 2" xfId="15501"/>
    <cellStyle name="输出 4 19 5 2 2 2" xfId="37329"/>
    <cellStyle name="输出 4 19 5 2 2 3" xfId="37330"/>
    <cellStyle name="输出 4 19 5 2 3" xfId="15504"/>
    <cellStyle name="输出 4 19 5 2 4" xfId="15509"/>
    <cellStyle name="输出 4 19 5 2 5" xfId="15514"/>
    <cellStyle name="输出 4 19 5 2 6" xfId="14599"/>
    <cellStyle name="输出 4 19 5 2 7" xfId="14607"/>
    <cellStyle name="输出 4 19 5 2 8" xfId="14611"/>
    <cellStyle name="输出 4 19 5 3" xfId="37331"/>
    <cellStyle name="输出 4 19 5 4" xfId="37332"/>
    <cellStyle name="输出 4 19 5 5" xfId="13625"/>
    <cellStyle name="输出 4 19 5 6" xfId="13637"/>
    <cellStyle name="输出 4 19 5 6 2" xfId="21625"/>
    <cellStyle name="输出 4 19 5 6 3" xfId="21628"/>
    <cellStyle name="输出 4 19 5 7" xfId="13643"/>
    <cellStyle name="输出 4 19 5 8" xfId="13648"/>
    <cellStyle name="输出 4 19 5 9" xfId="12623"/>
    <cellStyle name="输出 4 19 6" xfId="37333"/>
    <cellStyle name="输出 4 19 6 2" xfId="37334"/>
    <cellStyle name="输出 4 19 6 2 2" xfId="22410"/>
    <cellStyle name="输出 4 19 6 2 3" xfId="22430"/>
    <cellStyle name="输出 4 19 6 3" xfId="37335"/>
    <cellStyle name="输出 4 19 6 4" xfId="37336"/>
    <cellStyle name="输出 4 19 6 5" xfId="23822"/>
    <cellStyle name="输出 4 19 6 6" xfId="23824"/>
    <cellStyle name="输出 4 19 6 7" xfId="23826"/>
    <cellStyle name="输出 4 19 6 8" xfId="23828"/>
    <cellStyle name="输出 4 19 7" xfId="37337"/>
    <cellStyle name="输出 4 19 8" xfId="37338"/>
    <cellStyle name="输出 4 19 9" xfId="37339"/>
    <cellStyle name="输出 4 19 9 2" xfId="29438"/>
    <cellStyle name="输出 4 19 9 3" xfId="37340"/>
    <cellStyle name="输出 4 2" xfId="37341"/>
    <cellStyle name="输出 4 20" xfId="37256"/>
    <cellStyle name="输出 4 20 10" xfId="37342"/>
    <cellStyle name="输出 4 20 11" xfId="37343"/>
    <cellStyle name="输出 4 20 12" xfId="37344"/>
    <cellStyle name="输出 4 20 13" xfId="37345"/>
    <cellStyle name="输出 4 20 14" xfId="37347"/>
    <cellStyle name="输出 4 20 2" xfId="1570"/>
    <cellStyle name="输出 4 20 3" xfId="1589"/>
    <cellStyle name="输出 4 20 4" xfId="1605"/>
    <cellStyle name="输出 4 20 5" xfId="1620"/>
    <cellStyle name="输出 4 20 5 10" xfId="24016"/>
    <cellStyle name="输出 4 20 5 11" xfId="24019"/>
    <cellStyle name="输出 4 20 5 2" xfId="1626"/>
    <cellStyle name="输出 4 20 5 2 2" xfId="37348"/>
    <cellStyle name="输出 4 20 5 2 2 2" xfId="26956"/>
    <cellStyle name="输出 4 20 5 2 2 3" xfId="26958"/>
    <cellStyle name="输出 4 20 5 2 3" xfId="37349"/>
    <cellStyle name="输出 4 20 5 2 4" xfId="37350"/>
    <cellStyle name="输出 4 20 5 2 5" xfId="37351"/>
    <cellStyle name="输出 4 20 5 2 6" xfId="37352"/>
    <cellStyle name="输出 4 20 5 2 7" xfId="37353"/>
    <cellStyle name="输出 4 20 5 2 8" xfId="37354"/>
    <cellStyle name="输出 4 20 5 3" xfId="446"/>
    <cellStyle name="输出 4 20 5 4" xfId="13467"/>
    <cellStyle name="输出 4 20 5 5" xfId="13473"/>
    <cellStyle name="输出 4 20 5 6" xfId="21507"/>
    <cellStyle name="输出 4 20 5 6 2" xfId="16336"/>
    <cellStyle name="输出 4 20 5 6 3" xfId="37355"/>
    <cellStyle name="输出 4 20 5 7" xfId="21512"/>
    <cellStyle name="输出 4 20 5 8" xfId="21514"/>
    <cellStyle name="输出 4 20 5 9" xfId="21517"/>
    <cellStyle name="输出 4 20 6" xfId="1643"/>
    <cellStyle name="输出 4 20 6 2" xfId="37356"/>
    <cellStyle name="输出 4 20 6 2 2" xfId="37357"/>
    <cellStyle name="输出 4 20 6 2 3" xfId="37358"/>
    <cellStyle name="输出 4 20 6 3" xfId="37359"/>
    <cellStyle name="输出 4 20 6 4" xfId="37360"/>
    <cellStyle name="输出 4 20 6 5" xfId="37361"/>
    <cellStyle name="输出 4 20 6 6" xfId="21533"/>
    <cellStyle name="输出 4 20 6 7" xfId="21536"/>
    <cellStyle name="输出 4 20 6 8" xfId="16189"/>
    <cellStyle name="输出 4 20 7" xfId="1658"/>
    <cellStyle name="输出 4 20 8" xfId="1673"/>
    <cellStyle name="输出 4 20 9" xfId="37362"/>
    <cellStyle name="输出 4 20 9 2" xfId="37363"/>
    <cellStyle name="输出 4 20 9 3" xfId="37364"/>
    <cellStyle name="输出 4 3" xfId="813"/>
    <cellStyle name="输出 4 4" xfId="909"/>
    <cellStyle name="输出 4 5" xfId="944"/>
    <cellStyle name="输出 4 6" xfId="981"/>
    <cellStyle name="输出 4 7" xfId="1003"/>
    <cellStyle name="输出 4 8" xfId="35563"/>
    <cellStyle name="输出 4 9" xfId="35565"/>
    <cellStyle name="输出 5" xfId="37365"/>
    <cellStyle name="输出 5 10" xfId="37366"/>
    <cellStyle name="输出 5 11" xfId="25296"/>
    <cellStyle name="输出 5 12" xfId="25298"/>
    <cellStyle name="输出 5 13" xfId="25300"/>
    <cellStyle name="输出 5 14" xfId="25302"/>
    <cellStyle name="输出 5 2" xfId="37367"/>
    <cellStyle name="输出 5 3" xfId="37368"/>
    <cellStyle name="输出 5 4" xfId="37369"/>
    <cellStyle name="输出 5 5" xfId="37370"/>
    <cellStyle name="输出 5 6" xfId="37371"/>
    <cellStyle name="输出 5 7" xfId="37372"/>
    <cellStyle name="输出 5 8" xfId="37373"/>
    <cellStyle name="输出 5 9" xfId="37285"/>
    <cellStyle name="输出 6" xfId="37374"/>
    <cellStyle name="输出 6 10" xfId="37375"/>
    <cellStyle name="输出 6 11" xfId="34171"/>
    <cellStyle name="输出 6 12" xfId="34175"/>
    <cellStyle name="输出 6 13" xfId="24650"/>
    <cellStyle name="输出 6 14" xfId="34177"/>
    <cellStyle name="输出 6 2" xfId="27820"/>
    <cellStyle name="输出 6 3" xfId="27131"/>
    <cellStyle name="输出 6 4" xfId="27137"/>
    <cellStyle name="输出 6 5" xfId="27827"/>
    <cellStyle name="输出 6 6" xfId="27831"/>
    <cellStyle name="输出 6 7" xfId="37376"/>
    <cellStyle name="输出 6 8" xfId="37377"/>
    <cellStyle name="输出 6 9" xfId="37378"/>
    <cellStyle name="输出 7" xfId="37379"/>
    <cellStyle name="输出 8" xfId="35237"/>
    <cellStyle name="输出 9" xfId="35239"/>
    <cellStyle name="适中 10" xfId="37380"/>
    <cellStyle name="适中 11" xfId="37381"/>
    <cellStyle name="适中 12" xfId="37382"/>
    <cellStyle name="适中 12 10" xfId="37383"/>
    <cellStyle name="适中 12 11" xfId="37384"/>
    <cellStyle name="适中 12 12" xfId="37385"/>
    <cellStyle name="适中 12 13" xfId="37386"/>
    <cellStyle name="适中 12 14" xfId="37387"/>
    <cellStyle name="适中 12 2" xfId="37388"/>
    <cellStyle name="适中 12 3" xfId="37389"/>
    <cellStyle name="适中 12 4" xfId="37390"/>
    <cellStyle name="适中 12 5" xfId="37392"/>
    <cellStyle name="适中 12 5 10" xfId="37393"/>
    <cellStyle name="适中 12 5 11" xfId="37394"/>
    <cellStyle name="适中 12 5 2" xfId="5234"/>
    <cellStyle name="适中 12 5 2 2" xfId="37395"/>
    <cellStyle name="适中 12 5 2 2 2" xfId="23266"/>
    <cellStyle name="适中 12 5 2 2 3" xfId="23269"/>
    <cellStyle name="适中 12 5 2 3" xfId="37396"/>
    <cellStyle name="适中 12 5 2 4" xfId="30652"/>
    <cellStyle name="适中 12 5 2 5" xfId="30654"/>
    <cellStyle name="适中 12 5 2 6" xfId="37397"/>
    <cellStyle name="适中 12 5 2 7" xfId="37398"/>
    <cellStyle name="适中 12 5 2 8" xfId="37399"/>
    <cellStyle name="适中 12 5 3" xfId="37400"/>
    <cellStyle name="适中 12 5 4" xfId="37401"/>
    <cellStyle name="适中 12 5 5" xfId="37402"/>
    <cellStyle name="适中 12 5 6" xfId="37403"/>
    <cellStyle name="适中 12 5 6 2" xfId="15010"/>
    <cellStyle name="适中 12 5 6 3" xfId="15013"/>
    <cellStyle name="适中 12 5 7" xfId="37404"/>
    <cellStyle name="适中 12 5 8" xfId="37405"/>
    <cellStyle name="适中 12 5 9" xfId="4694"/>
    <cellStyle name="适中 12 6" xfId="37407"/>
    <cellStyle name="适中 12 6 2" xfId="37408"/>
    <cellStyle name="适中 12 6 2 2" xfId="26145"/>
    <cellStyle name="适中 12 6 2 3" xfId="37409"/>
    <cellStyle name="适中 12 6 3" xfId="37410"/>
    <cellStyle name="适中 12 6 4" xfId="37411"/>
    <cellStyle name="适中 12 6 5" xfId="37412"/>
    <cellStyle name="适中 12 6 6" xfId="37413"/>
    <cellStyle name="适中 12 6 7" xfId="37414"/>
    <cellStyle name="适中 12 6 8" xfId="37415"/>
    <cellStyle name="适中 12 7" xfId="37417"/>
    <cellStyle name="适中 12 8" xfId="37419"/>
    <cellStyle name="适中 12 9" xfId="37421"/>
    <cellStyle name="适中 12 9 2" xfId="37422"/>
    <cellStyle name="适中 12 9 3" xfId="37423"/>
    <cellStyle name="适中 13" xfId="21064"/>
    <cellStyle name="适中 14" xfId="21067"/>
    <cellStyle name="适中 15" xfId="26591"/>
    <cellStyle name="适中 16" xfId="26593"/>
    <cellStyle name="适中 16 10" xfId="28972"/>
    <cellStyle name="适中 16 11" xfId="37424"/>
    <cellStyle name="适中 16 12" xfId="37425"/>
    <cellStyle name="适中 16 13" xfId="37426"/>
    <cellStyle name="适中 16 14" xfId="29794"/>
    <cellStyle name="适中 16 2" xfId="11266"/>
    <cellStyle name="适中 16 3" xfId="11269"/>
    <cellStyle name="适中 16 4" xfId="37428"/>
    <cellStyle name="适中 16 5" xfId="37430"/>
    <cellStyle name="适中 16 5 10" xfId="37431"/>
    <cellStyle name="适中 16 5 11" xfId="37432"/>
    <cellStyle name="适中 16 5 2" xfId="13272"/>
    <cellStyle name="适中 16 5 2 2" xfId="29398"/>
    <cellStyle name="适中 16 5 2 2 2" xfId="37433"/>
    <cellStyle name="适中 16 5 2 2 3" xfId="37434"/>
    <cellStyle name="适中 16 5 2 3" xfId="29400"/>
    <cellStyle name="适中 16 5 2 4" xfId="23088"/>
    <cellStyle name="适中 16 5 2 5" xfId="23092"/>
    <cellStyle name="适中 16 5 2 6" xfId="14122"/>
    <cellStyle name="适中 16 5 2 7" xfId="14125"/>
    <cellStyle name="适中 16 5 2 8" xfId="23096"/>
    <cellStyle name="适中 16 5 3" xfId="10451"/>
    <cellStyle name="适中 16 5 4" xfId="18464"/>
    <cellStyle name="适中 16 5 5" xfId="16833"/>
    <cellStyle name="适中 16 5 6" xfId="16843"/>
    <cellStyle name="适中 16 5 6 2" xfId="37435"/>
    <cellStyle name="适中 16 5 6 3" xfId="37436"/>
    <cellStyle name="适中 16 5 7" xfId="20460"/>
    <cellStyle name="适中 16 5 8" xfId="20462"/>
    <cellStyle name="适中 16 5 9" xfId="7015"/>
    <cellStyle name="适中 16 6" xfId="37437"/>
    <cellStyle name="适中 16 6 2" xfId="26673"/>
    <cellStyle name="适中 16 6 2 2" xfId="37438"/>
    <cellStyle name="适中 16 6 2 3" xfId="37439"/>
    <cellStyle name="适中 16 6 3" xfId="26675"/>
    <cellStyle name="适中 16 6 4" xfId="26677"/>
    <cellStyle name="适中 16 6 5" xfId="26679"/>
    <cellStyle name="适中 16 6 6" xfId="26682"/>
    <cellStyle name="适中 16 6 7" xfId="37440"/>
    <cellStyle name="适中 16 6 8" xfId="37441"/>
    <cellStyle name="适中 16 7" xfId="37442"/>
    <cellStyle name="适中 16 8" xfId="37443"/>
    <cellStyle name="适中 16 9" xfId="37444"/>
    <cellStyle name="适中 16 9 2" xfId="26910"/>
    <cellStyle name="适中 16 9 3" xfId="26912"/>
    <cellStyle name="适中 17" xfId="26595"/>
    <cellStyle name="适中 17 10" xfId="37445"/>
    <cellStyle name="适中 17 11" xfId="37446"/>
    <cellStyle name="适中 17 12" xfId="37447"/>
    <cellStyle name="适中 17 13" xfId="37448"/>
    <cellStyle name="适中 17 14" xfId="37449"/>
    <cellStyle name="适中 17 2" xfId="37450"/>
    <cellStyle name="适中 17 3" xfId="37451"/>
    <cellStyle name="适中 17 4" xfId="37452"/>
    <cellStyle name="适中 17 5" xfId="37453"/>
    <cellStyle name="适中 17 5 10" xfId="5155"/>
    <cellStyle name="适中 17 5 11" xfId="5164"/>
    <cellStyle name="适中 17 5 2" xfId="14771"/>
    <cellStyle name="适中 17 5 2 2" xfId="37454"/>
    <cellStyle name="适中 17 5 2 2 2" xfId="37455"/>
    <cellStyle name="适中 17 5 2 2 3" xfId="35332"/>
    <cellStyle name="适中 17 5 2 3" xfId="37456"/>
    <cellStyle name="适中 17 5 2 4" xfId="23782"/>
    <cellStyle name="适中 17 5 2 5" xfId="8350"/>
    <cellStyle name="适中 17 5 2 6" xfId="7750"/>
    <cellStyle name="适中 17 5 2 7" xfId="14190"/>
    <cellStyle name="适中 17 5 2 8" xfId="23785"/>
    <cellStyle name="适中 17 5 3" xfId="20619"/>
    <cellStyle name="适中 17 5 4" xfId="20622"/>
    <cellStyle name="适中 17 5 5" xfId="20625"/>
    <cellStyle name="适中 17 5 6" xfId="20628"/>
    <cellStyle name="适中 17 5 6 2" xfId="35212"/>
    <cellStyle name="适中 17 5 6 3" xfId="10318"/>
    <cellStyle name="适中 17 5 7" xfId="35214"/>
    <cellStyle name="适中 17 5 8" xfId="35216"/>
    <cellStyle name="适中 17 5 9" xfId="35218"/>
    <cellStyle name="适中 17 6" xfId="37457"/>
    <cellStyle name="适中 17 6 2" xfId="37458"/>
    <cellStyle name="适中 17 6 2 2" xfId="37459"/>
    <cellStyle name="适中 17 6 2 3" xfId="37460"/>
    <cellStyle name="适中 17 6 3" xfId="37461"/>
    <cellStyle name="适中 17 6 4" xfId="37462"/>
    <cellStyle name="适中 17 6 5" xfId="37463"/>
    <cellStyle name="适中 17 6 6" xfId="37464"/>
    <cellStyle name="适中 17 6 7" xfId="37465"/>
    <cellStyle name="适中 17 6 8" xfId="37466"/>
    <cellStyle name="适中 17 7" xfId="37467"/>
    <cellStyle name="适中 17 8" xfId="37468"/>
    <cellStyle name="适中 17 9" xfId="37469"/>
    <cellStyle name="适中 17 9 2" xfId="37470"/>
    <cellStyle name="适中 17 9 3" xfId="37471"/>
    <cellStyle name="适中 18" xfId="26597"/>
    <cellStyle name="适中 18 10" xfId="37472"/>
    <cellStyle name="适中 18 11" xfId="37473"/>
    <cellStyle name="适中 18 12" xfId="35235"/>
    <cellStyle name="适中 18 13" xfId="35241"/>
    <cellStyle name="适中 18 14" xfId="35243"/>
    <cellStyle name="适中 18 2" xfId="37474"/>
    <cellStyle name="适中 18 3" xfId="37475"/>
    <cellStyle name="适中 18 4" xfId="37476"/>
    <cellStyle name="适中 18 5" xfId="37477"/>
    <cellStyle name="适中 18 5 10" xfId="4356"/>
    <cellStyle name="适中 18 5 11" xfId="4361"/>
    <cellStyle name="适中 18 5 2" xfId="37478"/>
    <cellStyle name="适中 18 5 2 2" xfId="37479"/>
    <cellStyle name="适中 18 5 2 2 2" xfId="37480"/>
    <cellStyle name="适中 18 5 2 2 3" xfId="37481"/>
    <cellStyle name="适中 18 5 2 3" xfId="37482"/>
    <cellStyle name="适中 18 5 2 4" xfId="2365"/>
    <cellStyle name="适中 18 5 2 5" xfId="2387"/>
    <cellStyle name="适中 18 5 2 6" xfId="2619"/>
    <cellStyle name="适中 18 5 2 7" xfId="2722"/>
    <cellStyle name="适中 18 5 2 8" xfId="2742"/>
    <cellStyle name="适中 18 5 3" xfId="37483"/>
    <cellStyle name="适中 18 5 4" xfId="37484"/>
    <cellStyle name="适中 18 5 5" xfId="37485"/>
    <cellStyle name="适中 18 5 6" xfId="37486"/>
    <cellStyle name="适中 18 5 6 2" xfId="37487"/>
    <cellStyle name="适中 18 5 6 3" xfId="37488"/>
    <cellStyle name="适中 18 5 7" xfId="37489"/>
    <cellStyle name="适中 18 5 8" xfId="37490"/>
    <cellStyle name="适中 18 5 9" xfId="37491"/>
    <cellStyle name="适中 18 6" xfId="37492"/>
    <cellStyle name="适中 18 6 2" xfId="37493"/>
    <cellStyle name="适中 18 6 2 2" xfId="9622"/>
    <cellStyle name="适中 18 6 2 3" xfId="9627"/>
    <cellStyle name="适中 18 6 3" xfId="37227"/>
    <cellStyle name="适中 18 6 4" xfId="37229"/>
    <cellStyle name="适中 18 6 5" xfId="37494"/>
    <cellStyle name="适中 18 6 6" xfId="37495"/>
    <cellStyle name="适中 18 6 7" xfId="37496"/>
    <cellStyle name="适中 18 6 8" xfId="37497"/>
    <cellStyle name="适中 18 7" xfId="37498"/>
    <cellStyle name="适中 18 8" xfId="37499"/>
    <cellStyle name="适中 18 9" xfId="37500"/>
    <cellStyle name="适中 18 9 2" xfId="37501"/>
    <cellStyle name="适中 18 9 3" xfId="37502"/>
    <cellStyle name="适中 19" xfId="26599"/>
    <cellStyle name="适中 2" xfId="398"/>
    <cellStyle name="适中 2 10" xfId="20841"/>
    <cellStyle name="适中 2 11" xfId="20844"/>
    <cellStyle name="适中 2 12" xfId="20847"/>
    <cellStyle name="适中 2 13" xfId="15409"/>
    <cellStyle name="适中 2 14" xfId="13210"/>
    <cellStyle name="适中 2 15" xfId="13219"/>
    <cellStyle name="适中 2 16" xfId="15414"/>
    <cellStyle name="适中 2 17" xfId="15421"/>
    <cellStyle name="适中 2 17 10" xfId="37503"/>
    <cellStyle name="适中 2 17 11" xfId="37504"/>
    <cellStyle name="适中 2 17 12" xfId="37505"/>
    <cellStyle name="适中 2 17 13" xfId="37506"/>
    <cellStyle name="适中 2 17 14" xfId="37507"/>
    <cellStyle name="适中 2 17 2" xfId="37508"/>
    <cellStyle name="适中 2 17 3" xfId="29723"/>
    <cellStyle name="适中 2 17 4" xfId="29725"/>
    <cellStyle name="适中 2 17 5" xfId="37509"/>
    <cellStyle name="适中 2 17 5 10" xfId="37510"/>
    <cellStyle name="适中 2 17 5 11" xfId="37511"/>
    <cellStyle name="适中 2 17 5 2" xfId="37512"/>
    <cellStyle name="适中 2 17 5 2 2" xfId="37513"/>
    <cellStyle name="适中 2 17 5 2 2 2" xfId="37514"/>
    <cellStyle name="适中 2 17 5 2 2 3" xfId="37515"/>
    <cellStyle name="适中 2 17 5 2 3" xfId="37516"/>
    <cellStyle name="适中 2 17 5 2 4" xfId="37517"/>
    <cellStyle name="适中 2 17 5 2 5" xfId="37518"/>
    <cellStyle name="适中 2 17 5 2 6" xfId="37519"/>
    <cellStyle name="适中 2 17 5 2 7" xfId="37520"/>
    <cellStyle name="适中 2 17 5 2 8" xfId="30593"/>
    <cellStyle name="适中 2 17 5 3" xfId="37521"/>
    <cellStyle name="适中 2 17 5 4" xfId="30894"/>
    <cellStyle name="适中 2 17 5 5" xfId="30903"/>
    <cellStyle name="适中 2 17 5 6" xfId="30905"/>
    <cellStyle name="适中 2 17 5 6 2" xfId="37522"/>
    <cellStyle name="适中 2 17 5 6 3" xfId="37523"/>
    <cellStyle name="适中 2 17 5 7" xfId="30907"/>
    <cellStyle name="适中 2 17 5 8" xfId="30909"/>
    <cellStyle name="适中 2 17 5 9" xfId="30913"/>
    <cellStyle name="适中 2 17 6" xfId="36281"/>
    <cellStyle name="适中 2 17 6 2" xfId="37524"/>
    <cellStyle name="适中 2 17 6 2 2" xfId="37525"/>
    <cellStyle name="适中 2 17 6 2 3" xfId="37526"/>
    <cellStyle name="适中 2 17 6 3" xfId="37527"/>
    <cellStyle name="适中 2 17 6 4" xfId="30918"/>
    <cellStyle name="适中 2 17 6 5" xfId="20804"/>
    <cellStyle name="适中 2 17 6 6" xfId="20807"/>
    <cellStyle name="适中 2 17 6 7" xfId="20810"/>
    <cellStyle name="适中 2 17 6 8" xfId="20813"/>
    <cellStyle name="适中 2 17 7" xfId="36283"/>
    <cellStyle name="适中 2 17 8" xfId="37528"/>
    <cellStyle name="适中 2 17 9" xfId="37529"/>
    <cellStyle name="适中 2 17 9 2" xfId="37530"/>
    <cellStyle name="适中 2 17 9 3" xfId="37531"/>
    <cellStyle name="适中 2 18" xfId="15344"/>
    <cellStyle name="适中 2 18 10" xfId="37532"/>
    <cellStyle name="适中 2 18 11" xfId="37533"/>
    <cellStyle name="适中 2 18 12" xfId="37534"/>
    <cellStyle name="适中 2 18 13" xfId="37535"/>
    <cellStyle name="适中 2 18 14" xfId="37536"/>
    <cellStyle name="适中 2 18 2" xfId="29636"/>
    <cellStyle name="适中 2 18 3" xfId="32344"/>
    <cellStyle name="适中 2 18 4" xfId="32346"/>
    <cellStyle name="适中 2 18 5" xfId="31589"/>
    <cellStyle name="适中 2 18 5 10" xfId="37537"/>
    <cellStyle name="适中 2 18 5 11" xfId="4633"/>
    <cellStyle name="适中 2 18 5 2" xfId="37538"/>
    <cellStyle name="适中 2 18 5 2 2" xfId="6136"/>
    <cellStyle name="适中 2 18 5 2 2 2" xfId="37539"/>
    <cellStyle name="适中 2 18 5 2 2 3" xfId="37540"/>
    <cellStyle name="适中 2 18 5 2 3" xfId="37541"/>
    <cellStyle name="适中 2 18 5 2 4" xfId="37542"/>
    <cellStyle name="适中 2 18 5 2 5" xfId="37543"/>
    <cellStyle name="适中 2 18 5 2 6" xfId="37544"/>
    <cellStyle name="适中 2 18 5 2 7" xfId="37545"/>
    <cellStyle name="适中 2 18 5 2 8" xfId="31634"/>
    <cellStyle name="适中 2 18 5 3" xfId="37546"/>
    <cellStyle name="适中 2 18 5 4" xfId="30458"/>
    <cellStyle name="适中 2 18 5 5" xfId="19232"/>
    <cellStyle name="适中 2 18 5 6" xfId="22352"/>
    <cellStyle name="适中 2 18 5 6 2" xfId="37547"/>
    <cellStyle name="适中 2 18 5 6 3" xfId="37548"/>
    <cellStyle name="适中 2 18 5 7" xfId="22355"/>
    <cellStyle name="适中 2 18 5 8" xfId="22358"/>
    <cellStyle name="适中 2 18 5 9" xfId="22361"/>
    <cellStyle name="适中 2 18 6" xfId="31592"/>
    <cellStyle name="适中 2 18 6 2" xfId="37549"/>
    <cellStyle name="适中 2 18 6 2 2" xfId="6238"/>
    <cellStyle name="适中 2 18 6 2 3" xfId="37550"/>
    <cellStyle name="适中 2 18 6 3" xfId="37551"/>
    <cellStyle name="适中 2 18 6 4" xfId="23413"/>
    <cellStyle name="适中 2 18 6 5" xfId="30950"/>
    <cellStyle name="适中 2 18 6 6" xfId="30953"/>
    <cellStyle name="适中 2 18 6 7" xfId="30955"/>
    <cellStyle name="适中 2 18 6 8" xfId="30957"/>
    <cellStyle name="适中 2 18 7" xfId="32348"/>
    <cellStyle name="适中 2 18 8" xfId="16303"/>
    <cellStyle name="适中 2 18 9" xfId="16310"/>
    <cellStyle name="适中 2 18 9 2" xfId="33984"/>
    <cellStyle name="适中 2 18 9 3" xfId="33986"/>
    <cellStyle name="适中 2 19" xfId="15351"/>
    <cellStyle name="适中 2 19 10" xfId="37552"/>
    <cellStyle name="适中 2 19 11" xfId="37553"/>
    <cellStyle name="适中 2 19 12" xfId="3103"/>
    <cellStyle name="适中 2 19 13" xfId="3139"/>
    <cellStyle name="适中 2 19 14" xfId="37554"/>
    <cellStyle name="适中 2 19 2" xfId="32351"/>
    <cellStyle name="适中 2 19 3" xfId="32353"/>
    <cellStyle name="适中 2 19 4" xfId="32355"/>
    <cellStyle name="适中 2 19 5" xfId="32357"/>
    <cellStyle name="适中 2 19 5 10" xfId="28320"/>
    <cellStyle name="适中 2 19 5 11" xfId="28322"/>
    <cellStyle name="适中 2 19 5 2" xfId="37555"/>
    <cellStyle name="适中 2 19 5 2 2" xfId="37556"/>
    <cellStyle name="适中 2 19 5 2 2 2" xfId="37557"/>
    <cellStyle name="适中 2 19 5 2 2 3" xfId="37558"/>
    <cellStyle name="适中 2 19 5 2 3" xfId="37559"/>
    <cellStyle name="适中 2 19 5 2 4" xfId="37560"/>
    <cellStyle name="适中 2 19 5 2 5" xfId="37561"/>
    <cellStyle name="适中 2 19 5 2 6" xfId="31495"/>
    <cellStyle name="适中 2 19 5 2 7" xfId="31498"/>
    <cellStyle name="适中 2 19 5 2 8" xfId="31501"/>
    <cellStyle name="适中 2 19 5 3" xfId="37562"/>
    <cellStyle name="适中 2 19 5 4" xfId="37563"/>
    <cellStyle name="适中 2 19 5 5" xfId="37564"/>
    <cellStyle name="适中 2 19 5 6" xfId="37565"/>
    <cellStyle name="适中 2 19 5 6 2" xfId="37566"/>
    <cellStyle name="适中 2 19 5 6 3" xfId="37567"/>
    <cellStyle name="适中 2 19 5 7" xfId="16005"/>
    <cellStyle name="适中 2 19 5 8" xfId="16008"/>
    <cellStyle name="适中 2 19 5 9" xfId="16011"/>
    <cellStyle name="适中 2 19 6" xfId="32360"/>
    <cellStyle name="适中 2 19 6 2" xfId="37568"/>
    <cellStyle name="适中 2 19 6 2 2" xfId="37569"/>
    <cellStyle name="适中 2 19 6 2 3" xfId="37570"/>
    <cellStyle name="适中 2 19 6 3" xfId="37571"/>
    <cellStyle name="适中 2 19 6 4" xfId="37572"/>
    <cellStyle name="适中 2 19 6 5" xfId="37573"/>
    <cellStyle name="适中 2 19 6 6" xfId="37574"/>
    <cellStyle name="适中 2 19 6 7" xfId="37575"/>
    <cellStyle name="适中 2 19 6 8" xfId="37576"/>
    <cellStyle name="适中 2 19 7" xfId="37577"/>
    <cellStyle name="适中 2 19 8" xfId="37578"/>
    <cellStyle name="适中 2 19 9" xfId="37579"/>
    <cellStyle name="适中 2 19 9 2" xfId="34019"/>
    <cellStyle name="适中 2 19 9 3" xfId="34021"/>
    <cellStyle name="适中 2 2" xfId="37580"/>
    <cellStyle name="适中 2 2 10" xfId="28049"/>
    <cellStyle name="适中 2 2 11" xfId="10412"/>
    <cellStyle name="适中 2 2 12" xfId="10425"/>
    <cellStyle name="适中 2 2 13" xfId="10431"/>
    <cellStyle name="适中 2 2 14" xfId="10437"/>
    <cellStyle name="适中 2 2 2" xfId="37581"/>
    <cellStyle name="适中 2 2 3" xfId="37582"/>
    <cellStyle name="适中 2 2 4" xfId="37583"/>
    <cellStyle name="适中 2 2 5" xfId="37584"/>
    <cellStyle name="适中 2 2 6" xfId="37585"/>
    <cellStyle name="适中 2 2 7" xfId="37586"/>
    <cellStyle name="适中 2 2 8" xfId="37587"/>
    <cellStyle name="适中 2 2 9" xfId="37588"/>
    <cellStyle name="适中 2 20" xfId="13218"/>
    <cellStyle name="适中 2 20 10" xfId="37589"/>
    <cellStyle name="适中 2 20 11" xfId="37590"/>
    <cellStyle name="适中 2 20 12" xfId="37591"/>
    <cellStyle name="适中 2 20 13" xfId="37592"/>
    <cellStyle name="适中 2 20 14" xfId="37593"/>
    <cellStyle name="适中 2 20 2" xfId="37594"/>
    <cellStyle name="适中 2 20 3" xfId="37595"/>
    <cellStyle name="适中 2 20 4" xfId="37596"/>
    <cellStyle name="适中 2 20 5" xfId="37597"/>
    <cellStyle name="适中 2 20 5 10" xfId="37598"/>
    <cellStyle name="适中 2 20 5 11" xfId="37599"/>
    <cellStyle name="适中 2 20 5 2" xfId="37600"/>
    <cellStyle name="适中 2 20 5 2 2" xfId="37601"/>
    <cellStyle name="适中 2 20 5 2 2 2" xfId="37602"/>
    <cellStyle name="适中 2 20 5 2 2 3" xfId="37603"/>
    <cellStyle name="适中 2 20 5 2 3" xfId="37604"/>
    <cellStyle name="适中 2 20 5 2 4" xfId="25669"/>
    <cellStyle name="适中 2 20 5 2 5" xfId="37605"/>
    <cellStyle name="适中 2 20 5 2 6" xfId="37606"/>
    <cellStyle name="适中 2 20 5 2 7" xfId="37607"/>
    <cellStyle name="适中 2 20 5 2 8" xfId="37608"/>
    <cellStyle name="适中 2 20 5 3" xfId="37609"/>
    <cellStyle name="适中 2 20 5 4" xfId="37610"/>
    <cellStyle name="适中 2 20 5 5" xfId="37611"/>
    <cellStyle name="适中 2 20 5 6" xfId="37612"/>
    <cellStyle name="适中 2 20 5 6 2" xfId="7316"/>
    <cellStyle name="适中 2 20 5 6 3" xfId="23705"/>
    <cellStyle name="适中 2 20 5 7" xfId="37613"/>
    <cellStyle name="适中 2 20 5 8" xfId="37614"/>
    <cellStyle name="适中 2 20 5 9" xfId="34675"/>
    <cellStyle name="适中 2 20 6" xfId="37615"/>
    <cellStyle name="适中 2 20 6 2" xfId="8205"/>
    <cellStyle name="适中 2 20 6 2 2" xfId="37616"/>
    <cellStyle name="适中 2 20 6 2 3" xfId="37617"/>
    <cellStyle name="适中 2 20 6 3" xfId="8212"/>
    <cellStyle name="适中 2 20 6 4" xfId="12080"/>
    <cellStyle name="适中 2 20 6 5" xfId="12085"/>
    <cellStyle name="适中 2 20 6 6" xfId="12089"/>
    <cellStyle name="适中 2 20 6 7" xfId="23151"/>
    <cellStyle name="适中 2 20 6 8" xfId="37618"/>
    <cellStyle name="适中 2 20 7" xfId="28655"/>
    <cellStyle name="适中 2 20 8" xfId="28657"/>
    <cellStyle name="适中 2 20 9" xfId="28659"/>
    <cellStyle name="适中 2 20 9 2" xfId="37619"/>
    <cellStyle name="适中 2 20 9 3" xfId="37620"/>
    <cellStyle name="适中 2 3" xfId="37621"/>
    <cellStyle name="适中 2 3 10" xfId="37622"/>
    <cellStyle name="适中 2 3 11" xfId="37623"/>
    <cellStyle name="适中 2 3 12" xfId="37624"/>
    <cellStyle name="适中 2 3 13" xfId="37625"/>
    <cellStyle name="适中 2 3 14" xfId="37626"/>
    <cellStyle name="适中 2 3 2" xfId="37627"/>
    <cellStyle name="适中 2 3 3" xfId="37628"/>
    <cellStyle name="适中 2 3 4" xfId="37629"/>
    <cellStyle name="适中 2 3 5" xfId="35803"/>
    <cellStyle name="适中 2 3 6" xfId="35805"/>
    <cellStyle name="适中 2 3 7" xfId="35807"/>
    <cellStyle name="适中 2 3 8" xfId="35847"/>
    <cellStyle name="适中 2 3 9" xfId="35485"/>
    <cellStyle name="适中 2 4" xfId="37630"/>
    <cellStyle name="适中 2 4 10" xfId="28692"/>
    <cellStyle name="适中 2 4 11" xfId="28706"/>
    <cellStyle name="适中 2 4 12" xfId="28720"/>
    <cellStyle name="适中 2 4 13" xfId="28722"/>
    <cellStyle name="适中 2 4 14" xfId="28724"/>
    <cellStyle name="适中 2 4 2" xfId="37391"/>
    <cellStyle name="适中 2 4 3" xfId="37406"/>
    <cellStyle name="适中 2 4 4" xfId="37416"/>
    <cellStyle name="适中 2 4 5" xfId="37418"/>
    <cellStyle name="适中 2 4 6" xfId="37420"/>
    <cellStyle name="适中 2 4 7" xfId="37632"/>
    <cellStyle name="适中 2 4 8" xfId="37634"/>
    <cellStyle name="适中 2 4 9" xfId="35510"/>
    <cellStyle name="适中 2 5" xfId="37635"/>
    <cellStyle name="适中 2 6" xfId="37636"/>
    <cellStyle name="适中 2 7" xfId="37637"/>
    <cellStyle name="适中 2 8" xfId="37638"/>
    <cellStyle name="适中 2 9" xfId="37639"/>
    <cellStyle name="适中 3" xfId="10069"/>
    <cellStyle name="适中 3 10" xfId="37640"/>
    <cellStyle name="适中 3 11" xfId="37641"/>
    <cellStyle name="适中 3 12" xfId="37642"/>
    <cellStyle name="适中 3 13" xfId="29017"/>
    <cellStyle name="适中 3 14" xfId="25557"/>
    <cellStyle name="适中 3 15" xfId="24556"/>
    <cellStyle name="适中 3 16" xfId="1256"/>
    <cellStyle name="适中 3 17" xfId="13112"/>
    <cellStyle name="适中 3 17 10" xfId="17711"/>
    <cellStyle name="适中 3 17 11" xfId="37233"/>
    <cellStyle name="适中 3 17 12" xfId="37643"/>
    <cellStyle name="适中 3 17 13" xfId="37644"/>
    <cellStyle name="适中 3 17 14" xfId="37645"/>
    <cellStyle name="适中 3 17 2" xfId="37346"/>
    <cellStyle name="适中 3 17 2 2" xfId="37646"/>
    <cellStyle name="适中 3 17 3" xfId="37647"/>
    <cellStyle name="适中 3 17 4" xfId="37648"/>
    <cellStyle name="适中 3 17 5" xfId="37649"/>
    <cellStyle name="适中 3 17 5 10" xfId="37650"/>
    <cellStyle name="适中 3 17 5 11" xfId="37651"/>
    <cellStyle name="适中 3 17 5 2" xfId="37652"/>
    <cellStyle name="适中 3 17 5 2 2" xfId="37653"/>
    <cellStyle name="适中 3 17 5 2 2 2" xfId="26855"/>
    <cellStyle name="适中 3 17 5 2 2 3" xfId="26857"/>
    <cellStyle name="适中 3 17 5 2 3" xfId="37654"/>
    <cellStyle name="适中 3 17 5 2 4" xfId="37655"/>
    <cellStyle name="适中 3 17 5 2 5" xfId="37656"/>
    <cellStyle name="适中 3 17 5 2 6" xfId="37657"/>
    <cellStyle name="适中 3 17 5 2 7" xfId="37658"/>
    <cellStyle name="适中 3 17 5 2 8" xfId="37659"/>
    <cellStyle name="适中 3 17 5 3" xfId="37660"/>
    <cellStyle name="适中 3 17 5 4" xfId="31077"/>
    <cellStyle name="适中 3 17 5 5" xfId="31083"/>
    <cellStyle name="适中 3 17 5 6" xfId="31085"/>
    <cellStyle name="适中 3 17 5 6 2" xfId="37661"/>
    <cellStyle name="适中 3 17 5 6 3" xfId="37662"/>
    <cellStyle name="适中 3 17 5 7" xfId="25942"/>
    <cellStyle name="适中 3 17 5 8" xfId="31087"/>
    <cellStyle name="适中 3 17 5 9" xfId="24008"/>
    <cellStyle name="适中 3 17 6" xfId="35383"/>
    <cellStyle name="适中 3 17 6 2" xfId="37663"/>
    <cellStyle name="适中 3 17 6 2 2" xfId="22086"/>
    <cellStyle name="适中 3 17 6 2 3" xfId="22090"/>
    <cellStyle name="适中 3 17 6 3" xfId="37664"/>
    <cellStyle name="适中 3 17 6 4" xfId="22202"/>
    <cellStyle name="适中 3 17 6 5" xfId="21486"/>
    <cellStyle name="适中 3 17 6 6" xfId="21489"/>
    <cellStyle name="适中 3 17 6 7" xfId="21493"/>
    <cellStyle name="适中 3 17 6 8" xfId="21497"/>
    <cellStyle name="适中 3 17 7" xfId="35386"/>
    <cellStyle name="适中 3 17 8" xfId="35389"/>
    <cellStyle name="适中 3 17 9" xfId="35391"/>
    <cellStyle name="适中 3 17 9 2" xfId="35395"/>
    <cellStyle name="适中 3 17 9 3" xfId="11819"/>
    <cellStyle name="适中 3 18" xfId="15383"/>
    <cellStyle name="适中 3 18 10" xfId="37239"/>
    <cellStyle name="适中 3 18 11" xfId="37241"/>
    <cellStyle name="适中 3 18 12" xfId="37665"/>
    <cellStyle name="适中 3 18 13" xfId="37666"/>
    <cellStyle name="适中 3 18 14" xfId="37667"/>
    <cellStyle name="适中 3 18 2" xfId="37668"/>
    <cellStyle name="适中 3 18 3" xfId="37669"/>
    <cellStyle name="适中 3 18 4" xfId="37670"/>
    <cellStyle name="适中 3 18 5" xfId="37671"/>
    <cellStyle name="适中 3 18 5 10" xfId="37672"/>
    <cellStyle name="适中 3 18 5 11" xfId="18201"/>
    <cellStyle name="适中 3 18 5 2" xfId="36643"/>
    <cellStyle name="适中 3 18 5 2 2" xfId="8616"/>
    <cellStyle name="适中 3 18 5 2 2 2" xfId="14006"/>
    <cellStyle name="适中 3 18 5 2 2 3" xfId="14012"/>
    <cellStyle name="适中 3 18 5 2 3" xfId="35855"/>
    <cellStyle name="适中 3 18 5 2 4" xfId="35857"/>
    <cellStyle name="适中 3 18 5 2 5" xfId="35861"/>
    <cellStyle name="适中 3 18 5 2 6" xfId="35863"/>
    <cellStyle name="适中 3 18 5 2 7" xfId="35865"/>
    <cellStyle name="适中 3 18 5 2 8" xfId="30940"/>
    <cellStyle name="适中 3 18 5 3" xfId="36645"/>
    <cellStyle name="适中 3 18 5 4" xfId="31100"/>
    <cellStyle name="适中 3 18 5 5" xfId="31107"/>
    <cellStyle name="适中 3 18 5 6" xfId="31111"/>
    <cellStyle name="适中 3 18 5 6 2" xfId="37673"/>
    <cellStyle name="适中 3 18 5 6 3" xfId="37674"/>
    <cellStyle name="适中 3 18 5 7" xfId="31114"/>
    <cellStyle name="适中 3 18 5 8" xfId="31117"/>
    <cellStyle name="适中 3 18 5 9" xfId="24042"/>
    <cellStyle name="适中 3 18 6" xfId="35416"/>
    <cellStyle name="适中 3 18 6 2" xfId="37675"/>
    <cellStyle name="适中 3 18 6 2 2" xfId="8772"/>
    <cellStyle name="适中 3 18 6 2 3" xfId="35898"/>
    <cellStyle name="适中 3 18 6 3" xfId="25424"/>
    <cellStyle name="适中 3 18 6 4" xfId="25426"/>
    <cellStyle name="适中 3 18 6 5" xfId="25429"/>
    <cellStyle name="适中 3 18 6 6" xfId="25432"/>
    <cellStyle name="适中 3 18 6 7" xfId="25435"/>
    <cellStyle name="适中 3 18 6 8" xfId="25438"/>
    <cellStyle name="适中 3 18 7" xfId="3687"/>
    <cellStyle name="适中 3 18 8" xfId="3691"/>
    <cellStyle name="适中 3 18 9" xfId="35418"/>
    <cellStyle name="适中 3 18 9 2" xfId="35421"/>
    <cellStyle name="适中 3 18 9 3" xfId="35423"/>
    <cellStyle name="适中 3 19" xfId="15385"/>
    <cellStyle name="适中 3 19 10" xfId="37676"/>
    <cellStyle name="适中 3 19 11" xfId="37677"/>
    <cellStyle name="适中 3 19 12" xfId="37678"/>
    <cellStyle name="适中 3 19 13" xfId="37679"/>
    <cellStyle name="适中 3 19 14" xfId="37680"/>
    <cellStyle name="适中 3 19 2" xfId="37681"/>
    <cellStyle name="适中 3 19 3" xfId="37682"/>
    <cellStyle name="适中 3 19 4" xfId="37683"/>
    <cellStyle name="适中 3 19 5" xfId="37684"/>
    <cellStyle name="适中 3 19 5 10" xfId="11844"/>
    <cellStyle name="适中 3 19 5 11" xfId="35664"/>
    <cellStyle name="适中 3 19 5 2" xfId="17799"/>
    <cellStyle name="适中 3 19 5 2 2" xfId="37685"/>
    <cellStyle name="适中 3 19 5 2 2 2" xfId="37687"/>
    <cellStyle name="适中 3 19 5 2 2 3" xfId="37689"/>
    <cellStyle name="适中 3 19 5 2 3" xfId="37690"/>
    <cellStyle name="适中 3 19 5 2 4" xfId="37691"/>
    <cellStyle name="适中 3 19 5 2 5" xfId="37692"/>
    <cellStyle name="适中 3 19 5 2 6" xfId="37693"/>
    <cellStyle name="适中 3 19 5 2 7" xfId="37694"/>
    <cellStyle name="适中 3 19 5 2 8" xfId="37695"/>
    <cellStyle name="适中 3 19 5 3" xfId="2435"/>
    <cellStyle name="适中 3 19 5 4" xfId="2457"/>
    <cellStyle name="适中 3 19 5 5" xfId="2473"/>
    <cellStyle name="适中 3 19 5 6" xfId="2490"/>
    <cellStyle name="适中 3 19 5 6 2" xfId="35607"/>
    <cellStyle name="适中 3 19 5 6 3" xfId="35609"/>
    <cellStyle name="适中 3 19 5 7" xfId="2502"/>
    <cellStyle name="适中 3 19 5 8" xfId="2510"/>
    <cellStyle name="适中 3 19 5 9" xfId="2519"/>
    <cellStyle name="适中 3 19 6" xfId="37696"/>
    <cellStyle name="适中 3 19 6 2" xfId="9685"/>
    <cellStyle name="适中 3 19 6 2 2" xfId="37698"/>
    <cellStyle name="适中 3 19 6 2 3" xfId="13007"/>
    <cellStyle name="适中 3 19 6 3" xfId="13197"/>
    <cellStyle name="适中 3 19 6 4" xfId="13201"/>
    <cellStyle name="适中 3 19 6 5" xfId="15094"/>
    <cellStyle name="适中 3 19 6 6" xfId="37699"/>
    <cellStyle name="适中 3 19 6 7" xfId="37700"/>
    <cellStyle name="适中 3 19 6 8" xfId="37701"/>
    <cellStyle name="适中 3 19 7" xfId="37702"/>
    <cellStyle name="适中 3 19 8" xfId="37703"/>
    <cellStyle name="适中 3 19 9" xfId="12739"/>
    <cellStyle name="适中 3 19 9 2" xfId="37704"/>
    <cellStyle name="适中 3 19 9 3" xfId="2568"/>
    <cellStyle name="适中 3 2" xfId="14127"/>
    <cellStyle name="适中 3 2 10" xfId="28132"/>
    <cellStyle name="适中 3 2 11" xfId="28134"/>
    <cellStyle name="适中 3 2 12" xfId="28140"/>
    <cellStyle name="适中 3 2 13" xfId="22103"/>
    <cellStyle name="适中 3 2 14" xfId="22107"/>
    <cellStyle name="适中 3 2 2" xfId="37705"/>
    <cellStyle name="适中 3 2 3" xfId="37706"/>
    <cellStyle name="适中 3 2 4" xfId="37707"/>
    <cellStyle name="适中 3 2 5" xfId="37708"/>
    <cellStyle name="适中 3 2 6" xfId="37709"/>
    <cellStyle name="适中 3 2 7" xfId="37710"/>
    <cellStyle name="适中 3 2 8" xfId="8009"/>
    <cellStyle name="适中 3 2 9" xfId="8021"/>
    <cellStyle name="适中 3 20" xfId="24555"/>
    <cellStyle name="适中 3 20 10" xfId="22285"/>
    <cellStyle name="适中 3 20 11" xfId="22288"/>
    <cellStyle name="适中 3 20 12" xfId="37711"/>
    <cellStyle name="适中 3 20 13" xfId="37712"/>
    <cellStyle name="适中 3 20 14" xfId="37713"/>
    <cellStyle name="适中 3 20 2" xfId="9417"/>
    <cellStyle name="适中 3 20 3" xfId="10238"/>
    <cellStyle name="适中 3 20 4" xfId="37714"/>
    <cellStyle name="适中 3 20 5" xfId="37715"/>
    <cellStyle name="适中 3 20 5 10" xfId="37427"/>
    <cellStyle name="适中 3 20 5 11" xfId="37429"/>
    <cellStyle name="适中 3 20 5 2" xfId="33080"/>
    <cellStyle name="适中 3 20 5 2 2" xfId="34306"/>
    <cellStyle name="适中 3 20 5 2 2 2" xfId="37716"/>
    <cellStyle name="适中 3 20 5 2 2 3" xfId="37717"/>
    <cellStyle name="适中 3 20 5 2 3" xfId="34308"/>
    <cellStyle name="适中 3 20 5 2 4" xfId="34310"/>
    <cellStyle name="适中 3 20 5 2 5" xfId="34312"/>
    <cellStyle name="适中 3 20 5 2 6" xfId="34314"/>
    <cellStyle name="适中 3 20 5 2 7" xfId="295"/>
    <cellStyle name="适中 3 20 5 2 8" xfId="37718"/>
    <cellStyle name="适中 3 20 5 3" xfId="37719"/>
    <cellStyle name="适中 3 20 5 4" xfId="37720"/>
    <cellStyle name="适中 3 20 5 5" xfId="37721"/>
    <cellStyle name="适中 3 20 5 6" xfId="37722"/>
    <cellStyle name="适中 3 20 5 6 2" xfId="24259"/>
    <cellStyle name="适中 3 20 5 6 3" xfId="24261"/>
    <cellStyle name="适中 3 20 5 7" xfId="37723"/>
    <cellStyle name="适中 3 20 5 8" xfId="37724"/>
    <cellStyle name="适中 3 20 5 9" xfId="24121"/>
    <cellStyle name="适中 3 20 6" xfId="37725"/>
    <cellStyle name="适中 3 20 6 2" xfId="37726"/>
    <cellStyle name="适中 3 20 6 2 2" xfId="37727"/>
    <cellStyle name="适中 3 20 6 2 3" xfId="37728"/>
    <cellStyle name="适中 3 20 6 3" xfId="37729"/>
    <cellStyle name="适中 3 20 6 4" xfId="37730"/>
    <cellStyle name="适中 3 20 6 5" xfId="37731"/>
    <cellStyle name="适中 3 20 6 6" xfId="32710"/>
    <cellStyle name="适中 3 20 6 7" xfId="32712"/>
    <cellStyle name="适中 3 20 6 8" xfId="37732"/>
    <cellStyle name="适中 3 20 7" xfId="37733"/>
    <cellStyle name="适中 3 20 8" xfId="37734"/>
    <cellStyle name="适中 3 20 9" xfId="37735"/>
    <cellStyle name="适中 3 20 9 2" xfId="28154"/>
    <cellStyle name="适中 3 20 9 3" xfId="28157"/>
    <cellStyle name="适中 3 3" xfId="37736"/>
    <cellStyle name="适中 3 3 10" xfId="37737"/>
    <cellStyle name="适中 3 3 11" xfId="37738"/>
    <cellStyle name="适中 3 3 12" xfId="37739"/>
    <cellStyle name="适中 3 3 13" xfId="37740"/>
    <cellStyle name="适中 3 3 14" xfId="37741"/>
    <cellStyle name="适中 3 3 2" xfId="37742"/>
    <cellStyle name="适中 3 3 3" xfId="37743"/>
    <cellStyle name="适中 3 3 4" xfId="37744"/>
    <cellStyle name="适中 3 3 5" xfId="10661"/>
    <cellStyle name="适中 3 3 6" xfId="10663"/>
    <cellStyle name="适中 3 3 7" xfId="17610"/>
    <cellStyle name="适中 3 3 8" xfId="17623"/>
    <cellStyle name="适中 3 3 9" xfId="17627"/>
    <cellStyle name="适中 3 4" xfId="37745"/>
    <cellStyle name="适中 3 4 10" xfId="37746"/>
    <cellStyle name="适中 3 4 11" xfId="37747"/>
    <cellStyle name="适中 3 4 12" xfId="37748"/>
    <cellStyle name="适中 3 4 13" xfId="37749"/>
    <cellStyle name="适中 3 4 14" xfId="37750"/>
    <cellStyle name="适中 3 4 2" xfId="37751"/>
    <cellStyle name="适中 3 4 3" xfId="37752"/>
    <cellStyle name="适中 3 4 4" xfId="37753"/>
    <cellStyle name="适中 3 4 5" xfId="37754"/>
    <cellStyle name="适中 3 4 6" xfId="37755"/>
    <cellStyle name="适中 3 4 7" xfId="37756"/>
    <cellStyle name="适中 3 4 8" xfId="37757"/>
    <cellStyle name="适中 3 4 9" xfId="35531"/>
    <cellStyle name="适中 3 5" xfId="37758"/>
    <cellStyle name="适中 3 6" xfId="37759"/>
    <cellStyle name="适中 3 7" xfId="37760"/>
    <cellStyle name="适中 3 8" xfId="37761"/>
    <cellStyle name="适中 3 9" xfId="24415"/>
    <cellStyle name="适中 4" xfId="10074"/>
    <cellStyle name="适中 4 10" xfId="37631"/>
    <cellStyle name="适中 4 11" xfId="37633"/>
    <cellStyle name="适中 4 12" xfId="35509"/>
    <cellStyle name="适中 4 13" xfId="35514"/>
    <cellStyle name="适中 4 14" xfId="25036"/>
    <cellStyle name="适中 4 15" xfId="25041"/>
    <cellStyle name="适中 4 16" xfId="35516"/>
    <cellStyle name="适中 4 17" xfId="7763"/>
    <cellStyle name="适中 4 17 10" xfId="37762"/>
    <cellStyle name="适中 4 17 11" xfId="37763"/>
    <cellStyle name="适中 4 17 12" xfId="37764"/>
    <cellStyle name="适中 4 17 13" xfId="37765"/>
    <cellStyle name="适中 4 17 14" xfId="37766"/>
    <cellStyle name="适中 4 17 2" xfId="8735"/>
    <cellStyle name="适中 4 17 3" xfId="8742"/>
    <cellStyle name="适中 4 17 4" xfId="21783"/>
    <cellStyle name="适中 4 17 5" xfId="21785"/>
    <cellStyle name="适中 4 17 5 10" xfId="37767"/>
    <cellStyle name="适中 4 17 5 11" xfId="37768"/>
    <cellStyle name="适中 4 17 5 2" xfId="37769"/>
    <cellStyle name="适中 4 17 5 2 2" xfId="37770"/>
    <cellStyle name="适中 4 17 5 2 2 2" xfId="37771"/>
    <cellStyle name="适中 4 17 5 2 2 3" xfId="37772"/>
    <cellStyle name="适中 4 17 5 2 3" xfId="37773"/>
    <cellStyle name="适中 4 17 5 2 4" xfId="37774"/>
    <cellStyle name="适中 4 17 5 2 5" xfId="37775"/>
    <cellStyle name="适中 4 17 5 2 6" xfId="10652"/>
    <cellStyle name="适中 4 17 5 2 7" xfId="9194"/>
    <cellStyle name="适中 4 17 5 2 8" xfId="9198"/>
    <cellStyle name="适中 4 17 5 3" xfId="37776"/>
    <cellStyle name="适中 4 17 5 4" xfId="37777"/>
    <cellStyle name="适中 4 17 5 5" xfId="37778"/>
    <cellStyle name="适中 4 17 5 6" xfId="37779"/>
    <cellStyle name="适中 4 17 5 6 2" xfId="25019"/>
    <cellStyle name="适中 4 17 5 6 3" xfId="37780"/>
    <cellStyle name="适中 4 17 5 7" xfId="37781"/>
    <cellStyle name="适中 4 17 5 8" xfId="37782"/>
    <cellStyle name="适中 4 17 5 9" xfId="24158"/>
    <cellStyle name="适中 4 17 6" xfId="21787"/>
    <cellStyle name="适中 4 17 6 2" xfId="37783"/>
    <cellStyle name="适中 4 17 6 2 2" xfId="37784"/>
    <cellStyle name="适中 4 17 6 2 3" xfId="4380"/>
    <cellStyle name="适中 4 17 6 3" xfId="37785"/>
    <cellStyle name="适中 4 17 6 4" xfId="37786"/>
    <cellStyle name="适中 4 17 6 5" xfId="22291"/>
    <cellStyle name="适中 4 17 6 6" xfId="22293"/>
    <cellStyle name="适中 4 17 6 7" xfId="22295"/>
    <cellStyle name="适中 4 17 6 8" xfId="22297"/>
    <cellStyle name="适中 4 17 7" xfId="21790"/>
    <cellStyle name="适中 4 17 8" xfId="21794"/>
    <cellStyle name="适中 4 17 9" xfId="4884"/>
    <cellStyle name="适中 4 17 9 2" xfId="17626"/>
    <cellStyle name="适中 4 17 9 3" xfId="17631"/>
    <cellStyle name="适中 4 18" xfId="7773"/>
    <cellStyle name="适中 4 18 10" xfId="37787"/>
    <cellStyle name="适中 4 18 11" xfId="37788"/>
    <cellStyle name="适中 4 18 12" xfId="37789"/>
    <cellStyle name="适中 4 18 13" xfId="37790"/>
    <cellStyle name="适中 4 18 14" xfId="37791"/>
    <cellStyle name="适中 4 18 2" xfId="28942"/>
    <cellStyle name="适中 4 18 3" xfId="28944"/>
    <cellStyle name="适中 4 18 4" xfId="37792"/>
    <cellStyle name="适中 4 18 5" xfId="31514"/>
    <cellStyle name="适中 4 18 5 10" xfId="2068"/>
    <cellStyle name="适中 4 18 5 11" xfId="3108"/>
    <cellStyle name="适中 4 18 5 2" xfId="37793"/>
    <cellStyle name="适中 4 18 5 2 2" xfId="4527"/>
    <cellStyle name="适中 4 18 5 2 2 2" xfId="37794"/>
    <cellStyle name="适中 4 18 5 2 2 3" xfId="37795"/>
    <cellStyle name="适中 4 18 5 2 3" xfId="37796"/>
    <cellStyle name="适中 4 18 5 2 4" xfId="37797"/>
    <cellStyle name="适中 4 18 5 2 5" xfId="37798"/>
    <cellStyle name="适中 4 18 5 2 6" xfId="394"/>
    <cellStyle name="适中 4 18 5 2 7" xfId="8406"/>
    <cellStyle name="适中 4 18 5 2 8" xfId="9363"/>
    <cellStyle name="适中 4 18 5 3" xfId="35481"/>
    <cellStyle name="适中 4 18 5 4" xfId="35483"/>
    <cellStyle name="适中 4 18 5 5" xfId="37799"/>
    <cellStyle name="适中 4 18 5 6" xfId="37800"/>
    <cellStyle name="适中 4 18 5 6 2" xfId="37801"/>
    <cellStyle name="适中 4 18 5 6 3" xfId="37802"/>
    <cellStyle name="适中 4 18 5 7" xfId="34240"/>
    <cellStyle name="适中 4 18 5 8" xfId="34244"/>
    <cellStyle name="适中 4 18 5 9" xfId="24194"/>
    <cellStyle name="适中 4 18 6" xfId="31517"/>
    <cellStyle name="适中 4 18 6 2" xfId="32611"/>
    <cellStyle name="适中 4 18 6 2 2" xfId="10794"/>
    <cellStyle name="适中 4 18 6 2 3" xfId="37803"/>
    <cellStyle name="适中 4 18 6 3" xfId="32613"/>
    <cellStyle name="适中 4 18 6 4" xfId="37804"/>
    <cellStyle name="适中 4 18 6 5" xfId="37805"/>
    <cellStyle name="适中 4 18 6 6" xfId="37806"/>
    <cellStyle name="适中 4 18 6 7" xfId="37807"/>
    <cellStyle name="适中 4 18 6 8" xfId="37808"/>
    <cellStyle name="适中 4 18 7" xfId="6701"/>
    <cellStyle name="适中 4 18 8" xfId="35546"/>
    <cellStyle name="适中 4 18 9" xfId="35548"/>
    <cellStyle name="适中 4 18 9 2" xfId="35550"/>
    <cellStyle name="适中 4 18 9 3" xfId="35558"/>
    <cellStyle name="适中 4 19" xfId="8747"/>
    <cellStyle name="适中 4 19 10" xfId="37809"/>
    <cellStyle name="适中 4 19 11" xfId="37810"/>
    <cellStyle name="适中 4 19 12" xfId="37811"/>
    <cellStyle name="适中 4 19 13" xfId="37812"/>
    <cellStyle name="适中 4 19 14" xfId="37813"/>
    <cellStyle name="适中 4 19 2" xfId="3501"/>
    <cellStyle name="适中 4 19 3" xfId="3512"/>
    <cellStyle name="适中 4 19 4" xfId="3424"/>
    <cellStyle name="适中 4 19 5" xfId="3446"/>
    <cellStyle name="适中 4 19 5 10" xfId="37814"/>
    <cellStyle name="适中 4 19 5 11" xfId="37815"/>
    <cellStyle name="适中 4 19 5 2" xfId="37816"/>
    <cellStyle name="适中 4 19 5 2 2" xfId="37817"/>
    <cellStyle name="适中 4 19 5 2 2 2" xfId="37818"/>
    <cellStyle name="适中 4 19 5 2 2 3" xfId="37819"/>
    <cellStyle name="适中 4 19 5 2 3" xfId="37820"/>
    <cellStyle name="适中 4 19 5 2 4" xfId="37821"/>
    <cellStyle name="适中 4 19 5 2 5" xfId="37822"/>
    <cellStyle name="适中 4 19 5 2 6" xfId="11359"/>
    <cellStyle name="适中 4 19 5 2 7" xfId="9569"/>
    <cellStyle name="适中 4 19 5 2 8" xfId="9573"/>
    <cellStyle name="适中 4 19 5 3" xfId="37823"/>
    <cellStyle name="适中 4 19 5 4" xfId="37824"/>
    <cellStyle name="适中 4 19 5 5" xfId="37825"/>
    <cellStyle name="适中 4 19 5 6" xfId="37826"/>
    <cellStyle name="适中 4 19 5 6 2" xfId="37827"/>
    <cellStyle name="适中 4 19 5 6 3" xfId="25939"/>
    <cellStyle name="适中 4 19 5 7" xfId="17716"/>
    <cellStyle name="适中 4 19 5 8" xfId="17719"/>
    <cellStyle name="适中 4 19 5 9" xfId="17723"/>
    <cellStyle name="适中 4 19 6" xfId="3529"/>
    <cellStyle name="适中 4 19 6 2" xfId="37828"/>
    <cellStyle name="适中 4 19 6 2 2" xfId="37829"/>
    <cellStyle name="适中 4 19 6 2 3" xfId="37830"/>
    <cellStyle name="适中 4 19 6 3" xfId="37831"/>
    <cellStyle name="适中 4 19 6 4" xfId="37832"/>
    <cellStyle name="适中 4 19 6 5" xfId="37833"/>
    <cellStyle name="适中 4 19 6 6" xfId="37834"/>
    <cellStyle name="适中 4 19 6 7" xfId="37835"/>
    <cellStyle name="适中 4 19 6 8" xfId="32290"/>
    <cellStyle name="适中 4 19 7" xfId="3536"/>
    <cellStyle name="适中 4 19 8" xfId="5381"/>
    <cellStyle name="适中 4 19 9" xfId="1024"/>
    <cellStyle name="适中 4 19 9 2" xfId="37836"/>
    <cellStyle name="适中 4 19 9 3" xfId="37837"/>
    <cellStyle name="适中 4 2" xfId="6645"/>
    <cellStyle name="适中 4 20" xfId="25040"/>
    <cellStyle name="适中 4 20 10" xfId="37838"/>
    <cellStyle name="适中 4 20 11" xfId="37839"/>
    <cellStyle name="适中 4 20 12" xfId="37840"/>
    <cellStyle name="适中 4 20 13" xfId="37841"/>
    <cellStyle name="适中 4 20 14" xfId="16683"/>
    <cellStyle name="适中 4 20 2" xfId="37842"/>
    <cellStyle name="适中 4 20 3" xfId="37843"/>
    <cellStyle name="适中 4 20 4" xfId="37844"/>
    <cellStyle name="适中 4 20 5" xfId="37845"/>
    <cellStyle name="适中 4 20 5 10" xfId="37846"/>
    <cellStyle name="适中 4 20 5 11" xfId="37847"/>
    <cellStyle name="适中 4 20 5 2" xfId="37848"/>
    <cellStyle name="适中 4 20 5 2 2" xfId="37849"/>
    <cellStyle name="适中 4 20 5 2 2 2" xfId="16534"/>
    <cellStyle name="适中 4 20 5 2 2 3" xfId="37850"/>
    <cellStyle name="适中 4 20 5 2 3" xfId="37851"/>
    <cellStyle name="适中 4 20 5 2 4" xfId="37852"/>
    <cellStyle name="适中 4 20 5 2 5" xfId="37853"/>
    <cellStyle name="适中 4 20 5 2 6" xfId="37854"/>
    <cellStyle name="适中 4 20 5 2 7" xfId="3135"/>
    <cellStyle name="适中 4 20 5 2 8" xfId="37855"/>
    <cellStyle name="适中 4 20 5 3" xfId="37856"/>
    <cellStyle name="适中 4 20 5 4" xfId="37697"/>
    <cellStyle name="适中 4 20 5 5" xfId="13006"/>
    <cellStyle name="适中 4 20 5 6" xfId="13020"/>
    <cellStyle name="适中 4 20 5 6 2" xfId="37857"/>
    <cellStyle name="适中 4 20 5 6 3" xfId="37858"/>
    <cellStyle name="适中 4 20 5 7" xfId="30640"/>
    <cellStyle name="适中 4 20 5 8" xfId="30642"/>
    <cellStyle name="适中 4 20 5 9" xfId="14534"/>
    <cellStyle name="适中 4 20 6" xfId="37859"/>
    <cellStyle name="适中 4 20 6 2" xfId="12163"/>
    <cellStyle name="适中 4 20 6 2 2" xfId="4062"/>
    <cellStyle name="适中 4 20 6 2 3" xfId="4071"/>
    <cellStyle name="适中 4 20 6 3" xfId="12172"/>
    <cellStyle name="适中 4 20 6 4" xfId="12180"/>
    <cellStyle name="适中 4 20 6 5" xfId="12189"/>
    <cellStyle name="适中 4 20 6 6" xfId="13039"/>
    <cellStyle name="适中 4 20 6 7" xfId="16664"/>
    <cellStyle name="适中 4 20 6 8" xfId="30663"/>
    <cellStyle name="适中 4 20 7" xfId="37860"/>
    <cellStyle name="适中 4 20 8" xfId="15488"/>
    <cellStyle name="适中 4 20 9" xfId="18787"/>
    <cellStyle name="适中 4 20 9 2" xfId="37861"/>
    <cellStyle name="适中 4 20 9 3" xfId="36995"/>
    <cellStyle name="适中 4 3" xfId="6652"/>
    <cellStyle name="适中 4 4" xfId="325"/>
    <cellStyle name="适中 4 5" xfId="600"/>
    <cellStyle name="适中 4 6" xfId="614"/>
    <cellStyle name="适中 4 7" xfId="645"/>
    <cellStyle name="适中 4 8" xfId="2095"/>
    <cellStyle name="适中 4 9" xfId="2099"/>
    <cellStyle name="适中 5" xfId="10079"/>
    <cellStyle name="适中 5 10" xfId="15192"/>
    <cellStyle name="适中 5 11" xfId="15197"/>
    <cellStyle name="适中 5 12" xfId="15201"/>
    <cellStyle name="适中 5 13" xfId="15205"/>
    <cellStyle name="适中 5 14" xfId="15239"/>
    <cellStyle name="适中 5 2" xfId="9024"/>
    <cellStyle name="适中 5 3" xfId="15064"/>
    <cellStyle name="适中 5 4" xfId="11252"/>
    <cellStyle name="适中 5 5" xfId="11256"/>
    <cellStyle name="适中 5 6" xfId="15066"/>
    <cellStyle name="适中 5 7" xfId="37862"/>
    <cellStyle name="适中 5 8" xfId="37863"/>
    <cellStyle name="适中 5 9" xfId="37864"/>
    <cellStyle name="适中 6" xfId="10081"/>
    <cellStyle name="适中 6 10" xfId="30372"/>
    <cellStyle name="适中 6 11" xfId="30375"/>
    <cellStyle name="适中 6 12" xfId="30378"/>
    <cellStyle name="适中 6 13" xfId="37027"/>
    <cellStyle name="适中 6 14" xfId="37029"/>
    <cellStyle name="适中 6 2" xfId="37865"/>
    <cellStyle name="适中 6 3" xfId="37866"/>
    <cellStyle name="适中 6 4" xfId="8187"/>
    <cellStyle name="适中 6 5" xfId="8196"/>
    <cellStyle name="适中 6 6" xfId="33428"/>
    <cellStyle name="适中 6 7" xfId="33430"/>
    <cellStyle name="适中 6 8" xfId="33432"/>
    <cellStyle name="适中 6 9" xfId="33435"/>
    <cellStyle name="适中 7" xfId="37867"/>
    <cellStyle name="适中 8" xfId="37868"/>
    <cellStyle name="适中 9" xfId="35709"/>
    <cellStyle name="連結的儲存格" xfId="37869"/>
    <cellStyle name="链接单元格 10" xfId="37870"/>
    <cellStyle name="链接单元格 11" xfId="37871"/>
    <cellStyle name="链接单元格 12" xfId="37872"/>
    <cellStyle name="链接单元格 12 10" xfId="37873"/>
    <cellStyle name="链接单元格 12 11" xfId="37874"/>
    <cellStyle name="链接单元格 12 12" xfId="37875"/>
    <cellStyle name="链接单元格 12 13" xfId="31256"/>
    <cellStyle name="链接单元格 12 14" xfId="31258"/>
    <cellStyle name="链接单元格 12 2" xfId="24753"/>
    <cellStyle name="链接单元格 12 3" xfId="24755"/>
    <cellStyle name="链接单元格 12 4" xfId="24757"/>
    <cellStyle name="链接单元格 12 5" xfId="24760"/>
    <cellStyle name="链接单元格 12 5 10" xfId="37876"/>
    <cellStyle name="链接单元格 12 5 11" xfId="37877"/>
    <cellStyle name="链接单元格 12 5 2" xfId="24763"/>
    <cellStyle name="链接单元格 12 5 2 2" xfId="37878"/>
    <cellStyle name="链接单元格 12 5 2 2 2" xfId="37879"/>
    <cellStyle name="链接单元格 12 5 2 2 3" xfId="37880"/>
    <cellStyle name="链接单元格 12 5 2 3" xfId="37881"/>
    <cellStyle name="链接单元格 12 5 2 4" xfId="37882"/>
    <cellStyle name="链接单元格 12 5 2 5" xfId="37883"/>
    <cellStyle name="链接单元格 12 5 2 6" xfId="37884"/>
    <cellStyle name="链接单元格 12 5 2 7" xfId="37885"/>
    <cellStyle name="链接单元格 12 5 2 8" xfId="37886"/>
    <cellStyle name="链接单元格 12 5 3" xfId="24765"/>
    <cellStyle name="链接单元格 12 5 4" xfId="10851"/>
    <cellStyle name="链接单元格 12 5 5" xfId="10855"/>
    <cellStyle name="链接单元格 12 5 6" xfId="14438"/>
    <cellStyle name="链接单元格 12 5 6 2" xfId="28384"/>
    <cellStyle name="链接单元格 12 5 6 3" xfId="28388"/>
    <cellStyle name="链接单元格 12 5 7" xfId="14440"/>
    <cellStyle name="链接单元格 12 5 8" xfId="14444"/>
    <cellStyle name="链接单元格 12 5 9" xfId="37887"/>
    <cellStyle name="链接单元格 12 6" xfId="21813"/>
    <cellStyle name="链接单元格 12 6 2" xfId="37888"/>
    <cellStyle name="链接单元格 12 6 2 2" xfId="27188"/>
    <cellStyle name="链接单元格 12 6 2 3" xfId="27190"/>
    <cellStyle name="链接单元格 12 6 3" xfId="37889"/>
    <cellStyle name="链接单元格 12 6 4" xfId="37890"/>
    <cellStyle name="链接单元格 12 6 5" xfId="37891"/>
    <cellStyle name="链接单元格 12 6 6" xfId="37892"/>
    <cellStyle name="链接单元格 12 6 7" xfId="37893"/>
    <cellStyle name="链接单元格 12 6 8" xfId="25614"/>
    <cellStyle name="链接单元格 12 7" xfId="18753"/>
    <cellStyle name="链接单元格 12 8" xfId="24769"/>
    <cellStyle name="链接单元格 12 9" xfId="37894"/>
    <cellStyle name="链接单元格 12 9 2" xfId="37895"/>
    <cellStyle name="链接单元格 12 9 3" xfId="37896"/>
    <cellStyle name="链接单元格 13" xfId="37897"/>
    <cellStyle name="链接单元格 14" xfId="37898"/>
    <cellStyle name="链接单元格 15" xfId="37899"/>
    <cellStyle name="链接单元格 16" xfId="37900"/>
    <cellStyle name="链接单元格 16 10" xfId="4667"/>
    <cellStyle name="链接单元格 16 11" xfId="4670"/>
    <cellStyle name="链接单元格 16 12" xfId="4674"/>
    <cellStyle name="链接单元格 16 13" xfId="4678"/>
    <cellStyle name="链接单元格 16 14" xfId="4684"/>
    <cellStyle name="链接单元格 16 2" xfId="24783"/>
    <cellStyle name="链接单元格 16 3" xfId="28441"/>
    <cellStyle name="链接单元格 16 4" xfId="28444"/>
    <cellStyle name="链接单元格 16 5" xfId="28447"/>
    <cellStyle name="链接单元格 16 5 10" xfId="37901"/>
    <cellStyle name="链接单元格 16 5 11" xfId="37902"/>
    <cellStyle name="链接单元格 16 5 2" xfId="37903"/>
    <cellStyle name="链接单元格 16 5 2 2" xfId="37904"/>
    <cellStyle name="链接单元格 16 5 2 2 2" xfId="37905"/>
    <cellStyle name="链接单元格 16 5 2 2 3" xfId="19856"/>
    <cellStyle name="链接单元格 16 5 2 3" xfId="37906"/>
    <cellStyle name="链接单元格 16 5 2 4" xfId="37907"/>
    <cellStyle name="链接单元格 16 5 2 5" xfId="37908"/>
    <cellStyle name="链接单元格 16 5 2 6" xfId="37909"/>
    <cellStyle name="链接单元格 16 5 2 7" xfId="37910"/>
    <cellStyle name="链接单元格 16 5 2 8" xfId="37911"/>
    <cellStyle name="链接单元格 16 5 3" xfId="37912"/>
    <cellStyle name="链接单元格 16 5 4" xfId="37913"/>
    <cellStyle name="链接单元格 16 5 5" xfId="37914"/>
    <cellStyle name="链接单元格 16 5 6" xfId="37915"/>
    <cellStyle name="链接单元格 16 5 6 2" xfId="17014"/>
    <cellStyle name="链接单元格 16 5 6 3" xfId="17018"/>
    <cellStyle name="链接单元格 16 5 7" xfId="37916"/>
    <cellStyle name="链接单元格 16 5 8" xfId="37917"/>
    <cellStyle name="链接单元格 16 5 9" xfId="37918"/>
    <cellStyle name="链接单元格 16 6" xfId="24544"/>
    <cellStyle name="链接单元格 16 6 2" xfId="32626"/>
    <cellStyle name="链接单元格 16 6 2 2" xfId="7350"/>
    <cellStyle name="链接单元格 16 6 2 3" xfId="7357"/>
    <cellStyle name="链接单元格 16 6 3" xfId="32630"/>
    <cellStyle name="链接单元格 16 6 4" xfId="26731"/>
    <cellStyle name="链接单元格 16 6 5" xfId="12254"/>
    <cellStyle name="链接单元格 16 6 6" xfId="12271"/>
    <cellStyle name="链接单元格 16 6 7" xfId="10098"/>
    <cellStyle name="链接单元格 16 6 8" xfId="10105"/>
    <cellStyle name="链接单元格 16 7" xfId="28450"/>
    <cellStyle name="链接单元格 16 8" xfId="28453"/>
    <cellStyle name="链接单元格 16 9" xfId="16075"/>
    <cellStyle name="链接单元格 16 9 2" xfId="11347"/>
    <cellStyle name="链接单元格 16 9 3" xfId="11354"/>
    <cellStyle name="链接单元格 17" xfId="37919"/>
    <cellStyle name="链接单元格 17 10" xfId="37920"/>
    <cellStyle name="链接单元格 17 11" xfId="37921"/>
    <cellStyle name="链接单元格 17 12" xfId="37922"/>
    <cellStyle name="链接单元格 17 13" xfId="37923"/>
    <cellStyle name="链接单元格 17 14" xfId="37924"/>
    <cellStyle name="链接单元格 17 2" xfId="37925"/>
    <cellStyle name="链接单元格 17 3" xfId="32635"/>
    <cellStyle name="链接单元格 17 4" xfId="32637"/>
    <cellStyle name="链接单元格 17 5" xfId="16536"/>
    <cellStyle name="链接单元格 17 5 10" xfId="7467"/>
    <cellStyle name="链接单元格 17 5 11" xfId="7474"/>
    <cellStyle name="链接单元格 17 5 2" xfId="35007"/>
    <cellStyle name="链接单元格 17 5 2 2" xfId="37926"/>
    <cellStyle name="链接单元格 17 5 2 2 2" xfId="37927"/>
    <cellStyle name="链接单元格 17 5 2 2 3" xfId="37928"/>
    <cellStyle name="链接单元格 17 5 2 3" xfId="37929"/>
    <cellStyle name="链接单元格 17 5 2 4" xfId="16195"/>
    <cellStyle name="链接单元格 17 5 2 5" xfId="14299"/>
    <cellStyle name="链接单元格 17 5 2 6" xfId="14305"/>
    <cellStyle name="链接单元格 17 5 2 7" xfId="16261"/>
    <cellStyle name="链接单元格 17 5 2 8" xfId="16264"/>
    <cellStyle name="链接单元格 17 5 3" xfId="35011"/>
    <cellStyle name="链接单元格 17 5 4" xfId="37930"/>
    <cellStyle name="链接单元格 17 5 5" xfId="15555"/>
    <cellStyle name="链接单元格 17 5 6" xfId="15557"/>
    <cellStyle name="链接单元格 17 5 6 2" xfId="37931"/>
    <cellStyle name="链接单元格 17 5 6 3" xfId="37932"/>
    <cellStyle name="链接单元格 17 5 7" xfId="13156"/>
    <cellStyle name="链接单元格 17 5 8" xfId="13184"/>
    <cellStyle name="链接单元格 17 5 9" xfId="13187"/>
    <cellStyle name="链接单元格 17 6" xfId="16540"/>
    <cellStyle name="链接单元格 17 6 2" xfId="32639"/>
    <cellStyle name="链接单元格 17 6 2 2" xfId="23532"/>
    <cellStyle name="链接单元格 17 6 2 3" xfId="23536"/>
    <cellStyle name="链接单元格 17 6 3" xfId="32641"/>
    <cellStyle name="链接单元格 17 6 4" xfId="32643"/>
    <cellStyle name="链接单元格 17 6 5" xfId="15562"/>
    <cellStyle name="链接单元格 17 6 6" xfId="15565"/>
    <cellStyle name="链接单元格 17 6 7" xfId="13205"/>
    <cellStyle name="链接单元格 17 6 8" xfId="13227"/>
    <cellStyle name="链接单元格 17 7" xfId="32645"/>
    <cellStyle name="链接单元格 17 8" xfId="32656"/>
    <cellStyle name="链接单元格 17 9" xfId="32659"/>
    <cellStyle name="链接单元格 17 9 2" xfId="37933"/>
    <cellStyle name="链接单元格 17 9 3" xfId="37934"/>
    <cellStyle name="链接单元格 18" xfId="37935"/>
    <cellStyle name="链接单元格 18 10" xfId="37936"/>
    <cellStyle name="链接单元格 18 11" xfId="37937"/>
    <cellStyle name="链接单元格 18 12" xfId="37938"/>
    <cellStyle name="链接单元格 18 13" xfId="37939"/>
    <cellStyle name="链接单元格 18 14" xfId="37940"/>
    <cellStyle name="链接单元格 18 2" xfId="37941"/>
    <cellStyle name="链接单元格 18 3" xfId="21303"/>
    <cellStyle name="链接单元格 18 4" xfId="21305"/>
    <cellStyle name="链接单元格 18 5" xfId="37942"/>
    <cellStyle name="链接单元格 18 5 10" xfId="37943"/>
    <cellStyle name="链接单元格 18 5 11" xfId="35867"/>
    <cellStyle name="链接单元格 18 5 2" xfId="37944"/>
    <cellStyle name="链接单元格 18 5 2 2" xfId="37945"/>
    <cellStyle name="链接单元格 18 5 2 2 2" xfId="28370"/>
    <cellStyle name="链接单元格 18 5 2 2 3" xfId="3720"/>
    <cellStyle name="链接单元格 18 5 2 3" xfId="37946"/>
    <cellStyle name="链接单元格 18 5 2 4" xfId="37947"/>
    <cellStyle name="链接单元格 18 5 2 5" xfId="37948"/>
    <cellStyle name="链接单元格 18 5 2 6" xfId="37949"/>
    <cellStyle name="链接单元格 18 5 2 7" xfId="37950"/>
    <cellStyle name="链接单元格 18 5 2 8" xfId="37951"/>
    <cellStyle name="链接单元格 18 5 3" xfId="37952"/>
    <cellStyle name="链接单元格 18 5 4" xfId="37953"/>
    <cellStyle name="链接单元格 18 5 5" xfId="37954"/>
    <cellStyle name="链接单元格 18 5 6" xfId="37955"/>
    <cellStyle name="链接单元格 18 5 6 2" xfId="37956"/>
    <cellStyle name="链接单元格 18 5 6 3" xfId="37957"/>
    <cellStyle name="链接单元格 18 5 7" xfId="37958"/>
    <cellStyle name="链接单元格 18 5 8" xfId="37959"/>
    <cellStyle name="链接单元格 18 5 9" xfId="37960"/>
    <cellStyle name="链接单元格 18 6" xfId="37961"/>
    <cellStyle name="链接单元格 18 6 2" xfId="3857"/>
    <cellStyle name="链接单元格 18 6 2 2" xfId="37962"/>
    <cellStyle name="链接单元格 18 6 2 3" xfId="37963"/>
    <cellStyle name="链接单元格 18 6 3" xfId="3892"/>
    <cellStyle name="链接单元格 18 6 4" xfId="4996"/>
    <cellStyle name="链接单元格 18 6 5" xfId="11996"/>
    <cellStyle name="链接单元格 18 6 6" xfId="4168"/>
    <cellStyle name="链接单元格 18 6 7" xfId="4178"/>
    <cellStyle name="链接单元格 18 6 8" xfId="12013"/>
    <cellStyle name="链接单元格 18 7" xfId="37964"/>
    <cellStyle name="链接单元格 18 8" xfId="37965"/>
    <cellStyle name="链接单元格 18 9" xfId="37966"/>
    <cellStyle name="链接单元格 18 9 2" xfId="37967"/>
    <cellStyle name="链接单元格 18 9 3" xfId="37968"/>
    <cellStyle name="链接单元格 19" xfId="4803"/>
    <cellStyle name="链接单元格 2" xfId="37969"/>
    <cellStyle name="链接单元格 2 10" xfId="16390"/>
    <cellStyle name="链接单元格 2 11" xfId="16398"/>
    <cellStyle name="链接单元格 2 12" xfId="37970"/>
    <cellStyle name="链接单元格 2 13" xfId="37971"/>
    <cellStyle name="链接单元格 2 14" xfId="34739"/>
    <cellStyle name="链接单元格 2 15" xfId="34743"/>
    <cellStyle name="链接单元格 2 16" xfId="25656"/>
    <cellStyle name="链接单元格 2 17" xfId="34745"/>
    <cellStyle name="链接单元格 2 17 10" xfId="19739"/>
    <cellStyle name="链接单元格 2 17 11" xfId="19741"/>
    <cellStyle name="链接单元格 2 17 12" xfId="37972"/>
    <cellStyle name="链接单元格 2 17 13" xfId="37973"/>
    <cellStyle name="链接单元格 2 17 14" xfId="37974"/>
    <cellStyle name="链接单元格 2 17 2" xfId="37975"/>
    <cellStyle name="链接单元格 2 17 3" xfId="37976"/>
    <cellStyle name="链接单元格 2 17 4" xfId="37977"/>
    <cellStyle name="链接单元格 2 17 5" xfId="37978"/>
    <cellStyle name="链接单元格 2 17 5 10" xfId="6847"/>
    <cellStyle name="链接单元格 2 17 5 11" xfId="6850"/>
    <cellStyle name="链接单元格 2 17 5 2" xfId="37979"/>
    <cellStyle name="链接单元格 2 17 5 2 2" xfId="37980"/>
    <cellStyle name="链接单元格 2 17 5 2 2 2" xfId="24168"/>
    <cellStyle name="链接单元格 2 17 5 2 2 3" xfId="24170"/>
    <cellStyle name="链接单元格 2 17 5 2 3" xfId="23067"/>
    <cellStyle name="链接单元格 2 17 5 2 4" xfId="23069"/>
    <cellStyle name="链接单元格 2 17 5 2 5" xfId="37981"/>
    <cellStyle name="链接单元格 2 17 5 2 6" xfId="37982"/>
    <cellStyle name="链接单元格 2 17 5 2 7" xfId="542"/>
    <cellStyle name="链接单元格 2 17 5 2 8" xfId="574"/>
    <cellStyle name="链接单元格 2 17 5 3" xfId="37983"/>
    <cellStyle name="链接单元格 2 17 5 4" xfId="37984"/>
    <cellStyle name="链接单元格 2 17 5 5" xfId="37985"/>
    <cellStyle name="链接单元格 2 17 5 6" xfId="37986"/>
    <cellStyle name="链接单元格 2 17 5 6 2" xfId="11078"/>
    <cellStyle name="链接单元格 2 17 5 6 3" xfId="333"/>
    <cellStyle name="链接单元格 2 17 5 7" xfId="37987"/>
    <cellStyle name="链接单元格 2 17 5 8" xfId="37988"/>
    <cellStyle name="链接单元格 2 17 5 9" xfId="37989"/>
    <cellStyle name="链接单元格 2 17 6" xfId="37990"/>
    <cellStyle name="链接单元格 2 17 6 2" xfId="28965"/>
    <cellStyle name="链接单元格 2 17 6 2 2" xfId="25678"/>
    <cellStyle name="链接单元格 2 17 6 2 3" xfId="37991"/>
    <cellStyle name="链接单元格 2 17 6 3" xfId="28967"/>
    <cellStyle name="链接单元格 2 17 6 4" xfId="28969"/>
    <cellStyle name="链接单元格 2 17 6 5" xfId="14956"/>
    <cellStyle name="链接单元格 2 17 6 6" xfId="14962"/>
    <cellStyle name="链接单元格 2 17 6 7" xfId="37992"/>
    <cellStyle name="链接单元格 2 17 6 8" xfId="37993"/>
    <cellStyle name="链接单元格 2 17 7" xfId="37994"/>
    <cellStyle name="链接单元格 2 17 8" xfId="37995"/>
    <cellStyle name="链接单元格 2 17 9" xfId="37996"/>
    <cellStyle name="链接单元格 2 17 9 2" xfId="37997"/>
    <cellStyle name="链接单元格 2 17 9 3" xfId="25763"/>
    <cellStyle name="链接单元格 2 18" xfId="10341"/>
    <cellStyle name="链接单元格 2 18 10" xfId="11285"/>
    <cellStyle name="链接单元格 2 18 11" xfId="11289"/>
    <cellStyle name="链接单元格 2 18 12" xfId="37998"/>
    <cellStyle name="链接单元格 2 18 13" xfId="37999"/>
    <cellStyle name="链接单元格 2 18 14" xfId="32715"/>
    <cellStyle name="链接单元格 2 18 2" xfId="35256"/>
    <cellStyle name="链接单元格 2 18 3" xfId="38000"/>
    <cellStyle name="链接单元格 2 18 4" xfId="38001"/>
    <cellStyle name="链接单元格 2 18 5" xfId="38002"/>
    <cellStyle name="链接单元格 2 18 5 10" xfId="38003"/>
    <cellStyle name="链接单元格 2 18 5 11" xfId="38004"/>
    <cellStyle name="链接单元格 2 18 5 2" xfId="38005"/>
    <cellStyle name="链接单元格 2 18 5 2 2" xfId="38006"/>
    <cellStyle name="链接单元格 2 18 5 2 2 2" xfId="12804"/>
    <cellStyle name="链接单元格 2 18 5 2 2 3" xfId="38007"/>
    <cellStyle name="链接单元格 2 18 5 2 3" xfId="15021"/>
    <cellStyle name="链接单元格 2 18 5 2 4" xfId="15023"/>
    <cellStyle name="链接单元格 2 18 5 2 5" xfId="15027"/>
    <cellStyle name="链接单元格 2 18 5 2 6" xfId="15031"/>
    <cellStyle name="链接单元格 2 18 5 2 7" xfId="15045"/>
    <cellStyle name="链接单元格 2 18 5 2 8" xfId="4117"/>
    <cellStyle name="链接单元格 2 18 5 3" xfId="38008"/>
    <cellStyle name="链接单元格 2 18 5 4" xfId="38009"/>
    <cellStyle name="链接单元格 2 18 5 5" xfId="38010"/>
    <cellStyle name="链接单元格 2 18 5 6" xfId="38011"/>
    <cellStyle name="链接单元格 2 18 5 6 2" xfId="38012"/>
    <cellStyle name="链接单元格 2 18 5 6 3" xfId="38013"/>
    <cellStyle name="链接单元格 2 18 5 7" xfId="38014"/>
    <cellStyle name="链接单元格 2 18 5 8" xfId="38015"/>
    <cellStyle name="链接单元格 2 18 5 9" xfId="38016"/>
    <cellStyle name="链接单元格 2 18 6" xfId="38017"/>
    <cellStyle name="链接单元格 2 18 6 2" xfId="28985"/>
    <cellStyle name="链接单元格 2 18 6 2 2" xfId="38018"/>
    <cellStyle name="链接单元格 2 18 6 2 3" xfId="38019"/>
    <cellStyle name="链接单元格 2 18 6 3" xfId="28987"/>
    <cellStyle name="链接单元格 2 18 6 4" xfId="28989"/>
    <cellStyle name="链接单元格 2 18 6 5" xfId="28991"/>
    <cellStyle name="链接单元格 2 18 6 6" xfId="28993"/>
    <cellStyle name="链接单元格 2 18 6 7" xfId="38020"/>
    <cellStyle name="链接单元格 2 18 6 8" xfId="38021"/>
    <cellStyle name="链接单元格 2 18 7" xfId="38022"/>
    <cellStyle name="链接单元格 2 18 8" xfId="38023"/>
    <cellStyle name="链接单元格 2 18 9" xfId="38024"/>
    <cellStyle name="链接单元格 2 18 9 2" xfId="1688"/>
    <cellStyle name="链接单元格 2 18 9 3" xfId="1742"/>
    <cellStyle name="链接单元格 2 19" xfId="10345"/>
    <cellStyle name="链接单元格 2 19 10" xfId="38025"/>
    <cellStyle name="链接单元格 2 19 11" xfId="18299"/>
    <cellStyle name="链接单元格 2 19 12" xfId="38026"/>
    <cellStyle name="链接单元格 2 19 13" xfId="38027"/>
    <cellStyle name="链接单元格 2 19 14" xfId="38028"/>
    <cellStyle name="链接单元格 2 19 2" xfId="38030"/>
    <cellStyle name="链接单元格 2 19 3" xfId="38032"/>
    <cellStyle name="链接单元格 2 19 4" xfId="30464"/>
    <cellStyle name="链接单元格 2 19 5" xfId="30467"/>
    <cellStyle name="链接单元格 2 19 5 10" xfId="38033"/>
    <cellStyle name="链接单元格 2 19 5 11" xfId="38034"/>
    <cellStyle name="链接单元格 2 19 5 2" xfId="38035"/>
    <cellStyle name="链接单元格 2 19 5 2 2" xfId="19963"/>
    <cellStyle name="链接单元格 2 19 5 2 2 2" xfId="38036"/>
    <cellStyle name="链接单元格 2 19 5 2 2 3" xfId="24702"/>
    <cellStyle name="链接单元格 2 19 5 2 3" xfId="19967"/>
    <cellStyle name="链接单元格 2 19 5 2 4" xfId="19973"/>
    <cellStyle name="链接单元格 2 19 5 2 5" xfId="19979"/>
    <cellStyle name="链接单元格 2 19 5 2 6" xfId="19983"/>
    <cellStyle name="链接单元格 2 19 5 2 7" xfId="24081"/>
    <cellStyle name="链接单元格 2 19 5 2 8" xfId="24086"/>
    <cellStyle name="链接单元格 2 19 5 3" xfId="38037"/>
    <cellStyle name="链接单元格 2 19 5 4" xfId="38038"/>
    <cellStyle name="链接单元格 2 19 5 5" xfId="38039"/>
    <cellStyle name="链接单元格 2 19 5 6" xfId="38040"/>
    <cellStyle name="链接单元格 2 19 5 6 2" xfId="32787"/>
    <cellStyle name="链接单元格 2 19 5 6 3" xfId="32789"/>
    <cellStyle name="链接单元格 2 19 5 7" xfId="38041"/>
    <cellStyle name="链接单元格 2 19 5 8" xfId="38042"/>
    <cellStyle name="链接单元格 2 19 5 9" xfId="38043"/>
    <cellStyle name="链接单元格 2 19 6" xfId="1978"/>
    <cellStyle name="链接单元格 2 19 6 2" xfId="38044"/>
    <cellStyle name="链接单元格 2 19 6 2 2" xfId="38045"/>
    <cellStyle name="链接单元格 2 19 6 2 3" xfId="38046"/>
    <cellStyle name="链接单元格 2 19 6 3" xfId="38047"/>
    <cellStyle name="链接单元格 2 19 6 4" xfId="38048"/>
    <cellStyle name="链接单元格 2 19 6 5" xfId="38049"/>
    <cellStyle name="链接单元格 2 19 6 6" xfId="12211"/>
    <cellStyle name="链接单元格 2 19 6 7" xfId="4646"/>
    <cellStyle name="链接单元格 2 19 6 8" xfId="4654"/>
    <cellStyle name="链接单元格 2 19 7" xfId="1984"/>
    <cellStyle name="链接单元格 2 19 8" xfId="2004"/>
    <cellStyle name="链接单元格 2 19 9" xfId="2217"/>
    <cellStyle name="链接单元格 2 19 9 2" xfId="24971"/>
    <cellStyle name="链接单元格 2 19 9 3" xfId="24973"/>
    <cellStyle name="链接单元格 2 2" xfId="16635"/>
    <cellStyle name="链接单元格 2 2 10" xfId="38050"/>
    <cellStyle name="链接单元格 2 2 11" xfId="38051"/>
    <cellStyle name="链接单元格 2 2 12" xfId="38052"/>
    <cellStyle name="链接单元格 2 2 13" xfId="38053"/>
    <cellStyle name="链接单元格 2 2 14" xfId="38054"/>
    <cellStyle name="链接单元格 2 2 2" xfId="38055"/>
    <cellStyle name="链接单元格 2 2 3" xfId="38056"/>
    <cellStyle name="链接单元格 2 2 4" xfId="38057"/>
    <cellStyle name="链接单元格 2 2 5" xfId="38058"/>
    <cellStyle name="链接单元格 2 2 6" xfId="38059"/>
    <cellStyle name="链接单元格 2 2 7" xfId="38060"/>
    <cellStyle name="链接单元格 2 2 8" xfId="38061"/>
    <cellStyle name="链接单元格 2 2 9" xfId="35633"/>
    <cellStyle name="链接单元格 2 20" xfId="34742"/>
    <cellStyle name="链接单元格 2 20 10" xfId="565"/>
    <cellStyle name="链接单元格 2 20 11" xfId="410"/>
    <cellStyle name="链接单元格 2 20 12" xfId="38062"/>
    <cellStyle name="链接单元格 2 20 13" xfId="38063"/>
    <cellStyle name="链接单元格 2 20 14" xfId="38064"/>
    <cellStyle name="链接单元格 2 20 2" xfId="38065"/>
    <cellStyle name="链接单元格 2 20 3" xfId="38066"/>
    <cellStyle name="链接单元格 2 20 4" xfId="38067"/>
    <cellStyle name="链接单元格 2 20 5" xfId="38068"/>
    <cellStyle name="链接单元格 2 20 5 10" xfId="14051"/>
    <cellStyle name="链接单元格 2 20 5 11" xfId="14053"/>
    <cellStyle name="链接单元格 2 20 5 2" xfId="38069"/>
    <cellStyle name="链接单元格 2 20 5 2 2" xfId="38070"/>
    <cellStyle name="链接单元格 2 20 5 2 2 2" xfId="38071"/>
    <cellStyle name="链接单元格 2 20 5 2 2 3" xfId="38072"/>
    <cellStyle name="链接单元格 2 20 5 2 3" xfId="38073"/>
    <cellStyle name="链接单元格 2 20 5 2 4" xfId="38074"/>
    <cellStyle name="链接单元格 2 20 5 2 5" xfId="38075"/>
    <cellStyle name="链接单元格 2 20 5 2 6" xfId="12184"/>
    <cellStyle name="链接单元格 2 20 5 2 7" xfId="13035"/>
    <cellStyle name="链接单元格 2 20 5 2 8" xfId="33569"/>
    <cellStyle name="链接单元格 2 20 5 3" xfId="38076"/>
    <cellStyle name="链接单元格 2 20 5 4" xfId="38077"/>
    <cellStyle name="链接单元格 2 20 5 5" xfId="38078"/>
    <cellStyle name="链接单元格 2 20 5 6" xfId="38079"/>
    <cellStyle name="链接单元格 2 20 5 6 2" xfId="38080"/>
    <cellStyle name="链接单元格 2 20 5 6 3" xfId="38081"/>
    <cellStyle name="链接单元格 2 20 5 7" xfId="38082"/>
    <cellStyle name="链接单元格 2 20 5 8" xfId="7835"/>
    <cellStyle name="链接单元格 2 20 5 9" xfId="7845"/>
    <cellStyle name="链接单元格 2 20 6" xfId="38083"/>
    <cellStyle name="链接单元格 2 20 6 2" xfId="38084"/>
    <cellStyle name="链接单元格 2 20 6 2 2" xfId="38085"/>
    <cellStyle name="链接单元格 2 20 6 2 3" xfId="38086"/>
    <cellStyle name="链接单元格 2 20 6 3" xfId="38087"/>
    <cellStyle name="链接单元格 2 20 6 4" xfId="38088"/>
    <cellStyle name="链接单元格 2 20 6 5" xfId="38089"/>
    <cellStyle name="链接单元格 2 20 6 6" xfId="12454"/>
    <cellStyle name="链接单元格 2 20 6 7" xfId="19445"/>
    <cellStyle name="链接单元格 2 20 6 8" xfId="19447"/>
    <cellStyle name="链接单元格 2 20 7" xfId="38090"/>
    <cellStyle name="链接单元格 2 20 8" xfId="38091"/>
    <cellStyle name="链接单元格 2 20 9" xfId="38092"/>
    <cellStyle name="链接单元格 2 20 9 2" xfId="38093"/>
    <cellStyle name="链接单元格 2 20 9 3" xfId="17123"/>
    <cellStyle name="链接单元格 2 3" xfId="16657"/>
    <cellStyle name="链接单元格 2 3 10" xfId="24080"/>
    <cellStyle name="链接单元格 2 3 11" xfId="24085"/>
    <cellStyle name="链接单元格 2 3 12" xfId="38094"/>
    <cellStyle name="链接单元格 2 3 13" xfId="38095"/>
    <cellStyle name="链接单元格 2 3 14" xfId="38096"/>
    <cellStyle name="链接单元格 2 3 2" xfId="2518"/>
    <cellStyle name="链接单元格 2 3 3" xfId="5125"/>
    <cellStyle name="链接单元格 2 3 4" xfId="10725"/>
    <cellStyle name="链接单元格 2 3 5" xfId="24091"/>
    <cellStyle name="链接单元格 2 3 6" xfId="24094"/>
    <cellStyle name="链接单元格 2 3 7" xfId="24098"/>
    <cellStyle name="链接单元格 2 3 8" xfId="24101"/>
    <cellStyle name="链接单元格 2 3 9" xfId="24104"/>
    <cellStyle name="链接单元格 2 4" xfId="6940"/>
    <cellStyle name="链接单元格 2 4 10" xfId="25517"/>
    <cellStyle name="链接单元格 2 4 11" xfId="38097"/>
    <cellStyle name="链接单元格 2 4 12" xfId="38098"/>
    <cellStyle name="链接单元格 2 4 13" xfId="38099"/>
    <cellStyle name="链接单元格 2 4 14" xfId="38100"/>
    <cellStyle name="链接单元格 2 4 2" xfId="2531"/>
    <cellStyle name="链接单元格 2 4 3" xfId="2551"/>
    <cellStyle name="链接单元格 2 4 4" xfId="24109"/>
    <cellStyle name="链接单元格 2 4 5" xfId="24111"/>
    <cellStyle name="链接单元格 2 4 6" xfId="24113"/>
    <cellStyle name="链接单元格 2 4 7" xfId="24116"/>
    <cellStyle name="链接单元格 2 4 8" xfId="24118"/>
    <cellStyle name="链接单元格 2 4 9" xfId="38101"/>
    <cellStyle name="链接单元格 2 5" xfId="6945"/>
    <cellStyle name="链接单元格 2 6" xfId="6950"/>
    <cellStyle name="链接单元格 2 7" xfId="6217"/>
    <cellStyle name="链接单元格 2 8" xfId="38102"/>
    <cellStyle name="链接单元格 2 9" xfId="38103"/>
    <cellStyle name="链接单元格 3" xfId="38104"/>
    <cellStyle name="链接单元格 3 10" xfId="38105"/>
    <cellStyle name="链接单元格 3 11" xfId="38106"/>
    <cellStyle name="链接单元格 3 12" xfId="38107"/>
    <cellStyle name="链接单元格 3 13" xfId="38108"/>
    <cellStyle name="链接单元格 3 14" xfId="38109"/>
    <cellStyle name="链接单元格 3 15" xfId="38111"/>
    <cellStyle name="链接单元格 3 16" xfId="38112"/>
    <cellStyle name="链接单元格 3 17" xfId="38113"/>
    <cellStyle name="链接单元格 3 17 10" xfId="27013"/>
    <cellStyle name="链接单元格 3 17 11" xfId="38114"/>
    <cellStyle name="链接单元格 3 17 12" xfId="33575"/>
    <cellStyle name="链接单元格 3 17 13" xfId="33577"/>
    <cellStyle name="链接单元格 3 17 14" xfId="33579"/>
    <cellStyle name="链接单元格 3 17 2" xfId="38115"/>
    <cellStyle name="链接单元格 3 17 2 2" xfId="23670"/>
    <cellStyle name="链接单元格 3 17 3" xfId="38116"/>
    <cellStyle name="链接单元格 3 17 4" xfId="38117"/>
    <cellStyle name="链接单元格 3 17 5" xfId="38118"/>
    <cellStyle name="链接单元格 3 17 5 10" xfId="7402"/>
    <cellStyle name="链接单元格 3 17 5 11" xfId="7414"/>
    <cellStyle name="链接单元格 3 17 5 2" xfId="35324"/>
    <cellStyle name="链接单元格 3 17 5 2 2" xfId="8695"/>
    <cellStyle name="链接单元格 3 17 5 2 2 2" xfId="38119"/>
    <cellStyle name="链接单元格 3 17 5 2 2 3" xfId="38120"/>
    <cellStyle name="链接单元格 3 17 5 2 3" xfId="23200"/>
    <cellStyle name="链接单元格 3 17 5 2 4" xfId="23202"/>
    <cellStyle name="链接单元格 3 17 5 2 5" xfId="38121"/>
    <cellStyle name="链接单元格 3 17 5 2 6" xfId="38122"/>
    <cellStyle name="链接单元格 3 17 5 2 7" xfId="36093"/>
    <cellStyle name="链接单元格 3 17 5 2 8" xfId="36095"/>
    <cellStyle name="链接单元格 3 17 5 3" xfId="35326"/>
    <cellStyle name="链接单元格 3 17 5 4" xfId="38123"/>
    <cellStyle name="链接单元格 3 17 5 5" xfId="38124"/>
    <cellStyle name="链接单元格 3 17 5 6" xfId="38125"/>
    <cellStyle name="链接单元格 3 17 5 6 2" xfId="38126"/>
    <cellStyle name="链接单元格 3 17 5 6 3" xfId="38127"/>
    <cellStyle name="链接单元格 3 17 5 7" xfId="38128"/>
    <cellStyle name="链接单元格 3 17 5 8" xfId="38129"/>
    <cellStyle name="链接单元格 3 17 5 9" xfId="38130"/>
    <cellStyle name="链接单元格 3 17 6" xfId="38131"/>
    <cellStyle name="链接单元格 3 17 6 2" xfId="2243"/>
    <cellStyle name="链接单元格 3 17 6 2 2" xfId="38132"/>
    <cellStyle name="链接单元格 3 17 6 2 3" xfId="38133"/>
    <cellStyle name="链接单元格 3 17 6 3" xfId="2265"/>
    <cellStyle name="链接单元格 3 17 6 4" xfId="2280"/>
    <cellStyle name="链接单元格 3 17 6 5" xfId="2292"/>
    <cellStyle name="链接单元格 3 17 6 6" xfId="828"/>
    <cellStyle name="链接单元格 3 17 6 7" xfId="38134"/>
    <cellStyle name="链接单元格 3 17 6 8" xfId="843"/>
    <cellStyle name="链接单元格 3 17 7" xfId="38135"/>
    <cellStyle name="链接单元格 3 17 8" xfId="38136"/>
    <cellStyle name="链接单元格 3 17 9" xfId="38137"/>
    <cellStyle name="链接单元格 3 17 9 2" xfId="38138"/>
    <cellStyle name="链接单元格 3 17 9 3" xfId="38139"/>
    <cellStyle name="链接单元格 3 18" xfId="38140"/>
    <cellStyle name="链接单元格 3 18 10" xfId="38141"/>
    <cellStyle name="链接单元格 3 18 11" xfId="38142"/>
    <cellStyle name="链接单元格 3 18 12" xfId="38143"/>
    <cellStyle name="链接单元格 3 18 13" xfId="6797"/>
    <cellStyle name="链接单元格 3 18 14" xfId="6906"/>
    <cellStyle name="链接单元格 3 18 2" xfId="38144"/>
    <cellStyle name="链接单元格 3 18 3" xfId="38145"/>
    <cellStyle name="链接单元格 3 18 4" xfId="38146"/>
    <cellStyle name="链接单元格 3 18 5" xfId="38147"/>
    <cellStyle name="链接单元格 3 18 5 10" xfId="38148"/>
    <cellStyle name="链接单元格 3 18 5 11" xfId="12208"/>
    <cellStyle name="链接单元格 3 18 5 2" xfId="15586"/>
    <cellStyle name="链接单元格 3 18 5 2 2" xfId="20410"/>
    <cellStyle name="链接单元格 3 18 5 2 2 2" xfId="20247"/>
    <cellStyle name="链接单元格 3 18 5 2 2 3" xfId="2449"/>
    <cellStyle name="链接单元格 3 18 5 2 3" xfId="20425"/>
    <cellStyle name="链接单元格 3 18 5 2 4" xfId="20427"/>
    <cellStyle name="链接单元格 3 18 5 2 5" xfId="17121"/>
    <cellStyle name="链接单元格 3 18 5 2 6" xfId="17125"/>
    <cellStyle name="链接单元格 3 18 5 2 7" xfId="20431"/>
    <cellStyle name="链接单元格 3 18 5 2 8" xfId="20434"/>
    <cellStyle name="链接单元格 3 18 5 3" xfId="15589"/>
    <cellStyle name="链接单元格 3 18 5 4" xfId="15593"/>
    <cellStyle name="链接单元格 3 18 5 5" xfId="15597"/>
    <cellStyle name="链接单元格 3 18 5 6" xfId="16570"/>
    <cellStyle name="链接单元格 3 18 5 6 2" xfId="20452"/>
    <cellStyle name="链接单元格 3 18 5 6 3" xfId="20454"/>
    <cellStyle name="链接单元格 3 18 5 7" xfId="36488"/>
    <cellStyle name="链接单元格 3 18 5 8" xfId="36490"/>
    <cellStyle name="链接单元格 3 18 5 9" xfId="38149"/>
    <cellStyle name="链接单元格 3 18 6" xfId="38150"/>
    <cellStyle name="链接单元格 3 18 6 2" xfId="2630"/>
    <cellStyle name="链接单元格 3 18 6 2 2" xfId="20464"/>
    <cellStyle name="链接单元格 3 18 6 2 3" xfId="20471"/>
    <cellStyle name="链接单元格 3 18 6 3" xfId="9725"/>
    <cellStyle name="链接单元格 3 18 6 4" xfId="15619"/>
    <cellStyle name="链接单元格 3 18 6 5" xfId="15623"/>
    <cellStyle name="链接单元格 3 18 6 6" xfId="20503"/>
    <cellStyle name="链接单元格 3 18 6 7" xfId="21113"/>
    <cellStyle name="链接单元格 3 18 6 8" xfId="21115"/>
    <cellStyle name="链接单元格 3 18 7" xfId="38151"/>
    <cellStyle name="链接单元格 3 18 8" xfId="38152"/>
    <cellStyle name="链接单元格 3 18 9" xfId="38153"/>
    <cellStyle name="链接单元格 3 18 9 2" xfId="38154"/>
    <cellStyle name="链接单元格 3 18 9 3" xfId="38155"/>
    <cellStyle name="链接单元格 3 19" xfId="38156"/>
    <cellStyle name="链接单元格 3 19 10" xfId="38157"/>
    <cellStyle name="链接单元格 3 19 11" xfId="38158"/>
    <cellStyle name="链接单元格 3 19 12" xfId="38159"/>
    <cellStyle name="链接单元格 3 19 13" xfId="38160"/>
    <cellStyle name="链接单元格 3 19 14" xfId="38161"/>
    <cellStyle name="链接单元格 3 19 2" xfId="38162"/>
    <cellStyle name="链接单元格 3 19 3" xfId="38163"/>
    <cellStyle name="链接单元格 3 19 4" xfId="23419"/>
    <cellStyle name="链接单元格 3 19 5" xfId="5617"/>
    <cellStyle name="链接单元格 3 19 5 10" xfId="38164"/>
    <cellStyle name="链接单元格 3 19 5 11" xfId="38165"/>
    <cellStyle name="链接单元格 3 19 5 2" xfId="38166"/>
    <cellStyle name="链接单元格 3 19 5 2 2" xfId="3032"/>
    <cellStyle name="链接单元格 3 19 5 2 2 2" xfId="5782"/>
    <cellStyle name="链接单元格 3 19 5 2 2 3" xfId="5810"/>
    <cellStyle name="链接单元格 3 19 5 2 3" xfId="3042"/>
    <cellStyle name="链接单元格 3 19 5 2 4" xfId="5845"/>
    <cellStyle name="链接单元格 3 19 5 2 5" xfId="5857"/>
    <cellStyle name="链接单元格 3 19 5 2 6" xfId="20835"/>
    <cellStyle name="链接单元格 3 19 5 2 7" xfId="23509"/>
    <cellStyle name="链接单元格 3 19 5 2 8" xfId="23112"/>
    <cellStyle name="链接单元格 3 19 5 3" xfId="38167"/>
    <cellStyle name="链接单元格 3 19 5 4" xfId="38168"/>
    <cellStyle name="链接单元格 3 19 5 5" xfId="38169"/>
    <cellStyle name="链接单元格 3 19 5 6" xfId="38170"/>
    <cellStyle name="链接单元格 3 19 5 6 2" xfId="38171"/>
    <cellStyle name="链接单元格 3 19 5 6 3" xfId="38172"/>
    <cellStyle name="链接单元格 3 19 5 7" xfId="38173"/>
    <cellStyle name="链接单元格 3 19 5 8" xfId="38174"/>
    <cellStyle name="链接单元格 3 19 5 9" xfId="38175"/>
    <cellStyle name="链接单元格 3 19 6" xfId="38176"/>
    <cellStyle name="链接单元格 3 19 6 2" xfId="16452"/>
    <cellStyle name="链接单元格 3 19 6 2 2" xfId="38177"/>
    <cellStyle name="链接单元格 3 19 6 2 3" xfId="25965"/>
    <cellStyle name="链接单元格 3 19 6 3" xfId="3958"/>
    <cellStyle name="链接单元格 3 19 6 4" xfId="3983"/>
    <cellStyle name="链接单元格 3 19 6 5" xfId="4915"/>
    <cellStyle name="链接单元格 3 19 6 6" xfId="5217"/>
    <cellStyle name="链接单元格 3 19 6 7" xfId="2839"/>
    <cellStyle name="链接单元格 3 19 6 8" xfId="2860"/>
    <cellStyle name="链接单元格 3 19 7" xfId="38178"/>
    <cellStyle name="链接单元格 3 19 8" xfId="5635"/>
    <cellStyle name="链接单元格 3 19 9" xfId="3030"/>
    <cellStyle name="链接单元格 3 19 9 2" xfId="25193"/>
    <cellStyle name="链接单元格 3 19 9 3" xfId="25196"/>
    <cellStyle name="链接单元格 3 2" xfId="38179"/>
    <cellStyle name="链接单元格 3 2 10" xfId="11721"/>
    <cellStyle name="链接单元格 3 2 11" xfId="11729"/>
    <cellStyle name="链接单元格 3 2 12" xfId="38180"/>
    <cellStyle name="链接单元格 3 2 13" xfId="38181"/>
    <cellStyle name="链接单元格 3 2 14" xfId="38182"/>
    <cellStyle name="链接单元格 3 2 2" xfId="29273"/>
    <cellStyle name="链接单元格 3 2 3" xfId="29276"/>
    <cellStyle name="链接单元格 3 2 4" xfId="29278"/>
    <cellStyle name="链接单元格 3 2 5" xfId="16691"/>
    <cellStyle name="链接单元格 3 2 6" xfId="16697"/>
    <cellStyle name="链接单元格 3 2 7" xfId="34883"/>
    <cellStyle name="链接单元格 3 2 8" xfId="34885"/>
    <cellStyle name="链接单元格 3 2 9" xfId="34887"/>
    <cellStyle name="链接单元格 3 20" xfId="38110"/>
    <cellStyle name="链接单元格 3 20 10" xfId="23709"/>
    <cellStyle name="链接单元格 3 20 11" xfId="23713"/>
    <cellStyle name="链接单元格 3 20 12" xfId="38183"/>
    <cellStyle name="链接单元格 3 20 13" xfId="38184"/>
    <cellStyle name="链接单元格 3 20 14" xfId="38185"/>
    <cellStyle name="链接单元格 3 20 2" xfId="38186"/>
    <cellStyle name="链接单元格 3 20 3" xfId="38187"/>
    <cellStyle name="链接单元格 3 20 4" xfId="38188"/>
    <cellStyle name="链接单元格 3 20 5" xfId="38189"/>
    <cellStyle name="链接单元格 3 20 5 10" xfId="38190"/>
    <cellStyle name="链接单元格 3 20 5 11" xfId="38191"/>
    <cellStyle name="链接单元格 3 20 5 2" xfId="35266"/>
    <cellStyle name="链接单元格 3 20 5 2 2" xfId="38192"/>
    <cellStyle name="链接单元格 3 20 5 2 2 2" xfId="38193"/>
    <cellStyle name="链接单元格 3 20 5 2 2 3" xfId="38194"/>
    <cellStyle name="链接单元格 3 20 5 2 3" xfId="38195"/>
    <cellStyle name="链接单元格 3 20 5 2 4" xfId="38196"/>
    <cellStyle name="链接单元格 3 20 5 2 5" xfId="38197"/>
    <cellStyle name="链接单元格 3 20 5 2 6" xfId="38198"/>
    <cellStyle name="链接单元格 3 20 5 2 7" xfId="38199"/>
    <cellStyle name="链接单元格 3 20 5 2 8" xfId="32243"/>
    <cellStyle name="链接单元格 3 20 5 3" xfId="35268"/>
    <cellStyle name="链接单元格 3 20 5 4" xfId="38029"/>
    <cellStyle name="链接单元格 3 20 5 5" xfId="38031"/>
    <cellStyle name="链接单元格 3 20 5 6" xfId="30463"/>
    <cellStyle name="链接单元格 3 20 5 6 2" xfId="38200"/>
    <cellStyle name="链接单元格 3 20 5 6 3" xfId="38201"/>
    <cellStyle name="链接单元格 3 20 5 7" xfId="30466"/>
    <cellStyle name="链接单元格 3 20 5 8" xfId="1977"/>
    <cellStyle name="链接单元格 3 20 5 9" xfId="1983"/>
    <cellStyle name="链接单元格 3 20 6" xfId="38202"/>
    <cellStyle name="链接单元格 3 20 6 2" xfId="38203"/>
    <cellStyle name="链接单元格 3 20 6 2 2" xfId="38204"/>
    <cellStyle name="链接单元格 3 20 6 2 3" xfId="38205"/>
    <cellStyle name="链接单元格 3 20 6 3" xfId="38206"/>
    <cellStyle name="链接单元格 3 20 6 4" xfId="38207"/>
    <cellStyle name="链接单元格 3 20 6 5" xfId="38208"/>
    <cellStyle name="链接单元格 3 20 6 6" xfId="38209"/>
    <cellStyle name="链接单元格 3 20 6 7" xfId="38210"/>
    <cellStyle name="链接单元格 3 20 6 8" xfId="38211"/>
    <cellStyle name="链接单元格 3 20 7" xfId="38212"/>
    <cellStyle name="链接单元格 3 20 8" xfId="38213"/>
    <cellStyle name="链接单元格 3 20 9" xfId="38214"/>
    <cellStyle name="链接单元格 3 20 9 2" xfId="38215"/>
    <cellStyle name="链接单元格 3 20 9 3" xfId="38216"/>
    <cellStyle name="链接单元格 3 3" xfId="38217"/>
    <cellStyle name="链接单元格 3 3 10" xfId="38218"/>
    <cellStyle name="链接单元格 3 3 11" xfId="38219"/>
    <cellStyle name="链接单元格 3 3 12" xfId="38220"/>
    <cellStyle name="链接单元格 3 3 13" xfId="38221"/>
    <cellStyle name="链接单元格 3 3 14" xfId="38222"/>
    <cellStyle name="链接单元格 3 3 2" xfId="38223"/>
    <cellStyle name="链接单元格 3 3 3" xfId="38224"/>
    <cellStyle name="链接单元格 3 3 4" xfId="38225"/>
    <cellStyle name="链接单元格 3 3 5" xfId="38226"/>
    <cellStyle name="链接单元格 3 3 6" xfId="38227"/>
    <cellStyle name="链接单元格 3 3 7" xfId="38228"/>
    <cellStyle name="链接单元格 3 3 8" xfId="38229"/>
    <cellStyle name="链接单元格 3 3 9" xfId="38230"/>
    <cellStyle name="链接单元格 3 4" xfId="38231"/>
    <cellStyle name="链接单元格 3 4 10" xfId="38232"/>
    <cellStyle name="链接单元格 3 4 11" xfId="38233"/>
    <cellStyle name="链接单元格 3 4 12" xfId="38234"/>
    <cellStyle name="链接单元格 3 4 13" xfId="38235"/>
    <cellStyle name="链接单元格 3 4 14" xfId="1709"/>
    <cellStyle name="链接单元格 3 4 2" xfId="26378"/>
    <cellStyle name="链接单元格 3 4 3" xfId="26380"/>
    <cellStyle name="链接单元格 3 4 4" xfId="26382"/>
    <cellStyle name="链接单元格 3 4 5" xfId="26384"/>
    <cellStyle name="链接单元格 3 4 6" xfId="38236"/>
    <cellStyle name="链接单元格 3 4 7" xfId="38237"/>
    <cellStyle name="链接单元格 3 4 8" xfId="38238"/>
    <cellStyle name="链接单元格 3 4 9" xfId="38239"/>
    <cellStyle name="链接单元格 3 5" xfId="38240"/>
    <cellStyle name="链接单元格 3 6" xfId="38241"/>
    <cellStyle name="链接单元格 3 7" xfId="38242"/>
    <cellStyle name="链接单元格 3 8" xfId="38243"/>
    <cellStyle name="链接单元格 3 9" xfId="38244"/>
    <cellStyle name="链接单元格 4" xfId="38245"/>
    <cellStyle name="链接单元格 4 10" xfId="38246"/>
    <cellStyle name="链接单元格 4 11" xfId="38247"/>
    <cellStyle name="链接单元格 4 12" xfId="38248"/>
    <cellStyle name="链接单元格 4 13" xfId="38249"/>
    <cellStyle name="链接单元格 4 14" xfId="38250"/>
    <cellStyle name="链接单元格 4 15" xfId="38252"/>
    <cellStyle name="链接单元格 4 16" xfId="22267"/>
    <cellStyle name="链接单元格 4 17" xfId="22269"/>
    <cellStyle name="链接单元格 4 17 10" xfId="38253"/>
    <cellStyle name="链接单元格 4 17 11" xfId="38254"/>
    <cellStyle name="链接单元格 4 17 12" xfId="38255"/>
    <cellStyle name="链接单元格 4 17 13" xfId="38256"/>
    <cellStyle name="链接单元格 4 17 14" xfId="38257"/>
    <cellStyle name="链接单元格 4 17 2" xfId="38258"/>
    <cellStyle name="链接单元格 4 17 3" xfId="38259"/>
    <cellStyle name="链接单元格 4 17 4" xfId="38260"/>
    <cellStyle name="链接单元格 4 17 5" xfId="38261"/>
    <cellStyle name="链接单元格 4 17 5 10" xfId="38262"/>
    <cellStyle name="链接单元格 4 17 5 11" xfId="38263"/>
    <cellStyle name="链接单元格 4 17 5 2" xfId="38264"/>
    <cellStyle name="链接单元格 4 17 5 2 2" xfId="27244"/>
    <cellStyle name="链接单元格 4 17 5 2 2 2" xfId="38265"/>
    <cellStyle name="链接单元格 4 17 5 2 2 3" xfId="38266"/>
    <cellStyle name="链接单元格 4 17 5 2 3" xfId="3624"/>
    <cellStyle name="链接单元格 4 17 5 2 4" xfId="315"/>
    <cellStyle name="链接单元格 4 17 5 2 5" xfId="1701"/>
    <cellStyle name="链接单元格 4 17 5 2 6" xfId="1726"/>
    <cellStyle name="链接单元格 4 17 5 2 7" xfId="38267"/>
    <cellStyle name="链接单元格 4 17 5 2 8" xfId="38268"/>
    <cellStyle name="链接单元格 4 17 5 3" xfId="38269"/>
    <cellStyle name="链接单元格 4 17 5 4" xfId="38270"/>
    <cellStyle name="链接单元格 4 17 5 5" xfId="38271"/>
    <cellStyle name="链接单元格 4 17 5 6" xfId="38272"/>
    <cellStyle name="链接单元格 4 17 5 6 2" xfId="38273"/>
    <cellStyle name="链接单元格 4 17 5 6 3" xfId="38274"/>
    <cellStyle name="链接单元格 4 17 5 7" xfId="38275"/>
    <cellStyle name="链接单元格 4 17 5 8" xfId="38276"/>
    <cellStyle name="链接单元格 4 17 5 9" xfId="38277"/>
    <cellStyle name="链接单元格 4 17 6" xfId="38278"/>
    <cellStyle name="链接单元格 4 17 6 2" xfId="29310"/>
    <cellStyle name="链接单元格 4 17 6 2 2" xfId="38279"/>
    <cellStyle name="链接单元格 4 17 6 2 3" xfId="38280"/>
    <cellStyle name="链接单元格 4 17 6 3" xfId="29312"/>
    <cellStyle name="链接单元格 4 17 6 4" xfId="22112"/>
    <cellStyle name="链接单元格 4 17 6 5" xfId="22137"/>
    <cellStyle name="链接单元格 4 17 6 6" xfId="14751"/>
    <cellStyle name="链接单元格 4 17 6 7" xfId="14755"/>
    <cellStyle name="链接单元格 4 17 6 8" xfId="14759"/>
    <cellStyle name="链接单元格 4 17 7" xfId="38281"/>
    <cellStyle name="链接单元格 4 17 8" xfId="38282"/>
    <cellStyle name="链接单元格 4 17 9" xfId="38283"/>
    <cellStyle name="链接单元格 4 17 9 2" xfId="1588"/>
    <cellStyle name="链接单元格 4 17 9 3" xfId="1604"/>
    <cellStyle name="链接单元格 4 18" xfId="38284"/>
    <cellStyle name="链接单元格 4 18 10" xfId="273"/>
    <cellStyle name="链接单元格 4 18 11" xfId="1351"/>
    <cellStyle name="链接单元格 4 18 12" xfId="15075"/>
    <cellStyle name="链接单元格 4 18 13" xfId="38285"/>
    <cellStyle name="链接单元格 4 18 14" xfId="38286"/>
    <cellStyle name="链接单元格 4 18 2" xfId="38287"/>
    <cellStyle name="链接单元格 4 18 3" xfId="38288"/>
    <cellStyle name="链接单元格 4 18 4" xfId="38289"/>
    <cellStyle name="链接单元格 4 18 5" xfId="38290"/>
    <cellStyle name="链接单元格 4 18 5 10" xfId="38291"/>
    <cellStyle name="链接单元格 4 18 5 11" xfId="38292"/>
    <cellStyle name="链接单元格 4 18 5 2" xfId="38293"/>
    <cellStyle name="链接单元格 4 18 5 2 2" xfId="34777"/>
    <cellStyle name="链接单元格 4 18 5 2 2 2" xfId="38294"/>
    <cellStyle name="链接单元格 4 18 5 2 2 3" xfId="6530"/>
    <cellStyle name="链接单元格 4 18 5 2 3" xfId="38295"/>
    <cellStyle name="链接单元格 4 18 5 2 4" xfId="38296"/>
    <cellStyle name="链接单元格 4 18 5 2 5" xfId="38297"/>
    <cellStyle name="链接单元格 4 18 5 2 6" xfId="38298"/>
    <cellStyle name="链接单元格 4 18 5 2 7" xfId="38299"/>
    <cellStyle name="链接单元格 4 18 5 2 8" xfId="38300"/>
    <cellStyle name="链接单元格 4 18 5 3" xfId="38301"/>
    <cellStyle name="链接单元格 4 18 5 4" xfId="38302"/>
    <cellStyle name="链接单元格 4 18 5 5" xfId="38303"/>
    <cellStyle name="链接单元格 4 18 5 6" xfId="38304"/>
    <cellStyle name="链接单元格 4 18 5 6 2" xfId="38305"/>
    <cellStyle name="链接单元格 4 18 5 6 3" xfId="38306"/>
    <cellStyle name="链接单元格 4 18 5 7" xfId="38307"/>
    <cellStyle name="链接单元格 4 18 5 8" xfId="38308"/>
    <cellStyle name="链接单元格 4 18 5 9" xfId="38309"/>
    <cellStyle name="链接单元格 4 18 6" xfId="38310"/>
    <cellStyle name="链接单元格 4 18 6 2" xfId="29352"/>
    <cellStyle name="链接单元格 4 18 6 2 2" xfId="7328"/>
    <cellStyle name="链接单元格 4 18 6 2 3" xfId="7337"/>
    <cellStyle name="链接单元格 4 18 6 3" xfId="27346"/>
    <cellStyle name="链接单元格 4 18 6 4" xfId="21906"/>
    <cellStyle name="链接单元格 4 18 6 5" xfId="694"/>
    <cellStyle name="链接单元格 4 18 6 6" xfId="728"/>
    <cellStyle name="链接单元格 4 18 6 7" xfId="753"/>
    <cellStyle name="链接单元格 4 18 6 8" xfId="1279"/>
    <cellStyle name="链接单元格 4 18 7" xfId="38311"/>
    <cellStyle name="链接单元格 4 18 8" xfId="38312"/>
    <cellStyle name="链接单元格 4 18 9" xfId="38313"/>
    <cellStyle name="链接单元格 4 18 9 2" xfId="2144"/>
    <cellStyle name="链接单元格 4 18 9 3" xfId="2162"/>
    <cellStyle name="链接单元格 4 19" xfId="38314"/>
    <cellStyle name="链接单元格 4 19 10" xfId="38315"/>
    <cellStyle name="链接单元格 4 19 11" xfId="38316"/>
    <cellStyle name="链接单元格 4 19 12" xfId="38317"/>
    <cellStyle name="链接单元格 4 19 13" xfId="38318"/>
    <cellStyle name="链接单元格 4 19 14" xfId="38319"/>
    <cellStyle name="链接单元格 4 19 2" xfId="38320"/>
    <cellStyle name="链接单元格 4 19 3" xfId="38321"/>
    <cellStyle name="链接单元格 4 19 4" xfId="38322"/>
    <cellStyle name="链接单元格 4 19 5" xfId="38323"/>
    <cellStyle name="链接单元格 4 19 5 10" xfId="3801"/>
    <cellStyle name="链接单元格 4 19 5 11" xfId="38324"/>
    <cellStyle name="链接单元格 4 19 5 2" xfId="38325"/>
    <cellStyle name="链接单元格 4 19 5 2 2" xfId="38326"/>
    <cellStyle name="链接单元格 4 19 5 2 2 2" xfId="38327"/>
    <cellStyle name="链接单元格 4 19 5 2 2 3" xfId="38328"/>
    <cellStyle name="链接单元格 4 19 5 2 3" xfId="30308"/>
    <cellStyle name="链接单元格 4 19 5 2 4" xfId="31170"/>
    <cellStyle name="链接单元格 4 19 5 2 5" xfId="38329"/>
    <cellStyle name="链接单元格 4 19 5 2 6" xfId="21562"/>
    <cellStyle name="链接单元格 4 19 5 2 7" xfId="38330"/>
    <cellStyle name="链接单元格 4 19 5 2 8" xfId="21472"/>
    <cellStyle name="链接单元格 4 19 5 3" xfId="38331"/>
    <cellStyle name="链接单元格 4 19 5 4" xfId="38332"/>
    <cellStyle name="链接单元格 4 19 5 5" xfId="38333"/>
    <cellStyle name="链接单元格 4 19 5 6" xfId="38334"/>
    <cellStyle name="链接单元格 4 19 5 6 2" xfId="38335"/>
    <cellStyle name="链接单元格 4 19 5 6 3" xfId="38336"/>
    <cellStyle name="链接单元格 4 19 5 7" xfId="38337"/>
    <cellStyle name="链接单元格 4 19 5 8" xfId="38338"/>
    <cellStyle name="链接单元格 4 19 5 9" xfId="38339"/>
    <cellStyle name="链接单元格 4 19 6" xfId="38340"/>
    <cellStyle name="链接单元格 4 19 6 2" xfId="28237"/>
    <cellStyle name="链接单元格 4 19 6 2 2" xfId="38341"/>
    <cellStyle name="链接单元格 4 19 6 2 3" xfId="25460"/>
    <cellStyle name="链接单元格 4 19 6 3" xfId="28239"/>
    <cellStyle name="链接单元格 4 19 6 4" xfId="22214"/>
    <cellStyle name="链接单元格 4 19 6 5" xfId="13279"/>
    <cellStyle name="链接单元格 4 19 6 6" xfId="13283"/>
    <cellStyle name="链接单元格 4 19 6 7" xfId="13286"/>
    <cellStyle name="链接单元格 4 19 6 8" xfId="13356"/>
    <cellStyle name="链接单元格 4 19 7" xfId="38342"/>
    <cellStyle name="链接单元格 4 19 8" xfId="38343"/>
    <cellStyle name="链接单元格 4 19 9" xfId="38344"/>
    <cellStyle name="链接单元格 4 19 9 2" xfId="2548"/>
    <cellStyle name="链接单元格 4 19 9 3" xfId="2405"/>
    <cellStyle name="链接单元格 4 2" xfId="38345"/>
    <cellStyle name="链接单元格 4 20" xfId="38251"/>
    <cellStyle name="链接单元格 4 20 10" xfId="38346"/>
    <cellStyle name="链接单元格 4 20 11" xfId="38347"/>
    <cellStyle name="链接单元格 4 20 12" xfId="38348"/>
    <cellStyle name="链接单元格 4 20 13" xfId="38349"/>
    <cellStyle name="链接单元格 4 20 14" xfId="38350"/>
    <cellStyle name="链接单元格 4 20 2" xfId="38351"/>
    <cellStyle name="链接单元格 4 20 3" xfId="38352"/>
    <cellStyle name="链接单元格 4 20 4" xfId="38353"/>
    <cellStyle name="链接单元格 4 20 5" xfId="38354"/>
    <cellStyle name="链接单元格 4 20 5 10" xfId="32910"/>
    <cellStyle name="链接单元格 4 20 5 11" xfId="38355"/>
    <cellStyle name="链接单元格 4 20 5 2" xfId="38356"/>
    <cellStyle name="链接单元格 4 20 5 2 2" xfId="38357"/>
    <cellStyle name="链接单元格 4 20 5 2 2 2" xfId="38358"/>
    <cellStyle name="链接单元格 4 20 5 2 2 3" xfId="38359"/>
    <cellStyle name="链接单元格 4 20 5 2 3" xfId="38360"/>
    <cellStyle name="链接单元格 4 20 5 2 4" xfId="38361"/>
    <cellStyle name="链接单元格 4 20 5 2 5" xfId="38362"/>
    <cellStyle name="链接单元格 4 20 5 2 6" xfId="38363"/>
    <cellStyle name="链接单元格 4 20 5 2 7" xfId="38364"/>
    <cellStyle name="链接单元格 4 20 5 2 8" xfId="26960"/>
    <cellStyle name="链接单元格 4 20 5 3" xfId="38365"/>
    <cellStyle name="链接单元格 4 20 5 4" xfId="38366"/>
    <cellStyle name="链接单元格 4 20 5 5" xfId="38367"/>
    <cellStyle name="链接单元格 4 20 5 6" xfId="38368"/>
    <cellStyle name="链接单元格 4 20 5 6 2" xfId="38369"/>
    <cellStyle name="链接单元格 4 20 5 6 3" xfId="38370"/>
    <cellStyle name="链接单元格 4 20 5 7" xfId="38371"/>
    <cellStyle name="链接单元格 4 20 5 8" xfId="38372"/>
    <cellStyle name="链接单元格 4 20 5 9" xfId="9577"/>
    <cellStyle name="链接单元格 4 20 6" xfId="38373"/>
    <cellStyle name="链接单元格 4 20 6 2" xfId="38374"/>
    <cellStyle name="链接单元格 4 20 6 2 2" xfId="38375"/>
    <cellStyle name="链接单元格 4 20 6 2 3" xfId="38376"/>
    <cellStyle name="链接单元格 4 20 6 3" xfId="38377"/>
    <cellStyle name="链接单元格 4 20 6 4" xfId="20304"/>
    <cellStyle name="链接单元格 4 20 6 5" xfId="20310"/>
    <cellStyle name="链接单元格 4 20 6 6" xfId="4438"/>
    <cellStyle name="链接单元格 4 20 6 7" xfId="4454"/>
    <cellStyle name="链接单元格 4 20 6 8" xfId="4470"/>
    <cellStyle name="链接单元格 4 20 7" xfId="38378"/>
    <cellStyle name="链接单元格 4 20 8" xfId="38379"/>
    <cellStyle name="链接单元格 4 20 9" xfId="38380"/>
    <cellStyle name="链接单元格 4 20 9 2" xfId="38381"/>
    <cellStyle name="链接单元格 4 20 9 3" xfId="38382"/>
    <cellStyle name="链接单元格 4 3" xfId="38383"/>
    <cellStyle name="链接单元格 4 4" xfId="38384"/>
    <cellStyle name="链接单元格 4 5" xfId="38385"/>
    <cellStyle name="链接单元格 4 6" xfId="38386"/>
    <cellStyle name="链接单元格 4 7" xfId="38387"/>
    <cellStyle name="链接单元格 4 8" xfId="38388"/>
    <cellStyle name="链接单元格 4 9" xfId="38389"/>
    <cellStyle name="链接单元格 5" xfId="38390"/>
    <cellStyle name="链接单元格 5 10" xfId="32663"/>
    <cellStyle name="链接单元格 5 11" xfId="36999"/>
    <cellStyle name="链接单元格 5 12" xfId="32153"/>
    <cellStyle name="链接单元格 5 13" xfId="32156"/>
    <cellStyle name="链接单元格 5 14" xfId="38391"/>
    <cellStyle name="链接单元格 5 2" xfId="19389"/>
    <cellStyle name="链接单元格 5 3" xfId="19391"/>
    <cellStyle name="链接单元格 5 4" xfId="19393"/>
    <cellStyle name="链接单元格 5 5" xfId="19396"/>
    <cellStyle name="链接单元格 5 6" xfId="6608"/>
    <cellStyle name="链接单元格 5 7" xfId="37686"/>
    <cellStyle name="链接单元格 5 8" xfId="37688"/>
    <cellStyle name="链接单元格 5 9" xfId="38392"/>
    <cellStyle name="链接单元格 6" xfId="18590"/>
    <cellStyle name="链接单元格 6 10" xfId="28542"/>
    <cellStyle name="链接单元格 6 11" xfId="28544"/>
    <cellStyle name="链接单元格 6 12" xfId="28546"/>
    <cellStyle name="链接单元格 6 13" xfId="28548"/>
    <cellStyle name="链接单元格 6 14" xfId="28564"/>
    <cellStyle name="链接单元格 6 2" xfId="7628"/>
    <cellStyle name="链接单元格 6 3" xfId="8927"/>
    <cellStyle name="链接单元格 6 4" xfId="914"/>
    <cellStyle name="链接单元格 6 5" xfId="952"/>
    <cellStyle name="链接单元格 6 6" xfId="988"/>
    <cellStyle name="链接单元格 6 7" xfId="1010"/>
    <cellStyle name="链接单元格 6 8" xfId="1048"/>
    <cellStyle name="链接单元格 6 9" xfId="1068"/>
    <cellStyle name="链接单元格 7" xfId="18594"/>
    <cellStyle name="链接单元格 8" xfId="18597"/>
    <cellStyle name="链接单元格 9" xfId="18602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240"/>
      <tableStyleElement type="headerRow" dxfId="239"/>
      <tableStyleElement type="totalRow" dxfId="238"/>
      <tableStyleElement type="firstColumn" dxfId="237"/>
      <tableStyleElement type="lastColumn" dxfId="236"/>
      <tableStyleElement type="firstRowStripe" dxfId="235"/>
      <tableStyleElement type="firstColumnStripe" dxfId="234"/>
    </tableStyle>
    <tableStyle name="PivotStylePreset2_Accent1" table="0" count="10">
      <tableStyleElement type="headerRow" dxfId="233"/>
      <tableStyleElement type="totalRow" dxfId="232"/>
      <tableStyleElement type="firstRowStripe" dxfId="231"/>
      <tableStyleElement type="firstColumnStripe" dxfId="230"/>
      <tableStyleElement type="firstSubtotalRow" dxfId="229"/>
      <tableStyleElement type="secondSubtotalRow" dxfId="228"/>
      <tableStyleElement type="firstRowSubheading" dxfId="227"/>
      <tableStyleElement type="secondRowSubheading" dxfId="226"/>
      <tableStyleElement type="pageFieldLabels" dxfId="225"/>
      <tableStyleElement type="pageFieldValues" dxfId="224"/>
    </tableStyle>
  </tableStyles>
  <colors>
    <mruColors>
      <color rgb="FF8FE2FF"/>
      <color rgb="FF0066FF"/>
      <color rgb="FF0000FF"/>
      <color rgb="FF66CCFF"/>
      <color rgb="FF4843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2" name="Text Box 17" hidden="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3" name="Text Box 17" hidden="1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4" name="Text Box 17" hidden="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5" name="Text Box 17" hidden="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6" name="Text Box 17" hidden="1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7" name="Text Box 17" hidden="1">
          <a:extLst>
            <a:ext uri="{FF2B5EF4-FFF2-40B4-BE49-F238E27FC236}">
              <a16:creationId xmlns:a16="http://schemas.microsoft.com/office/drawing/2014/main" xmlns="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8" name="Text Box 17" hidden="1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9" name="Text Box 17" hidden="1">
          <a:extLst>
            <a:ext uri="{FF2B5EF4-FFF2-40B4-BE49-F238E27FC236}">
              <a16:creationId xmlns:a16="http://schemas.microsoft.com/office/drawing/2014/main" xmlns="" id="{00000000-0008-0000-0700-000009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0" name="Text Box 17" hidden="1">
          <a:extLst>
            <a:ext uri="{FF2B5EF4-FFF2-40B4-BE49-F238E27FC236}">
              <a16:creationId xmlns:a16="http://schemas.microsoft.com/office/drawing/2014/main" xmlns="" id="{00000000-0008-0000-0700-00000A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1" name="Text Box 17" hidden="1"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2" name="Text Box 17" hidden="1">
          <a:extLst>
            <a:ext uri="{FF2B5EF4-FFF2-40B4-BE49-F238E27FC236}">
              <a16:creationId xmlns:a16="http://schemas.microsoft.com/office/drawing/2014/main" xmlns="" id="{00000000-0008-0000-0700-00000C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3" name="Text Box 17" hidden="1">
          <a:extLst>
            <a:ext uri="{FF2B5EF4-FFF2-40B4-BE49-F238E27FC236}">
              <a16:creationId xmlns:a16="http://schemas.microsoft.com/office/drawing/2014/main" xmlns="" id="{00000000-0008-0000-0700-00000D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4" name="Text Box 17" hidden="1">
          <a:extLst>
            <a:ext uri="{FF2B5EF4-FFF2-40B4-BE49-F238E27FC236}">
              <a16:creationId xmlns:a16="http://schemas.microsoft.com/office/drawing/2014/main" xmlns="" id="{00000000-0008-0000-0700-00000E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170</xdr:row>
      <xdr:rowOff>0</xdr:rowOff>
    </xdr:from>
    <xdr:ext cx="68580" cy="274320"/>
    <xdr:sp macro="" textlink="">
      <xdr:nvSpPr>
        <xdr:cNvPr id="15" name="Text Box 17" hidden="1">
          <a:extLst>
            <a:ext uri="{FF2B5EF4-FFF2-40B4-BE49-F238E27FC236}">
              <a16:creationId xmlns:a16="http://schemas.microsoft.com/office/drawing/2014/main" xmlns="" id="{00000000-0008-0000-0700-00000F000000}"/>
            </a:ext>
          </a:extLst>
        </xdr:cNvPr>
        <xdr:cNvSpPr txBox="1">
          <a:spLocks noChangeArrowheads="1"/>
        </xdr:cNvSpPr>
      </xdr:nvSpPr>
      <xdr:spPr bwMode="auto">
        <a:xfrm>
          <a:off x="6581775" y="1461135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6" name="Text Box 17" hidden="1">
          <a:extLst>
            <a:ext uri="{FF2B5EF4-FFF2-40B4-BE49-F238E27FC236}">
              <a16:creationId xmlns:a16="http://schemas.microsoft.com/office/drawing/2014/main" xmlns="" id="{00000000-0008-0000-0700-000010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7" name="Text Box 17" hidden="1">
          <a:extLst>
            <a:ext uri="{FF2B5EF4-FFF2-40B4-BE49-F238E27FC236}">
              <a16:creationId xmlns:a16="http://schemas.microsoft.com/office/drawing/2014/main" xmlns="" id="{00000000-0008-0000-0700-000011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8" name="Text Box 17" hidden="1">
          <a:extLst>
            <a:ext uri="{FF2B5EF4-FFF2-40B4-BE49-F238E27FC236}">
              <a16:creationId xmlns:a16="http://schemas.microsoft.com/office/drawing/2014/main" xmlns="" id="{00000000-0008-0000-0700-000012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19" name="Text Box 17" hidden="1">
          <a:extLst>
            <a:ext uri="{FF2B5EF4-FFF2-40B4-BE49-F238E27FC236}">
              <a16:creationId xmlns:a16="http://schemas.microsoft.com/office/drawing/2014/main" xmlns="" id="{00000000-0008-0000-0700-000013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0" name="Text Box 17" hidden="1">
          <a:extLst>
            <a:ext uri="{FF2B5EF4-FFF2-40B4-BE49-F238E27FC236}">
              <a16:creationId xmlns:a16="http://schemas.microsoft.com/office/drawing/2014/main" xmlns="" id="{00000000-0008-0000-0700-000014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1" name="Text Box 17" hidden="1">
          <a:extLst>
            <a:ext uri="{FF2B5EF4-FFF2-40B4-BE49-F238E27FC236}">
              <a16:creationId xmlns:a16="http://schemas.microsoft.com/office/drawing/2014/main" xmlns="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2" name="Text Box 17" hidden="1">
          <a:extLst>
            <a:ext uri="{FF2B5EF4-FFF2-40B4-BE49-F238E27FC236}">
              <a16:creationId xmlns:a16="http://schemas.microsoft.com/office/drawing/2014/main" xmlns="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3" name="Text Box 17" hidden="1">
          <a:extLst>
            <a:ext uri="{FF2B5EF4-FFF2-40B4-BE49-F238E27FC236}">
              <a16:creationId xmlns:a16="http://schemas.microsoft.com/office/drawing/2014/main" xmlns="" id="{00000000-0008-0000-0700-000017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4" name="Text Box 17" hidden="1">
          <a:extLst>
            <a:ext uri="{FF2B5EF4-FFF2-40B4-BE49-F238E27FC236}">
              <a16:creationId xmlns:a16="http://schemas.microsoft.com/office/drawing/2014/main" xmlns="" id="{00000000-0008-0000-0700-000018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5" name="Text Box 17" hidden="1">
          <a:extLst>
            <a:ext uri="{FF2B5EF4-FFF2-40B4-BE49-F238E27FC236}">
              <a16:creationId xmlns:a16="http://schemas.microsoft.com/office/drawing/2014/main" xmlns="" id="{00000000-0008-0000-0700-000019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6" name="Text Box 17" hidden="1">
          <a:extLst>
            <a:ext uri="{FF2B5EF4-FFF2-40B4-BE49-F238E27FC236}">
              <a16:creationId xmlns:a16="http://schemas.microsoft.com/office/drawing/2014/main" xmlns="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7" name="Text Box 17" hidden="1">
          <a:extLst>
            <a:ext uri="{FF2B5EF4-FFF2-40B4-BE49-F238E27FC236}">
              <a16:creationId xmlns:a16="http://schemas.microsoft.com/office/drawing/2014/main" xmlns="" id="{00000000-0008-0000-0700-00001B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8" name="Text Box 17" hidden="1">
          <a:extLst>
            <a:ext uri="{FF2B5EF4-FFF2-40B4-BE49-F238E27FC236}">
              <a16:creationId xmlns:a16="http://schemas.microsoft.com/office/drawing/2014/main" xmlns="" id="{00000000-0008-0000-0700-00001C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0</xdr:colOff>
      <xdr:row>169</xdr:row>
      <xdr:rowOff>0</xdr:rowOff>
    </xdr:from>
    <xdr:ext cx="68580" cy="274320"/>
    <xdr:sp macro="" textlink="">
      <xdr:nvSpPr>
        <xdr:cNvPr id="29" name="Text Box 17" hidden="1">
          <a:extLst>
            <a:ext uri="{FF2B5EF4-FFF2-40B4-BE49-F238E27FC236}">
              <a16:creationId xmlns:a16="http://schemas.microsoft.com/office/drawing/2014/main" xmlns="" id="{00000000-0008-0000-0700-00001D000000}"/>
            </a:ext>
          </a:extLst>
        </xdr:cNvPr>
        <xdr:cNvSpPr txBox="1">
          <a:spLocks noChangeArrowheads="1"/>
        </xdr:cNvSpPr>
      </xdr:nvSpPr>
      <xdr:spPr bwMode="auto">
        <a:xfrm>
          <a:off x="6581775" y="136112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0" name="Text Box 17" hidden="1">
          <a:extLst>
            <a:ext uri="{FF2B5EF4-FFF2-40B4-BE49-F238E27FC236}">
              <a16:creationId xmlns:a16="http://schemas.microsoft.com/office/drawing/2014/main" xmlns="" id="{00000000-0008-0000-0700-00001E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1" name="Text Box 17" hidden="1">
          <a:extLst>
            <a:ext uri="{FF2B5EF4-FFF2-40B4-BE49-F238E27FC236}">
              <a16:creationId xmlns:a16="http://schemas.microsoft.com/office/drawing/2014/main" xmlns="" id="{00000000-0008-0000-0700-00001F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2" name="Text Box 17" hidden="1">
          <a:extLst>
            <a:ext uri="{FF2B5EF4-FFF2-40B4-BE49-F238E27FC236}">
              <a16:creationId xmlns:a16="http://schemas.microsoft.com/office/drawing/2014/main" xmlns="" id="{00000000-0008-0000-0700-000020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3" name="Text Box 17" hidden="1">
          <a:extLst>
            <a:ext uri="{FF2B5EF4-FFF2-40B4-BE49-F238E27FC236}">
              <a16:creationId xmlns:a16="http://schemas.microsoft.com/office/drawing/2014/main" xmlns="" id="{00000000-0008-0000-0700-000021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4" name="Text Box 17" hidden="1">
          <a:extLst>
            <a:ext uri="{FF2B5EF4-FFF2-40B4-BE49-F238E27FC236}">
              <a16:creationId xmlns:a16="http://schemas.microsoft.com/office/drawing/2014/main" xmlns="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5" name="Text Box 17" hidden="1">
          <a:extLst>
            <a:ext uri="{FF2B5EF4-FFF2-40B4-BE49-F238E27FC236}">
              <a16:creationId xmlns:a16="http://schemas.microsoft.com/office/drawing/2014/main" xmlns="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6" name="Text Box 17" hidden="1">
          <a:extLst>
            <a:ext uri="{FF2B5EF4-FFF2-40B4-BE49-F238E27FC236}">
              <a16:creationId xmlns:a16="http://schemas.microsoft.com/office/drawing/2014/main" xmlns="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7" name="Text Box 17" hidden="1">
          <a:extLst>
            <a:ext uri="{FF2B5EF4-FFF2-40B4-BE49-F238E27FC236}">
              <a16:creationId xmlns:a16="http://schemas.microsoft.com/office/drawing/2014/main" xmlns="" id="{00000000-0008-0000-0700-000025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8" name="Text Box 17" hidden="1">
          <a:extLst>
            <a:ext uri="{FF2B5EF4-FFF2-40B4-BE49-F238E27FC236}">
              <a16:creationId xmlns:a16="http://schemas.microsoft.com/office/drawing/2014/main" xmlns="" id="{00000000-0008-0000-0700-000026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39" name="Text Box 17" hidden="1">
          <a:extLst>
            <a:ext uri="{FF2B5EF4-FFF2-40B4-BE49-F238E27FC236}">
              <a16:creationId xmlns:a16="http://schemas.microsoft.com/office/drawing/2014/main" xmlns="" id="{00000000-0008-0000-0700-000027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0" name="Text Box 17" hidden="1">
          <a:extLst>
            <a:ext uri="{FF2B5EF4-FFF2-40B4-BE49-F238E27FC236}">
              <a16:creationId xmlns:a16="http://schemas.microsoft.com/office/drawing/2014/main" xmlns="" id="{00000000-0008-0000-0700-000028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1" name="Text Box 17" hidden="1">
          <a:extLst>
            <a:ext uri="{FF2B5EF4-FFF2-40B4-BE49-F238E27FC236}">
              <a16:creationId xmlns:a16="http://schemas.microsoft.com/office/drawing/2014/main" xmlns="" id="{00000000-0008-0000-0700-000029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2" name="Text Box 17" hidden="1">
          <a:extLst>
            <a:ext uri="{FF2B5EF4-FFF2-40B4-BE49-F238E27FC236}">
              <a16:creationId xmlns:a16="http://schemas.microsoft.com/office/drawing/2014/main" xmlns="" id="{00000000-0008-0000-0700-00002A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171</xdr:row>
      <xdr:rowOff>0</xdr:rowOff>
    </xdr:from>
    <xdr:ext cx="68580" cy="274320"/>
    <xdr:sp macro="" textlink="">
      <xdr:nvSpPr>
        <xdr:cNvPr id="43" name="Text Box 17" hidden="1">
          <a:extLst>
            <a:ext uri="{FF2B5EF4-FFF2-40B4-BE49-F238E27FC236}">
              <a16:creationId xmlns:a16="http://schemas.microsoft.com/office/drawing/2014/main" xmlns="" id="{00000000-0008-0000-0700-00002B000000}"/>
            </a:ext>
          </a:extLst>
        </xdr:cNvPr>
        <xdr:cNvSpPr txBox="1">
          <a:spLocks noChangeArrowheads="1"/>
        </xdr:cNvSpPr>
      </xdr:nvSpPr>
      <xdr:spPr bwMode="auto">
        <a:xfrm>
          <a:off x="6581775" y="144018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2" name="Text Box 17" hidden="1">
          <a:extLst>
            <a:ext uri="{FF2B5EF4-FFF2-40B4-BE49-F238E27FC236}">
              <a16:creationId xmlns:a16="http://schemas.microsoft.com/office/drawing/2014/main" xmlns="" id="{00000000-0008-0000-0700-000048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3" name="Text Box 17" hidden="1">
          <a:extLst>
            <a:ext uri="{FF2B5EF4-FFF2-40B4-BE49-F238E27FC236}">
              <a16:creationId xmlns:a16="http://schemas.microsoft.com/office/drawing/2014/main" xmlns="" id="{00000000-0008-0000-0700-000049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4" name="Text Box 17" hidden="1">
          <a:extLst>
            <a:ext uri="{FF2B5EF4-FFF2-40B4-BE49-F238E27FC236}">
              <a16:creationId xmlns:a16="http://schemas.microsoft.com/office/drawing/2014/main" xmlns="" id="{00000000-0008-0000-0700-00004A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5" name="Text Box 17" hidden="1">
          <a:extLst>
            <a:ext uri="{FF2B5EF4-FFF2-40B4-BE49-F238E27FC236}">
              <a16:creationId xmlns:a16="http://schemas.microsoft.com/office/drawing/2014/main" xmlns="" id="{00000000-0008-0000-0700-00004B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6" name="Text Box 17" hidden="1">
          <a:extLst>
            <a:ext uri="{FF2B5EF4-FFF2-40B4-BE49-F238E27FC236}">
              <a16:creationId xmlns:a16="http://schemas.microsoft.com/office/drawing/2014/main" xmlns="" id="{00000000-0008-0000-0700-00004C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7" name="Text Box 17" hidden="1">
          <a:extLst>
            <a:ext uri="{FF2B5EF4-FFF2-40B4-BE49-F238E27FC236}">
              <a16:creationId xmlns:a16="http://schemas.microsoft.com/office/drawing/2014/main" xmlns="" id="{00000000-0008-0000-0700-00004D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8" name="Text Box 17" hidden="1">
          <a:extLst>
            <a:ext uri="{FF2B5EF4-FFF2-40B4-BE49-F238E27FC236}">
              <a16:creationId xmlns:a16="http://schemas.microsoft.com/office/drawing/2014/main" xmlns="" id="{00000000-0008-0000-0700-00004E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79" name="Text Box 17" hidden="1">
          <a:extLst>
            <a:ext uri="{FF2B5EF4-FFF2-40B4-BE49-F238E27FC236}">
              <a16:creationId xmlns:a16="http://schemas.microsoft.com/office/drawing/2014/main" xmlns="" id="{00000000-0008-0000-0700-00004F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0" name="Text Box 17" hidden="1">
          <a:extLst>
            <a:ext uri="{FF2B5EF4-FFF2-40B4-BE49-F238E27FC236}">
              <a16:creationId xmlns:a16="http://schemas.microsoft.com/office/drawing/2014/main" xmlns="" id="{00000000-0008-0000-0700-000050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1" name="Text Box 17" hidden="1">
          <a:extLst>
            <a:ext uri="{FF2B5EF4-FFF2-40B4-BE49-F238E27FC236}">
              <a16:creationId xmlns:a16="http://schemas.microsoft.com/office/drawing/2014/main" xmlns="" id="{00000000-0008-0000-0700-000051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2" name="Text Box 17" hidden="1">
          <a:extLst>
            <a:ext uri="{FF2B5EF4-FFF2-40B4-BE49-F238E27FC236}">
              <a16:creationId xmlns:a16="http://schemas.microsoft.com/office/drawing/2014/main" xmlns="" id="{00000000-0008-0000-0700-000052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3" name="Text Box 17" hidden="1">
          <a:extLst>
            <a:ext uri="{FF2B5EF4-FFF2-40B4-BE49-F238E27FC236}">
              <a16:creationId xmlns:a16="http://schemas.microsoft.com/office/drawing/2014/main" xmlns="" id="{00000000-0008-0000-0700-000053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4" name="Text Box 17" hidden="1">
          <a:extLst>
            <a:ext uri="{FF2B5EF4-FFF2-40B4-BE49-F238E27FC236}">
              <a16:creationId xmlns:a16="http://schemas.microsoft.com/office/drawing/2014/main" xmlns="" id="{00000000-0008-0000-0700-000054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178</xdr:row>
      <xdr:rowOff>0</xdr:rowOff>
    </xdr:from>
    <xdr:ext cx="68580" cy="274320"/>
    <xdr:sp macro="" textlink="">
      <xdr:nvSpPr>
        <xdr:cNvPr id="85" name="Text Box 17" hidden="1">
          <a:extLst>
            <a:ext uri="{FF2B5EF4-FFF2-40B4-BE49-F238E27FC236}">
              <a16:creationId xmlns:a16="http://schemas.microsoft.com/office/drawing/2014/main" xmlns="" id="{00000000-0008-0000-0700-000055000000}"/>
            </a:ext>
          </a:extLst>
        </xdr:cNvPr>
        <xdr:cNvSpPr txBox="1">
          <a:spLocks noChangeArrowheads="1"/>
        </xdr:cNvSpPr>
      </xdr:nvSpPr>
      <xdr:spPr bwMode="auto">
        <a:xfrm>
          <a:off x="6581775" y="18602325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58" name="Text Box 17" hidden="1">
          <a:extLst>
            <a:ext uri="{FF2B5EF4-FFF2-40B4-BE49-F238E27FC236}">
              <a16:creationId xmlns:a16="http://schemas.microsoft.com/office/drawing/2014/main" xmlns="" id="{00000000-0008-0000-0700-00003A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59" name="Text Box 17" hidden="1">
          <a:extLst>
            <a:ext uri="{FF2B5EF4-FFF2-40B4-BE49-F238E27FC236}">
              <a16:creationId xmlns:a16="http://schemas.microsoft.com/office/drawing/2014/main" xmlns="" id="{00000000-0008-0000-0700-00003B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0" name="Text Box 17" hidden="1">
          <a:extLst>
            <a:ext uri="{FF2B5EF4-FFF2-40B4-BE49-F238E27FC236}">
              <a16:creationId xmlns:a16="http://schemas.microsoft.com/office/drawing/2014/main" xmlns="" id="{00000000-0008-0000-0700-00003C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1" name="Text Box 17" hidden="1">
          <a:extLst>
            <a:ext uri="{FF2B5EF4-FFF2-40B4-BE49-F238E27FC236}">
              <a16:creationId xmlns:a16="http://schemas.microsoft.com/office/drawing/2014/main" xmlns="" id="{00000000-0008-0000-0700-00003D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2" name="Text Box 17" hidden="1">
          <a:extLst>
            <a:ext uri="{FF2B5EF4-FFF2-40B4-BE49-F238E27FC236}">
              <a16:creationId xmlns:a16="http://schemas.microsoft.com/office/drawing/2014/main" xmlns="" id="{00000000-0008-0000-0700-00003E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3" name="Text Box 17" hidden="1">
          <a:extLst>
            <a:ext uri="{FF2B5EF4-FFF2-40B4-BE49-F238E27FC236}">
              <a16:creationId xmlns:a16="http://schemas.microsoft.com/office/drawing/2014/main" xmlns="" id="{00000000-0008-0000-0700-00003F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4" name="Text Box 17" hidden="1">
          <a:extLst>
            <a:ext uri="{FF2B5EF4-FFF2-40B4-BE49-F238E27FC236}">
              <a16:creationId xmlns:a16="http://schemas.microsoft.com/office/drawing/2014/main" xmlns="" id="{00000000-0008-0000-0700-000040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5" name="Text Box 17" hidden="1">
          <a:extLst>
            <a:ext uri="{FF2B5EF4-FFF2-40B4-BE49-F238E27FC236}">
              <a16:creationId xmlns:a16="http://schemas.microsoft.com/office/drawing/2014/main" xmlns="" id="{00000000-0008-0000-0700-000041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6" name="Text Box 17" hidden="1">
          <a:extLst>
            <a:ext uri="{FF2B5EF4-FFF2-40B4-BE49-F238E27FC236}">
              <a16:creationId xmlns:a16="http://schemas.microsoft.com/office/drawing/2014/main" xmlns="" id="{00000000-0008-0000-0700-000042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7" name="Text Box 17" hidden="1">
          <a:extLst>
            <a:ext uri="{FF2B5EF4-FFF2-40B4-BE49-F238E27FC236}">
              <a16:creationId xmlns:a16="http://schemas.microsoft.com/office/drawing/2014/main" xmlns="" id="{00000000-0008-0000-0700-000043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8" name="Text Box 17" hidden="1">
          <a:extLst>
            <a:ext uri="{FF2B5EF4-FFF2-40B4-BE49-F238E27FC236}">
              <a16:creationId xmlns:a16="http://schemas.microsoft.com/office/drawing/2014/main" xmlns="" id="{00000000-0008-0000-0700-000044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69" name="Text Box 17" hidden="1">
          <a:extLst>
            <a:ext uri="{FF2B5EF4-FFF2-40B4-BE49-F238E27FC236}">
              <a16:creationId xmlns:a16="http://schemas.microsoft.com/office/drawing/2014/main" xmlns="" id="{00000000-0008-0000-0700-000045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70" name="Text Box 17" hidden="1">
          <a:extLst>
            <a:ext uri="{FF2B5EF4-FFF2-40B4-BE49-F238E27FC236}">
              <a16:creationId xmlns:a16="http://schemas.microsoft.com/office/drawing/2014/main" xmlns="" id="{00000000-0008-0000-0700-000046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9</xdr:col>
      <xdr:colOff>0</xdr:colOff>
      <xdr:row>208</xdr:row>
      <xdr:rowOff>0</xdr:rowOff>
    </xdr:from>
    <xdr:ext cx="68580" cy="274320"/>
    <xdr:sp macro="" textlink="">
      <xdr:nvSpPr>
        <xdr:cNvPr id="71" name="Text Box 17" hidden="1">
          <a:extLst>
            <a:ext uri="{FF2B5EF4-FFF2-40B4-BE49-F238E27FC236}">
              <a16:creationId xmlns:a16="http://schemas.microsoft.com/office/drawing/2014/main" xmlns="" id="{00000000-0008-0000-0700-000047000000}"/>
            </a:ext>
          </a:extLst>
        </xdr:cNvPr>
        <xdr:cNvSpPr txBox="1">
          <a:spLocks noChangeArrowheads="1"/>
        </xdr:cNvSpPr>
      </xdr:nvSpPr>
      <xdr:spPr bwMode="auto">
        <a:xfrm>
          <a:off x="6581775" y="16764000"/>
          <a:ext cx="68580" cy="274320"/>
        </a:xfrm>
        <a:prstGeom prst="rect">
          <a:avLst/>
        </a:prstGeom>
        <a:noFill/>
        <a:ln>
          <a:noFill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22860</xdr:rowOff>
        </xdr:to>
        <xdr:sp macro="" textlink="">
          <xdr:nvSpPr>
            <xdr:cNvPr id="18433" name="Control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xmlns="" id="{00000000-0008-0000-1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&#205;NH&#7852;PH&#7852;PH%20NH&#7852;PH&#7852;PGUY&#202;NH&#7852;PH&#7852;P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C\Desktop\BANG%20KE%20VC%20THANG%2001%20_SOTR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ÍNHẬPHẬPH NHẬPHẬPGUYÊNHẬPHẬ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01"/>
      <sheetName val="CHI HO T.1 (2)"/>
      <sheetName val="CHI HO T.1"/>
    </sheetNames>
    <sheetDataSet>
      <sheetData sheetId="0"/>
      <sheetData sheetId="1"/>
      <sheetData sheetId="2">
        <row r="4">
          <cell r="K4">
            <v>1590000</v>
          </cell>
        </row>
        <row r="6">
          <cell r="K6">
            <v>795000</v>
          </cell>
        </row>
        <row r="7">
          <cell r="K7">
            <v>795000</v>
          </cell>
        </row>
        <row r="8">
          <cell r="K8">
            <v>795000</v>
          </cell>
        </row>
        <row r="9">
          <cell r="K9">
            <v>795000</v>
          </cell>
        </row>
        <row r="10">
          <cell r="K10">
            <v>870000</v>
          </cell>
        </row>
        <row r="11">
          <cell r="K11">
            <v>870000</v>
          </cell>
        </row>
        <row r="12">
          <cell r="K12">
            <v>900000</v>
          </cell>
        </row>
        <row r="13">
          <cell r="K13">
            <v>900000</v>
          </cell>
        </row>
        <row r="14">
          <cell r="K14">
            <v>900000</v>
          </cell>
        </row>
        <row r="15">
          <cell r="K15">
            <v>1000000</v>
          </cell>
        </row>
        <row r="16">
          <cell r="K16">
            <v>1000000</v>
          </cell>
        </row>
        <row r="17">
          <cell r="K17">
            <v>1000000</v>
          </cell>
        </row>
        <row r="18">
          <cell r="K18">
            <v>1000000</v>
          </cell>
        </row>
        <row r="19">
          <cell r="K19">
            <v>1450000</v>
          </cell>
        </row>
        <row r="20">
          <cell r="K20">
            <v>1000000</v>
          </cell>
        </row>
        <row r="21">
          <cell r="K21">
            <v>870000</v>
          </cell>
        </row>
        <row r="22">
          <cell r="K22">
            <v>870000</v>
          </cell>
        </row>
        <row r="23">
          <cell r="K23">
            <v>1000000</v>
          </cell>
        </row>
        <row r="24">
          <cell r="K24">
            <v>1000000</v>
          </cell>
        </row>
        <row r="25">
          <cell r="K25">
            <v>1500000</v>
          </cell>
        </row>
        <row r="26">
          <cell r="K26">
            <v>900000</v>
          </cell>
        </row>
        <row r="36">
          <cell r="K36">
            <v>20210000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26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8" Type="http://schemas.openxmlformats.org/officeDocument/2006/relationships/hyperlink" Target="https://www.wanhai.com/views/cargoTrack/BookingInfoPage.xhtml?file_num=65580&amp;top_file_num=64735&amp;parent_id=64738" TargetMode="External"/><Relationship Id="rId3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vmlDrawing" Target="../drawings/vmlDrawing3.vm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printerSettings" Target="../printerSettings/printerSettings5.bin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javascript:void(0)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javascript:void(0)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comments" Target="../comments6.xml"/><Relationship Id="rId4" Type="http://schemas.openxmlformats.org/officeDocument/2006/relationships/hyperlink" Target="javascript:void(0)" TargetMode="External"/><Relationship Id="rId9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javascript:void(0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javascript:void(0)" TargetMode="External"/><Relationship Id="rId4" Type="http://schemas.openxmlformats.org/officeDocument/2006/relationships/comments" Target="../comments7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printerSettings" Target="../printerSettings/printerSettings16.bin"/><Relationship Id="rId2" Type="http://schemas.openxmlformats.org/officeDocument/2006/relationships/hyperlink" Target="javascript:void(0)" TargetMode="External"/><Relationship Id="rId16" Type="http://schemas.openxmlformats.org/officeDocument/2006/relationships/image" Target="../media/image1.emf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5" Type="http://schemas.openxmlformats.org/officeDocument/2006/relationships/control" Target="../activeX/activeX1.xm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66"/>
  <sheetViews>
    <sheetView zoomScale="115" zoomScaleNormal="115" workbookViewId="0">
      <pane xSplit="8" ySplit="4" topLeftCell="I180" activePane="bottomRight" state="frozen"/>
      <selection pane="topRight" activeCell="I1" sqref="I1"/>
      <selection pane="bottomLeft" activeCell="A5" sqref="A5"/>
      <selection pane="bottomRight" activeCell="B188" sqref="B188"/>
    </sheetView>
  </sheetViews>
  <sheetFormatPr defaultColWidth="10.33203125" defaultRowHeight="13.2"/>
  <cols>
    <col min="1" max="1" width="7" style="1" customWidth="1"/>
    <col min="2" max="2" width="20.44140625" style="2" customWidth="1"/>
    <col min="3" max="3" width="14.109375" style="3" customWidth="1"/>
    <col min="4" max="4" width="14.109375" style="4" customWidth="1"/>
    <col min="5" max="5" width="20.109375" style="4" customWidth="1"/>
    <col min="6" max="6" width="13" style="5" customWidth="1"/>
    <col min="7" max="8" width="5.109375" style="6" customWidth="1"/>
    <col min="9" max="9" width="20.6640625" style="7" customWidth="1"/>
    <col min="10" max="10" width="9.6640625" style="6" customWidth="1"/>
    <col min="11" max="11" width="13.44140625" style="6" customWidth="1"/>
    <col min="12" max="13" width="9.88671875" style="1" customWidth="1"/>
    <col min="14" max="14" width="17" style="6" customWidth="1"/>
    <col min="15" max="15" width="24.5546875" style="6" customWidth="1"/>
    <col min="16" max="16" width="4.6640625" style="6" hidden="1" customWidth="1"/>
    <col min="17" max="17" width="13.33203125" style="5" customWidth="1"/>
    <col min="18" max="18" width="12.109375" style="8" customWidth="1"/>
    <col min="19" max="19" width="19.33203125" style="8" hidden="1" customWidth="1"/>
    <col min="20" max="20" width="9.88671875" style="6" hidden="1" customWidth="1"/>
    <col min="21" max="21" width="11" style="6" hidden="1" customWidth="1"/>
    <col min="22" max="22" width="11.33203125" style="6" hidden="1" customWidth="1"/>
    <col min="23" max="23" width="27.5546875" style="6" hidden="1" customWidth="1"/>
    <col min="24" max="24" width="0" style="5" hidden="1" customWidth="1"/>
    <col min="25" max="28" width="0" style="6" hidden="1" customWidth="1"/>
    <col min="29" max="29" width="0" style="9" hidden="1" customWidth="1"/>
    <col min="30" max="31" width="0" style="6" hidden="1" customWidth="1"/>
    <col min="32" max="32" width="0" style="5" hidden="1" customWidth="1"/>
    <col min="33" max="33" width="0" style="8" hidden="1" customWidth="1"/>
    <col min="34" max="36" width="0" style="6" hidden="1" customWidth="1"/>
    <col min="37" max="39" width="0" style="8" hidden="1" customWidth="1"/>
    <col min="40" max="40" width="0" style="6" hidden="1" customWidth="1"/>
    <col min="41" max="43" width="0" style="10" hidden="1" customWidth="1"/>
    <col min="44" max="48" width="0" style="9" hidden="1" customWidth="1"/>
    <col min="49" max="52" width="0" style="6" hidden="1" customWidth="1"/>
    <col min="53" max="53" width="0" style="9" hidden="1" customWidth="1"/>
    <col min="54" max="57" width="0" style="6" hidden="1" customWidth="1"/>
    <col min="58" max="58" width="0" style="9" hidden="1" customWidth="1"/>
    <col min="59" max="61" width="0" style="6" hidden="1" customWidth="1"/>
    <col min="62" max="63" width="0" style="5" hidden="1" customWidth="1"/>
    <col min="64" max="64" width="0" style="11" hidden="1" customWidth="1"/>
    <col min="65" max="65" width="10.33203125" style="11"/>
    <col min="66" max="66" width="0" style="12" hidden="1" customWidth="1"/>
    <col min="67" max="74" width="0" style="8" hidden="1" customWidth="1"/>
    <col min="75" max="93" width="0" style="6" hidden="1" customWidth="1"/>
    <col min="94" max="258" width="10.33203125" style="13"/>
    <col min="259" max="259" width="7" style="13" customWidth="1"/>
    <col min="260" max="260" width="13" style="13" customWidth="1"/>
    <col min="261" max="261" width="14.109375" style="13" customWidth="1"/>
    <col min="262" max="262" width="17.33203125" style="13" customWidth="1"/>
    <col min="263" max="263" width="18.88671875" style="13" customWidth="1"/>
    <col min="264" max="264" width="14.109375" style="13" customWidth="1"/>
    <col min="265" max="265" width="21.5546875" style="13" customWidth="1"/>
    <col min="266" max="267" width="14.109375" style="13" customWidth="1"/>
    <col min="268" max="268" width="15" style="13" customWidth="1"/>
    <col min="269" max="269" width="13.33203125" style="13" customWidth="1"/>
    <col min="270" max="270" width="17" style="13" customWidth="1"/>
    <col min="271" max="271" width="24.88671875" style="13" customWidth="1"/>
    <col min="272" max="272" width="14.44140625" style="13" customWidth="1"/>
    <col min="273" max="273" width="23.109375" style="13" customWidth="1"/>
    <col min="274" max="274" width="13.109375" style="13" customWidth="1"/>
    <col min="275" max="278" width="0" style="13" hidden="1" customWidth="1"/>
    <col min="279" max="514" width="10.33203125" style="13"/>
    <col min="515" max="515" width="7" style="13" customWidth="1"/>
    <col min="516" max="516" width="13" style="13" customWidth="1"/>
    <col min="517" max="517" width="14.109375" style="13" customWidth="1"/>
    <col min="518" max="518" width="17.33203125" style="13" customWidth="1"/>
    <col min="519" max="519" width="18.88671875" style="13" customWidth="1"/>
    <col min="520" max="520" width="14.109375" style="13" customWidth="1"/>
    <col min="521" max="521" width="21.5546875" style="13" customWidth="1"/>
    <col min="522" max="523" width="14.109375" style="13" customWidth="1"/>
    <col min="524" max="524" width="15" style="13" customWidth="1"/>
    <col min="525" max="525" width="13.33203125" style="13" customWidth="1"/>
    <col min="526" max="526" width="17" style="13" customWidth="1"/>
    <col min="527" max="527" width="24.88671875" style="13" customWidth="1"/>
    <col min="528" max="528" width="14.44140625" style="13" customWidth="1"/>
    <col min="529" max="529" width="23.109375" style="13" customWidth="1"/>
    <col min="530" max="530" width="13.109375" style="13" customWidth="1"/>
    <col min="531" max="534" width="0" style="13" hidden="1" customWidth="1"/>
    <col min="535" max="770" width="10.33203125" style="13"/>
    <col min="771" max="771" width="7" style="13" customWidth="1"/>
    <col min="772" max="772" width="13" style="13" customWidth="1"/>
    <col min="773" max="773" width="14.109375" style="13" customWidth="1"/>
    <col min="774" max="774" width="17.33203125" style="13" customWidth="1"/>
    <col min="775" max="775" width="18.88671875" style="13" customWidth="1"/>
    <col min="776" max="776" width="14.109375" style="13" customWidth="1"/>
    <col min="777" max="777" width="21.5546875" style="13" customWidth="1"/>
    <col min="778" max="779" width="14.109375" style="13" customWidth="1"/>
    <col min="780" max="780" width="15" style="13" customWidth="1"/>
    <col min="781" max="781" width="13.33203125" style="13" customWidth="1"/>
    <col min="782" max="782" width="17" style="13" customWidth="1"/>
    <col min="783" max="783" width="24.88671875" style="13" customWidth="1"/>
    <col min="784" max="784" width="14.44140625" style="13" customWidth="1"/>
    <col min="785" max="785" width="23.109375" style="13" customWidth="1"/>
    <col min="786" max="786" width="13.109375" style="13" customWidth="1"/>
    <col min="787" max="790" width="0" style="13" hidden="1" customWidth="1"/>
    <col min="791" max="1026" width="10.33203125" style="13"/>
    <col min="1027" max="1027" width="7" style="13" customWidth="1"/>
    <col min="1028" max="1028" width="13" style="13" customWidth="1"/>
    <col min="1029" max="1029" width="14.109375" style="13" customWidth="1"/>
    <col min="1030" max="1030" width="17.33203125" style="13" customWidth="1"/>
    <col min="1031" max="1031" width="18.88671875" style="13" customWidth="1"/>
    <col min="1032" max="1032" width="14.109375" style="13" customWidth="1"/>
    <col min="1033" max="1033" width="21.5546875" style="13" customWidth="1"/>
    <col min="1034" max="1035" width="14.109375" style="13" customWidth="1"/>
    <col min="1036" max="1036" width="15" style="13" customWidth="1"/>
    <col min="1037" max="1037" width="13.33203125" style="13" customWidth="1"/>
    <col min="1038" max="1038" width="17" style="13" customWidth="1"/>
    <col min="1039" max="1039" width="24.88671875" style="13" customWidth="1"/>
    <col min="1040" max="1040" width="14.44140625" style="13" customWidth="1"/>
    <col min="1041" max="1041" width="23.109375" style="13" customWidth="1"/>
    <col min="1042" max="1042" width="13.109375" style="13" customWidth="1"/>
    <col min="1043" max="1046" width="0" style="13" hidden="1" customWidth="1"/>
    <col min="1047" max="1282" width="10.33203125" style="13"/>
    <col min="1283" max="1283" width="7" style="13" customWidth="1"/>
    <col min="1284" max="1284" width="13" style="13" customWidth="1"/>
    <col min="1285" max="1285" width="14.109375" style="13" customWidth="1"/>
    <col min="1286" max="1286" width="17.33203125" style="13" customWidth="1"/>
    <col min="1287" max="1287" width="18.88671875" style="13" customWidth="1"/>
    <col min="1288" max="1288" width="14.109375" style="13" customWidth="1"/>
    <col min="1289" max="1289" width="21.5546875" style="13" customWidth="1"/>
    <col min="1290" max="1291" width="14.109375" style="13" customWidth="1"/>
    <col min="1292" max="1292" width="15" style="13" customWidth="1"/>
    <col min="1293" max="1293" width="13.33203125" style="13" customWidth="1"/>
    <col min="1294" max="1294" width="17" style="13" customWidth="1"/>
    <col min="1295" max="1295" width="24.88671875" style="13" customWidth="1"/>
    <col min="1296" max="1296" width="14.44140625" style="13" customWidth="1"/>
    <col min="1297" max="1297" width="23.109375" style="13" customWidth="1"/>
    <col min="1298" max="1298" width="13.109375" style="13" customWidth="1"/>
    <col min="1299" max="1302" width="0" style="13" hidden="1" customWidth="1"/>
    <col min="1303" max="1538" width="10.33203125" style="13"/>
    <col min="1539" max="1539" width="7" style="13" customWidth="1"/>
    <col min="1540" max="1540" width="13" style="13" customWidth="1"/>
    <col min="1541" max="1541" width="14.109375" style="13" customWidth="1"/>
    <col min="1542" max="1542" width="17.33203125" style="13" customWidth="1"/>
    <col min="1543" max="1543" width="18.88671875" style="13" customWidth="1"/>
    <col min="1544" max="1544" width="14.109375" style="13" customWidth="1"/>
    <col min="1545" max="1545" width="21.5546875" style="13" customWidth="1"/>
    <col min="1546" max="1547" width="14.109375" style="13" customWidth="1"/>
    <col min="1548" max="1548" width="15" style="13" customWidth="1"/>
    <col min="1549" max="1549" width="13.33203125" style="13" customWidth="1"/>
    <col min="1550" max="1550" width="17" style="13" customWidth="1"/>
    <col min="1551" max="1551" width="24.88671875" style="13" customWidth="1"/>
    <col min="1552" max="1552" width="14.44140625" style="13" customWidth="1"/>
    <col min="1553" max="1553" width="23.109375" style="13" customWidth="1"/>
    <col min="1554" max="1554" width="13.109375" style="13" customWidth="1"/>
    <col min="1555" max="1558" width="0" style="13" hidden="1" customWidth="1"/>
    <col min="1559" max="1794" width="10.33203125" style="13"/>
    <col min="1795" max="1795" width="7" style="13" customWidth="1"/>
    <col min="1796" max="1796" width="13" style="13" customWidth="1"/>
    <col min="1797" max="1797" width="14.109375" style="13" customWidth="1"/>
    <col min="1798" max="1798" width="17.33203125" style="13" customWidth="1"/>
    <col min="1799" max="1799" width="18.88671875" style="13" customWidth="1"/>
    <col min="1800" max="1800" width="14.109375" style="13" customWidth="1"/>
    <col min="1801" max="1801" width="21.5546875" style="13" customWidth="1"/>
    <col min="1802" max="1803" width="14.109375" style="13" customWidth="1"/>
    <col min="1804" max="1804" width="15" style="13" customWidth="1"/>
    <col min="1805" max="1805" width="13.33203125" style="13" customWidth="1"/>
    <col min="1806" max="1806" width="17" style="13" customWidth="1"/>
    <col min="1807" max="1807" width="24.88671875" style="13" customWidth="1"/>
    <col min="1808" max="1808" width="14.44140625" style="13" customWidth="1"/>
    <col min="1809" max="1809" width="23.109375" style="13" customWidth="1"/>
    <col min="1810" max="1810" width="13.109375" style="13" customWidth="1"/>
    <col min="1811" max="1814" width="0" style="13" hidden="1" customWidth="1"/>
    <col min="1815" max="2050" width="10.33203125" style="13"/>
    <col min="2051" max="2051" width="7" style="13" customWidth="1"/>
    <col min="2052" max="2052" width="13" style="13" customWidth="1"/>
    <col min="2053" max="2053" width="14.109375" style="13" customWidth="1"/>
    <col min="2054" max="2054" width="17.33203125" style="13" customWidth="1"/>
    <col min="2055" max="2055" width="18.88671875" style="13" customWidth="1"/>
    <col min="2056" max="2056" width="14.109375" style="13" customWidth="1"/>
    <col min="2057" max="2057" width="21.5546875" style="13" customWidth="1"/>
    <col min="2058" max="2059" width="14.109375" style="13" customWidth="1"/>
    <col min="2060" max="2060" width="15" style="13" customWidth="1"/>
    <col min="2061" max="2061" width="13.33203125" style="13" customWidth="1"/>
    <col min="2062" max="2062" width="17" style="13" customWidth="1"/>
    <col min="2063" max="2063" width="24.88671875" style="13" customWidth="1"/>
    <col min="2064" max="2064" width="14.44140625" style="13" customWidth="1"/>
    <col min="2065" max="2065" width="23.109375" style="13" customWidth="1"/>
    <col min="2066" max="2066" width="13.109375" style="13" customWidth="1"/>
    <col min="2067" max="2070" width="0" style="13" hidden="1" customWidth="1"/>
    <col min="2071" max="2306" width="10.33203125" style="13"/>
    <col min="2307" max="2307" width="7" style="13" customWidth="1"/>
    <col min="2308" max="2308" width="13" style="13" customWidth="1"/>
    <col min="2309" max="2309" width="14.109375" style="13" customWidth="1"/>
    <col min="2310" max="2310" width="17.33203125" style="13" customWidth="1"/>
    <col min="2311" max="2311" width="18.88671875" style="13" customWidth="1"/>
    <col min="2312" max="2312" width="14.109375" style="13" customWidth="1"/>
    <col min="2313" max="2313" width="21.5546875" style="13" customWidth="1"/>
    <col min="2314" max="2315" width="14.109375" style="13" customWidth="1"/>
    <col min="2316" max="2316" width="15" style="13" customWidth="1"/>
    <col min="2317" max="2317" width="13.33203125" style="13" customWidth="1"/>
    <col min="2318" max="2318" width="17" style="13" customWidth="1"/>
    <col min="2319" max="2319" width="24.88671875" style="13" customWidth="1"/>
    <col min="2320" max="2320" width="14.44140625" style="13" customWidth="1"/>
    <col min="2321" max="2321" width="23.109375" style="13" customWidth="1"/>
    <col min="2322" max="2322" width="13.109375" style="13" customWidth="1"/>
    <col min="2323" max="2326" width="0" style="13" hidden="1" customWidth="1"/>
    <col min="2327" max="2562" width="10.33203125" style="13"/>
    <col min="2563" max="2563" width="7" style="13" customWidth="1"/>
    <col min="2564" max="2564" width="13" style="13" customWidth="1"/>
    <col min="2565" max="2565" width="14.109375" style="13" customWidth="1"/>
    <col min="2566" max="2566" width="17.33203125" style="13" customWidth="1"/>
    <col min="2567" max="2567" width="18.88671875" style="13" customWidth="1"/>
    <col min="2568" max="2568" width="14.109375" style="13" customWidth="1"/>
    <col min="2569" max="2569" width="21.5546875" style="13" customWidth="1"/>
    <col min="2570" max="2571" width="14.109375" style="13" customWidth="1"/>
    <col min="2572" max="2572" width="15" style="13" customWidth="1"/>
    <col min="2573" max="2573" width="13.33203125" style="13" customWidth="1"/>
    <col min="2574" max="2574" width="17" style="13" customWidth="1"/>
    <col min="2575" max="2575" width="24.88671875" style="13" customWidth="1"/>
    <col min="2576" max="2576" width="14.44140625" style="13" customWidth="1"/>
    <col min="2577" max="2577" width="23.109375" style="13" customWidth="1"/>
    <col min="2578" max="2578" width="13.109375" style="13" customWidth="1"/>
    <col min="2579" max="2582" width="0" style="13" hidden="1" customWidth="1"/>
    <col min="2583" max="2818" width="10.33203125" style="13"/>
    <col min="2819" max="2819" width="7" style="13" customWidth="1"/>
    <col min="2820" max="2820" width="13" style="13" customWidth="1"/>
    <col min="2821" max="2821" width="14.109375" style="13" customWidth="1"/>
    <col min="2822" max="2822" width="17.33203125" style="13" customWidth="1"/>
    <col min="2823" max="2823" width="18.88671875" style="13" customWidth="1"/>
    <col min="2824" max="2824" width="14.109375" style="13" customWidth="1"/>
    <col min="2825" max="2825" width="21.5546875" style="13" customWidth="1"/>
    <col min="2826" max="2827" width="14.109375" style="13" customWidth="1"/>
    <col min="2828" max="2828" width="15" style="13" customWidth="1"/>
    <col min="2829" max="2829" width="13.33203125" style="13" customWidth="1"/>
    <col min="2830" max="2830" width="17" style="13" customWidth="1"/>
    <col min="2831" max="2831" width="24.88671875" style="13" customWidth="1"/>
    <col min="2832" max="2832" width="14.44140625" style="13" customWidth="1"/>
    <col min="2833" max="2833" width="23.109375" style="13" customWidth="1"/>
    <col min="2834" max="2834" width="13.109375" style="13" customWidth="1"/>
    <col min="2835" max="2838" width="0" style="13" hidden="1" customWidth="1"/>
    <col min="2839" max="3074" width="10.33203125" style="13"/>
    <col min="3075" max="3075" width="7" style="13" customWidth="1"/>
    <col min="3076" max="3076" width="13" style="13" customWidth="1"/>
    <col min="3077" max="3077" width="14.109375" style="13" customWidth="1"/>
    <col min="3078" max="3078" width="17.33203125" style="13" customWidth="1"/>
    <col min="3079" max="3079" width="18.88671875" style="13" customWidth="1"/>
    <col min="3080" max="3080" width="14.109375" style="13" customWidth="1"/>
    <col min="3081" max="3081" width="21.5546875" style="13" customWidth="1"/>
    <col min="3082" max="3083" width="14.109375" style="13" customWidth="1"/>
    <col min="3084" max="3084" width="15" style="13" customWidth="1"/>
    <col min="3085" max="3085" width="13.33203125" style="13" customWidth="1"/>
    <col min="3086" max="3086" width="17" style="13" customWidth="1"/>
    <col min="3087" max="3087" width="24.88671875" style="13" customWidth="1"/>
    <col min="3088" max="3088" width="14.44140625" style="13" customWidth="1"/>
    <col min="3089" max="3089" width="23.109375" style="13" customWidth="1"/>
    <col min="3090" max="3090" width="13.109375" style="13" customWidth="1"/>
    <col min="3091" max="3094" width="0" style="13" hidden="1" customWidth="1"/>
    <col min="3095" max="3330" width="10.33203125" style="13"/>
    <col min="3331" max="3331" width="7" style="13" customWidth="1"/>
    <col min="3332" max="3332" width="13" style="13" customWidth="1"/>
    <col min="3333" max="3333" width="14.109375" style="13" customWidth="1"/>
    <col min="3334" max="3334" width="17.33203125" style="13" customWidth="1"/>
    <col min="3335" max="3335" width="18.88671875" style="13" customWidth="1"/>
    <col min="3336" max="3336" width="14.109375" style="13" customWidth="1"/>
    <col min="3337" max="3337" width="21.5546875" style="13" customWidth="1"/>
    <col min="3338" max="3339" width="14.109375" style="13" customWidth="1"/>
    <col min="3340" max="3340" width="15" style="13" customWidth="1"/>
    <col min="3341" max="3341" width="13.33203125" style="13" customWidth="1"/>
    <col min="3342" max="3342" width="17" style="13" customWidth="1"/>
    <col min="3343" max="3343" width="24.88671875" style="13" customWidth="1"/>
    <col min="3344" max="3344" width="14.44140625" style="13" customWidth="1"/>
    <col min="3345" max="3345" width="23.109375" style="13" customWidth="1"/>
    <col min="3346" max="3346" width="13.109375" style="13" customWidth="1"/>
    <col min="3347" max="3350" width="0" style="13" hidden="1" customWidth="1"/>
    <col min="3351" max="3586" width="10.33203125" style="13"/>
    <col min="3587" max="3587" width="7" style="13" customWidth="1"/>
    <col min="3588" max="3588" width="13" style="13" customWidth="1"/>
    <col min="3589" max="3589" width="14.109375" style="13" customWidth="1"/>
    <col min="3590" max="3590" width="17.33203125" style="13" customWidth="1"/>
    <col min="3591" max="3591" width="18.88671875" style="13" customWidth="1"/>
    <col min="3592" max="3592" width="14.109375" style="13" customWidth="1"/>
    <col min="3593" max="3593" width="21.5546875" style="13" customWidth="1"/>
    <col min="3594" max="3595" width="14.109375" style="13" customWidth="1"/>
    <col min="3596" max="3596" width="15" style="13" customWidth="1"/>
    <col min="3597" max="3597" width="13.33203125" style="13" customWidth="1"/>
    <col min="3598" max="3598" width="17" style="13" customWidth="1"/>
    <col min="3599" max="3599" width="24.88671875" style="13" customWidth="1"/>
    <col min="3600" max="3600" width="14.44140625" style="13" customWidth="1"/>
    <col min="3601" max="3601" width="23.109375" style="13" customWidth="1"/>
    <col min="3602" max="3602" width="13.109375" style="13" customWidth="1"/>
    <col min="3603" max="3606" width="0" style="13" hidden="1" customWidth="1"/>
    <col min="3607" max="3842" width="10.33203125" style="13"/>
    <col min="3843" max="3843" width="7" style="13" customWidth="1"/>
    <col min="3844" max="3844" width="13" style="13" customWidth="1"/>
    <col min="3845" max="3845" width="14.109375" style="13" customWidth="1"/>
    <col min="3846" max="3846" width="17.33203125" style="13" customWidth="1"/>
    <col min="3847" max="3847" width="18.88671875" style="13" customWidth="1"/>
    <col min="3848" max="3848" width="14.109375" style="13" customWidth="1"/>
    <col min="3849" max="3849" width="21.5546875" style="13" customWidth="1"/>
    <col min="3850" max="3851" width="14.109375" style="13" customWidth="1"/>
    <col min="3852" max="3852" width="15" style="13" customWidth="1"/>
    <col min="3853" max="3853" width="13.33203125" style="13" customWidth="1"/>
    <col min="3854" max="3854" width="17" style="13" customWidth="1"/>
    <col min="3855" max="3855" width="24.88671875" style="13" customWidth="1"/>
    <col min="3856" max="3856" width="14.44140625" style="13" customWidth="1"/>
    <col min="3857" max="3857" width="23.109375" style="13" customWidth="1"/>
    <col min="3858" max="3858" width="13.109375" style="13" customWidth="1"/>
    <col min="3859" max="3862" width="0" style="13" hidden="1" customWidth="1"/>
    <col min="3863" max="4098" width="10.33203125" style="13"/>
    <col min="4099" max="4099" width="7" style="13" customWidth="1"/>
    <col min="4100" max="4100" width="13" style="13" customWidth="1"/>
    <col min="4101" max="4101" width="14.109375" style="13" customWidth="1"/>
    <col min="4102" max="4102" width="17.33203125" style="13" customWidth="1"/>
    <col min="4103" max="4103" width="18.88671875" style="13" customWidth="1"/>
    <col min="4104" max="4104" width="14.109375" style="13" customWidth="1"/>
    <col min="4105" max="4105" width="21.5546875" style="13" customWidth="1"/>
    <col min="4106" max="4107" width="14.109375" style="13" customWidth="1"/>
    <col min="4108" max="4108" width="15" style="13" customWidth="1"/>
    <col min="4109" max="4109" width="13.33203125" style="13" customWidth="1"/>
    <col min="4110" max="4110" width="17" style="13" customWidth="1"/>
    <col min="4111" max="4111" width="24.88671875" style="13" customWidth="1"/>
    <col min="4112" max="4112" width="14.44140625" style="13" customWidth="1"/>
    <col min="4113" max="4113" width="23.109375" style="13" customWidth="1"/>
    <col min="4114" max="4114" width="13.109375" style="13" customWidth="1"/>
    <col min="4115" max="4118" width="0" style="13" hidden="1" customWidth="1"/>
    <col min="4119" max="4354" width="10.33203125" style="13"/>
    <col min="4355" max="4355" width="7" style="13" customWidth="1"/>
    <col min="4356" max="4356" width="13" style="13" customWidth="1"/>
    <col min="4357" max="4357" width="14.109375" style="13" customWidth="1"/>
    <col min="4358" max="4358" width="17.33203125" style="13" customWidth="1"/>
    <col min="4359" max="4359" width="18.88671875" style="13" customWidth="1"/>
    <col min="4360" max="4360" width="14.109375" style="13" customWidth="1"/>
    <col min="4361" max="4361" width="21.5546875" style="13" customWidth="1"/>
    <col min="4362" max="4363" width="14.109375" style="13" customWidth="1"/>
    <col min="4364" max="4364" width="15" style="13" customWidth="1"/>
    <col min="4365" max="4365" width="13.33203125" style="13" customWidth="1"/>
    <col min="4366" max="4366" width="17" style="13" customWidth="1"/>
    <col min="4367" max="4367" width="24.88671875" style="13" customWidth="1"/>
    <col min="4368" max="4368" width="14.44140625" style="13" customWidth="1"/>
    <col min="4369" max="4369" width="23.109375" style="13" customWidth="1"/>
    <col min="4370" max="4370" width="13.109375" style="13" customWidth="1"/>
    <col min="4371" max="4374" width="0" style="13" hidden="1" customWidth="1"/>
    <col min="4375" max="4610" width="10.33203125" style="13"/>
    <col min="4611" max="4611" width="7" style="13" customWidth="1"/>
    <col min="4612" max="4612" width="13" style="13" customWidth="1"/>
    <col min="4613" max="4613" width="14.109375" style="13" customWidth="1"/>
    <col min="4614" max="4614" width="17.33203125" style="13" customWidth="1"/>
    <col min="4615" max="4615" width="18.88671875" style="13" customWidth="1"/>
    <col min="4616" max="4616" width="14.109375" style="13" customWidth="1"/>
    <col min="4617" max="4617" width="21.5546875" style="13" customWidth="1"/>
    <col min="4618" max="4619" width="14.109375" style="13" customWidth="1"/>
    <col min="4620" max="4620" width="15" style="13" customWidth="1"/>
    <col min="4621" max="4621" width="13.33203125" style="13" customWidth="1"/>
    <col min="4622" max="4622" width="17" style="13" customWidth="1"/>
    <col min="4623" max="4623" width="24.88671875" style="13" customWidth="1"/>
    <col min="4624" max="4624" width="14.44140625" style="13" customWidth="1"/>
    <col min="4625" max="4625" width="23.109375" style="13" customWidth="1"/>
    <col min="4626" max="4626" width="13.109375" style="13" customWidth="1"/>
    <col min="4627" max="4630" width="0" style="13" hidden="1" customWidth="1"/>
    <col min="4631" max="4866" width="10.33203125" style="13"/>
    <col min="4867" max="4867" width="7" style="13" customWidth="1"/>
    <col min="4868" max="4868" width="13" style="13" customWidth="1"/>
    <col min="4869" max="4869" width="14.109375" style="13" customWidth="1"/>
    <col min="4870" max="4870" width="17.33203125" style="13" customWidth="1"/>
    <col min="4871" max="4871" width="18.88671875" style="13" customWidth="1"/>
    <col min="4872" max="4872" width="14.109375" style="13" customWidth="1"/>
    <col min="4873" max="4873" width="21.5546875" style="13" customWidth="1"/>
    <col min="4874" max="4875" width="14.109375" style="13" customWidth="1"/>
    <col min="4876" max="4876" width="15" style="13" customWidth="1"/>
    <col min="4877" max="4877" width="13.33203125" style="13" customWidth="1"/>
    <col min="4878" max="4878" width="17" style="13" customWidth="1"/>
    <col min="4879" max="4879" width="24.88671875" style="13" customWidth="1"/>
    <col min="4880" max="4880" width="14.44140625" style="13" customWidth="1"/>
    <col min="4881" max="4881" width="23.109375" style="13" customWidth="1"/>
    <col min="4882" max="4882" width="13.109375" style="13" customWidth="1"/>
    <col min="4883" max="4886" width="0" style="13" hidden="1" customWidth="1"/>
    <col min="4887" max="5122" width="10.33203125" style="13"/>
    <col min="5123" max="5123" width="7" style="13" customWidth="1"/>
    <col min="5124" max="5124" width="13" style="13" customWidth="1"/>
    <col min="5125" max="5125" width="14.109375" style="13" customWidth="1"/>
    <col min="5126" max="5126" width="17.33203125" style="13" customWidth="1"/>
    <col min="5127" max="5127" width="18.88671875" style="13" customWidth="1"/>
    <col min="5128" max="5128" width="14.109375" style="13" customWidth="1"/>
    <col min="5129" max="5129" width="21.5546875" style="13" customWidth="1"/>
    <col min="5130" max="5131" width="14.109375" style="13" customWidth="1"/>
    <col min="5132" max="5132" width="15" style="13" customWidth="1"/>
    <col min="5133" max="5133" width="13.33203125" style="13" customWidth="1"/>
    <col min="5134" max="5134" width="17" style="13" customWidth="1"/>
    <col min="5135" max="5135" width="24.88671875" style="13" customWidth="1"/>
    <col min="5136" max="5136" width="14.44140625" style="13" customWidth="1"/>
    <col min="5137" max="5137" width="23.109375" style="13" customWidth="1"/>
    <col min="5138" max="5138" width="13.109375" style="13" customWidth="1"/>
    <col min="5139" max="5142" width="0" style="13" hidden="1" customWidth="1"/>
    <col min="5143" max="5378" width="10.33203125" style="13"/>
    <col min="5379" max="5379" width="7" style="13" customWidth="1"/>
    <col min="5380" max="5380" width="13" style="13" customWidth="1"/>
    <col min="5381" max="5381" width="14.109375" style="13" customWidth="1"/>
    <col min="5382" max="5382" width="17.33203125" style="13" customWidth="1"/>
    <col min="5383" max="5383" width="18.88671875" style="13" customWidth="1"/>
    <col min="5384" max="5384" width="14.109375" style="13" customWidth="1"/>
    <col min="5385" max="5385" width="21.5546875" style="13" customWidth="1"/>
    <col min="5386" max="5387" width="14.109375" style="13" customWidth="1"/>
    <col min="5388" max="5388" width="15" style="13" customWidth="1"/>
    <col min="5389" max="5389" width="13.33203125" style="13" customWidth="1"/>
    <col min="5390" max="5390" width="17" style="13" customWidth="1"/>
    <col min="5391" max="5391" width="24.88671875" style="13" customWidth="1"/>
    <col min="5392" max="5392" width="14.44140625" style="13" customWidth="1"/>
    <col min="5393" max="5393" width="23.109375" style="13" customWidth="1"/>
    <col min="5394" max="5394" width="13.109375" style="13" customWidth="1"/>
    <col min="5395" max="5398" width="0" style="13" hidden="1" customWidth="1"/>
    <col min="5399" max="5634" width="10.33203125" style="13"/>
    <col min="5635" max="5635" width="7" style="13" customWidth="1"/>
    <col min="5636" max="5636" width="13" style="13" customWidth="1"/>
    <col min="5637" max="5637" width="14.109375" style="13" customWidth="1"/>
    <col min="5638" max="5638" width="17.33203125" style="13" customWidth="1"/>
    <col min="5639" max="5639" width="18.88671875" style="13" customWidth="1"/>
    <col min="5640" max="5640" width="14.109375" style="13" customWidth="1"/>
    <col min="5641" max="5641" width="21.5546875" style="13" customWidth="1"/>
    <col min="5642" max="5643" width="14.109375" style="13" customWidth="1"/>
    <col min="5644" max="5644" width="15" style="13" customWidth="1"/>
    <col min="5645" max="5645" width="13.33203125" style="13" customWidth="1"/>
    <col min="5646" max="5646" width="17" style="13" customWidth="1"/>
    <col min="5647" max="5647" width="24.88671875" style="13" customWidth="1"/>
    <col min="5648" max="5648" width="14.44140625" style="13" customWidth="1"/>
    <col min="5649" max="5649" width="23.109375" style="13" customWidth="1"/>
    <col min="5650" max="5650" width="13.109375" style="13" customWidth="1"/>
    <col min="5651" max="5654" width="0" style="13" hidden="1" customWidth="1"/>
    <col min="5655" max="5890" width="10.33203125" style="13"/>
    <col min="5891" max="5891" width="7" style="13" customWidth="1"/>
    <col min="5892" max="5892" width="13" style="13" customWidth="1"/>
    <col min="5893" max="5893" width="14.109375" style="13" customWidth="1"/>
    <col min="5894" max="5894" width="17.33203125" style="13" customWidth="1"/>
    <col min="5895" max="5895" width="18.88671875" style="13" customWidth="1"/>
    <col min="5896" max="5896" width="14.109375" style="13" customWidth="1"/>
    <col min="5897" max="5897" width="21.5546875" style="13" customWidth="1"/>
    <col min="5898" max="5899" width="14.109375" style="13" customWidth="1"/>
    <col min="5900" max="5900" width="15" style="13" customWidth="1"/>
    <col min="5901" max="5901" width="13.33203125" style="13" customWidth="1"/>
    <col min="5902" max="5902" width="17" style="13" customWidth="1"/>
    <col min="5903" max="5903" width="24.88671875" style="13" customWidth="1"/>
    <col min="5904" max="5904" width="14.44140625" style="13" customWidth="1"/>
    <col min="5905" max="5905" width="23.109375" style="13" customWidth="1"/>
    <col min="5906" max="5906" width="13.109375" style="13" customWidth="1"/>
    <col min="5907" max="5910" width="0" style="13" hidden="1" customWidth="1"/>
    <col min="5911" max="6146" width="10.33203125" style="13"/>
    <col min="6147" max="6147" width="7" style="13" customWidth="1"/>
    <col min="6148" max="6148" width="13" style="13" customWidth="1"/>
    <col min="6149" max="6149" width="14.109375" style="13" customWidth="1"/>
    <col min="6150" max="6150" width="17.33203125" style="13" customWidth="1"/>
    <col min="6151" max="6151" width="18.88671875" style="13" customWidth="1"/>
    <col min="6152" max="6152" width="14.109375" style="13" customWidth="1"/>
    <col min="6153" max="6153" width="21.5546875" style="13" customWidth="1"/>
    <col min="6154" max="6155" width="14.109375" style="13" customWidth="1"/>
    <col min="6156" max="6156" width="15" style="13" customWidth="1"/>
    <col min="6157" max="6157" width="13.33203125" style="13" customWidth="1"/>
    <col min="6158" max="6158" width="17" style="13" customWidth="1"/>
    <col min="6159" max="6159" width="24.88671875" style="13" customWidth="1"/>
    <col min="6160" max="6160" width="14.44140625" style="13" customWidth="1"/>
    <col min="6161" max="6161" width="23.109375" style="13" customWidth="1"/>
    <col min="6162" max="6162" width="13.109375" style="13" customWidth="1"/>
    <col min="6163" max="6166" width="0" style="13" hidden="1" customWidth="1"/>
    <col min="6167" max="6402" width="10.33203125" style="13"/>
    <col min="6403" max="6403" width="7" style="13" customWidth="1"/>
    <col min="6404" max="6404" width="13" style="13" customWidth="1"/>
    <col min="6405" max="6405" width="14.109375" style="13" customWidth="1"/>
    <col min="6406" max="6406" width="17.33203125" style="13" customWidth="1"/>
    <col min="6407" max="6407" width="18.88671875" style="13" customWidth="1"/>
    <col min="6408" max="6408" width="14.109375" style="13" customWidth="1"/>
    <col min="6409" max="6409" width="21.5546875" style="13" customWidth="1"/>
    <col min="6410" max="6411" width="14.109375" style="13" customWidth="1"/>
    <col min="6412" max="6412" width="15" style="13" customWidth="1"/>
    <col min="6413" max="6413" width="13.33203125" style="13" customWidth="1"/>
    <col min="6414" max="6414" width="17" style="13" customWidth="1"/>
    <col min="6415" max="6415" width="24.88671875" style="13" customWidth="1"/>
    <col min="6416" max="6416" width="14.44140625" style="13" customWidth="1"/>
    <col min="6417" max="6417" width="23.109375" style="13" customWidth="1"/>
    <col min="6418" max="6418" width="13.109375" style="13" customWidth="1"/>
    <col min="6419" max="6422" width="0" style="13" hidden="1" customWidth="1"/>
    <col min="6423" max="6658" width="10.33203125" style="13"/>
    <col min="6659" max="6659" width="7" style="13" customWidth="1"/>
    <col min="6660" max="6660" width="13" style="13" customWidth="1"/>
    <col min="6661" max="6661" width="14.109375" style="13" customWidth="1"/>
    <col min="6662" max="6662" width="17.33203125" style="13" customWidth="1"/>
    <col min="6663" max="6663" width="18.88671875" style="13" customWidth="1"/>
    <col min="6664" max="6664" width="14.109375" style="13" customWidth="1"/>
    <col min="6665" max="6665" width="21.5546875" style="13" customWidth="1"/>
    <col min="6666" max="6667" width="14.109375" style="13" customWidth="1"/>
    <col min="6668" max="6668" width="15" style="13" customWidth="1"/>
    <col min="6669" max="6669" width="13.33203125" style="13" customWidth="1"/>
    <col min="6670" max="6670" width="17" style="13" customWidth="1"/>
    <col min="6671" max="6671" width="24.88671875" style="13" customWidth="1"/>
    <col min="6672" max="6672" width="14.44140625" style="13" customWidth="1"/>
    <col min="6673" max="6673" width="23.109375" style="13" customWidth="1"/>
    <col min="6674" max="6674" width="13.109375" style="13" customWidth="1"/>
    <col min="6675" max="6678" width="0" style="13" hidden="1" customWidth="1"/>
    <col min="6679" max="6914" width="10.33203125" style="13"/>
    <col min="6915" max="6915" width="7" style="13" customWidth="1"/>
    <col min="6916" max="6916" width="13" style="13" customWidth="1"/>
    <col min="6917" max="6917" width="14.109375" style="13" customWidth="1"/>
    <col min="6918" max="6918" width="17.33203125" style="13" customWidth="1"/>
    <col min="6919" max="6919" width="18.88671875" style="13" customWidth="1"/>
    <col min="6920" max="6920" width="14.109375" style="13" customWidth="1"/>
    <col min="6921" max="6921" width="21.5546875" style="13" customWidth="1"/>
    <col min="6922" max="6923" width="14.109375" style="13" customWidth="1"/>
    <col min="6924" max="6924" width="15" style="13" customWidth="1"/>
    <col min="6925" max="6925" width="13.33203125" style="13" customWidth="1"/>
    <col min="6926" max="6926" width="17" style="13" customWidth="1"/>
    <col min="6927" max="6927" width="24.88671875" style="13" customWidth="1"/>
    <col min="6928" max="6928" width="14.44140625" style="13" customWidth="1"/>
    <col min="6929" max="6929" width="23.109375" style="13" customWidth="1"/>
    <col min="6930" max="6930" width="13.109375" style="13" customWidth="1"/>
    <col min="6931" max="6934" width="0" style="13" hidden="1" customWidth="1"/>
    <col min="6935" max="7170" width="10.33203125" style="13"/>
    <col min="7171" max="7171" width="7" style="13" customWidth="1"/>
    <col min="7172" max="7172" width="13" style="13" customWidth="1"/>
    <col min="7173" max="7173" width="14.109375" style="13" customWidth="1"/>
    <col min="7174" max="7174" width="17.33203125" style="13" customWidth="1"/>
    <col min="7175" max="7175" width="18.88671875" style="13" customWidth="1"/>
    <col min="7176" max="7176" width="14.109375" style="13" customWidth="1"/>
    <col min="7177" max="7177" width="21.5546875" style="13" customWidth="1"/>
    <col min="7178" max="7179" width="14.109375" style="13" customWidth="1"/>
    <col min="7180" max="7180" width="15" style="13" customWidth="1"/>
    <col min="7181" max="7181" width="13.33203125" style="13" customWidth="1"/>
    <col min="7182" max="7182" width="17" style="13" customWidth="1"/>
    <col min="7183" max="7183" width="24.88671875" style="13" customWidth="1"/>
    <col min="7184" max="7184" width="14.44140625" style="13" customWidth="1"/>
    <col min="7185" max="7185" width="23.109375" style="13" customWidth="1"/>
    <col min="7186" max="7186" width="13.109375" style="13" customWidth="1"/>
    <col min="7187" max="7190" width="0" style="13" hidden="1" customWidth="1"/>
    <col min="7191" max="7426" width="10.33203125" style="13"/>
    <col min="7427" max="7427" width="7" style="13" customWidth="1"/>
    <col min="7428" max="7428" width="13" style="13" customWidth="1"/>
    <col min="7429" max="7429" width="14.109375" style="13" customWidth="1"/>
    <col min="7430" max="7430" width="17.33203125" style="13" customWidth="1"/>
    <col min="7431" max="7431" width="18.88671875" style="13" customWidth="1"/>
    <col min="7432" max="7432" width="14.109375" style="13" customWidth="1"/>
    <col min="7433" max="7433" width="21.5546875" style="13" customWidth="1"/>
    <col min="7434" max="7435" width="14.109375" style="13" customWidth="1"/>
    <col min="7436" max="7436" width="15" style="13" customWidth="1"/>
    <col min="7437" max="7437" width="13.33203125" style="13" customWidth="1"/>
    <col min="7438" max="7438" width="17" style="13" customWidth="1"/>
    <col min="7439" max="7439" width="24.88671875" style="13" customWidth="1"/>
    <col min="7440" max="7440" width="14.44140625" style="13" customWidth="1"/>
    <col min="7441" max="7441" width="23.109375" style="13" customWidth="1"/>
    <col min="7442" max="7442" width="13.109375" style="13" customWidth="1"/>
    <col min="7443" max="7446" width="0" style="13" hidden="1" customWidth="1"/>
    <col min="7447" max="7682" width="10.33203125" style="13"/>
    <col min="7683" max="7683" width="7" style="13" customWidth="1"/>
    <col min="7684" max="7684" width="13" style="13" customWidth="1"/>
    <col min="7685" max="7685" width="14.109375" style="13" customWidth="1"/>
    <col min="7686" max="7686" width="17.33203125" style="13" customWidth="1"/>
    <col min="7687" max="7687" width="18.88671875" style="13" customWidth="1"/>
    <col min="7688" max="7688" width="14.109375" style="13" customWidth="1"/>
    <col min="7689" max="7689" width="21.5546875" style="13" customWidth="1"/>
    <col min="7690" max="7691" width="14.109375" style="13" customWidth="1"/>
    <col min="7692" max="7692" width="15" style="13" customWidth="1"/>
    <col min="7693" max="7693" width="13.33203125" style="13" customWidth="1"/>
    <col min="7694" max="7694" width="17" style="13" customWidth="1"/>
    <col min="7695" max="7695" width="24.88671875" style="13" customWidth="1"/>
    <col min="7696" max="7696" width="14.44140625" style="13" customWidth="1"/>
    <col min="7697" max="7697" width="23.109375" style="13" customWidth="1"/>
    <col min="7698" max="7698" width="13.109375" style="13" customWidth="1"/>
    <col min="7699" max="7702" width="0" style="13" hidden="1" customWidth="1"/>
    <col min="7703" max="7938" width="10.33203125" style="13"/>
    <col min="7939" max="7939" width="7" style="13" customWidth="1"/>
    <col min="7940" max="7940" width="13" style="13" customWidth="1"/>
    <col min="7941" max="7941" width="14.109375" style="13" customWidth="1"/>
    <col min="7942" max="7942" width="17.33203125" style="13" customWidth="1"/>
    <col min="7943" max="7943" width="18.88671875" style="13" customWidth="1"/>
    <col min="7944" max="7944" width="14.109375" style="13" customWidth="1"/>
    <col min="7945" max="7945" width="21.5546875" style="13" customWidth="1"/>
    <col min="7946" max="7947" width="14.109375" style="13" customWidth="1"/>
    <col min="7948" max="7948" width="15" style="13" customWidth="1"/>
    <col min="7949" max="7949" width="13.33203125" style="13" customWidth="1"/>
    <col min="7950" max="7950" width="17" style="13" customWidth="1"/>
    <col min="7951" max="7951" width="24.88671875" style="13" customWidth="1"/>
    <col min="7952" max="7952" width="14.44140625" style="13" customWidth="1"/>
    <col min="7953" max="7953" width="23.109375" style="13" customWidth="1"/>
    <col min="7954" max="7954" width="13.109375" style="13" customWidth="1"/>
    <col min="7955" max="7958" width="0" style="13" hidden="1" customWidth="1"/>
    <col min="7959" max="8194" width="10.33203125" style="13"/>
    <col min="8195" max="8195" width="7" style="13" customWidth="1"/>
    <col min="8196" max="8196" width="13" style="13" customWidth="1"/>
    <col min="8197" max="8197" width="14.109375" style="13" customWidth="1"/>
    <col min="8198" max="8198" width="17.33203125" style="13" customWidth="1"/>
    <col min="8199" max="8199" width="18.88671875" style="13" customWidth="1"/>
    <col min="8200" max="8200" width="14.109375" style="13" customWidth="1"/>
    <col min="8201" max="8201" width="21.5546875" style="13" customWidth="1"/>
    <col min="8202" max="8203" width="14.109375" style="13" customWidth="1"/>
    <col min="8204" max="8204" width="15" style="13" customWidth="1"/>
    <col min="8205" max="8205" width="13.33203125" style="13" customWidth="1"/>
    <col min="8206" max="8206" width="17" style="13" customWidth="1"/>
    <col min="8207" max="8207" width="24.88671875" style="13" customWidth="1"/>
    <col min="8208" max="8208" width="14.44140625" style="13" customWidth="1"/>
    <col min="8209" max="8209" width="23.109375" style="13" customWidth="1"/>
    <col min="8210" max="8210" width="13.109375" style="13" customWidth="1"/>
    <col min="8211" max="8214" width="0" style="13" hidden="1" customWidth="1"/>
    <col min="8215" max="8450" width="10.33203125" style="13"/>
    <col min="8451" max="8451" width="7" style="13" customWidth="1"/>
    <col min="8452" max="8452" width="13" style="13" customWidth="1"/>
    <col min="8453" max="8453" width="14.109375" style="13" customWidth="1"/>
    <col min="8454" max="8454" width="17.33203125" style="13" customWidth="1"/>
    <col min="8455" max="8455" width="18.88671875" style="13" customWidth="1"/>
    <col min="8456" max="8456" width="14.109375" style="13" customWidth="1"/>
    <col min="8457" max="8457" width="21.5546875" style="13" customWidth="1"/>
    <col min="8458" max="8459" width="14.109375" style="13" customWidth="1"/>
    <col min="8460" max="8460" width="15" style="13" customWidth="1"/>
    <col min="8461" max="8461" width="13.33203125" style="13" customWidth="1"/>
    <col min="8462" max="8462" width="17" style="13" customWidth="1"/>
    <col min="8463" max="8463" width="24.88671875" style="13" customWidth="1"/>
    <col min="8464" max="8464" width="14.44140625" style="13" customWidth="1"/>
    <col min="8465" max="8465" width="23.109375" style="13" customWidth="1"/>
    <col min="8466" max="8466" width="13.109375" style="13" customWidth="1"/>
    <col min="8467" max="8470" width="0" style="13" hidden="1" customWidth="1"/>
    <col min="8471" max="8706" width="10.33203125" style="13"/>
    <col min="8707" max="8707" width="7" style="13" customWidth="1"/>
    <col min="8708" max="8708" width="13" style="13" customWidth="1"/>
    <col min="8709" max="8709" width="14.109375" style="13" customWidth="1"/>
    <col min="8710" max="8710" width="17.33203125" style="13" customWidth="1"/>
    <col min="8711" max="8711" width="18.88671875" style="13" customWidth="1"/>
    <col min="8712" max="8712" width="14.109375" style="13" customWidth="1"/>
    <col min="8713" max="8713" width="21.5546875" style="13" customWidth="1"/>
    <col min="8714" max="8715" width="14.109375" style="13" customWidth="1"/>
    <col min="8716" max="8716" width="15" style="13" customWidth="1"/>
    <col min="8717" max="8717" width="13.33203125" style="13" customWidth="1"/>
    <col min="8718" max="8718" width="17" style="13" customWidth="1"/>
    <col min="8719" max="8719" width="24.88671875" style="13" customWidth="1"/>
    <col min="8720" max="8720" width="14.44140625" style="13" customWidth="1"/>
    <col min="8721" max="8721" width="23.109375" style="13" customWidth="1"/>
    <col min="8722" max="8722" width="13.109375" style="13" customWidth="1"/>
    <col min="8723" max="8726" width="0" style="13" hidden="1" customWidth="1"/>
    <col min="8727" max="8962" width="10.33203125" style="13"/>
    <col min="8963" max="8963" width="7" style="13" customWidth="1"/>
    <col min="8964" max="8964" width="13" style="13" customWidth="1"/>
    <col min="8965" max="8965" width="14.109375" style="13" customWidth="1"/>
    <col min="8966" max="8966" width="17.33203125" style="13" customWidth="1"/>
    <col min="8967" max="8967" width="18.88671875" style="13" customWidth="1"/>
    <col min="8968" max="8968" width="14.109375" style="13" customWidth="1"/>
    <col min="8969" max="8969" width="21.5546875" style="13" customWidth="1"/>
    <col min="8970" max="8971" width="14.109375" style="13" customWidth="1"/>
    <col min="8972" max="8972" width="15" style="13" customWidth="1"/>
    <col min="8973" max="8973" width="13.33203125" style="13" customWidth="1"/>
    <col min="8974" max="8974" width="17" style="13" customWidth="1"/>
    <col min="8975" max="8975" width="24.88671875" style="13" customWidth="1"/>
    <col min="8976" max="8976" width="14.44140625" style="13" customWidth="1"/>
    <col min="8977" max="8977" width="23.109375" style="13" customWidth="1"/>
    <col min="8978" max="8978" width="13.109375" style="13" customWidth="1"/>
    <col min="8979" max="8982" width="0" style="13" hidden="1" customWidth="1"/>
    <col min="8983" max="9218" width="10.33203125" style="13"/>
    <col min="9219" max="9219" width="7" style="13" customWidth="1"/>
    <col min="9220" max="9220" width="13" style="13" customWidth="1"/>
    <col min="9221" max="9221" width="14.109375" style="13" customWidth="1"/>
    <col min="9222" max="9222" width="17.33203125" style="13" customWidth="1"/>
    <col min="9223" max="9223" width="18.88671875" style="13" customWidth="1"/>
    <col min="9224" max="9224" width="14.109375" style="13" customWidth="1"/>
    <col min="9225" max="9225" width="21.5546875" style="13" customWidth="1"/>
    <col min="9226" max="9227" width="14.109375" style="13" customWidth="1"/>
    <col min="9228" max="9228" width="15" style="13" customWidth="1"/>
    <col min="9229" max="9229" width="13.33203125" style="13" customWidth="1"/>
    <col min="9230" max="9230" width="17" style="13" customWidth="1"/>
    <col min="9231" max="9231" width="24.88671875" style="13" customWidth="1"/>
    <col min="9232" max="9232" width="14.44140625" style="13" customWidth="1"/>
    <col min="9233" max="9233" width="23.109375" style="13" customWidth="1"/>
    <col min="9234" max="9234" width="13.109375" style="13" customWidth="1"/>
    <col min="9235" max="9238" width="0" style="13" hidden="1" customWidth="1"/>
    <col min="9239" max="9474" width="10.33203125" style="13"/>
    <col min="9475" max="9475" width="7" style="13" customWidth="1"/>
    <col min="9476" max="9476" width="13" style="13" customWidth="1"/>
    <col min="9477" max="9477" width="14.109375" style="13" customWidth="1"/>
    <col min="9478" max="9478" width="17.33203125" style="13" customWidth="1"/>
    <col min="9479" max="9479" width="18.88671875" style="13" customWidth="1"/>
    <col min="9480" max="9480" width="14.109375" style="13" customWidth="1"/>
    <col min="9481" max="9481" width="21.5546875" style="13" customWidth="1"/>
    <col min="9482" max="9483" width="14.109375" style="13" customWidth="1"/>
    <col min="9484" max="9484" width="15" style="13" customWidth="1"/>
    <col min="9485" max="9485" width="13.33203125" style="13" customWidth="1"/>
    <col min="9486" max="9486" width="17" style="13" customWidth="1"/>
    <col min="9487" max="9487" width="24.88671875" style="13" customWidth="1"/>
    <col min="9488" max="9488" width="14.44140625" style="13" customWidth="1"/>
    <col min="9489" max="9489" width="23.109375" style="13" customWidth="1"/>
    <col min="9490" max="9490" width="13.109375" style="13" customWidth="1"/>
    <col min="9491" max="9494" width="0" style="13" hidden="1" customWidth="1"/>
    <col min="9495" max="9730" width="10.33203125" style="13"/>
    <col min="9731" max="9731" width="7" style="13" customWidth="1"/>
    <col min="9732" max="9732" width="13" style="13" customWidth="1"/>
    <col min="9733" max="9733" width="14.109375" style="13" customWidth="1"/>
    <col min="9734" max="9734" width="17.33203125" style="13" customWidth="1"/>
    <col min="9735" max="9735" width="18.88671875" style="13" customWidth="1"/>
    <col min="9736" max="9736" width="14.109375" style="13" customWidth="1"/>
    <col min="9737" max="9737" width="21.5546875" style="13" customWidth="1"/>
    <col min="9738" max="9739" width="14.109375" style="13" customWidth="1"/>
    <col min="9740" max="9740" width="15" style="13" customWidth="1"/>
    <col min="9741" max="9741" width="13.33203125" style="13" customWidth="1"/>
    <col min="9742" max="9742" width="17" style="13" customWidth="1"/>
    <col min="9743" max="9743" width="24.88671875" style="13" customWidth="1"/>
    <col min="9744" max="9744" width="14.44140625" style="13" customWidth="1"/>
    <col min="9745" max="9745" width="23.109375" style="13" customWidth="1"/>
    <col min="9746" max="9746" width="13.109375" style="13" customWidth="1"/>
    <col min="9747" max="9750" width="0" style="13" hidden="1" customWidth="1"/>
    <col min="9751" max="9986" width="10.33203125" style="13"/>
    <col min="9987" max="9987" width="7" style="13" customWidth="1"/>
    <col min="9988" max="9988" width="13" style="13" customWidth="1"/>
    <col min="9989" max="9989" width="14.109375" style="13" customWidth="1"/>
    <col min="9990" max="9990" width="17.33203125" style="13" customWidth="1"/>
    <col min="9991" max="9991" width="18.88671875" style="13" customWidth="1"/>
    <col min="9992" max="9992" width="14.109375" style="13" customWidth="1"/>
    <col min="9993" max="9993" width="21.5546875" style="13" customWidth="1"/>
    <col min="9994" max="9995" width="14.109375" style="13" customWidth="1"/>
    <col min="9996" max="9996" width="15" style="13" customWidth="1"/>
    <col min="9997" max="9997" width="13.33203125" style="13" customWidth="1"/>
    <col min="9998" max="9998" width="17" style="13" customWidth="1"/>
    <col min="9999" max="9999" width="24.88671875" style="13" customWidth="1"/>
    <col min="10000" max="10000" width="14.44140625" style="13" customWidth="1"/>
    <col min="10001" max="10001" width="23.109375" style="13" customWidth="1"/>
    <col min="10002" max="10002" width="13.109375" style="13" customWidth="1"/>
    <col min="10003" max="10006" width="0" style="13" hidden="1" customWidth="1"/>
    <col min="10007" max="10242" width="10.33203125" style="13"/>
    <col min="10243" max="10243" width="7" style="13" customWidth="1"/>
    <col min="10244" max="10244" width="13" style="13" customWidth="1"/>
    <col min="10245" max="10245" width="14.109375" style="13" customWidth="1"/>
    <col min="10246" max="10246" width="17.33203125" style="13" customWidth="1"/>
    <col min="10247" max="10247" width="18.88671875" style="13" customWidth="1"/>
    <col min="10248" max="10248" width="14.109375" style="13" customWidth="1"/>
    <col min="10249" max="10249" width="21.5546875" style="13" customWidth="1"/>
    <col min="10250" max="10251" width="14.109375" style="13" customWidth="1"/>
    <col min="10252" max="10252" width="15" style="13" customWidth="1"/>
    <col min="10253" max="10253" width="13.33203125" style="13" customWidth="1"/>
    <col min="10254" max="10254" width="17" style="13" customWidth="1"/>
    <col min="10255" max="10255" width="24.88671875" style="13" customWidth="1"/>
    <col min="10256" max="10256" width="14.44140625" style="13" customWidth="1"/>
    <col min="10257" max="10257" width="23.109375" style="13" customWidth="1"/>
    <col min="10258" max="10258" width="13.109375" style="13" customWidth="1"/>
    <col min="10259" max="10262" width="0" style="13" hidden="1" customWidth="1"/>
    <col min="10263" max="10498" width="10.33203125" style="13"/>
    <col min="10499" max="10499" width="7" style="13" customWidth="1"/>
    <col min="10500" max="10500" width="13" style="13" customWidth="1"/>
    <col min="10501" max="10501" width="14.109375" style="13" customWidth="1"/>
    <col min="10502" max="10502" width="17.33203125" style="13" customWidth="1"/>
    <col min="10503" max="10503" width="18.88671875" style="13" customWidth="1"/>
    <col min="10504" max="10504" width="14.109375" style="13" customWidth="1"/>
    <col min="10505" max="10505" width="21.5546875" style="13" customWidth="1"/>
    <col min="10506" max="10507" width="14.109375" style="13" customWidth="1"/>
    <col min="10508" max="10508" width="15" style="13" customWidth="1"/>
    <col min="10509" max="10509" width="13.33203125" style="13" customWidth="1"/>
    <col min="10510" max="10510" width="17" style="13" customWidth="1"/>
    <col min="10511" max="10511" width="24.88671875" style="13" customWidth="1"/>
    <col min="10512" max="10512" width="14.44140625" style="13" customWidth="1"/>
    <col min="10513" max="10513" width="23.109375" style="13" customWidth="1"/>
    <col min="10514" max="10514" width="13.109375" style="13" customWidth="1"/>
    <col min="10515" max="10518" width="0" style="13" hidden="1" customWidth="1"/>
    <col min="10519" max="10754" width="10.33203125" style="13"/>
    <col min="10755" max="10755" width="7" style="13" customWidth="1"/>
    <col min="10756" max="10756" width="13" style="13" customWidth="1"/>
    <col min="10757" max="10757" width="14.109375" style="13" customWidth="1"/>
    <col min="10758" max="10758" width="17.33203125" style="13" customWidth="1"/>
    <col min="10759" max="10759" width="18.88671875" style="13" customWidth="1"/>
    <col min="10760" max="10760" width="14.109375" style="13" customWidth="1"/>
    <col min="10761" max="10761" width="21.5546875" style="13" customWidth="1"/>
    <col min="10762" max="10763" width="14.109375" style="13" customWidth="1"/>
    <col min="10764" max="10764" width="15" style="13" customWidth="1"/>
    <col min="10765" max="10765" width="13.33203125" style="13" customWidth="1"/>
    <col min="10766" max="10766" width="17" style="13" customWidth="1"/>
    <col min="10767" max="10767" width="24.88671875" style="13" customWidth="1"/>
    <col min="10768" max="10768" width="14.44140625" style="13" customWidth="1"/>
    <col min="10769" max="10769" width="23.109375" style="13" customWidth="1"/>
    <col min="10770" max="10770" width="13.109375" style="13" customWidth="1"/>
    <col min="10771" max="10774" width="0" style="13" hidden="1" customWidth="1"/>
    <col min="10775" max="11010" width="10.33203125" style="13"/>
    <col min="11011" max="11011" width="7" style="13" customWidth="1"/>
    <col min="11012" max="11012" width="13" style="13" customWidth="1"/>
    <col min="11013" max="11013" width="14.109375" style="13" customWidth="1"/>
    <col min="11014" max="11014" width="17.33203125" style="13" customWidth="1"/>
    <col min="11015" max="11015" width="18.88671875" style="13" customWidth="1"/>
    <col min="11016" max="11016" width="14.109375" style="13" customWidth="1"/>
    <col min="11017" max="11017" width="21.5546875" style="13" customWidth="1"/>
    <col min="11018" max="11019" width="14.109375" style="13" customWidth="1"/>
    <col min="11020" max="11020" width="15" style="13" customWidth="1"/>
    <col min="11021" max="11021" width="13.33203125" style="13" customWidth="1"/>
    <col min="11022" max="11022" width="17" style="13" customWidth="1"/>
    <col min="11023" max="11023" width="24.88671875" style="13" customWidth="1"/>
    <col min="11024" max="11024" width="14.44140625" style="13" customWidth="1"/>
    <col min="11025" max="11025" width="23.109375" style="13" customWidth="1"/>
    <col min="11026" max="11026" width="13.109375" style="13" customWidth="1"/>
    <col min="11027" max="11030" width="0" style="13" hidden="1" customWidth="1"/>
    <col min="11031" max="11266" width="10.33203125" style="13"/>
    <col min="11267" max="11267" width="7" style="13" customWidth="1"/>
    <col min="11268" max="11268" width="13" style="13" customWidth="1"/>
    <col min="11269" max="11269" width="14.109375" style="13" customWidth="1"/>
    <col min="11270" max="11270" width="17.33203125" style="13" customWidth="1"/>
    <col min="11271" max="11271" width="18.88671875" style="13" customWidth="1"/>
    <col min="11272" max="11272" width="14.109375" style="13" customWidth="1"/>
    <col min="11273" max="11273" width="21.5546875" style="13" customWidth="1"/>
    <col min="11274" max="11275" width="14.109375" style="13" customWidth="1"/>
    <col min="11276" max="11276" width="15" style="13" customWidth="1"/>
    <col min="11277" max="11277" width="13.33203125" style="13" customWidth="1"/>
    <col min="11278" max="11278" width="17" style="13" customWidth="1"/>
    <col min="11279" max="11279" width="24.88671875" style="13" customWidth="1"/>
    <col min="11280" max="11280" width="14.44140625" style="13" customWidth="1"/>
    <col min="11281" max="11281" width="23.109375" style="13" customWidth="1"/>
    <col min="11282" max="11282" width="13.109375" style="13" customWidth="1"/>
    <col min="11283" max="11286" width="0" style="13" hidden="1" customWidth="1"/>
    <col min="11287" max="11522" width="10.33203125" style="13"/>
    <col min="11523" max="11523" width="7" style="13" customWidth="1"/>
    <col min="11524" max="11524" width="13" style="13" customWidth="1"/>
    <col min="11525" max="11525" width="14.109375" style="13" customWidth="1"/>
    <col min="11526" max="11526" width="17.33203125" style="13" customWidth="1"/>
    <col min="11527" max="11527" width="18.88671875" style="13" customWidth="1"/>
    <col min="11528" max="11528" width="14.109375" style="13" customWidth="1"/>
    <col min="11529" max="11529" width="21.5546875" style="13" customWidth="1"/>
    <col min="11530" max="11531" width="14.109375" style="13" customWidth="1"/>
    <col min="11532" max="11532" width="15" style="13" customWidth="1"/>
    <col min="11533" max="11533" width="13.33203125" style="13" customWidth="1"/>
    <col min="11534" max="11534" width="17" style="13" customWidth="1"/>
    <col min="11535" max="11535" width="24.88671875" style="13" customWidth="1"/>
    <col min="11536" max="11536" width="14.44140625" style="13" customWidth="1"/>
    <col min="11537" max="11537" width="23.109375" style="13" customWidth="1"/>
    <col min="11538" max="11538" width="13.109375" style="13" customWidth="1"/>
    <col min="11539" max="11542" width="0" style="13" hidden="1" customWidth="1"/>
    <col min="11543" max="11778" width="10.33203125" style="13"/>
    <col min="11779" max="11779" width="7" style="13" customWidth="1"/>
    <col min="11780" max="11780" width="13" style="13" customWidth="1"/>
    <col min="11781" max="11781" width="14.109375" style="13" customWidth="1"/>
    <col min="11782" max="11782" width="17.33203125" style="13" customWidth="1"/>
    <col min="11783" max="11783" width="18.88671875" style="13" customWidth="1"/>
    <col min="11784" max="11784" width="14.109375" style="13" customWidth="1"/>
    <col min="11785" max="11785" width="21.5546875" style="13" customWidth="1"/>
    <col min="11786" max="11787" width="14.109375" style="13" customWidth="1"/>
    <col min="11788" max="11788" width="15" style="13" customWidth="1"/>
    <col min="11789" max="11789" width="13.33203125" style="13" customWidth="1"/>
    <col min="11790" max="11790" width="17" style="13" customWidth="1"/>
    <col min="11791" max="11791" width="24.88671875" style="13" customWidth="1"/>
    <col min="11792" max="11792" width="14.44140625" style="13" customWidth="1"/>
    <col min="11793" max="11793" width="23.109375" style="13" customWidth="1"/>
    <col min="11794" max="11794" width="13.109375" style="13" customWidth="1"/>
    <col min="11795" max="11798" width="0" style="13" hidden="1" customWidth="1"/>
    <col min="11799" max="12034" width="10.33203125" style="13"/>
    <col min="12035" max="12035" width="7" style="13" customWidth="1"/>
    <col min="12036" max="12036" width="13" style="13" customWidth="1"/>
    <col min="12037" max="12037" width="14.109375" style="13" customWidth="1"/>
    <col min="12038" max="12038" width="17.33203125" style="13" customWidth="1"/>
    <col min="12039" max="12039" width="18.88671875" style="13" customWidth="1"/>
    <col min="12040" max="12040" width="14.109375" style="13" customWidth="1"/>
    <col min="12041" max="12041" width="21.5546875" style="13" customWidth="1"/>
    <col min="12042" max="12043" width="14.109375" style="13" customWidth="1"/>
    <col min="12044" max="12044" width="15" style="13" customWidth="1"/>
    <col min="12045" max="12045" width="13.33203125" style="13" customWidth="1"/>
    <col min="12046" max="12046" width="17" style="13" customWidth="1"/>
    <col min="12047" max="12047" width="24.88671875" style="13" customWidth="1"/>
    <col min="12048" max="12048" width="14.44140625" style="13" customWidth="1"/>
    <col min="12049" max="12049" width="23.109375" style="13" customWidth="1"/>
    <col min="12050" max="12050" width="13.109375" style="13" customWidth="1"/>
    <col min="12051" max="12054" width="0" style="13" hidden="1" customWidth="1"/>
    <col min="12055" max="12290" width="10.33203125" style="13"/>
    <col min="12291" max="12291" width="7" style="13" customWidth="1"/>
    <col min="12292" max="12292" width="13" style="13" customWidth="1"/>
    <col min="12293" max="12293" width="14.109375" style="13" customWidth="1"/>
    <col min="12294" max="12294" width="17.33203125" style="13" customWidth="1"/>
    <col min="12295" max="12295" width="18.88671875" style="13" customWidth="1"/>
    <col min="12296" max="12296" width="14.109375" style="13" customWidth="1"/>
    <col min="12297" max="12297" width="21.5546875" style="13" customWidth="1"/>
    <col min="12298" max="12299" width="14.109375" style="13" customWidth="1"/>
    <col min="12300" max="12300" width="15" style="13" customWidth="1"/>
    <col min="12301" max="12301" width="13.33203125" style="13" customWidth="1"/>
    <col min="12302" max="12302" width="17" style="13" customWidth="1"/>
    <col min="12303" max="12303" width="24.88671875" style="13" customWidth="1"/>
    <col min="12304" max="12304" width="14.44140625" style="13" customWidth="1"/>
    <col min="12305" max="12305" width="23.109375" style="13" customWidth="1"/>
    <col min="12306" max="12306" width="13.109375" style="13" customWidth="1"/>
    <col min="12307" max="12310" width="0" style="13" hidden="1" customWidth="1"/>
    <col min="12311" max="12546" width="10.33203125" style="13"/>
    <col min="12547" max="12547" width="7" style="13" customWidth="1"/>
    <col min="12548" max="12548" width="13" style="13" customWidth="1"/>
    <col min="12549" max="12549" width="14.109375" style="13" customWidth="1"/>
    <col min="12550" max="12550" width="17.33203125" style="13" customWidth="1"/>
    <col min="12551" max="12551" width="18.88671875" style="13" customWidth="1"/>
    <col min="12552" max="12552" width="14.109375" style="13" customWidth="1"/>
    <col min="12553" max="12553" width="21.5546875" style="13" customWidth="1"/>
    <col min="12554" max="12555" width="14.109375" style="13" customWidth="1"/>
    <col min="12556" max="12556" width="15" style="13" customWidth="1"/>
    <col min="12557" max="12557" width="13.33203125" style="13" customWidth="1"/>
    <col min="12558" max="12558" width="17" style="13" customWidth="1"/>
    <col min="12559" max="12559" width="24.88671875" style="13" customWidth="1"/>
    <col min="12560" max="12560" width="14.44140625" style="13" customWidth="1"/>
    <col min="12561" max="12561" width="23.109375" style="13" customWidth="1"/>
    <col min="12562" max="12562" width="13.109375" style="13" customWidth="1"/>
    <col min="12563" max="12566" width="0" style="13" hidden="1" customWidth="1"/>
    <col min="12567" max="12802" width="10.33203125" style="13"/>
    <col min="12803" max="12803" width="7" style="13" customWidth="1"/>
    <col min="12804" max="12804" width="13" style="13" customWidth="1"/>
    <col min="12805" max="12805" width="14.109375" style="13" customWidth="1"/>
    <col min="12806" max="12806" width="17.33203125" style="13" customWidth="1"/>
    <col min="12807" max="12807" width="18.88671875" style="13" customWidth="1"/>
    <col min="12808" max="12808" width="14.109375" style="13" customWidth="1"/>
    <col min="12809" max="12809" width="21.5546875" style="13" customWidth="1"/>
    <col min="12810" max="12811" width="14.109375" style="13" customWidth="1"/>
    <col min="12812" max="12812" width="15" style="13" customWidth="1"/>
    <col min="12813" max="12813" width="13.33203125" style="13" customWidth="1"/>
    <col min="12814" max="12814" width="17" style="13" customWidth="1"/>
    <col min="12815" max="12815" width="24.88671875" style="13" customWidth="1"/>
    <col min="12816" max="12816" width="14.44140625" style="13" customWidth="1"/>
    <col min="12817" max="12817" width="23.109375" style="13" customWidth="1"/>
    <col min="12818" max="12818" width="13.109375" style="13" customWidth="1"/>
    <col min="12819" max="12822" width="0" style="13" hidden="1" customWidth="1"/>
    <col min="12823" max="13058" width="10.33203125" style="13"/>
    <col min="13059" max="13059" width="7" style="13" customWidth="1"/>
    <col min="13060" max="13060" width="13" style="13" customWidth="1"/>
    <col min="13061" max="13061" width="14.109375" style="13" customWidth="1"/>
    <col min="13062" max="13062" width="17.33203125" style="13" customWidth="1"/>
    <col min="13063" max="13063" width="18.88671875" style="13" customWidth="1"/>
    <col min="13064" max="13064" width="14.109375" style="13" customWidth="1"/>
    <col min="13065" max="13065" width="21.5546875" style="13" customWidth="1"/>
    <col min="13066" max="13067" width="14.109375" style="13" customWidth="1"/>
    <col min="13068" max="13068" width="15" style="13" customWidth="1"/>
    <col min="13069" max="13069" width="13.33203125" style="13" customWidth="1"/>
    <col min="13070" max="13070" width="17" style="13" customWidth="1"/>
    <col min="13071" max="13071" width="24.88671875" style="13" customWidth="1"/>
    <col min="13072" max="13072" width="14.44140625" style="13" customWidth="1"/>
    <col min="13073" max="13073" width="23.109375" style="13" customWidth="1"/>
    <col min="13074" max="13074" width="13.109375" style="13" customWidth="1"/>
    <col min="13075" max="13078" width="0" style="13" hidden="1" customWidth="1"/>
    <col min="13079" max="13314" width="10.33203125" style="13"/>
    <col min="13315" max="13315" width="7" style="13" customWidth="1"/>
    <col min="13316" max="13316" width="13" style="13" customWidth="1"/>
    <col min="13317" max="13317" width="14.109375" style="13" customWidth="1"/>
    <col min="13318" max="13318" width="17.33203125" style="13" customWidth="1"/>
    <col min="13319" max="13319" width="18.88671875" style="13" customWidth="1"/>
    <col min="13320" max="13320" width="14.109375" style="13" customWidth="1"/>
    <col min="13321" max="13321" width="21.5546875" style="13" customWidth="1"/>
    <col min="13322" max="13323" width="14.109375" style="13" customWidth="1"/>
    <col min="13324" max="13324" width="15" style="13" customWidth="1"/>
    <col min="13325" max="13325" width="13.33203125" style="13" customWidth="1"/>
    <col min="13326" max="13326" width="17" style="13" customWidth="1"/>
    <col min="13327" max="13327" width="24.88671875" style="13" customWidth="1"/>
    <col min="13328" max="13328" width="14.44140625" style="13" customWidth="1"/>
    <col min="13329" max="13329" width="23.109375" style="13" customWidth="1"/>
    <col min="13330" max="13330" width="13.109375" style="13" customWidth="1"/>
    <col min="13331" max="13334" width="0" style="13" hidden="1" customWidth="1"/>
    <col min="13335" max="13570" width="10.33203125" style="13"/>
    <col min="13571" max="13571" width="7" style="13" customWidth="1"/>
    <col min="13572" max="13572" width="13" style="13" customWidth="1"/>
    <col min="13573" max="13573" width="14.109375" style="13" customWidth="1"/>
    <col min="13574" max="13574" width="17.33203125" style="13" customWidth="1"/>
    <col min="13575" max="13575" width="18.88671875" style="13" customWidth="1"/>
    <col min="13576" max="13576" width="14.109375" style="13" customWidth="1"/>
    <col min="13577" max="13577" width="21.5546875" style="13" customWidth="1"/>
    <col min="13578" max="13579" width="14.109375" style="13" customWidth="1"/>
    <col min="13580" max="13580" width="15" style="13" customWidth="1"/>
    <col min="13581" max="13581" width="13.33203125" style="13" customWidth="1"/>
    <col min="13582" max="13582" width="17" style="13" customWidth="1"/>
    <col min="13583" max="13583" width="24.88671875" style="13" customWidth="1"/>
    <col min="13584" max="13584" width="14.44140625" style="13" customWidth="1"/>
    <col min="13585" max="13585" width="23.109375" style="13" customWidth="1"/>
    <col min="13586" max="13586" width="13.109375" style="13" customWidth="1"/>
    <col min="13587" max="13590" width="0" style="13" hidden="1" customWidth="1"/>
    <col min="13591" max="13826" width="10.33203125" style="13"/>
    <col min="13827" max="13827" width="7" style="13" customWidth="1"/>
    <col min="13828" max="13828" width="13" style="13" customWidth="1"/>
    <col min="13829" max="13829" width="14.109375" style="13" customWidth="1"/>
    <col min="13830" max="13830" width="17.33203125" style="13" customWidth="1"/>
    <col min="13831" max="13831" width="18.88671875" style="13" customWidth="1"/>
    <col min="13832" max="13832" width="14.109375" style="13" customWidth="1"/>
    <col min="13833" max="13833" width="21.5546875" style="13" customWidth="1"/>
    <col min="13834" max="13835" width="14.109375" style="13" customWidth="1"/>
    <col min="13836" max="13836" width="15" style="13" customWidth="1"/>
    <col min="13837" max="13837" width="13.33203125" style="13" customWidth="1"/>
    <col min="13838" max="13838" width="17" style="13" customWidth="1"/>
    <col min="13839" max="13839" width="24.88671875" style="13" customWidth="1"/>
    <col min="13840" max="13840" width="14.44140625" style="13" customWidth="1"/>
    <col min="13841" max="13841" width="23.109375" style="13" customWidth="1"/>
    <col min="13842" max="13842" width="13.109375" style="13" customWidth="1"/>
    <col min="13843" max="13846" width="0" style="13" hidden="1" customWidth="1"/>
    <col min="13847" max="14082" width="10.33203125" style="13"/>
    <col min="14083" max="14083" width="7" style="13" customWidth="1"/>
    <col min="14084" max="14084" width="13" style="13" customWidth="1"/>
    <col min="14085" max="14085" width="14.109375" style="13" customWidth="1"/>
    <col min="14086" max="14086" width="17.33203125" style="13" customWidth="1"/>
    <col min="14087" max="14087" width="18.88671875" style="13" customWidth="1"/>
    <col min="14088" max="14088" width="14.109375" style="13" customWidth="1"/>
    <col min="14089" max="14089" width="21.5546875" style="13" customWidth="1"/>
    <col min="14090" max="14091" width="14.109375" style="13" customWidth="1"/>
    <col min="14092" max="14092" width="15" style="13" customWidth="1"/>
    <col min="14093" max="14093" width="13.33203125" style="13" customWidth="1"/>
    <col min="14094" max="14094" width="17" style="13" customWidth="1"/>
    <col min="14095" max="14095" width="24.88671875" style="13" customWidth="1"/>
    <col min="14096" max="14096" width="14.44140625" style="13" customWidth="1"/>
    <col min="14097" max="14097" width="23.109375" style="13" customWidth="1"/>
    <col min="14098" max="14098" width="13.109375" style="13" customWidth="1"/>
    <col min="14099" max="14102" width="0" style="13" hidden="1" customWidth="1"/>
    <col min="14103" max="14338" width="10.33203125" style="13"/>
    <col min="14339" max="14339" width="7" style="13" customWidth="1"/>
    <col min="14340" max="14340" width="13" style="13" customWidth="1"/>
    <col min="14341" max="14341" width="14.109375" style="13" customWidth="1"/>
    <col min="14342" max="14342" width="17.33203125" style="13" customWidth="1"/>
    <col min="14343" max="14343" width="18.88671875" style="13" customWidth="1"/>
    <col min="14344" max="14344" width="14.109375" style="13" customWidth="1"/>
    <col min="14345" max="14345" width="21.5546875" style="13" customWidth="1"/>
    <col min="14346" max="14347" width="14.109375" style="13" customWidth="1"/>
    <col min="14348" max="14348" width="15" style="13" customWidth="1"/>
    <col min="14349" max="14349" width="13.33203125" style="13" customWidth="1"/>
    <col min="14350" max="14350" width="17" style="13" customWidth="1"/>
    <col min="14351" max="14351" width="24.88671875" style="13" customWidth="1"/>
    <col min="14352" max="14352" width="14.44140625" style="13" customWidth="1"/>
    <col min="14353" max="14353" width="23.109375" style="13" customWidth="1"/>
    <col min="14354" max="14354" width="13.109375" style="13" customWidth="1"/>
    <col min="14355" max="14358" width="0" style="13" hidden="1" customWidth="1"/>
    <col min="14359" max="14594" width="10.33203125" style="13"/>
    <col min="14595" max="14595" width="7" style="13" customWidth="1"/>
    <col min="14596" max="14596" width="13" style="13" customWidth="1"/>
    <col min="14597" max="14597" width="14.109375" style="13" customWidth="1"/>
    <col min="14598" max="14598" width="17.33203125" style="13" customWidth="1"/>
    <col min="14599" max="14599" width="18.88671875" style="13" customWidth="1"/>
    <col min="14600" max="14600" width="14.109375" style="13" customWidth="1"/>
    <col min="14601" max="14601" width="21.5546875" style="13" customWidth="1"/>
    <col min="14602" max="14603" width="14.109375" style="13" customWidth="1"/>
    <col min="14604" max="14604" width="15" style="13" customWidth="1"/>
    <col min="14605" max="14605" width="13.33203125" style="13" customWidth="1"/>
    <col min="14606" max="14606" width="17" style="13" customWidth="1"/>
    <col min="14607" max="14607" width="24.88671875" style="13" customWidth="1"/>
    <col min="14608" max="14608" width="14.44140625" style="13" customWidth="1"/>
    <col min="14609" max="14609" width="23.109375" style="13" customWidth="1"/>
    <col min="14610" max="14610" width="13.109375" style="13" customWidth="1"/>
    <col min="14611" max="14614" width="0" style="13" hidden="1" customWidth="1"/>
    <col min="14615" max="14850" width="10.33203125" style="13"/>
    <col min="14851" max="14851" width="7" style="13" customWidth="1"/>
    <col min="14852" max="14852" width="13" style="13" customWidth="1"/>
    <col min="14853" max="14853" width="14.109375" style="13" customWidth="1"/>
    <col min="14854" max="14854" width="17.33203125" style="13" customWidth="1"/>
    <col min="14855" max="14855" width="18.88671875" style="13" customWidth="1"/>
    <col min="14856" max="14856" width="14.109375" style="13" customWidth="1"/>
    <col min="14857" max="14857" width="21.5546875" style="13" customWidth="1"/>
    <col min="14858" max="14859" width="14.109375" style="13" customWidth="1"/>
    <col min="14860" max="14860" width="15" style="13" customWidth="1"/>
    <col min="14861" max="14861" width="13.33203125" style="13" customWidth="1"/>
    <col min="14862" max="14862" width="17" style="13" customWidth="1"/>
    <col min="14863" max="14863" width="24.88671875" style="13" customWidth="1"/>
    <col min="14864" max="14864" width="14.44140625" style="13" customWidth="1"/>
    <col min="14865" max="14865" width="23.109375" style="13" customWidth="1"/>
    <col min="14866" max="14866" width="13.109375" style="13" customWidth="1"/>
    <col min="14867" max="14870" width="0" style="13" hidden="1" customWidth="1"/>
    <col min="14871" max="15106" width="10.33203125" style="13"/>
    <col min="15107" max="15107" width="7" style="13" customWidth="1"/>
    <col min="15108" max="15108" width="13" style="13" customWidth="1"/>
    <col min="15109" max="15109" width="14.109375" style="13" customWidth="1"/>
    <col min="15110" max="15110" width="17.33203125" style="13" customWidth="1"/>
    <col min="15111" max="15111" width="18.88671875" style="13" customWidth="1"/>
    <col min="15112" max="15112" width="14.109375" style="13" customWidth="1"/>
    <col min="15113" max="15113" width="21.5546875" style="13" customWidth="1"/>
    <col min="15114" max="15115" width="14.109375" style="13" customWidth="1"/>
    <col min="15116" max="15116" width="15" style="13" customWidth="1"/>
    <col min="15117" max="15117" width="13.33203125" style="13" customWidth="1"/>
    <col min="15118" max="15118" width="17" style="13" customWidth="1"/>
    <col min="15119" max="15119" width="24.88671875" style="13" customWidth="1"/>
    <col min="15120" max="15120" width="14.44140625" style="13" customWidth="1"/>
    <col min="15121" max="15121" width="23.109375" style="13" customWidth="1"/>
    <col min="15122" max="15122" width="13.109375" style="13" customWidth="1"/>
    <col min="15123" max="15126" width="0" style="13" hidden="1" customWidth="1"/>
    <col min="15127" max="15362" width="10.33203125" style="13"/>
    <col min="15363" max="15363" width="7" style="13" customWidth="1"/>
    <col min="15364" max="15364" width="13" style="13" customWidth="1"/>
    <col min="15365" max="15365" width="14.109375" style="13" customWidth="1"/>
    <col min="15366" max="15366" width="17.33203125" style="13" customWidth="1"/>
    <col min="15367" max="15367" width="18.88671875" style="13" customWidth="1"/>
    <col min="15368" max="15368" width="14.109375" style="13" customWidth="1"/>
    <col min="15369" max="15369" width="21.5546875" style="13" customWidth="1"/>
    <col min="15370" max="15371" width="14.109375" style="13" customWidth="1"/>
    <col min="15372" max="15372" width="15" style="13" customWidth="1"/>
    <col min="15373" max="15373" width="13.33203125" style="13" customWidth="1"/>
    <col min="15374" max="15374" width="17" style="13" customWidth="1"/>
    <col min="15375" max="15375" width="24.88671875" style="13" customWidth="1"/>
    <col min="15376" max="15376" width="14.44140625" style="13" customWidth="1"/>
    <col min="15377" max="15377" width="23.109375" style="13" customWidth="1"/>
    <col min="15378" max="15378" width="13.109375" style="13" customWidth="1"/>
    <col min="15379" max="15382" width="0" style="13" hidden="1" customWidth="1"/>
    <col min="15383" max="15618" width="10.33203125" style="13"/>
    <col min="15619" max="15619" width="7" style="13" customWidth="1"/>
    <col min="15620" max="15620" width="13" style="13" customWidth="1"/>
    <col min="15621" max="15621" width="14.109375" style="13" customWidth="1"/>
    <col min="15622" max="15622" width="17.33203125" style="13" customWidth="1"/>
    <col min="15623" max="15623" width="18.88671875" style="13" customWidth="1"/>
    <col min="15624" max="15624" width="14.109375" style="13" customWidth="1"/>
    <col min="15625" max="15625" width="21.5546875" style="13" customWidth="1"/>
    <col min="15626" max="15627" width="14.109375" style="13" customWidth="1"/>
    <col min="15628" max="15628" width="15" style="13" customWidth="1"/>
    <col min="15629" max="15629" width="13.33203125" style="13" customWidth="1"/>
    <col min="15630" max="15630" width="17" style="13" customWidth="1"/>
    <col min="15631" max="15631" width="24.88671875" style="13" customWidth="1"/>
    <col min="15632" max="15632" width="14.44140625" style="13" customWidth="1"/>
    <col min="15633" max="15633" width="23.109375" style="13" customWidth="1"/>
    <col min="15634" max="15634" width="13.109375" style="13" customWidth="1"/>
    <col min="15635" max="15638" width="0" style="13" hidden="1" customWidth="1"/>
    <col min="15639" max="15874" width="10.33203125" style="13"/>
    <col min="15875" max="15875" width="7" style="13" customWidth="1"/>
    <col min="15876" max="15876" width="13" style="13" customWidth="1"/>
    <col min="15877" max="15877" width="14.109375" style="13" customWidth="1"/>
    <col min="15878" max="15878" width="17.33203125" style="13" customWidth="1"/>
    <col min="15879" max="15879" width="18.88671875" style="13" customWidth="1"/>
    <col min="15880" max="15880" width="14.109375" style="13" customWidth="1"/>
    <col min="15881" max="15881" width="21.5546875" style="13" customWidth="1"/>
    <col min="15882" max="15883" width="14.109375" style="13" customWidth="1"/>
    <col min="15884" max="15884" width="15" style="13" customWidth="1"/>
    <col min="15885" max="15885" width="13.33203125" style="13" customWidth="1"/>
    <col min="15886" max="15886" width="17" style="13" customWidth="1"/>
    <col min="15887" max="15887" width="24.88671875" style="13" customWidth="1"/>
    <col min="15888" max="15888" width="14.44140625" style="13" customWidth="1"/>
    <col min="15889" max="15889" width="23.109375" style="13" customWidth="1"/>
    <col min="15890" max="15890" width="13.109375" style="13" customWidth="1"/>
    <col min="15891" max="15894" width="0" style="13" hidden="1" customWidth="1"/>
    <col min="15895" max="16130" width="10.33203125" style="13"/>
    <col min="16131" max="16131" width="7" style="13" customWidth="1"/>
    <col min="16132" max="16132" width="13" style="13" customWidth="1"/>
    <col min="16133" max="16133" width="14.109375" style="13" customWidth="1"/>
    <col min="16134" max="16134" width="17.33203125" style="13" customWidth="1"/>
    <col min="16135" max="16135" width="18.88671875" style="13" customWidth="1"/>
    <col min="16136" max="16136" width="14.109375" style="13" customWidth="1"/>
    <col min="16137" max="16137" width="21.5546875" style="13" customWidth="1"/>
    <col min="16138" max="16139" width="14.109375" style="13" customWidth="1"/>
    <col min="16140" max="16140" width="15" style="13" customWidth="1"/>
    <col min="16141" max="16141" width="13.33203125" style="13" customWidth="1"/>
    <col min="16142" max="16142" width="17" style="13" customWidth="1"/>
    <col min="16143" max="16143" width="24.88671875" style="13" customWidth="1"/>
    <col min="16144" max="16144" width="14.44140625" style="13" customWidth="1"/>
    <col min="16145" max="16145" width="23.109375" style="13" customWidth="1"/>
    <col min="16146" max="16146" width="13.109375" style="13" customWidth="1"/>
    <col min="16147" max="16150" width="0" style="13" hidden="1" customWidth="1"/>
    <col min="16151" max="16384" width="10.33203125" style="13"/>
  </cols>
  <sheetData>
    <row r="1" spans="1:93" ht="15" customHeight="1">
      <c r="J1" s="125"/>
      <c r="K1" s="125"/>
      <c r="L1" s="125"/>
      <c r="M1" s="125"/>
      <c r="N1" s="125"/>
    </row>
    <row r="2" spans="1:93" ht="20.399999999999999">
      <c r="B2" s="3687" t="s">
        <v>1</v>
      </c>
      <c r="C2" s="3687"/>
      <c r="D2" s="3687"/>
      <c r="E2" s="3687"/>
      <c r="F2" s="3687"/>
      <c r="G2" s="3687"/>
      <c r="H2" s="3687"/>
      <c r="I2" s="3687"/>
      <c r="J2" s="3687"/>
      <c r="K2" s="3687"/>
      <c r="L2" s="3687"/>
      <c r="M2" s="3687"/>
      <c r="N2" s="3687"/>
      <c r="O2" s="294"/>
      <c r="P2" s="294"/>
      <c r="Q2" s="294"/>
      <c r="R2" s="10"/>
      <c r="S2" s="10"/>
      <c r="T2" s="11"/>
      <c r="U2" s="11"/>
    </row>
    <row r="3" spans="1:93">
      <c r="J3" s="3686" t="s">
        <v>0</v>
      </c>
      <c r="K3" s="3686"/>
      <c r="L3" s="3686"/>
      <c r="M3" s="3686"/>
      <c r="N3" s="3686"/>
    </row>
    <row r="4" spans="1:93" ht="26.4">
      <c r="A4" s="29" t="s">
        <v>2</v>
      </c>
      <c r="B4" s="30" t="s">
        <v>3</v>
      </c>
      <c r="C4" s="31" t="s">
        <v>4</v>
      </c>
      <c r="D4" s="30" t="s">
        <v>5</v>
      </c>
      <c r="E4" s="30" t="s">
        <v>6</v>
      </c>
      <c r="F4" s="32" t="s">
        <v>7</v>
      </c>
      <c r="G4" s="33" t="s">
        <v>8</v>
      </c>
      <c r="H4" s="33" t="s">
        <v>9</v>
      </c>
      <c r="I4" s="34" t="s">
        <v>10</v>
      </c>
      <c r="J4" s="35" t="s">
        <v>11</v>
      </c>
      <c r="K4" s="35" t="s">
        <v>12</v>
      </c>
      <c r="L4" s="33" t="s">
        <v>13</v>
      </c>
      <c r="M4" s="33" t="s">
        <v>214</v>
      </c>
      <c r="N4" s="33" t="s">
        <v>14</v>
      </c>
      <c r="O4" s="29" t="s">
        <v>15</v>
      </c>
      <c r="P4" s="29"/>
      <c r="Q4" s="36" t="s">
        <v>16</v>
      </c>
      <c r="R4" s="37" t="s">
        <v>17</v>
      </c>
      <c r="S4" s="38" t="s">
        <v>18</v>
      </c>
      <c r="T4" s="39" t="s">
        <v>19</v>
      </c>
      <c r="U4" s="39" t="s">
        <v>20</v>
      </c>
      <c r="V4" s="39" t="s">
        <v>21</v>
      </c>
      <c r="W4" s="40" t="s">
        <v>106</v>
      </c>
      <c r="X4" s="41" t="s">
        <v>22</v>
      </c>
      <c r="Y4" s="40" t="s">
        <v>23</v>
      </c>
      <c r="Z4" s="40" t="s">
        <v>24</v>
      </c>
      <c r="AA4" s="40" t="s">
        <v>25</v>
      </c>
      <c r="AB4" s="40" t="s">
        <v>26</v>
      </c>
      <c r="AC4" s="40" t="s">
        <v>27</v>
      </c>
      <c r="AD4" s="40" t="s">
        <v>28</v>
      </c>
      <c r="AE4" s="40" t="s">
        <v>29</v>
      </c>
      <c r="AF4" s="41" t="s">
        <v>30</v>
      </c>
      <c r="AG4" s="42" t="s">
        <v>31</v>
      </c>
      <c r="AH4" s="40" t="s">
        <v>32</v>
      </c>
      <c r="AI4" s="40" t="s">
        <v>33</v>
      </c>
      <c r="AJ4" s="40" t="s">
        <v>34</v>
      </c>
      <c r="AK4" s="42" t="s">
        <v>35</v>
      </c>
      <c r="AL4" s="42" t="s">
        <v>36</v>
      </c>
      <c r="AM4" s="42" t="s">
        <v>37</v>
      </c>
      <c r="AN4" s="40" t="s">
        <v>38</v>
      </c>
      <c r="AO4" s="42" t="s">
        <v>39</v>
      </c>
      <c r="AP4" s="42" t="s">
        <v>40</v>
      </c>
      <c r="AQ4" s="42" t="s">
        <v>41</v>
      </c>
      <c r="AR4" s="40" t="s">
        <v>42</v>
      </c>
      <c r="AS4" s="40" t="s">
        <v>43</v>
      </c>
      <c r="AT4" s="40" t="s">
        <v>44</v>
      </c>
      <c r="AU4" s="40" t="s">
        <v>45</v>
      </c>
      <c r="AV4" s="40" t="s">
        <v>46</v>
      </c>
      <c r="AW4" s="40" t="s">
        <v>47</v>
      </c>
      <c r="AX4" s="40" t="s">
        <v>48</v>
      </c>
      <c r="AY4" s="40" t="s">
        <v>49</v>
      </c>
      <c r="AZ4" s="40" t="s">
        <v>50</v>
      </c>
      <c r="BA4" s="40" t="s">
        <v>51</v>
      </c>
      <c r="BB4" s="40" t="s">
        <v>52</v>
      </c>
      <c r="BC4" s="40" t="s">
        <v>53</v>
      </c>
      <c r="BD4" s="40" t="s">
        <v>54</v>
      </c>
      <c r="BE4" s="40" t="s">
        <v>55</v>
      </c>
      <c r="BF4" s="40" t="s">
        <v>56</v>
      </c>
      <c r="BG4" s="40" t="s">
        <v>57</v>
      </c>
      <c r="BH4" s="40" t="s">
        <v>58</v>
      </c>
      <c r="BI4" s="40" t="s">
        <v>59</v>
      </c>
      <c r="BJ4" s="41" t="s">
        <v>60</v>
      </c>
      <c r="BK4" s="41" t="s">
        <v>61</v>
      </c>
      <c r="BL4" s="40" t="s">
        <v>62</v>
      </c>
      <c r="BM4" s="40" t="s">
        <v>63</v>
      </c>
      <c r="BN4" s="41" t="s">
        <v>64</v>
      </c>
      <c r="BO4" s="42" t="s">
        <v>65</v>
      </c>
      <c r="BP4" s="42" t="s">
        <v>66</v>
      </c>
      <c r="BQ4" s="42" t="s">
        <v>67</v>
      </c>
      <c r="BR4" s="42" t="s">
        <v>68</v>
      </c>
      <c r="BS4" s="42" t="s">
        <v>69</v>
      </c>
      <c r="BT4" s="42" t="s">
        <v>70</v>
      </c>
      <c r="BU4" s="42" t="s">
        <v>71</v>
      </c>
      <c r="BV4" s="42" t="s">
        <v>72</v>
      </c>
      <c r="BW4" s="40" t="s">
        <v>73</v>
      </c>
      <c r="BX4" s="40" t="s">
        <v>74</v>
      </c>
      <c r="BY4" s="40" t="s">
        <v>75</v>
      </c>
      <c r="BZ4" s="40" t="s">
        <v>76</v>
      </c>
      <c r="CA4" s="40" t="s">
        <v>77</v>
      </c>
      <c r="CB4" s="40" t="s">
        <v>78</v>
      </c>
      <c r="CC4" s="40" t="s">
        <v>79</v>
      </c>
      <c r="CD4" s="40" t="s">
        <v>80</v>
      </c>
      <c r="CE4" s="40" t="s">
        <v>81</v>
      </c>
      <c r="CF4" s="40" t="s">
        <v>82</v>
      </c>
      <c r="CG4" s="40" t="s">
        <v>83</v>
      </c>
      <c r="CH4" s="40" t="s">
        <v>84</v>
      </c>
      <c r="CI4" s="40" t="s">
        <v>85</v>
      </c>
      <c r="CJ4" s="40" t="s">
        <v>86</v>
      </c>
      <c r="CK4" s="40" t="s">
        <v>87</v>
      </c>
      <c r="CL4" s="40" t="s">
        <v>88</v>
      </c>
      <c r="CM4" s="40" t="s">
        <v>89</v>
      </c>
      <c r="CN4" s="40" t="s">
        <v>90</v>
      </c>
      <c r="CO4" s="43" t="s">
        <v>91</v>
      </c>
    </row>
    <row r="5" spans="1:93">
      <c r="A5" s="44">
        <v>1</v>
      </c>
      <c r="B5" s="178" t="s">
        <v>118</v>
      </c>
      <c r="C5" s="46">
        <v>44930</v>
      </c>
      <c r="D5" s="47" t="s">
        <v>104</v>
      </c>
      <c r="E5" s="126"/>
      <c r="F5" s="296">
        <v>44963</v>
      </c>
      <c r="G5" s="167">
        <v>1</v>
      </c>
      <c r="H5" s="167"/>
      <c r="I5" s="160" t="s">
        <v>105</v>
      </c>
      <c r="J5" s="180">
        <f t="shared" ref="J5:J17" si="0">(G5*$C$255)+(G5*$C$256)+(H5*$D$255+H5*$D$256)+(G5*$C$258+H5*$D$258)</f>
        <v>1300000</v>
      </c>
      <c r="K5" s="181">
        <f t="shared" ref="K5:K12" si="1">SUM(G5:I5)*250000</f>
        <v>250000</v>
      </c>
      <c r="L5" s="182">
        <v>300000</v>
      </c>
      <c r="M5" s="182"/>
      <c r="N5" s="183">
        <f>+SUM(J5:M5)</f>
        <v>1850000</v>
      </c>
      <c r="O5" s="172">
        <v>7242946470</v>
      </c>
      <c r="P5" s="129"/>
      <c r="Q5" s="130"/>
      <c r="R5" s="190">
        <v>790</v>
      </c>
      <c r="S5" s="50"/>
      <c r="T5" s="48"/>
      <c r="U5" s="48"/>
      <c r="V5" s="48"/>
      <c r="W5" s="44" t="s">
        <v>107</v>
      </c>
      <c r="X5" s="49"/>
      <c r="Y5" s="48"/>
      <c r="Z5" s="48"/>
      <c r="AA5" s="48"/>
      <c r="AB5" s="48"/>
      <c r="AC5" s="51"/>
      <c r="AD5" s="48"/>
      <c r="AE5" s="48"/>
      <c r="AF5" s="49"/>
      <c r="AG5" s="50"/>
      <c r="AH5" s="48"/>
      <c r="AI5" s="48"/>
      <c r="AJ5" s="48"/>
      <c r="AK5" s="50"/>
      <c r="AL5" s="50"/>
      <c r="AM5" s="50"/>
      <c r="AN5" s="48"/>
      <c r="AO5" s="52"/>
      <c r="AP5" s="52"/>
      <c r="AQ5" s="52"/>
      <c r="AR5" s="51"/>
      <c r="AS5" s="51"/>
      <c r="AT5" s="51"/>
      <c r="AU5" s="51"/>
      <c r="AV5" s="51"/>
      <c r="AW5" s="48"/>
      <c r="AX5" s="48"/>
      <c r="AY5" s="48"/>
      <c r="AZ5" s="48"/>
      <c r="BA5" s="51"/>
      <c r="BB5" s="48"/>
      <c r="BC5" s="48"/>
      <c r="BD5" s="48"/>
      <c r="BE5" s="48"/>
      <c r="BF5" s="51"/>
      <c r="BG5" s="48"/>
      <c r="BH5" s="48"/>
      <c r="BI5" s="48"/>
      <c r="BJ5" s="49"/>
      <c r="BK5" s="49"/>
      <c r="BL5" s="53"/>
      <c r="BM5" s="185" t="s">
        <v>108</v>
      </c>
      <c r="BN5" s="54"/>
      <c r="BO5" s="50"/>
      <c r="BP5" s="50"/>
      <c r="BQ5" s="50"/>
      <c r="BR5" s="50"/>
      <c r="BS5" s="50"/>
      <c r="BT5" s="50"/>
      <c r="BU5" s="50"/>
      <c r="BV5" s="50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55"/>
    </row>
    <row r="6" spans="1:93">
      <c r="A6" s="44">
        <v>2</v>
      </c>
      <c r="B6" s="178" t="s">
        <v>119</v>
      </c>
      <c r="C6" s="46">
        <v>44931</v>
      </c>
      <c r="D6" s="47" t="s">
        <v>109</v>
      </c>
      <c r="E6" s="126"/>
      <c r="F6" s="296">
        <v>44963</v>
      </c>
      <c r="G6" s="167"/>
      <c r="H6" s="167">
        <v>1</v>
      </c>
      <c r="I6" s="160" t="s">
        <v>110</v>
      </c>
      <c r="J6" s="180">
        <f t="shared" si="0"/>
        <v>2000000</v>
      </c>
      <c r="K6" s="181">
        <f t="shared" si="1"/>
        <v>250000</v>
      </c>
      <c r="L6" s="182">
        <v>300000</v>
      </c>
      <c r="M6" s="182"/>
      <c r="N6" s="183">
        <f t="shared" ref="N6:N59" si="2">+SUM(J6:M6)</f>
        <v>2550000</v>
      </c>
      <c r="O6" s="172" t="s">
        <v>111</v>
      </c>
      <c r="P6" s="129"/>
      <c r="Q6" s="130"/>
      <c r="R6" s="190">
        <v>1600</v>
      </c>
      <c r="S6" s="50"/>
      <c r="T6" s="48"/>
      <c r="U6" s="48"/>
      <c r="V6" s="48"/>
      <c r="W6" s="44" t="s">
        <v>112</v>
      </c>
      <c r="X6" s="49"/>
      <c r="Y6" s="48"/>
      <c r="Z6" s="48"/>
      <c r="AA6" s="48"/>
      <c r="AB6" s="48"/>
      <c r="AC6" s="51"/>
      <c r="AD6" s="48"/>
      <c r="AE6" s="48"/>
      <c r="AF6" s="49"/>
      <c r="AG6" s="50"/>
      <c r="AH6" s="48"/>
      <c r="AI6" s="48"/>
      <c r="AJ6" s="48"/>
      <c r="AK6" s="50"/>
      <c r="AL6" s="50"/>
      <c r="AM6" s="50"/>
      <c r="AN6" s="48"/>
      <c r="AO6" s="52"/>
      <c r="AP6" s="52"/>
      <c r="AQ6" s="52"/>
      <c r="AR6" s="51"/>
      <c r="AS6" s="51"/>
      <c r="AT6" s="51"/>
      <c r="AU6" s="51"/>
      <c r="AV6" s="51"/>
      <c r="AW6" s="48"/>
      <c r="AX6" s="48"/>
      <c r="AY6" s="48"/>
      <c r="AZ6" s="48"/>
      <c r="BA6" s="51"/>
      <c r="BB6" s="48"/>
      <c r="BC6" s="48"/>
      <c r="BD6" s="48"/>
      <c r="BE6" s="48"/>
      <c r="BF6" s="51"/>
      <c r="BG6" s="48"/>
      <c r="BH6" s="48"/>
      <c r="BI6" s="48"/>
      <c r="BJ6" s="49"/>
      <c r="BK6" s="49"/>
      <c r="BL6" s="53"/>
      <c r="BM6" s="185" t="s">
        <v>108</v>
      </c>
      <c r="BN6" s="54"/>
      <c r="BO6" s="50"/>
      <c r="BP6" s="50"/>
      <c r="BQ6" s="50"/>
      <c r="BR6" s="50"/>
      <c r="BS6" s="50"/>
      <c r="BT6" s="50"/>
      <c r="BU6" s="50"/>
      <c r="BV6" s="50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55"/>
    </row>
    <row r="7" spans="1:93">
      <c r="A7" s="44">
        <v>3</v>
      </c>
      <c r="B7" s="178" t="s">
        <v>117</v>
      </c>
      <c r="C7" s="46">
        <v>44931</v>
      </c>
      <c r="D7" s="47" t="s">
        <v>113</v>
      </c>
      <c r="E7" s="126"/>
      <c r="F7" s="296">
        <v>44963</v>
      </c>
      <c r="G7" s="167">
        <v>1</v>
      </c>
      <c r="H7" s="167"/>
      <c r="I7" s="160" t="s">
        <v>115</v>
      </c>
      <c r="J7" s="180">
        <f t="shared" si="0"/>
        <v>1300000</v>
      </c>
      <c r="K7" s="181">
        <f t="shared" si="1"/>
        <v>250000</v>
      </c>
      <c r="L7" s="182">
        <v>300000</v>
      </c>
      <c r="M7" s="182"/>
      <c r="N7" s="183">
        <f t="shared" si="2"/>
        <v>1850000</v>
      </c>
      <c r="O7" s="172" t="s">
        <v>114</v>
      </c>
      <c r="P7" s="129"/>
      <c r="Q7" s="130"/>
      <c r="R7" s="190">
        <v>200</v>
      </c>
      <c r="S7" s="50"/>
      <c r="T7" s="48"/>
      <c r="U7" s="48"/>
      <c r="V7" s="48"/>
      <c r="W7" s="44" t="s">
        <v>116</v>
      </c>
      <c r="X7" s="49"/>
      <c r="Y7" s="48"/>
      <c r="Z7" s="48"/>
      <c r="AA7" s="48"/>
      <c r="AB7" s="48"/>
      <c r="AC7" s="51"/>
      <c r="AD7" s="48"/>
      <c r="AE7" s="48"/>
      <c r="AF7" s="49"/>
      <c r="AG7" s="50"/>
      <c r="AH7" s="48"/>
      <c r="AI7" s="48"/>
      <c r="AJ7" s="48"/>
      <c r="AK7" s="50"/>
      <c r="AL7" s="50"/>
      <c r="AM7" s="50"/>
      <c r="AN7" s="48"/>
      <c r="AO7" s="52"/>
      <c r="AP7" s="52"/>
      <c r="AQ7" s="52"/>
      <c r="AR7" s="51"/>
      <c r="AS7" s="51"/>
      <c r="AT7" s="51"/>
      <c r="AU7" s="51"/>
      <c r="AV7" s="51"/>
      <c r="AW7" s="48"/>
      <c r="AX7" s="48"/>
      <c r="AY7" s="48"/>
      <c r="AZ7" s="48"/>
      <c r="BA7" s="51"/>
      <c r="BB7" s="48"/>
      <c r="BC7" s="48"/>
      <c r="BD7" s="48"/>
      <c r="BE7" s="48"/>
      <c r="BF7" s="51"/>
      <c r="BG7" s="48"/>
      <c r="BH7" s="48"/>
      <c r="BI7" s="48"/>
      <c r="BJ7" s="49"/>
      <c r="BK7" s="49"/>
      <c r="BL7" s="53"/>
      <c r="BM7" s="185" t="s">
        <v>108</v>
      </c>
      <c r="BN7" s="54"/>
      <c r="BO7" s="50"/>
      <c r="BP7" s="50"/>
      <c r="BQ7" s="50"/>
      <c r="BR7" s="50"/>
      <c r="BS7" s="50"/>
      <c r="BT7" s="50"/>
      <c r="BU7" s="50"/>
      <c r="BV7" s="50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55"/>
    </row>
    <row r="8" spans="1:93" ht="66">
      <c r="A8" s="44">
        <v>4</v>
      </c>
      <c r="B8" s="179">
        <v>105204164550</v>
      </c>
      <c r="C8" s="46">
        <v>44931</v>
      </c>
      <c r="D8" s="47" t="s">
        <v>120</v>
      </c>
      <c r="E8" s="126"/>
      <c r="F8" s="296">
        <v>44963</v>
      </c>
      <c r="G8" s="167">
        <v>5</v>
      </c>
      <c r="H8" s="167"/>
      <c r="I8" s="160" t="s">
        <v>122</v>
      </c>
      <c r="J8" s="180">
        <f t="shared" si="0"/>
        <v>6500000</v>
      </c>
      <c r="K8" s="181">
        <f t="shared" si="1"/>
        <v>1250000</v>
      </c>
      <c r="L8" s="182"/>
      <c r="M8" s="182"/>
      <c r="N8" s="183">
        <f t="shared" si="2"/>
        <v>7750000</v>
      </c>
      <c r="O8" s="172" t="s">
        <v>121</v>
      </c>
      <c r="P8" s="129"/>
      <c r="Q8" s="130"/>
      <c r="R8" s="190">
        <v>5</v>
      </c>
      <c r="S8" s="50"/>
      <c r="T8" s="48"/>
      <c r="U8" s="48"/>
      <c r="V8" s="48"/>
      <c r="W8" s="44"/>
      <c r="X8" s="49"/>
      <c r="Y8" s="48"/>
      <c r="Z8" s="48"/>
      <c r="AA8" s="48"/>
      <c r="AB8" s="48"/>
      <c r="AC8" s="51"/>
      <c r="AD8" s="48"/>
      <c r="AE8" s="48"/>
      <c r="AF8" s="49"/>
      <c r="AG8" s="50"/>
      <c r="AH8" s="48"/>
      <c r="AI8" s="48"/>
      <c r="AJ8" s="48"/>
      <c r="AK8" s="50"/>
      <c r="AL8" s="50"/>
      <c r="AM8" s="50"/>
      <c r="AN8" s="48"/>
      <c r="AO8" s="52"/>
      <c r="AP8" s="52"/>
      <c r="AQ8" s="52"/>
      <c r="AR8" s="51"/>
      <c r="AS8" s="51"/>
      <c r="AT8" s="51"/>
      <c r="AU8" s="51"/>
      <c r="AV8" s="51"/>
      <c r="AW8" s="48"/>
      <c r="AX8" s="48"/>
      <c r="AY8" s="48"/>
      <c r="AZ8" s="48"/>
      <c r="BA8" s="51"/>
      <c r="BB8" s="48"/>
      <c r="BC8" s="48"/>
      <c r="BD8" s="48"/>
      <c r="BE8" s="48"/>
      <c r="BF8" s="51"/>
      <c r="BG8" s="48"/>
      <c r="BH8" s="48"/>
      <c r="BI8" s="48"/>
      <c r="BJ8" s="49"/>
      <c r="BK8" s="49"/>
      <c r="BL8" s="53"/>
      <c r="BM8" s="186" t="s">
        <v>123</v>
      </c>
      <c r="BN8" s="54"/>
      <c r="BO8" s="50"/>
      <c r="BP8" s="50"/>
      <c r="BQ8" s="50"/>
      <c r="BR8" s="50"/>
      <c r="BS8" s="50"/>
      <c r="BT8" s="50"/>
      <c r="BU8" s="50"/>
      <c r="BV8" s="50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55"/>
    </row>
    <row r="9" spans="1:93" ht="39.6">
      <c r="A9" s="44">
        <v>5</v>
      </c>
      <c r="B9" s="179">
        <v>105204217530</v>
      </c>
      <c r="C9" s="46">
        <v>44932</v>
      </c>
      <c r="D9" s="47" t="s">
        <v>124</v>
      </c>
      <c r="E9" s="131"/>
      <c r="F9" s="296">
        <v>44963</v>
      </c>
      <c r="G9" s="167"/>
      <c r="H9" s="167">
        <v>3</v>
      </c>
      <c r="I9" s="160" t="s">
        <v>125</v>
      </c>
      <c r="J9" s="180">
        <f t="shared" si="0"/>
        <v>6000000</v>
      </c>
      <c r="K9" s="181">
        <f t="shared" si="1"/>
        <v>750000</v>
      </c>
      <c r="L9" s="182"/>
      <c r="M9" s="182"/>
      <c r="N9" s="183">
        <f t="shared" si="2"/>
        <v>6750000</v>
      </c>
      <c r="O9" s="173" t="s">
        <v>126</v>
      </c>
      <c r="P9" s="133"/>
      <c r="Q9" s="134"/>
      <c r="R9" s="190">
        <v>3300</v>
      </c>
      <c r="S9" s="58"/>
      <c r="T9" s="56"/>
      <c r="U9" s="56"/>
      <c r="V9" s="56"/>
      <c r="W9" s="44"/>
      <c r="X9" s="57"/>
      <c r="Y9" s="56"/>
      <c r="Z9" s="56"/>
      <c r="AA9" s="56"/>
      <c r="AB9" s="56"/>
      <c r="AC9" s="59"/>
      <c r="AD9" s="56"/>
      <c r="AE9" s="56"/>
      <c r="AF9" s="57"/>
      <c r="AG9" s="58"/>
      <c r="AH9" s="56"/>
      <c r="AI9" s="56"/>
      <c r="AJ9" s="56"/>
      <c r="AK9" s="58"/>
      <c r="AL9" s="58"/>
      <c r="AM9" s="58"/>
      <c r="AN9" s="56"/>
      <c r="AO9" s="60"/>
      <c r="AP9" s="60"/>
      <c r="AQ9" s="60"/>
      <c r="AR9" s="59"/>
      <c r="AS9" s="59"/>
      <c r="AT9" s="59"/>
      <c r="AU9" s="59"/>
      <c r="AV9" s="59"/>
      <c r="AW9" s="56"/>
      <c r="AX9" s="56"/>
      <c r="AY9" s="56"/>
      <c r="AZ9" s="56"/>
      <c r="BA9" s="59"/>
      <c r="BB9" s="56"/>
      <c r="BC9" s="56"/>
      <c r="BD9" s="56"/>
      <c r="BE9" s="56"/>
      <c r="BF9" s="59"/>
      <c r="BG9" s="56"/>
      <c r="BH9" s="56"/>
      <c r="BI9" s="56"/>
      <c r="BJ9" s="57"/>
      <c r="BK9" s="57"/>
      <c r="BL9" s="61"/>
      <c r="BM9" s="186" t="s">
        <v>123</v>
      </c>
      <c r="BN9" s="62"/>
      <c r="BO9" s="58"/>
      <c r="BP9" s="58"/>
      <c r="BQ9" s="58"/>
      <c r="BR9" s="58"/>
      <c r="BS9" s="58"/>
      <c r="BT9" s="58"/>
      <c r="BU9" s="58"/>
      <c r="BV9" s="58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63"/>
    </row>
    <row r="10" spans="1:93" ht="12.75" customHeight="1">
      <c r="A10" s="64">
        <v>6</v>
      </c>
      <c r="B10" s="179">
        <v>105210601050</v>
      </c>
      <c r="C10" s="46">
        <v>44935</v>
      </c>
      <c r="D10" s="47" t="s">
        <v>127</v>
      </c>
      <c r="E10" s="131"/>
      <c r="F10" s="296" t="s">
        <v>164</v>
      </c>
      <c r="G10" s="167"/>
      <c r="H10" s="167"/>
      <c r="I10" s="135" t="s">
        <v>128</v>
      </c>
      <c r="J10" s="180">
        <f t="shared" si="0"/>
        <v>0</v>
      </c>
      <c r="K10" s="181">
        <f t="shared" si="1"/>
        <v>0</v>
      </c>
      <c r="L10" s="137"/>
      <c r="M10" s="137"/>
      <c r="N10" s="183">
        <f t="shared" si="2"/>
        <v>0</v>
      </c>
      <c r="O10" s="174" t="s">
        <v>129</v>
      </c>
      <c r="P10" s="138"/>
      <c r="Q10" s="130"/>
      <c r="R10" s="190">
        <v>1</v>
      </c>
      <c r="S10" s="67"/>
      <c r="T10" s="65"/>
      <c r="U10" s="65"/>
      <c r="V10" s="65"/>
      <c r="W10" s="44"/>
      <c r="X10" s="69"/>
      <c r="Y10" s="65"/>
      <c r="Z10" s="65"/>
      <c r="AA10" s="65"/>
      <c r="AB10" s="65"/>
      <c r="AC10" s="51"/>
      <c r="AD10" s="70"/>
      <c r="AE10" s="65"/>
      <c r="AF10" s="49"/>
      <c r="AG10" s="50"/>
      <c r="AH10" s="65"/>
      <c r="AI10" s="65"/>
      <c r="AJ10" s="65"/>
      <c r="AK10" s="50"/>
      <c r="AL10" s="67"/>
      <c r="AM10" s="67"/>
      <c r="AN10" s="68"/>
      <c r="AO10" s="71"/>
      <c r="AP10" s="72"/>
      <c r="AQ10" s="73"/>
      <c r="AR10" s="74"/>
      <c r="AS10" s="74"/>
      <c r="AT10" s="74"/>
      <c r="AU10" s="74"/>
      <c r="AV10" s="74"/>
      <c r="AW10" s="70"/>
      <c r="AX10" s="65"/>
      <c r="AY10" s="70"/>
      <c r="AZ10" s="70"/>
      <c r="BA10" s="75"/>
      <c r="BB10" s="65"/>
      <c r="BC10" s="65"/>
      <c r="BD10" s="65"/>
      <c r="BE10" s="70"/>
      <c r="BF10" s="74"/>
      <c r="BG10" s="65"/>
      <c r="BH10" s="65"/>
      <c r="BI10" s="48"/>
      <c r="BJ10" s="49"/>
      <c r="BK10" s="76"/>
      <c r="BL10" s="53"/>
      <c r="BM10" s="186" t="s">
        <v>123</v>
      </c>
      <c r="BN10" s="77"/>
      <c r="BO10" s="67"/>
      <c r="BP10" s="67"/>
      <c r="BQ10" s="50"/>
      <c r="BR10" s="67"/>
      <c r="BS10" s="67"/>
      <c r="BT10" s="67"/>
      <c r="BU10" s="50"/>
      <c r="BV10" s="50"/>
      <c r="BW10" s="70"/>
      <c r="BX10" s="65"/>
      <c r="BY10" s="65"/>
      <c r="BZ10" s="65"/>
      <c r="CA10" s="65"/>
      <c r="CB10" s="65"/>
      <c r="CC10" s="70"/>
      <c r="CD10" s="70"/>
      <c r="CE10" s="70"/>
      <c r="CF10" s="70"/>
      <c r="CG10" s="70"/>
      <c r="CH10" s="70"/>
      <c r="CI10" s="70"/>
      <c r="CJ10" s="65"/>
      <c r="CK10" s="65"/>
      <c r="CL10" s="65"/>
      <c r="CM10" s="65"/>
      <c r="CN10" s="65"/>
      <c r="CO10" s="65"/>
    </row>
    <row r="11" spans="1:93" ht="54" customHeight="1">
      <c r="A11" s="64">
        <v>7</v>
      </c>
      <c r="B11" s="179">
        <v>105216259630</v>
      </c>
      <c r="C11" s="46">
        <v>44936</v>
      </c>
      <c r="D11" s="47" t="s">
        <v>130</v>
      </c>
      <c r="E11" s="126"/>
      <c r="F11" s="296" t="s">
        <v>164</v>
      </c>
      <c r="G11" s="167"/>
      <c r="H11" s="167">
        <v>4</v>
      </c>
      <c r="I11" s="160" t="s">
        <v>132</v>
      </c>
      <c r="J11" s="180">
        <f t="shared" si="0"/>
        <v>8000000</v>
      </c>
      <c r="K11" s="181">
        <f t="shared" si="1"/>
        <v>1000000</v>
      </c>
      <c r="L11" s="137"/>
      <c r="M11" s="137"/>
      <c r="N11" s="183">
        <f t="shared" si="2"/>
        <v>9000000</v>
      </c>
      <c r="O11" s="174" t="s">
        <v>131</v>
      </c>
      <c r="P11" s="138"/>
      <c r="Q11" s="130"/>
      <c r="R11" s="190">
        <v>160</v>
      </c>
      <c r="S11" s="67"/>
      <c r="T11" s="65"/>
      <c r="U11" s="65"/>
      <c r="V11" s="65"/>
      <c r="W11" s="44"/>
      <c r="X11" s="69"/>
      <c r="Y11" s="65"/>
      <c r="Z11" s="65"/>
      <c r="AA11" s="65"/>
      <c r="AB11" s="65"/>
      <c r="AC11" s="51"/>
      <c r="AD11" s="70"/>
      <c r="AE11" s="65"/>
      <c r="AF11" s="49"/>
      <c r="AG11" s="50"/>
      <c r="AH11" s="65"/>
      <c r="AI11" s="65"/>
      <c r="AJ11" s="65"/>
      <c r="AK11" s="50"/>
      <c r="AL11" s="67"/>
      <c r="AM11" s="67"/>
      <c r="AN11" s="68"/>
      <c r="AO11" s="71"/>
      <c r="AP11" s="72"/>
      <c r="AQ11" s="73"/>
      <c r="AR11" s="74"/>
      <c r="AS11" s="74"/>
      <c r="AT11" s="74"/>
      <c r="AU11" s="74"/>
      <c r="AV11" s="74"/>
      <c r="AW11" s="70"/>
      <c r="AX11" s="65"/>
      <c r="AY11" s="70"/>
      <c r="AZ11" s="70"/>
      <c r="BA11" s="75"/>
      <c r="BB11" s="65"/>
      <c r="BC11" s="65"/>
      <c r="BD11" s="65"/>
      <c r="BE11" s="70"/>
      <c r="BF11" s="74"/>
      <c r="BG11" s="65"/>
      <c r="BH11" s="65"/>
      <c r="BI11" s="48"/>
      <c r="BJ11" s="49"/>
      <c r="BK11" s="76"/>
      <c r="BL11" s="53"/>
      <c r="BM11" s="186" t="s">
        <v>123</v>
      </c>
      <c r="BN11" s="77"/>
      <c r="BO11" s="67"/>
      <c r="BP11" s="67"/>
      <c r="BQ11" s="50"/>
      <c r="BR11" s="67"/>
      <c r="BS11" s="67"/>
      <c r="BT11" s="67"/>
      <c r="BU11" s="50"/>
      <c r="BV11" s="50"/>
      <c r="BW11" s="70"/>
      <c r="BX11" s="65"/>
      <c r="BY11" s="65"/>
      <c r="BZ11" s="65"/>
      <c r="CA11" s="65"/>
      <c r="CB11" s="65"/>
      <c r="CC11" s="70"/>
      <c r="CD11" s="70"/>
      <c r="CE11" s="70"/>
      <c r="CF11" s="70"/>
      <c r="CG11" s="70"/>
      <c r="CH11" s="70"/>
      <c r="CI11" s="70"/>
      <c r="CJ11" s="65"/>
      <c r="CK11" s="65"/>
      <c r="CL11" s="65"/>
      <c r="CM11" s="65"/>
      <c r="CN11" s="65"/>
      <c r="CO11" s="65"/>
    </row>
    <row r="12" spans="1:93" ht="42" customHeight="1">
      <c r="A12" s="64">
        <v>8</v>
      </c>
      <c r="B12" s="179">
        <v>105214353860</v>
      </c>
      <c r="C12" s="184">
        <v>44936</v>
      </c>
      <c r="D12" s="47" t="s">
        <v>133</v>
      </c>
      <c r="E12" s="126"/>
      <c r="F12" s="296" t="s">
        <v>164</v>
      </c>
      <c r="G12" s="167"/>
      <c r="H12" s="167">
        <v>3</v>
      </c>
      <c r="I12" s="160" t="s">
        <v>134</v>
      </c>
      <c r="J12" s="180">
        <f t="shared" si="0"/>
        <v>6000000</v>
      </c>
      <c r="K12" s="181">
        <f t="shared" si="1"/>
        <v>750000</v>
      </c>
      <c r="L12" s="137"/>
      <c r="M12" s="137"/>
      <c r="N12" s="183">
        <f t="shared" si="2"/>
        <v>6750000</v>
      </c>
      <c r="O12" s="174" t="s">
        <v>135</v>
      </c>
      <c r="P12" s="138"/>
      <c r="Q12" s="130"/>
      <c r="R12" s="190">
        <v>3300</v>
      </c>
      <c r="S12" s="67"/>
      <c r="T12" s="65"/>
      <c r="U12" s="65"/>
      <c r="V12" s="65"/>
      <c r="W12" s="44"/>
      <c r="X12" s="69"/>
      <c r="Y12" s="65"/>
      <c r="Z12" s="65"/>
      <c r="AA12" s="65"/>
      <c r="AB12" s="65"/>
      <c r="AC12" s="51"/>
      <c r="AD12" s="70"/>
      <c r="AE12" s="65"/>
      <c r="AF12" s="49"/>
      <c r="AG12" s="50"/>
      <c r="AH12" s="65"/>
      <c r="AI12" s="65"/>
      <c r="AJ12" s="65"/>
      <c r="AK12" s="50"/>
      <c r="AL12" s="67"/>
      <c r="AM12" s="67"/>
      <c r="AN12" s="68"/>
      <c r="AO12" s="71"/>
      <c r="AP12" s="72"/>
      <c r="AQ12" s="73"/>
      <c r="AR12" s="74"/>
      <c r="AS12" s="74"/>
      <c r="AT12" s="74"/>
      <c r="AU12" s="74"/>
      <c r="AV12" s="74"/>
      <c r="AW12" s="70"/>
      <c r="AX12" s="65"/>
      <c r="AY12" s="70"/>
      <c r="AZ12" s="70"/>
      <c r="BA12" s="75"/>
      <c r="BB12" s="65"/>
      <c r="BC12" s="65"/>
      <c r="BD12" s="65"/>
      <c r="BE12" s="70"/>
      <c r="BF12" s="74"/>
      <c r="BG12" s="65"/>
      <c r="BH12" s="65"/>
      <c r="BI12" s="48"/>
      <c r="BJ12" s="49"/>
      <c r="BK12" s="76"/>
      <c r="BL12" s="53"/>
      <c r="BM12" s="187" t="s">
        <v>136</v>
      </c>
      <c r="BN12" s="77"/>
      <c r="BO12" s="67"/>
      <c r="BP12" s="67"/>
      <c r="BQ12" s="50"/>
      <c r="BR12" s="67"/>
      <c r="BS12" s="67"/>
      <c r="BT12" s="67"/>
      <c r="BU12" s="50"/>
      <c r="BV12" s="50"/>
      <c r="BW12" s="70"/>
      <c r="BX12" s="65"/>
      <c r="BY12" s="65"/>
      <c r="BZ12" s="65"/>
      <c r="CA12" s="65"/>
      <c r="CB12" s="65"/>
      <c r="CC12" s="70"/>
      <c r="CD12" s="70"/>
      <c r="CE12" s="70"/>
      <c r="CF12" s="70"/>
      <c r="CG12" s="70"/>
      <c r="CH12" s="70"/>
      <c r="CI12" s="70"/>
      <c r="CJ12" s="65"/>
      <c r="CK12" s="65"/>
      <c r="CL12" s="65"/>
      <c r="CM12" s="65"/>
      <c r="CN12" s="65"/>
      <c r="CO12" s="65"/>
    </row>
    <row r="13" spans="1:93" ht="12.75" customHeight="1">
      <c r="A13" s="64">
        <v>9</v>
      </c>
      <c r="B13" s="178" t="s">
        <v>137</v>
      </c>
      <c r="C13" s="188">
        <v>44936</v>
      </c>
      <c r="D13" s="47" t="s">
        <v>149</v>
      </c>
      <c r="E13" s="126"/>
      <c r="F13" s="296" t="s">
        <v>164</v>
      </c>
      <c r="G13" s="167"/>
      <c r="H13" s="167">
        <v>1</v>
      </c>
      <c r="I13" s="160" t="s">
        <v>146</v>
      </c>
      <c r="J13" s="180">
        <f t="shared" si="0"/>
        <v>2000000</v>
      </c>
      <c r="K13" s="181">
        <f t="shared" ref="K13:K21" si="3">SUM(G13:I13)*250000</f>
        <v>250000</v>
      </c>
      <c r="L13" s="182">
        <v>300000</v>
      </c>
      <c r="M13" s="182"/>
      <c r="N13" s="183">
        <f t="shared" si="2"/>
        <v>2550000</v>
      </c>
      <c r="O13" s="174" t="s">
        <v>142</v>
      </c>
      <c r="P13" s="138"/>
      <c r="Q13" s="130"/>
      <c r="R13" s="190">
        <v>1120</v>
      </c>
      <c r="S13" s="67"/>
      <c r="T13" s="65"/>
      <c r="U13" s="65"/>
      <c r="V13" s="65"/>
      <c r="W13" s="44"/>
      <c r="X13" s="69"/>
      <c r="Y13" s="65"/>
      <c r="Z13" s="65"/>
      <c r="AA13" s="65"/>
      <c r="AB13" s="65"/>
      <c r="AC13" s="51"/>
      <c r="AD13" s="70"/>
      <c r="AE13" s="65"/>
      <c r="AF13" s="49"/>
      <c r="AG13" s="50"/>
      <c r="AH13" s="65"/>
      <c r="AI13" s="65"/>
      <c r="AJ13" s="65"/>
      <c r="AK13" s="50"/>
      <c r="AL13" s="67"/>
      <c r="AM13" s="67"/>
      <c r="AN13" s="68"/>
      <c r="AO13" s="71"/>
      <c r="AP13" s="72"/>
      <c r="AQ13" s="73"/>
      <c r="AR13" s="74"/>
      <c r="AS13" s="74"/>
      <c r="AT13" s="74"/>
      <c r="AU13" s="74"/>
      <c r="AV13" s="74"/>
      <c r="AW13" s="70"/>
      <c r="AX13" s="65"/>
      <c r="AY13" s="70"/>
      <c r="AZ13" s="70"/>
      <c r="BA13" s="75"/>
      <c r="BB13" s="65"/>
      <c r="BC13" s="65"/>
      <c r="BD13" s="65"/>
      <c r="BE13" s="70"/>
      <c r="BF13" s="74"/>
      <c r="BG13" s="65"/>
      <c r="BH13" s="65"/>
      <c r="BI13" s="48"/>
      <c r="BJ13" s="49"/>
      <c r="BK13" s="76"/>
      <c r="BL13" s="53"/>
      <c r="BM13" s="185" t="s">
        <v>108</v>
      </c>
      <c r="BN13" s="77"/>
      <c r="BO13" s="67"/>
      <c r="BP13" s="67"/>
      <c r="BQ13" s="50"/>
      <c r="BR13" s="67"/>
      <c r="BS13" s="67"/>
      <c r="BT13" s="67"/>
      <c r="BU13" s="50"/>
      <c r="BV13" s="50"/>
      <c r="BW13" s="70"/>
      <c r="BX13" s="65"/>
      <c r="BY13" s="65"/>
      <c r="BZ13" s="65"/>
      <c r="CA13" s="65"/>
      <c r="CB13" s="65"/>
      <c r="CC13" s="70"/>
      <c r="CD13" s="70"/>
      <c r="CE13" s="70"/>
      <c r="CF13" s="70"/>
      <c r="CG13" s="70"/>
      <c r="CH13" s="70"/>
      <c r="CI13" s="70"/>
      <c r="CJ13" s="65"/>
      <c r="CK13" s="65"/>
      <c r="CL13" s="65"/>
      <c r="CM13" s="65"/>
      <c r="CN13" s="65"/>
      <c r="CO13" s="65"/>
    </row>
    <row r="14" spans="1:93" ht="12.75" customHeight="1">
      <c r="A14" s="64">
        <v>10</v>
      </c>
      <c r="B14" s="178" t="s">
        <v>138</v>
      </c>
      <c r="C14" s="188">
        <v>44938</v>
      </c>
      <c r="D14" s="47" t="s">
        <v>150</v>
      </c>
      <c r="E14" s="126"/>
      <c r="F14" s="296" t="s">
        <v>164</v>
      </c>
      <c r="G14" s="167"/>
      <c r="H14" s="167">
        <v>2</v>
      </c>
      <c r="I14" s="160" t="s">
        <v>147</v>
      </c>
      <c r="J14" s="180">
        <f t="shared" si="0"/>
        <v>4000000</v>
      </c>
      <c r="K14" s="181">
        <f t="shared" si="3"/>
        <v>500000</v>
      </c>
      <c r="L14" s="182">
        <v>300000</v>
      </c>
      <c r="M14" s="182"/>
      <c r="N14" s="183">
        <f t="shared" si="2"/>
        <v>4800000</v>
      </c>
      <c r="O14" s="174">
        <v>2712750210</v>
      </c>
      <c r="P14" s="138"/>
      <c r="Q14" s="130"/>
      <c r="R14" s="190">
        <v>40</v>
      </c>
      <c r="S14" s="67"/>
      <c r="T14" s="65"/>
      <c r="U14" s="65"/>
      <c r="V14" s="65"/>
      <c r="W14" s="44"/>
      <c r="X14" s="69"/>
      <c r="Y14" s="65"/>
      <c r="Z14" s="65"/>
      <c r="AA14" s="65"/>
      <c r="AB14" s="65"/>
      <c r="AC14" s="51"/>
      <c r="AD14" s="70"/>
      <c r="AE14" s="65"/>
      <c r="AF14" s="49"/>
      <c r="AG14" s="50"/>
      <c r="AH14" s="65"/>
      <c r="AI14" s="65"/>
      <c r="AJ14" s="65"/>
      <c r="AK14" s="50"/>
      <c r="AL14" s="67"/>
      <c r="AM14" s="67"/>
      <c r="AN14" s="68"/>
      <c r="AO14" s="71"/>
      <c r="AP14" s="72"/>
      <c r="AQ14" s="73"/>
      <c r="AR14" s="74"/>
      <c r="AS14" s="74"/>
      <c r="AT14" s="74"/>
      <c r="AU14" s="74"/>
      <c r="AV14" s="74"/>
      <c r="AW14" s="70"/>
      <c r="AX14" s="65"/>
      <c r="AY14" s="70"/>
      <c r="AZ14" s="70"/>
      <c r="BA14" s="75"/>
      <c r="BB14" s="65"/>
      <c r="BC14" s="65"/>
      <c r="BD14" s="65"/>
      <c r="BE14" s="70"/>
      <c r="BF14" s="74"/>
      <c r="BG14" s="65"/>
      <c r="BH14" s="65"/>
      <c r="BI14" s="48"/>
      <c r="BJ14" s="49"/>
      <c r="BK14" s="76"/>
      <c r="BL14" s="53"/>
      <c r="BM14" s="185" t="s">
        <v>108</v>
      </c>
      <c r="BN14" s="77"/>
      <c r="BO14" s="67"/>
      <c r="BP14" s="67"/>
      <c r="BQ14" s="50"/>
      <c r="BR14" s="67"/>
      <c r="BS14" s="67"/>
      <c r="BT14" s="67"/>
      <c r="BU14" s="50"/>
      <c r="BV14" s="50"/>
      <c r="BW14" s="70"/>
      <c r="BX14" s="65"/>
      <c r="BY14" s="65"/>
      <c r="BZ14" s="65"/>
      <c r="CA14" s="65"/>
      <c r="CB14" s="65"/>
      <c r="CC14" s="70"/>
      <c r="CD14" s="70"/>
      <c r="CE14" s="70"/>
      <c r="CF14" s="70"/>
      <c r="CG14" s="70"/>
      <c r="CH14" s="70"/>
      <c r="CI14" s="70"/>
      <c r="CJ14" s="65"/>
      <c r="CK14" s="65"/>
      <c r="CL14" s="65"/>
      <c r="CM14" s="65"/>
      <c r="CN14" s="65"/>
      <c r="CO14" s="65"/>
    </row>
    <row r="15" spans="1:93" ht="12.75" customHeight="1">
      <c r="A15" s="78">
        <v>11</v>
      </c>
      <c r="B15" s="189" t="s">
        <v>139</v>
      </c>
      <c r="C15" s="188">
        <v>44942</v>
      </c>
      <c r="D15" s="47" t="s">
        <v>151</v>
      </c>
      <c r="E15" s="126"/>
      <c r="F15" s="296" t="s">
        <v>164</v>
      </c>
      <c r="G15" s="167"/>
      <c r="H15" s="167"/>
      <c r="I15" s="160" t="s">
        <v>102</v>
      </c>
      <c r="J15" s="180">
        <f t="shared" si="0"/>
        <v>0</v>
      </c>
      <c r="K15" s="181">
        <f t="shared" si="3"/>
        <v>0</v>
      </c>
      <c r="L15" s="137"/>
      <c r="M15" s="137"/>
      <c r="N15" s="183">
        <f t="shared" si="2"/>
        <v>0</v>
      </c>
      <c r="O15" s="174" t="s">
        <v>143</v>
      </c>
      <c r="P15" s="140"/>
      <c r="Q15" s="141"/>
      <c r="R15" s="190">
        <v>6</v>
      </c>
      <c r="S15" s="80"/>
      <c r="T15" s="79"/>
      <c r="U15" s="79"/>
      <c r="V15" s="79"/>
      <c r="W15" s="44"/>
      <c r="X15" s="46"/>
      <c r="Y15" s="79"/>
      <c r="Z15" s="79"/>
      <c r="AA15" s="79"/>
      <c r="AB15" s="79"/>
      <c r="AC15" s="81"/>
      <c r="AD15" s="82"/>
      <c r="AE15" s="79"/>
      <c r="AF15" s="46"/>
      <c r="AG15" s="83"/>
      <c r="AH15" s="79"/>
      <c r="AI15" s="79"/>
      <c r="AJ15" s="79"/>
      <c r="AK15" s="83"/>
      <c r="AL15" s="80"/>
      <c r="AM15" s="80"/>
      <c r="AN15" s="79"/>
      <c r="AO15" s="84"/>
      <c r="AP15" s="84"/>
      <c r="AQ15" s="84"/>
      <c r="AR15" s="85"/>
      <c r="AS15" s="85"/>
      <c r="AT15" s="85"/>
      <c r="AU15" s="85"/>
      <c r="AV15" s="85"/>
      <c r="AW15" s="82"/>
      <c r="AX15" s="79"/>
      <c r="AY15" s="82"/>
      <c r="AZ15" s="82"/>
      <c r="BA15" s="86"/>
      <c r="BB15" s="79"/>
      <c r="BC15" s="79"/>
      <c r="BD15" s="79"/>
      <c r="BE15" s="82"/>
      <c r="BF15" s="85"/>
      <c r="BG15" s="79"/>
      <c r="BH15" s="79"/>
      <c r="BI15" s="87"/>
      <c r="BJ15" s="46"/>
      <c r="BK15" s="88"/>
      <c r="BL15" s="89"/>
      <c r="BM15" s="186" t="s">
        <v>123</v>
      </c>
      <c r="BN15" s="90"/>
      <c r="BO15" s="80"/>
      <c r="BP15" s="80"/>
      <c r="BQ15" s="83"/>
      <c r="BR15" s="80"/>
      <c r="BS15" s="80"/>
      <c r="BT15" s="80"/>
      <c r="BU15" s="83"/>
      <c r="BV15" s="83"/>
      <c r="BW15" s="82"/>
      <c r="BX15" s="79"/>
      <c r="BY15" s="79"/>
      <c r="BZ15" s="79"/>
      <c r="CA15" s="79"/>
      <c r="CB15" s="79"/>
      <c r="CC15" s="82"/>
      <c r="CD15" s="82"/>
      <c r="CE15" s="82"/>
      <c r="CF15" s="82"/>
      <c r="CG15" s="82"/>
      <c r="CH15" s="82"/>
      <c r="CI15" s="82"/>
      <c r="CJ15" s="79"/>
      <c r="CK15" s="79"/>
      <c r="CL15" s="79"/>
      <c r="CM15" s="79"/>
      <c r="CN15" s="79"/>
      <c r="CO15" s="79"/>
    </row>
    <row r="16" spans="1:93" ht="12.75" customHeight="1">
      <c r="A16" s="78">
        <v>12</v>
      </c>
      <c r="B16" s="189" t="s">
        <v>140</v>
      </c>
      <c r="C16" s="188">
        <v>44942</v>
      </c>
      <c r="D16" s="47" t="s">
        <v>152</v>
      </c>
      <c r="E16" s="126"/>
      <c r="F16" s="296" t="s">
        <v>164</v>
      </c>
      <c r="G16" s="167"/>
      <c r="H16" s="167"/>
      <c r="I16" s="160" t="s">
        <v>102</v>
      </c>
      <c r="J16" s="180">
        <f t="shared" si="0"/>
        <v>0</v>
      </c>
      <c r="K16" s="181">
        <f t="shared" si="3"/>
        <v>0</v>
      </c>
      <c r="L16" s="137"/>
      <c r="M16" s="137"/>
      <c r="N16" s="183">
        <f t="shared" si="2"/>
        <v>0</v>
      </c>
      <c r="O16" s="174" t="s">
        <v>144</v>
      </c>
      <c r="P16" s="140"/>
      <c r="Q16" s="142"/>
      <c r="R16" s="190">
        <v>6</v>
      </c>
      <c r="S16" s="80"/>
      <c r="T16" s="79"/>
      <c r="U16" s="79"/>
      <c r="V16" s="79"/>
      <c r="W16" s="44"/>
      <c r="X16" s="46"/>
      <c r="Y16" s="79"/>
      <c r="Z16" s="79"/>
      <c r="AA16" s="79"/>
      <c r="AB16" s="79"/>
      <c r="AC16" s="81"/>
      <c r="AD16" s="82"/>
      <c r="AE16" s="79"/>
      <c r="AF16" s="46"/>
      <c r="AG16" s="83"/>
      <c r="AH16" s="79"/>
      <c r="AI16" s="79"/>
      <c r="AJ16" s="79"/>
      <c r="AK16" s="83"/>
      <c r="AL16" s="80"/>
      <c r="AM16" s="80"/>
      <c r="AN16" s="79"/>
      <c r="AO16" s="84"/>
      <c r="AP16" s="84"/>
      <c r="AQ16" s="84"/>
      <c r="AR16" s="85"/>
      <c r="AS16" s="85"/>
      <c r="AT16" s="85"/>
      <c r="AU16" s="85"/>
      <c r="AV16" s="85"/>
      <c r="AW16" s="82"/>
      <c r="AX16" s="79"/>
      <c r="AY16" s="82"/>
      <c r="AZ16" s="82"/>
      <c r="BA16" s="86"/>
      <c r="BB16" s="79"/>
      <c r="BC16" s="79"/>
      <c r="BD16" s="79"/>
      <c r="BE16" s="82"/>
      <c r="BF16" s="85"/>
      <c r="BG16" s="79"/>
      <c r="BH16" s="79"/>
      <c r="BI16" s="87"/>
      <c r="BJ16" s="46"/>
      <c r="BK16" s="88"/>
      <c r="BL16" s="89"/>
      <c r="BM16" s="186" t="s">
        <v>123</v>
      </c>
      <c r="BN16" s="90"/>
      <c r="BO16" s="80"/>
      <c r="BP16" s="80"/>
      <c r="BQ16" s="83"/>
      <c r="BR16" s="80"/>
      <c r="BS16" s="80"/>
      <c r="BT16" s="80"/>
      <c r="BU16" s="83"/>
      <c r="BV16" s="83"/>
      <c r="BW16" s="82"/>
      <c r="BX16" s="79"/>
      <c r="BY16" s="79"/>
      <c r="BZ16" s="79"/>
      <c r="CA16" s="79"/>
      <c r="CB16" s="79"/>
      <c r="CC16" s="82"/>
      <c r="CD16" s="82"/>
      <c r="CE16" s="82"/>
      <c r="CF16" s="82"/>
      <c r="CG16" s="82"/>
      <c r="CH16" s="82"/>
      <c r="CI16" s="82"/>
      <c r="CJ16" s="79"/>
      <c r="CK16" s="79"/>
      <c r="CL16" s="79"/>
      <c r="CM16" s="79"/>
      <c r="CN16" s="79"/>
      <c r="CO16" s="79"/>
    </row>
    <row r="17" spans="1:94" ht="39.6">
      <c r="A17" s="78">
        <v>13</v>
      </c>
      <c r="B17" s="189" t="s">
        <v>141</v>
      </c>
      <c r="C17" s="188">
        <v>44942</v>
      </c>
      <c r="D17" s="47" t="s">
        <v>153</v>
      </c>
      <c r="E17" s="126"/>
      <c r="F17" s="296" t="s">
        <v>164</v>
      </c>
      <c r="G17" s="167"/>
      <c r="H17" s="167">
        <v>3</v>
      </c>
      <c r="I17" s="160" t="s">
        <v>148</v>
      </c>
      <c r="J17" s="180">
        <f t="shared" si="0"/>
        <v>6000000</v>
      </c>
      <c r="K17" s="181">
        <f t="shared" si="3"/>
        <v>750000</v>
      </c>
      <c r="L17" s="137"/>
      <c r="M17" s="137"/>
      <c r="N17" s="183">
        <f t="shared" si="2"/>
        <v>6750000</v>
      </c>
      <c r="O17" s="174" t="s">
        <v>145</v>
      </c>
      <c r="P17" s="145"/>
      <c r="Q17" s="142"/>
      <c r="R17" s="190">
        <v>3300</v>
      </c>
      <c r="S17" s="83"/>
      <c r="T17" s="87"/>
      <c r="U17" s="87"/>
      <c r="V17" s="87"/>
      <c r="W17" s="44"/>
      <c r="X17" s="91"/>
      <c r="Y17" s="92"/>
      <c r="Z17" s="92"/>
      <c r="AA17" s="92"/>
      <c r="AB17" s="92"/>
      <c r="AC17" s="51"/>
      <c r="AD17" s="93"/>
      <c r="AE17" s="92"/>
      <c r="AF17" s="91"/>
      <c r="AG17" s="94"/>
      <c r="AH17" s="92"/>
      <c r="AI17" s="92"/>
      <c r="AJ17" s="92"/>
      <c r="AK17" s="94"/>
      <c r="AL17" s="94"/>
      <c r="AM17" s="94"/>
      <c r="AN17" s="92"/>
      <c r="AO17" s="94"/>
      <c r="AP17" s="94"/>
      <c r="AQ17" s="94"/>
      <c r="AR17" s="95"/>
      <c r="AS17" s="95"/>
      <c r="AT17" s="95"/>
      <c r="AU17" s="95"/>
      <c r="AV17" s="95"/>
      <c r="AW17" s="93"/>
      <c r="AX17" s="92"/>
      <c r="AY17" s="93"/>
      <c r="AZ17" s="93"/>
      <c r="BA17" s="96"/>
      <c r="BB17" s="92"/>
      <c r="BC17" s="92"/>
      <c r="BD17" s="92"/>
      <c r="BE17" s="93"/>
      <c r="BF17" s="95"/>
      <c r="BG17" s="92"/>
      <c r="BH17" s="92"/>
      <c r="BI17" s="92"/>
      <c r="BJ17" s="91"/>
      <c r="BK17" s="91"/>
      <c r="BL17" s="92"/>
      <c r="BM17" s="186" t="s">
        <v>123</v>
      </c>
      <c r="BN17" s="97"/>
      <c r="BO17" s="94"/>
      <c r="BP17" s="94"/>
      <c r="BQ17" s="94"/>
      <c r="BR17" s="94"/>
      <c r="BS17" s="94"/>
      <c r="BT17" s="94"/>
      <c r="BU17" s="94"/>
      <c r="BV17" s="94"/>
      <c r="BW17" s="93"/>
      <c r="BX17" s="93"/>
      <c r="BY17" s="92"/>
      <c r="BZ17" s="92"/>
      <c r="CA17" s="92"/>
      <c r="CB17" s="92"/>
      <c r="CC17" s="93"/>
      <c r="CD17" s="93"/>
      <c r="CE17" s="93"/>
      <c r="CF17" s="93"/>
      <c r="CG17" s="93"/>
      <c r="CH17" s="93"/>
      <c r="CI17" s="93"/>
      <c r="CJ17" s="92"/>
      <c r="CK17" s="92"/>
      <c r="CL17" s="93"/>
      <c r="CM17" s="92"/>
      <c r="CN17" s="92"/>
      <c r="CO17" s="92"/>
    </row>
    <row r="18" spans="1:94">
      <c r="A18" s="98">
        <v>14</v>
      </c>
      <c r="B18" s="178" t="s">
        <v>154</v>
      </c>
      <c r="C18" s="188" t="s">
        <v>155</v>
      </c>
      <c r="D18" s="47" t="s">
        <v>163</v>
      </c>
      <c r="E18" s="126"/>
      <c r="F18" s="296">
        <v>44963</v>
      </c>
      <c r="G18" s="191">
        <v>1</v>
      </c>
      <c r="H18" s="191"/>
      <c r="I18" s="160" t="s">
        <v>158</v>
      </c>
      <c r="J18" s="180">
        <f>(G18*$C$255)+(G18*$C$256)+(H18*$D$255+H18*$D$256)+(G18*$C$258+H18*$D$258)</f>
        <v>1300000</v>
      </c>
      <c r="K18" s="181">
        <f t="shared" si="3"/>
        <v>250000</v>
      </c>
      <c r="L18" s="182">
        <v>300000</v>
      </c>
      <c r="M18" s="182"/>
      <c r="N18" s="183">
        <f t="shared" si="2"/>
        <v>1850000</v>
      </c>
      <c r="O18" s="174" t="s">
        <v>160</v>
      </c>
      <c r="P18" s="145"/>
      <c r="Q18" s="142"/>
      <c r="R18" s="190">
        <v>280</v>
      </c>
      <c r="S18" s="83"/>
      <c r="T18" s="87"/>
      <c r="U18" s="87"/>
      <c r="V18" s="87"/>
      <c r="W18" s="44"/>
      <c r="X18" s="91"/>
      <c r="Y18" s="92"/>
      <c r="Z18" s="92"/>
      <c r="AA18" s="92"/>
      <c r="AB18" s="92"/>
      <c r="AC18" s="51"/>
      <c r="AD18" s="93"/>
      <c r="AE18" s="92"/>
      <c r="AF18" s="91"/>
      <c r="AG18" s="94"/>
      <c r="AH18" s="92"/>
      <c r="AI18" s="92"/>
      <c r="AJ18" s="92"/>
      <c r="AK18" s="94"/>
      <c r="AL18" s="94"/>
      <c r="AM18" s="94"/>
      <c r="AN18" s="93"/>
      <c r="AO18" s="94"/>
      <c r="AP18" s="94"/>
      <c r="AQ18" s="94"/>
      <c r="AR18" s="95"/>
      <c r="AS18" s="95"/>
      <c r="AT18" s="95"/>
      <c r="AU18" s="95"/>
      <c r="AV18" s="95"/>
      <c r="AW18" s="93"/>
      <c r="AX18" s="92"/>
      <c r="AY18" s="93"/>
      <c r="AZ18" s="93"/>
      <c r="BA18" s="96"/>
      <c r="BB18" s="92"/>
      <c r="BC18" s="92"/>
      <c r="BD18" s="92"/>
      <c r="BE18" s="93"/>
      <c r="BF18" s="95"/>
      <c r="BG18" s="92"/>
      <c r="BH18" s="92"/>
      <c r="BI18" s="92"/>
      <c r="BJ18" s="91"/>
      <c r="BK18" s="91"/>
      <c r="BL18" s="92"/>
      <c r="BM18" s="185" t="s">
        <v>108</v>
      </c>
      <c r="BN18" s="97"/>
      <c r="BO18" s="94"/>
      <c r="BP18" s="94"/>
      <c r="BQ18" s="94"/>
      <c r="BR18" s="94"/>
      <c r="BS18" s="94"/>
      <c r="BT18" s="94"/>
      <c r="BU18" s="94"/>
      <c r="BV18" s="94"/>
      <c r="BW18" s="93"/>
      <c r="BX18" s="92"/>
      <c r="BY18" s="92"/>
      <c r="BZ18" s="92"/>
      <c r="CA18" s="92"/>
      <c r="CB18" s="93"/>
      <c r="CC18" s="93"/>
      <c r="CD18" s="93"/>
      <c r="CE18" s="93"/>
      <c r="CF18" s="93"/>
      <c r="CG18" s="93"/>
      <c r="CH18" s="93"/>
      <c r="CI18" s="93"/>
      <c r="CJ18" s="92"/>
      <c r="CK18" s="92"/>
      <c r="CL18" s="92"/>
      <c r="CM18" s="92"/>
      <c r="CN18" s="92"/>
      <c r="CO18" s="93"/>
    </row>
    <row r="19" spans="1:94" ht="26.4">
      <c r="A19" s="98">
        <v>15</v>
      </c>
      <c r="B19" s="178" t="s">
        <v>156</v>
      </c>
      <c r="C19" s="188" t="s">
        <v>157</v>
      </c>
      <c r="D19" s="47" t="s">
        <v>162</v>
      </c>
      <c r="E19" s="126"/>
      <c r="F19" s="296">
        <v>44963</v>
      </c>
      <c r="G19" s="191"/>
      <c r="H19" s="191">
        <v>2</v>
      </c>
      <c r="I19" s="160" t="s">
        <v>159</v>
      </c>
      <c r="J19" s="180">
        <f>(G19*$C$255)+(G19*$C$256)+(H19*$D$255+H19*$D$256)+(G19*$C$258+H19*$D$258)</f>
        <v>4000000</v>
      </c>
      <c r="K19" s="181">
        <f t="shared" si="3"/>
        <v>500000</v>
      </c>
      <c r="L19" s="182">
        <v>300000</v>
      </c>
      <c r="M19" s="182"/>
      <c r="N19" s="183">
        <f t="shared" si="2"/>
        <v>4800000</v>
      </c>
      <c r="O19" s="174" t="s">
        <v>161</v>
      </c>
      <c r="P19" s="145"/>
      <c r="Q19" s="142"/>
      <c r="R19" s="190">
        <v>72</v>
      </c>
      <c r="S19" s="83"/>
      <c r="T19" s="87"/>
      <c r="U19" s="87"/>
      <c r="V19" s="87"/>
      <c r="W19" s="44"/>
      <c r="X19" s="91"/>
      <c r="Y19" s="92"/>
      <c r="Z19" s="92"/>
      <c r="AA19" s="92"/>
      <c r="AB19" s="92"/>
      <c r="AC19" s="51"/>
      <c r="AD19" s="93"/>
      <c r="AE19" s="92"/>
      <c r="AF19" s="91"/>
      <c r="AG19" s="94"/>
      <c r="AH19" s="92"/>
      <c r="AI19" s="92"/>
      <c r="AJ19" s="92"/>
      <c r="AK19" s="94"/>
      <c r="AL19" s="94"/>
      <c r="AM19" s="94"/>
      <c r="AN19" s="93"/>
      <c r="AO19" s="94"/>
      <c r="AP19" s="94"/>
      <c r="AQ19" s="94"/>
      <c r="AR19" s="95"/>
      <c r="AS19" s="95"/>
      <c r="AT19" s="95"/>
      <c r="AU19" s="95"/>
      <c r="AV19" s="95"/>
      <c r="AW19" s="93"/>
      <c r="AX19" s="92"/>
      <c r="AY19" s="93"/>
      <c r="AZ19" s="93"/>
      <c r="BA19" s="96"/>
      <c r="BB19" s="92"/>
      <c r="BC19" s="93"/>
      <c r="BD19" s="92"/>
      <c r="BE19" s="93"/>
      <c r="BF19" s="95"/>
      <c r="BG19" s="92"/>
      <c r="BH19" s="92"/>
      <c r="BI19" s="92"/>
      <c r="BJ19" s="91"/>
      <c r="BK19" s="91"/>
      <c r="BL19" s="92"/>
      <c r="BM19" s="185" t="s">
        <v>108</v>
      </c>
      <c r="BN19" s="97"/>
      <c r="BO19" s="94"/>
      <c r="BP19" s="94"/>
      <c r="BQ19" s="94"/>
      <c r="BR19" s="94"/>
      <c r="BS19" s="94"/>
      <c r="BT19" s="94"/>
      <c r="BU19" s="94"/>
      <c r="BV19" s="94"/>
      <c r="BW19" s="93"/>
      <c r="BX19" s="92"/>
      <c r="BY19" s="92"/>
      <c r="BZ19" s="92"/>
      <c r="CA19" s="92"/>
      <c r="CB19" s="93"/>
      <c r="CC19" s="93"/>
      <c r="CD19" s="93"/>
      <c r="CE19" s="93"/>
      <c r="CF19" s="93"/>
      <c r="CG19" s="93"/>
      <c r="CH19" s="93"/>
      <c r="CI19" s="93"/>
      <c r="CJ19" s="92"/>
      <c r="CK19" s="92"/>
      <c r="CL19" s="92"/>
      <c r="CM19" s="92"/>
      <c r="CN19" s="92"/>
      <c r="CO19" s="93"/>
    </row>
    <row r="20" spans="1:94" ht="39.6">
      <c r="A20" s="98">
        <v>16</v>
      </c>
      <c r="B20" s="189" t="s">
        <v>166</v>
      </c>
      <c r="C20" s="188" t="s">
        <v>157</v>
      </c>
      <c r="D20" s="47" t="s">
        <v>165</v>
      </c>
      <c r="E20" s="126"/>
      <c r="F20" s="296">
        <v>44963</v>
      </c>
      <c r="G20" s="167">
        <v>3</v>
      </c>
      <c r="H20" s="167"/>
      <c r="I20" s="162" t="s">
        <v>168</v>
      </c>
      <c r="J20" s="180">
        <f>(G20*$C$255)+(G20*$C$256)+(H20*$D$255+H20*$D$256)+(G20*$C$258+H20*$D$258)</f>
        <v>3900000</v>
      </c>
      <c r="K20" s="181">
        <f t="shared" si="3"/>
        <v>750000</v>
      </c>
      <c r="L20" s="137"/>
      <c r="M20" s="137"/>
      <c r="N20" s="183">
        <f t="shared" si="2"/>
        <v>4650000</v>
      </c>
      <c r="O20" s="175" t="s">
        <v>167</v>
      </c>
      <c r="P20" s="145"/>
      <c r="Q20" s="142"/>
      <c r="R20" s="190">
        <v>3</v>
      </c>
      <c r="S20" s="83"/>
      <c r="T20" s="87"/>
      <c r="U20" s="87"/>
      <c r="V20" s="87"/>
      <c r="W20" s="44"/>
      <c r="X20" s="91"/>
      <c r="Y20" s="92"/>
      <c r="Z20" s="92"/>
      <c r="AA20" s="92"/>
      <c r="AB20" s="92"/>
      <c r="AC20" s="51"/>
      <c r="AD20" s="93"/>
      <c r="AE20" s="92"/>
      <c r="AF20" s="91"/>
      <c r="AG20" s="94"/>
      <c r="AH20" s="92"/>
      <c r="AI20" s="92"/>
      <c r="AJ20" s="92"/>
      <c r="AK20" s="94"/>
      <c r="AL20" s="94"/>
      <c r="AM20" s="94"/>
      <c r="AN20" s="93"/>
      <c r="AO20" s="94"/>
      <c r="AP20" s="94"/>
      <c r="AQ20" s="94"/>
      <c r="AR20" s="95"/>
      <c r="AS20" s="95"/>
      <c r="AT20" s="95"/>
      <c r="AU20" s="95"/>
      <c r="AV20" s="95"/>
      <c r="AW20" s="93"/>
      <c r="AX20" s="92"/>
      <c r="AY20" s="93"/>
      <c r="AZ20" s="93"/>
      <c r="BA20" s="96"/>
      <c r="BB20" s="92"/>
      <c r="BC20" s="93"/>
      <c r="BD20" s="92"/>
      <c r="BE20" s="93"/>
      <c r="BF20" s="95"/>
      <c r="BG20" s="92"/>
      <c r="BH20" s="92"/>
      <c r="BI20" s="92"/>
      <c r="BJ20" s="91"/>
      <c r="BK20" s="91"/>
      <c r="BL20" s="92"/>
      <c r="BM20" s="187" t="s">
        <v>136</v>
      </c>
      <c r="BN20" s="97"/>
      <c r="BO20" s="94"/>
      <c r="BP20" s="94"/>
      <c r="BQ20" s="94"/>
      <c r="BR20" s="94"/>
      <c r="BS20" s="94"/>
      <c r="BT20" s="94"/>
      <c r="BU20" s="94"/>
      <c r="BV20" s="94"/>
      <c r="BW20" s="93"/>
      <c r="BX20" s="92"/>
      <c r="BY20" s="92"/>
      <c r="BZ20" s="92"/>
      <c r="CA20" s="92"/>
      <c r="CB20" s="93"/>
      <c r="CC20" s="93"/>
      <c r="CD20" s="93"/>
      <c r="CE20" s="93"/>
      <c r="CF20" s="93"/>
      <c r="CG20" s="93"/>
      <c r="CH20" s="93"/>
      <c r="CI20" s="93"/>
      <c r="CJ20" s="92"/>
      <c r="CK20" s="92"/>
      <c r="CL20" s="92"/>
      <c r="CM20" s="92"/>
      <c r="CN20" s="92"/>
      <c r="CO20" s="93"/>
    </row>
    <row r="21" spans="1:94">
      <c r="A21" s="98">
        <v>17</v>
      </c>
      <c r="B21" s="178" t="s">
        <v>170</v>
      </c>
      <c r="C21" s="46">
        <v>44928</v>
      </c>
      <c r="D21" s="47" t="s">
        <v>169</v>
      </c>
      <c r="E21" s="145" t="s">
        <v>171</v>
      </c>
      <c r="F21" s="296">
        <v>44963</v>
      </c>
      <c r="G21" s="167"/>
      <c r="H21" s="192">
        <v>1</v>
      </c>
      <c r="I21" s="162" t="s">
        <v>173</v>
      </c>
      <c r="J21" s="180">
        <f>(G21*$C$255)+(G21*$C$256)+(H21*$D$255+H21*$D$256)+(G21*$C$258+H21*$D$258)</f>
        <v>2000000</v>
      </c>
      <c r="K21" s="181">
        <f t="shared" si="3"/>
        <v>250000</v>
      </c>
      <c r="L21" s="182">
        <v>300000</v>
      </c>
      <c r="M21" s="182"/>
      <c r="N21" s="183">
        <f t="shared" si="2"/>
        <v>2550000</v>
      </c>
      <c r="O21" s="175" t="s">
        <v>172</v>
      </c>
      <c r="P21" s="145"/>
      <c r="Q21" s="142"/>
      <c r="R21" s="190">
        <v>28</v>
      </c>
      <c r="S21" s="83"/>
      <c r="T21" s="87"/>
      <c r="U21" s="87"/>
      <c r="V21" s="87"/>
      <c r="W21" s="44"/>
      <c r="X21" s="91"/>
      <c r="Y21" s="92"/>
      <c r="Z21" s="92"/>
      <c r="AA21" s="92"/>
      <c r="AB21" s="92"/>
      <c r="AC21" s="51"/>
      <c r="AD21" s="93"/>
      <c r="AE21" s="92"/>
      <c r="AF21" s="91"/>
      <c r="AG21" s="94"/>
      <c r="AH21" s="92"/>
      <c r="AI21" s="92"/>
      <c r="AJ21" s="92"/>
      <c r="AK21" s="94"/>
      <c r="AL21" s="94"/>
      <c r="AM21" s="94"/>
      <c r="AN21" s="92"/>
      <c r="AO21" s="94"/>
      <c r="AP21" s="94"/>
      <c r="AQ21" s="94"/>
      <c r="AR21" s="95"/>
      <c r="AS21" s="95"/>
      <c r="AT21" s="95"/>
      <c r="AU21" s="95"/>
      <c r="AV21" s="95"/>
      <c r="AW21" s="93"/>
      <c r="AX21" s="92"/>
      <c r="AY21" s="93"/>
      <c r="AZ21" s="93"/>
      <c r="BA21" s="96"/>
      <c r="BB21" s="92"/>
      <c r="BC21" s="92"/>
      <c r="BD21" s="92"/>
      <c r="BE21" s="93"/>
      <c r="BF21" s="95"/>
      <c r="BG21" s="92"/>
      <c r="BH21" s="92"/>
      <c r="BI21" s="92"/>
      <c r="BJ21" s="91"/>
      <c r="BK21" s="91"/>
      <c r="BL21" s="92"/>
      <c r="BM21" s="185" t="s">
        <v>108</v>
      </c>
      <c r="BN21" s="97"/>
      <c r="BO21" s="94"/>
      <c r="BP21" s="94"/>
      <c r="BQ21" s="94"/>
      <c r="BR21" s="94"/>
      <c r="BS21" s="94"/>
      <c r="BT21" s="94"/>
      <c r="BU21" s="94"/>
      <c r="BV21" s="94"/>
      <c r="BW21" s="93"/>
      <c r="BX21" s="92"/>
      <c r="BY21" s="92"/>
      <c r="BZ21" s="92"/>
      <c r="CA21" s="92"/>
      <c r="CB21" s="92"/>
      <c r="CC21" s="93"/>
      <c r="CD21" s="93"/>
      <c r="CE21" s="93"/>
      <c r="CF21" s="93"/>
      <c r="CG21" s="93"/>
      <c r="CH21" s="93"/>
      <c r="CI21" s="93"/>
      <c r="CJ21" s="92"/>
      <c r="CK21" s="92"/>
      <c r="CL21" s="92"/>
      <c r="CM21" s="92"/>
      <c r="CN21" s="92"/>
      <c r="CO21" s="92"/>
    </row>
    <row r="22" spans="1:94" ht="26.4">
      <c r="A22" s="99">
        <v>18</v>
      </c>
      <c r="B22" s="189" t="s">
        <v>216</v>
      </c>
      <c r="C22" s="188">
        <v>44932</v>
      </c>
      <c r="D22" s="100" t="s">
        <v>215</v>
      </c>
      <c r="E22" s="126"/>
      <c r="F22" s="127"/>
      <c r="G22" s="167"/>
      <c r="H22" s="167"/>
      <c r="I22" s="168"/>
      <c r="J22" s="136"/>
      <c r="K22" s="136"/>
      <c r="L22" s="137"/>
      <c r="M22" s="137"/>
      <c r="N22" s="183">
        <f t="shared" si="2"/>
        <v>0</v>
      </c>
      <c r="O22" s="176"/>
      <c r="P22" s="147"/>
      <c r="Q22" s="148"/>
      <c r="R22" s="190"/>
      <c r="S22" s="66"/>
      <c r="T22" s="102"/>
      <c r="U22" s="102"/>
      <c r="V22" s="102"/>
      <c r="W22" s="44"/>
      <c r="X22" s="103"/>
      <c r="Y22" s="101"/>
      <c r="Z22" s="101"/>
      <c r="AA22" s="101"/>
      <c r="AB22" s="101"/>
      <c r="AC22" s="51"/>
      <c r="AD22" s="104"/>
      <c r="AE22" s="101"/>
      <c r="AF22" s="103"/>
      <c r="AG22" s="105"/>
      <c r="AH22" s="101"/>
      <c r="AI22" s="101"/>
      <c r="AJ22" s="101"/>
      <c r="AK22" s="105"/>
      <c r="AL22" s="105"/>
      <c r="AM22" s="105"/>
      <c r="AN22" s="101"/>
      <c r="AO22" s="105"/>
      <c r="AP22" s="105"/>
      <c r="AQ22" s="105"/>
      <c r="AR22" s="106"/>
      <c r="AS22" s="106"/>
      <c r="AT22" s="106"/>
      <c r="AU22" s="106"/>
      <c r="AV22" s="106"/>
      <c r="AW22" s="104"/>
      <c r="AX22" s="101"/>
      <c r="AY22" s="104"/>
      <c r="AZ22" s="104"/>
      <c r="BA22" s="107"/>
      <c r="BB22" s="101"/>
      <c r="BC22" s="101"/>
      <c r="BD22" s="101"/>
      <c r="BE22" s="104"/>
      <c r="BF22" s="106"/>
      <c r="BG22" s="101"/>
      <c r="BH22" s="101"/>
      <c r="BI22" s="101"/>
      <c r="BJ22" s="103"/>
      <c r="BK22" s="103"/>
      <c r="BL22" s="101"/>
      <c r="BM22" s="185"/>
      <c r="BN22" s="108"/>
      <c r="BO22" s="105"/>
      <c r="BP22" s="105"/>
      <c r="BQ22" s="105"/>
      <c r="BR22" s="105"/>
      <c r="BS22" s="105"/>
      <c r="BT22" s="105"/>
      <c r="BU22" s="105"/>
      <c r="BV22" s="105"/>
      <c r="BW22" s="104"/>
      <c r="BX22" s="101"/>
      <c r="BY22" s="101"/>
      <c r="BZ22" s="101"/>
      <c r="CA22" s="101"/>
      <c r="CB22" s="101"/>
      <c r="CC22" s="104"/>
      <c r="CD22" s="104"/>
      <c r="CE22" s="104"/>
      <c r="CF22" s="104"/>
      <c r="CG22" s="104"/>
      <c r="CH22" s="104"/>
      <c r="CI22" s="104"/>
      <c r="CJ22" s="101"/>
      <c r="CK22" s="101"/>
      <c r="CL22" s="101"/>
      <c r="CM22" s="101"/>
      <c r="CN22" s="101"/>
      <c r="CO22" s="101"/>
    </row>
    <row r="23" spans="1:94">
      <c r="A23" s="98"/>
      <c r="B23" s="3682" t="s">
        <v>219</v>
      </c>
      <c r="C23" s="3683"/>
      <c r="D23" s="3683"/>
      <c r="E23" s="3683"/>
      <c r="F23" s="3683"/>
      <c r="G23" s="3683"/>
      <c r="H23" s="3684"/>
      <c r="I23" s="297"/>
      <c r="J23" s="298"/>
      <c r="K23" s="298"/>
      <c r="L23" s="299"/>
      <c r="M23" s="299"/>
      <c r="N23" s="300"/>
      <c r="O23" s="301"/>
      <c r="P23" s="302"/>
      <c r="Q23" s="303"/>
      <c r="R23" s="304"/>
      <c r="S23" s="305"/>
      <c r="T23" s="302"/>
      <c r="U23" s="302"/>
      <c r="V23" s="302"/>
      <c r="W23" s="306"/>
      <c r="X23" s="307"/>
      <c r="Y23" s="308"/>
      <c r="Z23" s="308"/>
      <c r="AA23" s="308"/>
      <c r="AB23" s="308"/>
      <c r="AC23" s="309"/>
      <c r="AD23" s="310"/>
      <c r="AE23" s="308"/>
      <c r="AF23" s="307"/>
      <c r="AG23" s="311"/>
      <c r="AH23" s="308"/>
      <c r="AI23" s="308"/>
      <c r="AJ23" s="308"/>
      <c r="AK23" s="311"/>
      <c r="AL23" s="311"/>
      <c r="AM23" s="311"/>
      <c r="AN23" s="308"/>
      <c r="AO23" s="311"/>
      <c r="AP23" s="311"/>
      <c r="AQ23" s="311"/>
      <c r="AR23" s="312"/>
      <c r="AS23" s="312"/>
      <c r="AT23" s="312"/>
      <c r="AU23" s="312"/>
      <c r="AV23" s="312"/>
      <c r="AW23" s="310"/>
      <c r="AX23" s="308"/>
      <c r="AY23" s="310"/>
      <c r="AZ23" s="310"/>
      <c r="BA23" s="313"/>
      <c r="BB23" s="308"/>
      <c r="BC23" s="308"/>
      <c r="BD23" s="308"/>
      <c r="BE23" s="310"/>
      <c r="BF23" s="312"/>
      <c r="BG23" s="308"/>
      <c r="BH23" s="308"/>
      <c r="BI23" s="308"/>
      <c r="BJ23" s="307"/>
      <c r="BK23" s="307"/>
      <c r="BL23" s="308"/>
      <c r="BM23" s="186"/>
      <c r="BN23" s="97"/>
      <c r="BO23" s="94"/>
      <c r="BP23" s="94"/>
      <c r="BQ23" s="94"/>
      <c r="BR23" s="94"/>
      <c r="BS23" s="94"/>
      <c r="BT23" s="94"/>
      <c r="BU23" s="94"/>
      <c r="BV23" s="94"/>
      <c r="BW23" s="93"/>
      <c r="BX23" s="92"/>
      <c r="BY23" s="92"/>
      <c r="BZ23" s="92"/>
      <c r="CA23" s="92"/>
      <c r="CB23" s="92"/>
      <c r="CC23" s="93"/>
      <c r="CD23" s="93"/>
      <c r="CE23" s="93"/>
      <c r="CF23" s="93"/>
      <c r="CG23" s="93"/>
      <c r="CH23" s="93"/>
      <c r="CI23" s="93"/>
      <c r="CJ23" s="92"/>
      <c r="CK23" s="92"/>
      <c r="CL23" s="92"/>
      <c r="CM23" s="92"/>
      <c r="CN23" s="92"/>
      <c r="CO23" s="92"/>
    </row>
    <row r="24" spans="1:94" ht="13.8">
      <c r="A24" s="98">
        <v>1</v>
      </c>
      <c r="B24" s="189" t="s">
        <v>222</v>
      </c>
      <c r="C24" s="188">
        <v>44964</v>
      </c>
      <c r="D24" s="47" t="s">
        <v>224</v>
      </c>
      <c r="E24" s="126"/>
      <c r="F24" s="127" t="s">
        <v>283</v>
      </c>
      <c r="G24" s="167" t="s">
        <v>128</v>
      </c>
      <c r="H24" s="167"/>
      <c r="I24" s="169"/>
      <c r="J24" s="136"/>
      <c r="K24" s="136"/>
      <c r="L24" s="137"/>
      <c r="M24" s="137"/>
      <c r="N24" s="183">
        <f t="shared" si="2"/>
        <v>0</v>
      </c>
      <c r="O24" s="314" t="s">
        <v>220</v>
      </c>
      <c r="P24" s="145"/>
      <c r="Q24" s="141"/>
      <c r="R24" s="190">
        <v>1</v>
      </c>
      <c r="S24" s="83"/>
      <c r="T24" s="87"/>
      <c r="U24" s="87"/>
      <c r="V24" s="87"/>
      <c r="W24" s="44"/>
      <c r="X24" s="91"/>
      <c r="Y24" s="92"/>
      <c r="Z24" s="92"/>
      <c r="AA24" s="92"/>
      <c r="AB24" s="92"/>
      <c r="AC24" s="96"/>
      <c r="AD24" s="93"/>
      <c r="AE24" s="92"/>
      <c r="AF24" s="91"/>
      <c r="AG24" s="94"/>
      <c r="AH24" s="92"/>
      <c r="AI24" s="92"/>
      <c r="AJ24" s="92"/>
      <c r="AK24" s="94"/>
      <c r="AL24" s="94"/>
      <c r="AM24" s="94"/>
      <c r="AN24" s="93"/>
      <c r="AO24" s="94"/>
      <c r="AP24" s="94"/>
      <c r="AQ24" s="94"/>
      <c r="AR24" s="95"/>
      <c r="AS24" s="95"/>
      <c r="AT24" s="95"/>
      <c r="AU24" s="95"/>
      <c r="AV24" s="95"/>
      <c r="AW24" s="93"/>
      <c r="AX24" s="92"/>
      <c r="AY24" s="93"/>
      <c r="AZ24" s="93"/>
      <c r="BA24" s="96"/>
      <c r="BB24" s="92"/>
      <c r="BC24" s="92"/>
      <c r="BD24" s="92"/>
      <c r="BE24" s="93"/>
      <c r="BF24" s="95"/>
      <c r="BG24" s="92"/>
      <c r="BH24" s="92"/>
      <c r="BI24" s="92"/>
      <c r="BJ24" s="91"/>
      <c r="BK24" s="91"/>
      <c r="BL24" s="92"/>
      <c r="BM24" s="186" t="s">
        <v>123</v>
      </c>
      <c r="BN24" s="97"/>
      <c r="BO24" s="94"/>
      <c r="BP24" s="94"/>
      <c r="BQ24" s="94"/>
      <c r="BR24" s="94"/>
      <c r="BS24" s="94"/>
      <c r="BT24" s="94"/>
      <c r="BU24" s="94"/>
      <c r="BV24" s="94"/>
      <c r="BW24" s="93"/>
      <c r="BX24" s="92"/>
      <c r="BY24" s="92"/>
      <c r="BZ24" s="92"/>
      <c r="CA24" s="92"/>
      <c r="CB24" s="93"/>
      <c r="CC24" s="93"/>
      <c r="CD24" s="93"/>
      <c r="CE24" s="93"/>
      <c r="CF24" s="93"/>
      <c r="CG24" s="93"/>
      <c r="CH24" s="93"/>
      <c r="CI24" s="93"/>
      <c r="CJ24" s="92"/>
      <c r="CK24" s="92"/>
      <c r="CL24" s="92"/>
      <c r="CM24" s="92"/>
      <c r="CN24" s="92"/>
      <c r="CO24" s="93"/>
      <c r="CP24" s="13" t="s">
        <v>206</v>
      </c>
    </row>
    <row r="25" spans="1:94" ht="13.8">
      <c r="A25" s="98">
        <f>+A24+1</f>
        <v>2</v>
      </c>
      <c r="B25" s="189" t="s">
        <v>223</v>
      </c>
      <c r="C25" s="188">
        <v>44964</v>
      </c>
      <c r="D25" s="47" t="s">
        <v>225</v>
      </c>
      <c r="E25" s="126"/>
      <c r="F25" s="127" t="s">
        <v>283</v>
      </c>
      <c r="G25" s="167" t="s">
        <v>128</v>
      </c>
      <c r="H25" s="167"/>
      <c r="I25" s="164"/>
      <c r="J25" s="136"/>
      <c r="K25" s="136"/>
      <c r="L25" s="137"/>
      <c r="M25" s="137"/>
      <c r="N25" s="183">
        <f t="shared" si="2"/>
        <v>0</v>
      </c>
      <c r="O25" s="314" t="s">
        <v>221</v>
      </c>
      <c r="P25" s="145"/>
      <c r="Q25" s="141"/>
      <c r="R25" s="190">
        <v>1</v>
      </c>
      <c r="S25" s="83"/>
      <c r="T25" s="87"/>
      <c r="U25" s="87"/>
      <c r="V25" s="87"/>
      <c r="W25" s="44"/>
      <c r="X25" s="91"/>
      <c r="Y25" s="92"/>
      <c r="Z25" s="92"/>
      <c r="AA25" s="92"/>
      <c r="AB25" s="92"/>
      <c r="AC25" s="96"/>
      <c r="AD25" s="93"/>
      <c r="AE25" s="92"/>
      <c r="AF25" s="91"/>
      <c r="AG25" s="94"/>
      <c r="AH25" s="92"/>
      <c r="AI25" s="92"/>
      <c r="AJ25" s="92"/>
      <c r="AK25" s="94"/>
      <c r="AL25" s="94"/>
      <c r="AM25" s="94"/>
      <c r="AN25" s="93"/>
      <c r="AO25" s="94"/>
      <c r="AP25" s="94"/>
      <c r="AQ25" s="94"/>
      <c r="AR25" s="95"/>
      <c r="AS25" s="95"/>
      <c r="AT25" s="95"/>
      <c r="AU25" s="95"/>
      <c r="AV25" s="95"/>
      <c r="AW25" s="93"/>
      <c r="AX25" s="92"/>
      <c r="AY25" s="93"/>
      <c r="AZ25" s="93"/>
      <c r="BA25" s="96"/>
      <c r="BB25" s="92"/>
      <c r="BC25" s="92"/>
      <c r="BD25" s="92"/>
      <c r="BE25" s="93"/>
      <c r="BF25" s="95"/>
      <c r="BG25" s="92"/>
      <c r="BH25" s="92"/>
      <c r="BI25" s="92"/>
      <c r="BJ25" s="91"/>
      <c r="BK25" s="91"/>
      <c r="BL25" s="92"/>
      <c r="BM25" s="186" t="s">
        <v>123</v>
      </c>
      <c r="BN25" s="97"/>
      <c r="BO25" s="94"/>
      <c r="BP25" s="94"/>
      <c r="BQ25" s="94"/>
      <c r="BR25" s="94"/>
      <c r="BS25" s="94"/>
      <c r="BT25" s="94"/>
      <c r="BU25" s="94"/>
      <c r="BV25" s="94"/>
      <c r="BW25" s="92"/>
      <c r="BX25" s="92"/>
      <c r="BY25" s="92"/>
      <c r="BZ25" s="92"/>
      <c r="CA25" s="92"/>
      <c r="CB25" s="93"/>
      <c r="CC25" s="93"/>
      <c r="CD25" s="93"/>
      <c r="CE25" s="93"/>
      <c r="CF25" s="93"/>
      <c r="CG25" s="93"/>
      <c r="CH25" s="93"/>
      <c r="CI25" s="93"/>
      <c r="CJ25" s="92"/>
      <c r="CK25" s="92"/>
      <c r="CL25" s="92"/>
      <c r="CM25" s="92"/>
      <c r="CN25" s="92"/>
      <c r="CO25" s="109"/>
      <c r="CP25" s="13" t="s">
        <v>206</v>
      </c>
    </row>
    <row r="26" spans="1:94" ht="15.6">
      <c r="A26" s="98">
        <f t="shared" ref="A26:A59" si="4">+A25+1</f>
        <v>3</v>
      </c>
      <c r="B26" s="178" t="s">
        <v>226</v>
      </c>
      <c r="C26" s="188">
        <v>44964</v>
      </c>
      <c r="D26" s="47" t="s">
        <v>240</v>
      </c>
      <c r="E26" s="126"/>
      <c r="F26" s="127" t="s">
        <v>283</v>
      </c>
      <c r="G26" s="167" t="s">
        <v>102</v>
      </c>
      <c r="H26" s="167"/>
      <c r="I26" s="317"/>
      <c r="J26" s="180" t="e">
        <f>(G26*$C$255)+(G26*$C$256)+(H26*$D$255+H26*$D$256)+(G26*$C$258+H26*$D$258)</f>
        <v>#VALUE!</v>
      </c>
      <c r="K26" s="181">
        <f>SUM(G26:I26)*250000</f>
        <v>0</v>
      </c>
      <c r="L26" s="182">
        <v>300000</v>
      </c>
      <c r="M26" s="137"/>
      <c r="N26" s="183" t="e">
        <f t="shared" si="2"/>
        <v>#VALUE!</v>
      </c>
      <c r="O26" s="316" t="s">
        <v>231</v>
      </c>
      <c r="P26" s="145"/>
      <c r="Q26" s="141"/>
      <c r="R26" s="315">
        <v>2</v>
      </c>
      <c r="S26" s="83"/>
      <c r="T26" s="87"/>
      <c r="U26" s="87"/>
      <c r="V26" s="87"/>
      <c r="W26" s="44"/>
      <c r="X26" s="91"/>
      <c r="Y26" s="92"/>
      <c r="Z26" s="92"/>
      <c r="AA26" s="92"/>
      <c r="AB26" s="92"/>
      <c r="AC26" s="96"/>
      <c r="AD26" s="93"/>
      <c r="AE26" s="92"/>
      <c r="AF26" s="91"/>
      <c r="AG26" s="94"/>
      <c r="AH26" s="92"/>
      <c r="AI26" s="92"/>
      <c r="AJ26" s="92"/>
      <c r="AK26" s="94"/>
      <c r="AL26" s="94"/>
      <c r="AM26" s="94"/>
      <c r="AN26" s="93"/>
      <c r="AO26" s="94"/>
      <c r="AP26" s="94"/>
      <c r="AQ26" s="94"/>
      <c r="AR26" s="95"/>
      <c r="AS26" s="95"/>
      <c r="AT26" s="95"/>
      <c r="AU26" s="95"/>
      <c r="AV26" s="95"/>
      <c r="AW26" s="93"/>
      <c r="AX26" s="92"/>
      <c r="AY26" s="93"/>
      <c r="AZ26" s="93"/>
      <c r="BA26" s="96"/>
      <c r="BB26" s="92"/>
      <c r="BC26" s="92"/>
      <c r="BD26" s="92"/>
      <c r="BE26" s="93"/>
      <c r="BF26" s="95"/>
      <c r="BG26" s="92"/>
      <c r="BH26" s="92"/>
      <c r="BI26" s="92"/>
      <c r="BJ26" s="91"/>
      <c r="BK26" s="91"/>
      <c r="BL26" s="92"/>
      <c r="BM26" s="186" t="s">
        <v>123</v>
      </c>
      <c r="BN26" s="97"/>
      <c r="BO26" s="94"/>
      <c r="BP26" s="94"/>
      <c r="BQ26" s="94"/>
      <c r="BR26" s="94"/>
      <c r="BS26" s="94"/>
      <c r="BT26" s="94"/>
      <c r="BU26" s="94"/>
      <c r="BV26" s="94"/>
      <c r="BW26" s="93"/>
      <c r="BX26" s="92"/>
      <c r="BY26" s="92"/>
      <c r="BZ26" s="92"/>
      <c r="CA26" s="92"/>
      <c r="CB26" s="93"/>
      <c r="CC26" s="93"/>
      <c r="CD26" s="93"/>
      <c r="CE26" s="93"/>
      <c r="CF26" s="93"/>
      <c r="CG26" s="93"/>
      <c r="CH26" s="93"/>
      <c r="CI26" s="93"/>
      <c r="CJ26" s="92"/>
      <c r="CK26" s="93"/>
      <c r="CL26" s="93"/>
      <c r="CM26" s="92"/>
      <c r="CN26" s="92"/>
      <c r="CO26" s="93"/>
      <c r="CP26" s="13" t="s">
        <v>210</v>
      </c>
    </row>
    <row r="27" spans="1:94" ht="27.6">
      <c r="A27" s="98">
        <f t="shared" si="4"/>
        <v>4</v>
      </c>
      <c r="B27" s="178" t="s">
        <v>227</v>
      </c>
      <c r="C27" s="188">
        <v>44964</v>
      </c>
      <c r="D27" s="47" t="s">
        <v>241</v>
      </c>
      <c r="E27" s="126"/>
      <c r="F27" s="127" t="s">
        <v>283</v>
      </c>
      <c r="G27" s="167"/>
      <c r="H27" s="167">
        <v>2</v>
      </c>
      <c r="I27" s="317" t="s">
        <v>236</v>
      </c>
      <c r="J27" s="180">
        <f t="shared" ref="J27:J32" si="5">(G27*$C$255)+(G27*$C$256)+(H27*$D$255+H27*$D$256)+(G27*$C$258+H27*$D$258)</f>
        <v>4000000</v>
      </c>
      <c r="K27" s="181">
        <f t="shared" ref="K27:K32" si="6">SUM(G27:I27)*250000</f>
        <v>500000</v>
      </c>
      <c r="L27" s="182">
        <v>300000</v>
      </c>
      <c r="M27" s="137"/>
      <c r="N27" s="183">
        <f t="shared" si="2"/>
        <v>4800000</v>
      </c>
      <c r="O27" s="316" t="s">
        <v>232</v>
      </c>
      <c r="P27" s="145"/>
      <c r="Q27" s="141"/>
      <c r="R27" s="315">
        <v>72</v>
      </c>
      <c r="S27" s="83"/>
      <c r="T27" s="87"/>
      <c r="U27" s="87"/>
      <c r="V27" s="87"/>
      <c r="W27" s="44"/>
      <c r="X27" s="88"/>
      <c r="Y27" s="79"/>
      <c r="Z27" s="79"/>
      <c r="AA27" s="79"/>
      <c r="AB27" s="79"/>
      <c r="AC27" s="86"/>
      <c r="AD27" s="82"/>
      <c r="AE27" s="79"/>
      <c r="AF27" s="88"/>
      <c r="AG27" s="80"/>
      <c r="AH27" s="79"/>
      <c r="AI27" s="79"/>
      <c r="AJ27" s="79"/>
      <c r="AK27" s="80"/>
      <c r="AL27" s="80"/>
      <c r="AM27" s="80"/>
      <c r="AN27" s="82"/>
      <c r="AO27" s="80"/>
      <c r="AP27" s="80"/>
      <c r="AQ27" s="80"/>
      <c r="AR27" s="85"/>
      <c r="AS27" s="85"/>
      <c r="AT27" s="85"/>
      <c r="AU27" s="85"/>
      <c r="AV27" s="85"/>
      <c r="AW27" s="82"/>
      <c r="AX27" s="79"/>
      <c r="AY27" s="82"/>
      <c r="AZ27" s="82"/>
      <c r="BA27" s="86"/>
      <c r="BB27" s="79"/>
      <c r="BC27" s="79"/>
      <c r="BD27" s="79"/>
      <c r="BE27" s="82"/>
      <c r="BF27" s="85"/>
      <c r="BG27" s="79"/>
      <c r="BH27" s="79"/>
      <c r="BI27" s="79"/>
      <c r="BJ27" s="88"/>
      <c r="BK27" s="88"/>
      <c r="BL27" s="79"/>
      <c r="BM27" s="185" t="s">
        <v>108</v>
      </c>
      <c r="BN27" s="90"/>
      <c r="BO27" s="80"/>
      <c r="BP27" s="80"/>
      <c r="BQ27" s="80"/>
      <c r="BR27" s="80"/>
      <c r="BS27" s="80"/>
      <c r="BT27" s="80"/>
      <c r="BU27" s="80"/>
      <c r="BV27" s="80"/>
      <c r="BW27" s="82"/>
      <c r="BX27" s="79"/>
      <c r="BY27" s="79"/>
      <c r="BZ27" s="79"/>
      <c r="CA27" s="79"/>
      <c r="CB27" s="82"/>
      <c r="CC27" s="82"/>
      <c r="CD27" s="82"/>
      <c r="CE27" s="82"/>
      <c r="CF27" s="82"/>
      <c r="CG27" s="82"/>
      <c r="CH27" s="82"/>
      <c r="CI27" s="82"/>
      <c r="CJ27" s="79"/>
      <c r="CK27" s="79"/>
      <c r="CL27" s="79"/>
      <c r="CM27" s="79"/>
      <c r="CN27" s="79"/>
      <c r="CO27" s="82"/>
      <c r="CP27" s="13" t="s">
        <v>210</v>
      </c>
    </row>
    <row r="28" spans="1:94" ht="15.6">
      <c r="A28" s="98">
        <f t="shared" si="4"/>
        <v>5</v>
      </c>
      <c r="B28" s="178" t="s">
        <v>228</v>
      </c>
      <c r="C28" s="188">
        <v>44964</v>
      </c>
      <c r="D28" s="47" t="s">
        <v>242</v>
      </c>
      <c r="E28" s="126"/>
      <c r="F28" s="127" t="s">
        <v>283</v>
      </c>
      <c r="G28" s="167"/>
      <c r="H28" s="167">
        <v>1</v>
      </c>
      <c r="I28" s="317" t="s">
        <v>237</v>
      </c>
      <c r="J28" s="180">
        <f t="shared" si="5"/>
        <v>2000000</v>
      </c>
      <c r="K28" s="181">
        <f t="shared" si="6"/>
        <v>250000</v>
      </c>
      <c r="L28" s="182">
        <v>300000</v>
      </c>
      <c r="M28" s="137"/>
      <c r="N28" s="183">
        <f t="shared" si="2"/>
        <v>2550000</v>
      </c>
      <c r="O28" s="316" t="s">
        <v>233</v>
      </c>
      <c r="P28" s="145"/>
      <c r="Q28" s="141"/>
      <c r="R28" s="315">
        <v>600</v>
      </c>
      <c r="S28" s="83"/>
      <c r="T28" s="87"/>
      <c r="U28" s="87"/>
      <c r="V28" s="87"/>
      <c r="W28" s="44"/>
      <c r="X28" s="88"/>
      <c r="Y28" s="79"/>
      <c r="Z28" s="79"/>
      <c r="AA28" s="79"/>
      <c r="AB28" s="79"/>
      <c r="AC28" s="85"/>
      <c r="AD28" s="82"/>
      <c r="AE28" s="79"/>
      <c r="AF28" s="88"/>
      <c r="AG28" s="80"/>
      <c r="AH28" s="79"/>
      <c r="AI28" s="79"/>
      <c r="AJ28" s="79"/>
      <c r="AK28" s="80"/>
      <c r="AL28" s="80"/>
      <c r="AM28" s="80"/>
      <c r="AN28" s="79"/>
      <c r="AO28" s="80"/>
      <c r="AP28" s="80"/>
      <c r="AQ28" s="80"/>
      <c r="AR28" s="85"/>
      <c r="AS28" s="85"/>
      <c r="AT28" s="85"/>
      <c r="AU28" s="85"/>
      <c r="AV28" s="85"/>
      <c r="AW28" s="82"/>
      <c r="AX28" s="79"/>
      <c r="AY28" s="82"/>
      <c r="AZ28" s="82"/>
      <c r="BA28" s="86"/>
      <c r="BB28" s="79"/>
      <c r="BC28" s="79"/>
      <c r="BD28" s="79"/>
      <c r="BE28" s="82"/>
      <c r="BF28" s="85"/>
      <c r="BG28" s="79"/>
      <c r="BH28" s="79"/>
      <c r="BI28" s="79"/>
      <c r="BJ28" s="88"/>
      <c r="BK28" s="88"/>
      <c r="BL28" s="79"/>
      <c r="BM28" s="185" t="s">
        <v>108</v>
      </c>
      <c r="BN28" s="90"/>
      <c r="BO28" s="80"/>
      <c r="BP28" s="80"/>
      <c r="BQ28" s="80"/>
      <c r="BR28" s="80"/>
      <c r="BS28" s="80"/>
      <c r="BT28" s="80"/>
      <c r="BU28" s="80"/>
      <c r="BV28" s="80"/>
      <c r="BW28" s="82"/>
      <c r="BX28" s="79"/>
      <c r="BY28" s="79"/>
      <c r="BZ28" s="79"/>
      <c r="CA28" s="79"/>
      <c r="CB28" s="79"/>
      <c r="CC28" s="82"/>
      <c r="CD28" s="82"/>
      <c r="CE28" s="82"/>
      <c r="CF28" s="82"/>
      <c r="CG28" s="82"/>
      <c r="CH28" s="79"/>
      <c r="CI28" s="82"/>
      <c r="CJ28" s="79"/>
      <c r="CK28" s="79"/>
      <c r="CL28" s="79"/>
      <c r="CM28" s="79"/>
      <c r="CN28" s="79"/>
      <c r="CO28" s="79"/>
      <c r="CP28" s="13" t="s">
        <v>210</v>
      </c>
    </row>
    <row r="29" spans="1:94" ht="15.6">
      <c r="A29" s="98">
        <f t="shared" si="4"/>
        <v>6</v>
      </c>
      <c r="B29" s="178" t="s">
        <v>229</v>
      </c>
      <c r="C29" s="188">
        <v>44964</v>
      </c>
      <c r="D29" s="47" t="s">
        <v>243</v>
      </c>
      <c r="E29" s="126"/>
      <c r="F29" s="127" t="s">
        <v>283</v>
      </c>
      <c r="G29" s="167"/>
      <c r="H29" s="167">
        <v>1</v>
      </c>
      <c r="I29" s="317" t="s">
        <v>238</v>
      </c>
      <c r="J29" s="180">
        <f t="shared" si="5"/>
        <v>2000000</v>
      </c>
      <c r="K29" s="181">
        <f t="shared" si="6"/>
        <v>250000</v>
      </c>
      <c r="L29" s="182">
        <v>300000</v>
      </c>
      <c r="M29" s="137"/>
      <c r="N29" s="183">
        <f t="shared" si="2"/>
        <v>2550000</v>
      </c>
      <c r="O29" s="316" t="s">
        <v>234</v>
      </c>
      <c r="P29" s="145"/>
      <c r="Q29" s="141"/>
      <c r="R29" s="315">
        <v>1000</v>
      </c>
      <c r="S29" s="83"/>
      <c r="T29" s="87"/>
      <c r="U29" s="87"/>
      <c r="V29" s="87"/>
      <c r="W29" s="44"/>
      <c r="X29" s="88"/>
      <c r="Y29" s="79"/>
      <c r="Z29" s="79"/>
      <c r="AA29" s="79"/>
      <c r="AB29" s="79"/>
      <c r="AC29" s="85"/>
      <c r="AD29" s="82"/>
      <c r="AE29" s="79"/>
      <c r="AF29" s="88"/>
      <c r="AG29" s="80"/>
      <c r="AH29" s="79"/>
      <c r="AI29" s="79"/>
      <c r="AJ29" s="79"/>
      <c r="AK29" s="80"/>
      <c r="AL29" s="80"/>
      <c r="AM29" s="80"/>
      <c r="AN29" s="79"/>
      <c r="AO29" s="80"/>
      <c r="AP29" s="80"/>
      <c r="AQ29" s="80"/>
      <c r="AR29" s="85"/>
      <c r="AS29" s="85"/>
      <c r="AT29" s="85"/>
      <c r="AU29" s="85"/>
      <c r="AV29" s="85"/>
      <c r="AW29" s="82"/>
      <c r="AX29" s="79"/>
      <c r="AY29" s="82"/>
      <c r="AZ29" s="82"/>
      <c r="BA29" s="86"/>
      <c r="BB29" s="79"/>
      <c r="BC29" s="79"/>
      <c r="BD29" s="79"/>
      <c r="BE29" s="82"/>
      <c r="BF29" s="85"/>
      <c r="BG29" s="79"/>
      <c r="BH29" s="79"/>
      <c r="BI29" s="79"/>
      <c r="BJ29" s="88"/>
      <c r="BK29" s="88"/>
      <c r="BL29" s="79"/>
      <c r="BM29" s="185" t="s">
        <v>108</v>
      </c>
      <c r="BN29" s="90"/>
      <c r="BO29" s="80"/>
      <c r="BP29" s="80"/>
      <c r="BQ29" s="80"/>
      <c r="BR29" s="80"/>
      <c r="BS29" s="80"/>
      <c r="BT29" s="80"/>
      <c r="BU29" s="80"/>
      <c r="BV29" s="80"/>
      <c r="BW29" s="82"/>
      <c r="BX29" s="79"/>
      <c r="BY29" s="79"/>
      <c r="BZ29" s="79"/>
      <c r="CA29" s="79"/>
      <c r="CB29" s="79"/>
      <c r="CC29" s="82"/>
      <c r="CD29" s="82"/>
      <c r="CE29" s="82"/>
      <c r="CF29" s="82"/>
      <c r="CG29" s="82"/>
      <c r="CH29" s="79"/>
      <c r="CI29" s="82"/>
      <c r="CJ29" s="79"/>
      <c r="CK29" s="79"/>
      <c r="CL29" s="79"/>
      <c r="CM29" s="79"/>
      <c r="CN29" s="79"/>
      <c r="CO29" s="79"/>
      <c r="CP29" s="13" t="s">
        <v>210</v>
      </c>
    </row>
    <row r="30" spans="1:94" ht="15.6">
      <c r="A30" s="98">
        <f t="shared" si="4"/>
        <v>7</v>
      </c>
      <c r="B30" s="178" t="s">
        <v>230</v>
      </c>
      <c r="C30" s="188">
        <v>44964</v>
      </c>
      <c r="D30" s="47" t="s">
        <v>244</v>
      </c>
      <c r="E30" s="126"/>
      <c r="F30" s="127" t="s">
        <v>283</v>
      </c>
      <c r="G30" s="167">
        <v>1</v>
      </c>
      <c r="H30" s="167"/>
      <c r="I30" s="317" t="s">
        <v>239</v>
      </c>
      <c r="J30" s="180">
        <f t="shared" si="5"/>
        <v>1300000</v>
      </c>
      <c r="K30" s="181">
        <f t="shared" si="6"/>
        <v>250000</v>
      </c>
      <c r="L30" s="182">
        <v>300000</v>
      </c>
      <c r="M30" s="137"/>
      <c r="N30" s="183">
        <f t="shared" si="2"/>
        <v>1850000</v>
      </c>
      <c r="O30" s="316" t="s">
        <v>235</v>
      </c>
      <c r="P30" s="145"/>
      <c r="Q30" s="141"/>
      <c r="R30" s="315">
        <v>1104</v>
      </c>
      <c r="S30" s="83"/>
      <c r="T30" s="87"/>
      <c r="U30" s="87"/>
      <c r="V30" s="87"/>
      <c r="W30" s="44"/>
      <c r="X30" s="88"/>
      <c r="Y30" s="79"/>
      <c r="Z30" s="79"/>
      <c r="AA30" s="79"/>
      <c r="AB30" s="79"/>
      <c r="AC30" s="86"/>
      <c r="AD30" s="82"/>
      <c r="AE30" s="79"/>
      <c r="AF30" s="88"/>
      <c r="AG30" s="80"/>
      <c r="AH30" s="79"/>
      <c r="AI30" s="79"/>
      <c r="AJ30" s="79"/>
      <c r="AK30" s="80"/>
      <c r="AL30" s="80"/>
      <c r="AM30" s="80"/>
      <c r="AN30" s="79"/>
      <c r="AO30" s="80"/>
      <c r="AP30" s="80"/>
      <c r="AQ30" s="80"/>
      <c r="AR30" s="85"/>
      <c r="AS30" s="85"/>
      <c r="AT30" s="85"/>
      <c r="AU30" s="85"/>
      <c r="AV30" s="85"/>
      <c r="AW30" s="82"/>
      <c r="AX30" s="79"/>
      <c r="AY30" s="82"/>
      <c r="AZ30" s="82"/>
      <c r="BA30" s="86"/>
      <c r="BB30" s="79"/>
      <c r="BC30" s="79"/>
      <c r="BD30" s="79"/>
      <c r="BE30" s="82"/>
      <c r="BF30" s="85"/>
      <c r="BG30" s="79"/>
      <c r="BH30" s="79"/>
      <c r="BI30" s="79"/>
      <c r="BJ30" s="88"/>
      <c r="BK30" s="88"/>
      <c r="BL30" s="79"/>
      <c r="BM30" s="185" t="s">
        <v>108</v>
      </c>
      <c r="BN30" s="90"/>
      <c r="BO30" s="80"/>
      <c r="BP30" s="80"/>
      <c r="BQ30" s="80"/>
      <c r="BR30" s="80"/>
      <c r="BS30" s="80"/>
      <c r="BT30" s="80"/>
      <c r="BU30" s="80"/>
      <c r="BV30" s="80"/>
      <c r="BW30" s="82"/>
      <c r="BX30" s="79"/>
      <c r="BY30" s="79"/>
      <c r="BZ30" s="79"/>
      <c r="CA30" s="79"/>
      <c r="CB30" s="79"/>
      <c r="CC30" s="82"/>
      <c r="CD30" s="82"/>
      <c r="CE30" s="82"/>
      <c r="CF30" s="82"/>
      <c r="CG30" s="82"/>
      <c r="CH30" s="82"/>
      <c r="CI30" s="82"/>
      <c r="CJ30" s="79"/>
      <c r="CK30" s="79"/>
      <c r="CL30" s="79"/>
      <c r="CM30" s="79"/>
      <c r="CN30" s="79"/>
      <c r="CO30" s="79"/>
      <c r="CP30" s="13" t="s">
        <v>210</v>
      </c>
    </row>
    <row r="31" spans="1:94" ht="15.6">
      <c r="A31" s="98">
        <f t="shared" si="4"/>
        <v>8</v>
      </c>
      <c r="B31" s="178" t="s">
        <v>245</v>
      </c>
      <c r="C31" s="188">
        <v>44965</v>
      </c>
      <c r="D31" s="47" t="s">
        <v>250</v>
      </c>
      <c r="E31" s="126"/>
      <c r="F31" s="127" t="s">
        <v>283</v>
      </c>
      <c r="G31" s="167"/>
      <c r="H31" s="167">
        <v>1</v>
      </c>
      <c r="I31" s="317" t="s">
        <v>247</v>
      </c>
      <c r="J31" s="180">
        <f t="shared" si="5"/>
        <v>2000000</v>
      </c>
      <c r="K31" s="181">
        <f t="shared" si="6"/>
        <v>250000</v>
      </c>
      <c r="L31" s="182">
        <v>300000</v>
      </c>
      <c r="M31" s="137"/>
      <c r="N31" s="183">
        <f t="shared" si="2"/>
        <v>2550000</v>
      </c>
      <c r="O31" s="318">
        <v>2713562690</v>
      </c>
      <c r="P31" s="145"/>
      <c r="Q31" s="141"/>
      <c r="R31" s="315">
        <v>36</v>
      </c>
      <c r="S31" s="83"/>
      <c r="T31" s="87"/>
      <c r="U31" s="87"/>
      <c r="V31" s="87"/>
      <c r="W31" s="44"/>
      <c r="X31" s="88"/>
      <c r="Y31" s="79"/>
      <c r="Z31" s="79"/>
      <c r="AA31" s="79"/>
      <c r="AB31" s="79"/>
      <c r="AC31" s="86"/>
      <c r="AD31" s="79"/>
      <c r="AE31" s="79"/>
      <c r="AF31" s="88"/>
      <c r="AG31" s="80"/>
      <c r="AH31" s="79"/>
      <c r="AI31" s="79"/>
      <c r="AJ31" s="79"/>
      <c r="AK31" s="80"/>
      <c r="AL31" s="80"/>
      <c r="AM31" s="80"/>
      <c r="AN31" s="79"/>
      <c r="AO31" s="80"/>
      <c r="AP31" s="80"/>
      <c r="AQ31" s="80"/>
      <c r="AR31" s="85"/>
      <c r="AS31" s="85"/>
      <c r="AT31" s="85"/>
      <c r="AU31" s="85"/>
      <c r="AV31" s="85"/>
      <c r="AW31" s="82"/>
      <c r="AX31" s="79"/>
      <c r="AY31" s="82"/>
      <c r="AZ31" s="82"/>
      <c r="BA31" s="86"/>
      <c r="BB31" s="79"/>
      <c r="BC31" s="79"/>
      <c r="BD31" s="79"/>
      <c r="BE31" s="82"/>
      <c r="BF31" s="85"/>
      <c r="BG31" s="79"/>
      <c r="BH31" s="79"/>
      <c r="BI31" s="79"/>
      <c r="BJ31" s="88"/>
      <c r="BK31" s="88"/>
      <c r="BL31" s="79"/>
      <c r="BM31" s="185" t="s">
        <v>108</v>
      </c>
      <c r="BN31" s="90"/>
      <c r="BO31" s="80"/>
      <c r="BP31" s="80"/>
      <c r="BQ31" s="80"/>
      <c r="BR31" s="80"/>
      <c r="BS31" s="80"/>
      <c r="BT31" s="80"/>
      <c r="BU31" s="80"/>
      <c r="BV31" s="80"/>
      <c r="BW31" s="82"/>
      <c r="BX31" s="79"/>
      <c r="BY31" s="79"/>
      <c r="BZ31" s="79"/>
      <c r="CA31" s="79"/>
      <c r="CB31" s="79"/>
      <c r="CC31" s="82"/>
      <c r="CD31" s="82"/>
      <c r="CE31" s="82"/>
      <c r="CF31" s="82"/>
      <c r="CG31" s="82"/>
      <c r="CH31" s="79"/>
      <c r="CI31" s="82"/>
      <c r="CJ31" s="79"/>
      <c r="CK31" s="79"/>
      <c r="CL31" s="79"/>
      <c r="CM31" s="82"/>
      <c r="CN31" s="82"/>
      <c r="CO31" s="79"/>
      <c r="CP31" s="13" t="s">
        <v>210</v>
      </c>
    </row>
    <row r="32" spans="1:94" ht="15.6">
      <c r="A32" s="98">
        <f t="shared" si="4"/>
        <v>9</v>
      </c>
      <c r="B32" s="178" t="s">
        <v>246</v>
      </c>
      <c r="C32" s="188">
        <v>44965</v>
      </c>
      <c r="D32" s="47" t="s">
        <v>251</v>
      </c>
      <c r="E32" s="126"/>
      <c r="F32" s="127" t="s">
        <v>283</v>
      </c>
      <c r="G32" s="167"/>
      <c r="H32" s="167">
        <v>1</v>
      </c>
      <c r="I32" s="317" t="s">
        <v>248</v>
      </c>
      <c r="J32" s="180">
        <f t="shared" si="5"/>
        <v>2000000</v>
      </c>
      <c r="K32" s="181">
        <f t="shared" si="6"/>
        <v>250000</v>
      </c>
      <c r="L32" s="182">
        <v>300000</v>
      </c>
      <c r="M32" s="137"/>
      <c r="N32" s="183">
        <f t="shared" si="2"/>
        <v>2550000</v>
      </c>
      <c r="O32" s="318" t="s">
        <v>249</v>
      </c>
      <c r="P32" s="145"/>
      <c r="Q32" s="141"/>
      <c r="R32" s="315">
        <v>36</v>
      </c>
      <c r="S32" s="83"/>
      <c r="T32" s="87"/>
      <c r="U32" s="87"/>
      <c r="V32" s="87"/>
      <c r="W32" s="44"/>
      <c r="X32" s="88"/>
      <c r="Y32" s="79"/>
      <c r="Z32" s="79"/>
      <c r="AA32" s="79"/>
      <c r="AB32" s="79"/>
      <c r="AC32" s="86"/>
      <c r="AD32" s="82"/>
      <c r="AE32" s="79"/>
      <c r="AF32" s="88"/>
      <c r="AG32" s="80"/>
      <c r="AH32" s="79"/>
      <c r="AI32" s="79"/>
      <c r="AJ32" s="79"/>
      <c r="AK32" s="80"/>
      <c r="AL32" s="80"/>
      <c r="AM32" s="80"/>
      <c r="AN32" s="79"/>
      <c r="AO32" s="80"/>
      <c r="AP32" s="80"/>
      <c r="AQ32" s="80"/>
      <c r="AR32" s="85"/>
      <c r="AS32" s="85"/>
      <c r="AT32" s="85"/>
      <c r="AU32" s="85"/>
      <c r="AV32" s="85"/>
      <c r="AW32" s="82"/>
      <c r="AX32" s="79"/>
      <c r="AY32" s="82"/>
      <c r="AZ32" s="82"/>
      <c r="BA32" s="86"/>
      <c r="BB32" s="79"/>
      <c r="BC32" s="79"/>
      <c r="BD32" s="79"/>
      <c r="BE32" s="82"/>
      <c r="BF32" s="85"/>
      <c r="BG32" s="79"/>
      <c r="BH32" s="79"/>
      <c r="BI32" s="79"/>
      <c r="BJ32" s="88"/>
      <c r="BK32" s="88"/>
      <c r="BL32" s="79"/>
      <c r="BM32" s="185" t="s">
        <v>108</v>
      </c>
      <c r="BN32" s="90"/>
      <c r="BO32" s="80"/>
      <c r="BP32" s="80"/>
      <c r="BQ32" s="80"/>
      <c r="BR32" s="80"/>
      <c r="BS32" s="80"/>
      <c r="BT32" s="80"/>
      <c r="BU32" s="80"/>
      <c r="BV32" s="80"/>
      <c r="BW32" s="82"/>
      <c r="BX32" s="79"/>
      <c r="BY32" s="79"/>
      <c r="BZ32" s="79"/>
      <c r="CA32" s="79"/>
      <c r="CB32" s="79"/>
      <c r="CC32" s="82"/>
      <c r="CD32" s="82"/>
      <c r="CE32" s="82"/>
      <c r="CF32" s="82"/>
      <c r="CG32" s="82"/>
      <c r="CH32" s="82"/>
      <c r="CI32" s="82"/>
      <c r="CJ32" s="79"/>
      <c r="CK32" s="79"/>
      <c r="CL32" s="79"/>
      <c r="CM32" s="79"/>
      <c r="CN32" s="79"/>
      <c r="CO32" s="79"/>
      <c r="CP32" s="13" t="s">
        <v>210</v>
      </c>
    </row>
    <row r="33" spans="1:94" ht="26.4">
      <c r="A33" s="98">
        <f t="shared" si="4"/>
        <v>10</v>
      </c>
      <c r="B33" s="189" t="s">
        <v>254</v>
      </c>
      <c r="C33" s="188">
        <v>44967</v>
      </c>
      <c r="D33" s="47" t="s">
        <v>273</v>
      </c>
      <c r="E33" s="126"/>
      <c r="F33" s="127" t="s">
        <v>283</v>
      </c>
      <c r="G33" s="167">
        <v>2</v>
      </c>
      <c r="H33" s="167"/>
      <c r="I33" s="170" t="s">
        <v>259</v>
      </c>
      <c r="J33" s="180">
        <f>(G33*$C$255)+(G33*$C$256)+(H33*$D$255+H33*$D$256)+(G33*$C$258+H33*$D$258)</f>
        <v>2600000</v>
      </c>
      <c r="K33" s="181">
        <f t="shared" ref="K33:K38" si="7">SUM(G33:I33)*250000</f>
        <v>500000</v>
      </c>
      <c r="L33" s="182"/>
      <c r="M33" s="137"/>
      <c r="N33" s="183">
        <f t="shared" si="2"/>
        <v>3100000</v>
      </c>
      <c r="O33" s="318" t="s">
        <v>264</v>
      </c>
      <c r="P33" s="145"/>
      <c r="Q33" s="141"/>
      <c r="R33" s="315">
        <v>2</v>
      </c>
      <c r="S33" s="83"/>
      <c r="T33" s="87"/>
      <c r="U33" s="87"/>
      <c r="V33" s="87"/>
      <c r="W33" s="44"/>
      <c r="X33" s="88"/>
      <c r="Y33" s="79"/>
      <c r="Z33" s="79"/>
      <c r="AA33" s="79"/>
      <c r="AB33" s="79"/>
      <c r="AC33" s="86"/>
      <c r="AD33" s="82"/>
      <c r="AE33" s="79"/>
      <c r="AF33" s="88"/>
      <c r="AG33" s="80"/>
      <c r="AH33" s="79"/>
      <c r="AI33" s="79"/>
      <c r="AJ33" s="79"/>
      <c r="AK33" s="80"/>
      <c r="AL33" s="80"/>
      <c r="AM33" s="80"/>
      <c r="AN33" s="79"/>
      <c r="AO33" s="80"/>
      <c r="AP33" s="80"/>
      <c r="AQ33" s="80"/>
      <c r="AR33" s="85"/>
      <c r="AS33" s="85"/>
      <c r="AT33" s="85"/>
      <c r="AU33" s="85"/>
      <c r="AV33" s="85"/>
      <c r="AW33" s="82"/>
      <c r="AX33" s="79"/>
      <c r="AY33" s="82"/>
      <c r="AZ33" s="82"/>
      <c r="BA33" s="86"/>
      <c r="BB33" s="79"/>
      <c r="BC33" s="79"/>
      <c r="BD33" s="79"/>
      <c r="BE33" s="82"/>
      <c r="BF33" s="85"/>
      <c r="BG33" s="79"/>
      <c r="BH33" s="79"/>
      <c r="BI33" s="79"/>
      <c r="BJ33" s="88"/>
      <c r="BK33" s="88"/>
      <c r="BL33" s="79"/>
      <c r="BM33" s="187" t="s">
        <v>136</v>
      </c>
      <c r="BN33" s="90"/>
      <c r="BO33" s="80"/>
      <c r="BP33" s="80"/>
      <c r="BQ33" s="80"/>
      <c r="BR33" s="80"/>
      <c r="BS33" s="80"/>
      <c r="BT33" s="80"/>
      <c r="BU33" s="80"/>
      <c r="BV33" s="80"/>
      <c r="BW33" s="82"/>
      <c r="BX33" s="79"/>
      <c r="BY33" s="79"/>
      <c r="BZ33" s="79"/>
      <c r="CA33" s="79"/>
      <c r="CB33" s="79"/>
      <c r="CC33" s="82"/>
      <c r="CD33" s="82"/>
      <c r="CE33" s="82"/>
      <c r="CF33" s="82"/>
      <c r="CG33" s="82"/>
      <c r="CH33" s="82"/>
      <c r="CI33" s="82"/>
      <c r="CJ33" s="79"/>
      <c r="CK33" s="79"/>
      <c r="CL33" s="79"/>
      <c r="CM33" s="79"/>
      <c r="CN33" s="79"/>
      <c r="CO33" s="79"/>
      <c r="CP33" s="13" t="s">
        <v>206</v>
      </c>
    </row>
    <row r="34" spans="1:94" ht="39.6">
      <c r="A34" s="98">
        <f t="shared" si="4"/>
        <v>11</v>
      </c>
      <c r="B34" s="178" t="s">
        <v>255</v>
      </c>
      <c r="C34" s="188">
        <v>44967</v>
      </c>
      <c r="D34" s="47" t="s">
        <v>274</v>
      </c>
      <c r="E34" s="126"/>
      <c r="F34" s="127" t="s">
        <v>283</v>
      </c>
      <c r="G34" s="167"/>
      <c r="H34" s="167">
        <v>3</v>
      </c>
      <c r="I34" s="171" t="s">
        <v>260</v>
      </c>
      <c r="J34" s="180">
        <f>(G34*$C$255)+(G34*$C$256)+(H34*$D$255+H34*$D$256)+(G34*$C$258+H34*$D$258)</f>
        <v>6000000</v>
      </c>
      <c r="K34" s="181">
        <f t="shared" si="7"/>
        <v>750000</v>
      </c>
      <c r="L34" s="182">
        <v>300000</v>
      </c>
      <c r="M34" s="137"/>
      <c r="N34" s="183">
        <f t="shared" si="2"/>
        <v>7050000</v>
      </c>
      <c r="O34" s="318" t="s">
        <v>265</v>
      </c>
      <c r="P34" s="145"/>
      <c r="Q34" s="141"/>
      <c r="R34" s="315">
        <v>5500</v>
      </c>
      <c r="S34" s="83"/>
      <c r="T34" s="87"/>
      <c r="U34" s="87"/>
      <c r="V34" s="87"/>
      <c r="W34" s="44"/>
      <c r="X34" s="88"/>
      <c r="Y34" s="79"/>
      <c r="Z34" s="79"/>
      <c r="AA34" s="79"/>
      <c r="AB34" s="79"/>
      <c r="AC34" s="86"/>
      <c r="AD34" s="82"/>
      <c r="AE34" s="79"/>
      <c r="AF34" s="88"/>
      <c r="AG34" s="80"/>
      <c r="AH34" s="79"/>
      <c r="AI34" s="79"/>
      <c r="AJ34" s="79"/>
      <c r="AK34" s="80"/>
      <c r="AL34" s="80"/>
      <c r="AM34" s="80"/>
      <c r="AN34" s="79"/>
      <c r="AO34" s="80"/>
      <c r="AP34" s="80"/>
      <c r="AQ34" s="80"/>
      <c r="AR34" s="85"/>
      <c r="AS34" s="85"/>
      <c r="AT34" s="85"/>
      <c r="AU34" s="85"/>
      <c r="AV34" s="85"/>
      <c r="AW34" s="82"/>
      <c r="AX34" s="79"/>
      <c r="AY34" s="82"/>
      <c r="AZ34" s="82"/>
      <c r="BA34" s="86"/>
      <c r="BB34" s="79"/>
      <c r="BC34" s="79"/>
      <c r="BD34" s="79"/>
      <c r="BE34" s="82"/>
      <c r="BF34" s="85"/>
      <c r="BG34" s="79"/>
      <c r="BH34" s="79"/>
      <c r="BI34" s="79"/>
      <c r="BJ34" s="88"/>
      <c r="BK34" s="88"/>
      <c r="BL34" s="79"/>
      <c r="BM34" s="185" t="s">
        <v>108</v>
      </c>
      <c r="BN34" s="90"/>
      <c r="BO34" s="80"/>
      <c r="BP34" s="80"/>
      <c r="BQ34" s="80"/>
      <c r="BR34" s="80"/>
      <c r="BS34" s="80"/>
      <c r="BT34" s="80"/>
      <c r="BU34" s="80"/>
      <c r="BV34" s="80"/>
      <c r="BW34" s="82"/>
      <c r="BX34" s="79"/>
      <c r="BY34" s="79"/>
      <c r="BZ34" s="79"/>
      <c r="CA34" s="79"/>
      <c r="CB34" s="79"/>
      <c r="CC34" s="82"/>
      <c r="CD34" s="82"/>
      <c r="CE34" s="82"/>
      <c r="CF34" s="82"/>
      <c r="CG34" s="82"/>
      <c r="CH34" s="82"/>
      <c r="CI34" s="82"/>
      <c r="CJ34" s="79"/>
      <c r="CK34" s="79"/>
      <c r="CL34" s="79"/>
      <c r="CM34" s="79"/>
      <c r="CN34" s="79"/>
      <c r="CO34" s="79"/>
      <c r="CP34" s="13" t="s">
        <v>210</v>
      </c>
    </row>
    <row r="35" spans="1:94" ht="26.4">
      <c r="A35" s="98">
        <f t="shared" si="4"/>
        <v>12</v>
      </c>
      <c r="B35" s="319" t="s">
        <v>256</v>
      </c>
      <c r="C35" s="188">
        <v>44967</v>
      </c>
      <c r="D35" s="47" t="s">
        <v>275</v>
      </c>
      <c r="E35" s="126"/>
      <c r="F35" s="127" t="s">
        <v>283</v>
      </c>
      <c r="G35" s="167"/>
      <c r="H35" s="167">
        <v>1</v>
      </c>
      <c r="I35" s="170" t="s">
        <v>261</v>
      </c>
      <c r="J35" s="180">
        <f>(G35*$C$255)+(G35*$C$256)+(H35*$D$255+H35*$D$256)+(G35*$C$258+H35*$D$258)</f>
        <v>2000000</v>
      </c>
      <c r="K35" s="181">
        <f t="shared" si="7"/>
        <v>250000</v>
      </c>
      <c r="L35" s="182">
        <v>300000</v>
      </c>
      <c r="M35" s="137"/>
      <c r="N35" s="183">
        <f t="shared" si="2"/>
        <v>2550000</v>
      </c>
      <c r="O35" s="318" t="s">
        <v>249</v>
      </c>
      <c r="P35" s="145"/>
      <c r="Q35" s="141"/>
      <c r="R35" s="315">
        <v>36</v>
      </c>
      <c r="S35" s="83"/>
      <c r="T35" s="87"/>
      <c r="U35" s="87"/>
      <c r="V35" s="87"/>
      <c r="W35" s="44"/>
      <c r="X35" s="88"/>
      <c r="Y35" s="79"/>
      <c r="Z35" s="79"/>
      <c r="AA35" s="79"/>
      <c r="AB35" s="79"/>
      <c r="AC35" s="86"/>
      <c r="AD35" s="82"/>
      <c r="AE35" s="79"/>
      <c r="AF35" s="88"/>
      <c r="AG35" s="80"/>
      <c r="AH35" s="79"/>
      <c r="AI35" s="79"/>
      <c r="AJ35" s="79"/>
      <c r="AK35" s="80"/>
      <c r="AL35" s="80"/>
      <c r="AM35" s="80"/>
      <c r="AN35" s="79"/>
      <c r="AO35" s="80"/>
      <c r="AP35" s="80"/>
      <c r="AQ35" s="80"/>
      <c r="AR35" s="85"/>
      <c r="AS35" s="85"/>
      <c r="AT35" s="85"/>
      <c r="AU35" s="85"/>
      <c r="AV35" s="85"/>
      <c r="AW35" s="82"/>
      <c r="AX35" s="79"/>
      <c r="AY35" s="82"/>
      <c r="AZ35" s="82"/>
      <c r="BA35" s="86"/>
      <c r="BB35" s="79"/>
      <c r="BC35" s="79"/>
      <c r="BD35" s="79"/>
      <c r="BE35" s="82"/>
      <c r="BF35" s="85"/>
      <c r="BG35" s="79"/>
      <c r="BH35" s="79"/>
      <c r="BI35" s="79"/>
      <c r="BJ35" s="88"/>
      <c r="BK35" s="88"/>
      <c r="BL35" s="79"/>
      <c r="BM35" s="185" t="s">
        <v>108</v>
      </c>
      <c r="BN35" s="90"/>
      <c r="BO35" s="80"/>
      <c r="BP35" s="80"/>
      <c r="BQ35" s="80"/>
      <c r="BR35" s="80"/>
      <c r="BS35" s="80"/>
      <c r="BT35" s="80"/>
      <c r="BU35" s="80"/>
      <c r="BV35" s="80"/>
      <c r="BW35" s="82"/>
      <c r="BX35" s="79"/>
      <c r="BY35" s="79"/>
      <c r="BZ35" s="79"/>
      <c r="CA35" s="79"/>
      <c r="CB35" s="79"/>
      <c r="CC35" s="82"/>
      <c r="CD35" s="82"/>
      <c r="CE35" s="82"/>
      <c r="CF35" s="82"/>
      <c r="CG35" s="82"/>
      <c r="CH35" s="82"/>
      <c r="CI35" s="82"/>
      <c r="CJ35" s="79"/>
      <c r="CK35" s="79"/>
      <c r="CL35" s="79"/>
      <c r="CM35" s="79"/>
      <c r="CN35" s="79"/>
      <c r="CO35" s="79"/>
      <c r="CP35" s="13" t="s">
        <v>210</v>
      </c>
    </row>
    <row r="36" spans="1:94" ht="15.6">
      <c r="A36" s="98">
        <f t="shared" si="4"/>
        <v>13</v>
      </c>
      <c r="B36" s="178" t="s">
        <v>257</v>
      </c>
      <c r="C36" s="188">
        <v>44970</v>
      </c>
      <c r="D36" s="47" t="s">
        <v>276</v>
      </c>
      <c r="E36" s="126"/>
      <c r="F36" s="127" t="s">
        <v>283</v>
      </c>
      <c r="G36" s="167">
        <v>1</v>
      </c>
      <c r="H36" s="167"/>
      <c r="I36" s="170" t="s">
        <v>262</v>
      </c>
      <c r="J36" s="180">
        <f>(G36*$C$255)+(G36*$C$256)+(H36*$D$255+H36*$D$256)+(G36*$C$258+H36*$D$258)</f>
        <v>1300000</v>
      </c>
      <c r="K36" s="181">
        <f t="shared" si="7"/>
        <v>250000</v>
      </c>
      <c r="L36" s="182">
        <v>300000</v>
      </c>
      <c r="M36" s="137"/>
      <c r="N36" s="183">
        <f t="shared" si="2"/>
        <v>1850000</v>
      </c>
      <c r="O36" s="318" t="s">
        <v>266</v>
      </c>
      <c r="P36" s="145"/>
      <c r="Q36" s="141"/>
      <c r="R36" s="315">
        <v>600</v>
      </c>
      <c r="S36" s="83"/>
      <c r="T36" s="87"/>
      <c r="U36" s="87"/>
      <c r="V36" s="87"/>
      <c r="W36" s="44"/>
      <c r="X36" s="88"/>
      <c r="Y36" s="79"/>
      <c r="Z36" s="79"/>
      <c r="AA36" s="79"/>
      <c r="AB36" s="79"/>
      <c r="AC36" s="86"/>
      <c r="AD36" s="82"/>
      <c r="AE36" s="79"/>
      <c r="AF36" s="88"/>
      <c r="AG36" s="80"/>
      <c r="AH36" s="79"/>
      <c r="AI36" s="79"/>
      <c r="AJ36" s="79"/>
      <c r="AK36" s="80"/>
      <c r="AL36" s="80"/>
      <c r="AM36" s="80"/>
      <c r="AN36" s="79"/>
      <c r="AO36" s="80"/>
      <c r="AP36" s="80"/>
      <c r="AQ36" s="80"/>
      <c r="AR36" s="85"/>
      <c r="AS36" s="85"/>
      <c r="AT36" s="85"/>
      <c r="AU36" s="85"/>
      <c r="AV36" s="85"/>
      <c r="AW36" s="82"/>
      <c r="AX36" s="79"/>
      <c r="AY36" s="82"/>
      <c r="AZ36" s="82"/>
      <c r="BA36" s="86"/>
      <c r="BB36" s="79"/>
      <c r="BC36" s="79"/>
      <c r="BD36" s="79"/>
      <c r="BE36" s="82"/>
      <c r="BF36" s="85"/>
      <c r="BG36" s="79"/>
      <c r="BH36" s="79"/>
      <c r="BI36" s="79"/>
      <c r="BJ36" s="88"/>
      <c r="BK36" s="88"/>
      <c r="BL36" s="79"/>
      <c r="BM36" s="185" t="s">
        <v>108</v>
      </c>
      <c r="BN36" s="90"/>
      <c r="BO36" s="80"/>
      <c r="BP36" s="80"/>
      <c r="BQ36" s="80"/>
      <c r="BR36" s="80"/>
      <c r="BS36" s="80"/>
      <c r="BT36" s="80"/>
      <c r="BU36" s="80"/>
      <c r="BV36" s="80"/>
      <c r="BW36" s="82"/>
      <c r="BX36" s="79"/>
      <c r="BY36" s="79"/>
      <c r="BZ36" s="79"/>
      <c r="CA36" s="79"/>
      <c r="CB36" s="79"/>
      <c r="CC36" s="82"/>
      <c r="CD36" s="82"/>
      <c r="CE36" s="82"/>
      <c r="CF36" s="82"/>
      <c r="CG36" s="82"/>
      <c r="CH36" s="82"/>
      <c r="CI36" s="82"/>
      <c r="CJ36" s="79"/>
      <c r="CK36" s="79"/>
      <c r="CL36" s="79"/>
      <c r="CM36" s="79"/>
      <c r="CN36" s="79"/>
      <c r="CO36" s="79"/>
      <c r="CP36" s="13" t="s">
        <v>210</v>
      </c>
    </row>
    <row r="37" spans="1:94" ht="26.4">
      <c r="A37" s="98">
        <f t="shared" si="4"/>
        <v>14</v>
      </c>
      <c r="B37" s="178" t="s">
        <v>258</v>
      </c>
      <c r="C37" s="188">
        <v>44970</v>
      </c>
      <c r="D37" s="47" t="s">
        <v>277</v>
      </c>
      <c r="E37" s="126"/>
      <c r="F37" s="127" t="s">
        <v>283</v>
      </c>
      <c r="G37" s="167"/>
      <c r="H37" s="167">
        <v>2</v>
      </c>
      <c r="I37" s="170" t="s">
        <v>263</v>
      </c>
      <c r="J37" s="180">
        <f>(G37*$C$255)+(G37*$C$256)+(H37*$D$255+H37*$D$256)+(G37*$C$258+H37*$D$258)</f>
        <v>4000000</v>
      </c>
      <c r="K37" s="181">
        <f t="shared" si="7"/>
        <v>500000</v>
      </c>
      <c r="L37" s="182">
        <v>300000</v>
      </c>
      <c r="M37" s="152"/>
      <c r="N37" s="183">
        <f t="shared" si="2"/>
        <v>4800000</v>
      </c>
      <c r="O37" s="318" t="s">
        <v>267</v>
      </c>
      <c r="P37" s="145"/>
      <c r="Q37" s="141"/>
      <c r="R37" s="315">
        <v>68</v>
      </c>
      <c r="S37" s="83"/>
      <c r="T37" s="87"/>
      <c r="U37" s="87"/>
      <c r="V37" s="87"/>
      <c r="W37" s="44"/>
      <c r="X37" s="88"/>
      <c r="Y37" s="79"/>
      <c r="Z37" s="79"/>
      <c r="AA37" s="79"/>
      <c r="AB37" s="79"/>
      <c r="AC37" s="86"/>
      <c r="AD37" s="82"/>
      <c r="AE37" s="79"/>
      <c r="AF37" s="88"/>
      <c r="AG37" s="80"/>
      <c r="AH37" s="79"/>
      <c r="AI37" s="79"/>
      <c r="AJ37" s="79"/>
      <c r="AK37" s="80"/>
      <c r="AL37" s="80"/>
      <c r="AM37" s="80"/>
      <c r="AN37" s="79"/>
      <c r="AO37" s="80"/>
      <c r="AP37" s="80"/>
      <c r="AQ37" s="80"/>
      <c r="AR37" s="85"/>
      <c r="AS37" s="85"/>
      <c r="AT37" s="85"/>
      <c r="AU37" s="85"/>
      <c r="AV37" s="85"/>
      <c r="AW37" s="82"/>
      <c r="AX37" s="79"/>
      <c r="AY37" s="82"/>
      <c r="AZ37" s="82"/>
      <c r="BA37" s="86"/>
      <c r="BB37" s="79"/>
      <c r="BC37" s="79"/>
      <c r="BD37" s="79"/>
      <c r="BE37" s="82"/>
      <c r="BF37" s="85"/>
      <c r="BG37" s="79"/>
      <c r="BH37" s="79"/>
      <c r="BI37" s="79"/>
      <c r="BJ37" s="88"/>
      <c r="BK37" s="88"/>
      <c r="BL37" s="79"/>
      <c r="BM37" s="185" t="s">
        <v>108</v>
      </c>
      <c r="BN37" s="90"/>
      <c r="BO37" s="80"/>
      <c r="BP37" s="80"/>
      <c r="BQ37" s="80"/>
      <c r="BR37" s="80"/>
      <c r="BS37" s="80"/>
      <c r="BT37" s="80"/>
      <c r="BU37" s="80"/>
      <c r="BV37" s="80"/>
      <c r="BW37" s="82"/>
      <c r="BX37" s="79"/>
      <c r="BY37" s="79"/>
      <c r="BZ37" s="79"/>
      <c r="CA37" s="79"/>
      <c r="CB37" s="79"/>
      <c r="CC37" s="82"/>
      <c r="CD37" s="82"/>
      <c r="CE37" s="82"/>
      <c r="CF37" s="82"/>
      <c r="CG37" s="82"/>
      <c r="CH37" s="82"/>
      <c r="CI37" s="82"/>
      <c r="CJ37" s="79"/>
      <c r="CK37" s="79"/>
      <c r="CL37" s="79"/>
      <c r="CM37" s="79"/>
      <c r="CN37" s="79"/>
      <c r="CO37" s="79"/>
      <c r="CP37" s="13" t="s">
        <v>210</v>
      </c>
    </row>
    <row r="38" spans="1:94" ht="26.4">
      <c r="A38" s="98">
        <f t="shared" si="4"/>
        <v>15</v>
      </c>
      <c r="B38" s="189" t="s">
        <v>268</v>
      </c>
      <c r="C38" s="188">
        <v>44971</v>
      </c>
      <c r="D38" s="47" t="s">
        <v>278</v>
      </c>
      <c r="E38" s="126"/>
      <c r="F38" s="127" t="s">
        <v>283</v>
      </c>
      <c r="G38" s="167">
        <v>2</v>
      </c>
      <c r="H38" s="167"/>
      <c r="I38" s="170" t="s">
        <v>270</v>
      </c>
      <c r="J38" s="180">
        <f t="shared" ref="J38:J59" si="8">(G38*$C$255)+(G38*$C$256)+(H38*$D$255+H38*$D$256)+(G38*$C$258+H38*$D$258)</f>
        <v>2600000</v>
      </c>
      <c r="K38" s="181">
        <f t="shared" si="7"/>
        <v>500000</v>
      </c>
      <c r="L38" s="152"/>
      <c r="M38" s="152"/>
      <c r="N38" s="183">
        <f t="shared" si="2"/>
        <v>3100000</v>
      </c>
      <c r="O38" s="177" t="s">
        <v>269</v>
      </c>
      <c r="P38" s="145"/>
      <c r="Q38" s="141"/>
      <c r="R38" s="190">
        <v>1200</v>
      </c>
      <c r="S38" s="83"/>
      <c r="T38" s="87"/>
      <c r="U38" s="87"/>
      <c r="V38" s="87"/>
      <c r="W38" s="44"/>
      <c r="X38" s="88"/>
      <c r="Y38" s="79"/>
      <c r="Z38" s="79"/>
      <c r="AA38" s="79"/>
      <c r="AB38" s="79"/>
      <c r="AC38" s="86"/>
      <c r="AD38" s="82"/>
      <c r="AE38" s="79"/>
      <c r="AF38" s="88"/>
      <c r="AG38" s="80"/>
      <c r="AH38" s="79"/>
      <c r="AI38" s="79"/>
      <c r="AJ38" s="79"/>
      <c r="AK38" s="80"/>
      <c r="AL38" s="80"/>
      <c r="AM38" s="80"/>
      <c r="AN38" s="79"/>
      <c r="AO38" s="80"/>
      <c r="AP38" s="80"/>
      <c r="AQ38" s="80"/>
      <c r="AR38" s="85"/>
      <c r="AS38" s="85"/>
      <c r="AT38" s="85"/>
      <c r="AU38" s="85"/>
      <c r="AV38" s="85"/>
      <c r="AW38" s="82"/>
      <c r="AX38" s="79"/>
      <c r="AY38" s="82"/>
      <c r="AZ38" s="82"/>
      <c r="BA38" s="86"/>
      <c r="BB38" s="79"/>
      <c r="BC38" s="79"/>
      <c r="BD38" s="79"/>
      <c r="BE38" s="82"/>
      <c r="BF38" s="85"/>
      <c r="BG38" s="79"/>
      <c r="BH38" s="79"/>
      <c r="BI38" s="79"/>
      <c r="BJ38" s="88"/>
      <c r="BK38" s="88"/>
      <c r="BL38" s="79"/>
      <c r="BM38" s="186" t="s">
        <v>123</v>
      </c>
      <c r="BN38" s="90"/>
      <c r="BO38" s="80"/>
      <c r="BP38" s="80"/>
      <c r="BQ38" s="80"/>
      <c r="BR38" s="80"/>
      <c r="BS38" s="80"/>
      <c r="BT38" s="80"/>
      <c r="BU38" s="80"/>
      <c r="BV38" s="80"/>
      <c r="BW38" s="82"/>
      <c r="BX38" s="79"/>
      <c r="BY38" s="79"/>
      <c r="BZ38" s="79"/>
      <c r="CA38" s="79"/>
      <c r="CB38" s="79"/>
      <c r="CC38" s="82"/>
      <c r="CD38" s="82"/>
      <c r="CE38" s="82"/>
      <c r="CF38" s="82"/>
      <c r="CG38" s="82"/>
      <c r="CH38" s="82"/>
      <c r="CI38" s="82"/>
      <c r="CJ38" s="79"/>
      <c r="CK38" s="79"/>
      <c r="CL38" s="79"/>
      <c r="CM38" s="79"/>
      <c r="CN38" s="79"/>
      <c r="CO38" s="79"/>
      <c r="CP38" s="13" t="s">
        <v>206</v>
      </c>
    </row>
    <row r="39" spans="1:94">
      <c r="A39" s="98">
        <f t="shared" si="4"/>
        <v>16</v>
      </c>
      <c r="B39" s="178" t="s">
        <v>294</v>
      </c>
      <c r="C39" s="188" t="s">
        <v>279</v>
      </c>
      <c r="D39" s="47" t="s">
        <v>358</v>
      </c>
      <c r="E39" s="126"/>
      <c r="F39" s="127" t="s">
        <v>388</v>
      </c>
      <c r="G39" s="167"/>
      <c r="H39" s="167">
        <v>1</v>
      </c>
      <c r="I39" s="170" t="s">
        <v>318</v>
      </c>
      <c r="J39" s="180">
        <f t="shared" si="8"/>
        <v>2000000</v>
      </c>
      <c r="K39" s="136"/>
      <c r="L39" s="182">
        <v>300000</v>
      </c>
      <c r="M39" s="152"/>
      <c r="N39" s="183">
        <f t="shared" si="2"/>
        <v>2300000</v>
      </c>
      <c r="O39" s="177" t="s">
        <v>319</v>
      </c>
      <c r="P39" s="145"/>
      <c r="Q39" s="141"/>
      <c r="R39" s="190">
        <v>36</v>
      </c>
      <c r="S39" s="83"/>
      <c r="T39" s="87"/>
      <c r="U39" s="87"/>
      <c r="V39" s="87"/>
      <c r="W39" s="44"/>
      <c r="X39" s="88"/>
      <c r="Y39" s="79"/>
      <c r="Z39" s="79"/>
      <c r="AA39" s="79"/>
      <c r="AB39" s="79"/>
      <c r="AC39" s="86"/>
      <c r="AD39" s="82"/>
      <c r="AE39" s="79"/>
      <c r="AF39" s="88"/>
      <c r="AG39" s="80"/>
      <c r="AH39" s="79"/>
      <c r="AI39" s="79"/>
      <c r="AJ39" s="79"/>
      <c r="AK39" s="80"/>
      <c r="AL39" s="80"/>
      <c r="AM39" s="80"/>
      <c r="AN39" s="79"/>
      <c r="AO39" s="80"/>
      <c r="AP39" s="80"/>
      <c r="AQ39" s="80"/>
      <c r="AR39" s="85"/>
      <c r="AS39" s="85"/>
      <c r="AT39" s="85"/>
      <c r="AU39" s="85"/>
      <c r="AV39" s="85"/>
      <c r="AW39" s="82"/>
      <c r="AX39" s="79"/>
      <c r="AY39" s="82"/>
      <c r="AZ39" s="82"/>
      <c r="BA39" s="86"/>
      <c r="BB39" s="79"/>
      <c r="BC39" s="79"/>
      <c r="BD39" s="79"/>
      <c r="BE39" s="82"/>
      <c r="BF39" s="85"/>
      <c r="BG39" s="79"/>
      <c r="BH39" s="79"/>
      <c r="BI39" s="79"/>
      <c r="BJ39" s="88"/>
      <c r="BK39" s="88"/>
      <c r="BL39" s="79"/>
      <c r="BM39" s="185" t="s">
        <v>108</v>
      </c>
      <c r="BN39" s="90"/>
      <c r="BO39" s="80"/>
      <c r="BP39" s="80"/>
      <c r="BQ39" s="80"/>
      <c r="BR39" s="80"/>
      <c r="BS39" s="80"/>
      <c r="BT39" s="80"/>
      <c r="BU39" s="80"/>
      <c r="BV39" s="80"/>
      <c r="BW39" s="82"/>
      <c r="BX39" s="79"/>
      <c r="BY39" s="79"/>
      <c r="BZ39" s="79"/>
      <c r="CA39" s="79"/>
      <c r="CB39" s="79"/>
      <c r="CC39" s="82"/>
      <c r="CD39" s="82"/>
      <c r="CE39" s="82"/>
      <c r="CF39" s="82"/>
      <c r="CG39" s="82"/>
      <c r="CH39" s="82"/>
      <c r="CI39" s="82"/>
      <c r="CJ39" s="79"/>
      <c r="CK39" s="79"/>
      <c r="CL39" s="79"/>
      <c r="CM39" s="79"/>
      <c r="CN39" s="79"/>
      <c r="CO39" s="79"/>
      <c r="CP39" s="13" t="s">
        <v>210</v>
      </c>
    </row>
    <row r="40" spans="1:94">
      <c r="A40" s="98">
        <f t="shared" si="4"/>
        <v>17</v>
      </c>
      <c r="B40" s="178" t="s">
        <v>295</v>
      </c>
      <c r="C40" s="188" t="s">
        <v>296</v>
      </c>
      <c r="D40" s="47" t="s">
        <v>359</v>
      </c>
      <c r="E40" s="153"/>
      <c r="F40" s="127" t="s">
        <v>388</v>
      </c>
      <c r="G40" s="167"/>
      <c r="H40" s="167">
        <v>1</v>
      </c>
      <c r="I40" s="170" t="s">
        <v>325</v>
      </c>
      <c r="J40" s="180">
        <f t="shared" si="8"/>
        <v>2000000</v>
      </c>
      <c r="K40" s="136"/>
      <c r="L40" s="182">
        <v>300000</v>
      </c>
      <c r="M40" s="152"/>
      <c r="N40" s="183">
        <f t="shared" si="2"/>
        <v>2300000</v>
      </c>
      <c r="O40" s="177" t="s">
        <v>319</v>
      </c>
      <c r="P40" s="145"/>
      <c r="Q40" s="141"/>
      <c r="R40" s="190">
        <v>36</v>
      </c>
      <c r="S40" s="83"/>
      <c r="T40" s="87"/>
      <c r="U40" s="87"/>
      <c r="V40" s="87"/>
      <c r="W40" s="44"/>
      <c r="X40" s="88"/>
      <c r="Y40" s="79"/>
      <c r="Z40" s="79"/>
      <c r="AA40" s="79"/>
      <c r="AB40" s="79"/>
      <c r="AC40" s="86"/>
      <c r="AD40" s="82"/>
      <c r="AE40" s="79"/>
      <c r="AF40" s="88"/>
      <c r="AG40" s="80"/>
      <c r="AH40" s="79"/>
      <c r="AI40" s="79"/>
      <c r="AJ40" s="79"/>
      <c r="AK40" s="80"/>
      <c r="AL40" s="80"/>
      <c r="AM40" s="80"/>
      <c r="AN40" s="79"/>
      <c r="AO40" s="80"/>
      <c r="AP40" s="80"/>
      <c r="AQ40" s="80"/>
      <c r="AR40" s="85"/>
      <c r="AS40" s="85"/>
      <c r="AT40" s="85"/>
      <c r="AU40" s="85"/>
      <c r="AV40" s="85"/>
      <c r="AW40" s="82"/>
      <c r="AX40" s="79"/>
      <c r="AY40" s="82"/>
      <c r="AZ40" s="82"/>
      <c r="BA40" s="86"/>
      <c r="BB40" s="79"/>
      <c r="BC40" s="79"/>
      <c r="BD40" s="79"/>
      <c r="BE40" s="82"/>
      <c r="BF40" s="85"/>
      <c r="BG40" s="79"/>
      <c r="BH40" s="79"/>
      <c r="BI40" s="79"/>
      <c r="BJ40" s="88"/>
      <c r="BK40" s="88"/>
      <c r="BL40" s="79"/>
      <c r="BM40" s="185" t="s">
        <v>108</v>
      </c>
      <c r="BN40" s="90"/>
      <c r="BO40" s="80"/>
      <c r="BP40" s="80"/>
      <c r="BQ40" s="80"/>
      <c r="BR40" s="80"/>
      <c r="BS40" s="80"/>
      <c r="BT40" s="80"/>
      <c r="BU40" s="80"/>
      <c r="BV40" s="80"/>
      <c r="BW40" s="82"/>
      <c r="BX40" s="79"/>
      <c r="BY40" s="79"/>
      <c r="BZ40" s="79"/>
      <c r="CA40" s="79"/>
      <c r="CB40" s="79"/>
      <c r="CC40" s="82"/>
      <c r="CD40" s="82"/>
      <c r="CE40" s="82"/>
      <c r="CF40" s="82"/>
      <c r="CG40" s="82"/>
      <c r="CH40" s="82"/>
      <c r="CI40" s="82"/>
      <c r="CJ40" s="79"/>
      <c r="CK40" s="79"/>
      <c r="CL40" s="79"/>
      <c r="CM40" s="79"/>
      <c r="CN40" s="79"/>
      <c r="CO40" s="79"/>
      <c r="CP40" s="13" t="s">
        <v>210</v>
      </c>
    </row>
    <row r="41" spans="1:94" ht="26.4">
      <c r="A41" s="98">
        <f t="shared" si="4"/>
        <v>18</v>
      </c>
      <c r="B41" s="319" t="s">
        <v>297</v>
      </c>
      <c r="C41" s="188" t="s">
        <v>296</v>
      </c>
      <c r="D41" s="47" t="s">
        <v>360</v>
      </c>
      <c r="E41" s="126"/>
      <c r="F41" s="127" t="s">
        <v>388</v>
      </c>
      <c r="G41" s="167"/>
      <c r="H41" s="167">
        <v>1</v>
      </c>
      <c r="I41" s="170" t="s">
        <v>326</v>
      </c>
      <c r="J41" s="180">
        <f t="shared" si="8"/>
        <v>2000000</v>
      </c>
      <c r="K41" s="136"/>
      <c r="L41" s="182">
        <v>300000</v>
      </c>
      <c r="M41" s="137"/>
      <c r="N41" s="183">
        <f t="shared" si="2"/>
        <v>2300000</v>
      </c>
      <c r="O41" s="177" t="s">
        <v>319</v>
      </c>
      <c r="P41" s="145"/>
      <c r="Q41" s="141"/>
      <c r="R41" s="190">
        <v>34</v>
      </c>
      <c r="S41" s="83"/>
      <c r="T41" s="87"/>
      <c r="U41" s="87"/>
      <c r="V41" s="87"/>
      <c r="W41" s="44"/>
      <c r="X41" s="88"/>
      <c r="Y41" s="79"/>
      <c r="Z41" s="79"/>
      <c r="AA41" s="79"/>
      <c r="AB41" s="79"/>
      <c r="AC41" s="86"/>
      <c r="AD41" s="82"/>
      <c r="AE41" s="79"/>
      <c r="AF41" s="88"/>
      <c r="AG41" s="80"/>
      <c r="AH41" s="79"/>
      <c r="AI41" s="79"/>
      <c r="AJ41" s="79"/>
      <c r="AK41" s="80"/>
      <c r="AL41" s="80"/>
      <c r="AM41" s="80"/>
      <c r="AN41" s="79"/>
      <c r="AO41" s="80"/>
      <c r="AP41" s="80"/>
      <c r="AQ41" s="80"/>
      <c r="AR41" s="85"/>
      <c r="AS41" s="85"/>
      <c r="AT41" s="85"/>
      <c r="AU41" s="85"/>
      <c r="AV41" s="85"/>
      <c r="AW41" s="82"/>
      <c r="AX41" s="79"/>
      <c r="AY41" s="82"/>
      <c r="AZ41" s="82"/>
      <c r="BA41" s="86"/>
      <c r="BB41" s="79"/>
      <c r="BC41" s="79"/>
      <c r="BD41" s="79"/>
      <c r="BE41" s="82"/>
      <c r="BF41" s="85"/>
      <c r="BG41" s="79"/>
      <c r="BH41" s="79"/>
      <c r="BI41" s="79"/>
      <c r="BJ41" s="88"/>
      <c r="BK41" s="88"/>
      <c r="BL41" s="79"/>
      <c r="BM41" s="185" t="s">
        <v>108</v>
      </c>
      <c r="BN41" s="90"/>
      <c r="BO41" s="80"/>
      <c r="BP41" s="80"/>
      <c r="BQ41" s="80"/>
      <c r="BR41" s="80"/>
      <c r="BS41" s="80"/>
      <c r="BT41" s="80"/>
      <c r="BU41" s="80"/>
      <c r="BV41" s="80"/>
      <c r="BW41" s="82"/>
      <c r="BX41" s="79"/>
      <c r="BY41" s="79"/>
      <c r="BZ41" s="79"/>
      <c r="CA41" s="79"/>
      <c r="CB41" s="79"/>
      <c r="CC41" s="82"/>
      <c r="CD41" s="82"/>
      <c r="CE41" s="82"/>
      <c r="CF41" s="82"/>
      <c r="CG41" s="82"/>
      <c r="CH41" s="82"/>
      <c r="CI41" s="82"/>
      <c r="CJ41" s="79"/>
      <c r="CK41" s="79"/>
      <c r="CL41" s="79"/>
      <c r="CM41" s="79"/>
      <c r="CN41" s="79"/>
      <c r="CO41" s="79"/>
      <c r="CP41" s="13" t="s">
        <v>210</v>
      </c>
    </row>
    <row r="42" spans="1:94">
      <c r="A42" s="98">
        <f t="shared" si="4"/>
        <v>19</v>
      </c>
      <c r="B42" s="189" t="s">
        <v>298</v>
      </c>
      <c r="C42" s="188" t="s">
        <v>299</v>
      </c>
      <c r="D42" s="47" t="s">
        <v>352</v>
      </c>
      <c r="E42" s="126"/>
      <c r="F42" s="127" t="s">
        <v>388</v>
      </c>
      <c r="G42" s="167">
        <v>1</v>
      </c>
      <c r="H42" s="167"/>
      <c r="I42" s="170" t="s">
        <v>327</v>
      </c>
      <c r="J42" s="180">
        <f t="shared" si="8"/>
        <v>1300000</v>
      </c>
      <c r="K42" s="156"/>
      <c r="L42" s="157"/>
      <c r="M42" s="157"/>
      <c r="N42" s="183">
        <f t="shared" si="2"/>
        <v>1300000</v>
      </c>
      <c r="O42" s="177" t="s">
        <v>320</v>
      </c>
      <c r="P42" s="145"/>
      <c r="Q42" s="141"/>
      <c r="R42" s="190">
        <v>20</v>
      </c>
      <c r="S42" s="83"/>
      <c r="T42" s="87"/>
      <c r="U42" s="87"/>
      <c r="V42" s="87"/>
      <c r="W42" s="44"/>
      <c r="X42" s="88"/>
      <c r="Y42" s="79"/>
      <c r="Z42" s="79"/>
      <c r="AA42" s="79"/>
      <c r="AB42" s="79"/>
      <c r="AC42" s="86"/>
      <c r="AD42" s="82"/>
      <c r="AE42" s="79"/>
      <c r="AF42" s="88"/>
      <c r="AG42" s="80"/>
      <c r="AH42" s="79"/>
      <c r="AI42" s="79"/>
      <c r="AJ42" s="79"/>
      <c r="AK42" s="80"/>
      <c r="AL42" s="80"/>
      <c r="AM42" s="80"/>
      <c r="AN42" s="79"/>
      <c r="AO42" s="80"/>
      <c r="AP42" s="80"/>
      <c r="AQ42" s="80"/>
      <c r="AR42" s="85"/>
      <c r="AS42" s="85"/>
      <c r="AT42" s="85"/>
      <c r="AU42" s="85"/>
      <c r="AV42" s="85"/>
      <c r="AW42" s="82"/>
      <c r="AX42" s="79"/>
      <c r="AY42" s="82"/>
      <c r="AZ42" s="82"/>
      <c r="BA42" s="86"/>
      <c r="BB42" s="79"/>
      <c r="BC42" s="79"/>
      <c r="BD42" s="79"/>
      <c r="BE42" s="82"/>
      <c r="BF42" s="85"/>
      <c r="BG42" s="79"/>
      <c r="BH42" s="79"/>
      <c r="BI42" s="79"/>
      <c r="BJ42" s="88"/>
      <c r="BK42" s="88"/>
      <c r="BL42" s="79"/>
      <c r="BM42" s="186" t="s">
        <v>123</v>
      </c>
      <c r="BN42" s="90"/>
      <c r="BO42" s="80"/>
      <c r="BP42" s="80"/>
      <c r="BQ42" s="80"/>
      <c r="BR42" s="80"/>
      <c r="BS42" s="80"/>
      <c r="BT42" s="80"/>
      <c r="BU42" s="80"/>
      <c r="BV42" s="80"/>
      <c r="BW42" s="82"/>
      <c r="BX42" s="79"/>
      <c r="BY42" s="79"/>
      <c r="BZ42" s="79"/>
      <c r="CA42" s="79"/>
      <c r="CB42" s="79"/>
      <c r="CC42" s="82"/>
      <c r="CD42" s="82"/>
      <c r="CE42" s="82"/>
      <c r="CF42" s="82"/>
      <c r="CG42" s="82"/>
      <c r="CH42" s="82"/>
      <c r="CI42" s="82"/>
      <c r="CJ42" s="79"/>
      <c r="CK42" s="79"/>
      <c r="CL42" s="79"/>
      <c r="CM42" s="79"/>
      <c r="CN42" s="79"/>
      <c r="CO42" s="79"/>
      <c r="CP42" s="13" t="s">
        <v>206</v>
      </c>
    </row>
    <row r="43" spans="1:94">
      <c r="A43" s="98">
        <f t="shared" si="4"/>
        <v>20</v>
      </c>
      <c r="B43" s="178" t="s">
        <v>300</v>
      </c>
      <c r="C43" s="188" t="s">
        <v>299</v>
      </c>
      <c r="D43" s="47" t="s">
        <v>361</v>
      </c>
      <c r="E43" s="126"/>
      <c r="F43" s="127" t="s">
        <v>388</v>
      </c>
      <c r="G43" s="167">
        <v>1</v>
      </c>
      <c r="H43" s="167"/>
      <c r="I43" s="170" t="s">
        <v>328</v>
      </c>
      <c r="J43" s="180">
        <f t="shared" si="8"/>
        <v>1300000</v>
      </c>
      <c r="K43" s="156"/>
      <c r="L43" s="182">
        <v>300000</v>
      </c>
      <c r="M43" s="157"/>
      <c r="N43" s="183">
        <f t="shared" si="2"/>
        <v>1600000</v>
      </c>
      <c r="O43" s="177" t="s">
        <v>321</v>
      </c>
      <c r="P43" s="145"/>
      <c r="Q43" s="141"/>
      <c r="R43" s="190">
        <v>640</v>
      </c>
      <c r="S43" s="83"/>
      <c r="T43" s="87"/>
      <c r="U43" s="87"/>
      <c r="V43" s="87"/>
      <c r="W43" s="44"/>
      <c r="X43" s="88"/>
      <c r="Y43" s="79"/>
      <c r="Z43" s="79"/>
      <c r="AA43" s="79"/>
      <c r="AB43" s="79"/>
      <c r="AC43" s="86"/>
      <c r="AD43" s="82"/>
      <c r="AE43" s="79"/>
      <c r="AF43" s="88"/>
      <c r="AG43" s="80"/>
      <c r="AH43" s="79"/>
      <c r="AI43" s="79"/>
      <c r="AJ43" s="79"/>
      <c r="AK43" s="80"/>
      <c r="AL43" s="80"/>
      <c r="AM43" s="80"/>
      <c r="AN43" s="79"/>
      <c r="AO43" s="80"/>
      <c r="AP43" s="80"/>
      <c r="AQ43" s="80"/>
      <c r="AR43" s="85"/>
      <c r="AS43" s="85"/>
      <c r="AT43" s="85"/>
      <c r="AU43" s="85"/>
      <c r="AV43" s="85"/>
      <c r="AW43" s="82"/>
      <c r="AX43" s="79"/>
      <c r="AY43" s="82"/>
      <c r="AZ43" s="82"/>
      <c r="BA43" s="86"/>
      <c r="BB43" s="79"/>
      <c r="BC43" s="79"/>
      <c r="BD43" s="79"/>
      <c r="BE43" s="82"/>
      <c r="BF43" s="85"/>
      <c r="BG43" s="79"/>
      <c r="BH43" s="79"/>
      <c r="BI43" s="79"/>
      <c r="BJ43" s="88"/>
      <c r="BK43" s="88"/>
      <c r="BL43" s="79"/>
      <c r="BM43" s="185" t="s">
        <v>108</v>
      </c>
      <c r="BN43" s="90"/>
      <c r="BO43" s="80"/>
      <c r="BP43" s="80"/>
      <c r="BQ43" s="80"/>
      <c r="BR43" s="80"/>
      <c r="BS43" s="80"/>
      <c r="BT43" s="80"/>
      <c r="BU43" s="80"/>
      <c r="BV43" s="80"/>
      <c r="BW43" s="82"/>
      <c r="BX43" s="79"/>
      <c r="BY43" s="79"/>
      <c r="BZ43" s="79"/>
      <c r="CA43" s="79"/>
      <c r="CB43" s="79"/>
      <c r="CC43" s="82"/>
      <c r="CD43" s="82"/>
      <c r="CE43" s="82"/>
      <c r="CF43" s="82"/>
      <c r="CG43" s="82"/>
      <c r="CH43" s="82"/>
      <c r="CI43" s="82"/>
      <c r="CJ43" s="79"/>
      <c r="CK43" s="79"/>
      <c r="CL43" s="79"/>
      <c r="CM43" s="79"/>
      <c r="CN43" s="79"/>
      <c r="CO43" s="79"/>
      <c r="CP43" s="13" t="s">
        <v>210</v>
      </c>
    </row>
    <row r="44" spans="1:94">
      <c r="A44" s="98">
        <f t="shared" si="4"/>
        <v>21</v>
      </c>
      <c r="B44" s="178" t="s">
        <v>301</v>
      </c>
      <c r="C44" s="188" t="s">
        <v>299</v>
      </c>
      <c r="D44" s="47" t="s">
        <v>362</v>
      </c>
      <c r="E44" s="159"/>
      <c r="F44" s="127" t="s">
        <v>388</v>
      </c>
      <c r="G44" s="167">
        <v>1</v>
      </c>
      <c r="H44" s="167"/>
      <c r="I44" s="170" t="s">
        <v>329</v>
      </c>
      <c r="J44" s="180">
        <f t="shared" si="8"/>
        <v>1300000</v>
      </c>
      <c r="K44" s="156"/>
      <c r="L44" s="182">
        <v>300000</v>
      </c>
      <c r="M44" s="157"/>
      <c r="N44" s="183">
        <f t="shared" si="2"/>
        <v>1600000</v>
      </c>
      <c r="O44" s="177">
        <v>2714208250</v>
      </c>
      <c r="P44" s="145"/>
      <c r="Q44" s="141"/>
      <c r="R44" s="190">
        <v>734</v>
      </c>
      <c r="S44" s="83"/>
      <c r="T44" s="87"/>
      <c r="U44" s="87"/>
      <c r="V44" s="87"/>
      <c r="W44" s="44"/>
      <c r="X44" s="88"/>
      <c r="Y44" s="79"/>
      <c r="Z44" s="79"/>
      <c r="AA44" s="79"/>
      <c r="AB44" s="79"/>
      <c r="AC44" s="86"/>
      <c r="AD44" s="82"/>
      <c r="AE44" s="79"/>
      <c r="AF44" s="88"/>
      <c r="AG44" s="80"/>
      <c r="AH44" s="79"/>
      <c r="AI44" s="79"/>
      <c r="AJ44" s="79"/>
      <c r="AK44" s="80"/>
      <c r="AL44" s="80"/>
      <c r="AM44" s="80"/>
      <c r="AN44" s="79"/>
      <c r="AO44" s="80"/>
      <c r="AP44" s="80"/>
      <c r="AQ44" s="80"/>
      <c r="AR44" s="85"/>
      <c r="AS44" s="85"/>
      <c r="AT44" s="85"/>
      <c r="AU44" s="85"/>
      <c r="AV44" s="85"/>
      <c r="AW44" s="82"/>
      <c r="AX44" s="79"/>
      <c r="AY44" s="82"/>
      <c r="AZ44" s="82"/>
      <c r="BA44" s="86"/>
      <c r="BB44" s="79"/>
      <c r="BC44" s="79"/>
      <c r="BD44" s="79"/>
      <c r="BE44" s="82"/>
      <c r="BF44" s="85"/>
      <c r="BG44" s="79"/>
      <c r="BH44" s="79"/>
      <c r="BI44" s="79"/>
      <c r="BJ44" s="88"/>
      <c r="BK44" s="88"/>
      <c r="BL44" s="79"/>
      <c r="BM44" s="185" t="s">
        <v>108</v>
      </c>
      <c r="BN44" s="90"/>
      <c r="BO44" s="80"/>
      <c r="BP44" s="80"/>
      <c r="BQ44" s="80"/>
      <c r="BR44" s="80"/>
      <c r="BS44" s="80"/>
      <c r="BT44" s="80"/>
      <c r="BU44" s="80"/>
      <c r="BV44" s="80"/>
      <c r="BW44" s="82"/>
      <c r="BX44" s="79"/>
      <c r="BY44" s="79"/>
      <c r="BZ44" s="79"/>
      <c r="CA44" s="79"/>
      <c r="CB44" s="79"/>
      <c r="CC44" s="82"/>
      <c r="CD44" s="82"/>
      <c r="CE44" s="82"/>
      <c r="CF44" s="82"/>
      <c r="CG44" s="82"/>
      <c r="CH44" s="82"/>
      <c r="CI44" s="82"/>
      <c r="CJ44" s="79"/>
      <c r="CK44" s="79"/>
      <c r="CL44" s="79"/>
      <c r="CM44" s="79"/>
      <c r="CN44" s="79"/>
      <c r="CO44" s="79"/>
      <c r="CP44" s="13" t="s">
        <v>210</v>
      </c>
    </row>
    <row r="45" spans="1:94" ht="26.4">
      <c r="A45" s="98">
        <f t="shared" si="4"/>
        <v>22</v>
      </c>
      <c r="B45" s="178" t="s">
        <v>302</v>
      </c>
      <c r="C45" s="188" t="s">
        <v>299</v>
      </c>
      <c r="D45" s="47" t="s">
        <v>379</v>
      </c>
      <c r="E45" s="126"/>
      <c r="F45" s="127" t="s">
        <v>388</v>
      </c>
      <c r="G45" s="167"/>
      <c r="H45" s="167"/>
      <c r="I45" s="170" t="s">
        <v>330</v>
      </c>
      <c r="J45" s="155">
        <v>1000000</v>
      </c>
      <c r="K45" s="156"/>
      <c r="L45" s="182">
        <v>300000</v>
      </c>
      <c r="M45" s="157"/>
      <c r="N45" s="183">
        <f t="shared" si="2"/>
        <v>1300000</v>
      </c>
      <c r="O45" s="177" t="s">
        <v>322</v>
      </c>
      <c r="P45" s="145"/>
      <c r="Q45" s="141"/>
      <c r="R45" s="190">
        <v>56</v>
      </c>
      <c r="S45" s="83"/>
      <c r="T45" s="87"/>
      <c r="U45" s="87"/>
      <c r="V45" s="87"/>
      <c r="W45" s="44"/>
      <c r="X45" s="88"/>
      <c r="Y45" s="79"/>
      <c r="Z45" s="79"/>
      <c r="AA45" s="79"/>
      <c r="AB45" s="79"/>
      <c r="AC45" s="86"/>
      <c r="AD45" s="82"/>
      <c r="AE45" s="79"/>
      <c r="AF45" s="88"/>
      <c r="AG45" s="80"/>
      <c r="AH45" s="79"/>
      <c r="AI45" s="79"/>
      <c r="AJ45" s="79"/>
      <c r="AK45" s="80"/>
      <c r="AL45" s="80"/>
      <c r="AM45" s="80"/>
      <c r="AN45" s="79"/>
      <c r="AO45" s="80"/>
      <c r="AP45" s="80"/>
      <c r="AQ45" s="80"/>
      <c r="AR45" s="85"/>
      <c r="AS45" s="85"/>
      <c r="AT45" s="85"/>
      <c r="AU45" s="85"/>
      <c r="AV45" s="85"/>
      <c r="AW45" s="82"/>
      <c r="AX45" s="79"/>
      <c r="AY45" s="82"/>
      <c r="AZ45" s="82"/>
      <c r="BA45" s="86"/>
      <c r="BB45" s="79"/>
      <c r="BC45" s="79"/>
      <c r="BD45" s="79"/>
      <c r="BE45" s="82"/>
      <c r="BF45" s="85"/>
      <c r="BG45" s="79"/>
      <c r="BH45" s="79"/>
      <c r="BI45" s="79"/>
      <c r="BJ45" s="88"/>
      <c r="BK45" s="88"/>
      <c r="BL45" s="79"/>
      <c r="BM45" s="185" t="s">
        <v>108</v>
      </c>
      <c r="BN45" s="90"/>
      <c r="BO45" s="80"/>
      <c r="BP45" s="80"/>
      <c r="BQ45" s="80"/>
      <c r="BR45" s="80"/>
      <c r="BS45" s="80"/>
      <c r="BT45" s="80"/>
      <c r="BU45" s="80"/>
      <c r="BV45" s="80"/>
      <c r="BW45" s="82"/>
      <c r="BX45" s="79"/>
      <c r="BY45" s="79"/>
      <c r="BZ45" s="79"/>
      <c r="CA45" s="79"/>
      <c r="CB45" s="79"/>
      <c r="CC45" s="82"/>
      <c r="CD45" s="82"/>
      <c r="CE45" s="82"/>
      <c r="CF45" s="82"/>
      <c r="CG45" s="82"/>
      <c r="CH45" s="82"/>
      <c r="CI45" s="82"/>
      <c r="CJ45" s="79"/>
      <c r="CK45" s="79"/>
      <c r="CL45" s="79"/>
      <c r="CM45" s="79"/>
      <c r="CN45" s="79"/>
      <c r="CO45" s="79"/>
      <c r="CP45" s="13" t="s">
        <v>210</v>
      </c>
    </row>
    <row r="46" spans="1:94">
      <c r="A46" s="98">
        <f t="shared" si="4"/>
        <v>23</v>
      </c>
      <c r="B46" s="178" t="s">
        <v>303</v>
      </c>
      <c r="C46" s="188" t="s">
        <v>304</v>
      </c>
      <c r="D46" s="47" t="s">
        <v>363</v>
      </c>
      <c r="E46" s="126"/>
      <c r="F46" s="127" t="s">
        <v>388</v>
      </c>
      <c r="G46" s="167">
        <v>1</v>
      </c>
      <c r="H46" s="167"/>
      <c r="I46" s="170" t="s">
        <v>331</v>
      </c>
      <c r="J46" s="180">
        <f t="shared" si="8"/>
        <v>1300000</v>
      </c>
      <c r="K46" s="156"/>
      <c r="L46" s="182">
        <v>300000</v>
      </c>
      <c r="M46" s="157"/>
      <c r="N46" s="183">
        <f t="shared" si="2"/>
        <v>1600000</v>
      </c>
      <c r="O46" s="177" t="s">
        <v>323</v>
      </c>
      <c r="P46" s="145"/>
      <c r="Q46" s="141"/>
      <c r="R46" s="190">
        <v>660</v>
      </c>
      <c r="S46" s="83"/>
      <c r="T46" s="87"/>
      <c r="U46" s="87"/>
      <c r="V46" s="87"/>
      <c r="W46" s="44"/>
      <c r="X46" s="88"/>
      <c r="Y46" s="79"/>
      <c r="Z46" s="79"/>
      <c r="AA46" s="79"/>
      <c r="AB46" s="79"/>
      <c r="AC46" s="86"/>
      <c r="AD46" s="82"/>
      <c r="AE46" s="79"/>
      <c r="AF46" s="88"/>
      <c r="AG46" s="80"/>
      <c r="AH46" s="79"/>
      <c r="AI46" s="79"/>
      <c r="AJ46" s="79"/>
      <c r="AK46" s="80"/>
      <c r="AL46" s="80"/>
      <c r="AM46" s="80"/>
      <c r="AN46" s="79"/>
      <c r="AO46" s="80"/>
      <c r="AP46" s="80"/>
      <c r="AQ46" s="80"/>
      <c r="AR46" s="85"/>
      <c r="AS46" s="85"/>
      <c r="AT46" s="85"/>
      <c r="AU46" s="85"/>
      <c r="AV46" s="85"/>
      <c r="AW46" s="82"/>
      <c r="AX46" s="79"/>
      <c r="AY46" s="82"/>
      <c r="AZ46" s="82"/>
      <c r="BA46" s="86"/>
      <c r="BB46" s="79"/>
      <c r="BC46" s="79"/>
      <c r="BD46" s="79"/>
      <c r="BE46" s="82"/>
      <c r="BF46" s="85"/>
      <c r="BG46" s="79"/>
      <c r="BH46" s="79"/>
      <c r="BI46" s="79"/>
      <c r="BJ46" s="88"/>
      <c r="BK46" s="88"/>
      <c r="BL46" s="79"/>
      <c r="BM46" s="186" t="s">
        <v>123</v>
      </c>
      <c r="BN46" s="90"/>
      <c r="BO46" s="80"/>
      <c r="BP46" s="80"/>
      <c r="BQ46" s="80"/>
      <c r="BR46" s="80"/>
      <c r="BS46" s="80"/>
      <c r="BT46" s="80"/>
      <c r="BU46" s="80"/>
      <c r="BV46" s="80"/>
      <c r="BW46" s="82"/>
      <c r="BX46" s="79"/>
      <c r="BY46" s="79"/>
      <c r="BZ46" s="79"/>
      <c r="CA46" s="79"/>
      <c r="CB46" s="79"/>
      <c r="CC46" s="82"/>
      <c r="CD46" s="82"/>
      <c r="CE46" s="82"/>
      <c r="CF46" s="82"/>
      <c r="CG46" s="82"/>
      <c r="CH46" s="82"/>
      <c r="CI46" s="82"/>
      <c r="CJ46" s="79"/>
      <c r="CK46" s="79"/>
      <c r="CL46" s="79"/>
      <c r="CM46" s="79"/>
      <c r="CN46" s="79"/>
      <c r="CO46" s="79"/>
    </row>
    <row r="47" spans="1:94">
      <c r="A47" s="98">
        <f t="shared" si="4"/>
        <v>24</v>
      </c>
      <c r="B47" s="189" t="s">
        <v>305</v>
      </c>
      <c r="C47" s="188" t="s">
        <v>304</v>
      </c>
      <c r="D47" s="47" t="s">
        <v>353</v>
      </c>
      <c r="E47" s="126"/>
      <c r="F47" s="127" t="s">
        <v>388</v>
      </c>
      <c r="G47" s="167">
        <v>1</v>
      </c>
      <c r="H47" s="167"/>
      <c r="I47" s="170" t="s">
        <v>332</v>
      </c>
      <c r="J47" s="180">
        <f t="shared" si="8"/>
        <v>1300000</v>
      </c>
      <c r="K47" s="156"/>
      <c r="L47" s="157"/>
      <c r="M47" s="157"/>
      <c r="N47" s="183">
        <f t="shared" si="2"/>
        <v>1300000</v>
      </c>
      <c r="O47" s="177" t="s">
        <v>324</v>
      </c>
      <c r="P47" s="145"/>
      <c r="Q47" s="141"/>
      <c r="R47" s="190">
        <v>1</v>
      </c>
      <c r="S47" s="83"/>
      <c r="T47" s="87"/>
      <c r="U47" s="87"/>
      <c r="V47" s="87"/>
      <c r="W47" s="44"/>
      <c r="X47" s="88"/>
      <c r="Y47" s="79"/>
      <c r="Z47" s="79"/>
      <c r="AA47" s="79"/>
      <c r="AB47" s="79"/>
      <c r="AC47" s="86"/>
      <c r="AD47" s="82"/>
      <c r="AE47" s="79"/>
      <c r="AF47" s="88"/>
      <c r="AG47" s="80"/>
      <c r="AH47" s="79"/>
      <c r="AI47" s="79"/>
      <c r="AJ47" s="79"/>
      <c r="AK47" s="80"/>
      <c r="AL47" s="80"/>
      <c r="AM47" s="80"/>
      <c r="AN47" s="79"/>
      <c r="AO47" s="80"/>
      <c r="AP47" s="80"/>
      <c r="AQ47" s="80"/>
      <c r="AR47" s="85"/>
      <c r="AS47" s="85"/>
      <c r="AT47" s="85"/>
      <c r="AU47" s="85"/>
      <c r="AV47" s="85"/>
      <c r="AW47" s="82"/>
      <c r="AX47" s="79"/>
      <c r="AY47" s="82"/>
      <c r="AZ47" s="82"/>
      <c r="BA47" s="86"/>
      <c r="BB47" s="79"/>
      <c r="BC47" s="79"/>
      <c r="BD47" s="79"/>
      <c r="BE47" s="82"/>
      <c r="BF47" s="85"/>
      <c r="BG47" s="79"/>
      <c r="BH47" s="79"/>
      <c r="BI47" s="79"/>
      <c r="BJ47" s="88"/>
      <c r="BK47" s="88"/>
      <c r="BL47" s="79"/>
      <c r="BM47" s="186" t="s">
        <v>123</v>
      </c>
      <c r="BN47" s="90"/>
      <c r="BO47" s="80"/>
      <c r="BP47" s="80"/>
      <c r="BQ47" s="80"/>
      <c r="BR47" s="80"/>
      <c r="BS47" s="80"/>
      <c r="BT47" s="80"/>
      <c r="BU47" s="80"/>
      <c r="BV47" s="80"/>
      <c r="BW47" s="82"/>
      <c r="BX47" s="79"/>
      <c r="BY47" s="79"/>
      <c r="BZ47" s="79"/>
      <c r="CA47" s="79"/>
      <c r="CB47" s="79"/>
      <c r="CC47" s="82"/>
      <c r="CD47" s="82"/>
      <c r="CE47" s="82"/>
      <c r="CF47" s="82"/>
      <c r="CG47" s="82"/>
      <c r="CH47" s="82"/>
      <c r="CI47" s="82"/>
      <c r="CJ47" s="79"/>
      <c r="CK47" s="79"/>
      <c r="CL47" s="79"/>
      <c r="CM47" s="79"/>
      <c r="CN47" s="79"/>
      <c r="CO47" s="79"/>
      <c r="CP47" s="13" t="s">
        <v>206</v>
      </c>
    </row>
    <row r="48" spans="1:94">
      <c r="A48" s="98">
        <f t="shared" si="4"/>
        <v>25</v>
      </c>
      <c r="B48" s="178" t="s">
        <v>306</v>
      </c>
      <c r="C48" s="188" t="s">
        <v>307</v>
      </c>
      <c r="D48" s="47" t="s">
        <v>364</v>
      </c>
      <c r="E48" s="126"/>
      <c r="F48" s="127" t="s">
        <v>388</v>
      </c>
      <c r="G48" s="167"/>
      <c r="H48" s="167">
        <v>1</v>
      </c>
      <c r="I48" s="170" t="s">
        <v>333</v>
      </c>
      <c r="J48" s="180">
        <f t="shared" si="8"/>
        <v>2000000</v>
      </c>
      <c r="K48" s="156"/>
      <c r="L48" s="182">
        <v>300000</v>
      </c>
      <c r="M48" s="157"/>
      <c r="N48" s="183">
        <f t="shared" si="2"/>
        <v>2300000</v>
      </c>
      <c r="O48" s="177">
        <v>2714057410</v>
      </c>
      <c r="P48" s="145"/>
      <c r="Q48" s="141"/>
      <c r="R48" s="190">
        <v>1080</v>
      </c>
      <c r="S48" s="83"/>
      <c r="T48" s="87"/>
      <c r="U48" s="87"/>
      <c r="V48" s="87"/>
      <c r="W48" s="44"/>
      <c r="X48" s="88"/>
      <c r="Y48" s="79"/>
      <c r="Z48" s="79"/>
      <c r="AA48" s="79"/>
      <c r="AB48" s="79"/>
      <c r="AC48" s="86"/>
      <c r="AD48" s="82"/>
      <c r="AE48" s="79"/>
      <c r="AF48" s="88"/>
      <c r="AG48" s="80"/>
      <c r="AH48" s="79"/>
      <c r="AI48" s="79"/>
      <c r="AJ48" s="79"/>
      <c r="AK48" s="80"/>
      <c r="AL48" s="80"/>
      <c r="AM48" s="80"/>
      <c r="AN48" s="79"/>
      <c r="AO48" s="80"/>
      <c r="AP48" s="80"/>
      <c r="AQ48" s="80"/>
      <c r="AR48" s="85"/>
      <c r="AS48" s="85"/>
      <c r="AT48" s="85"/>
      <c r="AU48" s="85"/>
      <c r="AV48" s="85"/>
      <c r="AW48" s="82"/>
      <c r="AX48" s="79"/>
      <c r="AY48" s="82"/>
      <c r="AZ48" s="82"/>
      <c r="BA48" s="86"/>
      <c r="BB48" s="79"/>
      <c r="BC48" s="79"/>
      <c r="BD48" s="79"/>
      <c r="BE48" s="82"/>
      <c r="BF48" s="85"/>
      <c r="BG48" s="79"/>
      <c r="BH48" s="79"/>
      <c r="BI48" s="79"/>
      <c r="BJ48" s="88"/>
      <c r="BK48" s="88"/>
      <c r="BL48" s="79"/>
      <c r="BM48" s="185" t="s">
        <v>108</v>
      </c>
      <c r="BN48" s="90"/>
      <c r="BO48" s="80"/>
      <c r="BP48" s="80"/>
      <c r="BQ48" s="80"/>
      <c r="BR48" s="80"/>
      <c r="BS48" s="80"/>
      <c r="BT48" s="80"/>
      <c r="BU48" s="80"/>
      <c r="BV48" s="80"/>
      <c r="BW48" s="82"/>
      <c r="BX48" s="79"/>
      <c r="BY48" s="79"/>
      <c r="BZ48" s="79"/>
      <c r="CA48" s="79"/>
      <c r="CB48" s="79"/>
      <c r="CC48" s="82"/>
      <c r="CD48" s="82"/>
      <c r="CE48" s="82"/>
      <c r="CF48" s="82"/>
      <c r="CG48" s="82"/>
      <c r="CH48" s="82"/>
      <c r="CI48" s="82"/>
      <c r="CJ48" s="79"/>
      <c r="CK48" s="79"/>
      <c r="CL48" s="79"/>
      <c r="CM48" s="79"/>
      <c r="CN48" s="79"/>
      <c r="CO48" s="79"/>
      <c r="CP48" s="13" t="s">
        <v>210</v>
      </c>
    </row>
    <row r="49" spans="1:94">
      <c r="A49" s="98">
        <f t="shared" si="4"/>
        <v>26</v>
      </c>
      <c r="B49" s="178" t="s">
        <v>308</v>
      </c>
      <c r="C49" s="188">
        <v>44977</v>
      </c>
      <c r="D49" s="47" t="s">
        <v>365</v>
      </c>
      <c r="E49" s="126"/>
      <c r="F49" s="127" t="s">
        <v>388</v>
      </c>
      <c r="G49" s="167"/>
      <c r="H49" s="167">
        <v>1</v>
      </c>
      <c r="I49" s="170" t="s">
        <v>342</v>
      </c>
      <c r="J49" s="180">
        <f t="shared" si="8"/>
        <v>2000000</v>
      </c>
      <c r="K49" s="156"/>
      <c r="L49" s="182">
        <v>300000</v>
      </c>
      <c r="M49" s="157"/>
      <c r="N49" s="183">
        <f t="shared" si="2"/>
        <v>2300000</v>
      </c>
      <c r="O49" s="177" t="s">
        <v>334</v>
      </c>
      <c r="P49" s="145"/>
      <c r="Q49" s="141"/>
      <c r="R49" s="190">
        <v>34</v>
      </c>
      <c r="S49" s="83"/>
      <c r="T49" s="87"/>
      <c r="U49" s="87"/>
      <c r="V49" s="87"/>
      <c r="W49" s="44"/>
      <c r="X49" s="88"/>
      <c r="Y49" s="79"/>
      <c r="Z49" s="79"/>
      <c r="AA49" s="79"/>
      <c r="AB49" s="79"/>
      <c r="AC49" s="86"/>
      <c r="AD49" s="82"/>
      <c r="AE49" s="79"/>
      <c r="AF49" s="88"/>
      <c r="AG49" s="80"/>
      <c r="AH49" s="79"/>
      <c r="AI49" s="79"/>
      <c r="AJ49" s="79"/>
      <c r="AK49" s="80"/>
      <c r="AL49" s="80"/>
      <c r="AM49" s="80"/>
      <c r="AN49" s="79"/>
      <c r="AO49" s="80"/>
      <c r="AP49" s="80"/>
      <c r="AQ49" s="80"/>
      <c r="AR49" s="85"/>
      <c r="AS49" s="85"/>
      <c r="AT49" s="85"/>
      <c r="AU49" s="85"/>
      <c r="AV49" s="85"/>
      <c r="AW49" s="82"/>
      <c r="AX49" s="79"/>
      <c r="AY49" s="82"/>
      <c r="AZ49" s="82"/>
      <c r="BA49" s="86"/>
      <c r="BB49" s="79"/>
      <c r="BC49" s="79"/>
      <c r="BD49" s="79"/>
      <c r="BE49" s="82"/>
      <c r="BF49" s="85"/>
      <c r="BG49" s="79"/>
      <c r="BH49" s="79"/>
      <c r="BI49" s="79"/>
      <c r="BJ49" s="88"/>
      <c r="BK49" s="88"/>
      <c r="BL49" s="79"/>
      <c r="BM49" s="185" t="s">
        <v>108</v>
      </c>
      <c r="BN49" s="90"/>
      <c r="BO49" s="80"/>
      <c r="BP49" s="80"/>
      <c r="BQ49" s="80"/>
      <c r="BR49" s="80"/>
      <c r="BS49" s="80"/>
      <c r="BT49" s="80"/>
      <c r="BU49" s="80"/>
      <c r="BV49" s="80"/>
      <c r="BW49" s="82"/>
      <c r="BX49" s="79"/>
      <c r="BY49" s="79"/>
      <c r="BZ49" s="79"/>
      <c r="CA49" s="79"/>
      <c r="CB49" s="79"/>
      <c r="CC49" s="82"/>
      <c r="CD49" s="82"/>
      <c r="CE49" s="82"/>
      <c r="CF49" s="82"/>
      <c r="CG49" s="82"/>
      <c r="CH49" s="82"/>
      <c r="CI49" s="82"/>
      <c r="CJ49" s="79"/>
      <c r="CK49" s="79"/>
      <c r="CL49" s="79"/>
      <c r="CM49" s="79"/>
      <c r="CN49" s="79"/>
      <c r="CO49" s="79"/>
      <c r="CP49" s="13" t="s">
        <v>210</v>
      </c>
    </row>
    <row r="50" spans="1:94" ht="52.8">
      <c r="A50" s="98">
        <f t="shared" si="4"/>
        <v>27</v>
      </c>
      <c r="B50" s="189" t="s">
        <v>309</v>
      </c>
      <c r="C50" s="188">
        <v>44978</v>
      </c>
      <c r="D50" s="47" t="s">
        <v>354</v>
      </c>
      <c r="E50" s="126"/>
      <c r="F50" s="127" t="s">
        <v>388</v>
      </c>
      <c r="G50" s="167">
        <v>4</v>
      </c>
      <c r="H50" s="167"/>
      <c r="I50" s="170" t="s">
        <v>343</v>
      </c>
      <c r="J50" s="180">
        <f t="shared" si="8"/>
        <v>5200000</v>
      </c>
      <c r="K50" s="156"/>
      <c r="L50" s="157"/>
      <c r="M50" s="157"/>
      <c r="N50" s="183">
        <f t="shared" si="2"/>
        <v>5200000</v>
      </c>
      <c r="O50" s="177">
        <v>225007328</v>
      </c>
      <c r="P50" s="145"/>
      <c r="Q50" s="141"/>
      <c r="R50" s="190">
        <v>4</v>
      </c>
      <c r="S50" s="83"/>
      <c r="T50" s="87"/>
      <c r="U50" s="87"/>
      <c r="V50" s="87"/>
      <c r="W50" s="44"/>
      <c r="X50" s="88"/>
      <c r="Y50" s="79"/>
      <c r="Z50" s="79"/>
      <c r="AA50" s="79"/>
      <c r="AB50" s="79"/>
      <c r="AC50" s="86"/>
      <c r="AD50" s="82"/>
      <c r="AE50" s="79"/>
      <c r="AF50" s="88"/>
      <c r="AG50" s="80"/>
      <c r="AH50" s="79"/>
      <c r="AI50" s="79"/>
      <c r="AJ50" s="79"/>
      <c r="AK50" s="80"/>
      <c r="AL50" s="80"/>
      <c r="AM50" s="80"/>
      <c r="AN50" s="79"/>
      <c r="AO50" s="80"/>
      <c r="AP50" s="80"/>
      <c r="AQ50" s="80"/>
      <c r="AR50" s="85"/>
      <c r="AS50" s="85"/>
      <c r="AT50" s="85"/>
      <c r="AU50" s="85"/>
      <c r="AV50" s="85"/>
      <c r="AW50" s="82"/>
      <c r="AX50" s="79"/>
      <c r="AY50" s="82"/>
      <c r="AZ50" s="82"/>
      <c r="BA50" s="86"/>
      <c r="BB50" s="79"/>
      <c r="BC50" s="79"/>
      <c r="BD50" s="79"/>
      <c r="BE50" s="82"/>
      <c r="BF50" s="85"/>
      <c r="BG50" s="79"/>
      <c r="BH50" s="79"/>
      <c r="BI50" s="79"/>
      <c r="BJ50" s="88"/>
      <c r="BK50" s="88"/>
      <c r="BL50" s="79"/>
      <c r="BM50" s="187" t="s">
        <v>136</v>
      </c>
      <c r="BN50" s="90"/>
      <c r="BO50" s="80"/>
      <c r="BP50" s="80"/>
      <c r="BQ50" s="80"/>
      <c r="BR50" s="80"/>
      <c r="BS50" s="80"/>
      <c r="BT50" s="80"/>
      <c r="BU50" s="80"/>
      <c r="BV50" s="80"/>
      <c r="BW50" s="82"/>
      <c r="BX50" s="79"/>
      <c r="BY50" s="79"/>
      <c r="BZ50" s="79"/>
      <c r="CA50" s="79"/>
      <c r="CB50" s="79"/>
      <c r="CC50" s="82"/>
      <c r="CD50" s="82"/>
      <c r="CE50" s="82"/>
      <c r="CF50" s="82"/>
      <c r="CG50" s="82"/>
      <c r="CH50" s="82"/>
      <c r="CI50" s="82"/>
      <c r="CJ50" s="79"/>
      <c r="CK50" s="79"/>
      <c r="CL50" s="79"/>
      <c r="CM50" s="79"/>
      <c r="CN50" s="79"/>
      <c r="CO50" s="79"/>
      <c r="CP50" s="13" t="s">
        <v>206</v>
      </c>
    </row>
    <row r="51" spans="1:94" ht="26.4">
      <c r="A51" s="98">
        <f t="shared" si="4"/>
        <v>28</v>
      </c>
      <c r="B51" s="189" t="s">
        <v>310</v>
      </c>
      <c r="C51" s="188">
        <v>44978</v>
      </c>
      <c r="D51" s="47" t="s">
        <v>355</v>
      </c>
      <c r="E51" s="126"/>
      <c r="F51" s="127" t="s">
        <v>388</v>
      </c>
      <c r="G51" s="167">
        <v>2</v>
      </c>
      <c r="H51" s="167"/>
      <c r="I51" s="170" t="s">
        <v>344</v>
      </c>
      <c r="J51" s="180">
        <f t="shared" si="8"/>
        <v>2600000</v>
      </c>
      <c r="K51" s="156"/>
      <c r="L51" s="157"/>
      <c r="M51" s="157"/>
      <c r="N51" s="183">
        <f t="shared" si="2"/>
        <v>2600000</v>
      </c>
      <c r="O51" s="177" t="s">
        <v>335</v>
      </c>
      <c r="P51" s="145"/>
      <c r="Q51" s="141"/>
      <c r="R51" s="190">
        <v>2</v>
      </c>
      <c r="S51" s="83"/>
      <c r="T51" s="87"/>
      <c r="U51" s="87"/>
      <c r="V51" s="87"/>
      <c r="W51" s="44"/>
      <c r="X51" s="88"/>
      <c r="Y51" s="79"/>
      <c r="Z51" s="79"/>
      <c r="AA51" s="79"/>
      <c r="AB51" s="79"/>
      <c r="AC51" s="86"/>
      <c r="AD51" s="82"/>
      <c r="AE51" s="79"/>
      <c r="AF51" s="88"/>
      <c r="AG51" s="80"/>
      <c r="AH51" s="79"/>
      <c r="AI51" s="79"/>
      <c r="AJ51" s="79"/>
      <c r="AK51" s="80"/>
      <c r="AL51" s="80"/>
      <c r="AM51" s="80"/>
      <c r="AN51" s="79"/>
      <c r="AO51" s="80"/>
      <c r="AP51" s="80"/>
      <c r="AQ51" s="80"/>
      <c r="AR51" s="85"/>
      <c r="AS51" s="85"/>
      <c r="AT51" s="85"/>
      <c r="AU51" s="85"/>
      <c r="AV51" s="85"/>
      <c r="AW51" s="82"/>
      <c r="AX51" s="79"/>
      <c r="AY51" s="82"/>
      <c r="AZ51" s="82"/>
      <c r="BA51" s="86"/>
      <c r="BB51" s="79"/>
      <c r="BC51" s="79"/>
      <c r="BD51" s="79"/>
      <c r="BE51" s="82"/>
      <c r="BF51" s="85"/>
      <c r="BG51" s="79"/>
      <c r="BH51" s="79"/>
      <c r="BI51" s="79"/>
      <c r="BJ51" s="88"/>
      <c r="BK51" s="88"/>
      <c r="BL51" s="79"/>
      <c r="BM51" s="186" t="s">
        <v>123</v>
      </c>
      <c r="BN51" s="90"/>
      <c r="BO51" s="80"/>
      <c r="BP51" s="80"/>
      <c r="BQ51" s="80"/>
      <c r="BR51" s="80"/>
      <c r="BS51" s="80"/>
      <c r="BT51" s="80"/>
      <c r="BU51" s="80"/>
      <c r="BV51" s="80"/>
      <c r="BW51" s="82"/>
      <c r="BX51" s="79"/>
      <c r="BY51" s="79"/>
      <c r="BZ51" s="79"/>
      <c r="CA51" s="79"/>
      <c r="CB51" s="79"/>
      <c r="CC51" s="82"/>
      <c r="CD51" s="82"/>
      <c r="CE51" s="82"/>
      <c r="CF51" s="82"/>
      <c r="CG51" s="82"/>
      <c r="CH51" s="82"/>
      <c r="CI51" s="82"/>
      <c r="CJ51" s="79"/>
      <c r="CK51" s="79"/>
      <c r="CL51" s="79"/>
      <c r="CM51" s="79"/>
      <c r="CN51" s="79"/>
      <c r="CO51" s="79"/>
      <c r="CP51" s="13" t="s">
        <v>206</v>
      </c>
    </row>
    <row r="52" spans="1:94">
      <c r="A52" s="98">
        <f t="shared" si="4"/>
        <v>29</v>
      </c>
      <c r="B52" s="178" t="s">
        <v>311</v>
      </c>
      <c r="C52" s="188">
        <v>44978</v>
      </c>
      <c r="D52" s="47" t="s">
        <v>366</v>
      </c>
      <c r="E52" s="126"/>
      <c r="F52" s="127" t="s">
        <v>388</v>
      </c>
      <c r="G52" s="167">
        <v>1</v>
      </c>
      <c r="H52" s="167"/>
      <c r="I52" s="170" t="s">
        <v>345</v>
      </c>
      <c r="J52" s="180">
        <f t="shared" si="8"/>
        <v>1300000</v>
      </c>
      <c r="K52" s="156"/>
      <c r="L52" s="182">
        <v>300000</v>
      </c>
      <c r="M52" s="157"/>
      <c r="N52" s="183">
        <f t="shared" si="2"/>
        <v>1600000</v>
      </c>
      <c r="O52" s="177" t="s">
        <v>336</v>
      </c>
      <c r="P52" s="145"/>
      <c r="Q52" s="141"/>
      <c r="R52" s="190">
        <v>640</v>
      </c>
      <c r="S52" s="83"/>
      <c r="T52" s="87"/>
      <c r="U52" s="87"/>
      <c r="V52" s="87"/>
      <c r="W52" s="44"/>
      <c r="X52" s="88"/>
      <c r="Y52" s="79"/>
      <c r="Z52" s="79"/>
      <c r="AA52" s="79"/>
      <c r="AB52" s="79"/>
      <c r="AC52" s="86"/>
      <c r="AD52" s="82"/>
      <c r="AE52" s="79"/>
      <c r="AF52" s="88"/>
      <c r="AG52" s="80"/>
      <c r="AH52" s="79"/>
      <c r="AI52" s="79"/>
      <c r="AJ52" s="79"/>
      <c r="AK52" s="80"/>
      <c r="AL52" s="80"/>
      <c r="AM52" s="80"/>
      <c r="AN52" s="79"/>
      <c r="AO52" s="80"/>
      <c r="AP52" s="80"/>
      <c r="AQ52" s="80"/>
      <c r="AR52" s="85"/>
      <c r="AS52" s="85"/>
      <c r="AT52" s="85"/>
      <c r="AU52" s="85"/>
      <c r="AV52" s="85"/>
      <c r="AW52" s="82"/>
      <c r="AX52" s="79"/>
      <c r="AY52" s="82"/>
      <c r="AZ52" s="82"/>
      <c r="BA52" s="86"/>
      <c r="BB52" s="79"/>
      <c r="BC52" s="79"/>
      <c r="BD52" s="79"/>
      <c r="BE52" s="82"/>
      <c r="BF52" s="85"/>
      <c r="BG52" s="79"/>
      <c r="BH52" s="79"/>
      <c r="BI52" s="79"/>
      <c r="BJ52" s="88"/>
      <c r="BK52" s="88"/>
      <c r="BL52" s="79"/>
      <c r="BM52" s="185" t="s">
        <v>108</v>
      </c>
      <c r="BN52" s="90"/>
      <c r="BO52" s="80"/>
      <c r="BP52" s="80"/>
      <c r="BQ52" s="80"/>
      <c r="BR52" s="80"/>
      <c r="BS52" s="80"/>
      <c r="BT52" s="80"/>
      <c r="BU52" s="80"/>
      <c r="BV52" s="80"/>
      <c r="BW52" s="82"/>
      <c r="BX52" s="79"/>
      <c r="BY52" s="79"/>
      <c r="BZ52" s="79"/>
      <c r="CA52" s="79"/>
      <c r="CB52" s="79"/>
      <c r="CC52" s="82"/>
      <c r="CD52" s="82"/>
      <c r="CE52" s="82"/>
      <c r="CF52" s="82"/>
      <c r="CG52" s="82"/>
      <c r="CH52" s="82"/>
      <c r="CI52" s="82"/>
      <c r="CJ52" s="79"/>
      <c r="CK52" s="79"/>
      <c r="CL52" s="79"/>
      <c r="CM52" s="79"/>
      <c r="CN52" s="79"/>
      <c r="CO52" s="79"/>
      <c r="CP52" s="13" t="s">
        <v>210</v>
      </c>
    </row>
    <row r="53" spans="1:94">
      <c r="A53" s="98">
        <f t="shared" si="4"/>
        <v>30</v>
      </c>
      <c r="B53" s="178" t="s">
        <v>312</v>
      </c>
      <c r="C53" s="188">
        <v>44978</v>
      </c>
      <c r="D53" s="47" t="s">
        <v>367</v>
      </c>
      <c r="E53" s="126"/>
      <c r="F53" s="127" t="s">
        <v>388</v>
      </c>
      <c r="G53" s="167"/>
      <c r="H53" s="167">
        <v>1</v>
      </c>
      <c r="I53" s="170" t="s">
        <v>346</v>
      </c>
      <c r="J53" s="180">
        <f t="shared" si="8"/>
        <v>2000000</v>
      </c>
      <c r="K53" s="156"/>
      <c r="L53" s="182">
        <v>300000</v>
      </c>
      <c r="M53" s="157"/>
      <c r="N53" s="183">
        <f t="shared" si="2"/>
        <v>2300000</v>
      </c>
      <c r="O53" s="177" t="s">
        <v>337</v>
      </c>
      <c r="P53" s="145"/>
      <c r="Q53" s="141"/>
      <c r="R53" s="190">
        <v>1000</v>
      </c>
      <c r="S53" s="83"/>
      <c r="T53" s="87"/>
      <c r="U53" s="87"/>
      <c r="V53" s="87"/>
      <c r="W53" s="44"/>
      <c r="X53" s="88"/>
      <c r="Y53" s="79"/>
      <c r="Z53" s="79"/>
      <c r="AA53" s="79"/>
      <c r="AB53" s="79"/>
      <c r="AC53" s="86"/>
      <c r="AD53" s="82"/>
      <c r="AE53" s="79"/>
      <c r="AF53" s="88"/>
      <c r="AG53" s="80"/>
      <c r="AH53" s="79"/>
      <c r="AI53" s="79"/>
      <c r="AJ53" s="79"/>
      <c r="AK53" s="80"/>
      <c r="AL53" s="80"/>
      <c r="AM53" s="80"/>
      <c r="AN53" s="79"/>
      <c r="AO53" s="80"/>
      <c r="AP53" s="80"/>
      <c r="AQ53" s="80"/>
      <c r="AR53" s="85"/>
      <c r="AS53" s="85"/>
      <c r="AT53" s="85"/>
      <c r="AU53" s="85"/>
      <c r="AV53" s="85"/>
      <c r="AW53" s="82"/>
      <c r="AX53" s="79"/>
      <c r="AY53" s="82"/>
      <c r="AZ53" s="82"/>
      <c r="BA53" s="86"/>
      <c r="BB53" s="79"/>
      <c r="BC53" s="79"/>
      <c r="BD53" s="79"/>
      <c r="BE53" s="82"/>
      <c r="BF53" s="85"/>
      <c r="BG53" s="79"/>
      <c r="BH53" s="79"/>
      <c r="BI53" s="79"/>
      <c r="BJ53" s="88"/>
      <c r="BK53" s="88"/>
      <c r="BL53" s="79"/>
      <c r="BM53" s="185" t="s">
        <v>108</v>
      </c>
      <c r="BN53" s="90"/>
      <c r="BO53" s="80"/>
      <c r="BP53" s="80"/>
      <c r="BQ53" s="80"/>
      <c r="BR53" s="80"/>
      <c r="BS53" s="80"/>
      <c r="BT53" s="80"/>
      <c r="BU53" s="80"/>
      <c r="BV53" s="80"/>
      <c r="BW53" s="82"/>
      <c r="BX53" s="79"/>
      <c r="BY53" s="79"/>
      <c r="BZ53" s="79"/>
      <c r="CA53" s="79"/>
      <c r="CB53" s="79"/>
      <c r="CC53" s="82"/>
      <c r="CD53" s="82"/>
      <c r="CE53" s="82"/>
      <c r="CF53" s="82"/>
      <c r="CG53" s="82"/>
      <c r="CH53" s="82"/>
      <c r="CI53" s="82"/>
      <c r="CJ53" s="79"/>
      <c r="CK53" s="79"/>
      <c r="CL53" s="79"/>
      <c r="CM53" s="79"/>
      <c r="CN53" s="79"/>
      <c r="CO53" s="79"/>
      <c r="CP53" s="13" t="s">
        <v>210</v>
      </c>
    </row>
    <row r="54" spans="1:94">
      <c r="A54" s="98">
        <f t="shared" si="4"/>
        <v>31</v>
      </c>
      <c r="B54" s="189" t="s">
        <v>313</v>
      </c>
      <c r="C54" s="188">
        <v>44979</v>
      </c>
      <c r="D54" s="47" t="s">
        <v>357</v>
      </c>
      <c r="E54" s="126"/>
      <c r="F54" s="127" t="s">
        <v>388</v>
      </c>
      <c r="G54" s="167">
        <v>1</v>
      </c>
      <c r="H54" s="167"/>
      <c r="I54" s="170" t="s">
        <v>347</v>
      </c>
      <c r="J54" s="180">
        <f t="shared" si="8"/>
        <v>1300000</v>
      </c>
      <c r="K54" s="156"/>
      <c r="L54" s="157"/>
      <c r="M54" s="157"/>
      <c r="N54" s="183">
        <f t="shared" si="2"/>
        <v>1300000</v>
      </c>
      <c r="O54" s="177" t="s">
        <v>338</v>
      </c>
      <c r="P54" s="145"/>
      <c r="Q54" s="141"/>
      <c r="R54" s="190">
        <v>500</v>
      </c>
      <c r="S54" s="83"/>
      <c r="T54" s="87"/>
      <c r="U54" s="87"/>
      <c r="V54" s="87"/>
      <c r="W54" s="44"/>
      <c r="X54" s="88"/>
      <c r="Y54" s="79"/>
      <c r="Z54" s="79"/>
      <c r="AA54" s="79"/>
      <c r="AB54" s="79"/>
      <c r="AC54" s="86"/>
      <c r="AD54" s="82"/>
      <c r="AE54" s="79"/>
      <c r="AF54" s="88"/>
      <c r="AG54" s="80"/>
      <c r="AH54" s="79"/>
      <c r="AI54" s="79"/>
      <c r="AJ54" s="79"/>
      <c r="AK54" s="80"/>
      <c r="AL54" s="80"/>
      <c r="AM54" s="80"/>
      <c r="AN54" s="79"/>
      <c r="AO54" s="80"/>
      <c r="AP54" s="80"/>
      <c r="AQ54" s="80"/>
      <c r="AR54" s="85"/>
      <c r="AS54" s="85"/>
      <c r="AT54" s="85"/>
      <c r="AU54" s="85"/>
      <c r="AV54" s="85"/>
      <c r="AW54" s="82"/>
      <c r="AX54" s="79"/>
      <c r="AY54" s="82"/>
      <c r="AZ54" s="82"/>
      <c r="BA54" s="86"/>
      <c r="BB54" s="79"/>
      <c r="BC54" s="79"/>
      <c r="BD54" s="79"/>
      <c r="BE54" s="82"/>
      <c r="BF54" s="85"/>
      <c r="BG54" s="79"/>
      <c r="BH54" s="79"/>
      <c r="BI54" s="79"/>
      <c r="BJ54" s="88"/>
      <c r="BK54" s="88"/>
      <c r="BL54" s="79"/>
      <c r="BM54" s="186" t="s">
        <v>123</v>
      </c>
      <c r="BN54" s="90"/>
      <c r="BO54" s="80"/>
      <c r="BP54" s="80"/>
      <c r="BQ54" s="80"/>
      <c r="BR54" s="80"/>
      <c r="BS54" s="80"/>
      <c r="BT54" s="80"/>
      <c r="BU54" s="80"/>
      <c r="BV54" s="80"/>
      <c r="BW54" s="82"/>
      <c r="BX54" s="79"/>
      <c r="BY54" s="79"/>
      <c r="BZ54" s="79"/>
      <c r="CA54" s="79"/>
      <c r="CB54" s="79"/>
      <c r="CC54" s="82"/>
      <c r="CD54" s="82"/>
      <c r="CE54" s="82"/>
      <c r="CF54" s="82"/>
      <c r="CG54" s="82"/>
      <c r="CH54" s="82"/>
      <c r="CI54" s="82"/>
      <c r="CJ54" s="79"/>
      <c r="CK54" s="79"/>
      <c r="CL54" s="79"/>
      <c r="CM54" s="79"/>
      <c r="CN54" s="79"/>
      <c r="CO54" s="79"/>
      <c r="CP54" s="13" t="s">
        <v>206</v>
      </c>
    </row>
    <row r="55" spans="1:94">
      <c r="A55" s="98">
        <f t="shared" si="4"/>
        <v>32</v>
      </c>
      <c r="B55" s="178" t="s">
        <v>314</v>
      </c>
      <c r="C55" s="188">
        <v>44979</v>
      </c>
      <c r="D55" s="47" t="s">
        <v>368</v>
      </c>
      <c r="E55" s="126"/>
      <c r="F55" s="127" t="s">
        <v>388</v>
      </c>
      <c r="G55" s="167">
        <v>1</v>
      </c>
      <c r="H55" s="167"/>
      <c r="I55" s="170" t="s">
        <v>348</v>
      </c>
      <c r="J55" s="180">
        <f t="shared" si="8"/>
        <v>1300000</v>
      </c>
      <c r="K55" s="156"/>
      <c r="L55" s="182">
        <v>300000</v>
      </c>
      <c r="M55" s="157"/>
      <c r="N55" s="183">
        <f t="shared" si="2"/>
        <v>1600000</v>
      </c>
      <c r="O55" s="177">
        <v>25363998</v>
      </c>
      <c r="P55" s="145"/>
      <c r="Q55" s="141"/>
      <c r="R55" s="190">
        <v>640</v>
      </c>
      <c r="S55" s="83"/>
      <c r="T55" s="87"/>
      <c r="U55" s="87"/>
      <c r="V55" s="87"/>
      <c r="W55" s="44"/>
      <c r="X55" s="88"/>
      <c r="Y55" s="79"/>
      <c r="Z55" s="79"/>
      <c r="AA55" s="79"/>
      <c r="AB55" s="79"/>
      <c r="AC55" s="86"/>
      <c r="AD55" s="82"/>
      <c r="AE55" s="79"/>
      <c r="AF55" s="88"/>
      <c r="AG55" s="80"/>
      <c r="AH55" s="79"/>
      <c r="AI55" s="79"/>
      <c r="AJ55" s="79"/>
      <c r="AK55" s="80"/>
      <c r="AL55" s="80"/>
      <c r="AM55" s="80"/>
      <c r="AN55" s="79"/>
      <c r="AO55" s="80"/>
      <c r="AP55" s="80"/>
      <c r="AQ55" s="80"/>
      <c r="AR55" s="85"/>
      <c r="AS55" s="85"/>
      <c r="AT55" s="85"/>
      <c r="AU55" s="85"/>
      <c r="AV55" s="85"/>
      <c r="AW55" s="82"/>
      <c r="AX55" s="79"/>
      <c r="AY55" s="82"/>
      <c r="AZ55" s="82"/>
      <c r="BA55" s="86"/>
      <c r="BB55" s="79"/>
      <c r="BC55" s="79"/>
      <c r="BD55" s="79"/>
      <c r="BE55" s="82"/>
      <c r="BF55" s="85"/>
      <c r="BG55" s="79"/>
      <c r="BH55" s="79"/>
      <c r="BI55" s="79"/>
      <c r="BJ55" s="88"/>
      <c r="BK55" s="88"/>
      <c r="BL55" s="79"/>
      <c r="BM55" s="185" t="s">
        <v>108</v>
      </c>
      <c r="BN55" s="90"/>
      <c r="BO55" s="80"/>
      <c r="BP55" s="80"/>
      <c r="BQ55" s="80"/>
      <c r="BR55" s="80"/>
      <c r="BS55" s="80"/>
      <c r="BT55" s="80"/>
      <c r="BU55" s="80"/>
      <c r="BV55" s="80"/>
      <c r="BW55" s="82"/>
      <c r="BX55" s="79"/>
      <c r="BY55" s="79"/>
      <c r="BZ55" s="79"/>
      <c r="CA55" s="79"/>
      <c r="CB55" s="79"/>
      <c r="CC55" s="82"/>
      <c r="CD55" s="82"/>
      <c r="CE55" s="82"/>
      <c r="CF55" s="82"/>
      <c r="CG55" s="82"/>
      <c r="CH55" s="82"/>
      <c r="CI55" s="82"/>
      <c r="CJ55" s="79"/>
      <c r="CK55" s="79"/>
      <c r="CL55" s="79"/>
      <c r="CM55" s="79"/>
      <c r="CN55" s="79"/>
      <c r="CO55" s="79"/>
      <c r="CP55" s="13" t="s">
        <v>210</v>
      </c>
    </row>
    <row r="56" spans="1:94">
      <c r="A56" s="98">
        <f t="shared" si="4"/>
        <v>33</v>
      </c>
      <c r="B56" s="178" t="s">
        <v>315</v>
      </c>
      <c r="C56" s="188">
        <v>44980</v>
      </c>
      <c r="D56" s="47" t="s">
        <v>369</v>
      </c>
      <c r="E56" s="126"/>
      <c r="F56" s="127" t="s">
        <v>388</v>
      </c>
      <c r="G56" s="167"/>
      <c r="H56" s="167">
        <v>1</v>
      </c>
      <c r="I56" s="170" t="s">
        <v>349</v>
      </c>
      <c r="J56" s="180">
        <f t="shared" si="8"/>
        <v>2000000</v>
      </c>
      <c r="K56" s="156"/>
      <c r="L56" s="182">
        <v>300000</v>
      </c>
      <c r="M56" s="157"/>
      <c r="N56" s="183">
        <f t="shared" si="2"/>
        <v>2300000</v>
      </c>
      <c r="O56" s="177" t="s">
        <v>339</v>
      </c>
      <c r="P56" s="145"/>
      <c r="Q56" s="141"/>
      <c r="R56" s="190">
        <v>1120</v>
      </c>
      <c r="S56" s="83"/>
      <c r="T56" s="87"/>
      <c r="U56" s="87"/>
      <c r="V56" s="87"/>
      <c r="W56" s="44"/>
      <c r="X56" s="88"/>
      <c r="Y56" s="79"/>
      <c r="Z56" s="79"/>
      <c r="AA56" s="79"/>
      <c r="AB56" s="79"/>
      <c r="AC56" s="86"/>
      <c r="AD56" s="82"/>
      <c r="AE56" s="79"/>
      <c r="AF56" s="88"/>
      <c r="AG56" s="80"/>
      <c r="AH56" s="79"/>
      <c r="AI56" s="79"/>
      <c r="AJ56" s="79"/>
      <c r="AK56" s="80"/>
      <c r="AL56" s="80"/>
      <c r="AM56" s="80"/>
      <c r="AN56" s="79"/>
      <c r="AO56" s="80"/>
      <c r="AP56" s="80"/>
      <c r="AQ56" s="80"/>
      <c r="AR56" s="85"/>
      <c r="AS56" s="85"/>
      <c r="AT56" s="85"/>
      <c r="AU56" s="85"/>
      <c r="AV56" s="85"/>
      <c r="AW56" s="82"/>
      <c r="AX56" s="79"/>
      <c r="AY56" s="82"/>
      <c r="AZ56" s="82"/>
      <c r="BA56" s="86"/>
      <c r="BB56" s="79"/>
      <c r="BC56" s="79"/>
      <c r="BD56" s="79"/>
      <c r="BE56" s="82"/>
      <c r="BF56" s="85"/>
      <c r="BG56" s="79"/>
      <c r="BH56" s="79"/>
      <c r="BI56" s="79"/>
      <c r="BJ56" s="88"/>
      <c r="BK56" s="88"/>
      <c r="BL56" s="79"/>
      <c r="BM56" s="185" t="s">
        <v>108</v>
      </c>
      <c r="BN56" s="90"/>
      <c r="BO56" s="80"/>
      <c r="BP56" s="80"/>
      <c r="BQ56" s="80"/>
      <c r="BR56" s="80"/>
      <c r="BS56" s="80"/>
      <c r="BT56" s="80"/>
      <c r="BU56" s="80"/>
      <c r="BV56" s="80"/>
      <c r="BW56" s="82"/>
      <c r="BX56" s="79"/>
      <c r="BY56" s="79"/>
      <c r="BZ56" s="79"/>
      <c r="CA56" s="79"/>
      <c r="CB56" s="79"/>
      <c r="CC56" s="82"/>
      <c r="CD56" s="82"/>
      <c r="CE56" s="82"/>
      <c r="CF56" s="82"/>
      <c r="CG56" s="82"/>
      <c r="CH56" s="82"/>
      <c r="CI56" s="82"/>
      <c r="CJ56" s="79"/>
      <c r="CK56" s="79"/>
      <c r="CL56" s="79"/>
      <c r="CM56" s="79"/>
      <c r="CN56" s="79"/>
      <c r="CO56" s="79"/>
      <c r="CP56" s="13" t="s">
        <v>210</v>
      </c>
    </row>
    <row r="57" spans="1:94">
      <c r="A57" s="98">
        <f t="shared" si="4"/>
        <v>34</v>
      </c>
      <c r="B57" s="178" t="s">
        <v>316</v>
      </c>
      <c r="C57" s="188">
        <v>44980</v>
      </c>
      <c r="D57" s="47" t="s">
        <v>370</v>
      </c>
      <c r="E57" s="126"/>
      <c r="F57" s="127" t="s">
        <v>388</v>
      </c>
      <c r="G57" s="167"/>
      <c r="H57" s="167">
        <v>1</v>
      </c>
      <c r="I57" s="170" t="s">
        <v>350</v>
      </c>
      <c r="J57" s="180">
        <f t="shared" si="8"/>
        <v>2000000</v>
      </c>
      <c r="K57" s="156"/>
      <c r="L57" s="182">
        <v>300000</v>
      </c>
      <c r="M57" s="157"/>
      <c r="N57" s="183">
        <f t="shared" si="2"/>
        <v>2300000</v>
      </c>
      <c r="O57" s="177" t="s">
        <v>340</v>
      </c>
      <c r="P57" s="145"/>
      <c r="Q57" s="141"/>
      <c r="R57" s="190">
        <v>17</v>
      </c>
      <c r="S57" s="83"/>
      <c r="T57" s="87"/>
      <c r="U57" s="87"/>
      <c r="V57" s="87"/>
      <c r="W57" s="44"/>
      <c r="X57" s="88"/>
      <c r="Y57" s="79"/>
      <c r="Z57" s="79"/>
      <c r="AA57" s="79"/>
      <c r="AB57" s="79"/>
      <c r="AC57" s="86"/>
      <c r="AD57" s="82"/>
      <c r="AE57" s="79"/>
      <c r="AF57" s="88"/>
      <c r="AG57" s="80"/>
      <c r="AH57" s="79"/>
      <c r="AI57" s="79"/>
      <c r="AJ57" s="79"/>
      <c r="AK57" s="80"/>
      <c r="AL57" s="80"/>
      <c r="AM57" s="80"/>
      <c r="AN57" s="79"/>
      <c r="AO57" s="80"/>
      <c r="AP57" s="80"/>
      <c r="AQ57" s="80"/>
      <c r="AR57" s="85"/>
      <c r="AS57" s="85"/>
      <c r="AT57" s="85"/>
      <c r="AU57" s="85"/>
      <c r="AV57" s="85"/>
      <c r="AW57" s="82"/>
      <c r="AX57" s="79"/>
      <c r="AY57" s="82"/>
      <c r="AZ57" s="82"/>
      <c r="BA57" s="86"/>
      <c r="BB57" s="79"/>
      <c r="BC57" s="79"/>
      <c r="BD57" s="79"/>
      <c r="BE57" s="82"/>
      <c r="BF57" s="85"/>
      <c r="BG57" s="79"/>
      <c r="BH57" s="79"/>
      <c r="BI57" s="79"/>
      <c r="BJ57" s="88"/>
      <c r="BK57" s="88"/>
      <c r="BL57" s="79"/>
      <c r="BM57" s="185" t="s">
        <v>108</v>
      </c>
      <c r="BN57" s="90"/>
      <c r="BO57" s="80"/>
      <c r="BP57" s="80"/>
      <c r="BQ57" s="80"/>
      <c r="BR57" s="80"/>
      <c r="BS57" s="80"/>
      <c r="BT57" s="80"/>
      <c r="BU57" s="80"/>
      <c r="BV57" s="80"/>
      <c r="BW57" s="82"/>
      <c r="BX57" s="79"/>
      <c r="BY57" s="79"/>
      <c r="BZ57" s="79"/>
      <c r="CA57" s="79"/>
      <c r="CB57" s="79"/>
      <c r="CC57" s="82"/>
      <c r="CD57" s="82"/>
      <c r="CE57" s="82"/>
      <c r="CF57" s="82"/>
      <c r="CG57" s="82"/>
      <c r="CH57" s="82"/>
      <c r="CI57" s="82"/>
      <c r="CJ57" s="79"/>
      <c r="CK57" s="79"/>
      <c r="CL57" s="79"/>
      <c r="CM57" s="79"/>
      <c r="CN57" s="79"/>
      <c r="CO57" s="79"/>
      <c r="CP57" s="13" t="s">
        <v>210</v>
      </c>
    </row>
    <row r="58" spans="1:94">
      <c r="A58" s="98">
        <f t="shared" si="4"/>
        <v>35</v>
      </c>
      <c r="B58" s="189" t="s">
        <v>317</v>
      </c>
      <c r="C58" s="188">
        <v>44980</v>
      </c>
      <c r="D58" s="47" t="s">
        <v>356</v>
      </c>
      <c r="E58" s="126"/>
      <c r="F58" s="127" t="s">
        <v>388</v>
      </c>
      <c r="G58" s="167">
        <v>1</v>
      </c>
      <c r="H58" s="167"/>
      <c r="I58" s="170" t="s">
        <v>351</v>
      </c>
      <c r="J58" s="180">
        <f t="shared" si="8"/>
        <v>1300000</v>
      </c>
      <c r="K58" s="156"/>
      <c r="L58" s="157"/>
      <c r="M58" s="157"/>
      <c r="N58" s="183">
        <f t="shared" si="2"/>
        <v>1300000</v>
      </c>
      <c r="O58" s="177" t="s">
        <v>341</v>
      </c>
      <c r="P58" s="145"/>
      <c r="Q58" s="141"/>
      <c r="R58" s="190">
        <v>1</v>
      </c>
      <c r="S58" s="83"/>
      <c r="T58" s="87"/>
      <c r="U58" s="87"/>
      <c r="V58" s="87"/>
      <c r="W58" s="44"/>
      <c r="X58" s="88"/>
      <c r="Y58" s="79"/>
      <c r="Z58" s="79"/>
      <c r="AA58" s="79"/>
      <c r="AB58" s="79"/>
      <c r="AC58" s="86"/>
      <c r="AD58" s="82"/>
      <c r="AE58" s="79"/>
      <c r="AF58" s="88"/>
      <c r="AG58" s="80"/>
      <c r="AH58" s="79"/>
      <c r="AI58" s="79"/>
      <c r="AJ58" s="79"/>
      <c r="AK58" s="80"/>
      <c r="AL58" s="80"/>
      <c r="AM58" s="80"/>
      <c r="AN58" s="79"/>
      <c r="AO58" s="80"/>
      <c r="AP58" s="80"/>
      <c r="AQ58" s="80"/>
      <c r="AR58" s="85"/>
      <c r="AS58" s="85"/>
      <c r="AT58" s="85"/>
      <c r="AU58" s="85"/>
      <c r="AV58" s="85"/>
      <c r="AW58" s="82"/>
      <c r="AX58" s="79"/>
      <c r="AY58" s="82"/>
      <c r="AZ58" s="82"/>
      <c r="BA58" s="86"/>
      <c r="BB58" s="79"/>
      <c r="BC58" s="79"/>
      <c r="BD58" s="79"/>
      <c r="BE58" s="82"/>
      <c r="BF58" s="85"/>
      <c r="BG58" s="79"/>
      <c r="BH58" s="79"/>
      <c r="BI58" s="79"/>
      <c r="BJ58" s="88"/>
      <c r="BK58" s="88"/>
      <c r="BL58" s="79"/>
      <c r="BM58" s="186" t="s">
        <v>123</v>
      </c>
      <c r="BN58" s="90"/>
      <c r="BO58" s="80"/>
      <c r="BP58" s="80"/>
      <c r="BQ58" s="80"/>
      <c r="BR58" s="80"/>
      <c r="BS58" s="80"/>
      <c r="BT58" s="80"/>
      <c r="BU58" s="80"/>
      <c r="BV58" s="80"/>
      <c r="BW58" s="82"/>
      <c r="BX58" s="79"/>
      <c r="BY58" s="79"/>
      <c r="BZ58" s="79"/>
      <c r="CA58" s="79"/>
      <c r="CB58" s="79"/>
      <c r="CC58" s="82"/>
      <c r="CD58" s="82"/>
      <c r="CE58" s="82"/>
      <c r="CF58" s="82"/>
      <c r="CG58" s="82"/>
      <c r="CH58" s="82"/>
      <c r="CI58" s="82"/>
      <c r="CJ58" s="79"/>
      <c r="CK58" s="79"/>
      <c r="CL58" s="79"/>
      <c r="CM58" s="79"/>
      <c r="CN58" s="79"/>
      <c r="CO58" s="79"/>
      <c r="CP58" s="13" t="s">
        <v>206</v>
      </c>
    </row>
    <row r="59" spans="1:94">
      <c r="A59" s="98">
        <f t="shared" si="4"/>
        <v>36</v>
      </c>
      <c r="B59" s="178" t="s">
        <v>372</v>
      </c>
      <c r="C59" s="188">
        <v>44981</v>
      </c>
      <c r="D59" s="47" t="s">
        <v>371</v>
      </c>
      <c r="E59" s="126"/>
      <c r="F59" s="127" t="s">
        <v>388</v>
      </c>
      <c r="G59" s="167">
        <v>1</v>
      </c>
      <c r="H59" s="167"/>
      <c r="I59" s="170" t="s">
        <v>373</v>
      </c>
      <c r="J59" s="155">
        <f t="shared" si="8"/>
        <v>1300000</v>
      </c>
      <c r="K59" s="156"/>
      <c r="L59" s="182">
        <v>300000</v>
      </c>
      <c r="M59" s="157"/>
      <c r="N59" s="183">
        <f t="shared" si="2"/>
        <v>1600000</v>
      </c>
      <c r="O59" s="177" t="s">
        <v>374</v>
      </c>
      <c r="P59" s="145"/>
      <c r="Q59" s="141"/>
      <c r="R59" s="190">
        <v>8</v>
      </c>
      <c r="S59" s="83"/>
      <c r="T59" s="87"/>
      <c r="U59" s="87"/>
      <c r="V59" s="87"/>
      <c r="W59" s="44"/>
      <c r="X59" s="88"/>
      <c r="Y59" s="79"/>
      <c r="Z59" s="79"/>
      <c r="AA59" s="79"/>
      <c r="AB59" s="79"/>
      <c r="AC59" s="86"/>
      <c r="AD59" s="82"/>
      <c r="AE59" s="79"/>
      <c r="AF59" s="88"/>
      <c r="AG59" s="80"/>
      <c r="AH59" s="79"/>
      <c r="AI59" s="79"/>
      <c r="AJ59" s="79"/>
      <c r="AK59" s="80"/>
      <c r="AL59" s="80"/>
      <c r="AM59" s="80"/>
      <c r="AN59" s="79"/>
      <c r="AO59" s="80"/>
      <c r="AP59" s="80"/>
      <c r="AQ59" s="80"/>
      <c r="AR59" s="85"/>
      <c r="AS59" s="85"/>
      <c r="AT59" s="85"/>
      <c r="AU59" s="85"/>
      <c r="AV59" s="85"/>
      <c r="AW59" s="82"/>
      <c r="AX59" s="79"/>
      <c r="AY59" s="82"/>
      <c r="AZ59" s="82"/>
      <c r="BA59" s="86"/>
      <c r="BB59" s="79"/>
      <c r="BC59" s="79"/>
      <c r="BD59" s="79"/>
      <c r="BE59" s="82"/>
      <c r="BF59" s="85"/>
      <c r="BG59" s="79"/>
      <c r="BH59" s="79"/>
      <c r="BI59" s="79"/>
      <c r="BJ59" s="88"/>
      <c r="BK59" s="88"/>
      <c r="BL59" s="79"/>
      <c r="BM59" s="185" t="s">
        <v>108</v>
      </c>
      <c r="BN59" s="90"/>
      <c r="BO59" s="80"/>
      <c r="BP59" s="80"/>
      <c r="BQ59" s="80"/>
      <c r="BR59" s="80"/>
      <c r="BS59" s="80"/>
      <c r="BT59" s="80"/>
      <c r="BU59" s="80"/>
      <c r="BV59" s="80"/>
      <c r="BW59" s="82"/>
      <c r="BX59" s="79"/>
      <c r="BY59" s="79"/>
      <c r="BZ59" s="79"/>
      <c r="CA59" s="79"/>
      <c r="CB59" s="79"/>
      <c r="CC59" s="82"/>
      <c r="CD59" s="82"/>
      <c r="CE59" s="82"/>
      <c r="CF59" s="82"/>
      <c r="CG59" s="82"/>
      <c r="CH59" s="82"/>
      <c r="CI59" s="82"/>
      <c r="CJ59" s="79"/>
      <c r="CK59" s="79"/>
      <c r="CL59" s="79"/>
      <c r="CM59" s="79"/>
      <c r="CN59" s="79"/>
      <c r="CO59" s="79"/>
      <c r="CP59" s="13" t="s">
        <v>210</v>
      </c>
    </row>
    <row r="60" spans="1:94" ht="25.5" customHeight="1">
      <c r="A60" s="98">
        <v>37</v>
      </c>
      <c r="B60" s="178" t="s">
        <v>387</v>
      </c>
      <c r="C60" s="188">
        <v>44985</v>
      </c>
      <c r="D60" s="47" t="s">
        <v>378</v>
      </c>
      <c r="E60" s="126"/>
      <c r="F60" s="127" t="s">
        <v>388</v>
      </c>
      <c r="G60" s="167"/>
      <c r="H60" s="3690">
        <v>3</v>
      </c>
      <c r="I60" s="3688" t="s">
        <v>433</v>
      </c>
      <c r="J60" s="3692">
        <f>(G60*$C$255)+(G60*$C$256)+(H60*$D$255+H60*$D$256)+(G60*$C$258+H60*$D$258)</f>
        <v>6000000</v>
      </c>
      <c r="K60" s="156"/>
      <c r="L60" s="3694">
        <v>300000</v>
      </c>
      <c r="M60" s="157"/>
      <c r="N60" s="3696">
        <f>+SUM(J60:M60)</f>
        <v>6300000</v>
      </c>
      <c r="O60" s="3680" t="s">
        <v>380</v>
      </c>
      <c r="P60" s="145"/>
      <c r="Q60" s="141"/>
      <c r="R60" s="190"/>
      <c r="S60" s="83"/>
      <c r="T60" s="87"/>
      <c r="U60" s="87"/>
      <c r="V60" s="87"/>
      <c r="W60" s="44"/>
      <c r="X60" s="88"/>
      <c r="Y60" s="79"/>
      <c r="Z60" s="79"/>
      <c r="AA60" s="79"/>
      <c r="AB60" s="79"/>
      <c r="AC60" s="86"/>
      <c r="AD60" s="82"/>
      <c r="AE60" s="79"/>
      <c r="AF60" s="88"/>
      <c r="AG60" s="80"/>
      <c r="AH60" s="79"/>
      <c r="AI60" s="79"/>
      <c r="AJ60" s="79"/>
      <c r="AK60" s="80"/>
      <c r="AL60" s="80"/>
      <c r="AM60" s="80"/>
      <c r="AN60" s="79"/>
      <c r="AO60" s="80"/>
      <c r="AP60" s="80"/>
      <c r="AQ60" s="80"/>
      <c r="AR60" s="85"/>
      <c r="AS60" s="85"/>
      <c r="AT60" s="85"/>
      <c r="AU60" s="85"/>
      <c r="AV60" s="85"/>
      <c r="AW60" s="82"/>
      <c r="AX60" s="79"/>
      <c r="AY60" s="82"/>
      <c r="AZ60" s="82"/>
      <c r="BA60" s="86"/>
      <c r="BB60" s="79"/>
      <c r="BC60" s="79"/>
      <c r="BD60" s="79"/>
      <c r="BE60" s="82"/>
      <c r="BF60" s="85"/>
      <c r="BG60" s="79"/>
      <c r="BH60" s="79"/>
      <c r="BI60" s="79"/>
      <c r="BJ60" s="88"/>
      <c r="BK60" s="88"/>
      <c r="BL60" s="79"/>
      <c r="BM60" s="185" t="s">
        <v>108</v>
      </c>
      <c r="BN60" s="90"/>
      <c r="BO60" s="80"/>
      <c r="BP60" s="80"/>
      <c r="BQ60" s="80"/>
      <c r="BR60" s="80"/>
      <c r="BS60" s="80"/>
      <c r="BT60" s="80"/>
      <c r="BU60" s="80"/>
      <c r="BV60" s="80"/>
      <c r="BW60" s="82"/>
      <c r="BX60" s="79"/>
      <c r="BY60" s="79"/>
      <c r="BZ60" s="79"/>
      <c r="CA60" s="79"/>
      <c r="CB60" s="79"/>
      <c r="CC60" s="82"/>
      <c r="CD60" s="82"/>
      <c r="CE60" s="82"/>
      <c r="CF60" s="82"/>
      <c r="CG60" s="82"/>
      <c r="CH60" s="82"/>
      <c r="CI60" s="82"/>
      <c r="CJ60" s="79"/>
      <c r="CK60" s="79"/>
      <c r="CL60" s="79"/>
      <c r="CM60" s="79"/>
      <c r="CN60" s="79"/>
      <c r="CO60" s="79"/>
      <c r="CP60" s="13" t="s">
        <v>210</v>
      </c>
    </row>
    <row r="61" spans="1:94">
      <c r="A61" s="98">
        <v>38</v>
      </c>
      <c r="B61" s="178" t="s">
        <v>435</v>
      </c>
      <c r="C61" s="188">
        <v>44986</v>
      </c>
      <c r="D61" s="47" t="s">
        <v>434</v>
      </c>
      <c r="E61" s="126"/>
      <c r="F61" s="127" t="s">
        <v>388</v>
      </c>
      <c r="G61" s="167"/>
      <c r="H61" s="3691"/>
      <c r="I61" s="3689"/>
      <c r="J61" s="3693"/>
      <c r="K61" s="156"/>
      <c r="L61" s="3695"/>
      <c r="M61" s="157"/>
      <c r="N61" s="3697"/>
      <c r="O61" s="3681"/>
      <c r="P61" s="145"/>
      <c r="Q61" s="141"/>
      <c r="R61" s="190"/>
      <c r="S61" s="83"/>
      <c r="T61" s="87"/>
      <c r="U61" s="87"/>
      <c r="V61" s="87"/>
      <c r="W61" s="44"/>
      <c r="X61" s="88"/>
      <c r="Y61" s="79"/>
      <c r="Z61" s="79"/>
      <c r="AA61" s="79"/>
      <c r="AB61" s="79"/>
      <c r="AC61" s="86"/>
      <c r="AD61" s="82"/>
      <c r="AE61" s="79"/>
      <c r="AF61" s="88"/>
      <c r="AG61" s="80"/>
      <c r="AH61" s="79"/>
      <c r="AI61" s="79"/>
      <c r="AJ61" s="79"/>
      <c r="AK61" s="80"/>
      <c r="AL61" s="80"/>
      <c r="AM61" s="80"/>
      <c r="AN61" s="79"/>
      <c r="AO61" s="80"/>
      <c r="AP61" s="80"/>
      <c r="AQ61" s="80"/>
      <c r="AR61" s="85"/>
      <c r="AS61" s="85"/>
      <c r="AT61" s="85"/>
      <c r="AU61" s="85"/>
      <c r="AV61" s="85"/>
      <c r="AW61" s="82"/>
      <c r="AX61" s="79"/>
      <c r="AY61" s="82"/>
      <c r="AZ61" s="82"/>
      <c r="BA61" s="86"/>
      <c r="BB61" s="79"/>
      <c r="BC61" s="79"/>
      <c r="BD61" s="79"/>
      <c r="BE61" s="82"/>
      <c r="BF61" s="85"/>
      <c r="BG61" s="79"/>
      <c r="BH61" s="79"/>
      <c r="BI61" s="79"/>
      <c r="BJ61" s="88"/>
      <c r="BK61" s="88"/>
      <c r="BL61" s="79"/>
      <c r="BM61" s="185" t="s">
        <v>108</v>
      </c>
      <c r="BN61" s="90"/>
      <c r="BO61" s="80"/>
      <c r="BP61" s="80"/>
      <c r="BQ61" s="80"/>
      <c r="BR61" s="80"/>
      <c r="BS61" s="80"/>
      <c r="BT61" s="80"/>
      <c r="BU61" s="80"/>
      <c r="BV61" s="80"/>
      <c r="BW61" s="82"/>
      <c r="BX61" s="79"/>
      <c r="BY61" s="79"/>
      <c r="BZ61" s="79"/>
      <c r="CA61" s="79"/>
      <c r="CB61" s="79"/>
      <c r="CC61" s="82"/>
      <c r="CD61" s="82"/>
      <c r="CE61" s="82"/>
      <c r="CF61" s="82"/>
      <c r="CG61" s="82"/>
      <c r="CH61" s="82"/>
      <c r="CI61" s="82"/>
      <c r="CJ61" s="79"/>
      <c r="CK61" s="79"/>
      <c r="CL61" s="79"/>
      <c r="CM61" s="79"/>
      <c r="CN61" s="79"/>
      <c r="CO61" s="79"/>
      <c r="CP61" s="13" t="s">
        <v>210</v>
      </c>
    </row>
    <row r="62" spans="1:94">
      <c r="A62" s="98"/>
      <c r="B62" s="3682" t="s">
        <v>436</v>
      </c>
      <c r="C62" s="3683"/>
      <c r="D62" s="3683"/>
      <c r="E62" s="3683"/>
      <c r="F62" s="3683"/>
      <c r="G62" s="3683"/>
      <c r="H62" s="3684"/>
      <c r="I62" s="297"/>
      <c r="J62" s="298"/>
      <c r="K62" s="298"/>
      <c r="L62" s="299"/>
      <c r="M62" s="299"/>
      <c r="N62" s="300"/>
      <c r="O62" s="301"/>
      <c r="P62" s="302"/>
      <c r="Q62" s="303"/>
      <c r="R62" s="304"/>
      <c r="S62" s="305"/>
      <c r="T62" s="302"/>
      <c r="U62" s="302"/>
      <c r="V62" s="302"/>
      <c r="W62" s="306"/>
      <c r="X62" s="307"/>
      <c r="Y62" s="308"/>
      <c r="Z62" s="308"/>
      <c r="AA62" s="308"/>
      <c r="AB62" s="308"/>
      <c r="AC62" s="309"/>
      <c r="AD62" s="310"/>
      <c r="AE62" s="308"/>
      <c r="AF62" s="307"/>
      <c r="AG62" s="311"/>
      <c r="AH62" s="308"/>
      <c r="AI62" s="308"/>
      <c r="AJ62" s="308"/>
      <c r="AK62" s="311"/>
      <c r="AL62" s="311"/>
      <c r="AM62" s="311"/>
      <c r="AN62" s="308"/>
      <c r="AO62" s="311"/>
      <c r="AP62" s="311"/>
      <c r="AQ62" s="311"/>
      <c r="AR62" s="312"/>
      <c r="AS62" s="312"/>
      <c r="AT62" s="312"/>
      <c r="AU62" s="312"/>
      <c r="AV62" s="312"/>
      <c r="AW62" s="310"/>
      <c r="AX62" s="308"/>
      <c r="AY62" s="310"/>
      <c r="AZ62" s="310"/>
      <c r="BA62" s="313"/>
      <c r="BB62" s="308"/>
      <c r="BC62" s="308"/>
      <c r="BD62" s="308"/>
      <c r="BE62" s="310"/>
      <c r="BF62" s="312"/>
      <c r="BG62" s="308"/>
      <c r="BH62" s="308"/>
      <c r="BI62" s="308"/>
      <c r="BJ62" s="307"/>
      <c r="BK62" s="307"/>
      <c r="BL62" s="308"/>
      <c r="BM62" s="186"/>
      <c r="BN62" s="97"/>
      <c r="BO62" s="94"/>
      <c r="BP62" s="94"/>
      <c r="BQ62" s="94"/>
      <c r="BR62" s="94"/>
      <c r="BS62" s="94"/>
      <c r="BT62" s="94"/>
      <c r="BU62" s="94"/>
      <c r="BV62" s="94"/>
      <c r="BW62" s="93"/>
      <c r="BX62" s="92"/>
      <c r="BY62" s="92"/>
      <c r="BZ62" s="92"/>
      <c r="CA62" s="92"/>
      <c r="CB62" s="92"/>
      <c r="CC62" s="93"/>
      <c r="CD62" s="93"/>
      <c r="CE62" s="93"/>
      <c r="CF62" s="93"/>
      <c r="CG62" s="93"/>
      <c r="CH62" s="93"/>
      <c r="CI62" s="93"/>
      <c r="CJ62" s="92"/>
      <c r="CK62" s="92"/>
      <c r="CL62" s="92"/>
      <c r="CM62" s="92"/>
      <c r="CN62" s="92"/>
      <c r="CO62" s="92"/>
    </row>
    <row r="63" spans="1:94">
      <c r="A63" s="98">
        <v>1</v>
      </c>
      <c r="B63" s="178" t="s">
        <v>437</v>
      </c>
      <c r="C63" s="361">
        <v>44929</v>
      </c>
      <c r="D63" s="47" t="s">
        <v>455</v>
      </c>
      <c r="E63" s="126"/>
      <c r="F63" s="154" t="s">
        <v>535</v>
      </c>
      <c r="G63" s="167"/>
      <c r="H63" s="167">
        <v>1</v>
      </c>
      <c r="I63" s="170" t="s">
        <v>473</v>
      </c>
      <c r="J63" s="155"/>
      <c r="K63" s="181">
        <f>SUM(G63:I63)*250000</f>
        <v>250000</v>
      </c>
      <c r="L63" s="182">
        <v>300000</v>
      </c>
      <c r="M63" s="157"/>
      <c r="N63" s="183">
        <f>+SUM(K63:M63)</f>
        <v>550000</v>
      </c>
      <c r="O63" s="177" t="s">
        <v>380</v>
      </c>
      <c r="P63" s="145"/>
      <c r="Q63" s="141"/>
      <c r="R63" s="190"/>
      <c r="S63" s="83"/>
      <c r="T63" s="87"/>
      <c r="U63" s="87"/>
      <c r="V63" s="87"/>
      <c r="W63" s="44"/>
      <c r="X63" s="88"/>
      <c r="Y63" s="79"/>
      <c r="Z63" s="79"/>
      <c r="AA63" s="79"/>
      <c r="AB63" s="79"/>
      <c r="AC63" s="86"/>
      <c r="AD63" s="82"/>
      <c r="AE63" s="79"/>
      <c r="AF63" s="88"/>
      <c r="AG63" s="80"/>
      <c r="AH63" s="79"/>
      <c r="AI63" s="79"/>
      <c r="AJ63" s="79"/>
      <c r="AK63" s="80"/>
      <c r="AL63" s="80"/>
      <c r="AM63" s="80"/>
      <c r="AN63" s="79"/>
      <c r="AO63" s="80"/>
      <c r="AP63" s="80"/>
      <c r="AQ63" s="80"/>
      <c r="AR63" s="85"/>
      <c r="AS63" s="85"/>
      <c r="AT63" s="85"/>
      <c r="AU63" s="85"/>
      <c r="AV63" s="85"/>
      <c r="AW63" s="82"/>
      <c r="AX63" s="79"/>
      <c r="AY63" s="82"/>
      <c r="AZ63" s="82"/>
      <c r="BA63" s="86"/>
      <c r="BB63" s="79"/>
      <c r="BC63" s="79"/>
      <c r="BD63" s="79"/>
      <c r="BE63" s="82"/>
      <c r="BF63" s="85"/>
      <c r="BG63" s="79"/>
      <c r="BH63" s="79"/>
      <c r="BI63" s="79"/>
      <c r="BJ63" s="88"/>
      <c r="BK63" s="88"/>
      <c r="BL63" s="79"/>
      <c r="BM63" s="185" t="s">
        <v>108</v>
      </c>
      <c r="BN63" s="90"/>
      <c r="BO63" s="80"/>
      <c r="BP63" s="80"/>
      <c r="BQ63" s="80"/>
      <c r="BR63" s="80"/>
      <c r="BS63" s="80"/>
      <c r="BT63" s="80"/>
      <c r="BU63" s="80"/>
      <c r="BV63" s="80"/>
      <c r="BW63" s="82"/>
      <c r="BX63" s="79"/>
      <c r="BY63" s="79"/>
      <c r="BZ63" s="79"/>
      <c r="CA63" s="79"/>
      <c r="CB63" s="79"/>
      <c r="CC63" s="82"/>
      <c r="CD63" s="82"/>
      <c r="CE63" s="82"/>
      <c r="CF63" s="82"/>
      <c r="CG63" s="82"/>
      <c r="CH63" s="82"/>
      <c r="CI63" s="82"/>
      <c r="CJ63" s="79"/>
      <c r="CK63" s="79"/>
      <c r="CL63" s="79"/>
      <c r="CM63" s="79"/>
      <c r="CN63" s="79"/>
      <c r="CO63" s="79"/>
      <c r="CP63" s="13" t="s">
        <v>210</v>
      </c>
    </row>
    <row r="64" spans="1:94">
      <c r="A64" s="98">
        <v>2</v>
      </c>
      <c r="B64" s="178" t="s">
        <v>438</v>
      </c>
      <c r="C64" s="361">
        <v>44960</v>
      </c>
      <c r="D64" s="47" t="s">
        <v>456</v>
      </c>
      <c r="E64" s="126"/>
      <c r="F64" s="154" t="s">
        <v>535</v>
      </c>
      <c r="G64" s="167"/>
      <c r="H64" s="167"/>
      <c r="I64" s="170" t="s">
        <v>102</v>
      </c>
      <c r="J64" s="155"/>
      <c r="K64" s="181">
        <v>300000</v>
      </c>
      <c r="L64" s="182">
        <v>300000</v>
      </c>
      <c r="M64" s="157"/>
      <c r="N64" s="183">
        <f>+SUM(K64:M64)</f>
        <v>600000</v>
      </c>
      <c r="O64" s="177" t="s">
        <v>485</v>
      </c>
      <c r="P64" s="145"/>
      <c r="Q64" s="141"/>
      <c r="R64" s="190"/>
      <c r="S64" s="83"/>
      <c r="T64" s="87"/>
      <c r="U64" s="87"/>
      <c r="V64" s="87"/>
      <c r="W64" s="44"/>
      <c r="X64" s="88"/>
      <c r="Y64" s="79"/>
      <c r="Z64" s="79"/>
      <c r="AA64" s="79"/>
      <c r="AB64" s="79"/>
      <c r="AC64" s="86"/>
      <c r="AD64" s="82"/>
      <c r="AE64" s="79"/>
      <c r="AF64" s="88"/>
      <c r="AG64" s="80"/>
      <c r="AH64" s="79"/>
      <c r="AI64" s="79"/>
      <c r="AJ64" s="79"/>
      <c r="AK64" s="80"/>
      <c r="AL64" s="80"/>
      <c r="AM64" s="80"/>
      <c r="AN64" s="79"/>
      <c r="AO64" s="80"/>
      <c r="AP64" s="80"/>
      <c r="AQ64" s="80"/>
      <c r="AR64" s="85"/>
      <c r="AS64" s="85"/>
      <c r="AT64" s="85"/>
      <c r="AU64" s="85"/>
      <c r="AV64" s="85"/>
      <c r="AW64" s="82"/>
      <c r="AX64" s="79"/>
      <c r="AY64" s="82"/>
      <c r="AZ64" s="82"/>
      <c r="BA64" s="86"/>
      <c r="BB64" s="79"/>
      <c r="BC64" s="79"/>
      <c r="BD64" s="79"/>
      <c r="BE64" s="82"/>
      <c r="BF64" s="85"/>
      <c r="BG64" s="79"/>
      <c r="BH64" s="79"/>
      <c r="BI64" s="79"/>
      <c r="BJ64" s="88"/>
      <c r="BK64" s="88"/>
      <c r="BL64" s="79"/>
      <c r="BM64" s="185" t="s">
        <v>108</v>
      </c>
      <c r="BN64" s="90"/>
      <c r="BO64" s="80"/>
      <c r="BP64" s="80"/>
      <c r="BQ64" s="80"/>
      <c r="BR64" s="80"/>
      <c r="BS64" s="80"/>
      <c r="BT64" s="80"/>
      <c r="BU64" s="80"/>
      <c r="BV64" s="80"/>
      <c r="BW64" s="82"/>
      <c r="BX64" s="79"/>
      <c r="BY64" s="79"/>
      <c r="BZ64" s="79"/>
      <c r="CA64" s="79"/>
      <c r="CB64" s="79"/>
      <c r="CC64" s="82"/>
      <c r="CD64" s="82"/>
      <c r="CE64" s="82"/>
      <c r="CF64" s="82"/>
      <c r="CG64" s="82"/>
      <c r="CH64" s="82"/>
      <c r="CI64" s="82"/>
      <c r="CJ64" s="79"/>
      <c r="CK64" s="79"/>
      <c r="CL64" s="79"/>
      <c r="CM64" s="79"/>
      <c r="CN64" s="79"/>
      <c r="CO64" s="79"/>
      <c r="CP64" s="13" t="s">
        <v>210</v>
      </c>
    </row>
    <row r="65" spans="1:94">
      <c r="A65" s="98">
        <v>3</v>
      </c>
      <c r="B65" s="178" t="s">
        <v>439</v>
      </c>
      <c r="C65" s="361">
        <v>44988</v>
      </c>
      <c r="D65" s="47" t="s">
        <v>457</v>
      </c>
      <c r="E65" s="126"/>
      <c r="F65" s="154" t="s">
        <v>535</v>
      </c>
      <c r="G65" s="167"/>
      <c r="H65" s="167">
        <v>1</v>
      </c>
      <c r="I65" s="170" t="s">
        <v>474</v>
      </c>
      <c r="J65" s="155"/>
      <c r="K65" s="181">
        <f>SUM(G65:I65)*250000</f>
        <v>250000</v>
      </c>
      <c r="L65" s="182">
        <v>300000</v>
      </c>
      <c r="M65" s="157"/>
      <c r="N65" s="183">
        <f t="shared" ref="N65:N78" si="9">+SUM(K65:M65)</f>
        <v>550000</v>
      </c>
      <c r="O65" s="177">
        <v>914868662</v>
      </c>
      <c r="P65" s="145"/>
      <c r="Q65" s="141"/>
      <c r="R65" s="190"/>
      <c r="S65" s="83"/>
      <c r="T65" s="87"/>
      <c r="U65" s="87"/>
      <c r="V65" s="87"/>
      <c r="W65" s="44"/>
      <c r="X65" s="88"/>
      <c r="Y65" s="79"/>
      <c r="Z65" s="79"/>
      <c r="AA65" s="79"/>
      <c r="AB65" s="79"/>
      <c r="AC65" s="86"/>
      <c r="AD65" s="82"/>
      <c r="AE65" s="79"/>
      <c r="AF65" s="88"/>
      <c r="AG65" s="80"/>
      <c r="AH65" s="79"/>
      <c r="AI65" s="79"/>
      <c r="AJ65" s="79"/>
      <c r="AK65" s="80"/>
      <c r="AL65" s="80"/>
      <c r="AM65" s="80"/>
      <c r="AN65" s="79"/>
      <c r="AO65" s="80"/>
      <c r="AP65" s="80"/>
      <c r="AQ65" s="80"/>
      <c r="AR65" s="85"/>
      <c r="AS65" s="85"/>
      <c r="AT65" s="85"/>
      <c r="AU65" s="85"/>
      <c r="AV65" s="85"/>
      <c r="AW65" s="82"/>
      <c r="AX65" s="79"/>
      <c r="AY65" s="82"/>
      <c r="AZ65" s="82"/>
      <c r="BA65" s="86"/>
      <c r="BB65" s="79"/>
      <c r="BC65" s="79"/>
      <c r="BD65" s="79"/>
      <c r="BE65" s="82"/>
      <c r="BF65" s="85"/>
      <c r="BG65" s="79"/>
      <c r="BH65" s="79"/>
      <c r="BI65" s="79"/>
      <c r="BJ65" s="88"/>
      <c r="BK65" s="88"/>
      <c r="BL65" s="79"/>
      <c r="BM65" s="185" t="s">
        <v>108</v>
      </c>
      <c r="BN65" s="90"/>
      <c r="BO65" s="80"/>
      <c r="BP65" s="80"/>
      <c r="BQ65" s="80"/>
      <c r="BR65" s="80"/>
      <c r="BS65" s="80"/>
      <c r="BT65" s="80"/>
      <c r="BU65" s="80"/>
      <c r="BV65" s="80"/>
      <c r="BW65" s="82"/>
      <c r="BX65" s="79"/>
      <c r="BY65" s="79"/>
      <c r="BZ65" s="79"/>
      <c r="CA65" s="79"/>
      <c r="CB65" s="79"/>
      <c r="CC65" s="82"/>
      <c r="CD65" s="82"/>
      <c r="CE65" s="82"/>
      <c r="CF65" s="82"/>
      <c r="CG65" s="82"/>
      <c r="CH65" s="82"/>
      <c r="CI65" s="82"/>
      <c r="CJ65" s="79"/>
      <c r="CK65" s="79"/>
      <c r="CL65" s="79"/>
      <c r="CM65" s="79"/>
      <c r="CN65" s="79"/>
      <c r="CO65" s="79"/>
      <c r="CP65" s="13" t="s">
        <v>210</v>
      </c>
    </row>
    <row r="66" spans="1:94">
      <c r="A66" s="98">
        <v>4</v>
      </c>
      <c r="B66" s="178" t="s">
        <v>440</v>
      </c>
      <c r="C66" s="361">
        <v>45019</v>
      </c>
      <c r="D66" s="47" t="s">
        <v>468</v>
      </c>
      <c r="E66" s="126"/>
      <c r="F66" s="154" t="s">
        <v>535</v>
      </c>
      <c r="G66" s="167"/>
      <c r="H66" s="167">
        <v>1</v>
      </c>
      <c r="I66" s="170" t="s">
        <v>475</v>
      </c>
      <c r="J66" s="155"/>
      <c r="K66" s="181">
        <f t="shared" ref="K66:K78" si="10">SUM(G66:I66)*250000</f>
        <v>250000</v>
      </c>
      <c r="L66" s="182">
        <v>300000</v>
      </c>
      <c r="M66" s="157"/>
      <c r="N66" s="183">
        <f t="shared" si="9"/>
        <v>550000</v>
      </c>
      <c r="O66" s="177" t="s">
        <v>486</v>
      </c>
      <c r="P66" s="145"/>
      <c r="Q66" s="141"/>
      <c r="R66" s="190"/>
      <c r="S66" s="83"/>
      <c r="T66" s="87"/>
      <c r="U66" s="87"/>
      <c r="V66" s="87"/>
      <c r="W66" s="44"/>
      <c r="X66" s="88"/>
      <c r="Y66" s="79"/>
      <c r="Z66" s="79"/>
      <c r="AA66" s="79"/>
      <c r="AB66" s="79"/>
      <c r="AC66" s="86"/>
      <c r="AD66" s="82"/>
      <c r="AE66" s="79"/>
      <c r="AF66" s="88"/>
      <c r="AG66" s="80"/>
      <c r="AH66" s="79"/>
      <c r="AI66" s="79"/>
      <c r="AJ66" s="79"/>
      <c r="AK66" s="80"/>
      <c r="AL66" s="80"/>
      <c r="AM66" s="80"/>
      <c r="AN66" s="79"/>
      <c r="AO66" s="80"/>
      <c r="AP66" s="80"/>
      <c r="AQ66" s="80"/>
      <c r="AR66" s="85"/>
      <c r="AS66" s="85"/>
      <c r="AT66" s="85"/>
      <c r="AU66" s="85"/>
      <c r="AV66" s="85"/>
      <c r="AW66" s="82"/>
      <c r="AX66" s="79"/>
      <c r="AY66" s="82"/>
      <c r="AZ66" s="82"/>
      <c r="BA66" s="86"/>
      <c r="BB66" s="79"/>
      <c r="BC66" s="79"/>
      <c r="BD66" s="79"/>
      <c r="BE66" s="82"/>
      <c r="BF66" s="85"/>
      <c r="BG66" s="79"/>
      <c r="BH66" s="79"/>
      <c r="BI66" s="79"/>
      <c r="BJ66" s="88"/>
      <c r="BK66" s="88"/>
      <c r="BL66" s="79"/>
      <c r="BM66" s="185" t="s">
        <v>108</v>
      </c>
      <c r="BN66" s="90"/>
      <c r="BO66" s="80"/>
      <c r="BP66" s="80"/>
      <c r="BQ66" s="80"/>
      <c r="BR66" s="80"/>
      <c r="BS66" s="80"/>
      <c r="BT66" s="80"/>
      <c r="BU66" s="80"/>
      <c r="BV66" s="80"/>
      <c r="BW66" s="82"/>
      <c r="BX66" s="79"/>
      <c r="BY66" s="79"/>
      <c r="BZ66" s="79"/>
      <c r="CA66" s="79"/>
      <c r="CB66" s="79"/>
      <c r="CC66" s="82"/>
      <c r="CD66" s="82"/>
      <c r="CE66" s="82"/>
      <c r="CF66" s="82"/>
      <c r="CG66" s="82"/>
      <c r="CH66" s="82"/>
      <c r="CI66" s="82"/>
      <c r="CJ66" s="79"/>
      <c r="CK66" s="79"/>
      <c r="CL66" s="79"/>
      <c r="CM66" s="79"/>
      <c r="CN66" s="79"/>
      <c r="CO66" s="79"/>
      <c r="CP66" s="13" t="s">
        <v>210</v>
      </c>
    </row>
    <row r="67" spans="1:94">
      <c r="A67" s="98">
        <v>5</v>
      </c>
      <c r="B67" s="178" t="s">
        <v>441</v>
      </c>
      <c r="C67" s="361">
        <v>45080</v>
      </c>
      <c r="D67" s="47" t="s">
        <v>458</v>
      </c>
      <c r="E67" s="126"/>
      <c r="F67" s="154" t="s">
        <v>535</v>
      </c>
      <c r="G67" s="167">
        <v>1</v>
      </c>
      <c r="H67" s="167"/>
      <c r="I67" s="170" t="s">
        <v>476</v>
      </c>
      <c r="J67" s="155"/>
      <c r="K67" s="181">
        <f t="shared" si="10"/>
        <v>250000</v>
      </c>
      <c r="L67" s="157"/>
      <c r="M67" s="157"/>
      <c r="N67" s="183">
        <f t="shared" si="9"/>
        <v>250000</v>
      </c>
      <c r="O67" s="177" t="s">
        <v>487</v>
      </c>
      <c r="P67" s="145"/>
      <c r="Q67" s="141"/>
      <c r="R67" s="190"/>
      <c r="S67" s="83"/>
      <c r="T67" s="87"/>
      <c r="U67" s="87"/>
      <c r="V67" s="87"/>
      <c r="W67" s="44"/>
      <c r="X67" s="88"/>
      <c r="Y67" s="79"/>
      <c r="Z67" s="79"/>
      <c r="AA67" s="79"/>
      <c r="AB67" s="79"/>
      <c r="AC67" s="86"/>
      <c r="AD67" s="82"/>
      <c r="AE67" s="79"/>
      <c r="AF67" s="88"/>
      <c r="AG67" s="80"/>
      <c r="AH67" s="79"/>
      <c r="AI67" s="79"/>
      <c r="AJ67" s="79"/>
      <c r="AK67" s="80"/>
      <c r="AL67" s="80"/>
      <c r="AM67" s="80"/>
      <c r="AN67" s="79"/>
      <c r="AO67" s="80"/>
      <c r="AP67" s="80"/>
      <c r="AQ67" s="80"/>
      <c r="AR67" s="85"/>
      <c r="AS67" s="85"/>
      <c r="AT67" s="85"/>
      <c r="AU67" s="85"/>
      <c r="AV67" s="85"/>
      <c r="AW67" s="82"/>
      <c r="AX67" s="79"/>
      <c r="AY67" s="82"/>
      <c r="AZ67" s="82"/>
      <c r="BA67" s="86"/>
      <c r="BB67" s="79"/>
      <c r="BC67" s="79"/>
      <c r="BD67" s="79"/>
      <c r="BE67" s="82"/>
      <c r="BF67" s="85"/>
      <c r="BG67" s="79"/>
      <c r="BH67" s="79"/>
      <c r="BI67" s="79"/>
      <c r="BJ67" s="88"/>
      <c r="BK67" s="88"/>
      <c r="BL67" s="79"/>
      <c r="BM67" s="185" t="s">
        <v>108</v>
      </c>
      <c r="BN67" s="90"/>
      <c r="BO67" s="80"/>
      <c r="BP67" s="80"/>
      <c r="BQ67" s="80"/>
      <c r="BR67" s="80"/>
      <c r="BS67" s="80"/>
      <c r="BT67" s="80"/>
      <c r="BU67" s="80"/>
      <c r="BV67" s="80"/>
      <c r="BW67" s="82"/>
      <c r="BX67" s="79"/>
      <c r="BY67" s="79"/>
      <c r="BZ67" s="79"/>
      <c r="CA67" s="79"/>
      <c r="CB67" s="79"/>
      <c r="CC67" s="82"/>
      <c r="CD67" s="82"/>
      <c r="CE67" s="82"/>
      <c r="CF67" s="82"/>
      <c r="CG67" s="82"/>
      <c r="CH67" s="82"/>
      <c r="CI67" s="82"/>
      <c r="CJ67" s="79"/>
      <c r="CK67" s="79"/>
      <c r="CL67" s="79"/>
      <c r="CM67" s="79"/>
      <c r="CN67" s="79"/>
      <c r="CO67" s="79"/>
      <c r="CP67" s="13" t="s">
        <v>210</v>
      </c>
    </row>
    <row r="68" spans="1:94">
      <c r="A68" s="98">
        <v>6</v>
      </c>
      <c r="B68" s="178" t="s">
        <v>442</v>
      </c>
      <c r="C68" s="361">
        <v>45080</v>
      </c>
      <c r="D68" s="47" t="s">
        <v>469</v>
      </c>
      <c r="E68" s="126"/>
      <c r="F68" s="154" t="s">
        <v>535</v>
      </c>
      <c r="G68" s="167">
        <v>1</v>
      </c>
      <c r="H68" s="167"/>
      <c r="I68" s="170" t="s">
        <v>477</v>
      </c>
      <c r="J68" s="155"/>
      <c r="K68" s="181">
        <f t="shared" si="10"/>
        <v>250000</v>
      </c>
      <c r="L68" s="182">
        <v>300000</v>
      </c>
      <c r="M68" s="157"/>
      <c r="N68" s="183">
        <f t="shared" si="9"/>
        <v>550000</v>
      </c>
      <c r="O68" s="177" t="s">
        <v>488</v>
      </c>
      <c r="P68" s="145"/>
      <c r="Q68" s="141"/>
      <c r="R68" s="190"/>
      <c r="S68" s="83"/>
      <c r="T68" s="87"/>
      <c r="U68" s="87"/>
      <c r="V68" s="87"/>
      <c r="W68" s="44"/>
      <c r="X68" s="88"/>
      <c r="Y68" s="79"/>
      <c r="Z68" s="79"/>
      <c r="AA68" s="79"/>
      <c r="AB68" s="79"/>
      <c r="AC68" s="86"/>
      <c r="AD68" s="82"/>
      <c r="AE68" s="79"/>
      <c r="AF68" s="88"/>
      <c r="AG68" s="80"/>
      <c r="AH68" s="79"/>
      <c r="AI68" s="79"/>
      <c r="AJ68" s="79"/>
      <c r="AK68" s="80"/>
      <c r="AL68" s="80"/>
      <c r="AM68" s="80"/>
      <c r="AN68" s="79"/>
      <c r="AO68" s="80"/>
      <c r="AP68" s="80"/>
      <c r="AQ68" s="80"/>
      <c r="AR68" s="85"/>
      <c r="AS68" s="85"/>
      <c r="AT68" s="85"/>
      <c r="AU68" s="85"/>
      <c r="AV68" s="85"/>
      <c r="AW68" s="82"/>
      <c r="AX68" s="79"/>
      <c r="AY68" s="82"/>
      <c r="AZ68" s="82"/>
      <c r="BA68" s="86"/>
      <c r="BB68" s="79"/>
      <c r="BC68" s="79"/>
      <c r="BD68" s="79"/>
      <c r="BE68" s="82"/>
      <c r="BF68" s="85"/>
      <c r="BG68" s="79"/>
      <c r="BH68" s="79"/>
      <c r="BI68" s="79"/>
      <c r="BJ68" s="88"/>
      <c r="BK68" s="88"/>
      <c r="BL68" s="79"/>
      <c r="BM68" s="185" t="s">
        <v>108</v>
      </c>
      <c r="BN68" s="90"/>
      <c r="BO68" s="80"/>
      <c r="BP68" s="80"/>
      <c r="BQ68" s="80"/>
      <c r="BR68" s="80"/>
      <c r="BS68" s="80"/>
      <c r="BT68" s="80"/>
      <c r="BU68" s="80"/>
      <c r="BV68" s="80"/>
      <c r="BW68" s="82"/>
      <c r="BX68" s="79"/>
      <c r="BY68" s="79"/>
      <c r="BZ68" s="79"/>
      <c r="CA68" s="79"/>
      <c r="CB68" s="79"/>
      <c r="CC68" s="82"/>
      <c r="CD68" s="82"/>
      <c r="CE68" s="82"/>
      <c r="CF68" s="82"/>
      <c r="CG68" s="82"/>
      <c r="CH68" s="82"/>
      <c r="CI68" s="82"/>
      <c r="CJ68" s="79"/>
      <c r="CK68" s="79"/>
      <c r="CL68" s="79"/>
      <c r="CM68" s="79"/>
      <c r="CN68" s="79"/>
      <c r="CO68" s="79"/>
      <c r="CP68" s="13" t="s">
        <v>210</v>
      </c>
    </row>
    <row r="69" spans="1:94">
      <c r="A69" s="98">
        <v>7</v>
      </c>
      <c r="B69" s="178" t="s">
        <v>443</v>
      </c>
      <c r="C69" s="361">
        <v>45110</v>
      </c>
      <c r="D69" s="47" t="s">
        <v>459</v>
      </c>
      <c r="E69" s="126"/>
      <c r="F69" s="154" t="s">
        <v>535</v>
      </c>
      <c r="G69" s="167"/>
      <c r="H69" s="167"/>
      <c r="I69" s="170" t="s">
        <v>102</v>
      </c>
      <c r="J69" s="155"/>
      <c r="K69" s="181">
        <v>300000</v>
      </c>
      <c r="L69" s="157"/>
      <c r="M69" s="157"/>
      <c r="N69" s="183">
        <f t="shared" si="9"/>
        <v>300000</v>
      </c>
      <c r="O69" s="177" t="s">
        <v>489</v>
      </c>
      <c r="P69" s="145"/>
      <c r="Q69" s="141"/>
      <c r="R69" s="190"/>
      <c r="S69" s="83"/>
      <c r="T69" s="87"/>
      <c r="U69" s="87"/>
      <c r="V69" s="87"/>
      <c r="W69" s="44"/>
      <c r="X69" s="88"/>
      <c r="Y69" s="79"/>
      <c r="Z69" s="79"/>
      <c r="AA69" s="79"/>
      <c r="AB69" s="79"/>
      <c r="AC69" s="86"/>
      <c r="AD69" s="82"/>
      <c r="AE69" s="79"/>
      <c r="AF69" s="88"/>
      <c r="AG69" s="80"/>
      <c r="AH69" s="79"/>
      <c r="AI69" s="79"/>
      <c r="AJ69" s="79"/>
      <c r="AK69" s="80"/>
      <c r="AL69" s="80"/>
      <c r="AM69" s="80"/>
      <c r="AN69" s="79"/>
      <c r="AO69" s="80"/>
      <c r="AP69" s="80"/>
      <c r="AQ69" s="80"/>
      <c r="AR69" s="85"/>
      <c r="AS69" s="85"/>
      <c r="AT69" s="85"/>
      <c r="AU69" s="85"/>
      <c r="AV69" s="85"/>
      <c r="AW69" s="82"/>
      <c r="AX69" s="79"/>
      <c r="AY69" s="82"/>
      <c r="AZ69" s="82"/>
      <c r="BA69" s="86"/>
      <c r="BB69" s="79"/>
      <c r="BC69" s="79"/>
      <c r="BD69" s="79"/>
      <c r="BE69" s="82"/>
      <c r="BF69" s="85"/>
      <c r="BG69" s="79"/>
      <c r="BH69" s="79"/>
      <c r="BI69" s="79"/>
      <c r="BJ69" s="88"/>
      <c r="BK69" s="88"/>
      <c r="BL69" s="79"/>
      <c r="BM69" s="185" t="s">
        <v>108</v>
      </c>
      <c r="BN69" s="90"/>
      <c r="BO69" s="80"/>
      <c r="BP69" s="80"/>
      <c r="BQ69" s="80"/>
      <c r="BR69" s="80"/>
      <c r="BS69" s="80"/>
      <c r="BT69" s="80"/>
      <c r="BU69" s="80"/>
      <c r="BV69" s="80"/>
      <c r="BW69" s="82"/>
      <c r="BX69" s="79"/>
      <c r="BY69" s="79"/>
      <c r="BZ69" s="79"/>
      <c r="CA69" s="79"/>
      <c r="CB69" s="79"/>
      <c r="CC69" s="82"/>
      <c r="CD69" s="82"/>
      <c r="CE69" s="82"/>
      <c r="CF69" s="82"/>
      <c r="CG69" s="82"/>
      <c r="CH69" s="82"/>
      <c r="CI69" s="82"/>
      <c r="CJ69" s="79"/>
      <c r="CK69" s="79"/>
      <c r="CL69" s="79"/>
      <c r="CM69" s="79"/>
      <c r="CN69" s="79"/>
      <c r="CO69" s="79"/>
      <c r="CP69" s="13" t="s">
        <v>210</v>
      </c>
    </row>
    <row r="70" spans="1:94" ht="27" customHeight="1">
      <c r="A70" s="98">
        <v>8</v>
      </c>
      <c r="B70" s="178" t="s">
        <v>444</v>
      </c>
      <c r="C70" s="361">
        <v>45141</v>
      </c>
      <c r="D70" s="47" t="s">
        <v>460</v>
      </c>
      <c r="E70" s="126"/>
      <c r="F70" s="154" t="s">
        <v>535</v>
      </c>
      <c r="G70" s="167"/>
      <c r="H70" s="167">
        <v>2</v>
      </c>
      <c r="I70" s="170" t="s">
        <v>482</v>
      </c>
      <c r="J70" s="155"/>
      <c r="K70" s="181">
        <f t="shared" si="10"/>
        <v>500000</v>
      </c>
      <c r="L70" s="182">
        <v>300000</v>
      </c>
      <c r="M70" s="157"/>
      <c r="N70" s="183">
        <f t="shared" si="9"/>
        <v>800000</v>
      </c>
      <c r="O70" s="177" t="s">
        <v>490</v>
      </c>
      <c r="P70" s="145"/>
      <c r="Q70" s="141"/>
      <c r="R70" s="190"/>
      <c r="S70" s="83"/>
      <c r="T70" s="87"/>
      <c r="U70" s="87"/>
      <c r="V70" s="87"/>
      <c r="W70" s="44"/>
      <c r="X70" s="88"/>
      <c r="Y70" s="79"/>
      <c r="Z70" s="79"/>
      <c r="AA70" s="79"/>
      <c r="AB70" s="79"/>
      <c r="AC70" s="86"/>
      <c r="AD70" s="82"/>
      <c r="AE70" s="79"/>
      <c r="AF70" s="88"/>
      <c r="AG70" s="80"/>
      <c r="AH70" s="79"/>
      <c r="AI70" s="79"/>
      <c r="AJ70" s="79"/>
      <c r="AK70" s="80"/>
      <c r="AL70" s="80"/>
      <c r="AM70" s="80"/>
      <c r="AN70" s="79"/>
      <c r="AO70" s="80"/>
      <c r="AP70" s="80"/>
      <c r="AQ70" s="80"/>
      <c r="AR70" s="85"/>
      <c r="AS70" s="85"/>
      <c r="AT70" s="85"/>
      <c r="AU70" s="85"/>
      <c r="AV70" s="85"/>
      <c r="AW70" s="82"/>
      <c r="AX70" s="79"/>
      <c r="AY70" s="82"/>
      <c r="AZ70" s="82"/>
      <c r="BA70" s="86"/>
      <c r="BB70" s="79"/>
      <c r="BC70" s="79"/>
      <c r="BD70" s="79"/>
      <c r="BE70" s="82"/>
      <c r="BF70" s="85"/>
      <c r="BG70" s="79"/>
      <c r="BH70" s="79"/>
      <c r="BI70" s="79"/>
      <c r="BJ70" s="88"/>
      <c r="BK70" s="88"/>
      <c r="BL70" s="79"/>
      <c r="BM70" s="185" t="s">
        <v>108</v>
      </c>
      <c r="BN70" s="90"/>
      <c r="BO70" s="80"/>
      <c r="BP70" s="80"/>
      <c r="BQ70" s="80"/>
      <c r="BR70" s="80"/>
      <c r="BS70" s="80"/>
      <c r="BT70" s="80"/>
      <c r="BU70" s="80"/>
      <c r="BV70" s="80"/>
      <c r="BW70" s="82"/>
      <c r="BX70" s="79"/>
      <c r="BY70" s="79"/>
      <c r="BZ70" s="79"/>
      <c r="CA70" s="79"/>
      <c r="CB70" s="79"/>
      <c r="CC70" s="82"/>
      <c r="CD70" s="82"/>
      <c r="CE70" s="82"/>
      <c r="CF70" s="82"/>
      <c r="CG70" s="82"/>
      <c r="CH70" s="82"/>
      <c r="CI70" s="82"/>
      <c r="CJ70" s="79"/>
      <c r="CK70" s="79"/>
      <c r="CL70" s="79"/>
      <c r="CM70" s="79"/>
      <c r="CN70" s="79"/>
      <c r="CO70" s="79"/>
      <c r="CP70" s="13" t="s">
        <v>210</v>
      </c>
    </row>
    <row r="71" spans="1:94" ht="12.75" customHeight="1">
      <c r="A71" s="98">
        <v>9</v>
      </c>
      <c r="B71" s="178" t="s">
        <v>445</v>
      </c>
      <c r="C71" s="361">
        <v>45141</v>
      </c>
      <c r="D71" s="47" t="s">
        <v>461</v>
      </c>
      <c r="E71" s="126"/>
      <c r="F71" s="154" t="s">
        <v>535</v>
      </c>
      <c r="G71" s="167"/>
      <c r="H71" s="167">
        <v>1</v>
      </c>
      <c r="I71" s="170" t="s">
        <v>328</v>
      </c>
      <c r="J71" s="155"/>
      <c r="K71" s="181">
        <f t="shared" si="10"/>
        <v>250000</v>
      </c>
      <c r="L71" s="182">
        <v>300000</v>
      </c>
      <c r="M71" s="157"/>
      <c r="N71" s="183">
        <f t="shared" si="9"/>
        <v>550000</v>
      </c>
      <c r="O71" s="177" t="s">
        <v>321</v>
      </c>
      <c r="P71" s="145"/>
      <c r="Q71" s="141"/>
      <c r="R71" s="190"/>
      <c r="S71" s="83"/>
      <c r="T71" s="87"/>
      <c r="U71" s="87"/>
      <c r="V71" s="87"/>
      <c r="W71" s="44"/>
      <c r="X71" s="88"/>
      <c r="Y71" s="79"/>
      <c r="Z71" s="79"/>
      <c r="AA71" s="79"/>
      <c r="AB71" s="79"/>
      <c r="AC71" s="86"/>
      <c r="AD71" s="82"/>
      <c r="AE71" s="79"/>
      <c r="AF71" s="88"/>
      <c r="AG71" s="80"/>
      <c r="AH71" s="79"/>
      <c r="AI71" s="79"/>
      <c r="AJ71" s="79"/>
      <c r="AK71" s="80"/>
      <c r="AL71" s="80"/>
      <c r="AM71" s="80"/>
      <c r="AN71" s="79"/>
      <c r="AO71" s="80"/>
      <c r="AP71" s="80"/>
      <c r="AQ71" s="80"/>
      <c r="AR71" s="85"/>
      <c r="AS71" s="85"/>
      <c r="AT71" s="85"/>
      <c r="AU71" s="85"/>
      <c r="AV71" s="85"/>
      <c r="AW71" s="82"/>
      <c r="AX71" s="79"/>
      <c r="AY71" s="82"/>
      <c r="AZ71" s="82"/>
      <c r="BA71" s="86"/>
      <c r="BB71" s="79"/>
      <c r="BC71" s="79"/>
      <c r="BD71" s="79"/>
      <c r="BE71" s="82"/>
      <c r="BF71" s="85"/>
      <c r="BG71" s="79"/>
      <c r="BH71" s="79"/>
      <c r="BI71" s="79"/>
      <c r="BJ71" s="88"/>
      <c r="BK71" s="88"/>
      <c r="BL71" s="79"/>
      <c r="BM71" s="185" t="s">
        <v>108</v>
      </c>
      <c r="BN71" s="90"/>
      <c r="BO71" s="80"/>
      <c r="BP71" s="80"/>
      <c r="BQ71" s="80"/>
      <c r="BR71" s="80"/>
      <c r="BS71" s="80"/>
      <c r="BT71" s="80"/>
      <c r="BU71" s="80"/>
      <c r="BV71" s="80"/>
      <c r="BW71" s="82"/>
      <c r="BX71" s="79"/>
      <c r="BY71" s="79"/>
      <c r="BZ71" s="79"/>
      <c r="CA71" s="79"/>
      <c r="CB71" s="79"/>
      <c r="CC71" s="82"/>
      <c r="CD71" s="82"/>
      <c r="CE71" s="82"/>
      <c r="CF71" s="82"/>
      <c r="CG71" s="82"/>
      <c r="CH71" s="82"/>
      <c r="CI71" s="82"/>
      <c r="CJ71" s="79"/>
      <c r="CK71" s="79"/>
      <c r="CL71" s="79"/>
      <c r="CM71" s="79"/>
      <c r="CN71" s="79"/>
      <c r="CO71" s="79"/>
      <c r="CP71" s="13" t="s">
        <v>210</v>
      </c>
    </row>
    <row r="72" spans="1:94">
      <c r="A72" s="98">
        <v>10</v>
      </c>
      <c r="B72" s="178" t="s">
        <v>446</v>
      </c>
      <c r="C72" s="361">
        <v>45233</v>
      </c>
      <c r="D72" s="47" t="s">
        <v>462</v>
      </c>
      <c r="E72" s="126"/>
      <c r="F72" s="154" t="s">
        <v>535</v>
      </c>
      <c r="G72" s="167"/>
      <c r="H72" s="167">
        <v>1</v>
      </c>
      <c r="I72" s="170" t="s">
        <v>478</v>
      </c>
      <c r="J72" s="155"/>
      <c r="K72" s="181">
        <f t="shared" si="10"/>
        <v>250000</v>
      </c>
      <c r="L72" s="182">
        <v>300000</v>
      </c>
      <c r="M72" s="157"/>
      <c r="N72" s="183">
        <f t="shared" si="9"/>
        <v>550000</v>
      </c>
      <c r="O72" s="177">
        <v>7884674190</v>
      </c>
      <c r="P72" s="145"/>
      <c r="Q72" s="141"/>
      <c r="R72" s="190"/>
      <c r="S72" s="83"/>
      <c r="T72" s="87"/>
      <c r="U72" s="87"/>
      <c r="V72" s="87"/>
      <c r="W72" s="44"/>
      <c r="X72" s="88"/>
      <c r="Y72" s="79"/>
      <c r="Z72" s="79"/>
      <c r="AA72" s="79"/>
      <c r="AB72" s="79"/>
      <c r="AC72" s="86"/>
      <c r="AD72" s="82"/>
      <c r="AE72" s="79"/>
      <c r="AF72" s="88"/>
      <c r="AG72" s="80"/>
      <c r="AH72" s="79"/>
      <c r="AI72" s="79"/>
      <c r="AJ72" s="79"/>
      <c r="AK72" s="80"/>
      <c r="AL72" s="80"/>
      <c r="AM72" s="80"/>
      <c r="AN72" s="79"/>
      <c r="AO72" s="80"/>
      <c r="AP72" s="80"/>
      <c r="AQ72" s="80"/>
      <c r="AR72" s="85"/>
      <c r="AS72" s="85"/>
      <c r="AT72" s="85"/>
      <c r="AU72" s="85"/>
      <c r="AV72" s="85"/>
      <c r="AW72" s="82"/>
      <c r="AX72" s="79"/>
      <c r="AY72" s="82"/>
      <c r="AZ72" s="82"/>
      <c r="BA72" s="86"/>
      <c r="BB72" s="79"/>
      <c r="BC72" s="79"/>
      <c r="BD72" s="79"/>
      <c r="BE72" s="82"/>
      <c r="BF72" s="85"/>
      <c r="BG72" s="79"/>
      <c r="BH72" s="79"/>
      <c r="BI72" s="79"/>
      <c r="BJ72" s="88"/>
      <c r="BK72" s="88"/>
      <c r="BL72" s="79"/>
      <c r="BM72" s="185" t="s">
        <v>108</v>
      </c>
      <c r="BN72" s="90"/>
      <c r="BO72" s="80"/>
      <c r="BP72" s="80"/>
      <c r="BQ72" s="80"/>
      <c r="BR72" s="80"/>
      <c r="BS72" s="80"/>
      <c r="BT72" s="80"/>
      <c r="BU72" s="80"/>
      <c r="BV72" s="80"/>
      <c r="BW72" s="82"/>
      <c r="BX72" s="79"/>
      <c r="BY72" s="79"/>
      <c r="BZ72" s="79"/>
      <c r="CA72" s="79"/>
      <c r="CB72" s="79"/>
      <c r="CC72" s="82"/>
      <c r="CD72" s="82"/>
      <c r="CE72" s="82"/>
      <c r="CF72" s="82"/>
      <c r="CG72" s="82"/>
      <c r="CH72" s="82"/>
      <c r="CI72" s="82"/>
      <c r="CJ72" s="79"/>
      <c r="CK72" s="79"/>
      <c r="CL72" s="79"/>
      <c r="CM72" s="79"/>
      <c r="CN72" s="79"/>
      <c r="CO72" s="79"/>
      <c r="CP72" s="13" t="s">
        <v>210</v>
      </c>
    </row>
    <row r="73" spans="1:94">
      <c r="A73" s="98">
        <v>11</v>
      </c>
      <c r="B73" s="178" t="s">
        <v>447</v>
      </c>
      <c r="C73" s="361" t="s">
        <v>452</v>
      </c>
      <c r="D73" s="47" t="s">
        <v>463</v>
      </c>
      <c r="E73" s="126"/>
      <c r="F73" s="154" t="s">
        <v>535</v>
      </c>
      <c r="G73" s="167"/>
      <c r="H73" s="167"/>
      <c r="I73" s="170" t="s">
        <v>102</v>
      </c>
      <c r="J73" s="155"/>
      <c r="K73" s="181">
        <f t="shared" si="10"/>
        <v>0</v>
      </c>
      <c r="L73" s="182">
        <v>300000</v>
      </c>
      <c r="M73" s="157"/>
      <c r="N73" s="183">
        <f t="shared" si="9"/>
        <v>300000</v>
      </c>
      <c r="O73" s="177" t="s">
        <v>491</v>
      </c>
      <c r="P73" s="145"/>
      <c r="Q73" s="141"/>
      <c r="R73" s="190"/>
      <c r="S73" s="83"/>
      <c r="T73" s="87"/>
      <c r="U73" s="87"/>
      <c r="V73" s="87"/>
      <c r="W73" s="44"/>
      <c r="X73" s="88"/>
      <c r="Y73" s="79"/>
      <c r="Z73" s="79"/>
      <c r="AA73" s="79"/>
      <c r="AB73" s="79"/>
      <c r="AC73" s="86"/>
      <c r="AD73" s="82"/>
      <c r="AE73" s="79"/>
      <c r="AF73" s="88"/>
      <c r="AG73" s="80"/>
      <c r="AH73" s="79"/>
      <c r="AI73" s="79"/>
      <c r="AJ73" s="79"/>
      <c r="AK73" s="80"/>
      <c r="AL73" s="80"/>
      <c r="AM73" s="80"/>
      <c r="AN73" s="79"/>
      <c r="AO73" s="80"/>
      <c r="AP73" s="80"/>
      <c r="AQ73" s="80"/>
      <c r="AR73" s="85"/>
      <c r="AS73" s="85"/>
      <c r="AT73" s="85"/>
      <c r="AU73" s="85"/>
      <c r="AV73" s="85"/>
      <c r="AW73" s="82"/>
      <c r="AX73" s="79"/>
      <c r="AY73" s="82"/>
      <c r="AZ73" s="82"/>
      <c r="BA73" s="86"/>
      <c r="BB73" s="79"/>
      <c r="BC73" s="79"/>
      <c r="BD73" s="79"/>
      <c r="BE73" s="82"/>
      <c r="BF73" s="85"/>
      <c r="BG73" s="79"/>
      <c r="BH73" s="79"/>
      <c r="BI73" s="79"/>
      <c r="BJ73" s="88"/>
      <c r="BK73" s="88"/>
      <c r="BL73" s="79"/>
      <c r="BM73" s="185" t="s">
        <v>108</v>
      </c>
      <c r="BN73" s="90"/>
      <c r="BO73" s="80"/>
      <c r="BP73" s="80"/>
      <c r="BQ73" s="80"/>
      <c r="BR73" s="80"/>
      <c r="BS73" s="80"/>
      <c r="BT73" s="80"/>
      <c r="BU73" s="80"/>
      <c r="BV73" s="80"/>
      <c r="BW73" s="82"/>
      <c r="BX73" s="79"/>
      <c r="BY73" s="79"/>
      <c r="BZ73" s="79"/>
      <c r="CA73" s="79"/>
      <c r="CB73" s="79"/>
      <c r="CC73" s="82"/>
      <c r="CD73" s="82"/>
      <c r="CE73" s="82"/>
      <c r="CF73" s="82"/>
      <c r="CG73" s="82"/>
      <c r="CH73" s="82"/>
      <c r="CI73" s="82"/>
      <c r="CJ73" s="79"/>
      <c r="CK73" s="79"/>
      <c r="CL73" s="79"/>
      <c r="CM73" s="79"/>
      <c r="CN73" s="79"/>
      <c r="CO73" s="79"/>
      <c r="CP73" s="13" t="s">
        <v>210</v>
      </c>
    </row>
    <row r="74" spans="1:94">
      <c r="A74" s="98">
        <v>12</v>
      </c>
      <c r="B74" s="178" t="s">
        <v>448</v>
      </c>
      <c r="C74" s="361" t="s">
        <v>452</v>
      </c>
      <c r="D74" s="47" t="s">
        <v>464</v>
      </c>
      <c r="E74" s="126"/>
      <c r="F74" s="154" t="s">
        <v>535</v>
      </c>
      <c r="G74" s="167">
        <v>1</v>
      </c>
      <c r="H74" s="167"/>
      <c r="I74" s="170" t="s">
        <v>479</v>
      </c>
      <c r="J74" s="155"/>
      <c r="K74" s="181">
        <f t="shared" si="10"/>
        <v>250000</v>
      </c>
      <c r="L74" s="182">
        <v>300000</v>
      </c>
      <c r="M74" s="157"/>
      <c r="N74" s="183">
        <f t="shared" si="9"/>
        <v>550000</v>
      </c>
      <c r="O74" s="177" t="s">
        <v>492</v>
      </c>
      <c r="P74" s="145"/>
      <c r="Q74" s="141"/>
      <c r="R74" s="190"/>
      <c r="S74" s="83"/>
      <c r="T74" s="87"/>
      <c r="U74" s="87"/>
      <c r="V74" s="87"/>
      <c r="W74" s="44"/>
      <c r="X74" s="88"/>
      <c r="Y74" s="79"/>
      <c r="Z74" s="79"/>
      <c r="AA74" s="79"/>
      <c r="AB74" s="79"/>
      <c r="AC74" s="86"/>
      <c r="AD74" s="82"/>
      <c r="AE74" s="79"/>
      <c r="AF74" s="88"/>
      <c r="AG74" s="80"/>
      <c r="AH74" s="79"/>
      <c r="AI74" s="79"/>
      <c r="AJ74" s="79"/>
      <c r="AK74" s="80"/>
      <c r="AL74" s="80"/>
      <c r="AM74" s="80"/>
      <c r="AN74" s="79"/>
      <c r="AO74" s="80"/>
      <c r="AP74" s="80"/>
      <c r="AQ74" s="80"/>
      <c r="AR74" s="85"/>
      <c r="AS74" s="85"/>
      <c r="AT74" s="85"/>
      <c r="AU74" s="85"/>
      <c r="AV74" s="85"/>
      <c r="AW74" s="82"/>
      <c r="AX74" s="79"/>
      <c r="AY74" s="82"/>
      <c r="AZ74" s="82"/>
      <c r="BA74" s="86"/>
      <c r="BB74" s="79"/>
      <c r="BC74" s="79"/>
      <c r="BD74" s="79"/>
      <c r="BE74" s="82"/>
      <c r="BF74" s="85"/>
      <c r="BG74" s="79"/>
      <c r="BH74" s="79"/>
      <c r="BI74" s="79"/>
      <c r="BJ74" s="88"/>
      <c r="BK74" s="88"/>
      <c r="BL74" s="79"/>
      <c r="BM74" s="185" t="s">
        <v>108</v>
      </c>
      <c r="BN74" s="90"/>
      <c r="BO74" s="80"/>
      <c r="BP74" s="80"/>
      <c r="BQ74" s="80"/>
      <c r="BR74" s="80"/>
      <c r="BS74" s="80"/>
      <c r="BT74" s="80"/>
      <c r="BU74" s="80"/>
      <c r="BV74" s="80"/>
      <c r="BW74" s="82"/>
      <c r="BX74" s="79"/>
      <c r="BY74" s="79"/>
      <c r="BZ74" s="79"/>
      <c r="CA74" s="79"/>
      <c r="CB74" s="79"/>
      <c r="CC74" s="82"/>
      <c r="CD74" s="82"/>
      <c r="CE74" s="82"/>
      <c r="CF74" s="82"/>
      <c r="CG74" s="82"/>
      <c r="CH74" s="82"/>
      <c r="CI74" s="82"/>
      <c r="CJ74" s="79"/>
      <c r="CK74" s="79"/>
      <c r="CL74" s="79"/>
      <c r="CM74" s="79"/>
      <c r="CN74" s="79"/>
      <c r="CO74" s="79"/>
      <c r="CP74" s="13" t="s">
        <v>210</v>
      </c>
    </row>
    <row r="75" spans="1:94">
      <c r="A75" s="98">
        <v>13</v>
      </c>
      <c r="B75" s="178" t="s">
        <v>449</v>
      </c>
      <c r="C75" s="361" t="s">
        <v>453</v>
      </c>
      <c r="D75" s="47" t="s">
        <v>465</v>
      </c>
      <c r="E75" s="126"/>
      <c r="F75" s="154" t="s">
        <v>535</v>
      </c>
      <c r="G75" s="167">
        <v>1</v>
      </c>
      <c r="H75" s="167"/>
      <c r="I75" s="170" t="s">
        <v>480</v>
      </c>
      <c r="J75" s="155"/>
      <c r="K75" s="181">
        <f t="shared" si="10"/>
        <v>250000</v>
      </c>
      <c r="L75" s="182">
        <v>300000</v>
      </c>
      <c r="M75" s="157"/>
      <c r="N75" s="183">
        <f t="shared" si="9"/>
        <v>550000</v>
      </c>
      <c r="O75" s="177">
        <v>2715369310</v>
      </c>
      <c r="P75" s="145"/>
      <c r="Q75" s="141"/>
      <c r="R75" s="190"/>
      <c r="S75" s="83"/>
      <c r="T75" s="87"/>
      <c r="U75" s="87"/>
      <c r="V75" s="87"/>
      <c r="W75" s="44"/>
      <c r="X75" s="88"/>
      <c r="Y75" s="79"/>
      <c r="Z75" s="79"/>
      <c r="AA75" s="79"/>
      <c r="AB75" s="79"/>
      <c r="AC75" s="86"/>
      <c r="AD75" s="82"/>
      <c r="AE75" s="79"/>
      <c r="AF75" s="88"/>
      <c r="AG75" s="80"/>
      <c r="AH75" s="79"/>
      <c r="AI75" s="79"/>
      <c r="AJ75" s="79"/>
      <c r="AK75" s="80"/>
      <c r="AL75" s="80"/>
      <c r="AM75" s="80"/>
      <c r="AN75" s="79"/>
      <c r="AO75" s="80"/>
      <c r="AP75" s="80"/>
      <c r="AQ75" s="80"/>
      <c r="AR75" s="85"/>
      <c r="AS75" s="85"/>
      <c r="AT75" s="85"/>
      <c r="AU75" s="85"/>
      <c r="AV75" s="85"/>
      <c r="AW75" s="82"/>
      <c r="AX75" s="79"/>
      <c r="AY75" s="82"/>
      <c r="AZ75" s="82"/>
      <c r="BA75" s="86"/>
      <c r="BB75" s="79"/>
      <c r="BC75" s="79"/>
      <c r="BD75" s="79"/>
      <c r="BE75" s="82"/>
      <c r="BF75" s="85"/>
      <c r="BG75" s="79"/>
      <c r="BH75" s="79"/>
      <c r="BI75" s="79"/>
      <c r="BJ75" s="88"/>
      <c r="BK75" s="88"/>
      <c r="BL75" s="79"/>
      <c r="BM75" s="185" t="s">
        <v>108</v>
      </c>
      <c r="BN75" s="90"/>
      <c r="BO75" s="80"/>
      <c r="BP75" s="80"/>
      <c r="BQ75" s="80"/>
      <c r="BR75" s="80"/>
      <c r="BS75" s="80"/>
      <c r="BT75" s="80"/>
      <c r="BU75" s="80"/>
      <c r="BV75" s="80"/>
      <c r="BW75" s="82"/>
      <c r="BX75" s="79"/>
      <c r="BY75" s="79"/>
      <c r="BZ75" s="79"/>
      <c r="CA75" s="79"/>
      <c r="CB75" s="79"/>
      <c r="CC75" s="82"/>
      <c r="CD75" s="82"/>
      <c r="CE75" s="82"/>
      <c r="CF75" s="82"/>
      <c r="CG75" s="82"/>
      <c r="CH75" s="82"/>
      <c r="CI75" s="82"/>
      <c r="CJ75" s="79"/>
      <c r="CK75" s="79"/>
      <c r="CL75" s="79"/>
      <c r="CM75" s="79"/>
      <c r="CN75" s="79"/>
      <c r="CO75" s="79"/>
      <c r="CP75" s="13" t="s">
        <v>210</v>
      </c>
    </row>
    <row r="76" spans="1:94">
      <c r="A76" s="98">
        <v>14</v>
      </c>
      <c r="B76" s="178" t="s">
        <v>450</v>
      </c>
      <c r="C76" s="361" t="s">
        <v>453</v>
      </c>
      <c r="D76" s="47" t="s">
        <v>466</v>
      </c>
      <c r="E76" s="126"/>
      <c r="F76" s="154" t="s">
        <v>535</v>
      </c>
      <c r="G76" s="167"/>
      <c r="H76" s="167">
        <v>1</v>
      </c>
      <c r="I76" s="170" t="s">
        <v>481</v>
      </c>
      <c r="J76" s="155"/>
      <c r="K76" s="181">
        <f t="shared" si="10"/>
        <v>250000</v>
      </c>
      <c r="L76" s="182">
        <v>300000</v>
      </c>
      <c r="M76" s="157"/>
      <c r="N76" s="183">
        <f t="shared" si="9"/>
        <v>550000</v>
      </c>
      <c r="O76" s="177" t="s">
        <v>493</v>
      </c>
      <c r="P76" s="145"/>
      <c r="Q76" s="141"/>
      <c r="R76" s="190"/>
      <c r="S76" s="83"/>
      <c r="T76" s="87"/>
      <c r="U76" s="87"/>
      <c r="V76" s="87"/>
      <c r="W76" s="44"/>
      <c r="X76" s="88"/>
      <c r="Y76" s="79"/>
      <c r="Z76" s="79"/>
      <c r="AA76" s="79"/>
      <c r="AB76" s="79"/>
      <c r="AC76" s="86"/>
      <c r="AD76" s="82"/>
      <c r="AE76" s="79"/>
      <c r="AF76" s="88"/>
      <c r="AG76" s="80"/>
      <c r="AH76" s="79"/>
      <c r="AI76" s="79"/>
      <c r="AJ76" s="79"/>
      <c r="AK76" s="80"/>
      <c r="AL76" s="80"/>
      <c r="AM76" s="80"/>
      <c r="AN76" s="79"/>
      <c r="AO76" s="80"/>
      <c r="AP76" s="80"/>
      <c r="AQ76" s="80"/>
      <c r="AR76" s="85"/>
      <c r="AS76" s="85"/>
      <c r="AT76" s="85"/>
      <c r="AU76" s="85"/>
      <c r="AV76" s="85"/>
      <c r="AW76" s="82"/>
      <c r="AX76" s="79"/>
      <c r="AY76" s="82"/>
      <c r="AZ76" s="82"/>
      <c r="BA76" s="86"/>
      <c r="BB76" s="79"/>
      <c r="BC76" s="79"/>
      <c r="BD76" s="79"/>
      <c r="BE76" s="82"/>
      <c r="BF76" s="85"/>
      <c r="BG76" s="79"/>
      <c r="BH76" s="79"/>
      <c r="BI76" s="79"/>
      <c r="BJ76" s="88"/>
      <c r="BK76" s="88"/>
      <c r="BL76" s="79"/>
      <c r="BM76" s="185" t="s">
        <v>108</v>
      </c>
      <c r="BN76" s="90"/>
      <c r="BO76" s="80"/>
      <c r="BP76" s="80"/>
      <c r="BQ76" s="80"/>
      <c r="BR76" s="80"/>
      <c r="BS76" s="80"/>
      <c r="BT76" s="80"/>
      <c r="BU76" s="80"/>
      <c r="BV76" s="80"/>
      <c r="BW76" s="82"/>
      <c r="BX76" s="79"/>
      <c r="BY76" s="79"/>
      <c r="BZ76" s="79"/>
      <c r="CA76" s="79"/>
      <c r="CB76" s="79"/>
      <c r="CC76" s="82"/>
      <c r="CD76" s="82"/>
      <c r="CE76" s="82"/>
      <c r="CF76" s="82"/>
      <c r="CG76" s="82"/>
      <c r="CH76" s="82"/>
      <c r="CI76" s="82"/>
      <c r="CJ76" s="79"/>
      <c r="CK76" s="79"/>
      <c r="CL76" s="79"/>
      <c r="CM76" s="79"/>
      <c r="CN76" s="79"/>
      <c r="CO76" s="79"/>
      <c r="CP76" s="13" t="s">
        <v>210</v>
      </c>
    </row>
    <row r="77" spans="1:94">
      <c r="A77" s="98">
        <v>15</v>
      </c>
      <c r="B77" s="178" t="s">
        <v>451</v>
      </c>
      <c r="C77" s="361" t="s">
        <v>454</v>
      </c>
      <c r="D77" s="47" t="s">
        <v>467</v>
      </c>
      <c r="E77" s="126"/>
      <c r="F77" s="154" t="s">
        <v>535</v>
      </c>
      <c r="G77" s="167">
        <v>1</v>
      </c>
      <c r="H77" s="167"/>
      <c r="I77" s="170" t="s">
        <v>483</v>
      </c>
      <c r="J77" s="155"/>
      <c r="K77" s="181">
        <f t="shared" si="10"/>
        <v>250000</v>
      </c>
      <c r="L77" s="182">
        <v>300000</v>
      </c>
      <c r="M77" s="157"/>
      <c r="N77" s="183">
        <f t="shared" si="9"/>
        <v>550000</v>
      </c>
      <c r="O77" s="177" t="s">
        <v>494</v>
      </c>
      <c r="P77" s="145"/>
      <c r="Q77" s="141"/>
      <c r="R77" s="190"/>
      <c r="S77" s="83"/>
      <c r="T77" s="87"/>
      <c r="U77" s="87"/>
      <c r="V77" s="87"/>
      <c r="W77" s="44"/>
      <c r="X77" s="88"/>
      <c r="Y77" s="79"/>
      <c r="Z77" s="79"/>
      <c r="AA77" s="79"/>
      <c r="AB77" s="79"/>
      <c r="AC77" s="86"/>
      <c r="AD77" s="82"/>
      <c r="AE77" s="79"/>
      <c r="AF77" s="88"/>
      <c r="AG77" s="80"/>
      <c r="AH77" s="79"/>
      <c r="AI77" s="79"/>
      <c r="AJ77" s="79"/>
      <c r="AK77" s="80"/>
      <c r="AL77" s="80"/>
      <c r="AM77" s="80"/>
      <c r="AN77" s="79"/>
      <c r="AO77" s="80"/>
      <c r="AP77" s="80"/>
      <c r="AQ77" s="80"/>
      <c r="AR77" s="85"/>
      <c r="AS77" s="85"/>
      <c r="AT77" s="85"/>
      <c r="AU77" s="85"/>
      <c r="AV77" s="85"/>
      <c r="AW77" s="82"/>
      <c r="AX77" s="79"/>
      <c r="AY77" s="82"/>
      <c r="AZ77" s="82"/>
      <c r="BA77" s="86"/>
      <c r="BB77" s="79"/>
      <c r="BC77" s="79"/>
      <c r="BD77" s="79"/>
      <c r="BE77" s="82"/>
      <c r="BF77" s="85"/>
      <c r="BG77" s="79"/>
      <c r="BH77" s="79"/>
      <c r="BI77" s="79"/>
      <c r="BJ77" s="88"/>
      <c r="BK77" s="88"/>
      <c r="BL77" s="79"/>
      <c r="BM77" s="185" t="s">
        <v>108</v>
      </c>
      <c r="BN77" s="90"/>
      <c r="BO77" s="80"/>
      <c r="BP77" s="80"/>
      <c r="BQ77" s="80"/>
      <c r="BR77" s="80"/>
      <c r="BS77" s="80"/>
      <c r="BT77" s="80"/>
      <c r="BU77" s="80"/>
      <c r="BV77" s="80"/>
      <c r="BW77" s="82"/>
      <c r="BX77" s="79"/>
      <c r="BY77" s="79"/>
      <c r="BZ77" s="79"/>
      <c r="CA77" s="79"/>
      <c r="CB77" s="79"/>
      <c r="CC77" s="82"/>
      <c r="CD77" s="82"/>
      <c r="CE77" s="82"/>
      <c r="CF77" s="82"/>
      <c r="CG77" s="82"/>
      <c r="CH77" s="82"/>
      <c r="CI77" s="82"/>
      <c r="CJ77" s="79"/>
      <c r="CK77" s="79"/>
      <c r="CL77" s="79"/>
      <c r="CM77" s="79"/>
      <c r="CN77" s="79"/>
      <c r="CO77" s="79"/>
      <c r="CP77" s="13" t="s">
        <v>210</v>
      </c>
    </row>
    <row r="78" spans="1:94">
      <c r="A78" s="98">
        <v>16</v>
      </c>
      <c r="B78" s="178" t="s">
        <v>470</v>
      </c>
      <c r="C78" s="188" t="s">
        <v>471</v>
      </c>
      <c r="D78" s="47" t="s">
        <v>472</v>
      </c>
      <c r="E78" s="126"/>
      <c r="F78" s="154" t="s">
        <v>535</v>
      </c>
      <c r="G78" s="167"/>
      <c r="H78" s="167">
        <v>1</v>
      </c>
      <c r="I78" s="170" t="s">
        <v>484</v>
      </c>
      <c r="J78" s="155"/>
      <c r="K78" s="181">
        <f t="shared" si="10"/>
        <v>250000</v>
      </c>
      <c r="L78" s="182">
        <v>300000</v>
      </c>
      <c r="M78" s="157"/>
      <c r="N78" s="183">
        <f t="shared" si="9"/>
        <v>550000</v>
      </c>
      <c r="O78" s="177">
        <v>225859755</v>
      </c>
      <c r="P78" s="145"/>
      <c r="Q78" s="141"/>
      <c r="R78" s="190"/>
      <c r="S78" s="83"/>
      <c r="T78" s="87"/>
      <c r="U78" s="87"/>
      <c r="V78" s="87"/>
      <c r="W78" s="44"/>
      <c r="X78" s="88"/>
      <c r="Y78" s="79"/>
      <c r="Z78" s="79"/>
      <c r="AA78" s="79"/>
      <c r="AB78" s="79"/>
      <c r="AC78" s="86"/>
      <c r="AD78" s="82"/>
      <c r="AE78" s="79"/>
      <c r="AF78" s="88"/>
      <c r="AG78" s="80"/>
      <c r="AH78" s="79"/>
      <c r="AI78" s="79"/>
      <c r="AJ78" s="79"/>
      <c r="AK78" s="80"/>
      <c r="AL78" s="80"/>
      <c r="AM78" s="80"/>
      <c r="AN78" s="79"/>
      <c r="AO78" s="80"/>
      <c r="AP78" s="80"/>
      <c r="AQ78" s="80"/>
      <c r="AR78" s="85"/>
      <c r="AS78" s="85"/>
      <c r="AT78" s="85"/>
      <c r="AU78" s="85"/>
      <c r="AV78" s="85"/>
      <c r="AW78" s="82"/>
      <c r="AX78" s="79"/>
      <c r="AY78" s="82"/>
      <c r="AZ78" s="82"/>
      <c r="BA78" s="86"/>
      <c r="BB78" s="79"/>
      <c r="BC78" s="79"/>
      <c r="BD78" s="79"/>
      <c r="BE78" s="82"/>
      <c r="BF78" s="85"/>
      <c r="BG78" s="79"/>
      <c r="BH78" s="79"/>
      <c r="BI78" s="79"/>
      <c r="BJ78" s="88"/>
      <c r="BK78" s="88"/>
      <c r="BL78" s="79"/>
      <c r="BM78" s="185" t="s">
        <v>108</v>
      </c>
      <c r="BN78" s="90"/>
      <c r="BO78" s="80"/>
      <c r="BP78" s="80"/>
      <c r="BQ78" s="80"/>
      <c r="BR78" s="80"/>
      <c r="BS78" s="80"/>
      <c r="BT78" s="80"/>
      <c r="BU78" s="80"/>
      <c r="BV78" s="80"/>
      <c r="BW78" s="82"/>
      <c r="BX78" s="79"/>
      <c r="BY78" s="79"/>
      <c r="BZ78" s="79"/>
      <c r="CA78" s="79"/>
      <c r="CB78" s="79"/>
      <c r="CC78" s="82"/>
      <c r="CD78" s="82"/>
      <c r="CE78" s="82"/>
      <c r="CF78" s="82"/>
      <c r="CG78" s="82"/>
      <c r="CH78" s="82"/>
      <c r="CI78" s="82"/>
      <c r="CJ78" s="79"/>
      <c r="CK78" s="79"/>
      <c r="CL78" s="79"/>
      <c r="CM78" s="79"/>
      <c r="CN78" s="79"/>
      <c r="CO78" s="79"/>
      <c r="CP78" s="13" t="s">
        <v>210</v>
      </c>
    </row>
    <row r="79" spans="1:94" ht="56.25" customHeight="1">
      <c r="A79" s="98">
        <v>17</v>
      </c>
      <c r="B79" s="189" t="s">
        <v>495</v>
      </c>
      <c r="C79" s="188">
        <v>44987</v>
      </c>
      <c r="D79" s="47" t="s">
        <v>497</v>
      </c>
      <c r="E79" s="126"/>
      <c r="F79" s="230" t="s">
        <v>377</v>
      </c>
      <c r="G79" s="167">
        <v>4</v>
      </c>
      <c r="H79" s="167"/>
      <c r="I79" s="170" t="s">
        <v>496</v>
      </c>
      <c r="J79" s="180">
        <f t="shared" ref="J79:J86" si="11">(G79*$C$255)+(G79*$C$256)+(H79*$D$255+H79*$D$256)+(G79*$C$258+H79*$D$258)</f>
        <v>5200000</v>
      </c>
      <c r="K79" s="181">
        <f t="shared" ref="K79:K86" si="12">SUM(G79:I79)*250000</f>
        <v>1000000</v>
      </c>
      <c r="L79" s="152"/>
      <c r="M79" s="152"/>
      <c r="N79" s="183">
        <f t="shared" ref="N79:N86" si="13">+SUM(J79:M79)</f>
        <v>6200000</v>
      </c>
      <c r="O79" s="177" t="s">
        <v>498</v>
      </c>
      <c r="P79" s="145"/>
      <c r="Q79" s="141"/>
      <c r="R79" s="190"/>
      <c r="S79" s="83"/>
      <c r="T79" s="87"/>
      <c r="U79" s="87"/>
      <c r="V79" s="87"/>
      <c r="W79" s="44"/>
      <c r="X79" s="88"/>
      <c r="Y79" s="79"/>
      <c r="Z79" s="79"/>
      <c r="AA79" s="79"/>
      <c r="AB79" s="79"/>
      <c r="AC79" s="86"/>
      <c r="AD79" s="82"/>
      <c r="AE79" s="79"/>
      <c r="AF79" s="88"/>
      <c r="AG79" s="80"/>
      <c r="AH79" s="79"/>
      <c r="AI79" s="79"/>
      <c r="AJ79" s="79"/>
      <c r="AK79" s="80"/>
      <c r="AL79" s="80"/>
      <c r="AM79" s="80"/>
      <c r="AN79" s="79"/>
      <c r="AO79" s="80"/>
      <c r="AP79" s="80"/>
      <c r="AQ79" s="80"/>
      <c r="AR79" s="85"/>
      <c r="AS79" s="85"/>
      <c r="AT79" s="85"/>
      <c r="AU79" s="85"/>
      <c r="AV79" s="85"/>
      <c r="AW79" s="82"/>
      <c r="AX79" s="79"/>
      <c r="AY79" s="82"/>
      <c r="AZ79" s="82"/>
      <c r="BA79" s="86"/>
      <c r="BB79" s="79"/>
      <c r="BC79" s="79"/>
      <c r="BD79" s="79"/>
      <c r="BE79" s="82"/>
      <c r="BF79" s="85"/>
      <c r="BG79" s="79"/>
      <c r="BH79" s="79"/>
      <c r="BI79" s="79"/>
      <c r="BJ79" s="88"/>
      <c r="BK79" s="88"/>
      <c r="BL79" s="79"/>
      <c r="BM79" s="186" t="s">
        <v>123</v>
      </c>
      <c r="BN79" s="90"/>
      <c r="BO79" s="80"/>
      <c r="BP79" s="80"/>
      <c r="BQ79" s="80"/>
      <c r="BR79" s="80"/>
      <c r="BS79" s="80"/>
      <c r="BT79" s="80"/>
      <c r="BU79" s="80"/>
      <c r="BV79" s="80"/>
      <c r="BW79" s="82"/>
      <c r="BX79" s="79"/>
      <c r="BY79" s="79"/>
      <c r="BZ79" s="79"/>
      <c r="CA79" s="79"/>
      <c r="CB79" s="79"/>
      <c r="CC79" s="82"/>
      <c r="CD79" s="82"/>
      <c r="CE79" s="82"/>
      <c r="CF79" s="82"/>
      <c r="CG79" s="82"/>
      <c r="CH79" s="82"/>
      <c r="CI79" s="82"/>
      <c r="CJ79" s="79"/>
      <c r="CK79" s="79"/>
      <c r="CL79" s="79"/>
      <c r="CM79" s="79"/>
      <c r="CN79" s="79"/>
      <c r="CO79" s="79"/>
      <c r="CP79" s="13" t="s">
        <v>206</v>
      </c>
    </row>
    <row r="80" spans="1:94">
      <c r="A80" s="98">
        <v>18</v>
      </c>
      <c r="B80" s="189" t="s">
        <v>499</v>
      </c>
      <c r="C80" s="188">
        <v>44994</v>
      </c>
      <c r="D80" s="47" t="s">
        <v>510</v>
      </c>
      <c r="E80" s="126"/>
      <c r="F80" s="154" t="s">
        <v>535</v>
      </c>
      <c r="G80" s="167">
        <v>1</v>
      </c>
      <c r="H80" s="167"/>
      <c r="I80" s="170" t="s">
        <v>500</v>
      </c>
      <c r="J80" s="180">
        <f t="shared" si="11"/>
        <v>1300000</v>
      </c>
      <c r="K80" s="181">
        <f t="shared" si="12"/>
        <v>250000</v>
      </c>
      <c r="L80" s="152"/>
      <c r="M80" s="152"/>
      <c r="N80" s="183">
        <f t="shared" si="13"/>
        <v>1550000</v>
      </c>
      <c r="O80" s="177" t="s">
        <v>501</v>
      </c>
      <c r="P80" s="145"/>
      <c r="Q80" s="141"/>
      <c r="R80" s="190"/>
      <c r="S80" s="83"/>
      <c r="T80" s="87"/>
      <c r="U80" s="87"/>
      <c r="V80" s="87"/>
      <c r="W80" s="44"/>
      <c r="X80" s="88"/>
      <c r="Y80" s="79"/>
      <c r="Z80" s="79"/>
      <c r="AA80" s="79"/>
      <c r="AB80" s="79"/>
      <c r="AC80" s="86"/>
      <c r="AD80" s="82"/>
      <c r="AE80" s="79"/>
      <c r="AF80" s="88"/>
      <c r="AG80" s="80"/>
      <c r="AH80" s="79"/>
      <c r="AI80" s="79"/>
      <c r="AJ80" s="79"/>
      <c r="AK80" s="80"/>
      <c r="AL80" s="80"/>
      <c r="AM80" s="80"/>
      <c r="AN80" s="79"/>
      <c r="AO80" s="80"/>
      <c r="AP80" s="80"/>
      <c r="AQ80" s="80"/>
      <c r="AR80" s="85"/>
      <c r="AS80" s="85"/>
      <c r="AT80" s="85"/>
      <c r="AU80" s="85"/>
      <c r="AV80" s="85"/>
      <c r="AW80" s="82"/>
      <c r="AX80" s="79"/>
      <c r="AY80" s="82"/>
      <c r="AZ80" s="82"/>
      <c r="BA80" s="86"/>
      <c r="BB80" s="79"/>
      <c r="BC80" s="79"/>
      <c r="BD80" s="79"/>
      <c r="BE80" s="82"/>
      <c r="BF80" s="85"/>
      <c r="BG80" s="79"/>
      <c r="BH80" s="79"/>
      <c r="BI80" s="79"/>
      <c r="BJ80" s="88"/>
      <c r="BK80" s="88"/>
      <c r="BL80" s="79"/>
      <c r="BM80" s="186" t="s">
        <v>123</v>
      </c>
      <c r="BN80" s="90"/>
      <c r="BO80" s="80"/>
      <c r="BP80" s="80"/>
      <c r="BQ80" s="80"/>
      <c r="BR80" s="80"/>
      <c r="BS80" s="80"/>
      <c r="BT80" s="80"/>
      <c r="BU80" s="80"/>
      <c r="BV80" s="80"/>
      <c r="BW80" s="82"/>
      <c r="BX80" s="79"/>
      <c r="BY80" s="79"/>
      <c r="BZ80" s="79"/>
      <c r="CA80" s="79"/>
      <c r="CB80" s="79"/>
      <c r="CC80" s="82"/>
      <c r="CD80" s="82"/>
      <c r="CE80" s="82"/>
      <c r="CF80" s="82"/>
      <c r="CG80" s="82"/>
      <c r="CH80" s="82"/>
      <c r="CI80" s="82"/>
      <c r="CJ80" s="79"/>
      <c r="CK80" s="79"/>
      <c r="CL80" s="79"/>
      <c r="CM80" s="79"/>
      <c r="CN80" s="79"/>
      <c r="CO80" s="79"/>
      <c r="CP80" s="13" t="s">
        <v>206</v>
      </c>
    </row>
    <row r="81" spans="1:94" ht="26.4">
      <c r="A81" s="98">
        <v>19</v>
      </c>
      <c r="B81" s="189" t="s">
        <v>502</v>
      </c>
      <c r="C81" s="188">
        <v>44996</v>
      </c>
      <c r="D81" s="47" t="s">
        <v>511</v>
      </c>
      <c r="E81" s="126"/>
      <c r="F81" s="154" t="s">
        <v>535</v>
      </c>
      <c r="G81" s="167">
        <v>2</v>
      </c>
      <c r="H81" s="167"/>
      <c r="I81" s="170" t="s">
        <v>503</v>
      </c>
      <c r="J81" s="180">
        <f t="shared" si="11"/>
        <v>2600000</v>
      </c>
      <c r="K81" s="181">
        <f t="shared" si="12"/>
        <v>500000</v>
      </c>
      <c r="L81" s="152"/>
      <c r="M81" s="152"/>
      <c r="N81" s="183">
        <f t="shared" si="13"/>
        <v>3100000</v>
      </c>
      <c r="O81" s="177" t="s">
        <v>504</v>
      </c>
      <c r="P81" s="145"/>
      <c r="Q81" s="141"/>
      <c r="R81" s="190"/>
      <c r="S81" s="83"/>
      <c r="T81" s="87"/>
      <c r="U81" s="87"/>
      <c r="V81" s="87"/>
      <c r="W81" s="44"/>
      <c r="X81" s="88"/>
      <c r="Y81" s="79"/>
      <c r="Z81" s="79"/>
      <c r="AA81" s="79"/>
      <c r="AB81" s="79"/>
      <c r="AC81" s="86"/>
      <c r="AD81" s="82"/>
      <c r="AE81" s="79"/>
      <c r="AF81" s="88"/>
      <c r="AG81" s="80"/>
      <c r="AH81" s="79"/>
      <c r="AI81" s="79"/>
      <c r="AJ81" s="79"/>
      <c r="AK81" s="80"/>
      <c r="AL81" s="80"/>
      <c r="AM81" s="80"/>
      <c r="AN81" s="79"/>
      <c r="AO81" s="80"/>
      <c r="AP81" s="80"/>
      <c r="AQ81" s="80"/>
      <c r="AR81" s="85"/>
      <c r="AS81" s="85"/>
      <c r="AT81" s="85"/>
      <c r="AU81" s="85"/>
      <c r="AV81" s="85"/>
      <c r="AW81" s="82"/>
      <c r="AX81" s="79"/>
      <c r="AY81" s="82"/>
      <c r="AZ81" s="82"/>
      <c r="BA81" s="86"/>
      <c r="BB81" s="79"/>
      <c r="BC81" s="79"/>
      <c r="BD81" s="79"/>
      <c r="BE81" s="82"/>
      <c r="BF81" s="85"/>
      <c r="BG81" s="79"/>
      <c r="BH81" s="79"/>
      <c r="BI81" s="79"/>
      <c r="BJ81" s="88"/>
      <c r="BK81" s="88"/>
      <c r="BL81" s="79"/>
      <c r="BM81" s="186" t="s">
        <v>123</v>
      </c>
      <c r="BN81" s="90"/>
      <c r="BO81" s="80"/>
      <c r="BP81" s="80"/>
      <c r="BQ81" s="80"/>
      <c r="BR81" s="80"/>
      <c r="BS81" s="80"/>
      <c r="BT81" s="80"/>
      <c r="BU81" s="80"/>
      <c r="BV81" s="80"/>
      <c r="BW81" s="82"/>
      <c r="BX81" s="79"/>
      <c r="BY81" s="79"/>
      <c r="BZ81" s="79"/>
      <c r="CA81" s="79"/>
      <c r="CB81" s="79"/>
      <c r="CC81" s="82"/>
      <c r="CD81" s="82"/>
      <c r="CE81" s="82"/>
      <c r="CF81" s="82"/>
      <c r="CG81" s="82"/>
      <c r="CH81" s="82"/>
      <c r="CI81" s="82"/>
      <c r="CJ81" s="79"/>
      <c r="CK81" s="79"/>
      <c r="CL81" s="79"/>
      <c r="CM81" s="79"/>
      <c r="CN81" s="79"/>
      <c r="CO81" s="79"/>
      <c r="CP81" s="13" t="s">
        <v>206</v>
      </c>
    </row>
    <row r="82" spans="1:94" ht="39.6">
      <c r="A82" s="98">
        <v>20</v>
      </c>
      <c r="B82" s="189" t="s">
        <v>505</v>
      </c>
      <c r="C82" s="188">
        <v>44998</v>
      </c>
      <c r="D82" s="47" t="s">
        <v>512</v>
      </c>
      <c r="E82" s="126"/>
      <c r="F82" s="154" t="s">
        <v>535</v>
      </c>
      <c r="G82" s="167">
        <v>3</v>
      </c>
      <c r="H82" s="167"/>
      <c r="I82" s="170" t="s">
        <v>525</v>
      </c>
      <c r="J82" s="180">
        <f t="shared" si="11"/>
        <v>3900000</v>
      </c>
      <c r="K82" s="181">
        <f t="shared" si="12"/>
        <v>750000</v>
      </c>
      <c r="L82" s="152"/>
      <c r="M82" s="152"/>
      <c r="N82" s="183">
        <f t="shared" si="13"/>
        <v>4650000</v>
      </c>
      <c r="O82" s="177">
        <v>225083189</v>
      </c>
      <c r="P82" s="145"/>
      <c r="Q82" s="141"/>
      <c r="R82" s="190"/>
      <c r="S82" s="83"/>
      <c r="T82" s="87"/>
      <c r="U82" s="87"/>
      <c r="V82" s="87"/>
      <c r="W82" s="44"/>
      <c r="X82" s="88"/>
      <c r="Y82" s="79"/>
      <c r="Z82" s="79"/>
      <c r="AA82" s="79"/>
      <c r="AB82" s="79"/>
      <c r="AC82" s="86"/>
      <c r="AD82" s="82"/>
      <c r="AE82" s="79"/>
      <c r="AF82" s="88"/>
      <c r="AG82" s="80"/>
      <c r="AH82" s="79"/>
      <c r="AI82" s="79"/>
      <c r="AJ82" s="79"/>
      <c r="AK82" s="80"/>
      <c r="AL82" s="80"/>
      <c r="AM82" s="80"/>
      <c r="AN82" s="79"/>
      <c r="AO82" s="80"/>
      <c r="AP82" s="80"/>
      <c r="AQ82" s="80"/>
      <c r="AR82" s="85"/>
      <c r="AS82" s="85"/>
      <c r="AT82" s="85"/>
      <c r="AU82" s="85"/>
      <c r="AV82" s="85"/>
      <c r="AW82" s="82"/>
      <c r="AX82" s="79"/>
      <c r="AY82" s="82"/>
      <c r="AZ82" s="82"/>
      <c r="BA82" s="86"/>
      <c r="BB82" s="79"/>
      <c r="BC82" s="79"/>
      <c r="BD82" s="79"/>
      <c r="BE82" s="82"/>
      <c r="BF82" s="85"/>
      <c r="BG82" s="79"/>
      <c r="BH82" s="79"/>
      <c r="BI82" s="79"/>
      <c r="BJ82" s="88"/>
      <c r="BK82" s="88"/>
      <c r="BL82" s="79"/>
      <c r="BM82" s="187" t="s">
        <v>136</v>
      </c>
      <c r="BN82" s="90"/>
      <c r="BO82" s="80"/>
      <c r="BP82" s="80"/>
      <c r="BQ82" s="80"/>
      <c r="BR82" s="80"/>
      <c r="BS82" s="80"/>
      <c r="BT82" s="80"/>
      <c r="BU82" s="80"/>
      <c r="BV82" s="80"/>
      <c r="BW82" s="82"/>
      <c r="BX82" s="79"/>
      <c r="BY82" s="79"/>
      <c r="BZ82" s="79"/>
      <c r="CA82" s="79"/>
      <c r="CB82" s="79"/>
      <c r="CC82" s="82"/>
      <c r="CD82" s="82"/>
      <c r="CE82" s="82"/>
      <c r="CF82" s="82"/>
      <c r="CG82" s="82"/>
      <c r="CH82" s="82"/>
      <c r="CI82" s="82"/>
      <c r="CJ82" s="79"/>
      <c r="CK82" s="79"/>
      <c r="CL82" s="79"/>
      <c r="CM82" s="79"/>
      <c r="CN82" s="79"/>
      <c r="CO82" s="79"/>
      <c r="CP82" s="13" t="s">
        <v>206</v>
      </c>
    </row>
    <row r="83" spans="1:94" ht="39.6">
      <c r="A83" s="98">
        <v>21</v>
      </c>
      <c r="B83" s="189" t="s">
        <v>506</v>
      </c>
      <c r="C83" s="188">
        <v>44998</v>
      </c>
      <c r="D83" s="47" t="s">
        <v>513</v>
      </c>
      <c r="E83" s="126"/>
      <c r="F83" s="154" t="s">
        <v>535</v>
      </c>
      <c r="G83" s="167">
        <v>3</v>
      </c>
      <c r="H83" s="167"/>
      <c r="I83" s="170" t="s">
        <v>526</v>
      </c>
      <c r="J83" s="180">
        <f t="shared" si="11"/>
        <v>3900000</v>
      </c>
      <c r="K83" s="181">
        <f t="shared" si="12"/>
        <v>750000</v>
      </c>
      <c r="L83" s="152"/>
      <c r="M83" s="152"/>
      <c r="N83" s="183">
        <f t="shared" si="13"/>
        <v>4650000</v>
      </c>
      <c r="O83" s="177" t="s">
        <v>521</v>
      </c>
      <c r="P83" s="145"/>
      <c r="Q83" s="141"/>
      <c r="R83" s="190"/>
      <c r="S83" s="83"/>
      <c r="T83" s="87"/>
      <c r="U83" s="87"/>
      <c r="V83" s="87"/>
      <c r="W83" s="44"/>
      <c r="X83" s="88"/>
      <c r="Y83" s="79"/>
      <c r="Z83" s="79"/>
      <c r="AA83" s="79"/>
      <c r="AB83" s="79"/>
      <c r="AC83" s="86"/>
      <c r="AD83" s="82"/>
      <c r="AE83" s="79"/>
      <c r="AF83" s="88"/>
      <c r="AG83" s="80"/>
      <c r="AH83" s="79"/>
      <c r="AI83" s="79"/>
      <c r="AJ83" s="79"/>
      <c r="AK83" s="80"/>
      <c r="AL83" s="80"/>
      <c r="AM83" s="80"/>
      <c r="AN83" s="79"/>
      <c r="AO83" s="80"/>
      <c r="AP83" s="80"/>
      <c r="AQ83" s="80"/>
      <c r="AR83" s="85"/>
      <c r="AS83" s="85"/>
      <c r="AT83" s="85"/>
      <c r="AU83" s="85"/>
      <c r="AV83" s="85"/>
      <c r="AW83" s="82"/>
      <c r="AX83" s="79"/>
      <c r="AY83" s="82"/>
      <c r="AZ83" s="82"/>
      <c r="BA83" s="86"/>
      <c r="BB83" s="79"/>
      <c r="BC83" s="79"/>
      <c r="BD83" s="79"/>
      <c r="BE83" s="82"/>
      <c r="BF83" s="85"/>
      <c r="BG83" s="79"/>
      <c r="BH83" s="79"/>
      <c r="BI83" s="79"/>
      <c r="BJ83" s="88"/>
      <c r="BK83" s="88"/>
      <c r="BL83" s="79"/>
      <c r="BM83" s="187" t="s">
        <v>136</v>
      </c>
      <c r="BN83" s="90"/>
      <c r="BO83" s="80"/>
      <c r="BP83" s="80"/>
      <c r="BQ83" s="80"/>
      <c r="BR83" s="80"/>
      <c r="BS83" s="80"/>
      <c r="BT83" s="80"/>
      <c r="BU83" s="80"/>
      <c r="BV83" s="80"/>
      <c r="BW83" s="82"/>
      <c r="BX83" s="79"/>
      <c r="BY83" s="79"/>
      <c r="BZ83" s="79"/>
      <c r="CA83" s="79"/>
      <c r="CB83" s="79"/>
      <c r="CC83" s="82"/>
      <c r="CD83" s="82"/>
      <c r="CE83" s="82"/>
      <c r="CF83" s="82"/>
      <c r="CG83" s="82"/>
      <c r="CH83" s="82"/>
      <c r="CI83" s="82"/>
      <c r="CJ83" s="79"/>
      <c r="CK83" s="79"/>
      <c r="CL83" s="79"/>
      <c r="CM83" s="79"/>
      <c r="CN83" s="79"/>
      <c r="CO83" s="79"/>
      <c r="CP83" s="13" t="s">
        <v>206</v>
      </c>
    </row>
    <row r="84" spans="1:94">
      <c r="A84" s="98">
        <v>22</v>
      </c>
      <c r="B84" s="189" t="s">
        <v>507</v>
      </c>
      <c r="C84" s="188">
        <v>44998</v>
      </c>
      <c r="D84" s="47" t="s">
        <v>514</v>
      </c>
      <c r="E84" s="126"/>
      <c r="F84" s="154" t="s">
        <v>535</v>
      </c>
      <c r="G84" s="167">
        <v>1</v>
      </c>
      <c r="H84" s="167"/>
      <c r="I84" s="170" t="s">
        <v>527</v>
      </c>
      <c r="J84" s="180">
        <f t="shared" si="11"/>
        <v>1300000</v>
      </c>
      <c r="K84" s="181">
        <f t="shared" si="12"/>
        <v>250000</v>
      </c>
      <c r="L84" s="152"/>
      <c r="M84" s="152"/>
      <c r="N84" s="183">
        <f t="shared" si="13"/>
        <v>1550000</v>
      </c>
      <c r="O84" s="177" t="s">
        <v>522</v>
      </c>
      <c r="P84" s="145"/>
      <c r="Q84" s="141"/>
      <c r="R84" s="190"/>
      <c r="S84" s="83"/>
      <c r="T84" s="87"/>
      <c r="U84" s="87"/>
      <c r="V84" s="87"/>
      <c r="W84" s="44"/>
      <c r="X84" s="88"/>
      <c r="Y84" s="79"/>
      <c r="Z84" s="79"/>
      <c r="AA84" s="79"/>
      <c r="AB84" s="79"/>
      <c r="AC84" s="86"/>
      <c r="AD84" s="82"/>
      <c r="AE84" s="79"/>
      <c r="AF84" s="88"/>
      <c r="AG84" s="80"/>
      <c r="AH84" s="79"/>
      <c r="AI84" s="79"/>
      <c r="AJ84" s="79"/>
      <c r="AK84" s="80"/>
      <c r="AL84" s="80"/>
      <c r="AM84" s="80"/>
      <c r="AN84" s="79"/>
      <c r="AO84" s="80"/>
      <c r="AP84" s="80"/>
      <c r="AQ84" s="80"/>
      <c r="AR84" s="85"/>
      <c r="AS84" s="85"/>
      <c r="AT84" s="85"/>
      <c r="AU84" s="85"/>
      <c r="AV84" s="85"/>
      <c r="AW84" s="82"/>
      <c r="AX84" s="79"/>
      <c r="AY84" s="82"/>
      <c r="AZ84" s="82"/>
      <c r="BA84" s="86"/>
      <c r="BB84" s="79"/>
      <c r="BC84" s="79"/>
      <c r="BD84" s="79"/>
      <c r="BE84" s="82"/>
      <c r="BF84" s="85"/>
      <c r="BG84" s="79"/>
      <c r="BH84" s="79"/>
      <c r="BI84" s="79"/>
      <c r="BJ84" s="88"/>
      <c r="BK84" s="88"/>
      <c r="BL84" s="79"/>
      <c r="BM84" s="186" t="s">
        <v>123</v>
      </c>
      <c r="BN84" s="90"/>
      <c r="BO84" s="80"/>
      <c r="BP84" s="80"/>
      <c r="BQ84" s="80"/>
      <c r="BR84" s="80"/>
      <c r="BS84" s="80"/>
      <c r="BT84" s="80"/>
      <c r="BU84" s="80"/>
      <c r="BV84" s="80"/>
      <c r="BW84" s="82"/>
      <c r="BX84" s="79"/>
      <c r="BY84" s="79"/>
      <c r="BZ84" s="79"/>
      <c r="CA84" s="79"/>
      <c r="CB84" s="79"/>
      <c r="CC84" s="82"/>
      <c r="CD84" s="82"/>
      <c r="CE84" s="82"/>
      <c r="CF84" s="82"/>
      <c r="CG84" s="82"/>
      <c r="CH84" s="82"/>
      <c r="CI84" s="82"/>
      <c r="CJ84" s="79"/>
      <c r="CK84" s="79"/>
      <c r="CL84" s="79"/>
      <c r="CM84" s="79"/>
      <c r="CN84" s="79"/>
      <c r="CO84" s="79"/>
      <c r="CP84" s="13" t="s">
        <v>206</v>
      </c>
    </row>
    <row r="85" spans="1:94" ht="26.4">
      <c r="A85" s="98">
        <v>23</v>
      </c>
      <c r="B85" s="189" t="s">
        <v>508</v>
      </c>
      <c r="C85" s="188">
        <v>44999</v>
      </c>
      <c r="D85" s="47" t="s">
        <v>515</v>
      </c>
      <c r="E85" s="126"/>
      <c r="F85" s="154" t="s">
        <v>535</v>
      </c>
      <c r="G85" s="167">
        <v>2</v>
      </c>
      <c r="H85" s="167"/>
      <c r="I85" s="170" t="s">
        <v>528</v>
      </c>
      <c r="J85" s="180">
        <f t="shared" si="11"/>
        <v>2600000</v>
      </c>
      <c r="K85" s="181">
        <f t="shared" si="12"/>
        <v>500000</v>
      </c>
      <c r="L85" s="152"/>
      <c r="M85" s="152"/>
      <c r="N85" s="183">
        <f t="shared" si="13"/>
        <v>3100000</v>
      </c>
      <c r="O85" s="177" t="s">
        <v>523</v>
      </c>
      <c r="P85" s="145"/>
      <c r="Q85" s="141"/>
      <c r="R85" s="190"/>
      <c r="S85" s="83"/>
      <c r="T85" s="87"/>
      <c r="U85" s="87"/>
      <c r="V85" s="87"/>
      <c r="W85" s="44"/>
      <c r="X85" s="88"/>
      <c r="Y85" s="79"/>
      <c r="Z85" s="79"/>
      <c r="AA85" s="79"/>
      <c r="AB85" s="79"/>
      <c r="AC85" s="86"/>
      <c r="AD85" s="82"/>
      <c r="AE85" s="79"/>
      <c r="AF85" s="88"/>
      <c r="AG85" s="80"/>
      <c r="AH85" s="79"/>
      <c r="AI85" s="79"/>
      <c r="AJ85" s="79"/>
      <c r="AK85" s="80"/>
      <c r="AL85" s="80"/>
      <c r="AM85" s="80"/>
      <c r="AN85" s="79"/>
      <c r="AO85" s="80"/>
      <c r="AP85" s="80"/>
      <c r="AQ85" s="80"/>
      <c r="AR85" s="85"/>
      <c r="AS85" s="85"/>
      <c r="AT85" s="85"/>
      <c r="AU85" s="85"/>
      <c r="AV85" s="85"/>
      <c r="AW85" s="82"/>
      <c r="AX85" s="79"/>
      <c r="AY85" s="82"/>
      <c r="AZ85" s="82"/>
      <c r="BA85" s="86"/>
      <c r="BB85" s="79"/>
      <c r="BC85" s="79"/>
      <c r="BD85" s="79"/>
      <c r="BE85" s="82"/>
      <c r="BF85" s="85"/>
      <c r="BG85" s="79"/>
      <c r="BH85" s="79"/>
      <c r="BI85" s="79"/>
      <c r="BJ85" s="88"/>
      <c r="BK85" s="88"/>
      <c r="BL85" s="79"/>
      <c r="BM85" s="186" t="s">
        <v>123</v>
      </c>
      <c r="BN85" s="90"/>
      <c r="BO85" s="80"/>
      <c r="BP85" s="80"/>
      <c r="BQ85" s="80"/>
      <c r="BR85" s="80"/>
      <c r="BS85" s="80"/>
      <c r="BT85" s="80"/>
      <c r="BU85" s="80"/>
      <c r="BV85" s="80"/>
      <c r="BW85" s="82"/>
      <c r="BX85" s="79"/>
      <c r="BY85" s="79"/>
      <c r="BZ85" s="79"/>
      <c r="CA85" s="79"/>
      <c r="CB85" s="79"/>
      <c r="CC85" s="82"/>
      <c r="CD85" s="82"/>
      <c r="CE85" s="82"/>
      <c r="CF85" s="82"/>
      <c r="CG85" s="82"/>
      <c r="CH85" s="82"/>
      <c r="CI85" s="82"/>
      <c r="CJ85" s="79"/>
      <c r="CK85" s="79"/>
      <c r="CL85" s="79"/>
      <c r="CM85" s="79"/>
      <c r="CN85" s="79"/>
      <c r="CO85" s="79"/>
      <c r="CP85" s="13" t="s">
        <v>206</v>
      </c>
    </row>
    <row r="86" spans="1:94">
      <c r="A86" s="98">
        <v>24</v>
      </c>
      <c r="B86" s="189" t="s">
        <v>509</v>
      </c>
      <c r="C86" s="188">
        <v>44999</v>
      </c>
      <c r="D86" s="47" t="s">
        <v>516</v>
      </c>
      <c r="E86" s="126"/>
      <c r="F86" s="154" t="s">
        <v>535</v>
      </c>
      <c r="G86" s="167">
        <v>1</v>
      </c>
      <c r="H86" s="167"/>
      <c r="I86" s="170" t="s">
        <v>529</v>
      </c>
      <c r="J86" s="180">
        <f t="shared" si="11"/>
        <v>1300000</v>
      </c>
      <c r="K86" s="181">
        <f t="shared" si="12"/>
        <v>250000</v>
      </c>
      <c r="L86" s="152"/>
      <c r="M86" s="152"/>
      <c r="N86" s="183">
        <f t="shared" si="13"/>
        <v>1550000</v>
      </c>
      <c r="O86" s="177" t="s">
        <v>524</v>
      </c>
      <c r="P86" s="145"/>
      <c r="Q86" s="141"/>
      <c r="R86" s="190"/>
      <c r="S86" s="83"/>
      <c r="T86" s="87"/>
      <c r="U86" s="87"/>
      <c r="V86" s="87"/>
      <c r="W86" s="44"/>
      <c r="X86" s="88"/>
      <c r="Y86" s="79"/>
      <c r="Z86" s="79"/>
      <c r="AA86" s="79"/>
      <c r="AB86" s="79"/>
      <c r="AC86" s="86"/>
      <c r="AD86" s="82"/>
      <c r="AE86" s="79"/>
      <c r="AF86" s="88"/>
      <c r="AG86" s="80"/>
      <c r="AH86" s="79"/>
      <c r="AI86" s="79"/>
      <c r="AJ86" s="79"/>
      <c r="AK86" s="80"/>
      <c r="AL86" s="80"/>
      <c r="AM86" s="80"/>
      <c r="AN86" s="79"/>
      <c r="AO86" s="80"/>
      <c r="AP86" s="80"/>
      <c r="AQ86" s="80"/>
      <c r="AR86" s="85"/>
      <c r="AS86" s="85"/>
      <c r="AT86" s="85"/>
      <c r="AU86" s="85"/>
      <c r="AV86" s="85"/>
      <c r="AW86" s="82"/>
      <c r="AX86" s="79"/>
      <c r="AY86" s="82"/>
      <c r="AZ86" s="82"/>
      <c r="BA86" s="86"/>
      <c r="BB86" s="79"/>
      <c r="BC86" s="79"/>
      <c r="BD86" s="79"/>
      <c r="BE86" s="82"/>
      <c r="BF86" s="85"/>
      <c r="BG86" s="79"/>
      <c r="BH86" s="79"/>
      <c r="BI86" s="79"/>
      <c r="BJ86" s="88"/>
      <c r="BK86" s="88"/>
      <c r="BL86" s="79"/>
      <c r="BM86" s="186" t="s">
        <v>123</v>
      </c>
      <c r="BN86" s="90"/>
      <c r="BO86" s="80"/>
      <c r="BP86" s="80"/>
      <c r="BQ86" s="80"/>
      <c r="BR86" s="80"/>
      <c r="BS86" s="80"/>
      <c r="BT86" s="80"/>
      <c r="BU86" s="80"/>
      <c r="BV86" s="80"/>
      <c r="BW86" s="82"/>
      <c r="BX86" s="79"/>
      <c r="BY86" s="79"/>
      <c r="BZ86" s="79"/>
      <c r="CA86" s="79"/>
      <c r="CB86" s="79"/>
      <c r="CC86" s="82"/>
      <c r="CD86" s="82"/>
      <c r="CE86" s="82"/>
      <c r="CF86" s="82"/>
      <c r="CG86" s="82"/>
      <c r="CH86" s="82"/>
      <c r="CI86" s="82"/>
      <c r="CJ86" s="79"/>
      <c r="CK86" s="79"/>
      <c r="CL86" s="79"/>
      <c r="CM86" s="79"/>
      <c r="CN86" s="79"/>
      <c r="CO86" s="79"/>
      <c r="CP86" s="13" t="s">
        <v>206</v>
      </c>
    </row>
    <row r="87" spans="1:94">
      <c r="A87" s="98">
        <v>1</v>
      </c>
      <c r="B87" s="178" t="s">
        <v>583</v>
      </c>
      <c r="C87" s="361" t="s">
        <v>597</v>
      </c>
      <c r="D87" s="47" t="s">
        <v>598</v>
      </c>
      <c r="E87" s="126"/>
      <c r="F87" s="154" t="s">
        <v>645</v>
      </c>
      <c r="G87" s="167"/>
      <c r="H87" s="167">
        <v>1</v>
      </c>
      <c r="I87" s="170" t="s">
        <v>617</v>
      </c>
      <c r="J87" s="180"/>
      <c r="K87" s="181">
        <f>SUM(G87:I87)*500000</f>
        <v>500000</v>
      </c>
      <c r="L87" s="182">
        <v>300000</v>
      </c>
      <c r="M87" s="152"/>
      <c r="N87" s="183">
        <f t="shared" ref="N87:N98" si="14">+SUM(J87:M87)</f>
        <v>800000</v>
      </c>
      <c r="O87" s="177" t="s">
        <v>609</v>
      </c>
      <c r="P87" s="145"/>
      <c r="Q87" s="141"/>
      <c r="R87" s="190"/>
      <c r="S87" s="83"/>
      <c r="T87" s="87"/>
      <c r="U87" s="87"/>
      <c r="V87" s="87"/>
      <c r="W87" s="44"/>
      <c r="X87" s="88"/>
      <c r="Y87" s="79"/>
      <c r="Z87" s="79"/>
      <c r="AA87" s="79"/>
      <c r="AB87" s="79"/>
      <c r="AC87" s="86"/>
      <c r="AD87" s="82"/>
      <c r="AE87" s="79"/>
      <c r="AF87" s="88"/>
      <c r="AG87" s="80"/>
      <c r="AH87" s="79"/>
      <c r="AI87" s="79"/>
      <c r="AJ87" s="79"/>
      <c r="AK87" s="80"/>
      <c r="AL87" s="80"/>
      <c r="AM87" s="80"/>
      <c r="AN87" s="79"/>
      <c r="AO87" s="80"/>
      <c r="AP87" s="80"/>
      <c r="AQ87" s="80"/>
      <c r="AR87" s="85"/>
      <c r="AS87" s="85"/>
      <c r="AT87" s="85"/>
      <c r="AU87" s="85"/>
      <c r="AV87" s="85"/>
      <c r="AW87" s="82"/>
      <c r="AX87" s="79"/>
      <c r="AY87" s="82"/>
      <c r="AZ87" s="82"/>
      <c r="BA87" s="86"/>
      <c r="BB87" s="79"/>
      <c r="BC87" s="79"/>
      <c r="BD87" s="79"/>
      <c r="BE87" s="82"/>
      <c r="BF87" s="85"/>
      <c r="BG87" s="79"/>
      <c r="BH87" s="79"/>
      <c r="BI87" s="79"/>
      <c r="BJ87" s="88"/>
      <c r="BK87" s="88"/>
      <c r="BL87" s="79"/>
      <c r="BM87" s="185"/>
      <c r="BN87" s="90"/>
      <c r="BO87" s="80"/>
      <c r="BP87" s="80"/>
      <c r="BQ87" s="80"/>
      <c r="BR87" s="80"/>
      <c r="BS87" s="80"/>
      <c r="BT87" s="80"/>
      <c r="BU87" s="80"/>
      <c r="BV87" s="80"/>
      <c r="BW87" s="82"/>
      <c r="BX87" s="79"/>
      <c r="BY87" s="79"/>
      <c r="BZ87" s="79"/>
      <c r="CA87" s="79"/>
      <c r="CB87" s="79"/>
      <c r="CC87" s="82"/>
      <c r="CD87" s="82"/>
      <c r="CE87" s="82"/>
      <c r="CF87" s="82"/>
      <c r="CG87" s="82"/>
      <c r="CH87" s="82"/>
      <c r="CI87" s="82"/>
      <c r="CJ87" s="79"/>
      <c r="CK87" s="79"/>
      <c r="CL87" s="79"/>
      <c r="CM87" s="79"/>
      <c r="CN87" s="79"/>
      <c r="CO87" s="79"/>
    </row>
    <row r="88" spans="1:94">
      <c r="A88" s="98">
        <v>2</v>
      </c>
      <c r="B88" s="178" t="s">
        <v>584</v>
      </c>
      <c r="C88" s="361" t="s">
        <v>597</v>
      </c>
      <c r="D88" s="47" t="s">
        <v>599</v>
      </c>
      <c r="E88" s="126"/>
      <c r="F88" s="154" t="s">
        <v>645</v>
      </c>
      <c r="G88" s="167"/>
      <c r="H88" s="167">
        <v>1</v>
      </c>
      <c r="I88" s="170" t="s">
        <v>618</v>
      </c>
      <c r="J88" s="180"/>
      <c r="K88" s="181">
        <f t="shared" ref="K88:K103" si="15">SUM(G88:I88)*500000</f>
        <v>500000</v>
      </c>
      <c r="L88" s="182">
        <v>300000</v>
      </c>
      <c r="M88" s="152"/>
      <c r="N88" s="183">
        <f t="shared" si="14"/>
        <v>800000</v>
      </c>
      <c r="O88" s="177" t="s">
        <v>609</v>
      </c>
      <c r="P88" s="145"/>
      <c r="Q88" s="141"/>
      <c r="R88" s="190"/>
      <c r="S88" s="83"/>
      <c r="T88" s="87"/>
      <c r="U88" s="87"/>
      <c r="V88" s="87"/>
      <c r="W88" s="44"/>
      <c r="X88" s="88"/>
      <c r="Y88" s="79"/>
      <c r="Z88" s="79"/>
      <c r="AA88" s="79"/>
      <c r="AB88" s="79"/>
      <c r="AC88" s="86"/>
      <c r="AD88" s="82"/>
      <c r="AE88" s="79"/>
      <c r="AF88" s="88"/>
      <c r="AG88" s="80"/>
      <c r="AH88" s="79"/>
      <c r="AI88" s="79"/>
      <c r="AJ88" s="79"/>
      <c r="AK88" s="80"/>
      <c r="AL88" s="80"/>
      <c r="AM88" s="80"/>
      <c r="AN88" s="79"/>
      <c r="AO88" s="80"/>
      <c r="AP88" s="80"/>
      <c r="AQ88" s="80"/>
      <c r="AR88" s="85"/>
      <c r="AS88" s="85"/>
      <c r="AT88" s="85"/>
      <c r="AU88" s="85"/>
      <c r="AV88" s="85"/>
      <c r="AW88" s="82"/>
      <c r="AX88" s="79"/>
      <c r="AY88" s="82"/>
      <c r="AZ88" s="82"/>
      <c r="BA88" s="86"/>
      <c r="BB88" s="79"/>
      <c r="BC88" s="79"/>
      <c r="BD88" s="79"/>
      <c r="BE88" s="82"/>
      <c r="BF88" s="85"/>
      <c r="BG88" s="79"/>
      <c r="BH88" s="79"/>
      <c r="BI88" s="79"/>
      <c r="BJ88" s="88"/>
      <c r="BK88" s="88"/>
      <c r="BL88" s="79"/>
      <c r="BM88" s="185"/>
      <c r="BN88" s="90"/>
      <c r="BO88" s="80"/>
      <c r="BP88" s="80"/>
      <c r="BQ88" s="80"/>
      <c r="BR88" s="80"/>
      <c r="BS88" s="80"/>
      <c r="BT88" s="80"/>
      <c r="BU88" s="80"/>
      <c r="BV88" s="80"/>
      <c r="BW88" s="82"/>
      <c r="BX88" s="79"/>
      <c r="BY88" s="79"/>
      <c r="BZ88" s="79"/>
      <c r="CA88" s="79"/>
      <c r="CB88" s="79"/>
      <c r="CC88" s="82"/>
      <c r="CD88" s="82"/>
      <c r="CE88" s="82"/>
      <c r="CF88" s="82"/>
      <c r="CG88" s="82"/>
      <c r="CH88" s="82"/>
      <c r="CI88" s="82"/>
      <c r="CJ88" s="79"/>
      <c r="CK88" s="79"/>
      <c r="CL88" s="79"/>
      <c r="CM88" s="79"/>
      <c r="CN88" s="79"/>
      <c r="CO88" s="79"/>
    </row>
    <row r="89" spans="1:94">
      <c r="A89" s="98">
        <v>3</v>
      </c>
      <c r="B89" s="178" t="s">
        <v>585</v>
      </c>
      <c r="C89" s="361" t="s">
        <v>597</v>
      </c>
      <c r="D89" s="47" t="s">
        <v>600</v>
      </c>
      <c r="E89" s="126"/>
      <c r="F89" s="154" t="s">
        <v>645</v>
      </c>
      <c r="G89" s="167">
        <v>1</v>
      </c>
      <c r="H89" s="167"/>
      <c r="I89" s="170" t="s">
        <v>619</v>
      </c>
      <c r="J89" s="180"/>
      <c r="K89" s="181">
        <f t="shared" si="15"/>
        <v>500000</v>
      </c>
      <c r="L89" s="182">
        <v>300000</v>
      </c>
      <c r="M89" s="152"/>
      <c r="N89" s="183">
        <f t="shared" si="14"/>
        <v>800000</v>
      </c>
      <c r="O89" s="177" t="s">
        <v>610</v>
      </c>
      <c r="P89" s="145"/>
      <c r="Q89" s="141"/>
      <c r="R89" s="190"/>
      <c r="S89" s="83"/>
      <c r="T89" s="87"/>
      <c r="U89" s="87"/>
      <c r="V89" s="87"/>
      <c r="W89" s="44"/>
      <c r="X89" s="88"/>
      <c r="Y89" s="79"/>
      <c r="Z89" s="79"/>
      <c r="AA89" s="79"/>
      <c r="AB89" s="79"/>
      <c r="AC89" s="86"/>
      <c r="AD89" s="82"/>
      <c r="AE89" s="79"/>
      <c r="AF89" s="88"/>
      <c r="AG89" s="80"/>
      <c r="AH89" s="79"/>
      <c r="AI89" s="79"/>
      <c r="AJ89" s="79"/>
      <c r="AK89" s="80"/>
      <c r="AL89" s="80"/>
      <c r="AM89" s="80"/>
      <c r="AN89" s="79"/>
      <c r="AO89" s="80"/>
      <c r="AP89" s="80"/>
      <c r="AQ89" s="80"/>
      <c r="AR89" s="85"/>
      <c r="AS89" s="85"/>
      <c r="AT89" s="85"/>
      <c r="AU89" s="85"/>
      <c r="AV89" s="85"/>
      <c r="AW89" s="82"/>
      <c r="AX89" s="79"/>
      <c r="AY89" s="82"/>
      <c r="AZ89" s="82"/>
      <c r="BA89" s="86"/>
      <c r="BB89" s="79"/>
      <c r="BC89" s="79"/>
      <c r="BD89" s="79"/>
      <c r="BE89" s="82"/>
      <c r="BF89" s="85"/>
      <c r="BG89" s="79"/>
      <c r="BH89" s="79"/>
      <c r="BI89" s="79"/>
      <c r="BJ89" s="88"/>
      <c r="BK89" s="88"/>
      <c r="BL89" s="79"/>
      <c r="BM89" s="185"/>
      <c r="BN89" s="90"/>
      <c r="BO89" s="80"/>
      <c r="BP89" s="80"/>
      <c r="BQ89" s="80"/>
      <c r="BR89" s="80"/>
      <c r="BS89" s="80"/>
      <c r="BT89" s="80"/>
      <c r="BU89" s="80"/>
      <c r="BV89" s="80"/>
      <c r="BW89" s="82"/>
      <c r="BX89" s="79"/>
      <c r="BY89" s="79"/>
      <c r="BZ89" s="79"/>
      <c r="CA89" s="79"/>
      <c r="CB89" s="79"/>
      <c r="CC89" s="82"/>
      <c r="CD89" s="82"/>
      <c r="CE89" s="82"/>
      <c r="CF89" s="82"/>
      <c r="CG89" s="82"/>
      <c r="CH89" s="82"/>
      <c r="CI89" s="82"/>
      <c r="CJ89" s="79"/>
      <c r="CK89" s="79"/>
      <c r="CL89" s="79"/>
      <c r="CM89" s="79"/>
      <c r="CN89" s="79"/>
      <c r="CO89" s="79"/>
    </row>
    <row r="90" spans="1:94">
      <c r="A90" s="98">
        <v>4</v>
      </c>
      <c r="B90" s="178" t="s">
        <v>586</v>
      </c>
      <c r="C90" s="361" t="s">
        <v>597</v>
      </c>
      <c r="D90" s="47" t="s">
        <v>601</v>
      </c>
      <c r="E90" s="126"/>
      <c r="F90" s="154" t="s">
        <v>645</v>
      </c>
      <c r="G90" s="167"/>
      <c r="H90" s="167">
        <v>1</v>
      </c>
      <c r="I90" s="170" t="s">
        <v>620</v>
      </c>
      <c r="J90" s="180"/>
      <c r="K90" s="181">
        <f t="shared" si="15"/>
        <v>500000</v>
      </c>
      <c r="L90" s="182">
        <v>300000</v>
      </c>
      <c r="M90" s="152"/>
      <c r="N90" s="183">
        <f t="shared" si="14"/>
        <v>800000</v>
      </c>
      <c r="O90" s="177">
        <v>2716120860</v>
      </c>
      <c r="P90" s="145"/>
      <c r="Q90" s="141"/>
      <c r="R90" s="190"/>
      <c r="S90" s="83"/>
      <c r="T90" s="87"/>
      <c r="U90" s="87"/>
      <c r="V90" s="87"/>
      <c r="W90" s="44"/>
      <c r="X90" s="88"/>
      <c r="Y90" s="79"/>
      <c r="Z90" s="79"/>
      <c r="AA90" s="79"/>
      <c r="AB90" s="79"/>
      <c r="AC90" s="86"/>
      <c r="AD90" s="82"/>
      <c r="AE90" s="79"/>
      <c r="AF90" s="88"/>
      <c r="AG90" s="80"/>
      <c r="AH90" s="79"/>
      <c r="AI90" s="79"/>
      <c r="AJ90" s="79"/>
      <c r="AK90" s="80"/>
      <c r="AL90" s="80"/>
      <c r="AM90" s="80"/>
      <c r="AN90" s="79"/>
      <c r="AO90" s="80"/>
      <c r="AP90" s="80"/>
      <c r="AQ90" s="80"/>
      <c r="AR90" s="85"/>
      <c r="AS90" s="85"/>
      <c r="AT90" s="85"/>
      <c r="AU90" s="85"/>
      <c r="AV90" s="85"/>
      <c r="AW90" s="82"/>
      <c r="AX90" s="79"/>
      <c r="AY90" s="82"/>
      <c r="AZ90" s="82"/>
      <c r="BA90" s="86"/>
      <c r="BB90" s="79"/>
      <c r="BC90" s="79"/>
      <c r="BD90" s="79"/>
      <c r="BE90" s="82"/>
      <c r="BF90" s="85"/>
      <c r="BG90" s="79"/>
      <c r="BH90" s="79"/>
      <c r="BI90" s="79"/>
      <c r="BJ90" s="88"/>
      <c r="BK90" s="88"/>
      <c r="BL90" s="79"/>
      <c r="BM90" s="185"/>
      <c r="BN90" s="90"/>
      <c r="BO90" s="80"/>
      <c r="BP90" s="80"/>
      <c r="BQ90" s="80"/>
      <c r="BR90" s="80"/>
      <c r="BS90" s="80"/>
      <c r="BT90" s="80"/>
      <c r="BU90" s="80"/>
      <c r="BV90" s="80"/>
      <c r="BW90" s="82"/>
      <c r="BX90" s="79"/>
      <c r="BY90" s="79"/>
      <c r="BZ90" s="79"/>
      <c r="CA90" s="79"/>
      <c r="CB90" s="79"/>
      <c r="CC90" s="82"/>
      <c r="CD90" s="82"/>
      <c r="CE90" s="82"/>
      <c r="CF90" s="82"/>
      <c r="CG90" s="82"/>
      <c r="CH90" s="82"/>
      <c r="CI90" s="82"/>
      <c r="CJ90" s="79"/>
      <c r="CK90" s="79"/>
      <c r="CL90" s="79"/>
      <c r="CM90" s="79"/>
      <c r="CN90" s="79"/>
      <c r="CO90" s="79"/>
    </row>
    <row r="91" spans="1:94">
      <c r="A91" s="98">
        <v>5</v>
      </c>
      <c r="B91" s="178" t="s">
        <v>587</v>
      </c>
      <c r="C91" s="361" t="s">
        <v>597</v>
      </c>
      <c r="D91" s="47" t="s">
        <v>602</v>
      </c>
      <c r="E91" s="126"/>
      <c r="F91" s="154" t="s">
        <v>645</v>
      </c>
      <c r="G91" s="167"/>
      <c r="H91" s="167">
        <v>1</v>
      </c>
      <c r="I91" s="170" t="s">
        <v>621</v>
      </c>
      <c r="J91" s="180"/>
      <c r="K91" s="181">
        <f t="shared" si="15"/>
        <v>500000</v>
      </c>
      <c r="L91" s="182">
        <v>300000</v>
      </c>
      <c r="M91" s="152"/>
      <c r="N91" s="183">
        <f t="shared" si="14"/>
        <v>800000</v>
      </c>
      <c r="O91" s="177">
        <v>2716117760</v>
      </c>
      <c r="P91" s="145"/>
      <c r="Q91" s="141"/>
      <c r="R91" s="190"/>
      <c r="S91" s="83"/>
      <c r="T91" s="87"/>
      <c r="U91" s="87"/>
      <c r="V91" s="87"/>
      <c r="W91" s="44"/>
      <c r="X91" s="88"/>
      <c r="Y91" s="79"/>
      <c r="Z91" s="79"/>
      <c r="AA91" s="79"/>
      <c r="AB91" s="79"/>
      <c r="AC91" s="86"/>
      <c r="AD91" s="82"/>
      <c r="AE91" s="79"/>
      <c r="AF91" s="88"/>
      <c r="AG91" s="80"/>
      <c r="AH91" s="79"/>
      <c r="AI91" s="79"/>
      <c r="AJ91" s="79"/>
      <c r="AK91" s="80"/>
      <c r="AL91" s="80"/>
      <c r="AM91" s="80"/>
      <c r="AN91" s="79"/>
      <c r="AO91" s="80"/>
      <c r="AP91" s="80"/>
      <c r="AQ91" s="80"/>
      <c r="AR91" s="85"/>
      <c r="AS91" s="85"/>
      <c r="AT91" s="85"/>
      <c r="AU91" s="85"/>
      <c r="AV91" s="85"/>
      <c r="AW91" s="82"/>
      <c r="AX91" s="79"/>
      <c r="AY91" s="82"/>
      <c r="AZ91" s="82"/>
      <c r="BA91" s="86"/>
      <c r="BB91" s="79"/>
      <c r="BC91" s="79"/>
      <c r="BD91" s="79"/>
      <c r="BE91" s="82"/>
      <c r="BF91" s="85"/>
      <c r="BG91" s="79"/>
      <c r="BH91" s="79"/>
      <c r="BI91" s="79"/>
      <c r="BJ91" s="88"/>
      <c r="BK91" s="88"/>
      <c r="BL91" s="79"/>
      <c r="BM91" s="185"/>
      <c r="BN91" s="90"/>
      <c r="BO91" s="80"/>
      <c r="BP91" s="80"/>
      <c r="BQ91" s="80"/>
      <c r="BR91" s="80"/>
      <c r="BS91" s="80"/>
      <c r="BT91" s="80"/>
      <c r="BU91" s="80"/>
      <c r="BV91" s="80"/>
      <c r="BW91" s="82"/>
      <c r="BX91" s="79"/>
      <c r="BY91" s="79"/>
      <c r="BZ91" s="79"/>
      <c r="CA91" s="79"/>
      <c r="CB91" s="79"/>
      <c r="CC91" s="82"/>
      <c r="CD91" s="82"/>
      <c r="CE91" s="82"/>
      <c r="CF91" s="82"/>
      <c r="CG91" s="82"/>
      <c r="CH91" s="82"/>
      <c r="CI91" s="82"/>
      <c r="CJ91" s="79"/>
      <c r="CK91" s="79"/>
      <c r="CL91" s="79"/>
      <c r="CM91" s="79"/>
      <c r="CN91" s="79"/>
      <c r="CO91" s="79"/>
    </row>
    <row r="92" spans="1:94">
      <c r="A92" s="98">
        <v>6</v>
      </c>
      <c r="B92" s="178" t="s">
        <v>589</v>
      </c>
      <c r="C92" s="361" t="s">
        <v>546</v>
      </c>
      <c r="D92" s="47" t="s">
        <v>603</v>
      </c>
      <c r="E92" s="126"/>
      <c r="F92" s="154" t="s">
        <v>645</v>
      </c>
      <c r="G92" s="167"/>
      <c r="H92" s="167">
        <v>1</v>
      </c>
      <c r="I92" s="170" t="s">
        <v>622</v>
      </c>
      <c r="J92" s="180"/>
      <c r="K92" s="181">
        <f t="shared" si="15"/>
        <v>500000</v>
      </c>
      <c r="L92" s="182">
        <v>300000</v>
      </c>
      <c r="M92" s="152"/>
      <c r="N92" s="183">
        <f t="shared" si="14"/>
        <v>800000</v>
      </c>
      <c r="O92" s="177" t="s">
        <v>611</v>
      </c>
      <c r="P92" s="145"/>
      <c r="Q92" s="141"/>
      <c r="R92" s="190"/>
      <c r="S92" s="83"/>
      <c r="T92" s="87"/>
      <c r="U92" s="87"/>
      <c r="V92" s="87"/>
      <c r="W92" s="44"/>
      <c r="X92" s="88"/>
      <c r="Y92" s="79"/>
      <c r="Z92" s="79"/>
      <c r="AA92" s="79"/>
      <c r="AB92" s="79"/>
      <c r="AC92" s="86"/>
      <c r="AD92" s="82"/>
      <c r="AE92" s="79"/>
      <c r="AF92" s="88"/>
      <c r="AG92" s="80"/>
      <c r="AH92" s="79"/>
      <c r="AI92" s="79"/>
      <c r="AJ92" s="79"/>
      <c r="AK92" s="80"/>
      <c r="AL92" s="80"/>
      <c r="AM92" s="80"/>
      <c r="AN92" s="79"/>
      <c r="AO92" s="80"/>
      <c r="AP92" s="80"/>
      <c r="AQ92" s="80"/>
      <c r="AR92" s="85"/>
      <c r="AS92" s="85"/>
      <c r="AT92" s="85"/>
      <c r="AU92" s="85"/>
      <c r="AV92" s="85"/>
      <c r="AW92" s="82"/>
      <c r="AX92" s="79"/>
      <c r="AY92" s="82"/>
      <c r="AZ92" s="82"/>
      <c r="BA92" s="86"/>
      <c r="BB92" s="79"/>
      <c r="BC92" s="79"/>
      <c r="BD92" s="79"/>
      <c r="BE92" s="82"/>
      <c r="BF92" s="85"/>
      <c r="BG92" s="79"/>
      <c r="BH92" s="79"/>
      <c r="BI92" s="79"/>
      <c r="BJ92" s="88"/>
      <c r="BK92" s="88"/>
      <c r="BL92" s="79"/>
      <c r="BM92" s="185"/>
      <c r="BN92" s="90"/>
      <c r="BO92" s="80"/>
      <c r="BP92" s="80"/>
      <c r="BQ92" s="80"/>
      <c r="BR92" s="80"/>
      <c r="BS92" s="80"/>
      <c r="BT92" s="80"/>
      <c r="BU92" s="80"/>
      <c r="BV92" s="80"/>
      <c r="BW92" s="82"/>
      <c r="BX92" s="79"/>
      <c r="BY92" s="79"/>
      <c r="BZ92" s="79"/>
      <c r="CA92" s="79"/>
      <c r="CB92" s="79"/>
      <c r="CC92" s="82"/>
      <c r="CD92" s="82"/>
      <c r="CE92" s="82"/>
      <c r="CF92" s="82"/>
      <c r="CG92" s="82"/>
      <c r="CH92" s="82"/>
      <c r="CI92" s="82"/>
      <c r="CJ92" s="79"/>
      <c r="CK92" s="79"/>
      <c r="CL92" s="79"/>
      <c r="CM92" s="79"/>
      <c r="CN92" s="79"/>
      <c r="CO92" s="79"/>
    </row>
    <row r="93" spans="1:94" ht="26.4">
      <c r="A93" s="98">
        <v>7</v>
      </c>
      <c r="B93" s="319" t="s">
        <v>590</v>
      </c>
      <c r="C93" s="361" t="s">
        <v>546</v>
      </c>
      <c r="D93" s="47" t="s">
        <v>604</v>
      </c>
      <c r="E93" s="126"/>
      <c r="F93" s="154" t="s">
        <v>645</v>
      </c>
      <c r="G93" s="167"/>
      <c r="H93" s="167">
        <v>1</v>
      </c>
      <c r="I93" s="170" t="s">
        <v>623</v>
      </c>
      <c r="J93" s="180"/>
      <c r="K93" s="181">
        <f t="shared" si="15"/>
        <v>500000</v>
      </c>
      <c r="L93" s="182">
        <v>300000</v>
      </c>
      <c r="M93" s="152"/>
      <c r="N93" s="183">
        <f t="shared" si="14"/>
        <v>800000</v>
      </c>
      <c r="O93" s="177" t="s">
        <v>612</v>
      </c>
      <c r="P93" s="145"/>
      <c r="Q93" s="141"/>
      <c r="R93" s="190"/>
      <c r="S93" s="83"/>
      <c r="T93" s="87"/>
      <c r="U93" s="87"/>
      <c r="V93" s="87"/>
      <c r="W93" s="44"/>
      <c r="X93" s="88"/>
      <c r="Y93" s="79"/>
      <c r="Z93" s="79"/>
      <c r="AA93" s="79"/>
      <c r="AB93" s="79"/>
      <c r="AC93" s="86"/>
      <c r="AD93" s="82"/>
      <c r="AE93" s="79"/>
      <c r="AF93" s="88"/>
      <c r="AG93" s="80"/>
      <c r="AH93" s="79"/>
      <c r="AI93" s="79"/>
      <c r="AJ93" s="79"/>
      <c r="AK93" s="80"/>
      <c r="AL93" s="80"/>
      <c r="AM93" s="80"/>
      <c r="AN93" s="79"/>
      <c r="AO93" s="80"/>
      <c r="AP93" s="80"/>
      <c r="AQ93" s="80"/>
      <c r="AR93" s="85"/>
      <c r="AS93" s="85"/>
      <c r="AT93" s="85"/>
      <c r="AU93" s="85"/>
      <c r="AV93" s="85"/>
      <c r="AW93" s="82"/>
      <c r="AX93" s="79"/>
      <c r="AY93" s="82"/>
      <c r="AZ93" s="82"/>
      <c r="BA93" s="86"/>
      <c r="BB93" s="79"/>
      <c r="BC93" s="79"/>
      <c r="BD93" s="79"/>
      <c r="BE93" s="82"/>
      <c r="BF93" s="85"/>
      <c r="BG93" s="79"/>
      <c r="BH93" s="79"/>
      <c r="BI93" s="79"/>
      <c r="BJ93" s="88"/>
      <c r="BK93" s="88"/>
      <c r="BL93" s="79"/>
      <c r="BM93" s="185"/>
      <c r="BN93" s="90"/>
      <c r="BO93" s="80"/>
      <c r="BP93" s="80"/>
      <c r="BQ93" s="80"/>
      <c r="BR93" s="80"/>
      <c r="BS93" s="80"/>
      <c r="BT93" s="80"/>
      <c r="BU93" s="80"/>
      <c r="BV93" s="80"/>
      <c r="BW93" s="82"/>
      <c r="BX93" s="79"/>
      <c r="BY93" s="79"/>
      <c r="BZ93" s="79"/>
      <c r="CA93" s="79"/>
      <c r="CB93" s="79"/>
      <c r="CC93" s="82"/>
      <c r="CD93" s="82"/>
      <c r="CE93" s="82"/>
      <c r="CF93" s="82"/>
      <c r="CG93" s="82"/>
      <c r="CH93" s="82"/>
      <c r="CI93" s="82"/>
      <c r="CJ93" s="79"/>
      <c r="CK93" s="79"/>
      <c r="CL93" s="79"/>
      <c r="CM93" s="79"/>
      <c r="CN93" s="79"/>
      <c r="CO93" s="79"/>
    </row>
    <row r="94" spans="1:94">
      <c r="A94" s="98">
        <v>8</v>
      </c>
      <c r="B94" s="178" t="s">
        <v>592</v>
      </c>
      <c r="C94" s="361" t="s">
        <v>547</v>
      </c>
      <c r="D94" s="47" t="s">
        <v>605</v>
      </c>
      <c r="E94" s="126"/>
      <c r="F94" s="154" t="s">
        <v>645</v>
      </c>
      <c r="G94" s="167"/>
      <c r="H94" s="167">
        <v>1</v>
      </c>
      <c r="I94" s="170" t="s">
        <v>624</v>
      </c>
      <c r="J94" s="180"/>
      <c r="K94" s="181">
        <f t="shared" si="15"/>
        <v>500000</v>
      </c>
      <c r="L94" s="182">
        <v>300000</v>
      </c>
      <c r="M94" s="152"/>
      <c r="N94" s="183">
        <f t="shared" si="14"/>
        <v>800000</v>
      </c>
      <c r="O94" s="177" t="s">
        <v>613</v>
      </c>
      <c r="P94" s="145"/>
      <c r="Q94" s="141"/>
      <c r="R94" s="190"/>
      <c r="S94" s="83"/>
      <c r="T94" s="87"/>
      <c r="U94" s="87"/>
      <c r="V94" s="87"/>
      <c r="W94" s="44"/>
      <c r="X94" s="88"/>
      <c r="Y94" s="79"/>
      <c r="Z94" s="79"/>
      <c r="AA94" s="79"/>
      <c r="AB94" s="79"/>
      <c r="AC94" s="86"/>
      <c r="AD94" s="82"/>
      <c r="AE94" s="79"/>
      <c r="AF94" s="88"/>
      <c r="AG94" s="80"/>
      <c r="AH94" s="79"/>
      <c r="AI94" s="79"/>
      <c r="AJ94" s="79"/>
      <c r="AK94" s="80"/>
      <c r="AL94" s="80"/>
      <c r="AM94" s="80"/>
      <c r="AN94" s="79"/>
      <c r="AO94" s="80"/>
      <c r="AP94" s="80"/>
      <c r="AQ94" s="80"/>
      <c r="AR94" s="85"/>
      <c r="AS94" s="85"/>
      <c r="AT94" s="85"/>
      <c r="AU94" s="85"/>
      <c r="AV94" s="85"/>
      <c r="AW94" s="82"/>
      <c r="AX94" s="79"/>
      <c r="AY94" s="82"/>
      <c r="AZ94" s="82"/>
      <c r="BA94" s="86"/>
      <c r="BB94" s="79"/>
      <c r="BC94" s="79"/>
      <c r="BD94" s="79"/>
      <c r="BE94" s="82"/>
      <c r="BF94" s="85"/>
      <c r="BG94" s="79"/>
      <c r="BH94" s="79"/>
      <c r="BI94" s="79"/>
      <c r="BJ94" s="88"/>
      <c r="BK94" s="88"/>
      <c r="BL94" s="79"/>
      <c r="BM94" s="185"/>
      <c r="BN94" s="90"/>
      <c r="BO94" s="80"/>
      <c r="BP94" s="80"/>
      <c r="BQ94" s="80"/>
      <c r="BR94" s="80"/>
      <c r="BS94" s="80"/>
      <c r="BT94" s="80"/>
      <c r="BU94" s="80"/>
      <c r="BV94" s="80"/>
      <c r="BW94" s="82"/>
      <c r="BX94" s="79"/>
      <c r="BY94" s="79"/>
      <c r="BZ94" s="79"/>
      <c r="CA94" s="79"/>
      <c r="CB94" s="79"/>
      <c r="CC94" s="82"/>
      <c r="CD94" s="82"/>
      <c r="CE94" s="82"/>
      <c r="CF94" s="82"/>
      <c r="CG94" s="82"/>
      <c r="CH94" s="82"/>
      <c r="CI94" s="82"/>
      <c r="CJ94" s="79"/>
      <c r="CK94" s="79"/>
      <c r="CL94" s="79"/>
      <c r="CM94" s="79"/>
      <c r="CN94" s="79"/>
      <c r="CO94" s="79"/>
    </row>
    <row r="95" spans="1:94">
      <c r="A95" s="98">
        <v>9</v>
      </c>
      <c r="B95" s="178" t="s">
        <v>593</v>
      </c>
      <c r="C95" s="361" t="s">
        <v>553</v>
      </c>
      <c r="D95" s="47" t="s">
        <v>606</v>
      </c>
      <c r="E95" s="126"/>
      <c r="F95" s="154" t="s">
        <v>645</v>
      </c>
      <c r="G95" s="167"/>
      <c r="H95" s="167">
        <v>1</v>
      </c>
      <c r="I95" s="170" t="s">
        <v>625</v>
      </c>
      <c r="J95" s="180"/>
      <c r="K95" s="181">
        <f t="shared" si="15"/>
        <v>500000</v>
      </c>
      <c r="L95" s="182">
        <v>300000</v>
      </c>
      <c r="M95" s="152"/>
      <c r="N95" s="183">
        <f t="shared" si="14"/>
        <v>800000</v>
      </c>
      <c r="O95" s="177" t="s">
        <v>614</v>
      </c>
      <c r="P95" s="145"/>
      <c r="Q95" s="141"/>
      <c r="R95" s="190"/>
      <c r="S95" s="83"/>
      <c r="T95" s="87"/>
      <c r="U95" s="87"/>
      <c r="V95" s="87"/>
      <c r="W95" s="44"/>
      <c r="X95" s="88"/>
      <c r="Y95" s="79"/>
      <c r="Z95" s="79"/>
      <c r="AA95" s="79"/>
      <c r="AB95" s="79"/>
      <c r="AC95" s="86"/>
      <c r="AD95" s="82"/>
      <c r="AE95" s="79"/>
      <c r="AF95" s="88"/>
      <c r="AG95" s="80"/>
      <c r="AH95" s="79"/>
      <c r="AI95" s="79"/>
      <c r="AJ95" s="79"/>
      <c r="AK95" s="80"/>
      <c r="AL95" s="80"/>
      <c r="AM95" s="80"/>
      <c r="AN95" s="79"/>
      <c r="AO95" s="80"/>
      <c r="AP95" s="80"/>
      <c r="AQ95" s="80"/>
      <c r="AR95" s="85"/>
      <c r="AS95" s="85"/>
      <c r="AT95" s="85"/>
      <c r="AU95" s="85"/>
      <c r="AV95" s="85"/>
      <c r="AW95" s="82"/>
      <c r="AX95" s="79"/>
      <c r="AY95" s="82"/>
      <c r="AZ95" s="82"/>
      <c r="BA95" s="86"/>
      <c r="BB95" s="79"/>
      <c r="BC95" s="79"/>
      <c r="BD95" s="79"/>
      <c r="BE95" s="82"/>
      <c r="BF95" s="85"/>
      <c r="BG95" s="79"/>
      <c r="BH95" s="79"/>
      <c r="BI95" s="79"/>
      <c r="BJ95" s="88"/>
      <c r="BK95" s="88"/>
      <c r="BL95" s="79"/>
      <c r="BM95" s="185"/>
      <c r="BN95" s="90"/>
      <c r="BO95" s="80"/>
      <c r="BP95" s="80"/>
      <c r="BQ95" s="80"/>
      <c r="BR95" s="80"/>
      <c r="BS95" s="80"/>
      <c r="BT95" s="80"/>
      <c r="BU95" s="80"/>
      <c r="BV95" s="80"/>
      <c r="BW95" s="82"/>
      <c r="BX95" s="79"/>
      <c r="BY95" s="79"/>
      <c r="BZ95" s="79"/>
      <c r="CA95" s="79"/>
      <c r="CB95" s="79"/>
      <c r="CC95" s="82"/>
      <c r="CD95" s="82"/>
      <c r="CE95" s="82"/>
      <c r="CF95" s="82"/>
      <c r="CG95" s="82"/>
      <c r="CH95" s="82"/>
      <c r="CI95" s="82"/>
      <c r="CJ95" s="79"/>
      <c r="CK95" s="79"/>
      <c r="CL95" s="79"/>
      <c r="CM95" s="79"/>
      <c r="CN95" s="79"/>
      <c r="CO95" s="79"/>
    </row>
    <row r="96" spans="1:94">
      <c r="A96" s="98">
        <v>10</v>
      </c>
      <c r="B96" s="178" t="s">
        <v>594</v>
      </c>
      <c r="C96" s="361" t="s">
        <v>553</v>
      </c>
      <c r="D96" s="47" t="s">
        <v>607</v>
      </c>
      <c r="E96" s="126"/>
      <c r="F96" s="154" t="s">
        <v>645</v>
      </c>
      <c r="G96" s="167">
        <v>1</v>
      </c>
      <c r="H96" s="167"/>
      <c r="I96" s="170" t="s">
        <v>626</v>
      </c>
      <c r="J96" s="180"/>
      <c r="K96" s="181">
        <f t="shared" si="15"/>
        <v>500000</v>
      </c>
      <c r="L96" s="182">
        <v>300000</v>
      </c>
      <c r="M96" s="152"/>
      <c r="N96" s="183">
        <f t="shared" si="14"/>
        <v>800000</v>
      </c>
      <c r="O96" s="177" t="s">
        <v>615</v>
      </c>
      <c r="P96" s="145"/>
      <c r="Q96" s="141"/>
      <c r="R96" s="190"/>
      <c r="S96" s="83"/>
      <c r="T96" s="87"/>
      <c r="U96" s="87"/>
      <c r="V96" s="87"/>
      <c r="W96" s="44"/>
      <c r="X96" s="88"/>
      <c r="Y96" s="79"/>
      <c r="Z96" s="79"/>
      <c r="AA96" s="79"/>
      <c r="AB96" s="79"/>
      <c r="AC96" s="86"/>
      <c r="AD96" s="82"/>
      <c r="AE96" s="79"/>
      <c r="AF96" s="88"/>
      <c r="AG96" s="80"/>
      <c r="AH96" s="79"/>
      <c r="AI96" s="79"/>
      <c r="AJ96" s="79"/>
      <c r="AK96" s="80"/>
      <c r="AL96" s="80"/>
      <c r="AM96" s="80"/>
      <c r="AN96" s="79"/>
      <c r="AO96" s="80"/>
      <c r="AP96" s="80"/>
      <c r="AQ96" s="80"/>
      <c r="AR96" s="85"/>
      <c r="AS96" s="85"/>
      <c r="AT96" s="85"/>
      <c r="AU96" s="85"/>
      <c r="AV96" s="85"/>
      <c r="AW96" s="82"/>
      <c r="AX96" s="79"/>
      <c r="AY96" s="82"/>
      <c r="AZ96" s="82"/>
      <c r="BA96" s="86"/>
      <c r="BB96" s="79"/>
      <c r="BC96" s="79"/>
      <c r="BD96" s="79"/>
      <c r="BE96" s="82"/>
      <c r="BF96" s="85"/>
      <c r="BG96" s="79"/>
      <c r="BH96" s="79"/>
      <c r="BI96" s="79"/>
      <c r="BJ96" s="88"/>
      <c r="BK96" s="88"/>
      <c r="BL96" s="79"/>
      <c r="BM96" s="185"/>
      <c r="BN96" s="90"/>
      <c r="BO96" s="80"/>
      <c r="BP96" s="80"/>
      <c r="BQ96" s="80"/>
      <c r="BR96" s="80"/>
      <c r="BS96" s="80"/>
      <c r="BT96" s="80"/>
      <c r="BU96" s="80"/>
      <c r="BV96" s="80"/>
      <c r="BW96" s="82"/>
      <c r="BX96" s="79"/>
      <c r="BY96" s="79"/>
      <c r="BZ96" s="79"/>
      <c r="CA96" s="79"/>
      <c r="CB96" s="79"/>
      <c r="CC96" s="82"/>
      <c r="CD96" s="82"/>
      <c r="CE96" s="82"/>
      <c r="CF96" s="82"/>
      <c r="CG96" s="82"/>
      <c r="CH96" s="82"/>
      <c r="CI96" s="82"/>
      <c r="CJ96" s="79"/>
      <c r="CK96" s="79"/>
      <c r="CL96" s="79"/>
      <c r="CM96" s="79"/>
      <c r="CN96" s="79"/>
      <c r="CO96" s="79"/>
    </row>
    <row r="97" spans="1:93">
      <c r="A97" s="98">
        <v>11</v>
      </c>
      <c r="B97" s="178" t="s">
        <v>595</v>
      </c>
      <c r="C97" s="361" t="s">
        <v>553</v>
      </c>
      <c r="D97" s="47" t="s">
        <v>608</v>
      </c>
      <c r="E97" s="126"/>
      <c r="F97" s="154" t="s">
        <v>645</v>
      </c>
      <c r="G97" s="167">
        <v>1</v>
      </c>
      <c r="H97" s="167"/>
      <c r="I97" s="170" t="s">
        <v>627</v>
      </c>
      <c r="J97" s="180"/>
      <c r="K97" s="181">
        <f t="shared" si="15"/>
        <v>500000</v>
      </c>
      <c r="L97" s="182">
        <v>300000</v>
      </c>
      <c r="M97" s="152"/>
      <c r="N97" s="183">
        <f t="shared" si="14"/>
        <v>800000</v>
      </c>
      <c r="O97" s="177" t="s">
        <v>616</v>
      </c>
      <c r="P97" s="145"/>
      <c r="Q97" s="141"/>
      <c r="R97" s="190"/>
      <c r="S97" s="83"/>
      <c r="T97" s="87"/>
      <c r="U97" s="87"/>
      <c r="V97" s="87"/>
      <c r="W97" s="44"/>
      <c r="X97" s="88"/>
      <c r="Y97" s="79"/>
      <c r="Z97" s="79"/>
      <c r="AA97" s="79"/>
      <c r="AB97" s="79"/>
      <c r="AC97" s="86"/>
      <c r="AD97" s="82"/>
      <c r="AE97" s="79"/>
      <c r="AF97" s="88"/>
      <c r="AG97" s="80"/>
      <c r="AH97" s="79"/>
      <c r="AI97" s="79"/>
      <c r="AJ97" s="79"/>
      <c r="AK97" s="80"/>
      <c r="AL97" s="80"/>
      <c r="AM97" s="80"/>
      <c r="AN97" s="79"/>
      <c r="AO97" s="80"/>
      <c r="AP97" s="80"/>
      <c r="AQ97" s="80"/>
      <c r="AR97" s="85"/>
      <c r="AS97" s="85"/>
      <c r="AT97" s="85"/>
      <c r="AU97" s="85"/>
      <c r="AV97" s="85"/>
      <c r="AW97" s="82"/>
      <c r="AX97" s="79"/>
      <c r="AY97" s="82"/>
      <c r="AZ97" s="82"/>
      <c r="BA97" s="86"/>
      <c r="BB97" s="79"/>
      <c r="BC97" s="79"/>
      <c r="BD97" s="79"/>
      <c r="BE97" s="82"/>
      <c r="BF97" s="85"/>
      <c r="BG97" s="79"/>
      <c r="BH97" s="79"/>
      <c r="BI97" s="79"/>
      <c r="BJ97" s="88"/>
      <c r="BK97" s="88"/>
      <c r="BL97" s="79"/>
      <c r="BM97" s="185"/>
      <c r="BN97" s="90"/>
      <c r="BO97" s="80"/>
      <c r="BP97" s="80"/>
      <c r="BQ97" s="80"/>
      <c r="BR97" s="80"/>
      <c r="BS97" s="80"/>
      <c r="BT97" s="80"/>
      <c r="BU97" s="80"/>
      <c r="BV97" s="80"/>
      <c r="BW97" s="82"/>
      <c r="BX97" s="79"/>
      <c r="BY97" s="79"/>
      <c r="BZ97" s="79"/>
      <c r="CA97" s="79"/>
      <c r="CB97" s="79"/>
      <c r="CC97" s="82"/>
      <c r="CD97" s="82"/>
      <c r="CE97" s="82"/>
      <c r="CF97" s="82"/>
      <c r="CG97" s="82"/>
      <c r="CH97" s="82"/>
      <c r="CI97" s="82"/>
      <c r="CJ97" s="79"/>
      <c r="CK97" s="79"/>
      <c r="CL97" s="79"/>
      <c r="CM97" s="79"/>
      <c r="CN97" s="79"/>
      <c r="CO97" s="79"/>
    </row>
    <row r="98" spans="1:93" ht="39.6">
      <c r="A98" s="98">
        <v>12</v>
      </c>
      <c r="B98" s="189" t="s">
        <v>579</v>
      </c>
      <c r="C98" s="188" t="s">
        <v>558</v>
      </c>
      <c r="D98" s="47" t="s">
        <v>628</v>
      </c>
      <c r="E98" s="126"/>
      <c r="F98" s="154" t="s">
        <v>645</v>
      </c>
      <c r="G98" s="167">
        <v>3</v>
      </c>
      <c r="H98" s="167"/>
      <c r="I98" s="170" t="s">
        <v>629</v>
      </c>
      <c r="J98" s="180">
        <f t="shared" ref="J98:J103" si="16">(G98*$C$255)+(H98*$D$255)</f>
        <v>1950000</v>
      </c>
      <c r="K98" s="181">
        <f t="shared" si="15"/>
        <v>1500000</v>
      </c>
      <c r="L98" s="152"/>
      <c r="M98" s="152"/>
      <c r="N98" s="183">
        <f t="shared" si="14"/>
        <v>3450000</v>
      </c>
      <c r="O98" s="177">
        <v>225269722</v>
      </c>
      <c r="P98" s="145"/>
      <c r="Q98" s="141"/>
      <c r="R98" s="190"/>
      <c r="S98" s="83"/>
      <c r="T98" s="87"/>
      <c r="U98" s="87"/>
      <c r="V98" s="87"/>
      <c r="W98" s="44"/>
      <c r="X98" s="88"/>
      <c r="Y98" s="79"/>
      <c r="Z98" s="79"/>
      <c r="AA98" s="79"/>
      <c r="AB98" s="79"/>
      <c r="AC98" s="86"/>
      <c r="AD98" s="82"/>
      <c r="AE98" s="79"/>
      <c r="AF98" s="88"/>
      <c r="AG98" s="80"/>
      <c r="AH98" s="79"/>
      <c r="AI98" s="79"/>
      <c r="AJ98" s="79"/>
      <c r="AK98" s="80"/>
      <c r="AL98" s="80"/>
      <c r="AM98" s="80"/>
      <c r="AN98" s="79"/>
      <c r="AO98" s="80"/>
      <c r="AP98" s="80"/>
      <c r="AQ98" s="80"/>
      <c r="AR98" s="85"/>
      <c r="AS98" s="85"/>
      <c r="AT98" s="85"/>
      <c r="AU98" s="85"/>
      <c r="AV98" s="85"/>
      <c r="AW98" s="82"/>
      <c r="AX98" s="79"/>
      <c r="AY98" s="82"/>
      <c r="AZ98" s="82"/>
      <c r="BA98" s="86"/>
      <c r="BB98" s="79"/>
      <c r="BC98" s="79"/>
      <c r="BD98" s="79"/>
      <c r="BE98" s="82"/>
      <c r="BF98" s="85"/>
      <c r="BG98" s="79"/>
      <c r="BH98" s="79"/>
      <c r="BI98" s="79"/>
      <c r="BJ98" s="88"/>
      <c r="BK98" s="88"/>
      <c r="BL98" s="79"/>
      <c r="BM98" s="185"/>
      <c r="BN98" s="90"/>
      <c r="BO98" s="80"/>
      <c r="BP98" s="80"/>
      <c r="BQ98" s="80"/>
      <c r="BR98" s="80"/>
      <c r="BS98" s="80"/>
      <c r="BT98" s="80"/>
      <c r="BU98" s="80"/>
      <c r="BV98" s="80"/>
      <c r="BW98" s="82"/>
      <c r="BX98" s="79"/>
      <c r="BY98" s="79"/>
      <c r="BZ98" s="79"/>
      <c r="CA98" s="79"/>
      <c r="CB98" s="79"/>
      <c r="CC98" s="82"/>
      <c r="CD98" s="82"/>
      <c r="CE98" s="82"/>
      <c r="CF98" s="82"/>
      <c r="CG98" s="82"/>
      <c r="CH98" s="82"/>
      <c r="CI98" s="82"/>
      <c r="CJ98" s="79"/>
      <c r="CK98" s="79"/>
      <c r="CL98" s="79"/>
      <c r="CM98" s="79"/>
      <c r="CN98" s="79"/>
      <c r="CO98" s="79"/>
    </row>
    <row r="99" spans="1:93">
      <c r="A99" s="98">
        <v>13</v>
      </c>
      <c r="B99" s="189" t="s">
        <v>580</v>
      </c>
      <c r="C99" s="188" t="s">
        <v>558</v>
      </c>
      <c r="D99" s="47" t="s">
        <v>639</v>
      </c>
      <c r="E99" s="126"/>
      <c r="F99" s="154" t="s">
        <v>645</v>
      </c>
      <c r="G99" s="167">
        <v>1</v>
      </c>
      <c r="H99" s="167"/>
      <c r="I99" s="170" t="s">
        <v>630</v>
      </c>
      <c r="J99" s="180">
        <f t="shared" si="16"/>
        <v>650000</v>
      </c>
      <c r="K99" s="181">
        <f t="shared" si="15"/>
        <v>500000</v>
      </c>
      <c r="L99" s="152"/>
      <c r="M99" s="152"/>
      <c r="N99" s="183">
        <f>+SUM(J99:M99)</f>
        <v>1150000</v>
      </c>
      <c r="O99" s="177">
        <v>225711427</v>
      </c>
      <c r="P99" s="145"/>
      <c r="Q99" s="141"/>
      <c r="R99" s="190"/>
      <c r="S99" s="83"/>
      <c r="T99" s="87"/>
      <c r="U99" s="87"/>
      <c r="V99" s="87"/>
      <c r="W99" s="44"/>
      <c r="X99" s="88"/>
      <c r="Y99" s="79"/>
      <c r="Z99" s="79"/>
      <c r="AA99" s="79"/>
      <c r="AB99" s="79"/>
      <c r="AC99" s="86"/>
      <c r="AD99" s="82"/>
      <c r="AE99" s="79"/>
      <c r="AF99" s="88"/>
      <c r="AG99" s="80"/>
      <c r="AH99" s="79"/>
      <c r="AI99" s="79"/>
      <c r="AJ99" s="79"/>
      <c r="AK99" s="80"/>
      <c r="AL99" s="80"/>
      <c r="AM99" s="80"/>
      <c r="AN99" s="79"/>
      <c r="AO99" s="80"/>
      <c r="AP99" s="80"/>
      <c r="AQ99" s="80"/>
      <c r="AR99" s="85"/>
      <c r="AS99" s="85"/>
      <c r="AT99" s="85"/>
      <c r="AU99" s="85"/>
      <c r="AV99" s="85"/>
      <c r="AW99" s="82"/>
      <c r="AX99" s="79"/>
      <c r="AY99" s="82"/>
      <c r="AZ99" s="82"/>
      <c r="BA99" s="86"/>
      <c r="BB99" s="79"/>
      <c r="BC99" s="79"/>
      <c r="BD99" s="79"/>
      <c r="BE99" s="82"/>
      <c r="BF99" s="85"/>
      <c r="BG99" s="79"/>
      <c r="BH99" s="79"/>
      <c r="BI99" s="79"/>
      <c r="BJ99" s="88"/>
      <c r="BK99" s="88"/>
      <c r="BL99" s="79"/>
      <c r="BM99" s="185"/>
      <c r="BN99" s="90"/>
      <c r="BO99" s="80"/>
      <c r="BP99" s="80"/>
      <c r="BQ99" s="80"/>
      <c r="BR99" s="80"/>
      <c r="BS99" s="80"/>
      <c r="BT99" s="80"/>
      <c r="BU99" s="80"/>
      <c r="BV99" s="80"/>
      <c r="BW99" s="82"/>
      <c r="BX99" s="79"/>
      <c r="BY99" s="79"/>
      <c r="BZ99" s="79"/>
      <c r="CA99" s="79"/>
      <c r="CB99" s="79"/>
      <c r="CC99" s="82"/>
      <c r="CD99" s="82"/>
      <c r="CE99" s="82"/>
      <c r="CF99" s="82"/>
      <c r="CG99" s="82"/>
      <c r="CH99" s="82"/>
      <c r="CI99" s="82"/>
      <c r="CJ99" s="79"/>
      <c r="CK99" s="79"/>
      <c r="CL99" s="79"/>
      <c r="CM99" s="79"/>
      <c r="CN99" s="79"/>
      <c r="CO99" s="79"/>
    </row>
    <row r="100" spans="1:93" ht="26.4">
      <c r="A100" s="98">
        <v>14</v>
      </c>
      <c r="B100" s="189" t="s">
        <v>581</v>
      </c>
      <c r="C100" s="188" t="s">
        <v>596</v>
      </c>
      <c r="D100" s="47" t="s">
        <v>640</v>
      </c>
      <c r="E100" s="126"/>
      <c r="F100" s="154" t="s">
        <v>645</v>
      </c>
      <c r="G100" s="167">
        <v>2</v>
      </c>
      <c r="H100" s="167"/>
      <c r="I100" s="170" t="s">
        <v>631</v>
      </c>
      <c r="J100" s="180">
        <f t="shared" si="16"/>
        <v>1300000</v>
      </c>
      <c r="K100" s="181">
        <f t="shared" si="15"/>
        <v>1000000</v>
      </c>
      <c r="L100" s="152"/>
      <c r="M100" s="152"/>
      <c r="N100" s="183">
        <f>+SUM(J100:M100)</f>
        <v>2300000</v>
      </c>
      <c r="O100" s="177" t="s">
        <v>633</v>
      </c>
      <c r="P100" s="145"/>
      <c r="Q100" s="141"/>
      <c r="R100" s="190"/>
      <c r="S100" s="83"/>
      <c r="T100" s="87"/>
      <c r="U100" s="87"/>
      <c r="V100" s="87"/>
      <c r="W100" s="44"/>
      <c r="X100" s="88"/>
      <c r="Y100" s="79"/>
      <c r="Z100" s="79"/>
      <c r="AA100" s="79"/>
      <c r="AB100" s="79"/>
      <c r="AC100" s="86"/>
      <c r="AD100" s="82"/>
      <c r="AE100" s="79"/>
      <c r="AF100" s="88"/>
      <c r="AG100" s="80"/>
      <c r="AH100" s="79"/>
      <c r="AI100" s="79"/>
      <c r="AJ100" s="79"/>
      <c r="AK100" s="80"/>
      <c r="AL100" s="80"/>
      <c r="AM100" s="80"/>
      <c r="AN100" s="79"/>
      <c r="AO100" s="80"/>
      <c r="AP100" s="80"/>
      <c r="AQ100" s="80"/>
      <c r="AR100" s="85"/>
      <c r="AS100" s="85"/>
      <c r="AT100" s="85"/>
      <c r="AU100" s="85"/>
      <c r="AV100" s="85"/>
      <c r="AW100" s="82"/>
      <c r="AX100" s="79"/>
      <c r="AY100" s="82"/>
      <c r="AZ100" s="82"/>
      <c r="BA100" s="86"/>
      <c r="BB100" s="79"/>
      <c r="BC100" s="79"/>
      <c r="BD100" s="79"/>
      <c r="BE100" s="82"/>
      <c r="BF100" s="85"/>
      <c r="BG100" s="79"/>
      <c r="BH100" s="79"/>
      <c r="BI100" s="79"/>
      <c r="BJ100" s="88"/>
      <c r="BK100" s="88"/>
      <c r="BL100" s="79"/>
      <c r="BM100" s="185"/>
      <c r="BN100" s="90"/>
      <c r="BO100" s="80"/>
      <c r="BP100" s="80"/>
      <c r="BQ100" s="80"/>
      <c r="BR100" s="80"/>
      <c r="BS100" s="80"/>
      <c r="BT100" s="80"/>
      <c r="BU100" s="80"/>
      <c r="BV100" s="80"/>
      <c r="BW100" s="82"/>
      <c r="BX100" s="79"/>
      <c r="BY100" s="79"/>
      <c r="BZ100" s="79"/>
      <c r="CA100" s="79"/>
      <c r="CB100" s="79"/>
      <c r="CC100" s="82"/>
      <c r="CD100" s="82"/>
      <c r="CE100" s="82"/>
      <c r="CF100" s="82"/>
      <c r="CG100" s="82"/>
      <c r="CH100" s="82"/>
      <c r="CI100" s="82"/>
      <c r="CJ100" s="79"/>
      <c r="CK100" s="79"/>
      <c r="CL100" s="79"/>
      <c r="CM100" s="79"/>
      <c r="CN100" s="79"/>
      <c r="CO100" s="79"/>
    </row>
    <row r="101" spans="1:93">
      <c r="A101" s="98">
        <v>15</v>
      </c>
      <c r="B101" s="189" t="s">
        <v>582</v>
      </c>
      <c r="C101" s="188" t="s">
        <v>596</v>
      </c>
      <c r="D101" s="47" t="s">
        <v>641</v>
      </c>
      <c r="E101" s="126"/>
      <c r="F101" s="154" t="s">
        <v>645</v>
      </c>
      <c r="G101" s="167">
        <v>1</v>
      </c>
      <c r="H101" s="167"/>
      <c r="I101" s="170" t="s">
        <v>632</v>
      </c>
      <c r="J101" s="180">
        <f t="shared" si="16"/>
        <v>650000</v>
      </c>
      <c r="K101" s="181">
        <f t="shared" si="15"/>
        <v>500000</v>
      </c>
      <c r="L101" s="152"/>
      <c r="M101" s="152"/>
      <c r="N101" s="183">
        <f>+SUM(J101:M101)</f>
        <v>1150000</v>
      </c>
      <c r="O101" s="177" t="s">
        <v>634</v>
      </c>
      <c r="P101" s="145"/>
      <c r="Q101" s="141"/>
      <c r="R101" s="190"/>
      <c r="S101" s="83"/>
      <c r="T101" s="87"/>
      <c r="U101" s="87"/>
      <c r="V101" s="87"/>
      <c r="W101" s="44"/>
      <c r="X101" s="88"/>
      <c r="Y101" s="79"/>
      <c r="Z101" s="79"/>
      <c r="AA101" s="79"/>
      <c r="AB101" s="79"/>
      <c r="AC101" s="86"/>
      <c r="AD101" s="82"/>
      <c r="AE101" s="79"/>
      <c r="AF101" s="88"/>
      <c r="AG101" s="80"/>
      <c r="AH101" s="79"/>
      <c r="AI101" s="79"/>
      <c r="AJ101" s="79"/>
      <c r="AK101" s="80"/>
      <c r="AL101" s="80"/>
      <c r="AM101" s="80"/>
      <c r="AN101" s="79"/>
      <c r="AO101" s="80"/>
      <c r="AP101" s="80"/>
      <c r="AQ101" s="80"/>
      <c r="AR101" s="85"/>
      <c r="AS101" s="85"/>
      <c r="AT101" s="85"/>
      <c r="AU101" s="85"/>
      <c r="AV101" s="85"/>
      <c r="AW101" s="82"/>
      <c r="AX101" s="79"/>
      <c r="AY101" s="82"/>
      <c r="AZ101" s="82"/>
      <c r="BA101" s="86"/>
      <c r="BB101" s="79"/>
      <c r="BC101" s="79"/>
      <c r="BD101" s="79"/>
      <c r="BE101" s="82"/>
      <c r="BF101" s="85"/>
      <c r="BG101" s="79"/>
      <c r="BH101" s="79"/>
      <c r="BI101" s="79"/>
      <c r="BJ101" s="88"/>
      <c r="BK101" s="88"/>
      <c r="BL101" s="79"/>
      <c r="BM101" s="185"/>
      <c r="BN101" s="90"/>
      <c r="BO101" s="80"/>
      <c r="BP101" s="80"/>
      <c r="BQ101" s="80"/>
      <c r="BR101" s="80"/>
      <c r="BS101" s="80"/>
      <c r="BT101" s="80"/>
      <c r="BU101" s="80"/>
      <c r="BV101" s="80"/>
      <c r="BW101" s="82"/>
      <c r="BX101" s="79"/>
      <c r="BY101" s="79"/>
      <c r="BZ101" s="79"/>
      <c r="CA101" s="79"/>
      <c r="CB101" s="79"/>
      <c r="CC101" s="82"/>
      <c r="CD101" s="82"/>
      <c r="CE101" s="82"/>
      <c r="CF101" s="82"/>
      <c r="CG101" s="82"/>
      <c r="CH101" s="82"/>
      <c r="CI101" s="82"/>
      <c r="CJ101" s="79"/>
      <c r="CK101" s="79"/>
      <c r="CL101" s="79"/>
      <c r="CM101" s="79"/>
      <c r="CN101" s="79"/>
      <c r="CO101" s="79"/>
    </row>
    <row r="102" spans="1:93">
      <c r="A102" s="98">
        <v>16</v>
      </c>
      <c r="B102" s="189" t="s">
        <v>588</v>
      </c>
      <c r="C102" s="188" t="s">
        <v>546</v>
      </c>
      <c r="D102" s="47" t="s">
        <v>642</v>
      </c>
      <c r="E102" s="126"/>
      <c r="F102" s="154" t="s">
        <v>645</v>
      </c>
      <c r="G102" s="167"/>
      <c r="H102" s="167">
        <v>1</v>
      </c>
      <c r="I102" s="170" t="s">
        <v>635</v>
      </c>
      <c r="J102" s="180">
        <f t="shared" si="16"/>
        <v>1000000</v>
      </c>
      <c r="K102" s="181">
        <f t="shared" si="15"/>
        <v>500000</v>
      </c>
      <c r="L102" s="152"/>
      <c r="M102" s="152"/>
      <c r="N102" s="183">
        <f>+SUM(J102:M102)</f>
        <v>1500000</v>
      </c>
      <c r="O102" s="177" t="s">
        <v>636</v>
      </c>
      <c r="P102" s="145"/>
      <c r="Q102" s="141"/>
      <c r="R102" s="190"/>
      <c r="S102" s="83"/>
      <c r="T102" s="87"/>
      <c r="U102" s="87"/>
      <c r="V102" s="87"/>
      <c r="W102" s="44"/>
      <c r="X102" s="88"/>
      <c r="Y102" s="79"/>
      <c r="Z102" s="79"/>
      <c r="AA102" s="79"/>
      <c r="AB102" s="79"/>
      <c r="AC102" s="86"/>
      <c r="AD102" s="82"/>
      <c r="AE102" s="79"/>
      <c r="AF102" s="88"/>
      <c r="AG102" s="80"/>
      <c r="AH102" s="79"/>
      <c r="AI102" s="79"/>
      <c r="AJ102" s="79"/>
      <c r="AK102" s="80"/>
      <c r="AL102" s="80"/>
      <c r="AM102" s="80"/>
      <c r="AN102" s="79"/>
      <c r="AO102" s="80"/>
      <c r="AP102" s="80"/>
      <c r="AQ102" s="80"/>
      <c r="AR102" s="85"/>
      <c r="AS102" s="85"/>
      <c r="AT102" s="85"/>
      <c r="AU102" s="85"/>
      <c r="AV102" s="85"/>
      <c r="AW102" s="82"/>
      <c r="AX102" s="79"/>
      <c r="AY102" s="82"/>
      <c r="AZ102" s="82"/>
      <c r="BA102" s="86"/>
      <c r="BB102" s="79"/>
      <c r="BC102" s="79"/>
      <c r="BD102" s="79"/>
      <c r="BE102" s="82"/>
      <c r="BF102" s="85"/>
      <c r="BG102" s="79"/>
      <c r="BH102" s="79"/>
      <c r="BI102" s="79"/>
      <c r="BJ102" s="88"/>
      <c r="BK102" s="88"/>
      <c r="BL102" s="79"/>
      <c r="BM102" s="185"/>
      <c r="BN102" s="90"/>
      <c r="BO102" s="80"/>
      <c r="BP102" s="80"/>
      <c r="BQ102" s="80"/>
      <c r="BR102" s="80"/>
      <c r="BS102" s="80"/>
      <c r="BT102" s="80"/>
      <c r="BU102" s="80"/>
      <c r="BV102" s="80"/>
      <c r="BW102" s="82"/>
      <c r="BX102" s="79"/>
      <c r="BY102" s="79"/>
      <c r="BZ102" s="79"/>
      <c r="CA102" s="79"/>
      <c r="CB102" s="79"/>
      <c r="CC102" s="82"/>
      <c r="CD102" s="82"/>
      <c r="CE102" s="82"/>
      <c r="CF102" s="82"/>
      <c r="CG102" s="82"/>
      <c r="CH102" s="82"/>
      <c r="CI102" s="82"/>
      <c r="CJ102" s="79"/>
      <c r="CK102" s="79"/>
      <c r="CL102" s="79"/>
      <c r="CM102" s="79"/>
      <c r="CN102" s="79"/>
      <c r="CO102" s="79"/>
    </row>
    <row r="103" spans="1:93" ht="26.4">
      <c r="A103" s="98">
        <v>17</v>
      </c>
      <c r="B103" s="189" t="s">
        <v>591</v>
      </c>
      <c r="C103" s="188" t="s">
        <v>547</v>
      </c>
      <c r="D103" s="47" t="s">
        <v>643</v>
      </c>
      <c r="E103" s="126"/>
      <c r="F103" s="154" t="s">
        <v>645</v>
      </c>
      <c r="G103" s="167"/>
      <c r="H103" s="167">
        <v>2</v>
      </c>
      <c r="I103" s="170" t="s">
        <v>637</v>
      </c>
      <c r="J103" s="180">
        <f t="shared" si="16"/>
        <v>2000000</v>
      </c>
      <c r="K103" s="181">
        <f t="shared" si="15"/>
        <v>1000000</v>
      </c>
      <c r="L103" s="152"/>
      <c r="M103" s="152"/>
      <c r="N103" s="183">
        <f>+SUM(J103:M103)</f>
        <v>3000000</v>
      </c>
      <c r="O103" s="177" t="s">
        <v>638</v>
      </c>
      <c r="P103" s="145"/>
      <c r="Q103" s="141"/>
      <c r="R103" s="190"/>
      <c r="S103" s="83"/>
      <c r="T103" s="87"/>
      <c r="U103" s="87"/>
      <c r="V103" s="87"/>
      <c r="W103" s="44"/>
      <c r="X103" s="88"/>
      <c r="Y103" s="79"/>
      <c r="Z103" s="79"/>
      <c r="AA103" s="79"/>
      <c r="AB103" s="79"/>
      <c r="AC103" s="86"/>
      <c r="AD103" s="82"/>
      <c r="AE103" s="79"/>
      <c r="AF103" s="88"/>
      <c r="AG103" s="80"/>
      <c r="AH103" s="79"/>
      <c r="AI103" s="79"/>
      <c r="AJ103" s="79"/>
      <c r="AK103" s="80"/>
      <c r="AL103" s="80"/>
      <c r="AM103" s="80"/>
      <c r="AN103" s="79"/>
      <c r="AO103" s="80"/>
      <c r="AP103" s="80"/>
      <c r="AQ103" s="80"/>
      <c r="AR103" s="85"/>
      <c r="AS103" s="85"/>
      <c r="AT103" s="85"/>
      <c r="AU103" s="85"/>
      <c r="AV103" s="85"/>
      <c r="AW103" s="82"/>
      <c r="AX103" s="79"/>
      <c r="AY103" s="82"/>
      <c r="AZ103" s="82"/>
      <c r="BA103" s="86"/>
      <c r="BB103" s="79"/>
      <c r="BC103" s="79"/>
      <c r="BD103" s="79"/>
      <c r="BE103" s="82"/>
      <c r="BF103" s="85"/>
      <c r="BG103" s="79"/>
      <c r="BH103" s="79"/>
      <c r="BI103" s="79"/>
      <c r="BJ103" s="88"/>
      <c r="BK103" s="88"/>
      <c r="BL103" s="79"/>
      <c r="BM103" s="185"/>
      <c r="BN103" s="90"/>
      <c r="BO103" s="80"/>
      <c r="BP103" s="80"/>
      <c r="BQ103" s="80"/>
      <c r="BR103" s="80"/>
      <c r="BS103" s="80"/>
      <c r="BT103" s="80"/>
      <c r="BU103" s="80"/>
      <c r="BV103" s="80"/>
      <c r="BW103" s="82"/>
      <c r="BX103" s="79"/>
      <c r="BY103" s="79"/>
      <c r="BZ103" s="79"/>
      <c r="CA103" s="79"/>
      <c r="CB103" s="79"/>
      <c r="CC103" s="82"/>
      <c r="CD103" s="82"/>
      <c r="CE103" s="82"/>
      <c r="CF103" s="82"/>
      <c r="CG103" s="82"/>
      <c r="CH103" s="82"/>
      <c r="CI103" s="82"/>
      <c r="CJ103" s="79"/>
      <c r="CK103" s="79"/>
      <c r="CL103" s="79"/>
      <c r="CM103" s="79"/>
      <c r="CN103" s="79"/>
      <c r="CO103" s="79"/>
    </row>
    <row r="104" spans="1:93">
      <c r="A104" s="98"/>
      <c r="B104" s="3682" t="s">
        <v>654</v>
      </c>
      <c r="C104" s="3683"/>
      <c r="D104" s="3683"/>
      <c r="E104" s="3683"/>
      <c r="F104" s="3683"/>
      <c r="G104" s="3683"/>
      <c r="H104" s="3684"/>
      <c r="I104" s="297"/>
      <c r="J104" s="298"/>
      <c r="K104" s="298"/>
      <c r="L104" s="299"/>
      <c r="M104" s="299"/>
      <c r="N104" s="300"/>
      <c r="O104" s="301"/>
      <c r="P104" s="302"/>
      <c r="Q104" s="303"/>
      <c r="R104" s="304"/>
      <c r="S104" s="305"/>
      <c r="T104" s="302"/>
      <c r="U104" s="302"/>
      <c r="V104" s="302"/>
      <c r="W104" s="306"/>
      <c r="X104" s="307"/>
      <c r="Y104" s="308"/>
      <c r="Z104" s="308"/>
      <c r="AA104" s="308"/>
      <c r="AB104" s="308"/>
      <c r="AC104" s="309"/>
      <c r="AD104" s="310"/>
      <c r="AE104" s="308"/>
      <c r="AF104" s="307"/>
      <c r="AG104" s="311"/>
      <c r="AH104" s="308"/>
      <c r="AI104" s="308"/>
      <c r="AJ104" s="308"/>
      <c r="AK104" s="311"/>
      <c r="AL104" s="311"/>
      <c r="AM104" s="311"/>
      <c r="AN104" s="308"/>
      <c r="AO104" s="311"/>
      <c r="AP104" s="311"/>
      <c r="AQ104" s="311"/>
      <c r="AR104" s="312"/>
      <c r="AS104" s="312"/>
      <c r="AT104" s="312"/>
      <c r="AU104" s="312"/>
      <c r="AV104" s="312"/>
      <c r="AW104" s="310"/>
      <c r="AX104" s="308"/>
      <c r="AY104" s="310"/>
      <c r="AZ104" s="310"/>
      <c r="BA104" s="313"/>
      <c r="BB104" s="308"/>
      <c r="BC104" s="308"/>
      <c r="BD104" s="308"/>
      <c r="BE104" s="310"/>
      <c r="BF104" s="312"/>
      <c r="BG104" s="308"/>
      <c r="BH104" s="308"/>
      <c r="BI104" s="308"/>
      <c r="BJ104" s="307"/>
      <c r="BK104" s="307"/>
      <c r="BL104" s="308"/>
      <c r="BM104" s="186"/>
      <c r="BN104" s="90"/>
      <c r="BO104" s="80"/>
      <c r="BP104" s="80"/>
      <c r="BQ104" s="80"/>
      <c r="BR104" s="80"/>
      <c r="BS104" s="80"/>
      <c r="BT104" s="80"/>
      <c r="BU104" s="80"/>
      <c r="BV104" s="80"/>
      <c r="BW104" s="82"/>
      <c r="BX104" s="79"/>
      <c r="BY104" s="79"/>
      <c r="BZ104" s="79"/>
      <c r="CA104" s="79"/>
      <c r="CB104" s="79"/>
      <c r="CC104" s="82"/>
      <c r="CD104" s="82"/>
      <c r="CE104" s="82"/>
      <c r="CF104" s="82"/>
      <c r="CG104" s="82"/>
      <c r="CH104" s="82"/>
      <c r="CI104" s="82"/>
      <c r="CJ104" s="79"/>
      <c r="CK104" s="79"/>
      <c r="CL104" s="79"/>
      <c r="CM104" s="79"/>
      <c r="CN104" s="79"/>
      <c r="CO104" s="79"/>
    </row>
    <row r="105" spans="1:93">
      <c r="A105" s="98">
        <v>1</v>
      </c>
      <c r="B105" s="178" t="s">
        <v>720</v>
      </c>
      <c r="C105" s="188" t="s">
        <v>559</v>
      </c>
      <c r="D105" s="47" t="s">
        <v>724</v>
      </c>
      <c r="E105" s="126"/>
      <c r="F105" s="382" t="s">
        <v>745</v>
      </c>
      <c r="G105" s="167">
        <v>1</v>
      </c>
      <c r="H105" s="167"/>
      <c r="I105" s="170" t="s">
        <v>730</v>
      </c>
      <c r="J105" s="155"/>
      <c r="K105" s="181">
        <f t="shared" ref="K105:K111" si="17">SUM(G105:I105)*500000</f>
        <v>500000</v>
      </c>
      <c r="L105" s="182">
        <v>300000</v>
      </c>
      <c r="M105" s="152"/>
      <c r="N105" s="183">
        <f t="shared" ref="N105:N111" si="18">+SUM(J105:M105)</f>
        <v>800000</v>
      </c>
      <c r="O105" s="177" t="s">
        <v>727</v>
      </c>
      <c r="P105" s="145"/>
      <c r="Q105" s="141"/>
      <c r="R105" s="190"/>
      <c r="S105" s="83"/>
      <c r="T105" s="87"/>
      <c r="U105" s="87"/>
      <c r="V105" s="87"/>
      <c r="W105" s="44"/>
      <c r="X105" s="88"/>
      <c r="Y105" s="79"/>
      <c r="Z105" s="79"/>
      <c r="AA105" s="79"/>
      <c r="AB105" s="79"/>
      <c r="AC105" s="86"/>
      <c r="AD105" s="82"/>
      <c r="AE105" s="79"/>
      <c r="AF105" s="88"/>
      <c r="AG105" s="80"/>
      <c r="AH105" s="79"/>
      <c r="AI105" s="79"/>
      <c r="AJ105" s="79"/>
      <c r="AK105" s="80"/>
      <c r="AL105" s="80"/>
      <c r="AM105" s="80"/>
      <c r="AN105" s="79"/>
      <c r="AO105" s="80"/>
      <c r="AP105" s="80"/>
      <c r="AQ105" s="80"/>
      <c r="AR105" s="85"/>
      <c r="AS105" s="85"/>
      <c r="AT105" s="85"/>
      <c r="AU105" s="85"/>
      <c r="AV105" s="85"/>
      <c r="AW105" s="82"/>
      <c r="AX105" s="79"/>
      <c r="AY105" s="82"/>
      <c r="AZ105" s="82"/>
      <c r="BA105" s="86"/>
      <c r="BB105" s="79"/>
      <c r="BC105" s="79"/>
      <c r="BD105" s="79"/>
      <c r="BE105" s="82"/>
      <c r="BF105" s="85"/>
      <c r="BG105" s="79"/>
      <c r="BH105" s="79"/>
      <c r="BI105" s="79"/>
      <c r="BJ105" s="88"/>
      <c r="BK105" s="88"/>
      <c r="BL105" s="79"/>
      <c r="BM105" s="185"/>
      <c r="BN105" s="90"/>
      <c r="BO105" s="80"/>
      <c r="BP105" s="80"/>
      <c r="BQ105" s="80"/>
      <c r="BR105" s="80"/>
      <c r="BS105" s="80"/>
      <c r="BT105" s="80"/>
      <c r="BU105" s="80"/>
      <c r="BV105" s="80"/>
      <c r="BW105" s="82"/>
      <c r="BX105" s="79"/>
      <c r="BY105" s="79"/>
      <c r="BZ105" s="79"/>
      <c r="CA105" s="79"/>
      <c r="CB105" s="79"/>
      <c r="CC105" s="82"/>
      <c r="CD105" s="82"/>
      <c r="CE105" s="82"/>
      <c r="CF105" s="82"/>
      <c r="CG105" s="82"/>
      <c r="CH105" s="82"/>
      <c r="CI105" s="82"/>
      <c r="CJ105" s="79"/>
      <c r="CK105" s="79"/>
      <c r="CL105" s="79"/>
      <c r="CM105" s="79"/>
      <c r="CN105" s="79"/>
      <c r="CO105" s="79"/>
    </row>
    <row r="106" spans="1:93">
      <c r="A106" s="98">
        <v>2</v>
      </c>
      <c r="B106" s="178" t="s">
        <v>721</v>
      </c>
      <c r="C106" s="188" t="s">
        <v>559</v>
      </c>
      <c r="D106" s="47" t="s">
        <v>725</v>
      </c>
      <c r="E106" s="126"/>
      <c r="F106" s="382" t="s">
        <v>745</v>
      </c>
      <c r="G106" s="167">
        <v>1</v>
      </c>
      <c r="H106" s="167"/>
      <c r="I106" s="170" t="s">
        <v>731</v>
      </c>
      <c r="J106" s="155"/>
      <c r="K106" s="181">
        <f t="shared" si="17"/>
        <v>500000</v>
      </c>
      <c r="L106" s="182">
        <v>300000</v>
      </c>
      <c r="M106" s="152"/>
      <c r="N106" s="183">
        <f t="shared" si="18"/>
        <v>800000</v>
      </c>
      <c r="O106" s="177" t="s">
        <v>728</v>
      </c>
      <c r="P106" s="145"/>
      <c r="Q106" s="141"/>
      <c r="R106" s="190"/>
      <c r="S106" s="83"/>
      <c r="T106" s="87"/>
      <c r="U106" s="87"/>
      <c r="V106" s="87"/>
      <c r="W106" s="44"/>
      <c r="X106" s="88"/>
      <c r="Y106" s="79"/>
      <c r="Z106" s="79"/>
      <c r="AA106" s="79"/>
      <c r="AB106" s="79"/>
      <c r="AC106" s="86"/>
      <c r="AD106" s="82"/>
      <c r="AE106" s="79"/>
      <c r="AF106" s="88"/>
      <c r="AG106" s="80"/>
      <c r="AH106" s="79"/>
      <c r="AI106" s="79"/>
      <c r="AJ106" s="79"/>
      <c r="AK106" s="80"/>
      <c r="AL106" s="80"/>
      <c r="AM106" s="80"/>
      <c r="AN106" s="79"/>
      <c r="AO106" s="80"/>
      <c r="AP106" s="80"/>
      <c r="AQ106" s="80"/>
      <c r="AR106" s="85"/>
      <c r="AS106" s="85"/>
      <c r="AT106" s="85"/>
      <c r="AU106" s="85"/>
      <c r="AV106" s="85"/>
      <c r="AW106" s="82"/>
      <c r="AX106" s="79"/>
      <c r="AY106" s="82"/>
      <c r="AZ106" s="82"/>
      <c r="BA106" s="86"/>
      <c r="BB106" s="79"/>
      <c r="BC106" s="79"/>
      <c r="BD106" s="79"/>
      <c r="BE106" s="82"/>
      <c r="BF106" s="85"/>
      <c r="BG106" s="79"/>
      <c r="BH106" s="79"/>
      <c r="BI106" s="79"/>
      <c r="BJ106" s="88"/>
      <c r="BK106" s="88"/>
      <c r="BL106" s="79"/>
      <c r="BM106" s="185"/>
      <c r="BN106" s="90"/>
      <c r="BO106" s="80"/>
      <c r="BP106" s="80"/>
      <c r="BQ106" s="80"/>
      <c r="BR106" s="80"/>
      <c r="BS106" s="80"/>
      <c r="BT106" s="80"/>
      <c r="BU106" s="80"/>
      <c r="BV106" s="80"/>
      <c r="BW106" s="82"/>
      <c r="BX106" s="79"/>
      <c r="BY106" s="79"/>
      <c r="BZ106" s="79"/>
      <c r="CA106" s="79"/>
      <c r="CB106" s="79"/>
      <c r="CC106" s="82"/>
      <c r="CD106" s="82"/>
      <c r="CE106" s="82"/>
      <c r="CF106" s="82"/>
      <c r="CG106" s="82"/>
      <c r="CH106" s="82"/>
      <c r="CI106" s="82"/>
      <c r="CJ106" s="79"/>
      <c r="CK106" s="79"/>
      <c r="CL106" s="79"/>
      <c r="CM106" s="79"/>
      <c r="CN106" s="79"/>
      <c r="CO106" s="79"/>
    </row>
    <row r="107" spans="1:93">
      <c r="A107" s="98">
        <v>3</v>
      </c>
      <c r="B107" s="178" t="s">
        <v>722</v>
      </c>
      <c r="C107" s="188" t="s">
        <v>693</v>
      </c>
      <c r="D107" s="47" t="s">
        <v>726</v>
      </c>
      <c r="E107" s="126"/>
      <c r="F107" s="382" t="s">
        <v>745</v>
      </c>
      <c r="G107" s="167"/>
      <c r="H107" s="167">
        <v>1</v>
      </c>
      <c r="I107" s="170" t="s">
        <v>732</v>
      </c>
      <c r="J107" s="155"/>
      <c r="K107" s="181">
        <f t="shared" si="17"/>
        <v>500000</v>
      </c>
      <c r="L107" s="182">
        <v>300000</v>
      </c>
      <c r="M107" s="152"/>
      <c r="N107" s="183">
        <f t="shared" si="18"/>
        <v>800000</v>
      </c>
      <c r="O107" s="177">
        <v>2716570930</v>
      </c>
      <c r="P107" s="145"/>
      <c r="Q107" s="141"/>
      <c r="R107" s="190"/>
      <c r="S107" s="83"/>
      <c r="T107" s="87"/>
      <c r="U107" s="87"/>
      <c r="V107" s="87"/>
      <c r="W107" s="44"/>
      <c r="X107" s="88"/>
      <c r="Y107" s="79"/>
      <c r="Z107" s="79"/>
      <c r="AA107" s="79"/>
      <c r="AB107" s="79"/>
      <c r="AC107" s="86"/>
      <c r="AD107" s="82"/>
      <c r="AE107" s="79"/>
      <c r="AF107" s="88"/>
      <c r="AG107" s="80"/>
      <c r="AH107" s="79"/>
      <c r="AI107" s="79"/>
      <c r="AJ107" s="79"/>
      <c r="AK107" s="80"/>
      <c r="AL107" s="80"/>
      <c r="AM107" s="80"/>
      <c r="AN107" s="79"/>
      <c r="AO107" s="80"/>
      <c r="AP107" s="80"/>
      <c r="AQ107" s="80"/>
      <c r="AR107" s="85"/>
      <c r="AS107" s="85"/>
      <c r="AT107" s="85"/>
      <c r="AU107" s="85"/>
      <c r="AV107" s="85"/>
      <c r="AW107" s="82"/>
      <c r="AX107" s="79"/>
      <c r="AY107" s="82"/>
      <c r="AZ107" s="82"/>
      <c r="BA107" s="86"/>
      <c r="BB107" s="79"/>
      <c r="BC107" s="79"/>
      <c r="BD107" s="79"/>
      <c r="BE107" s="82"/>
      <c r="BF107" s="85"/>
      <c r="BG107" s="79"/>
      <c r="BH107" s="79"/>
      <c r="BI107" s="79"/>
      <c r="BJ107" s="88"/>
      <c r="BK107" s="88"/>
      <c r="BL107" s="79"/>
      <c r="BM107" s="185"/>
      <c r="BN107" s="90"/>
      <c r="BO107" s="80"/>
      <c r="BP107" s="80"/>
      <c r="BQ107" s="80"/>
      <c r="BR107" s="80"/>
      <c r="BS107" s="80"/>
      <c r="BT107" s="80"/>
      <c r="BU107" s="80"/>
      <c r="BV107" s="80"/>
      <c r="BW107" s="82"/>
      <c r="BX107" s="79"/>
      <c r="BY107" s="79"/>
      <c r="BZ107" s="79"/>
      <c r="CA107" s="79"/>
      <c r="CB107" s="79"/>
      <c r="CC107" s="82"/>
      <c r="CD107" s="82"/>
      <c r="CE107" s="82"/>
      <c r="CF107" s="82"/>
      <c r="CG107" s="82"/>
      <c r="CH107" s="82"/>
      <c r="CI107" s="82"/>
      <c r="CJ107" s="79"/>
      <c r="CK107" s="79"/>
      <c r="CL107" s="79"/>
      <c r="CM107" s="79"/>
      <c r="CN107" s="79"/>
      <c r="CO107" s="79"/>
    </row>
    <row r="108" spans="1:93">
      <c r="A108" s="98">
        <v>4</v>
      </c>
      <c r="B108" s="178" t="s">
        <v>683</v>
      </c>
      <c r="C108" s="188">
        <v>45017</v>
      </c>
      <c r="D108" s="47" t="s">
        <v>717</v>
      </c>
      <c r="E108" s="126"/>
      <c r="F108" s="382" t="s">
        <v>745</v>
      </c>
      <c r="G108" s="167"/>
      <c r="H108" s="167">
        <v>1</v>
      </c>
      <c r="I108" s="170" t="s">
        <v>706</v>
      </c>
      <c r="J108" s="155"/>
      <c r="K108" s="181">
        <f t="shared" si="17"/>
        <v>500000</v>
      </c>
      <c r="L108" s="182">
        <v>300000</v>
      </c>
      <c r="M108" s="152"/>
      <c r="N108" s="183">
        <f t="shared" si="18"/>
        <v>800000</v>
      </c>
      <c r="O108" s="177" t="s">
        <v>695</v>
      </c>
      <c r="P108" s="145"/>
      <c r="Q108" s="141"/>
      <c r="R108" s="190"/>
      <c r="S108" s="83"/>
      <c r="T108" s="87"/>
      <c r="U108" s="87"/>
      <c r="V108" s="87"/>
      <c r="W108" s="44"/>
      <c r="X108" s="88"/>
      <c r="Y108" s="79"/>
      <c r="Z108" s="79"/>
      <c r="AA108" s="79"/>
      <c r="AB108" s="79"/>
      <c r="AC108" s="86"/>
      <c r="AD108" s="82"/>
      <c r="AE108" s="79"/>
      <c r="AF108" s="88"/>
      <c r="AG108" s="80"/>
      <c r="AH108" s="79"/>
      <c r="AI108" s="79"/>
      <c r="AJ108" s="79"/>
      <c r="AK108" s="80"/>
      <c r="AL108" s="80"/>
      <c r="AM108" s="80"/>
      <c r="AN108" s="79"/>
      <c r="AO108" s="80"/>
      <c r="AP108" s="80"/>
      <c r="AQ108" s="80"/>
      <c r="AR108" s="85"/>
      <c r="AS108" s="85"/>
      <c r="AT108" s="85"/>
      <c r="AU108" s="85"/>
      <c r="AV108" s="85"/>
      <c r="AW108" s="82"/>
      <c r="AX108" s="79"/>
      <c r="AY108" s="82"/>
      <c r="AZ108" s="82"/>
      <c r="BA108" s="86"/>
      <c r="BB108" s="79"/>
      <c r="BC108" s="79"/>
      <c r="BD108" s="79"/>
      <c r="BE108" s="82"/>
      <c r="BF108" s="85"/>
      <c r="BG108" s="79"/>
      <c r="BH108" s="79"/>
      <c r="BI108" s="79"/>
      <c r="BJ108" s="88"/>
      <c r="BK108" s="88"/>
      <c r="BL108" s="79"/>
      <c r="BM108" s="185"/>
      <c r="BN108" s="90"/>
      <c r="BO108" s="80"/>
      <c r="BP108" s="80"/>
      <c r="BQ108" s="80"/>
      <c r="BR108" s="80"/>
      <c r="BS108" s="80"/>
      <c r="BT108" s="80"/>
      <c r="BU108" s="80"/>
      <c r="BV108" s="80"/>
      <c r="BW108" s="82"/>
      <c r="BX108" s="79"/>
      <c r="BY108" s="79"/>
      <c r="BZ108" s="79"/>
      <c r="CA108" s="79"/>
      <c r="CB108" s="79"/>
      <c r="CC108" s="82"/>
      <c r="CD108" s="82"/>
      <c r="CE108" s="82"/>
      <c r="CF108" s="82"/>
      <c r="CG108" s="82"/>
      <c r="CH108" s="82"/>
      <c r="CI108" s="82"/>
      <c r="CJ108" s="79"/>
      <c r="CK108" s="79"/>
      <c r="CL108" s="79"/>
      <c r="CM108" s="79"/>
      <c r="CN108" s="79"/>
      <c r="CO108" s="79"/>
    </row>
    <row r="109" spans="1:93">
      <c r="A109" s="98">
        <v>5</v>
      </c>
      <c r="B109" s="178" t="s">
        <v>684</v>
      </c>
      <c r="C109" s="188">
        <v>45019</v>
      </c>
      <c r="D109" s="47" t="s">
        <v>718</v>
      </c>
      <c r="E109" s="126"/>
      <c r="F109" s="382" t="s">
        <v>745</v>
      </c>
      <c r="G109" s="167">
        <v>1</v>
      </c>
      <c r="H109" s="167" t="s">
        <v>704</v>
      </c>
      <c r="I109" s="170" t="s">
        <v>707</v>
      </c>
      <c r="J109" s="155"/>
      <c r="K109" s="181">
        <f t="shared" si="17"/>
        <v>500000</v>
      </c>
      <c r="L109" s="182">
        <v>300000</v>
      </c>
      <c r="M109" s="152"/>
      <c r="N109" s="183">
        <f t="shared" si="18"/>
        <v>800000</v>
      </c>
      <c r="O109" s="177" t="s">
        <v>696</v>
      </c>
      <c r="P109" s="145"/>
      <c r="Q109" s="141"/>
      <c r="R109" s="190"/>
      <c r="S109" s="83"/>
      <c r="T109" s="87"/>
      <c r="U109" s="87"/>
      <c r="V109" s="87"/>
      <c r="W109" s="44"/>
      <c r="X109" s="88"/>
      <c r="Y109" s="79"/>
      <c r="Z109" s="79"/>
      <c r="AA109" s="79"/>
      <c r="AB109" s="79"/>
      <c r="AC109" s="86"/>
      <c r="AD109" s="82"/>
      <c r="AE109" s="79"/>
      <c r="AF109" s="88"/>
      <c r="AG109" s="80"/>
      <c r="AH109" s="79"/>
      <c r="AI109" s="79"/>
      <c r="AJ109" s="79"/>
      <c r="AK109" s="80"/>
      <c r="AL109" s="80"/>
      <c r="AM109" s="80"/>
      <c r="AN109" s="79"/>
      <c r="AO109" s="80"/>
      <c r="AP109" s="80"/>
      <c r="AQ109" s="80"/>
      <c r="AR109" s="85"/>
      <c r="AS109" s="85"/>
      <c r="AT109" s="85"/>
      <c r="AU109" s="85"/>
      <c r="AV109" s="85"/>
      <c r="AW109" s="82"/>
      <c r="AX109" s="79"/>
      <c r="AY109" s="82"/>
      <c r="AZ109" s="82"/>
      <c r="BA109" s="86"/>
      <c r="BB109" s="79"/>
      <c r="BC109" s="79"/>
      <c r="BD109" s="79"/>
      <c r="BE109" s="82"/>
      <c r="BF109" s="85"/>
      <c r="BG109" s="79"/>
      <c r="BH109" s="79"/>
      <c r="BI109" s="79"/>
      <c r="BJ109" s="88"/>
      <c r="BK109" s="88"/>
      <c r="BL109" s="79"/>
      <c r="BM109" s="185"/>
      <c r="BN109" s="90"/>
      <c r="BO109" s="80"/>
      <c r="BP109" s="80"/>
      <c r="BQ109" s="80"/>
      <c r="BR109" s="80"/>
      <c r="BS109" s="80"/>
      <c r="BT109" s="80"/>
      <c r="BU109" s="80"/>
      <c r="BV109" s="80"/>
      <c r="BW109" s="82"/>
      <c r="BX109" s="79"/>
      <c r="BY109" s="79"/>
      <c r="BZ109" s="79"/>
      <c r="CA109" s="79"/>
      <c r="CB109" s="79"/>
      <c r="CC109" s="82"/>
      <c r="CD109" s="82"/>
      <c r="CE109" s="82"/>
      <c r="CF109" s="82"/>
      <c r="CG109" s="82"/>
      <c r="CH109" s="82"/>
      <c r="CI109" s="82"/>
      <c r="CJ109" s="79"/>
      <c r="CK109" s="79"/>
      <c r="CL109" s="79"/>
      <c r="CM109" s="79"/>
      <c r="CN109" s="79"/>
      <c r="CO109" s="79"/>
    </row>
    <row r="110" spans="1:93" ht="39.6">
      <c r="A110" s="98">
        <v>6</v>
      </c>
      <c r="B110" s="380" t="s">
        <v>719</v>
      </c>
      <c r="C110" s="188" t="s">
        <v>559</v>
      </c>
      <c r="D110" s="47" t="s">
        <v>723</v>
      </c>
      <c r="E110" s="126"/>
      <c r="F110" s="382" t="s">
        <v>745</v>
      </c>
      <c r="G110" s="167">
        <v>3</v>
      </c>
      <c r="H110" s="167"/>
      <c r="I110" s="170" t="s">
        <v>729</v>
      </c>
      <c r="J110" s="180">
        <f>(G110*$C$255)+(H110*$D$255)</f>
        <v>1950000</v>
      </c>
      <c r="K110" s="181">
        <f t="shared" si="17"/>
        <v>1500000</v>
      </c>
      <c r="L110" s="152"/>
      <c r="M110" s="152"/>
      <c r="N110" s="183">
        <f t="shared" si="18"/>
        <v>3450000</v>
      </c>
      <c r="O110" s="177">
        <v>225605580</v>
      </c>
      <c r="P110" s="145"/>
      <c r="Q110" s="141"/>
      <c r="R110" s="190"/>
      <c r="S110" s="83"/>
      <c r="T110" s="87"/>
      <c r="U110" s="87"/>
      <c r="V110" s="87"/>
      <c r="W110" s="44"/>
      <c r="X110" s="88"/>
      <c r="Y110" s="79"/>
      <c r="Z110" s="79"/>
      <c r="AA110" s="79"/>
      <c r="AB110" s="79"/>
      <c r="AC110" s="86"/>
      <c r="AD110" s="82"/>
      <c r="AE110" s="79"/>
      <c r="AF110" s="88"/>
      <c r="AG110" s="80"/>
      <c r="AH110" s="79"/>
      <c r="AI110" s="79"/>
      <c r="AJ110" s="79"/>
      <c r="AK110" s="80"/>
      <c r="AL110" s="80"/>
      <c r="AM110" s="80"/>
      <c r="AN110" s="79"/>
      <c r="AO110" s="80"/>
      <c r="AP110" s="80"/>
      <c r="AQ110" s="80"/>
      <c r="AR110" s="85"/>
      <c r="AS110" s="85"/>
      <c r="AT110" s="85"/>
      <c r="AU110" s="85"/>
      <c r="AV110" s="85"/>
      <c r="AW110" s="82"/>
      <c r="AX110" s="79"/>
      <c r="AY110" s="82"/>
      <c r="AZ110" s="82"/>
      <c r="BA110" s="86"/>
      <c r="BB110" s="79"/>
      <c r="BC110" s="79"/>
      <c r="BD110" s="79"/>
      <c r="BE110" s="82"/>
      <c r="BF110" s="85"/>
      <c r="BG110" s="79"/>
      <c r="BH110" s="79"/>
      <c r="BI110" s="79"/>
      <c r="BJ110" s="88"/>
      <c r="BK110" s="88"/>
      <c r="BL110" s="79"/>
      <c r="BM110" s="185"/>
      <c r="BN110" s="90"/>
      <c r="BO110" s="80"/>
      <c r="BP110" s="80"/>
      <c r="BQ110" s="80"/>
      <c r="BR110" s="80"/>
      <c r="BS110" s="80"/>
      <c r="BT110" s="80"/>
      <c r="BU110" s="80"/>
      <c r="BV110" s="80"/>
      <c r="BW110" s="82"/>
      <c r="BX110" s="79"/>
      <c r="BY110" s="79"/>
      <c r="BZ110" s="79"/>
      <c r="CA110" s="79"/>
      <c r="CB110" s="79"/>
      <c r="CC110" s="82"/>
      <c r="CD110" s="82"/>
      <c r="CE110" s="82"/>
      <c r="CF110" s="82"/>
      <c r="CG110" s="82"/>
      <c r="CH110" s="82"/>
      <c r="CI110" s="82"/>
      <c r="CJ110" s="79"/>
      <c r="CK110" s="79"/>
      <c r="CL110" s="79"/>
      <c r="CM110" s="79"/>
      <c r="CN110" s="79"/>
      <c r="CO110" s="79"/>
    </row>
    <row r="111" spans="1:93">
      <c r="A111" s="98">
        <v>7</v>
      </c>
      <c r="B111" s="380" t="s">
        <v>740</v>
      </c>
      <c r="C111" s="188" t="s">
        <v>741</v>
      </c>
      <c r="D111" s="47" t="s">
        <v>742</v>
      </c>
      <c r="E111" s="126"/>
      <c r="F111" s="382" t="s">
        <v>745</v>
      </c>
      <c r="G111" s="167"/>
      <c r="H111" s="167">
        <v>1</v>
      </c>
      <c r="I111" s="170" t="s">
        <v>744</v>
      </c>
      <c r="J111" s="180">
        <f>(G111*$C$255)+(H111*$D$255)</f>
        <v>1000000</v>
      </c>
      <c r="K111" s="181">
        <f t="shared" si="17"/>
        <v>500000</v>
      </c>
      <c r="L111" s="152"/>
      <c r="M111" s="152"/>
      <c r="N111" s="183">
        <f t="shared" si="18"/>
        <v>1500000</v>
      </c>
      <c r="O111" s="177" t="s">
        <v>743</v>
      </c>
      <c r="P111" s="145"/>
      <c r="Q111" s="141"/>
      <c r="R111" s="190"/>
      <c r="S111" s="83"/>
      <c r="T111" s="87"/>
      <c r="U111" s="87"/>
      <c r="V111" s="87"/>
      <c r="W111" s="44"/>
      <c r="X111" s="88"/>
      <c r="Y111" s="79"/>
      <c r="Z111" s="79"/>
      <c r="AA111" s="79"/>
      <c r="AB111" s="79"/>
      <c r="AC111" s="86"/>
      <c r="AD111" s="82"/>
      <c r="AE111" s="79"/>
      <c r="AF111" s="88"/>
      <c r="AG111" s="80"/>
      <c r="AH111" s="79"/>
      <c r="AI111" s="79"/>
      <c r="AJ111" s="79"/>
      <c r="AK111" s="80"/>
      <c r="AL111" s="80"/>
      <c r="AM111" s="80"/>
      <c r="AN111" s="79"/>
      <c r="AO111" s="80"/>
      <c r="AP111" s="80"/>
      <c r="AQ111" s="80"/>
      <c r="AR111" s="85"/>
      <c r="AS111" s="85"/>
      <c r="AT111" s="85"/>
      <c r="AU111" s="85"/>
      <c r="AV111" s="85"/>
      <c r="AW111" s="82"/>
      <c r="AX111" s="79"/>
      <c r="AY111" s="82"/>
      <c r="AZ111" s="82"/>
      <c r="BA111" s="86"/>
      <c r="BB111" s="79"/>
      <c r="BC111" s="79"/>
      <c r="BD111" s="79"/>
      <c r="BE111" s="82"/>
      <c r="BF111" s="85"/>
      <c r="BG111" s="79"/>
      <c r="BH111" s="79"/>
      <c r="BI111" s="79"/>
      <c r="BJ111" s="88"/>
      <c r="BK111" s="88"/>
      <c r="BL111" s="79"/>
      <c r="BM111" s="185"/>
      <c r="BN111" s="90"/>
      <c r="BO111" s="80"/>
      <c r="BP111" s="80"/>
      <c r="BQ111" s="80"/>
      <c r="BR111" s="80"/>
      <c r="BS111" s="80"/>
      <c r="BT111" s="80"/>
      <c r="BU111" s="80"/>
      <c r="BV111" s="80"/>
      <c r="BW111" s="82"/>
      <c r="BX111" s="79"/>
      <c r="BY111" s="79"/>
      <c r="BZ111" s="79"/>
      <c r="CA111" s="79"/>
      <c r="CB111" s="79"/>
      <c r="CC111" s="82"/>
      <c r="CD111" s="82"/>
      <c r="CE111" s="82"/>
      <c r="CF111" s="82"/>
      <c r="CG111" s="82"/>
      <c r="CH111" s="82"/>
      <c r="CI111" s="82"/>
      <c r="CJ111" s="79"/>
      <c r="CK111" s="79"/>
      <c r="CL111" s="79"/>
      <c r="CM111" s="79"/>
      <c r="CN111" s="79"/>
      <c r="CO111" s="79"/>
    </row>
    <row r="112" spans="1:93">
      <c r="A112" s="98">
        <v>8</v>
      </c>
      <c r="B112" s="380" t="s">
        <v>681</v>
      </c>
      <c r="C112" s="188">
        <v>45015</v>
      </c>
      <c r="D112" s="47" t="s">
        <v>715</v>
      </c>
      <c r="E112" s="126"/>
      <c r="F112" s="382" t="s">
        <v>745</v>
      </c>
      <c r="G112" s="167" t="s">
        <v>128</v>
      </c>
      <c r="H112" s="167"/>
      <c r="I112" s="170"/>
      <c r="J112" s="180"/>
      <c r="K112" s="181">
        <v>500000</v>
      </c>
      <c r="L112" s="152"/>
      <c r="M112" s="152"/>
      <c r="N112" s="183">
        <f t="shared" ref="N112:N121" si="19">+SUM(J112:M112)</f>
        <v>500000</v>
      </c>
      <c r="O112" s="177">
        <v>4780981656</v>
      </c>
      <c r="P112" s="145"/>
      <c r="Q112" s="141"/>
      <c r="R112" s="190"/>
      <c r="S112" s="83"/>
      <c r="T112" s="87"/>
      <c r="U112" s="87"/>
      <c r="V112" s="87"/>
      <c r="W112" s="44"/>
      <c r="X112" s="88"/>
      <c r="Y112" s="79"/>
      <c r="Z112" s="79"/>
      <c r="AA112" s="79"/>
      <c r="AB112" s="79"/>
      <c r="AC112" s="86"/>
      <c r="AD112" s="82"/>
      <c r="AE112" s="79"/>
      <c r="AF112" s="88"/>
      <c r="AG112" s="80"/>
      <c r="AH112" s="79"/>
      <c r="AI112" s="79"/>
      <c r="AJ112" s="79"/>
      <c r="AK112" s="80"/>
      <c r="AL112" s="80"/>
      <c r="AM112" s="80"/>
      <c r="AN112" s="79"/>
      <c r="AO112" s="80"/>
      <c r="AP112" s="80"/>
      <c r="AQ112" s="80"/>
      <c r="AR112" s="85"/>
      <c r="AS112" s="85"/>
      <c r="AT112" s="85"/>
      <c r="AU112" s="85"/>
      <c r="AV112" s="85"/>
      <c r="AW112" s="82"/>
      <c r="AX112" s="79"/>
      <c r="AY112" s="82"/>
      <c r="AZ112" s="82"/>
      <c r="BA112" s="86"/>
      <c r="BB112" s="79"/>
      <c r="BC112" s="79"/>
      <c r="BD112" s="79"/>
      <c r="BE112" s="82"/>
      <c r="BF112" s="85"/>
      <c r="BG112" s="79"/>
      <c r="BH112" s="79"/>
      <c r="BI112" s="79"/>
      <c r="BJ112" s="88"/>
      <c r="BK112" s="88"/>
      <c r="BL112" s="79"/>
      <c r="BM112" s="185"/>
      <c r="BN112" s="90"/>
      <c r="BO112" s="80"/>
      <c r="BP112" s="80"/>
      <c r="BQ112" s="80"/>
      <c r="BR112" s="80"/>
      <c r="BS112" s="80"/>
      <c r="BT112" s="80"/>
      <c r="BU112" s="80"/>
      <c r="BV112" s="80"/>
      <c r="BW112" s="82"/>
      <c r="BX112" s="79"/>
      <c r="BY112" s="79"/>
      <c r="BZ112" s="79"/>
      <c r="CA112" s="79"/>
      <c r="CB112" s="79"/>
      <c r="CC112" s="82"/>
      <c r="CD112" s="82"/>
      <c r="CE112" s="82"/>
      <c r="CF112" s="82"/>
      <c r="CG112" s="82"/>
      <c r="CH112" s="82"/>
      <c r="CI112" s="82"/>
      <c r="CJ112" s="79"/>
      <c r="CK112" s="79"/>
      <c r="CL112" s="79"/>
      <c r="CM112" s="79"/>
      <c r="CN112" s="79"/>
      <c r="CO112" s="79"/>
    </row>
    <row r="113" spans="1:93">
      <c r="A113" s="98">
        <v>9</v>
      </c>
      <c r="B113" s="380" t="s">
        <v>682</v>
      </c>
      <c r="C113" s="188" t="s">
        <v>693</v>
      </c>
      <c r="D113" s="47" t="s">
        <v>716</v>
      </c>
      <c r="E113" s="126"/>
      <c r="F113" s="382" t="s">
        <v>745</v>
      </c>
      <c r="G113" s="167"/>
      <c r="H113" s="167">
        <v>1</v>
      </c>
      <c r="I113" s="170" t="s">
        <v>705</v>
      </c>
      <c r="J113" s="180">
        <f t="shared" ref="J113:J121" si="20">(G113*$C$255)+(H113*$D$255)</f>
        <v>1000000</v>
      </c>
      <c r="K113" s="181">
        <f t="shared" ref="K113:K121" si="21">SUM(G113:I113)*500000</f>
        <v>500000</v>
      </c>
      <c r="L113" s="152"/>
      <c r="M113" s="152"/>
      <c r="N113" s="183">
        <f t="shared" si="19"/>
        <v>1500000</v>
      </c>
      <c r="O113" s="177" t="s">
        <v>694</v>
      </c>
      <c r="P113" s="145"/>
      <c r="Q113" s="141"/>
      <c r="R113" s="190"/>
      <c r="S113" s="83"/>
      <c r="T113" s="87"/>
      <c r="U113" s="87"/>
      <c r="V113" s="87"/>
      <c r="W113" s="44"/>
      <c r="X113" s="88"/>
      <c r="Y113" s="79"/>
      <c r="Z113" s="79"/>
      <c r="AA113" s="79"/>
      <c r="AB113" s="79"/>
      <c r="AC113" s="86"/>
      <c r="AD113" s="82"/>
      <c r="AE113" s="79"/>
      <c r="AF113" s="88"/>
      <c r="AG113" s="80"/>
      <c r="AH113" s="79"/>
      <c r="AI113" s="79"/>
      <c r="AJ113" s="79"/>
      <c r="AK113" s="80"/>
      <c r="AL113" s="80"/>
      <c r="AM113" s="80"/>
      <c r="AN113" s="79"/>
      <c r="AO113" s="80"/>
      <c r="AP113" s="80"/>
      <c r="AQ113" s="80"/>
      <c r="AR113" s="85"/>
      <c r="AS113" s="85"/>
      <c r="AT113" s="85"/>
      <c r="AU113" s="85"/>
      <c r="AV113" s="85"/>
      <c r="AW113" s="82"/>
      <c r="AX113" s="79"/>
      <c r="AY113" s="82"/>
      <c r="AZ113" s="82"/>
      <c r="BA113" s="86"/>
      <c r="BB113" s="79"/>
      <c r="BC113" s="79"/>
      <c r="BD113" s="79"/>
      <c r="BE113" s="82"/>
      <c r="BF113" s="85"/>
      <c r="BG113" s="79"/>
      <c r="BH113" s="79"/>
      <c r="BI113" s="79"/>
      <c r="BJ113" s="88"/>
      <c r="BK113" s="88"/>
      <c r="BL113" s="79"/>
      <c r="BM113" s="185"/>
      <c r="BN113" s="90"/>
      <c r="BO113" s="80"/>
      <c r="BP113" s="80"/>
      <c r="BQ113" s="80"/>
      <c r="BR113" s="80"/>
      <c r="BS113" s="80"/>
      <c r="BT113" s="80"/>
      <c r="BU113" s="80"/>
      <c r="BV113" s="80"/>
      <c r="BW113" s="82"/>
      <c r="BX113" s="79"/>
      <c r="BY113" s="79"/>
      <c r="BZ113" s="79"/>
      <c r="CA113" s="79"/>
      <c r="CB113" s="79"/>
      <c r="CC113" s="82"/>
      <c r="CD113" s="82"/>
      <c r="CE113" s="82"/>
      <c r="CF113" s="82"/>
      <c r="CG113" s="82"/>
      <c r="CH113" s="82"/>
      <c r="CI113" s="82"/>
      <c r="CJ113" s="79"/>
      <c r="CK113" s="79"/>
      <c r="CL113" s="79"/>
      <c r="CM113" s="79"/>
      <c r="CN113" s="79"/>
      <c r="CO113" s="79"/>
    </row>
    <row r="114" spans="1:93">
      <c r="A114" s="98">
        <v>10</v>
      </c>
      <c r="B114" s="380" t="s">
        <v>685</v>
      </c>
      <c r="C114" s="188">
        <v>45019</v>
      </c>
      <c r="D114" s="47" t="s">
        <v>733</v>
      </c>
      <c r="E114" s="126"/>
      <c r="F114" s="382" t="s">
        <v>745</v>
      </c>
      <c r="G114" s="167">
        <v>1</v>
      </c>
      <c r="H114" s="167"/>
      <c r="I114" s="170" t="s">
        <v>708</v>
      </c>
      <c r="J114" s="180">
        <f t="shared" si="20"/>
        <v>650000</v>
      </c>
      <c r="K114" s="181">
        <f t="shared" si="21"/>
        <v>500000</v>
      </c>
      <c r="L114" s="152"/>
      <c r="M114" s="152"/>
      <c r="N114" s="183">
        <f t="shared" si="19"/>
        <v>1150000</v>
      </c>
      <c r="O114" s="177" t="s">
        <v>697</v>
      </c>
      <c r="P114" s="145"/>
      <c r="Q114" s="141"/>
      <c r="R114" s="190"/>
      <c r="S114" s="83"/>
      <c r="T114" s="87"/>
      <c r="U114" s="87"/>
      <c r="V114" s="87"/>
      <c r="W114" s="44"/>
      <c r="X114" s="88"/>
      <c r="Y114" s="79"/>
      <c r="Z114" s="79"/>
      <c r="AA114" s="79"/>
      <c r="AB114" s="79"/>
      <c r="AC114" s="86"/>
      <c r="AD114" s="82"/>
      <c r="AE114" s="79"/>
      <c r="AF114" s="88"/>
      <c r="AG114" s="80"/>
      <c r="AH114" s="79"/>
      <c r="AI114" s="79"/>
      <c r="AJ114" s="79"/>
      <c r="AK114" s="80"/>
      <c r="AL114" s="80"/>
      <c r="AM114" s="80"/>
      <c r="AN114" s="79"/>
      <c r="AO114" s="80"/>
      <c r="AP114" s="80"/>
      <c r="AQ114" s="80"/>
      <c r="AR114" s="85"/>
      <c r="AS114" s="85"/>
      <c r="AT114" s="85"/>
      <c r="AU114" s="85"/>
      <c r="AV114" s="85"/>
      <c r="AW114" s="82"/>
      <c r="AX114" s="79"/>
      <c r="AY114" s="82"/>
      <c r="AZ114" s="82"/>
      <c r="BA114" s="86"/>
      <c r="BB114" s="79"/>
      <c r="BC114" s="79"/>
      <c r="BD114" s="79"/>
      <c r="BE114" s="82"/>
      <c r="BF114" s="85"/>
      <c r="BG114" s="79"/>
      <c r="BH114" s="79"/>
      <c r="BI114" s="79"/>
      <c r="BJ114" s="88"/>
      <c r="BK114" s="88"/>
      <c r="BL114" s="79"/>
      <c r="BM114" s="185"/>
      <c r="BN114" s="90"/>
      <c r="BO114" s="80"/>
      <c r="BP114" s="80"/>
      <c r="BQ114" s="80"/>
      <c r="BR114" s="80"/>
      <c r="BS114" s="80"/>
      <c r="BT114" s="80"/>
      <c r="BU114" s="80"/>
      <c r="BV114" s="80"/>
      <c r="BW114" s="82"/>
      <c r="BX114" s="79"/>
      <c r="BY114" s="79"/>
      <c r="BZ114" s="79"/>
      <c r="CA114" s="79"/>
      <c r="CB114" s="79"/>
      <c r="CC114" s="82"/>
      <c r="CD114" s="82"/>
      <c r="CE114" s="82"/>
      <c r="CF114" s="82"/>
      <c r="CG114" s="82"/>
      <c r="CH114" s="82"/>
      <c r="CI114" s="82"/>
      <c r="CJ114" s="79"/>
      <c r="CK114" s="79"/>
      <c r="CL114" s="79"/>
      <c r="CM114" s="79"/>
      <c r="CN114" s="79"/>
      <c r="CO114" s="79"/>
    </row>
    <row r="115" spans="1:93">
      <c r="A115" s="98">
        <v>11</v>
      </c>
      <c r="B115" s="380" t="s">
        <v>686</v>
      </c>
      <c r="C115" s="188">
        <v>45019</v>
      </c>
      <c r="D115" s="47" t="s">
        <v>734</v>
      </c>
      <c r="E115" s="126"/>
      <c r="F115" s="382" t="s">
        <v>745</v>
      </c>
      <c r="G115" s="167"/>
      <c r="H115" s="167">
        <v>1</v>
      </c>
      <c r="I115" s="170" t="s">
        <v>709</v>
      </c>
      <c r="J115" s="180">
        <f t="shared" si="20"/>
        <v>1000000</v>
      </c>
      <c r="K115" s="181">
        <f t="shared" si="21"/>
        <v>500000</v>
      </c>
      <c r="L115" s="152"/>
      <c r="M115" s="152"/>
      <c r="N115" s="183">
        <f t="shared" si="19"/>
        <v>1500000</v>
      </c>
      <c r="O115" s="177" t="s">
        <v>698</v>
      </c>
      <c r="P115" s="145"/>
      <c r="Q115" s="141"/>
      <c r="R115" s="190"/>
      <c r="S115" s="83"/>
      <c r="T115" s="87"/>
      <c r="U115" s="87"/>
      <c r="V115" s="87"/>
      <c r="W115" s="44"/>
      <c r="X115" s="88"/>
      <c r="Y115" s="79"/>
      <c r="Z115" s="79"/>
      <c r="AA115" s="79"/>
      <c r="AB115" s="79"/>
      <c r="AC115" s="86"/>
      <c r="AD115" s="82"/>
      <c r="AE115" s="79"/>
      <c r="AF115" s="88"/>
      <c r="AG115" s="80"/>
      <c r="AH115" s="79"/>
      <c r="AI115" s="79"/>
      <c r="AJ115" s="79"/>
      <c r="AK115" s="80"/>
      <c r="AL115" s="80"/>
      <c r="AM115" s="80"/>
      <c r="AN115" s="79"/>
      <c r="AO115" s="80"/>
      <c r="AP115" s="80"/>
      <c r="AQ115" s="80"/>
      <c r="AR115" s="85"/>
      <c r="AS115" s="85"/>
      <c r="AT115" s="85"/>
      <c r="AU115" s="85"/>
      <c r="AV115" s="85"/>
      <c r="AW115" s="82"/>
      <c r="AX115" s="79"/>
      <c r="AY115" s="82"/>
      <c r="AZ115" s="82"/>
      <c r="BA115" s="86"/>
      <c r="BB115" s="79"/>
      <c r="BC115" s="79"/>
      <c r="BD115" s="79"/>
      <c r="BE115" s="82"/>
      <c r="BF115" s="85"/>
      <c r="BG115" s="79"/>
      <c r="BH115" s="79"/>
      <c r="BI115" s="79"/>
      <c r="BJ115" s="88"/>
      <c r="BK115" s="88"/>
      <c r="BL115" s="79"/>
      <c r="BM115" s="185"/>
      <c r="BN115" s="90"/>
      <c r="BO115" s="80"/>
      <c r="BP115" s="80"/>
      <c r="BQ115" s="80"/>
      <c r="BR115" s="80"/>
      <c r="BS115" s="80"/>
      <c r="BT115" s="80"/>
      <c r="BU115" s="80"/>
      <c r="BV115" s="80"/>
      <c r="BW115" s="82"/>
      <c r="BX115" s="79"/>
      <c r="BY115" s="79"/>
      <c r="BZ115" s="79"/>
      <c r="CA115" s="79"/>
      <c r="CB115" s="79"/>
      <c r="CC115" s="82"/>
      <c r="CD115" s="82"/>
      <c r="CE115" s="82"/>
      <c r="CF115" s="82"/>
      <c r="CG115" s="82"/>
      <c r="CH115" s="82"/>
      <c r="CI115" s="82"/>
      <c r="CJ115" s="79"/>
      <c r="CK115" s="79"/>
      <c r="CL115" s="79"/>
      <c r="CM115" s="79"/>
      <c r="CN115" s="79"/>
      <c r="CO115" s="79"/>
    </row>
    <row r="116" spans="1:93">
      <c r="A116" s="98">
        <v>12</v>
      </c>
      <c r="B116" s="380" t="s">
        <v>687</v>
      </c>
      <c r="C116" s="188">
        <v>45019</v>
      </c>
      <c r="D116" s="47" t="s">
        <v>735</v>
      </c>
      <c r="E116" s="126"/>
      <c r="F116" s="382" t="s">
        <v>745</v>
      </c>
      <c r="G116" s="167">
        <v>1</v>
      </c>
      <c r="H116" s="167"/>
      <c r="I116" s="170" t="s">
        <v>699</v>
      </c>
      <c r="J116" s="180">
        <f t="shared" si="20"/>
        <v>650000</v>
      </c>
      <c r="K116" s="181">
        <f t="shared" si="21"/>
        <v>500000</v>
      </c>
      <c r="L116" s="152"/>
      <c r="M116" s="152"/>
      <c r="N116" s="183">
        <f t="shared" si="19"/>
        <v>1150000</v>
      </c>
      <c r="O116" s="177" t="s">
        <v>699</v>
      </c>
      <c r="P116" s="145"/>
      <c r="Q116" s="141"/>
      <c r="R116" s="190"/>
      <c r="S116" s="83"/>
      <c r="T116" s="87"/>
      <c r="U116" s="87"/>
      <c r="V116" s="87"/>
      <c r="W116" s="44"/>
      <c r="X116" s="88"/>
      <c r="Y116" s="79"/>
      <c r="Z116" s="79"/>
      <c r="AA116" s="79"/>
      <c r="AB116" s="79"/>
      <c r="AC116" s="86"/>
      <c r="AD116" s="82"/>
      <c r="AE116" s="79"/>
      <c r="AF116" s="88"/>
      <c r="AG116" s="80"/>
      <c r="AH116" s="79"/>
      <c r="AI116" s="79"/>
      <c r="AJ116" s="79"/>
      <c r="AK116" s="80"/>
      <c r="AL116" s="80"/>
      <c r="AM116" s="80"/>
      <c r="AN116" s="79"/>
      <c r="AO116" s="80"/>
      <c r="AP116" s="80"/>
      <c r="AQ116" s="80"/>
      <c r="AR116" s="85"/>
      <c r="AS116" s="85"/>
      <c r="AT116" s="85"/>
      <c r="AU116" s="85"/>
      <c r="AV116" s="85"/>
      <c r="AW116" s="82"/>
      <c r="AX116" s="79"/>
      <c r="AY116" s="82"/>
      <c r="AZ116" s="82"/>
      <c r="BA116" s="86"/>
      <c r="BB116" s="79"/>
      <c r="BC116" s="79"/>
      <c r="BD116" s="79"/>
      <c r="BE116" s="82"/>
      <c r="BF116" s="85"/>
      <c r="BG116" s="79"/>
      <c r="BH116" s="79"/>
      <c r="BI116" s="79"/>
      <c r="BJ116" s="88"/>
      <c r="BK116" s="88"/>
      <c r="BL116" s="79"/>
      <c r="BM116" s="185"/>
      <c r="BN116" s="90"/>
      <c r="BO116" s="80"/>
      <c r="BP116" s="80"/>
      <c r="BQ116" s="80"/>
      <c r="BR116" s="80"/>
      <c r="BS116" s="80"/>
      <c r="BT116" s="80"/>
      <c r="BU116" s="80"/>
      <c r="BV116" s="80"/>
      <c r="BW116" s="82"/>
      <c r="BX116" s="79"/>
      <c r="BY116" s="79"/>
      <c r="BZ116" s="79"/>
      <c r="CA116" s="79"/>
      <c r="CB116" s="79"/>
      <c r="CC116" s="82"/>
      <c r="CD116" s="82"/>
      <c r="CE116" s="82"/>
      <c r="CF116" s="82"/>
      <c r="CG116" s="82"/>
      <c r="CH116" s="82"/>
      <c r="CI116" s="82"/>
      <c r="CJ116" s="79"/>
      <c r="CK116" s="79"/>
      <c r="CL116" s="79"/>
      <c r="CM116" s="79"/>
      <c r="CN116" s="79"/>
      <c r="CO116" s="79"/>
    </row>
    <row r="117" spans="1:93" ht="52.8">
      <c r="A117" s="98">
        <v>13</v>
      </c>
      <c r="B117" s="380" t="s">
        <v>688</v>
      </c>
      <c r="C117" s="188">
        <v>45019</v>
      </c>
      <c r="D117" s="47" t="s">
        <v>735</v>
      </c>
      <c r="E117" s="126"/>
      <c r="F117" s="382" t="s">
        <v>745</v>
      </c>
      <c r="G117" s="167">
        <v>4</v>
      </c>
      <c r="H117" s="167"/>
      <c r="I117" s="170" t="s">
        <v>710</v>
      </c>
      <c r="J117" s="180">
        <f t="shared" si="20"/>
        <v>2600000</v>
      </c>
      <c r="K117" s="181">
        <f t="shared" si="21"/>
        <v>2000000</v>
      </c>
      <c r="L117" s="152"/>
      <c r="M117" s="152"/>
      <c r="N117" s="183">
        <f t="shared" si="19"/>
        <v>4600000</v>
      </c>
      <c r="O117" s="177">
        <v>225605626</v>
      </c>
      <c r="P117" s="145"/>
      <c r="Q117" s="141"/>
      <c r="R117" s="190"/>
      <c r="S117" s="83"/>
      <c r="T117" s="87"/>
      <c r="U117" s="87"/>
      <c r="V117" s="87"/>
      <c r="W117" s="44"/>
      <c r="X117" s="88"/>
      <c r="Y117" s="79"/>
      <c r="Z117" s="79"/>
      <c r="AA117" s="79"/>
      <c r="AB117" s="79"/>
      <c r="AC117" s="86"/>
      <c r="AD117" s="82"/>
      <c r="AE117" s="79"/>
      <c r="AF117" s="88"/>
      <c r="AG117" s="80"/>
      <c r="AH117" s="79"/>
      <c r="AI117" s="79"/>
      <c r="AJ117" s="79"/>
      <c r="AK117" s="80"/>
      <c r="AL117" s="80"/>
      <c r="AM117" s="80"/>
      <c r="AN117" s="79"/>
      <c r="AO117" s="80"/>
      <c r="AP117" s="80"/>
      <c r="AQ117" s="80"/>
      <c r="AR117" s="85"/>
      <c r="AS117" s="85"/>
      <c r="AT117" s="85"/>
      <c r="AU117" s="85"/>
      <c r="AV117" s="85"/>
      <c r="AW117" s="82"/>
      <c r="AX117" s="79"/>
      <c r="AY117" s="82"/>
      <c r="AZ117" s="82"/>
      <c r="BA117" s="86"/>
      <c r="BB117" s="79"/>
      <c r="BC117" s="79"/>
      <c r="BD117" s="79"/>
      <c r="BE117" s="82"/>
      <c r="BF117" s="85"/>
      <c r="BG117" s="79"/>
      <c r="BH117" s="79"/>
      <c r="BI117" s="79"/>
      <c r="BJ117" s="88"/>
      <c r="BK117" s="88"/>
      <c r="BL117" s="79"/>
      <c r="BM117" s="185"/>
      <c r="BN117" s="90"/>
      <c r="BO117" s="80"/>
      <c r="BP117" s="80"/>
      <c r="BQ117" s="80"/>
      <c r="BR117" s="80"/>
      <c r="BS117" s="80"/>
      <c r="BT117" s="80"/>
      <c r="BU117" s="80"/>
      <c r="BV117" s="80"/>
      <c r="BW117" s="82"/>
      <c r="BX117" s="79"/>
      <c r="BY117" s="79"/>
      <c r="BZ117" s="79"/>
      <c r="CA117" s="79"/>
      <c r="CB117" s="79"/>
      <c r="CC117" s="82"/>
      <c r="CD117" s="82"/>
      <c r="CE117" s="82"/>
      <c r="CF117" s="82"/>
      <c r="CG117" s="82"/>
      <c r="CH117" s="82"/>
      <c r="CI117" s="82"/>
      <c r="CJ117" s="79"/>
      <c r="CK117" s="79"/>
      <c r="CL117" s="79"/>
      <c r="CM117" s="79"/>
      <c r="CN117" s="79"/>
      <c r="CO117" s="79"/>
    </row>
    <row r="118" spans="1:93" ht="26.4">
      <c r="A118" s="98">
        <v>14</v>
      </c>
      <c r="B118" s="380" t="s">
        <v>689</v>
      </c>
      <c r="C118" s="188">
        <v>45019</v>
      </c>
      <c r="D118" s="47" t="s">
        <v>736</v>
      </c>
      <c r="E118" s="126"/>
      <c r="F118" s="382" t="s">
        <v>745</v>
      </c>
      <c r="G118" s="167">
        <v>2</v>
      </c>
      <c r="H118" s="167"/>
      <c r="I118" s="170" t="s">
        <v>711</v>
      </c>
      <c r="J118" s="180">
        <f t="shared" si="20"/>
        <v>1300000</v>
      </c>
      <c r="K118" s="181">
        <f t="shared" si="21"/>
        <v>1000000</v>
      </c>
      <c r="L118" s="152"/>
      <c r="M118" s="152"/>
      <c r="N118" s="183">
        <f t="shared" si="19"/>
        <v>2300000</v>
      </c>
      <c r="O118" s="177" t="s">
        <v>700</v>
      </c>
      <c r="P118" s="145"/>
      <c r="Q118" s="141"/>
      <c r="R118" s="190"/>
      <c r="S118" s="83"/>
      <c r="T118" s="87"/>
      <c r="U118" s="87"/>
      <c r="V118" s="87"/>
      <c r="W118" s="44"/>
      <c r="X118" s="88"/>
      <c r="Y118" s="79"/>
      <c r="Z118" s="79"/>
      <c r="AA118" s="79"/>
      <c r="AB118" s="79"/>
      <c r="AC118" s="86"/>
      <c r="AD118" s="82"/>
      <c r="AE118" s="79"/>
      <c r="AF118" s="88"/>
      <c r="AG118" s="80"/>
      <c r="AH118" s="79"/>
      <c r="AI118" s="79"/>
      <c r="AJ118" s="79"/>
      <c r="AK118" s="80"/>
      <c r="AL118" s="80"/>
      <c r="AM118" s="80"/>
      <c r="AN118" s="79"/>
      <c r="AO118" s="80"/>
      <c r="AP118" s="80"/>
      <c r="AQ118" s="80"/>
      <c r="AR118" s="85"/>
      <c r="AS118" s="85"/>
      <c r="AT118" s="85"/>
      <c r="AU118" s="85"/>
      <c r="AV118" s="85"/>
      <c r="AW118" s="82"/>
      <c r="AX118" s="79"/>
      <c r="AY118" s="82"/>
      <c r="AZ118" s="82"/>
      <c r="BA118" s="86"/>
      <c r="BB118" s="79"/>
      <c r="BC118" s="79"/>
      <c r="BD118" s="79"/>
      <c r="BE118" s="82"/>
      <c r="BF118" s="85"/>
      <c r="BG118" s="79"/>
      <c r="BH118" s="79"/>
      <c r="BI118" s="79"/>
      <c r="BJ118" s="88"/>
      <c r="BK118" s="88"/>
      <c r="BL118" s="79"/>
      <c r="BM118" s="185"/>
      <c r="BN118" s="90"/>
      <c r="BO118" s="80"/>
      <c r="BP118" s="80"/>
      <c r="BQ118" s="80"/>
      <c r="BR118" s="80"/>
      <c r="BS118" s="80"/>
      <c r="BT118" s="80"/>
      <c r="BU118" s="80"/>
      <c r="BV118" s="80"/>
      <c r="BW118" s="82"/>
      <c r="BX118" s="79"/>
      <c r="BY118" s="79"/>
      <c r="BZ118" s="79"/>
      <c r="CA118" s="79"/>
      <c r="CB118" s="79"/>
      <c r="CC118" s="82"/>
      <c r="CD118" s="82"/>
      <c r="CE118" s="82"/>
      <c r="CF118" s="82"/>
      <c r="CG118" s="82"/>
      <c r="CH118" s="82"/>
      <c r="CI118" s="82"/>
      <c r="CJ118" s="79"/>
      <c r="CK118" s="79"/>
      <c r="CL118" s="79"/>
      <c r="CM118" s="79"/>
      <c r="CN118" s="79"/>
      <c r="CO118" s="79"/>
    </row>
    <row r="119" spans="1:93" ht="26.4">
      <c r="A119" s="98">
        <v>15</v>
      </c>
      <c r="B119" s="380" t="s">
        <v>690</v>
      </c>
      <c r="C119" s="188">
        <v>45020</v>
      </c>
      <c r="D119" s="47" t="s">
        <v>737</v>
      </c>
      <c r="E119" s="126"/>
      <c r="F119" s="382" t="s">
        <v>745</v>
      </c>
      <c r="G119" s="167">
        <v>2</v>
      </c>
      <c r="H119" s="167"/>
      <c r="I119" s="170" t="s">
        <v>712</v>
      </c>
      <c r="J119" s="180">
        <f t="shared" si="20"/>
        <v>1300000</v>
      </c>
      <c r="K119" s="181">
        <f t="shared" si="21"/>
        <v>1000000</v>
      </c>
      <c r="L119" s="152"/>
      <c r="M119" s="152"/>
      <c r="N119" s="183">
        <f t="shared" si="19"/>
        <v>2300000</v>
      </c>
      <c r="O119" s="177" t="s">
        <v>701</v>
      </c>
      <c r="P119" s="145"/>
      <c r="Q119" s="141"/>
      <c r="R119" s="190"/>
      <c r="S119" s="83"/>
      <c r="T119" s="87"/>
      <c r="U119" s="87"/>
      <c r="V119" s="87"/>
      <c r="W119" s="44"/>
      <c r="X119" s="88"/>
      <c r="Y119" s="79"/>
      <c r="Z119" s="79"/>
      <c r="AA119" s="79"/>
      <c r="AB119" s="79"/>
      <c r="AC119" s="86"/>
      <c r="AD119" s="82"/>
      <c r="AE119" s="79"/>
      <c r="AF119" s="88"/>
      <c r="AG119" s="80"/>
      <c r="AH119" s="79"/>
      <c r="AI119" s="79"/>
      <c r="AJ119" s="79"/>
      <c r="AK119" s="80"/>
      <c r="AL119" s="80"/>
      <c r="AM119" s="80"/>
      <c r="AN119" s="79"/>
      <c r="AO119" s="80"/>
      <c r="AP119" s="80"/>
      <c r="AQ119" s="80"/>
      <c r="AR119" s="85"/>
      <c r="AS119" s="85"/>
      <c r="AT119" s="85"/>
      <c r="AU119" s="85"/>
      <c r="AV119" s="85"/>
      <c r="AW119" s="82"/>
      <c r="AX119" s="79"/>
      <c r="AY119" s="82"/>
      <c r="AZ119" s="82"/>
      <c r="BA119" s="86"/>
      <c r="BB119" s="79"/>
      <c r="BC119" s="79"/>
      <c r="BD119" s="79"/>
      <c r="BE119" s="82"/>
      <c r="BF119" s="85"/>
      <c r="BG119" s="79"/>
      <c r="BH119" s="79"/>
      <c r="BI119" s="79"/>
      <c r="BJ119" s="88"/>
      <c r="BK119" s="88"/>
      <c r="BL119" s="79"/>
      <c r="BM119" s="185"/>
      <c r="BN119" s="90"/>
      <c r="BO119" s="80"/>
      <c r="BP119" s="80"/>
      <c r="BQ119" s="80"/>
      <c r="BR119" s="80"/>
      <c r="BS119" s="80"/>
      <c r="BT119" s="80"/>
      <c r="BU119" s="80"/>
      <c r="BV119" s="80"/>
      <c r="BW119" s="82"/>
      <c r="BX119" s="79"/>
      <c r="BY119" s="79"/>
      <c r="BZ119" s="79"/>
      <c r="CA119" s="79"/>
      <c r="CB119" s="79"/>
      <c r="CC119" s="82"/>
      <c r="CD119" s="82"/>
      <c r="CE119" s="82"/>
      <c r="CF119" s="82"/>
      <c r="CG119" s="82"/>
      <c r="CH119" s="82"/>
      <c r="CI119" s="82"/>
      <c r="CJ119" s="79"/>
      <c r="CK119" s="79"/>
      <c r="CL119" s="79"/>
      <c r="CM119" s="79"/>
      <c r="CN119" s="79"/>
      <c r="CO119" s="79"/>
    </row>
    <row r="120" spans="1:93">
      <c r="A120" s="98">
        <v>16</v>
      </c>
      <c r="B120" s="380" t="s">
        <v>691</v>
      </c>
      <c r="C120" s="188">
        <v>45020</v>
      </c>
      <c r="D120" s="47" t="s">
        <v>738</v>
      </c>
      <c r="E120" s="126"/>
      <c r="F120" s="382" t="s">
        <v>745</v>
      </c>
      <c r="G120" s="167">
        <v>1</v>
      </c>
      <c r="H120" s="167"/>
      <c r="I120" s="170" t="s">
        <v>713</v>
      </c>
      <c r="J120" s="180">
        <f t="shared" si="20"/>
        <v>650000</v>
      </c>
      <c r="K120" s="181">
        <f t="shared" si="21"/>
        <v>500000</v>
      </c>
      <c r="L120" s="152"/>
      <c r="M120" s="152"/>
      <c r="N120" s="183">
        <f t="shared" si="19"/>
        <v>1150000</v>
      </c>
      <c r="O120" s="177" t="s">
        <v>702</v>
      </c>
      <c r="P120" s="145"/>
      <c r="Q120" s="141"/>
      <c r="R120" s="190"/>
      <c r="S120" s="83"/>
      <c r="T120" s="87"/>
      <c r="U120" s="87"/>
      <c r="V120" s="87"/>
      <c r="W120" s="44"/>
      <c r="X120" s="88"/>
      <c r="Y120" s="79"/>
      <c r="Z120" s="79"/>
      <c r="AA120" s="79"/>
      <c r="AB120" s="79"/>
      <c r="AC120" s="86"/>
      <c r="AD120" s="82"/>
      <c r="AE120" s="79"/>
      <c r="AF120" s="88"/>
      <c r="AG120" s="80"/>
      <c r="AH120" s="79"/>
      <c r="AI120" s="79"/>
      <c r="AJ120" s="79"/>
      <c r="AK120" s="80"/>
      <c r="AL120" s="80"/>
      <c r="AM120" s="80"/>
      <c r="AN120" s="79"/>
      <c r="AO120" s="80"/>
      <c r="AP120" s="80"/>
      <c r="AQ120" s="80"/>
      <c r="AR120" s="85"/>
      <c r="AS120" s="85"/>
      <c r="AT120" s="85"/>
      <c r="AU120" s="85"/>
      <c r="AV120" s="85"/>
      <c r="AW120" s="82"/>
      <c r="AX120" s="79"/>
      <c r="AY120" s="82"/>
      <c r="AZ120" s="82"/>
      <c r="BA120" s="86"/>
      <c r="BB120" s="79"/>
      <c r="BC120" s="79"/>
      <c r="BD120" s="79"/>
      <c r="BE120" s="82"/>
      <c r="BF120" s="85"/>
      <c r="BG120" s="79"/>
      <c r="BH120" s="79"/>
      <c r="BI120" s="79"/>
      <c r="BJ120" s="88"/>
      <c r="BK120" s="88"/>
      <c r="BL120" s="79"/>
      <c r="BM120" s="185"/>
      <c r="BN120" s="90"/>
      <c r="BO120" s="80"/>
      <c r="BP120" s="80"/>
      <c r="BQ120" s="80"/>
      <c r="BR120" s="80"/>
      <c r="BS120" s="80"/>
      <c r="BT120" s="80"/>
      <c r="BU120" s="80"/>
      <c r="BV120" s="80"/>
      <c r="BW120" s="82"/>
      <c r="BX120" s="79"/>
      <c r="BY120" s="79"/>
      <c r="BZ120" s="79"/>
      <c r="CA120" s="79"/>
      <c r="CB120" s="79"/>
      <c r="CC120" s="82"/>
      <c r="CD120" s="82"/>
      <c r="CE120" s="82"/>
      <c r="CF120" s="82"/>
      <c r="CG120" s="82"/>
      <c r="CH120" s="82"/>
      <c r="CI120" s="82"/>
      <c r="CJ120" s="79"/>
      <c r="CK120" s="79"/>
      <c r="CL120" s="79"/>
      <c r="CM120" s="79"/>
      <c r="CN120" s="79"/>
      <c r="CO120" s="79"/>
    </row>
    <row r="121" spans="1:93">
      <c r="A121" s="98">
        <v>17</v>
      </c>
      <c r="B121" s="380" t="s">
        <v>692</v>
      </c>
      <c r="C121" s="188">
        <v>45020</v>
      </c>
      <c r="D121" s="47" t="s">
        <v>739</v>
      </c>
      <c r="E121" s="126"/>
      <c r="F121" s="382" t="s">
        <v>745</v>
      </c>
      <c r="G121" s="167"/>
      <c r="H121" s="167">
        <v>1</v>
      </c>
      <c r="I121" s="170" t="s">
        <v>714</v>
      </c>
      <c r="J121" s="180">
        <f t="shared" si="20"/>
        <v>1000000</v>
      </c>
      <c r="K121" s="181">
        <f t="shared" si="21"/>
        <v>500000</v>
      </c>
      <c r="L121" s="152"/>
      <c r="M121" s="152"/>
      <c r="N121" s="183">
        <f t="shared" si="19"/>
        <v>1500000</v>
      </c>
      <c r="O121" s="177" t="s">
        <v>703</v>
      </c>
      <c r="P121" s="145"/>
      <c r="Q121" s="141"/>
      <c r="R121" s="190"/>
      <c r="S121" s="83"/>
      <c r="T121" s="87"/>
      <c r="U121" s="87"/>
      <c r="V121" s="87"/>
      <c r="W121" s="44"/>
      <c r="X121" s="88"/>
      <c r="Y121" s="79"/>
      <c r="Z121" s="79"/>
      <c r="AA121" s="79"/>
      <c r="AB121" s="79"/>
      <c r="AC121" s="86"/>
      <c r="AD121" s="82"/>
      <c r="AE121" s="79"/>
      <c r="AF121" s="88"/>
      <c r="AG121" s="80"/>
      <c r="AH121" s="79"/>
      <c r="AI121" s="79"/>
      <c r="AJ121" s="79"/>
      <c r="AK121" s="80"/>
      <c r="AL121" s="80"/>
      <c r="AM121" s="80"/>
      <c r="AN121" s="79"/>
      <c r="AO121" s="80"/>
      <c r="AP121" s="80"/>
      <c r="AQ121" s="80"/>
      <c r="AR121" s="85"/>
      <c r="AS121" s="85"/>
      <c r="AT121" s="85"/>
      <c r="AU121" s="85"/>
      <c r="AV121" s="85"/>
      <c r="AW121" s="82"/>
      <c r="AX121" s="79"/>
      <c r="AY121" s="82"/>
      <c r="AZ121" s="82"/>
      <c r="BA121" s="86"/>
      <c r="BB121" s="79"/>
      <c r="BC121" s="79"/>
      <c r="BD121" s="79"/>
      <c r="BE121" s="82"/>
      <c r="BF121" s="85"/>
      <c r="BG121" s="79"/>
      <c r="BH121" s="79"/>
      <c r="BI121" s="79"/>
      <c r="BJ121" s="88"/>
      <c r="BK121" s="88"/>
      <c r="BL121" s="79"/>
      <c r="BM121" s="185"/>
      <c r="BN121" s="90"/>
      <c r="BO121" s="80"/>
      <c r="BP121" s="80"/>
      <c r="BQ121" s="80"/>
      <c r="BR121" s="80"/>
      <c r="BS121" s="80"/>
      <c r="BT121" s="80"/>
      <c r="BU121" s="80"/>
      <c r="BV121" s="80"/>
      <c r="BW121" s="82"/>
      <c r="BX121" s="79"/>
      <c r="BY121" s="79"/>
      <c r="BZ121" s="79"/>
      <c r="CA121" s="79"/>
      <c r="CB121" s="79"/>
      <c r="CC121" s="82"/>
      <c r="CD121" s="82"/>
      <c r="CE121" s="82"/>
      <c r="CF121" s="82"/>
      <c r="CG121" s="82"/>
      <c r="CH121" s="82"/>
      <c r="CI121" s="82"/>
      <c r="CJ121" s="79"/>
      <c r="CK121" s="79"/>
      <c r="CL121" s="79"/>
      <c r="CM121" s="79"/>
      <c r="CN121" s="79"/>
      <c r="CO121" s="79"/>
    </row>
    <row r="122" spans="1:93" ht="26.4">
      <c r="A122" s="98">
        <v>18</v>
      </c>
      <c r="B122" s="380" t="s">
        <v>786</v>
      </c>
      <c r="C122" s="188">
        <v>45027</v>
      </c>
      <c r="D122" s="47" t="s">
        <v>813</v>
      </c>
      <c r="E122" s="126"/>
      <c r="F122" s="154" t="s">
        <v>886</v>
      </c>
      <c r="G122" s="167">
        <v>2</v>
      </c>
      <c r="H122" s="167"/>
      <c r="I122" s="170" t="s">
        <v>798</v>
      </c>
      <c r="J122" s="155"/>
      <c r="K122" s="156"/>
      <c r="L122" s="157"/>
      <c r="M122" s="157"/>
      <c r="N122" s="183"/>
      <c r="O122" s="177" t="s">
        <v>808</v>
      </c>
      <c r="P122" s="145"/>
      <c r="Q122" s="141"/>
      <c r="R122" s="190"/>
      <c r="S122" s="83"/>
      <c r="T122" s="87"/>
      <c r="U122" s="87"/>
      <c r="V122" s="87"/>
      <c r="W122" s="44"/>
      <c r="X122" s="88"/>
      <c r="Y122" s="79"/>
      <c r="Z122" s="79"/>
      <c r="AA122" s="79"/>
      <c r="AB122" s="79"/>
      <c r="AC122" s="86"/>
      <c r="AD122" s="82"/>
      <c r="AE122" s="79"/>
      <c r="AF122" s="88"/>
      <c r="AG122" s="80"/>
      <c r="AH122" s="79"/>
      <c r="AI122" s="79"/>
      <c r="AJ122" s="79"/>
      <c r="AK122" s="80"/>
      <c r="AL122" s="80"/>
      <c r="AM122" s="80"/>
      <c r="AN122" s="79"/>
      <c r="AO122" s="80"/>
      <c r="AP122" s="80"/>
      <c r="AQ122" s="80"/>
      <c r="AR122" s="85"/>
      <c r="AS122" s="85"/>
      <c r="AT122" s="85"/>
      <c r="AU122" s="85"/>
      <c r="AV122" s="85"/>
      <c r="AW122" s="82"/>
      <c r="AX122" s="79"/>
      <c r="AY122" s="82"/>
      <c r="AZ122" s="82"/>
      <c r="BA122" s="86"/>
      <c r="BB122" s="79"/>
      <c r="BC122" s="79"/>
      <c r="BD122" s="79"/>
      <c r="BE122" s="82"/>
      <c r="BF122" s="85"/>
      <c r="BG122" s="79"/>
      <c r="BH122" s="79"/>
      <c r="BI122" s="79"/>
      <c r="BJ122" s="88"/>
      <c r="BK122" s="88"/>
      <c r="BL122" s="79"/>
      <c r="BM122" s="185"/>
      <c r="BN122" s="90"/>
      <c r="BO122" s="80"/>
      <c r="BP122" s="80"/>
      <c r="BQ122" s="80"/>
      <c r="BR122" s="80"/>
      <c r="BS122" s="80"/>
      <c r="BT122" s="80"/>
      <c r="BU122" s="80"/>
      <c r="BV122" s="80"/>
      <c r="BW122" s="82"/>
      <c r="BX122" s="79"/>
      <c r="BY122" s="79"/>
      <c r="BZ122" s="79"/>
      <c r="CA122" s="79"/>
      <c r="CB122" s="79"/>
      <c r="CC122" s="82"/>
      <c r="CD122" s="82"/>
      <c r="CE122" s="82"/>
      <c r="CF122" s="82"/>
      <c r="CG122" s="82"/>
      <c r="CH122" s="82"/>
      <c r="CI122" s="82"/>
      <c r="CJ122" s="79"/>
      <c r="CK122" s="79"/>
      <c r="CL122" s="79"/>
      <c r="CM122" s="79"/>
      <c r="CN122" s="79"/>
      <c r="CO122" s="79"/>
    </row>
    <row r="123" spans="1:93" ht="26.4">
      <c r="A123" s="98">
        <v>19</v>
      </c>
      <c r="B123" s="178" t="s">
        <v>779</v>
      </c>
      <c r="C123" s="188">
        <v>45021</v>
      </c>
      <c r="D123" s="47" t="s">
        <v>814</v>
      </c>
      <c r="E123" s="126"/>
      <c r="F123" s="154" t="s">
        <v>886</v>
      </c>
      <c r="G123" s="167"/>
      <c r="H123" s="167">
        <v>2</v>
      </c>
      <c r="I123" s="170" t="s">
        <v>791</v>
      </c>
      <c r="J123" s="155"/>
      <c r="K123" s="156"/>
      <c r="L123" s="157"/>
      <c r="M123" s="157"/>
      <c r="N123" s="183"/>
      <c r="O123" s="177" t="s">
        <v>803</v>
      </c>
      <c r="P123" s="145"/>
      <c r="Q123" s="141"/>
      <c r="R123" s="190"/>
      <c r="S123" s="83"/>
      <c r="T123" s="87"/>
      <c r="U123" s="87"/>
      <c r="V123" s="87"/>
      <c r="W123" s="44"/>
      <c r="X123" s="88"/>
      <c r="Y123" s="79"/>
      <c r="Z123" s="79"/>
      <c r="AA123" s="79"/>
      <c r="AB123" s="79"/>
      <c r="AC123" s="86"/>
      <c r="AD123" s="82"/>
      <c r="AE123" s="79"/>
      <c r="AF123" s="88"/>
      <c r="AG123" s="80"/>
      <c r="AH123" s="79"/>
      <c r="AI123" s="79"/>
      <c r="AJ123" s="79"/>
      <c r="AK123" s="80"/>
      <c r="AL123" s="80"/>
      <c r="AM123" s="80"/>
      <c r="AN123" s="79"/>
      <c r="AO123" s="80"/>
      <c r="AP123" s="80"/>
      <c r="AQ123" s="80"/>
      <c r="AR123" s="85"/>
      <c r="AS123" s="85"/>
      <c r="AT123" s="85"/>
      <c r="AU123" s="85"/>
      <c r="AV123" s="85"/>
      <c r="AW123" s="82"/>
      <c r="AX123" s="79"/>
      <c r="AY123" s="82"/>
      <c r="AZ123" s="82"/>
      <c r="BA123" s="86"/>
      <c r="BB123" s="79"/>
      <c r="BC123" s="79"/>
      <c r="BD123" s="79"/>
      <c r="BE123" s="82"/>
      <c r="BF123" s="85"/>
      <c r="BG123" s="79"/>
      <c r="BH123" s="79"/>
      <c r="BI123" s="79"/>
      <c r="BJ123" s="88"/>
      <c r="BK123" s="88"/>
      <c r="BL123" s="79"/>
      <c r="BM123" s="185"/>
      <c r="BN123" s="90"/>
      <c r="BO123" s="80"/>
      <c r="BP123" s="80"/>
      <c r="BQ123" s="80"/>
      <c r="BR123" s="80"/>
      <c r="BS123" s="80"/>
      <c r="BT123" s="80"/>
      <c r="BU123" s="80"/>
      <c r="BV123" s="80"/>
      <c r="BW123" s="82"/>
      <c r="BX123" s="79"/>
      <c r="BY123" s="79"/>
      <c r="BZ123" s="79"/>
      <c r="CA123" s="79"/>
      <c r="CB123" s="79"/>
      <c r="CC123" s="82"/>
      <c r="CD123" s="82"/>
      <c r="CE123" s="82"/>
      <c r="CF123" s="82"/>
      <c r="CG123" s="82"/>
      <c r="CH123" s="82"/>
      <c r="CI123" s="82"/>
      <c r="CJ123" s="79"/>
      <c r="CK123" s="79"/>
      <c r="CL123" s="79"/>
      <c r="CM123" s="79"/>
      <c r="CN123" s="79"/>
      <c r="CO123" s="79"/>
    </row>
    <row r="124" spans="1:93">
      <c r="A124" s="98">
        <v>20</v>
      </c>
      <c r="B124" s="178" t="s">
        <v>780</v>
      </c>
      <c r="C124" s="188">
        <v>45021</v>
      </c>
      <c r="D124" s="47" t="s">
        <v>815</v>
      </c>
      <c r="E124" s="126"/>
      <c r="F124" s="154" t="s">
        <v>886</v>
      </c>
      <c r="G124" s="167"/>
      <c r="H124" s="167">
        <v>1</v>
      </c>
      <c r="I124" s="170" t="s">
        <v>792</v>
      </c>
      <c r="J124" s="155"/>
      <c r="K124" s="156"/>
      <c r="L124" s="157"/>
      <c r="M124" s="157"/>
      <c r="N124" s="183"/>
      <c r="O124" s="177" t="s">
        <v>803</v>
      </c>
      <c r="P124" s="145"/>
      <c r="Q124" s="141"/>
      <c r="R124" s="190"/>
      <c r="S124" s="83"/>
      <c r="T124" s="87"/>
      <c r="U124" s="87"/>
      <c r="V124" s="87"/>
      <c r="W124" s="44"/>
      <c r="X124" s="88"/>
      <c r="Y124" s="79"/>
      <c r="Z124" s="79"/>
      <c r="AA124" s="79"/>
      <c r="AB124" s="79"/>
      <c r="AC124" s="86"/>
      <c r="AD124" s="82"/>
      <c r="AE124" s="79"/>
      <c r="AF124" s="88"/>
      <c r="AG124" s="80"/>
      <c r="AH124" s="79"/>
      <c r="AI124" s="79"/>
      <c r="AJ124" s="79"/>
      <c r="AK124" s="80"/>
      <c r="AL124" s="80"/>
      <c r="AM124" s="80"/>
      <c r="AN124" s="79"/>
      <c r="AO124" s="80"/>
      <c r="AP124" s="80"/>
      <c r="AQ124" s="80"/>
      <c r="AR124" s="85"/>
      <c r="AS124" s="85"/>
      <c r="AT124" s="85"/>
      <c r="AU124" s="85"/>
      <c r="AV124" s="85"/>
      <c r="AW124" s="82"/>
      <c r="AX124" s="79"/>
      <c r="AY124" s="82"/>
      <c r="AZ124" s="82"/>
      <c r="BA124" s="86"/>
      <c r="BB124" s="79"/>
      <c r="BC124" s="79"/>
      <c r="BD124" s="79"/>
      <c r="BE124" s="82"/>
      <c r="BF124" s="85"/>
      <c r="BG124" s="79"/>
      <c r="BH124" s="79"/>
      <c r="BI124" s="79"/>
      <c r="BJ124" s="88"/>
      <c r="BK124" s="88"/>
      <c r="BL124" s="79"/>
      <c r="BM124" s="185"/>
      <c r="BN124" s="90"/>
      <c r="BO124" s="80"/>
      <c r="BP124" s="80"/>
      <c r="BQ124" s="80"/>
      <c r="BR124" s="80"/>
      <c r="BS124" s="80"/>
      <c r="BT124" s="80"/>
      <c r="BU124" s="80"/>
      <c r="BV124" s="80"/>
      <c r="BW124" s="82"/>
      <c r="BX124" s="79"/>
      <c r="BY124" s="79"/>
      <c r="BZ124" s="79"/>
      <c r="CA124" s="79"/>
      <c r="CB124" s="79"/>
      <c r="CC124" s="82"/>
      <c r="CD124" s="82"/>
      <c r="CE124" s="82"/>
      <c r="CF124" s="82"/>
      <c r="CG124" s="82"/>
      <c r="CH124" s="82"/>
      <c r="CI124" s="82"/>
      <c r="CJ124" s="79"/>
      <c r="CK124" s="79"/>
      <c r="CL124" s="79"/>
      <c r="CM124" s="79"/>
      <c r="CN124" s="79"/>
      <c r="CO124" s="79"/>
    </row>
    <row r="125" spans="1:93">
      <c r="A125" s="98">
        <v>21</v>
      </c>
      <c r="B125" s="178" t="s">
        <v>781</v>
      </c>
      <c r="C125" s="188">
        <v>45023</v>
      </c>
      <c r="D125" s="47" t="s">
        <v>816</v>
      </c>
      <c r="E125" s="126"/>
      <c r="F125" s="154" t="s">
        <v>886</v>
      </c>
      <c r="G125" s="167"/>
      <c r="H125" s="167">
        <v>1</v>
      </c>
      <c r="I125" s="170" t="s">
        <v>793</v>
      </c>
      <c r="J125" s="155"/>
      <c r="K125" s="156"/>
      <c r="L125" s="157"/>
      <c r="M125" s="157"/>
      <c r="N125" s="183"/>
      <c r="O125" s="177" t="s">
        <v>804</v>
      </c>
      <c r="P125" s="145"/>
      <c r="Q125" s="141"/>
      <c r="R125" s="190"/>
      <c r="S125" s="83"/>
      <c r="T125" s="87"/>
      <c r="U125" s="87"/>
      <c r="V125" s="87"/>
      <c r="W125" s="44"/>
      <c r="X125" s="88"/>
      <c r="Y125" s="79"/>
      <c r="Z125" s="79"/>
      <c r="AA125" s="79"/>
      <c r="AB125" s="79"/>
      <c r="AC125" s="86"/>
      <c r="AD125" s="82"/>
      <c r="AE125" s="79"/>
      <c r="AF125" s="88"/>
      <c r="AG125" s="80"/>
      <c r="AH125" s="79"/>
      <c r="AI125" s="79"/>
      <c r="AJ125" s="79"/>
      <c r="AK125" s="80"/>
      <c r="AL125" s="80"/>
      <c r="AM125" s="80"/>
      <c r="AN125" s="79"/>
      <c r="AO125" s="80"/>
      <c r="AP125" s="80"/>
      <c r="AQ125" s="80"/>
      <c r="AR125" s="85"/>
      <c r="AS125" s="85"/>
      <c r="AT125" s="85"/>
      <c r="AU125" s="85"/>
      <c r="AV125" s="85"/>
      <c r="AW125" s="82"/>
      <c r="AX125" s="79"/>
      <c r="AY125" s="82"/>
      <c r="AZ125" s="82"/>
      <c r="BA125" s="86"/>
      <c r="BB125" s="79"/>
      <c r="BC125" s="79"/>
      <c r="BD125" s="79"/>
      <c r="BE125" s="82"/>
      <c r="BF125" s="85"/>
      <c r="BG125" s="79"/>
      <c r="BH125" s="79"/>
      <c r="BI125" s="79"/>
      <c r="BJ125" s="88"/>
      <c r="BK125" s="88"/>
      <c r="BL125" s="79"/>
      <c r="BM125" s="185"/>
      <c r="BN125" s="90"/>
      <c r="BO125" s="80"/>
      <c r="BP125" s="80"/>
      <c r="BQ125" s="80"/>
      <c r="BR125" s="80"/>
      <c r="BS125" s="80"/>
      <c r="BT125" s="80"/>
      <c r="BU125" s="80"/>
      <c r="BV125" s="80"/>
      <c r="BW125" s="82"/>
      <c r="BX125" s="79"/>
      <c r="BY125" s="79"/>
      <c r="BZ125" s="79"/>
      <c r="CA125" s="79"/>
      <c r="CB125" s="79"/>
      <c r="CC125" s="82"/>
      <c r="CD125" s="82"/>
      <c r="CE125" s="82"/>
      <c r="CF125" s="82"/>
      <c r="CG125" s="82"/>
      <c r="CH125" s="82"/>
      <c r="CI125" s="82"/>
      <c r="CJ125" s="79"/>
      <c r="CK125" s="79"/>
      <c r="CL125" s="79"/>
      <c r="CM125" s="79"/>
      <c r="CN125" s="79"/>
      <c r="CO125" s="79"/>
    </row>
    <row r="126" spans="1:93">
      <c r="A126" s="98">
        <v>22</v>
      </c>
      <c r="B126" s="178" t="s">
        <v>782</v>
      </c>
      <c r="C126" s="188">
        <v>45023</v>
      </c>
      <c r="D126" s="47" t="s">
        <v>817</v>
      </c>
      <c r="E126" s="126"/>
      <c r="F126" s="154" t="s">
        <v>886</v>
      </c>
      <c r="G126" s="167">
        <v>1</v>
      </c>
      <c r="H126" s="167"/>
      <c r="I126" s="170" t="s">
        <v>794</v>
      </c>
      <c r="J126" s="155"/>
      <c r="K126" s="156"/>
      <c r="L126" s="157"/>
      <c r="M126" s="157"/>
      <c r="N126" s="183"/>
      <c r="O126" s="177" t="s">
        <v>805</v>
      </c>
      <c r="P126" s="145"/>
      <c r="Q126" s="141"/>
      <c r="R126" s="190"/>
      <c r="S126" s="83"/>
      <c r="T126" s="87"/>
      <c r="U126" s="87"/>
      <c r="V126" s="87"/>
      <c r="W126" s="44"/>
      <c r="X126" s="88"/>
      <c r="Y126" s="79"/>
      <c r="Z126" s="79"/>
      <c r="AA126" s="79"/>
      <c r="AB126" s="79"/>
      <c r="AC126" s="86"/>
      <c r="AD126" s="82"/>
      <c r="AE126" s="79"/>
      <c r="AF126" s="88"/>
      <c r="AG126" s="80"/>
      <c r="AH126" s="79"/>
      <c r="AI126" s="79"/>
      <c r="AJ126" s="79"/>
      <c r="AK126" s="80"/>
      <c r="AL126" s="80"/>
      <c r="AM126" s="80"/>
      <c r="AN126" s="79"/>
      <c r="AO126" s="80"/>
      <c r="AP126" s="80"/>
      <c r="AQ126" s="80"/>
      <c r="AR126" s="85"/>
      <c r="AS126" s="85"/>
      <c r="AT126" s="85"/>
      <c r="AU126" s="85"/>
      <c r="AV126" s="85"/>
      <c r="AW126" s="82"/>
      <c r="AX126" s="79"/>
      <c r="AY126" s="82"/>
      <c r="AZ126" s="82"/>
      <c r="BA126" s="86"/>
      <c r="BB126" s="79"/>
      <c r="BC126" s="79"/>
      <c r="BD126" s="79"/>
      <c r="BE126" s="82"/>
      <c r="BF126" s="85"/>
      <c r="BG126" s="79"/>
      <c r="BH126" s="79"/>
      <c r="BI126" s="79"/>
      <c r="BJ126" s="88"/>
      <c r="BK126" s="88"/>
      <c r="BL126" s="79"/>
      <c r="BM126" s="185"/>
      <c r="BN126" s="90"/>
      <c r="BO126" s="80"/>
      <c r="BP126" s="80"/>
      <c r="BQ126" s="80"/>
      <c r="BR126" s="80"/>
      <c r="BS126" s="80"/>
      <c r="BT126" s="80"/>
      <c r="BU126" s="80"/>
      <c r="BV126" s="80"/>
      <c r="BW126" s="82"/>
      <c r="BX126" s="79"/>
      <c r="BY126" s="79"/>
      <c r="BZ126" s="79"/>
      <c r="CA126" s="79"/>
      <c r="CB126" s="79"/>
      <c r="CC126" s="82"/>
      <c r="CD126" s="82"/>
      <c r="CE126" s="82"/>
      <c r="CF126" s="82"/>
      <c r="CG126" s="82"/>
      <c r="CH126" s="82"/>
      <c r="CI126" s="82"/>
      <c r="CJ126" s="79"/>
      <c r="CK126" s="79"/>
      <c r="CL126" s="79"/>
      <c r="CM126" s="79"/>
      <c r="CN126" s="79"/>
      <c r="CO126" s="79"/>
    </row>
    <row r="127" spans="1:93">
      <c r="A127" s="98">
        <v>23</v>
      </c>
      <c r="B127" s="178" t="s">
        <v>783</v>
      </c>
      <c r="C127" s="188">
        <v>45023</v>
      </c>
      <c r="D127" s="47" t="s">
        <v>818</v>
      </c>
      <c r="E127" s="126"/>
      <c r="F127" s="154" t="s">
        <v>886</v>
      </c>
      <c r="G127" s="167">
        <v>1</v>
      </c>
      <c r="H127" s="167"/>
      <c r="I127" s="170" t="s">
        <v>795</v>
      </c>
      <c r="J127" s="155"/>
      <c r="K127" s="156"/>
      <c r="L127" s="157"/>
      <c r="M127" s="157"/>
      <c r="N127" s="183"/>
      <c r="O127" s="177" t="s">
        <v>806</v>
      </c>
      <c r="P127" s="145"/>
      <c r="Q127" s="141"/>
      <c r="R127" s="190"/>
      <c r="S127" s="83"/>
      <c r="T127" s="87"/>
      <c r="U127" s="87"/>
      <c r="V127" s="87"/>
      <c r="W127" s="44"/>
      <c r="X127" s="88"/>
      <c r="Y127" s="79"/>
      <c r="Z127" s="79"/>
      <c r="AA127" s="79"/>
      <c r="AB127" s="79"/>
      <c r="AC127" s="86"/>
      <c r="AD127" s="82"/>
      <c r="AE127" s="79"/>
      <c r="AF127" s="88"/>
      <c r="AG127" s="80"/>
      <c r="AH127" s="79"/>
      <c r="AI127" s="79"/>
      <c r="AJ127" s="79"/>
      <c r="AK127" s="80"/>
      <c r="AL127" s="80"/>
      <c r="AM127" s="80"/>
      <c r="AN127" s="79"/>
      <c r="AO127" s="80"/>
      <c r="AP127" s="80"/>
      <c r="AQ127" s="80"/>
      <c r="AR127" s="85"/>
      <c r="AS127" s="85"/>
      <c r="AT127" s="85"/>
      <c r="AU127" s="85"/>
      <c r="AV127" s="85"/>
      <c r="AW127" s="82"/>
      <c r="AX127" s="79"/>
      <c r="AY127" s="82"/>
      <c r="AZ127" s="82"/>
      <c r="BA127" s="86"/>
      <c r="BB127" s="79"/>
      <c r="BC127" s="79"/>
      <c r="BD127" s="79"/>
      <c r="BE127" s="82"/>
      <c r="BF127" s="85"/>
      <c r="BG127" s="79"/>
      <c r="BH127" s="79"/>
      <c r="BI127" s="79"/>
      <c r="BJ127" s="88"/>
      <c r="BK127" s="88"/>
      <c r="BL127" s="79"/>
      <c r="BM127" s="185"/>
      <c r="BN127" s="90"/>
      <c r="BO127" s="80"/>
      <c r="BP127" s="80"/>
      <c r="BQ127" s="80"/>
      <c r="BR127" s="80"/>
      <c r="BS127" s="80"/>
      <c r="BT127" s="80"/>
      <c r="BU127" s="80"/>
      <c r="BV127" s="80"/>
      <c r="BW127" s="82"/>
      <c r="BX127" s="79"/>
      <c r="BY127" s="79"/>
      <c r="BZ127" s="79"/>
      <c r="CA127" s="79"/>
      <c r="CB127" s="79"/>
      <c r="CC127" s="82"/>
      <c r="CD127" s="82"/>
      <c r="CE127" s="82"/>
      <c r="CF127" s="82"/>
      <c r="CG127" s="82"/>
      <c r="CH127" s="82"/>
      <c r="CI127" s="82"/>
      <c r="CJ127" s="79"/>
      <c r="CK127" s="79"/>
      <c r="CL127" s="79"/>
      <c r="CM127" s="79"/>
      <c r="CN127" s="79"/>
      <c r="CO127" s="79"/>
    </row>
    <row r="128" spans="1:93">
      <c r="A128" s="98">
        <v>24</v>
      </c>
      <c r="B128" s="178" t="s">
        <v>784</v>
      </c>
      <c r="C128" s="188">
        <v>45023</v>
      </c>
      <c r="D128" s="47" t="s">
        <v>819</v>
      </c>
      <c r="E128" s="126"/>
      <c r="F128" s="154" t="s">
        <v>886</v>
      </c>
      <c r="G128" s="167">
        <v>1</v>
      </c>
      <c r="H128" s="167"/>
      <c r="I128" s="170" t="s">
        <v>796</v>
      </c>
      <c r="J128" s="155"/>
      <c r="K128" s="156"/>
      <c r="L128" s="157"/>
      <c r="M128" s="157"/>
      <c r="N128" s="183"/>
      <c r="O128" s="177" t="s">
        <v>807</v>
      </c>
      <c r="P128" s="145"/>
      <c r="Q128" s="141"/>
      <c r="R128" s="190"/>
      <c r="S128" s="83"/>
      <c r="T128" s="87"/>
      <c r="U128" s="87"/>
      <c r="V128" s="87"/>
      <c r="W128" s="44"/>
      <c r="X128" s="88"/>
      <c r="Y128" s="79"/>
      <c r="Z128" s="79"/>
      <c r="AA128" s="79"/>
      <c r="AB128" s="79"/>
      <c r="AC128" s="86"/>
      <c r="AD128" s="82"/>
      <c r="AE128" s="79"/>
      <c r="AF128" s="88"/>
      <c r="AG128" s="80"/>
      <c r="AH128" s="79"/>
      <c r="AI128" s="79"/>
      <c r="AJ128" s="79"/>
      <c r="AK128" s="80"/>
      <c r="AL128" s="80"/>
      <c r="AM128" s="80"/>
      <c r="AN128" s="79"/>
      <c r="AO128" s="80"/>
      <c r="AP128" s="80"/>
      <c r="AQ128" s="80"/>
      <c r="AR128" s="85"/>
      <c r="AS128" s="85"/>
      <c r="AT128" s="85"/>
      <c r="AU128" s="85"/>
      <c r="AV128" s="85"/>
      <c r="AW128" s="82"/>
      <c r="AX128" s="79"/>
      <c r="AY128" s="82"/>
      <c r="AZ128" s="82"/>
      <c r="BA128" s="86"/>
      <c r="BB128" s="79"/>
      <c r="BC128" s="79"/>
      <c r="BD128" s="79"/>
      <c r="BE128" s="82"/>
      <c r="BF128" s="85"/>
      <c r="BG128" s="79"/>
      <c r="BH128" s="79"/>
      <c r="BI128" s="79"/>
      <c r="BJ128" s="88"/>
      <c r="BK128" s="88"/>
      <c r="BL128" s="79"/>
      <c r="BM128" s="185"/>
      <c r="BN128" s="90"/>
      <c r="BO128" s="80"/>
      <c r="BP128" s="80"/>
      <c r="BQ128" s="80"/>
      <c r="BR128" s="80"/>
      <c r="BS128" s="80"/>
      <c r="BT128" s="80"/>
      <c r="BU128" s="80"/>
      <c r="BV128" s="80"/>
      <c r="BW128" s="82"/>
      <c r="BX128" s="79"/>
      <c r="BY128" s="79"/>
      <c r="BZ128" s="79"/>
      <c r="CA128" s="79"/>
      <c r="CB128" s="79"/>
      <c r="CC128" s="82"/>
      <c r="CD128" s="82"/>
      <c r="CE128" s="82"/>
      <c r="CF128" s="82"/>
      <c r="CG128" s="82"/>
      <c r="CH128" s="82"/>
      <c r="CI128" s="82"/>
      <c r="CJ128" s="79"/>
      <c r="CK128" s="79"/>
      <c r="CL128" s="79"/>
      <c r="CM128" s="79"/>
      <c r="CN128" s="79"/>
      <c r="CO128" s="79"/>
    </row>
    <row r="129" spans="1:93">
      <c r="A129" s="98">
        <v>25</v>
      </c>
      <c r="B129" s="178" t="s">
        <v>785</v>
      </c>
      <c r="C129" s="188">
        <v>45026</v>
      </c>
      <c r="D129" s="47" t="s">
        <v>820</v>
      </c>
      <c r="E129" s="126"/>
      <c r="F129" s="154" t="s">
        <v>886</v>
      </c>
      <c r="G129" s="167"/>
      <c r="H129" s="167">
        <v>1</v>
      </c>
      <c r="I129" s="170" t="s">
        <v>797</v>
      </c>
      <c r="J129" s="155"/>
      <c r="K129" s="156"/>
      <c r="L129" s="157"/>
      <c r="M129" s="157"/>
      <c r="N129" s="183"/>
      <c r="O129" s="177">
        <v>7243822670</v>
      </c>
      <c r="P129" s="145"/>
      <c r="Q129" s="141"/>
      <c r="R129" s="190"/>
      <c r="S129" s="83"/>
      <c r="T129" s="87"/>
      <c r="U129" s="87"/>
      <c r="V129" s="87"/>
      <c r="W129" s="44"/>
      <c r="X129" s="88"/>
      <c r="Y129" s="79"/>
      <c r="Z129" s="79"/>
      <c r="AA129" s="79"/>
      <c r="AB129" s="79"/>
      <c r="AC129" s="86"/>
      <c r="AD129" s="82"/>
      <c r="AE129" s="79"/>
      <c r="AF129" s="88"/>
      <c r="AG129" s="80"/>
      <c r="AH129" s="79"/>
      <c r="AI129" s="79"/>
      <c r="AJ129" s="79"/>
      <c r="AK129" s="80"/>
      <c r="AL129" s="80"/>
      <c r="AM129" s="80"/>
      <c r="AN129" s="79"/>
      <c r="AO129" s="80"/>
      <c r="AP129" s="80"/>
      <c r="AQ129" s="80"/>
      <c r="AR129" s="85"/>
      <c r="AS129" s="85"/>
      <c r="AT129" s="85"/>
      <c r="AU129" s="85"/>
      <c r="AV129" s="85"/>
      <c r="AW129" s="82"/>
      <c r="AX129" s="79"/>
      <c r="AY129" s="82"/>
      <c r="AZ129" s="82"/>
      <c r="BA129" s="86"/>
      <c r="BB129" s="79"/>
      <c r="BC129" s="79"/>
      <c r="BD129" s="79"/>
      <c r="BE129" s="82"/>
      <c r="BF129" s="85"/>
      <c r="BG129" s="79"/>
      <c r="BH129" s="79"/>
      <c r="BI129" s="79"/>
      <c r="BJ129" s="88"/>
      <c r="BK129" s="88"/>
      <c r="BL129" s="79"/>
      <c r="BM129" s="185"/>
      <c r="BN129" s="90"/>
      <c r="BO129" s="80"/>
      <c r="BP129" s="80"/>
      <c r="BQ129" s="80"/>
      <c r="BR129" s="80"/>
      <c r="BS129" s="80"/>
      <c r="BT129" s="80"/>
      <c r="BU129" s="80"/>
      <c r="BV129" s="80"/>
      <c r="BW129" s="82"/>
      <c r="BX129" s="79"/>
      <c r="BY129" s="79"/>
      <c r="BZ129" s="79"/>
      <c r="CA129" s="79"/>
      <c r="CB129" s="79"/>
      <c r="CC129" s="82"/>
      <c r="CD129" s="82"/>
      <c r="CE129" s="82"/>
      <c r="CF129" s="82"/>
      <c r="CG129" s="82"/>
      <c r="CH129" s="82"/>
      <c r="CI129" s="82"/>
      <c r="CJ129" s="79"/>
      <c r="CK129" s="79"/>
      <c r="CL129" s="79"/>
      <c r="CM129" s="79"/>
      <c r="CN129" s="79"/>
      <c r="CO129" s="79"/>
    </row>
    <row r="130" spans="1:93">
      <c r="A130" s="98">
        <v>26</v>
      </c>
      <c r="B130" s="178" t="s">
        <v>787</v>
      </c>
      <c r="C130" s="188">
        <v>45027</v>
      </c>
      <c r="D130" s="47" t="s">
        <v>821</v>
      </c>
      <c r="E130" s="126"/>
      <c r="F130" s="154" t="s">
        <v>886</v>
      </c>
      <c r="G130" s="167"/>
      <c r="H130" s="167">
        <v>1</v>
      </c>
      <c r="I130" s="170" t="s">
        <v>799</v>
      </c>
      <c r="J130" s="155"/>
      <c r="K130" s="156"/>
      <c r="L130" s="157"/>
      <c r="M130" s="157"/>
      <c r="N130" s="183"/>
      <c r="O130" s="177" t="s">
        <v>809</v>
      </c>
      <c r="P130" s="145"/>
      <c r="Q130" s="141"/>
      <c r="R130" s="190"/>
      <c r="S130" s="83"/>
      <c r="T130" s="87"/>
      <c r="U130" s="87"/>
      <c r="V130" s="87"/>
      <c r="W130" s="44"/>
      <c r="X130" s="88"/>
      <c r="Y130" s="79"/>
      <c r="Z130" s="79"/>
      <c r="AA130" s="79"/>
      <c r="AB130" s="79"/>
      <c r="AC130" s="86"/>
      <c r="AD130" s="82"/>
      <c r="AE130" s="79"/>
      <c r="AF130" s="88"/>
      <c r="AG130" s="80"/>
      <c r="AH130" s="79"/>
      <c r="AI130" s="79"/>
      <c r="AJ130" s="79"/>
      <c r="AK130" s="80"/>
      <c r="AL130" s="80"/>
      <c r="AM130" s="80"/>
      <c r="AN130" s="79"/>
      <c r="AO130" s="80"/>
      <c r="AP130" s="80"/>
      <c r="AQ130" s="80"/>
      <c r="AR130" s="85"/>
      <c r="AS130" s="85"/>
      <c r="AT130" s="85"/>
      <c r="AU130" s="85"/>
      <c r="AV130" s="85"/>
      <c r="AW130" s="82"/>
      <c r="AX130" s="79"/>
      <c r="AY130" s="82"/>
      <c r="AZ130" s="82"/>
      <c r="BA130" s="86"/>
      <c r="BB130" s="79"/>
      <c r="BC130" s="79"/>
      <c r="BD130" s="79"/>
      <c r="BE130" s="82"/>
      <c r="BF130" s="85"/>
      <c r="BG130" s="79"/>
      <c r="BH130" s="79"/>
      <c r="BI130" s="79"/>
      <c r="BJ130" s="88"/>
      <c r="BK130" s="88"/>
      <c r="BL130" s="79"/>
      <c r="BM130" s="185"/>
      <c r="BN130" s="90"/>
      <c r="BO130" s="80"/>
      <c r="BP130" s="80"/>
      <c r="BQ130" s="80"/>
      <c r="BR130" s="80"/>
      <c r="BS130" s="80"/>
      <c r="BT130" s="80"/>
      <c r="BU130" s="80"/>
      <c r="BV130" s="80"/>
      <c r="BW130" s="82"/>
      <c r="BX130" s="79"/>
      <c r="BY130" s="79"/>
      <c r="BZ130" s="79"/>
      <c r="CA130" s="79"/>
      <c r="CB130" s="79"/>
      <c r="CC130" s="82"/>
      <c r="CD130" s="82"/>
      <c r="CE130" s="82"/>
      <c r="CF130" s="82"/>
      <c r="CG130" s="82"/>
      <c r="CH130" s="82"/>
      <c r="CI130" s="82"/>
      <c r="CJ130" s="79"/>
      <c r="CK130" s="79"/>
      <c r="CL130" s="79"/>
      <c r="CM130" s="79"/>
      <c r="CN130" s="79"/>
      <c r="CO130" s="79"/>
    </row>
    <row r="131" spans="1:93">
      <c r="A131" s="98">
        <v>27</v>
      </c>
      <c r="B131" s="178" t="s">
        <v>788</v>
      </c>
      <c r="C131" s="188">
        <v>45027</v>
      </c>
      <c r="D131" s="47" t="s">
        <v>822</v>
      </c>
      <c r="E131" s="126"/>
      <c r="F131" s="154" t="s">
        <v>886</v>
      </c>
      <c r="G131" s="167">
        <v>1</v>
      </c>
      <c r="H131" s="167"/>
      <c r="I131" s="170" t="s">
        <v>800</v>
      </c>
      <c r="J131" s="155"/>
      <c r="K131" s="156"/>
      <c r="L131" s="157"/>
      <c r="M131" s="157"/>
      <c r="N131" s="183"/>
      <c r="O131" s="177" t="s">
        <v>810</v>
      </c>
      <c r="P131" s="145"/>
      <c r="Q131" s="141"/>
      <c r="R131" s="190"/>
      <c r="S131" s="83"/>
      <c r="T131" s="87"/>
      <c r="U131" s="87"/>
      <c r="V131" s="87"/>
      <c r="W131" s="44"/>
      <c r="X131" s="88"/>
      <c r="Y131" s="79"/>
      <c r="Z131" s="79"/>
      <c r="AA131" s="79"/>
      <c r="AB131" s="79"/>
      <c r="AC131" s="86"/>
      <c r="AD131" s="82"/>
      <c r="AE131" s="79"/>
      <c r="AF131" s="88"/>
      <c r="AG131" s="80"/>
      <c r="AH131" s="79"/>
      <c r="AI131" s="79"/>
      <c r="AJ131" s="79"/>
      <c r="AK131" s="80"/>
      <c r="AL131" s="80"/>
      <c r="AM131" s="80"/>
      <c r="AN131" s="79"/>
      <c r="AO131" s="80"/>
      <c r="AP131" s="80"/>
      <c r="AQ131" s="80"/>
      <c r="AR131" s="85"/>
      <c r="AS131" s="85"/>
      <c r="AT131" s="85"/>
      <c r="AU131" s="85"/>
      <c r="AV131" s="85"/>
      <c r="AW131" s="82"/>
      <c r="AX131" s="79"/>
      <c r="AY131" s="82"/>
      <c r="AZ131" s="82"/>
      <c r="BA131" s="86"/>
      <c r="BB131" s="79"/>
      <c r="BC131" s="79"/>
      <c r="BD131" s="79"/>
      <c r="BE131" s="82"/>
      <c r="BF131" s="85"/>
      <c r="BG131" s="79"/>
      <c r="BH131" s="79"/>
      <c r="BI131" s="79"/>
      <c r="BJ131" s="88"/>
      <c r="BK131" s="88"/>
      <c r="BL131" s="79"/>
      <c r="BM131" s="185"/>
      <c r="BN131" s="90"/>
      <c r="BO131" s="80"/>
      <c r="BP131" s="80"/>
      <c r="BQ131" s="80"/>
      <c r="BR131" s="80"/>
      <c r="BS131" s="80"/>
      <c r="BT131" s="80"/>
      <c r="BU131" s="80"/>
      <c r="BV131" s="80"/>
      <c r="BW131" s="82"/>
      <c r="BX131" s="79"/>
      <c r="BY131" s="79"/>
      <c r="BZ131" s="79"/>
      <c r="CA131" s="79"/>
      <c r="CB131" s="79"/>
      <c r="CC131" s="82"/>
      <c r="CD131" s="82"/>
      <c r="CE131" s="82"/>
      <c r="CF131" s="82"/>
      <c r="CG131" s="82"/>
      <c r="CH131" s="82"/>
      <c r="CI131" s="82"/>
      <c r="CJ131" s="79"/>
      <c r="CK131" s="79"/>
      <c r="CL131" s="79"/>
      <c r="CM131" s="79"/>
      <c r="CN131" s="79"/>
      <c r="CO131" s="79"/>
    </row>
    <row r="132" spans="1:93">
      <c r="A132" s="98">
        <v>28</v>
      </c>
      <c r="B132" s="178" t="s">
        <v>789</v>
      </c>
      <c r="C132" s="188">
        <v>45027</v>
      </c>
      <c r="D132" s="47" t="s">
        <v>823</v>
      </c>
      <c r="E132" s="126"/>
      <c r="F132" s="154" t="s">
        <v>886</v>
      </c>
      <c r="G132" s="167"/>
      <c r="H132" s="167">
        <v>1</v>
      </c>
      <c r="I132" s="170" t="s">
        <v>801</v>
      </c>
      <c r="J132" s="155"/>
      <c r="K132" s="156"/>
      <c r="L132" s="157"/>
      <c r="M132" s="157"/>
      <c r="N132" s="183"/>
      <c r="O132" s="177" t="s">
        <v>811</v>
      </c>
      <c r="P132" s="145"/>
      <c r="Q132" s="141"/>
      <c r="R132" s="190"/>
      <c r="S132" s="83"/>
      <c r="T132" s="87"/>
      <c r="U132" s="87"/>
      <c r="V132" s="87"/>
      <c r="W132" s="44"/>
      <c r="X132" s="88"/>
      <c r="Y132" s="79"/>
      <c r="Z132" s="79"/>
      <c r="AA132" s="79"/>
      <c r="AB132" s="79"/>
      <c r="AC132" s="86"/>
      <c r="AD132" s="82"/>
      <c r="AE132" s="79"/>
      <c r="AF132" s="88"/>
      <c r="AG132" s="80"/>
      <c r="AH132" s="79"/>
      <c r="AI132" s="79"/>
      <c r="AJ132" s="79"/>
      <c r="AK132" s="80"/>
      <c r="AL132" s="80"/>
      <c r="AM132" s="80"/>
      <c r="AN132" s="79"/>
      <c r="AO132" s="80"/>
      <c r="AP132" s="80"/>
      <c r="AQ132" s="80"/>
      <c r="AR132" s="85"/>
      <c r="AS132" s="85"/>
      <c r="AT132" s="85"/>
      <c r="AU132" s="85"/>
      <c r="AV132" s="85"/>
      <c r="AW132" s="82"/>
      <c r="AX132" s="79"/>
      <c r="AY132" s="82"/>
      <c r="AZ132" s="82"/>
      <c r="BA132" s="86"/>
      <c r="BB132" s="79"/>
      <c r="BC132" s="79"/>
      <c r="BD132" s="79"/>
      <c r="BE132" s="82"/>
      <c r="BF132" s="85"/>
      <c r="BG132" s="79"/>
      <c r="BH132" s="79"/>
      <c r="BI132" s="79"/>
      <c r="BJ132" s="88"/>
      <c r="BK132" s="88"/>
      <c r="BL132" s="79"/>
      <c r="BM132" s="185"/>
      <c r="BN132" s="90"/>
      <c r="BO132" s="80"/>
      <c r="BP132" s="80"/>
      <c r="BQ132" s="80"/>
      <c r="BR132" s="80"/>
      <c r="BS132" s="80"/>
      <c r="BT132" s="80"/>
      <c r="BU132" s="80"/>
      <c r="BV132" s="80"/>
      <c r="BW132" s="82"/>
      <c r="BX132" s="79"/>
      <c r="BY132" s="79"/>
      <c r="BZ132" s="79"/>
      <c r="CA132" s="79"/>
      <c r="CB132" s="79"/>
      <c r="CC132" s="82"/>
      <c r="CD132" s="82"/>
      <c r="CE132" s="82"/>
      <c r="CF132" s="82"/>
      <c r="CG132" s="82"/>
      <c r="CH132" s="82"/>
      <c r="CI132" s="82"/>
      <c r="CJ132" s="79"/>
      <c r="CK132" s="79"/>
      <c r="CL132" s="79"/>
      <c r="CM132" s="79"/>
      <c r="CN132" s="79"/>
      <c r="CO132" s="79"/>
    </row>
    <row r="133" spans="1:93">
      <c r="A133" s="98">
        <v>29</v>
      </c>
      <c r="B133" s="178" t="s">
        <v>790</v>
      </c>
      <c r="C133" s="188">
        <v>45028</v>
      </c>
      <c r="D133" s="47" t="s">
        <v>824</v>
      </c>
      <c r="E133" s="126"/>
      <c r="F133" s="154" t="s">
        <v>886</v>
      </c>
      <c r="G133" s="167"/>
      <c r="H133" s="167">
        <v>1</v>
      </c>
      <c r="I133" s="170" t="s">
        <v>802</v>
      </c>
      <c r="J133" s="155"/>
      <c r="K133" s="156"/>
      <c r="L133" s="157"/>
      <c r="M133" s="157"/>
      <c r="N133" s="183"/>
      <c r="O133" s="177" t="s">
        <v>812</v>
      </c>
      <c r="P133" s="145"/>
      <c r="Q133" s="141"/>
      <c r="R133" s="190"/>
      <c r="S133" s="83"/>
      <c r="T133" s="87"/>
      <c r="U133" s="87"/>
      <c r="V133" s="87"/>
      <c r="W133" s="44"/>
      <c r="X133" s="88"/>
      <c r="Y133" s="79"/>
      <c r="Z133" s="79"/>
      <c r="AA133" s="79"/>
      <c r="AB133" s="79"/>
      <c r="AC133" s="86"/>
      <c r="AD133" s="82"/>
      <c r="AE133" s="79"/>
      <c r="AF133" s="88"/>
      <c r="AG133" s="80"/>
      <c r="AH133" s="79"/>
      <c r="AI133" s="79"/>
      <c r="AJ133" s="79"/>
      <c r="AK133" s="80"/>
      <c r="AL133" s="80"/>
      <c r="AM133" s="80"/>
      <c r="AN133" s="79"/>
      <c r="AO133" s="80"/>
      <c r="AP133" s="80"/>
      <c r="AQ133" s="80"/>
      <c r="AR133" s="85"/>
      <c r="AS133" s="85"/>
      <c r="AT133" s="85"/>
      <c r="AU133" s="85"/>
      <c r="AV133" s="85"/>
      <c r="AW133" s="82"/>
      <c r="AX133" s="79"/>
      <c r="AY133" s="82"/>
      <c r="AZ133" s="82"/>
      <c r="BA133" s="86"/>
      <c r="BB133" s="79"/>
      <c r="BC133" s="79"/>
      <c r="BD133" s="79"/>
      <c r="BE133" s="82"/>
      <c r="BF133" s="85"/>
      <c r="BG133" s="79"/>
      <c r="BH133" s="79"/>
      <c r="BI133" s="79"/>
      <c r="BJ133" s="88"/>
      <c r="BK133" s="88"/>
      <c r="BL133" s="79"/>
      <c r="BM133" s="185"/>
      <c r="BN133" s="90"/>
      <c r="BO133" s="80"/>
      <c r="BP133" s="80"/>
      <c r="BQ133" s="80"/>
      <c r="BR133" s="80"/>
      <c r="BS133" s="80"/>
      <c r="BT133" s="80"/>
      <c r="BU133" s="80"/>
      <c r="BV133" s="80"/>
      <c r="BW133" s="82"/>
      <c r="BX133" s="79"/>
      <c r="BY133" s="79"/>
      <c r="BZ133" s="79"/>
      <c r="CA133" s="79"/>
      <c r="CB133" s="79"/>
      <c r="CC133" s="82"/>
      <c r="CD133" s="82"/>
      <c r="CE133" s="82"/>
      <c r="CF133" s="82"/>
      <c r="CG133" s="82"/>
      <c r="CH133" s="82"/>
      <c r="CI133" s="82"/>
      <c r="CJ133" s="79"/>
      <c r="CK133" s="79"/>
      <c r="CL133" s="79"/>
      <c r="CM133" s="79"/>
      <c r="CN133" s="79"/>
      <c r="CO133" s="79"/>
    </row>
    <row r="134" spans="1:93">
      <c r="A134" s="98">
        <v>30</v>
      </c>
      <c r="B134" s="380" t="s">
        <v>893</v>
      </c>
      <c r="C134" s="188" t="s">
        <v>850</v>
      </c>
      <c r="D134" s="47" t="s">
        <v>937</v>
      </c>
      <c r="E134" s="126"/>
      <c r="F134" s="154" t="s">
        <v>965</v>
      </c>
      <c r="G134" s="167">
        <v>3</v>
      </c>
      <c r="H134" s="167"/>
      <c r="I134" s="170"/>
      <c r="J134" s="155"/>
      <c r="K134" s="156"/>
      <c r="L134" s="157"/>
      <c r="M134" s="157"/>
      <c r="N134" s="183"/>
      <c r="O134" s="177">
        <v>225965044</v>
      </c>
      <c r="P134" s="145"/>
      <c r="Q134" s="141"/>
      <c r="R134" s="190"/>
      <c r="S134" s="83"/>
      <c r="T134" s="87"/>
      <c r="U134" s="87"/>
      <c r="V134" s="87"/>
      <c r="W134" s="44"/>
      <c r="X134" s="88"/>
      <c r="Y134" s="79"/>
      <c r="Z134" s="79"/>
      <c r="AA134" s="79"/>
      <c r="AB134" s="79"/>
      <c r="AC134" s="86"/>
      <c r="AD134" s="82"/>
      <c r="AE134" s="79"/>
      <c r="AF134" s="88"/>
      <c r="AG134" s="80"/>
      <c r="AH134" s="79"/>
      <c r="AI134" s="79"/>
      <c r="AJ134" s="79"/>
      <c r="AK134" s="80"/>
      <c r="AL134" s="80"/>
      <c r="AM134" s="80"/>
      <c r="AN134" s="79"/>
      <c r="AO134" s="80"/>
      <c r="AP134" s="80"/>
      <c r="AQ134" s="80"/>
      <c r="AR134" s="85"/>
      <c r="AS134" s="85"/>
      <c r="AT134" s="85"/>
      <c r="AU134" s="85"/>
      <c r="AV134" s="85"/>
      <c r="AW134" s="82"/>
      <c r="AX134" s="79"/>
      <c r="AY134" s="82"/>
      <c r="AZ134" s="82"/>
      <c r="BA134" s="86"/>
      <c r="BB134" s="79"/>
      <c r="BC134" s="79"/>
      <c r="BD134" s="79"/>
      <c r="BE134" s="82"/>
      <c r="BF134" s="85"/>
      <c r="BG134" s="79"/>
      <c r="BH134" s="79"/>
      <c r="BI134" s="79"/>
      <c r="BJ134" s="88"/>
      <c r="BK134" s="88"/>
      <c r="BL134" s="79"/>
      <c r="BM134" s="185"/>
      <c r="BN134" s="90"/>
      <c r="BO134" s="80"/>
      <c r="BP134" s="80"/>
      <c r="BQ134" s="80"/>
      <c r="BR134" s="80"/>
      <c r="BS134" s="80"/>
      <c r="BT134" s="80"/>
      <c r="BU134" s="80"/>
      <c r="BV134" s="80"/>
      <c r="BW134" s="82"/>
      <c r="BX134" s="79"/>
      <c r="BY134" s="79"/>
      <c r="BZ134" s="79"/>
      <c r="CA134" s="79"/>
      <c r="CB134" s="79"/>
      <c r="CC134" s="82"/>
      <c r="CD134" s="82"/>
      <c r="CE134" s="82"/>
      <c r="CF134" s="82"/>
      <c r="CG134" s="82"/>
      <c r="CH134" s="82"/>
      <c r="CI134" s="82"/>
      <c r="CJ134" s="79"/>
      <c r="CK134" s="79"/>
      <c r="CL134" s="79"/>
      <c r="CM134" s="79"/>
      <c r="CN134" s="79"/>
      <c r="CO134" s="79"/>
    </row>
    <row r="135" spans="1:93">
      <c r="A135" s="98">
        <v>31</v>
      </c>
      <c r="B135" s="380" t="s">
        <v>894</v>
      </c>
      <c r="C135" s="188" t="s">
        <v>906</v>
      </c>
      <c r="D135" s="47" t="s">
        <v>938</v>
      </c>
      <c r="E135" s="126"/>
      <c r="F135" s="154" t="s">
        <v>965</v>
      </c>
      <c r="G135" s="167">
        <v>1</v>
      </c>
      <c r="H135" s="167"/>
      <c r="I135" s="170"/>
      <c r="J135" s="155"/>
      <c r="K135" s="156"/>
      <c r="L135" s="157"/>
      <c r="M135" s="157"/>
      <c r="N135" s="183"/>
      <c r="O135" s="177" t="s">
        <v>915</v>
      </c>
      <c r="P135" s="145"/>
      <c r="Q135" s="141"/>
      <c r="R135" s="190"/>
      <c r="S135" s="83"/>
      <c r="T135" s="87"/>
      <c r="U135" s="87"/>
      <c r="V135" s="87"/>
      <c r="W135" s="44"/>
      <c r="X135" s="88"/>
      <c r="Y135" s="79"/>
      <c r="Z135" s="79"/>
      <c r="AA135" s="79"/>
      <c r="AB135" s="79"/>
      <c r="AC135" s="86"/>
      <c r="AD135" s="82"/>
      <c r="AE135" s="79"/>
      <c r="AF135" s="88"/>
      <c r="AG135" s="80"/>
      <c r="AH135" s="79"/>
      <c r="AI135" s="79"/>
      <c r="AJ135" s="79"/>
      <c r="AK135" s="80"/>
      <c r="AL135" s="80"/>
      <c r="AM135" s="80"/>
      <c r="AN135" s="79"/>
      <c r="AO135" s="80"/>
      <c r="AP135" s="80"/>
      <c r="AQ135" s="80"/>
      <c r="AR135" s="85"/>
      <c r="AS135" s="85"/>
      <c r="AT135" s="85"/>
      <c r="AU135" s="85"/>
      <c r="AV135" s="85"/>
      <c r="AW135" s="82"/>
      <c r="AX135" s="79"/>
      <c r="AY135" s="82"/>
      <c r="AZ135" s="82"/>
      <c r="BA135" s="86"/>
      <c r="BB135" s="79"/>
      <c r="BC135" s="79"/>
      <c r="BD135" s="79"/>
      <c r="BE135" s="82"/>
      <c r="BF135" s="85"/>
      <c r="BG135" s="79"/>
      <c r="BH135" s="79"/>
      <c r="BI135" s="79"/>
      <c r="BJ135" s="88"/>
      <c r="BK135" s="88"/>
      <c r="BL135" s="79"/>
      <c r="BM135" s="185"/>
      <c r="BN135" s="90"/>
      <c r="BO135" s="80"/>
      <c r="BP135" s="80"/>
      <c r="BQ135" s="80"/>
      <c r="BR135" s="80"/>
      <c r="BS135" s="80"/>
      <c r="BT135" s="80"/>
      <c r="BU135" s="80"/>
      <c r="BV135" s="80"/>
      <c r="BW135" s="82"/>
      <c r="BX135" s="79"/>
      <c r="BY135" s="79"/>
      <c r="BZ135" s="79"/>
      <c r="CA135" s="79"/>
      <c r="CB135" s="79"/>
      <c r="CC135" s="82"/>
      <c r="CD135" s="82"/>
      <c r="CE135" s="82"/>
      <c r="CF135" s="82"/>
      <c r="CG135" s="82"/>
      <c r="CH135" s="82"/>
      <c r="CI135" s="82"/>
      <c r="CJ135" s="79"/>
      <c r="CK135" s="79"/>
      <c r="CL135" s="79"/>
      <c r="CM135" s="79"/>
      <c r="CN135" s="79"/>
      <c r="CO135" s="79"/>
    </row>
    <row r="136" spans="1:93">
      <c r="A136" s="98">
        <v>32</v>
      </c>
      <c r="B136" s="380" t="s">
        <v>895</v>
      </c>
      <c r="C136" s="188" t="s">
        <v>906</v>
      </c>
      <c r="D136" s="47" t="s">
        <v>939</v>
      </c>
      <c r="E136" s="126"/>
      <c r="F136" s="154" t="s">
        <v>965</v>
      </c>
      <c r="G136" s="167">
        <v>2</v>
      </c>
      <c r="H136" s="167"/>
      <c r="I136" s="170"/>
      <c r="J136" s="155"/>
      <c r="K136" s="156"/>
      <c r="L136" s="157"/>
      <c r="M136" s="157"/>
      <c r="N136" s="183"/>
      <c r="O136" s="177" t="s">
        <v>916</v>
      </c>
      <c r="P136" s="145"/>
      <c r="Q136" s="141"/>
      <c r="R136" s="190"/>
      <c r="S136" s="83"/>
      <c r="T136" s="87"/>
      <c r="U136" s="87"/>
      <c r="V136" s="87"/>
      <c r="W136" s="44"/>
      <c r="X136" s="88"/>
      <c r="Y136" s="79"/>
      <c r="Z136" s="79"/>
      <c r="AA136" s="79"/>
      <c r="AB136" s="79"/>
      <c r="AC136" s="86"/>
      <c r="AD136" s="82"/>
      <c r="AE136" s="79"/>
      <c r="AF136" s="88"/>
      <c r="AG136" s="80"/>
      <c r="AH136" s="79"/>
      <c r="AI136" s="79"/>
      <c r="AJ136" s="79"/>
      <c r="AK136" s="80"/>
      <c r="AL136" s="80"/>
      <c r="AM136" s="80"/>
      <c r="AN136" s="79"/>
      <c r="AO136" s="80"/>
      <c r="AP136" s="80"/>
      <c r="AQ136" s="80"/>
      <c r="AR136" s="85"/>
      <c r="AS136" s="85"/>
      <c r="AT136" s="85"/>
      <c r="AU136" s="85"/>
      <c r="AV136" s="85"/>
      <c r="AW136" s="82"/>
      <c r="AX136" s="79"/>
      <c r="AY136" s="82"/>
      <c r="AZ136" s="82"/>
      <c r="BA136" s="86"/>
      <c r="BB136" s="79"/>
      <c r="BC136" s="79"/>
      <c r="BD136" s="79"/>
      <c r="BE136" s="82"/>
      <c r="BF136" s="85"/>
      <c r="BG136" s="79"/>
      <c r="BH136" s="79"/>
      <c r="BI136" s="79"/>
      <c r="BJ136" s="88"/>
      <c r="BK136" s="88"/>
      <c r="BL136" s="79"/>
      <c r="BM136" s="185"/>
      <c r="BN136" s="90"/>
      <c r="BO136" s="80"/>
      <c r="BP136" s="80"/>
      <c r="BQ136" s="80"/>
      <c r="BR136" s="80"/>
      <c r="BS136" s="80"/>
      <c r="BT136" s="80"/>
      <c r="BU136" s="80"/>
      <c r="BV136" s="80"/>
      <c r="BW136" s="82"/>
      <c r="BX136" s="79"/>
      <c r="BY136" s="79"/>
      <c r="BZ136" s="79"/>
      <c r="CA136" s="79"/>
      <c r="CB136" s="79"/>
      <c r="CC136" s="82"/>
      <c r="CD136" s="82"/>
      <c r="CE136" s="82"/>
      <c r="CF136" s="82"/>
      <c r="CG136" s="82"/>
      <c r="CH136" s="82"/>
      <c r="CI136" s="82"/>
      <c r="CJ136" s="79"/>
      <c r="CK136" s="79"/>
      <c r="CL136" s="79"/>
      <c r="CM136" s="79"/>
      <c r="CN136" s="79"/>
      <c r="CO136" s="79"/>
    </row>
    <row r="137" spans="1:93">
      <c r="A137" s="98">
        <v>33</v>
      </c>
      <c r="B137" s="380" t="s">
        <v>896</v>
      </c>
      <c r="C137" s="188" t="s">
        <v>906</v>
      </c>
      <c r="D137" s="47" t="s">
        <v>940</v>
      </c>
      <c r="E137" s="126"/>
      <c r="F137" s="154" t="s">
        <v>965</v>
      </c>
      <c r="G137" s="167"/>
      <c r="H137" s="167">
        <v>1</v>
      </c>
      <c r="I137" s="170"/>
      <c r="J137" s="155"/>
      <c r="K137" s="156"/>
      <c r="L137" s="157"/>
      <c r="M137" s="157"/>
      <c r="N137" s="183"/>
      <c r="O137" s="177" t="s">
        <v>917</v>
      </c>
      <c r="P137" s="145"/>
      <c r="Q137" s="141"/>
      <c r="R137" s="190"/>
      <c r="S137" s="83"/>
      <c r="T137" s="87"/>
      <c r="U137" s="87"/>
      <c r="V137" s="87"/>
      <c r="W137" s="44"/>
      <c r="X137" s="88"/>
      <c r="Y137" s="79"/>
      <c r="Z137" s="79"/>
      <c r="AA137" s="79"/>
      <c r="AB137" s="79"/>
      <c r="AC137" s="86"/>
      <c r="AD137" s="82"/>
      <c r="AE137" s="79"/>
      <c r="AF137" s="88"/>
      <c r="AG137" s="80"/>
      <c r="AH137" s="79"/>
      <c r="AI137" s="79"/>
      <c r="AJ137" s="79"/>
      <c r="AK137" s="80"/>
      <c r="AL137" s="80"/>
      <c r="AM137" s="80"/>
      <c r="AN137" s="79"/>
      <c r="AO137" s="80"/>
      <c r="AP137" s="80"/>
      <c r="AQ137" s="80"/>
      <c r="AR137" s="85"/>
      <c r="AS137" s="85"/>
      <c r="AT137" s="85"/>
      <c r="AU137" s="85"/>
      <c r="AV137" s="85"/>
      <c r="AW137" s="82"/>
      <c r="AX137" s="79"/>
      <c r="AY137" s="82"/>
      <c r="AZ137" s="82"/>
      <c r="BA137" s="86"/>
      <c r="BB137" s="79"/>
      <c r="BC137" s="79"/>
      <c r="BD137" s="79"/>
      <c r="BE137" s="82"/>
      <c r="BF137" s="85"/>
      <c r="BG137" s="79"/>
      <c r="BH137" s="79"/>
      <c r="BI137" s="79"/>
      <c r="BJ137" s="88"/>
      <c r="BK137" s="88"/>
      <c r="BL137" s="79"/>
      <c r="BM137" s="185"/>
      <c r="BN137" s="90"/>
      <c r="BO137" s="80"/>
      <c r="BP137" s="80"/>
      <c r="BQ137" s="80"/>
      <c r="BR137" s="80"/>
      <c r="BS137" s="80"/>
      <c r="BT137" s="80"/>
      <c r="BU137" s="80"/>
      <c r="BV137" s="80"/>
      <c r="BW137" s="82"/>
      <c r="BX137" s="79"/>
      <c r="BY137" s="79"/>
      <c r="BZ137" s="79"/>
      <c r="CA137" s="79"/>
      <c r="CB137" s="79"/>
      <c r="CC137" s="82"/>
      <c r="CD137" s="82"/>
      <c r="CE137" s="82"/>
      <c r="CF137" s="82"/>
      <c r="CG137" s="82"/>
      <c r="CH137" s="82"/>
      <c r="CI137" s="82"/>
      <c r="CJ137" s="79"/>
      <c r="CK137" s="79"/>
      <c r="CL137" s="79"/>
      <c r="CM137" s="79"/>
      <c r="CN137" s="79"/>
      <c r="CO137" s="79"/>
    </row>
    <row r="138" spans="1:93">
      <c r="A138" s="98">
        <v>34</v>
      </c>
      <c r="B138" s="380" t="s">
        <v>901</v>
      </c>
      <c r="C138" s="188" t="s">
        <v>872</v>
      </c>
      <c r="D138" s="47" t="s">
        <v>941</v>
      </c>
      <c r="E138" s="126"/>
      <c r="F138" s="154" t="s">
        <v>965</v>
      </c>
      <c r="G138" s="167">
        <v>1</v>
      </c>
      <c r="H138" s="167"/>
      <c r="I138" s="170"/>
      <c r="J138" s="155"/>
      <c r="K138" s="156"/>
      <c r="L138" s="157"/>
      <c r="M138" s="157"/>
      <c r="N138" s="183"/>
      <c r="O138" s="177">
        <v>920711402</v>
      </c>
      <c r="P138" s="145"/>
      <c r="Q138" s="141"/>
      <c r="R138" s="190"/>
      <c r="S138" s="83"/>
      <c r="T138" s="87"/>
      <c r="U138" s="87"/>
      <c r="V138" s="87"/>
      <c r="W138" s="44"/>
      <c r="X138" s="88"/>
      <c r="Y138" s="79"/>
      <c r="Z138" s="79"/>
      <c r="AA138" s="79"/>
      <c r="AB138" s="79"/>
      <c r="AC138" s="86"/>
      <c r="AD138" s="82"/>
      <c r="AE138" s="79"/>
      <c r="AF138" s="88"/>
      <c r="AG138" s="80"/>
      <c r="AH138" s="79"/>
      <c r="AI138" s="79"/>
      <c r="AJ138" s="79"/>
      <c r="AK138" s="80"/>
      <c r="AL138" s="80"/>
      <c r="AM138" s="80"/>
      <c r="AN138" s="79"/>
      <c r="AO138" s="80"/>
      <c r="AP138" s="80"/>
      <c r="AQ138" s="80"/>
      <c r="AR138" s="85"/>
      <c r="AS138" s="85"/>
      <c r="AT138" s="85"/>
      <c r="AU138" s="85"/>
      <c r="AV138" s="85"/>
      <c r="AW138" s="82"/>
      <c r="AX138" s="79"/>
      <c r="AY138" s="82"/>
      <c r="AZ138" s="82"/>
      <c r="BA138" s="86"/>
      <c r="BB138" s="79"/>
      <c r="BC138" s="79"/>
      <c r="BD138" s="79"/>
      <c r="BE138" s="82"/>
      <c r="BF138" s="85"/>
      <c r="BG138" s="79"/>
      <c r="BH138" s="79"/>
      <c r="BI138" s="79"/>
      <c r="BJ138" s="88"/>
      <c r="BK138" s="88"/>
      <c r="BL138" s="79"/>
      <c r="BM138" s="185"/>
      <c r="BN138" s="90"/>
      <c r="BO138" s="80"/>
      <c r="BP138" s="80"/>
      <c r="BQ138" s="80"/>
      <c r="BR138" s="80"/>
      <c r="BS138" s="80"/>
      <c r="BT138" s="80"/>
      <c r="BU138" s="80"/>
      <c r="BV138" s="80"/>
      <c r="BW138" s="82"/>
      <c r="BX138" s="79"/>
      <c r="BY138" s="79"/>
      <c r="BZ138" s="79"/>
      <c r="CA138" s="79"/>
      <c r="CB138" s="79"/>
      <c r="CC138" s="82"/>
      <c r="CD138" s="82"/>
      <c r="CE138" s="82"/>
      <c r="CF138" s="82"/>
      <c r="CG138" s="82"/>
      <c r="CH138" s="82"/>
      <c r="CI138" s="82"/>
      <c r="CJ138" s="79"/>
      <c r="CK138" s="79"/>
      <c r="CL138" s="79"/>
      <c r="CM138" s="79"/>
      <c r="CN138" s="79"/>
      <c r="CO138" s="79"/>
    </row>
    <row r="139" spans="1:93">
      <c r="A139" s="98">
        <v>35</v>
      </c>
      <c r="B139" s="380" t="s">
        <v>902</v>
      </c>
      <c r="C139" s="188" t="s">
        <v>872</v>
      </c>
      <c r="D139" s="47" t="s">
        <v>942</v>
      </c>
      <c r="E139" s="126"/>
      <c r="F139" s="154" t="s">
        <v>965</v>
      </c>
      <c r="G139" s="167">
        <v>1</v>
      </c>
      <c r="H139" s="167"/>
      <c r="I139" s="170"/>
      <c r="J139" s="155"/>
      <c r="K139" s="156"/>
      <c r="L139" s="157"/>
      <c r="M139" s="157"/>
      <c r="N139" s="183"/>
      <c r="O139" s="177" t="s">
        <v>921</v>
      </c>
      <c r="P139" s="145"/>
      <c r="Q139" s="141"/>
      <c r="R139" s="190"/>
      <c r="S139" s="83"/>
      <c r="T139" s="87"/>
      <c r="U139" s="87"/>
      <c r="V139" s="87"/>
      <c r="W139" s="44"/>
      <c r="X139" s="88"/>
      <c r="Y139" s="79"/>
      <c r="Z139" s="79"/>
      <c r="AA139" s="79"/>
      <c r="AB139" s="79"/>
      <c r="AC139" s="86"/>
      <c r="AD139" s="82"/>
      <c r="AE139" s="79"/>
      <c r="AF139" s="88"/>
      <c r="AG139" s="80"/>
      <c r="AH139" s="79"/>
      <c r="AI139" s="79"/>
      <c r="AJ139" s="79"/>
      <c r="AK139" s="80"/>
      <c r="AL139" s="80"/>
      <c r="AM139" s="80"/>
      <c r="AN139" s="79"/>
      <c r="AO139" s="80"/>
      <c r="AP139" s="80"/>
      <c r="AQ139" s="80"/>
      <c r="AR139" s="85"/>
      <c r="AS139" s="85"/>
      <c r="AT139" s="85"/>
      <c r="AU139" s="85"/>
      <c r="AV139" s="85"/>
      <c r="AW139" s="82"/>
      <c r="AX139" s="79"/>
      <c r="AY139" s="82"/>
      <c r="AZ139" s="82"/>
      <c r="BA139" s="86"/>
      <c r="BB139" s="79"/>
      <c r="BC139" s="79"/>
      <c r="BD139" s="79"/>
      <c r="BE139" s="82"/>
      <c r="BF139" s="85"/>
      <c r="BG139" s="79"/>
      <c r="BH139" s="79"/>
      <c r="BI139" s="79"/>
      <c r="BJ139" s="88"/>
      <c r="BK139" s="88"/>
      <c r="BL139" s="79"/>
      <c r="BM139" s="185"/>
      <c r="BN139" s="90"/>
      <c r="BO139" s="80"/>
      <c r="BP139" s="80"/>
      <c r="BQ139" s="80"/>
      <c r="BR139" s="80"/>
      <c r="BS139" s="80"/>
      <c r="BT139" s="80"/>
      <c r="BU139" s="80"/>
      <c r="BV139" s="80"/>
      <c r="BW139" s="82"/>
      <c r="BX139" s="79"/>
      <c r="BY139" s="79"/>
      <c r="BZ139" s="79"/>
      <c r="CA139" s="79"/>
      <c r="CB139" s="79"/>
      <c r="CC139" s="82"/>
      <c r="CD139" s="82"/>
      <c r="CE139" s="82"/>
      <c r="CF139" s="82"/>
      <c r="CG139" s="82"/>
      <c r="CH139" s="82"/>
      <c r="CI139" s="82"/>
      <c r="CJ139" s="79"/>
      <c r="CK139" s="79"/>
      <c r="CL139" s="79"/>
      <c r="CM139" s="79"/>
      <c r="CN139" s="79"/>
      <c r="CO139" s="79"/>
    </row>
    <row r="140" spans="1:93">
      <c r="A140" s="98">
        <v>36</v>
      </c>
      <c r="B140" s="178" t="s">
        <v>887</v>
      </c>
      <c r="C140" s="188">
        <v>45030</v>
      </c>
      <c r="D140" s="47" t="s">
        <v>924</v>
      </c>
      <c r="E140" s="126"/>
      <c r="F140" s="154" t="s">
        <v>965</v>
      </c>
      <c r="G140" s="167">
        <v>1</v>
      </c>
      <c r="H140" s="167"/>
      <c r="I140" s="170"/>
      <c r="J140" s="155"/>
      <c r="K140" s="156"/>
      <c r="L140" s="157"/>
      <c r="M140" s="157"/>
      <c r="N140" s="183"/>
      <c r="O140" s="177" t="s">
        <v>911</v>
      </c>
      <c r="P140" s="145"/>
      <c r="Q140" s="141"/>
      <c r="R140" s="190"/>
      <c r="S140" s="83"/>
      <c r="T140" s="87"/>
      <c r="U140" s="87"/>
      <c r="V140" s="87"/>
      <c r="W140" s="44"/>
      <c r="X140" s="88"/>
      <c r="Y140" s="79"/>
      <c r="Z140" s="79"/>
      <c r="AA140" s="79"/>
      <c r="AB140" s="79"/>
      <c r="AC140" s="86"/>
      <c r="AD140" s="82"/>
      <c r="AE140" s="79"/>
      <c r="AF140" s="88"/>
      <c r="AG140" s="80"/>
      <c r="AH140" s="79"/>
      <c r="AI140" s="79"/>
      <c r="AJ140" s="79"/>
      <c r="AK140" s="80"/>
      <c r="AL140" s="80"/>
      <c r="AM140" s="80"/>
      <c r="AN140" s="79"/>
      <c r="AO140" s="80"/>
      <c r="AP140" s="80"/>
      <c r="AQ140" s="80"/>
      <c r="AR140" s="85"/>
      <c r="AS140" s="85"/>
      <c r="AT140" s="85"/>
      <c r="AU140" s="85"/>
      <c r="AV140" s="85"/>
      <c r="AW140" s="82"/>
      <c r="AX140" s="79"/>
      <c r="AY140" s="82"/>
      <c r="AZ140" s="82"/>
      <c r="BA140" s="86"/>
      <c r="BB140" s="79"/>
      <c r="BC140" s="79"/>
      <c r="BD140" s="79"/>
      <c r="BE140" s="82"/>
      <c r="BF140" s="85"/>
      <c r="BG140" s="79"/>
      <c r="BH140" s="79"/>
      <c r="BI140" s="79"/>
      <c r="BJ140" s="88"/>
      <c r="BK140" s="88"/>
      <c r="BL140" s="79"/>
      <c r="BM140" s="185"/>
      <c r="BN140" s="90"/>
      <c r="BO140" s="80"/>
      <c r="BP140" s="80"/>
      <c r="BQ140" s="80"/>
      <c r="BR140" s="80"/>
      <c r="BS140" s="80"/>
      <c r="BT140" s="80"/>
      <c r="BU140" s="80"/>
      <c r="BV140" s="80"/>
      <c r="BW140" s="82"/>
      <c r="BX140" s="79"/>
      <c r="BY140" s="79"/>
      <c r="BZ140" s="79"/>
      <c r="CA140" s="79"/>
      <c r="CB140" s="79"/>
      <c r="CC140" s="82"/>
      <c r="CD140" s="82"/>
      <c r="CE140" s="82"/>
      <c r="CF140" s="82"/>
      <c r="CG140" s="82"/>
      <c r="CH140" s="82"/>
      <c r="CI140" s="82"/>
      <c r="CJ140" s="79"/>
      <c r="CK140" s="79"/>
      <c r="CL140" s="79"/>
      <c r="CM140" s="79"/>
      <c r="CN140" s="79"/>
      <c r="CO140" s="79"/>
    </row>
    <row r="141" spans="1:93">
      <c r="A141" s="98">
        <v>37</v>
      </c>
      <c r="B141" s="178" t="s">
        <v>888</v>
      </c>
      <c r="C141" s="188">
        <v>45030</v>
      </c>
      <c r="D141" s="47" t="s">
        <v>925</v>
      </c>
      <c r="E141" s="126"/>
      <c r="F141" s="154" t="s">
        <v>965</v>
      </c>
      <c r="G141" s="167"/>
      <c r="H141" s="167">
        <v>1</v>
      </c>
      <c r="I141" s="170"/>
      <c r="J141" s="155"/>
      <c r="K141" s="156"/>
      <c r="L141" s="157"/>
      <c r="M141" s="157"/>
      <c r="N141" s="183"/>
      <c r="O141" s="177" t="s">
        <v>912</v>
      </c>
      <c r="P141" s="145"/>
      <c r="Q141" s="141"/>
      <c r="R141" s="190"/>
      <c r="S141" s="83"/>
      <c r="T141" s="87"/>
      <c r="U141" s="87"/>
      <c r="V141" s="87"/>
      <c r="W141" s="44"/>
      <c r="X141" s="88"/>
      <c r="Y141" s="79"/>
      <c r="Z141" s="79"/>
      <c r="AA141" s="79"/>
      <c r="AB141" s="79"/>
      <c r="AC141" s="86"/>
      <c r="AD141" s="82"/>
      <c r="AE141" s="79"/>
      <c r="AF141" s="88"/>
      <c r="AG141" s="80"/>
      <c r="AH141" s="79"/>
      <c r="AI141" s="79"/>
      <c r="AJ141" s="79"/>
      <c r="AK141" s="80"/>
      <c r="AL141" s="80"/>
      <c r="AM141" s="80"/>
      <c r="AN141" s="79"/>
      <c r="AO141" s="80"/>
      <c r="AP141" s="80"/>
      <c r="AQ141" s="80"/>
      <c r="AR141" s="85"/>
      <c r="AS141" s="85"/>
      <c r="AT141" s="85"/>
      <c r="AU141" s="85"/>
      <c r="AV141" s="85"/>
      <c r="AW141" s="82"/>
      <c r="AX141" s="79"/>
      <c r="AY141" s="82"/>
      <c r="AZ141" s="82"/>
      <c r="BA141" s="86"/>
      <c r="BB141" s="79"/>
      <c r="BC141" s="79"/>
      <c r="BD141" s="79"/>
      <c r="BE141" s="82"/>
      <c r="BF141" s="85"/>
      <c r="BG141" s="79"/>
      <c r="BH141" s="79"/>
      <c r="BI141" s="79"/>
      <c r="BJ141" s="88"/>
      <c r="BK141" s="88"/>
      <c r="BL141" s="79"/>
      <c r="BM141" s="185"/>
      <c r="BN141" s="90"/>
      <c r="BO141" s="80"/>
      <c r="BP141" s="80"/>
      <c r="BQ141" s="80"/>
      <c r="BR141" s="80"/>
      <c r="BS141" s="80"/>
      <c r="BT141" s="80"/>
      <c r="BU141" s="80"/>
      <c r="BV141" s="80"/>
      <c r="BW141" s="82"/>
      <c r="BX141" s="79"/>
      <c r="BY141" s="79"/>
      <c r="BZ141" s="79"/>
      <c r="CA141" s="79"/>
      <c r="CB141" s="79"/>
      <c r="CC141" s="82"/>
      <c r="CD141" s="82"/>
      <c r="CE141" s="82"/>
      <c r="CF141" s="82"/>
      <c r="CG141" s="82"/>
      <c r="CH141" s="82"/>
      <c r="CI141" s="82"/>
      <c r="CJ141" s="79"/>
      <c r="CK141" s="79"/>
      <c r="CL141" s="79"/>
      <c r="CM141" s="79"/>
      <c r="CN141" s="79"/>
      <c r="CO141" s="79"/>
    </row>
    <row r="142" spans="1:93">
      <c r="A142" s="98">
        <v>38</v>
      </c>
      <c r="B142" s="178" t="s">
        <v>889</v>
      </c>
      <c r="C142" s="188">
        <v>45030</v>
      </c>
      <c r="D142" s="47" t="s">
        <v>926</v>
      </c>
      <c r="E142" s="126"/>
      <c r="F142" s="154" t="s">
        <v>965</v>
      </c>
      <c r="G142" s="167"/>
      <c r="H142" s="167">
        <v>1</v>
      </c>
      <c r="I142" s="170"/>
      <c r="J142" s="155"/>
      <c r="K142" s="156"/>
      <c r="L142" s="157"/>
      <c r="M142" s="157"/>
      <c r="N142" s="183"/>
      <c r="O142" s="177" t="s">
        <v>912</v>
      </c>
      <c r="P142" s="145"/>
      <c r="Q142" s="141"/>
      <c r="R142" s="190"/>
      <c r="S142" s="83"/>
      <c r="T142" s="87"/>
      <c r="U142" s="87"/>
      <c r="V142" s="87"/>
      <c r="W142" s="44"/>
      <c r="X142" s="88"/>
      <c r="Y142" s="79"/>
      <c r="Z142" s="79"/>
      <c r="AA142" s="79"/>
      <c r="AB142" s="79"/>
      <c r="AC142" s="86"/>
      <c r="AD142" s="82"/>
      <c r="AE142" s="79"/>
      <c r="AF142" s="88"/>
      <c r="AG142" s="80"/>
      <c r="AH142" s="79"/>
      <c r="AI142" s="79"/>
      <c r="AJ142" s="79"/>
      <c r="AK142" s="80"/>
      <c r="AL142" s="80"/>
      <c r="AM142" s="80"/>
      <c r="AN142" s="79"/>
      <c r="AO142" s="80"/>
      <c r="AP142" s="80"/>
      <c r="AQ142" s="80"/>
      <c r="AR142" s="85"/>
      <c r="AS142" s="85"/>
      <c r="AT142" s="85"/>
      <c r="AU142" s="85"/>
      <c r="AV142" s="85"/>
      <c r="AW142" s="82"/>
      <c r="AX142" s="79"/>
      <c r="AY142" s="82"/>
      <c r="AZ142" s="82"/>
      <c r="BA142" s="86"/>
      <c r="BB142" s="79"/>
      <c r="BC142" s="79"/>
      <c r="BD142" s="79"/>
      <c r="BE142" s="82"/>
      <c r="BF142" s="85"/>
      <c r="BG142" s="79"/>
      <c r="BH142" s="79"/>
      <c r="BI142" s="79"/>
      <c r="BJ142" s="88"/>
      <c r="BK142" s="88"/>
      <c r="BL142" s="79"/>
      <c r="BM142" s="185"/>
      <c r="BN142" s="90"/>
      <c r="BO142" s="80"/>
      <c r="BP142" s="80"/>
      <c r="BQ142" s="80"/>
      <c r="BR142" s="80"/>
      <c r="BS142" s="80"/>
      <c r="BT142" s="80"/>
      <c r="BU142" s="80"/>
      <c r="BV142" s="80"/>
      <c r="BW142" s="82"/>
      <c r="BX142" s="79"/>
      <c r="BY142" s="79"/>
      <c r="BZ142" s="79"/>
      <c r="CA142" s="79"/>
      <c r="CB142" s="79"/>
      <c r="CC142" s="82"/>
      <c r="CD142" s="82"/>
      <c r="CE142" s="82"/>
      <c r="CF142" s="82"/>
      <c r="CG142" s="82"/>
      <c r="CH142" s="82"/>
      <c r="CI142" s="82"/>
      <c r="CJ142" s="79"/>
      <c r="CK142" s="79"/>
      <c r="CL142" s="79"/>
      <c r="CM142" s="79"/>
      <c r="CN142" s="79"/>
      <c r="CO142" s="79"/>
    </row>
    <row r="143" spans="1:93">
      <c r="A143" s="98">
        <v>39</v>
      </c>
      <c r="B143" s="178" t="s">
        <v>890</v>
      </c>
      <c r="C143" s="188">
        <v>45030</v>
      </c>
      <c r="D143" s="47" t="s">
        <v>927</v>
      </c>
      <c r="E143" s="126"/>
      <c r="F143" s="154" t="s">
        <v>965</v>
      </c>
      <c r="G143" s="167"/>
      <c r="H143" s="167">
        <v>1</v>
      </c>
      <c r="I143" s="170"/>
      <c r="J143" s="155"/>
      <c r="K143" s="156"/>
      <c r="L143" s="157"/>
      <c r="M143" s="157"/>
      <c r="N143" s="183"/>
      <c r="O143" s="177" t="s">
        <v>913</v>
      </c>
      <c r="P143" s="145"/>
      <c r="Q143" s="141"/>
      <c r="R143" s="190"/>
      <c r="S143" s="83"/>
      <c r="T143" s="87"/>
      <c r="U143" s="87"/>
      <c r="V143" s="87"/>
      <c r="W143" s="44"/>
      <c r="X143" s="88"/>
      <c r="Y143" s="79"/>
      <c r="Z143" s="79"/>
      <c r="AA143" s="79"/>
      <c r="AB143" s="79"/>
      <c r="AC143" s="86"/>
      <c r="AD143" s="82"/>
      <c r="AE143" s="79"/>
      <c r="AF143" s="88"/>
      <c r="AG143" s="80"/>
      <c r="AH143" s="79"/>
      <c r="AI143" s="79"/>
      <c r="AJ143" s="79"/>
      <c r="AK143" s="80"/>
      <c r="AL143" s="80"/>
      <c r="AM143" s="80"/>
      <c r="AN143" s="79"/>
      <c r="AO143" s="80"/>
      <c r="AP143" s="80"/>
      <c r="AQ143" s="80"/>
      <c r="AR143" s="85"/>
      <c r="AS143" s="85"/>
      <c r="AT143" s="85"/>
      <c r="AU143" s="85"/>
      <c r="AV143" s="85"/>
      <c r="AW143" s="82"/>
      <c r="AX143" s="79"/>
      <c r="AY143" s="82"/>
      <c r="AZ143" s="82"/>
      <c r="BA143" s="86"/>
      <c r="BB143" s="79"/>
      <c r="BC143" s="79"/>
      <c r="BD143" s="79"/>
      <c r="BE143" s="82"/>
      <c r="BF143" s="85"/>
      <c r="BG143" s="79"/>
      <c r="BH143" s="79"/>
      <c r="BI143" s="79"/>
      <c r="BJ143" s="88"/>
      <c r="BK143" s="88"/>
      <c r="BL143" s="79"/>
      <c r="BM143" s="185"/>
      <c r="BN143" s="90"/>
      <c r="BO143" s="80"/>
      <c r="BP143" s="80"/>
      <c r="BQ143" s="80"/>
      <c r="BR143" s="80"/>
      <c r="BS143" s="80"/>
      <c r="BT143" s="80"/>
      <c r="BU143" s="80"/>
      <c r="BV143" s="80"/>
      <c r="BW143" s="82"/>
      <c r="BX143" s="79"/>
      <c r="BY143" s="79"/>
      <c r="BZ143" s="79"/>
      <c r="CA143" s="79"/>
      <c r="CB143" s="79"/>
      <c r="CC143" s="82"/>
      <c r="CD143" s="82"/>
      <c r="CE143" s="82"/>
      <c r="CF143" s="82"/>
      <c r="CG143" s="82"/>
      <c r="CH143" s="82"/>
      <c r="CI143" s="82"/>
      <c r="CJ143" s="79"/>
      <c r="CK143" s="79"/>
      <c r="CL143" s="79"/>
      <c r="CM143" s="79"/>
      <c r="CN143" s="79"/>
      <c r="CO143" s="79"/>
    </row>
    <row r="144" spans="1:93">
      <c r="A144" s="98">
        <v>40</v>
      </c>
      <c r="B144" s="178" t="s">
        <v>891</v>
      </c>
      <c r="C144" s="188" t="s">
        <v>850</v>
      </c>
      <c r="D144" s="47" t="s">
        <v>928</v>
      </c>
      <c r="E144" s="126"/>
      <c r="F144" s="154" t="s">
        <v>965</v>
      </c>
      <c r="G144" s="167"/>
      <c r="H144" s="167">
        <v>1</v>
      </c>
      <c r="I144" s="170"/>
      <c r="J144" s="155"/>
      <c r="K144" s="156"/>
      <c r="L144" s="157"/>
      <c r="M144" s="157"/>
      <c r="N144" s="183"/>
      <c r="O144" s="177">
        <v>7884745650</v>
      </c>
      <c r="P144" s="145"/>
      <c r="Q144" s="141"/>
      <c r="R144" s="190"/>
      <c r="S144" s="83"/>
      <c r="T144" s="87"/>
      <c r="U144" s="87"/>
      <c r="V144" s="87"/>
      <c r="W144" s="44"/>
      <c r="X144" s="88"/>
      <c r="Y144" s="79"/>
      <c r="Z144" s="79"/>
      <c r="AA144" s="79"/>
      <c r="AB144" s="79"/>
      <c r="AC144" s="86"/>
      <c r="AD144" s="82"/>
      <c r="AE144" s="79"/>
      <c r="AF144" s="88"/>
      <c r="AG144" s="80"/>
      <c r="AH144" s="79"/>
      <c r="AI144" s="79"/>
      <c r="AJ144" s="79"/>
      <c r="AK144" s="80"/>
      <c r="AL144" s="80"/>
      <c r="AM144" s="80"/>
      <c r="AN144" s="79"/>
      <c r="AO144" s="80"/>
      <c r="AP144" s="80"/>
      <c r="AQ144" s="80"/>
      <c r="AR144" s="85"/>
      <c r="AS144" s="85"/>
      <c r="AT144" s="85"/>
      <c r="AU144" s="85"/>
      <c r="AV144" s="85"/>
      <c r="AW144" s="82"/>
      <c r="AX144" s="79"/>
      <c r="AY144" s="82"/>
      <c r="AZ144" s="82"/>
      <c r="BA144" s="86"/>
      <c r="BB144" s="79"/>
      <c r="BC144" s="79"/>
      <c r="BD144" s="79"/>
      <c r="BE144" s="82"/>
      <c r="BF144" s="85"/>
      <c r="BG144" s="79"/>
      <c r="BH144" s="79"/>
      <c r="BI144" s="79"/>
      <c r="BJ144" s="88"/>
      <c r="BK144" s="88"/>
      <c r="BL144" s="79"/>
      <c r="BM144" s="185"/>
      <c r="BN144" s="90"/>
      <c r="BO144" s="80"/>
      <c r="BP144" s="80"/>
      <c r="BQ144" s="80"/>
      <c r="BR144" s="80"/>
      <c r="BS144" s="80"/>
      <c r="BT144" s="80"/>
      <c r="BU144" s="80"/>
      <c r="BV144" s="80"/>
      <c r="BW144" s="82"/>
      <c r="BX144" s="79"/>
      <c r="BY144" s="79"/>
      <c r="BZ144" s="79"/>
      <c r="CA144" s="79"/>
      <c r="CB144" s="79"/>
      <c r="CC144" s="82"/>
      <c r="CD144" s="82"/>
      <c r="CE144" s="82"/>
      <c r="CF144" s="82"/>
      <c r="CG144" s="82"/>
      <c r="CH144" s="82"/>
      <c r="CI144" s="82"/>
      <c r="CJ144" s="79"/>
      <c r="CK144" s="79"/>
      <c r="CL144" s="79"/>
      <c r="CM144" s="79"/>
      <c r="CN144" s="79"/>
      <c r="CO144" s="79"/>
    </row>
    <row r="145" spans="1:93">
      <c r="A145" s="98">
        <v>41</v>
      </c>
      <c r="B145" s="178" t="s">
        <v>892</v>
      </c>
      <c r="C145" s="188" t="s">
        <v>850</v>
      </c>
      <c r="D145" s="47" t="s">
        <v>929</v>
      </c>
      <c r="E145" s="126"/>
      <c r="F145" s="154" t="s">
        <v>965</v>
      </c>
      <c r="G145" s="167"/>
      <c r="H145" s="167">
        <v>1</v>
      </c>
      <c r="I145" s="170"/>
      <c r="J145" s="155"/>
      <c r="K145" s="156"/>
      <c r="L145" s="157"/>
      <c r="M145" s="157"/>
      <c r="N145" s="183"/>
      <c r="O145" s="177" t="s">
        <v>914</v>
      </c>
      <c r="P145" s="145"/>
      <c r="Q145" s="141"/>
      <c r="R145" s="190"/>
      <c r="S145" s="83"/>
      <c r="T145" s="87"/>
      <c r="U145" s="87"/>
      <c r="V145" s="87"/>
      <c r="W145" s="44"/>
      <c r="X145" s="88"/>
      <c r="Y145" s="79"/>
      <c r="Z145" s="79"/>
      <c r="AA145" s="79"/>
      <c r="AB145" s="79"/>
      <c r="AC145" s="86"/>
      <c r="AD145" s="82"/>
      <c r="AE145" s="79"/>
      <c r="AF145" s="88"/>
      <c r="AG145" s="80"/>
      <c r="AH145" s="79"/>
      <c r="AI145" s="79"/>
      <c r="AJ145" s="79"/>
      <c r="AK145" s="80"/>
      <c r="AL145" s="80"/>
      <c r="AM145" s="80"/>
      <c r="AN145" s="79"/>
      <c r="AO145" s="80"/>
      <c r="AP145" s="80"/>
      <c r="AQ145" s="80"/>
      <c r="AR145" s="85"/>
      <c r="AS145" s="85"/>
      <c r="AT145" s="85"/>
      <c r="AU145" s="85"/>
      <c r="AV145" s="85"/>
      <c r="AW145" s="82"/>
      <c r="AX145" s="79"/>
      <c r="AY145" s="82"/>
      <c r="AZ145" s="82"/>
      <c r="BA145" s="86"/>
      <c r="BB145" s="79"/>
      <c r="BC145" s="79"/>
      <c r="BD145" s="79"/>
      <c r="BE145" s="82"/>
      <c r="BF145" s="85"/>
      <c r="BG145" s="79"/>
      <c r="BH145" s="79"/>
      <c r="BI145" s="79"/>
      <c r="BJ145" s="88"/>
      <c r="BK145" s="88"/>
      <c r="BL145" s="79"/>
      <c r="BM145" s="185"/>
      <c r="BN145" s="90"/>
      <c r="BO145" s="80"/>
      <c r="BP145" s="80"/>
      <c r="BQ145" s="80"/>
      <c r="BR145" s="80"/>
      <c r="BS145" s="80"/>
      <c r="BT145" s="80"/>
      <c r="BU145" s="80"/>
      <c r="BV145" s="80"/>
      <c r="BW145" s="82"/>
      <c r="BX145" s="79"/>
      <c r="BY145" s="79"/>
      <c r="BZ145" s="79"/>
      <c r="CA145" s="79"/>
      <c r="CB145" s="79"/>
      <c r="CC145" s="82"/>
      <c r="CD145" s="82"/>
      <c r="CE145" s="82"/>
      <c r="CF145" s="82"/>
      <c r="CG145" s="82"/>
      <c r="CH145" s="82"/>
      <c r="CI145" s="82"/>
      <c r="CJ145" s="79"/>
      <c r="CK145" s="79"/>
      <c r="CL145" s="79"/>
      <c r="CM145" s="79"/>
      <c r="CN145" s="79"/>
      <c r="CO145" s="79"/>
    </row>
    <row r="146" spans="1:93">
      <c r="A146" s="98">
        <v>42</v>
      </c>
      <c r="B146" s="178" t="s">
        <v>897</v>
      </c>
      <c r="C146" s="188" t="s">
        <v>907</v>
      </c>
      <c r="D146" s="47" t="s">
        <v>930</v>
      </c>
      <c r="E146" s="126"/>
      <c r="F146" s="154" t="s">
        <v>965</v>
      </c>
      <c r="G146" s="167">
        <v>1</v>
      </c>
      <c r="H146" s="167"/>
      <c r="I146" s="170"/>
      <c r="J146" s="155"/>
      <c r="K146" s="156"/>
      <c r="L146" s="157"/>
      <c r="M146" s="157"/>
      <c r="N146" s="183"/>
      <c r="O146" s="177" t="s">
        <v>918</v>
      </c>
      <c r="P146" s="145"/>
      <c r="Q146" s="141"/>
      <c r="R146" s="190"/>
      <c r="S146" s="83"/>
      <c r="T146" s="87"/>
      <c r="U146" s="87"/>
      <c r="V146" s="87"/>
      <c r="W146" s="44"/>
      <c r="X146" s="88"/>
      <c r="Y146" s="79"/>
      <c r="Z146" s="79"/>
      <c r="AA146" s="79"/>
      <c r="AB146" s="79"/>
      <c r="AC146" s="86"/>
      <c r="AD146" s="82"/>
      <c r="AE146" s="79"/>
      <c r="AF146" s="88"/>
      <c r="AG146" s="80"/>
      <c r="AH146" s="79"/>
      <c r="AI146" s="79"/>
      <c r="AJ146" s="79"/>
      <c r="AK146" s="80"/>
      <c r="AL146" s="80"/>
      <c r="AM146" s="80"/>
      <c r="AN146" s="79"/>
      <c r="AO146" s="80"/>
      <c r="AP146" s="80"/>
      <c r="AQ146" s="80"/>
      <c r="AR146" s="85"/>
      <c r="AS146" s="85"/>
      <c r="AT146" s="85"/>
      <c r="AU146" s="85"/>
      <c r="AV146" s="85"/>
      <c r="AW146" s="82"/>
      <c r="AX146" s="79"/>
      <c r="AY146" s="82"/>
      <c r="AZ146" s="82"/>
      <c r="BA146" s="86"/>
      <c r="BB146" s="79"/>
      <c r="BC146" s="79"/>
      <c r="BD146" s="79"/>
      <c r="BE146" s="82"/>
      <c r="BF146" s="85"/>
      <c r="BG146" s="79"/>
      <c r="BH146" s="79"/>
      <c r="BI146" s="79"/>
      <c r="BJ146" s="88"/>
      <c r="BK146" s="88"/>
      <c r="BL146" s="79"/>
      <c r="BM146" s="185"/>
      <c r="BN146" s="90"/>
      <c r="BO146" s="80"/>
      <c r="BP146" s="80"/>
      <c r="BQ146" s="80"/>
      <c r="BR146" s="80"/>
      <c r="BS146" s="80"/>
      <c r="BT146" s="80"/>
      <c r="BU146" s="80"/>
      <c r="BV146" s="80"/>
      <c r="BW146" s="82"/>
      <c r="BX146" s="79"/>
      <c r="BY146" s="79"/>
      <c r="BZ146" s="79"/>
      <c r="CA146" s="79"/>
      <c r="CB146" s="79"/>
      <c r="CC146" s="82"/>
      <c r="CD146" s="82"/>
      <c r="CE146" s="82"/>
      <c r="CF146" s="82"/>
      <c r="CG146" s="82"/>
      <c r="CH146" s="82"/>
      <c r="CI146" s="82"/>
      <c r="CJ146" s="79"/>
      <c r="CK146" s="79"/>
      <c r="CL146" s="79"/>
      <c r="CM146" s="79"/>
      <c r="CN146" s="79"/>
      <c r="CO146" s="79"/>
    </row>
    <row r="147" spans="1:93">
      <c r="A147" s="98">
        <v>43</v>
      </c>
      <c r="B147" s="178" t="s">
        <v>898</v>
      </c>
      <c r="C147" s="188" t="s">
        <v>908</v>
      </c>
      <c r="D147" s="47" t="s">
        <v>931</v>
      </c>
      <c r="E147" s="126"/>
      <c r="F147" s="154" t="s">
        <v>965</v>
      </c>
      <c r="G147" s="167">
        <v>1</v>
      </c>
      <c r="H147" s="167"/>
      <c r="I147" s="170"/>
      <c r="J147" s="155"/>
      <c r="K147" s="156"/>
      <c r="L147" s="157"/>
      <c r="M147" s="157"/>
      <c r="N147" s="183"/>
      <c r="O147" s="177" t="s">
        <v>919</v>
      </c>
      <c r="P147" s="145"/>
      <c r="Q147" s="141"/>
      <c r="R147" s="190"/>
      <c r="S147" s="83"/>
      <c r="T147" s="87"/>
      <c r="U147" s="87"/>
      <c r="V147" s="87"/>
      <c r="W147" s="44"/>
      <c r="X147" s="88"/>
      <c r="Y147" s="79"/>
      <c r="Z147" s="79"/>
      <c r="AA147" s="79"/>
      <c r="AB147" s="79"/>
      <c r="AC147" s="86"/>
      <c r="AD147" s="82"/>
      <c r="AE147" s="79"/>
      <c r="AF147" s="88"/>
      <c r="AG147" s="80"/>
      <c r="AH147" s="79"/>
      <c r="AI147" s="79"/>
      <c r="AJ147" s="79"/>
      <c r="AK147" s="80"/>
      <c r="AL147" s="80"/>
      <c r="AM147" s="80"/>
      <c r="AN147" s="79"/>
      <c r="AO147" s="80"/>
      <c r="AP147" s="80"/>
      <c r="AQ147" s="80"/>
      <c r="AR147" s="85"/>
      <c r="AS147" s="85"/>
      <c r="AT147" s="85"/>
      <c r="AU147" s="85"/>
      <c r="AV147" s="85"/>
      <c r="AW147" s="82"/>
      <c r="AX147" s="79"/>
      <c r="AY147" s="82"/>
      <c r="AZ147" s="82"/>
      <c r="BA147" s="86"/>
      <c r="BB147" s="79"/>
      <c r="BC147" s="79"/>
      <c r="BD147" s="79"/>
      <c r="BE147" s="82"/>
      <c r="BF147" s="85"/>
      <c r="BG147" s="79"/>
      <c r="BH147" s="79"/>
      <c r="BI147" s="79"/>
      <c r="BJ147" s="88"/>
      <c r="BK147" s="88"/>
      <c r="BL147" s="79"/>
      <c r="BM147" s="185"/>
      <c r="BN147" s="90"/>
      <c r="BO147" s="80"/>
      <c r="BP147" s="80"/>
      <c r="BQ147" s="80"/>
      <c r="BR147" s="80"/>
      <c r="BS147" s="80"/>
      <c r="BT147" s="80"/>
      <c r="BU147" s="80"/>
      <c r="BV147" s="80"/>
      <c r="BW147" s="82"/>
      <c r="BX147" s="79"/>
      <c r="BY147" s="79"/>
      <c r="BZ147" s="79"/>
      <c r="CA147" s="79"/>
      <c r="CB147" s="79"/>
      <c r="CC147" s="82"/>
      <c r="CD147" s="82"/>
      <c r="CE147" s="82"/>
      <c r="CF147" s="82"/>
      <c r="CG147" s="82"/>
      <c r="CH147" s="82"/>
      <c r="CI147" s="82"/>
      <c r="CJ147" s="79"/>
      <c r="CK147" s="79"/>
      <c r="CL147" s="79"/>
      <c r="CM147" s="79"/>
      <c r="CN147" s="79"/>
      <c r="CO147" s="79"/>
    </row>
    <row r="148" spans="1:93" ht="26.4">
      <c r="A148" s="98">
        <v>44</v>
      </c>
      <c r="B148" s="319" t="s">
        <v>899</v>
      </c>
      <c r="C148" s="188" t="s">
        <v>872</v>
      </c>
      <c r="D148" s="47" t="s">
        <v>932</v>
      </c>
      <c r="E148" s="126"/>
      <c r="F148" s="154" t="s">
        <v>965</v>
      </c>
      <c r="G148" s="167">
        <v>1</v>
      </c>
      <c r="H148" s="167"/>
      <c r="I148" s="170"/>
      <c r="J148" s="155"/>
      <c r="K148" s="156"/>
      <c r="L148" s="157"/>
      <c r="M148" s="157"/>
      <c r="N148" s="183"/>
      <c r="O148" s="177" t="s">
        <v>920</v>
      </c>
      <c r="P148" s="145"/>
      <c r="Q148" s="141"/>
      <c r="R148" s="190"/>
      <c r="S148" s="83"/>
      <c r="T148" s="87"/>
      <c r="U148" s="87"/>
      <c r="V148" s="87"/>
      <c r="W148" s="44"/>
      <c r="X148" s="88"/>
      <c r="Y148" s="79"/>
      <c r="Z148" s="79"/>
      <c r="AA148" s="79"/>
      <c r="AB148" s="79"/>
      <c r="AC148" s="86"/>
      <c r="AD148" s="82"/>
      <c r="AE148" s="79"/>
      <c r="AF148" s="88"/>
      <c r="AG148" s="80"/>
      <c r="AH148" s="79"/>
      <c r="AI148" s="79"/>
      <c r="AJ148" s="79"/>
      <c r="AK148" s="80"/>
      <c r="AL148" s="80"/>
      <c r="AM148" s="80"/>
      <c r="AN148" s="79"/>
      <c r="AO148" s="80"/>
      <c r="AP148" s="80"/>
      <c r="AQ148" s="80"/>
      <c r="AR148" s="85"/>
      <c r="AS148" s="85"/>
      <c r="AT148" s="85"/>
      <c r="AU148" s="85"/>
      <c r="AV148" s="85"/>
      <c r="AW148" s="82"/>
      <c r="AX148" s="79"/>
      <c r="AY148" s="82"/>
      <c r="AZ148" s="82"/>
      <c r="BA148" s="86"/>
      <c r="BB148" s="79"/>
      <c r="BC148" s="79"/>
      <c r="BD148" s="79"/>
      <c r="BE148" s="82"/>
      <c r="BF148" s="85"/>
      <c r="BG148" s="79"/>
      <c r="BH148" s="79"/>
      <c r="BI148" s="79"/>
      <c r="BJ148" s="88"/>
      <c r="BK148" s="88"/>
      <c r="BL148" s="79"/>
      <c r="BM148" s="185"/>
      <c r="BN148" s="90"/>
      <c r="BO148" s="80"/>
      <c r="BP148" s="80"/>
      <c r="BQ148" s="80"/>
      <c r="BR148" s="80"/>
      <c r="BS148" s="80"/>
      <c r="BT148" s="80"/>
      <c r="BU148" s="80"/>
      <c r="BV148" s="80"/>
      <c r="BW148" s="82"/>
      <c r="BX148" s="79"/>
      <c r="BY148" s="79"/>
      <c r="BZ148" s="79"/>
      <c r="CA148" s="79"/>
      <c r="CB148" s="79"/>
      <c r="CC148" s="82"/>
      <c r="CD148" s="82"/>
      <c r="CE148" s="82"/>
      <c r="CF148" s="82"/>
      <c r="CG148" s="82"/>
      <c r="CH148" s="82"/>
      <c r="CI148" s="82"/>
      <c r="CJ148" s="79"/>
      <c r="CK148" s="79"/>
      <c r="CL148" s="79"/>
      <c r="CM148" s="79"/>
      <c r="CN148" s="79"/>
      <c r="CO148" s="79"/>
    </row>
    <row r="149" spans="1:93">
      <c r="A149" s="98">
        <v>45</v>
      </c>
      <c r="B149" s="178" t="s">
        <v>900</v>
      </c>
      <c r="C149" s="188" t="s">
        <v>872</v>
      </c>
      <c r="D149" s="47" t="s">
        <v>933</v>
      </c>
      <c r="E149" s="126"/>
      <c r="F149" s="154" t="s">
        <v>965</v>
      </c>
      <c r="G149" s="167">
        <v>1</v>
      </c>
      <c r="H149" s="167"/>
      <c r="I149" s="170"/>
      <c r="J149" s="155"/>
      <c r="K149" s="156"/>
      <c r="L149" s="157"/>
      <c r="M149" s="157"/>
      <c r="N149" s="183"/>
      <c r="O149" s="177">
        <v>6355706710</v>
      </c>
      <c r="P149" s="145"/>
      <c r="Q149" s="141"/>
      <c r="R149" s="190"/>
      <c r="S149" s="83"/>
      <c r="T149" s="87"/>
      <c r="U149" s="87"/>
      <c r="V149" s="87"/>
      <c r="W149" s="44"/>
      <c r="X149" s="88"/>
      <c r="Y149" s="79"/>
      <c r="Z149" s="79"/>
      <c r="AA149" s="79"/>
      <c r="AB149" s="79"/>
      <c r="AC149" s="86"/>
      <c r="AD149" s="82"/>
      <c r="AE149" s="79"/>
      <c r="AF149" s="88"/>
      <c r="AG149" s="80"/>
      <c r="AH149" s="79"/>
      <c r="AI149" s="79"/>
      <c r="AJ149" s="79"/>
      <c r="AK149" s="80"/>
      <c r="AL149" s="80"/>
      <c r="AM149" s="80"/>
      <c r="AN149" s="79"/>
      <c r="AO149" s="80"/>
      <c r="AP149" s="80"/>
      <c r="AQ149" s="80"/>
      <c r="AR149" s="85"/>
      <c r="AS149" s="85"/>
      <c r="AT149" s="85"/>
      <c r="AU149" s="85"/>
      <c r="AV149" s="85"/>
      <c r="AW149" s="82"/>
      <c r="AX149" s="79"/>
      <c r="AY149" s="82"/>
      <c r="AZ149" s="82"/>
      <c r="BA149" s="86"/>
      <c r="BB149" s="79"/>
      <c r="BC149" s="79"/>
      <c r="BD149" s="79"/>
      <c r="BE149" s="82"/>
      <c r="BF149" s="85"/>
      <c r="BG149" s="79"/>
      <c r="BH149" s="79"/>
      <c r="BI149" s="79"/>
      <c r="BJ149" s="88"/>
      <c r="BK149" s="88"/>
      <c r="BL149" s="79"/>
      <c r="BM149" s="185"/>
      <c r="BN149" s="90"/>
      <c r="BO149" s="80"/>
      <c r="BP149" s="80"/>
      <c r="BQ149" s="80"/>
      <c r="BR149" s="80"/>
      <c r="BS149" s="80"/>
      <c r="BT149" s="80"/>
      <c r="BU149" s="80"/>
      <c r="BV149" s="80"/>
      <c r="BW149" s="82"/>
      <c r="BX149" s="79"/>
      <c r="BY149" s="79"/>
      <c r="BZ149" s="79"/>
      <c r="CA149" s="79"/>
      <c r="CB149" s="79"/>
      <c r="CC149" s="82"/>
      <c r="CD149" s="82"/>
      <c r="CE149" s="82"/>
      <c r="CF149" s="82"/>
      <c r="CG149" s="82"/>
      <c r="CH149" s="82"/>
      <c r="CI149" s="82"/>
      <c r="CJ149" s="79"/>
      <c r="CK149" s="79"/>
      <c r="CL149" s="79"/>
      <c r="CM149" s="79"/>
      <c r="CN149" s="79"/>
      <c r="CO149" s="79"/>
    </row>
    <row r="150" spans="1:93" ht="15.6">
      <c r="A150" s="98">
        <v>46</v>
      </c>
      <c r="B150" s="178" t="s">
        <v>903</v>
      </c>
      <c r="C150" s="188" t="s">
        <v>909</v>
      </c>
      <c r="D150" s="47" t="s">
        <v>934</v>
      </c>
      <c r="E150" s="126"/>
      <c r="F150" s="154" t="s">
        <v>965</v>
      </c>
      <c r="G150" s="167">
        <v>1</v>
      </c>
      <c r="H150" s="433"/>
      <c r="I150" s="170"/>
      <c r="J150" s="155"/>
      <c r="K150" s="156"/>
      <c r="L150" s="157"/>
      <c r="M150" s="157"/>
      <c r="N150" s="183"/>
      <c r="O150" s="177" t="s">
        <v>922</v>
      </c>
      <c r="P150" s="145"/>
      <c r="Q150" s="141"/>
      <c r="R150" s="190"/>
      <c r="S150" s="83"/>
      <c r="T150" s="87"/>
      <c r="U150" s="87"/>
      <c r="V150" s="87"/>
      <c r="W150" s="44"/>
      <c r="X150" s="88"/>
      <c r="Y150" s="79"/>
      <c r="Z150" s="79"/>
      <c r="AA150" s="79"/>
      <c r="AB150" s="79"/>
      <c r="AC150" s="86"/>
      <c r="AD150" s="82"/>
      <c r="AE150" s="79"/>
      <c r="AF150" s="88"/>
      <c r="AG150" s="80"/>
      <c r="AH150" s="79"/>
      <c r="AI150" s="79"/>
      <c r="AJ150" s="79"/>
      <c r="AK150" s="80"/>
      <c r="AL150" s="80"/>
      <c r="AM150" s="80"/>
      <c r="AN150" s="79"/>
      <c r="AO150" s="80"/>
      <c r="AP150" s="80"/>
      <c r="AQ150" s="80"/>
      <c r="AR150" s="85"/>
      <c r="AS150" s="85"/>
      <c r="AT150" s="85"/>
      <c r="AU150" s="85"/>
      <c r="AV150" s="85"/>
      <c r="AW150" s="82"/>
      <c r="AX150" s="79"/>
      <c r="AY150" s="82"/>
      <c r="AZ150" s="82"/>
      <c r="BA150" s="86"/>
      <c r="BB150" s="79"/>
      <c r="BC150" s="79"/>
      <c r="BD150" s="79"/>
      <c r="BE150" s="82"/>
      <c r="BF150" s="85"/>
      <c r="BG150" s="79"/>
      <c r="BH150" s="79"/>
      <c r="BI150" s="79"/>
      <c r="BJ150" s="88"/>
      <c r="BK150" s="88"/>
      <c r="BL150" s="79"/>
      <c r="BM150" s="185"/>
      <c r="BN150" s="90"/>
      <c r="BO150" s="80"/>
      <c r="BP150" s="80"/>
      <c r="BQ150" s="80"/>
      <c r="BR150" s="80"/>
      <c r="BS150" s="80"/>
      <c r="BT150" s="80"/>
      <c r="BU150" s="80"/>
      <c r="BV150" s="80"/>
      <c r="BW150" s="82"/>
      <c r="BX150" s="79"/>
      <c r="BY150" s="79"/>
      <c r="BZ150" s="79"/>
      <c r="CA150" s="79"/>
      <c r="CB150" s="79"/>
      <c r="CC150" s="82"/>
      <c r="CD150" s="82"/>
      <c r="CE150" s="82"/>
      <c r="CF150" s="82"/>
      <c r="CG150" s="82"/>
      <c r="CH150" s="82"/>
      <c r="CI150" s="82"/>
      <c r="CJ150" s="79"/>
      <c r="CK150" s="79"/>
      <c r="CL150" s="79"/>
      <c r="CM150" s="79"/>
      <c r="CN150" s="79"/>
      <c r="CO150" s="79"/>
    </row>
    <row r="151" spans="1:93">
      <c r="A151" s="98">
        <v>47</v>
      </c>
      <c r="B151" s="178" t="s">
        <v>904</v>
      </c>
      <c r="C151" s="188" t="s">
        <v>881</v>
      </c>
      <c r="D151" s="47" t="s">
        <v>935</v>
      </c>
      <c r="E151" s="126"/>
      <c r="F151" s="154" t="s">
        <v>965</v>
      </c>
      <c r="G151" s="167"/>
      <c r="H151" s="167">
        <v>1</v>
      </c>
      <c r="I151" s="170"/>
      <c r="J151" s="155"/>
      <c r="K151" s="156"/>
      <c r="L151" s="157"/>
      <c r="M151" s="157"/>
      <c r="N151" s="183"/>
      <c r="O151" s="177">
        <v>2717764750</v>
      </c>
      <c r="P151" s="145"/>
      <c r="Q151" s="141"/>
      <c r="R151" s="190"/>
      <c r="S151" s="83"/>
      <c r="T151" s="87"/>
      <c r="U151" s="87"/>
      <c r="V151" s="87"/>
      <c r="W151" s="44"/>
      <c r="X151" s="88"/>
      <c r="Y151" s="79"/>
      <c r="Z151" s="79"/>
      <c r="AA151" s="79"/>
      <c r="AB151" s="79"/>
      <c r="AC151" s="86"/>
      <c r="AD151" s="82"/>
      <c r="AE151" s="79"/>
      <c r="AF151" s="88"/>
      <c r="AG151" s="80"/>
      <c r="AH151" s="79"/>
      <c r="AI151" s="79"/>
      <c r="AJ151" s="79"/>
      <c r="AK151" s="80"/>
      <c r="AL151" s="80"/>
      <c r="AM151" s="80"/>
      <c r="AN151" s="79"/>
      <c r="AO151" s="80"/>
      <c r="AP151" s="80"/>
      <c r="AQ151" s="80"/>
      <c r="AR151" s="85"/>
      <c r="AS151" s="85"/>
      <c r="AT151" s="85"/>
      <c r="AU151" s="85"/>
      <c r="AV151" s="85"/>
      <c r="AW151" s="82"/>
      <c r="AX151" s="79"/>
      <c r="AY151" s="82"/>
      <c r="AZ151" s="82"/>
      <c r="BA151" s="86"/>
      <c r="BB151" s="79"/>
      <c r="BC151" s="79"/>
      <c r="BD151" s="79"/>
      <c r="BE151" s="82"/>
      <c r="BF151" s="85"/>
      <c r="BG151" s="79"/>
      <c r="BH151" s="79"/>
      <c r="BI151" s="79"/>
      <c r="BJ151" s="88"/>
      <c r="BK151" s="88"/>
      <c r="BL151" s="79"/>
      <c r="BM151" s="185"/>
      <c r="BN151" s="90"/>
      <c r="BO151" s="80"/>
      <c r="BP151" s="80"/>
      <c r="BQ151" s="80"/>
      <c r="BR151" s="80"/>
      <c r="BS151" s="80"/>
      <c r="BT151" s="80"/>
      <c r="BU151" s="80"/>
      <c r="BV151" s="80"/>
      <c r="BW151" s="82"/>
      <c r="BX151" s="79"/>
      <c r="BY151" s="79"/>
      <c r="BZ151" s="79"/>
      <c r="CA151" s="79"/>
      <c r="CB151" s="79"/>
      <c r="CC151" s="82"/>
      <c r="CD151" s="82"/>
      <c r="CE151" s="82"/>
      <c r="CF151" s="82"/>
      <c r="CG151" s="82"/>
      <c r="CH151" s="82"/>
      <c r="CI151" s="82"/>
      <c r="CJ151" s="79"/>
      <c r="CK151" s="79"/>
      <c r="CL151" s="79"/>
      <c r="CM151" s="79"/>
      <c r="CN151" s="79"/>
      <c r="CO151" s="79"/>
    </row>
    <row r="152" spans="1:93">
      <c r="A152" s="98">
        <v>48</v>
      </c>
      <c r="B152" s="178" t="s">
        <v>905</v>
      </c>
      <c r="C152" s="188" t="s">
        <v>910</v>
      </c>
      <c r="D152" s="47" t="s">
        <v>936</v>
      </c>
      <c r="E152" s="126"/>
      <c r="F152" s="154" t="s">
        <v>965</v>
      </c>
      <c r="G152" s="167"/>
      <c r="H152" s="167">
        <v>1</v>
      </c>
      <c r="I152" s="170"/>
      <c r="J152" s="155"/>
      <c r="K152" s="156"/>
      <c r="L152" s="157"/>
      <c r="M152" s="157"/>
      <c r="N152" s="183"/>
      <c r="O152" s="177" t="s">
        <v>923</v>
      </c>
      <c r="P152" s="145"/>
      <c r="Q152" s="141"/>
      <c r="R152" s="190"/>
      <c r="S152" s="83"/>
      <c r="T152" s="87"/>
      <c r="U152" s="87"/>
      <c r="V152" s="87"/>
      <c r="W152" s="44"/>
      <c r="X152" s="88"/>
      <c r="Y152" s="79"/>
      <c r="Z152" s="79"/>
      <c r="AA152" s="79"/>
      <c r="AB152" s="79"/>
      <c r="AC152" s="86"/>
      <c r="AD152" s="82"/>
      <c r="AE152" s="79"/>
      <c r="AF152" s="88"/>
      <c r="AG152" s="80"/>
      <c r="AH152" s="79"/>
      <c r="AI152" s="79"/>
      <c r="AJ152" s="79"/>
      <c r="AK152" s="80"/>
      <c r="AL152" s="80"/>
      <c r="AM152" s="80"/>
      <c r="AN152" s="79"/>
      <c r="AO152" s="80"/>
      <c r="AP152" s="80"/>
      <c r="AQ152" s="80"/>
      <c r="AR152" s="85"/>
      <c r="AS152" s="85"/>
      <c r="AT152" s="85"/>
      <c r="AU152" s="85"/>
      <c r="AV152" s="85"/>
      <c r="AW152" s="82"/>
      <c r="AX152" s="79"/>
      <c r="AY152" s="82"/>
      <c r="AZ152" s="82"/>
      <c r="BA152" s="86"/>
      <c r="BB152" s="79"/>
      <c r="BC152" s="79"/>
      <c r="BD152" s="79"/>
      <c r="BE152" s="82"/>
      <c r="BF152" s="85"/>
      <c r="BG152" s="79"/>
      <c r="BH152" s="79"/>
      <c r="BI152" s="79"/>
      <c r="BJ152" s="88"/>
      <c r="BK152" s="88"/>
      <c r="BL152" s="79"/>
      <c r="BM152" s="185"/>
      <c r="BN152" s="90"/>
      <c r="BO152" s="80"/>
      <c r="BP152" s="80"/>
      <c r="BQ152" s="80"/>
      <c r="BR152" s="80"/>
      <c r="BS152" s="80"/>
      <c r="BT152" s="80"/>
      <c r="BU152" s="80"/>
      <c r="BV152" s="80"/>
      <c r="BW152" s="82"/>
      <c r="BX152" s="79"/>
      <c r="BY152" s="79"/>
      <c r="BZ152" s="79"/>
      <c r="CA152" s="79"/>
      <c r="CB152" s="79"/>
      <c r="CC152" s="82"/>
      <c r="CD152" s="82"/>
      <c r="CE152" s="82"/>
      <c r="CF152" s="82"/>
      <c r="CG152" s="82"/>
      <c r="CH152" s="82"/>
      <c r="CI152" s="82"/>
      <c r="CJ152" s="79"/>
      <c r="CK152" s="79"/>
      <c r="CL152" s="79"/>
      <c r="CM152" s="79"/>
      <c r="CN152" s="79"/>
      <c r="CO152" s="79"/>
    </row>
    <row r="153" spans="1:93">
      <c r="A153" s="98"/>
      <c r="B153" s="3682" t="s">
        <v>867</v>
      </c>
      <c r="C153" s="3683"/>
      <c r="D153" s="3683"/>
      <c r="E153" s="3683"/>
      <c r="F153" s="3683"/>
      <c r="G153" s="3683"/>
      <c r="H153" s="3684"/>
      <c r="I153" s="297"/>
      <c r="J153" s="298"/>
      <c r="K153" s="298"/>
      <c r="L153" s="299"/>
      <c r="M153" s="299"/>
      <c r="N153" s="300"/>
      <c r="O153" s="301"/>
      <c r="P153" s="302"/>
      <c r="Q153" s="303"/>
      <c r="R153" s="304"/>
      <c r="S153" s="305"/>
      <c r="T153" s="302"/>
      <c r="U153" s="302"/>
      <c r="V153" s="302"/>
      <c r="W153" s="306"/>
      <c r="X153" s="307"/>
      <c r="Y153" s="308"/>
      <c r="Z153" s="308"/>
      <c r="AA153" s="308"/>
      <c r="AB153" s="308"/>
      <c r="AC153" s="309"/>
      <c r="AD153" s="310"/>
      <c r="AE153" s="308"/>
      <c r="AF153" s="307"/>
      <c r="AG153" s="311"/>
      <c r="AH153" s="308"/>
      <c r="AI153" s="308"/>
      <c r="AJ153" s="308"/>
      <c r="AK153" s="311"/>
      <c r="AL153" s="311"/>
      <c r="AM153" s="311"/>
      <c r="AN153" s="308"/>
      <c r="AO153" s="311"/>
      <c r="AP153" s="311"/>
      <c r="AQ153" s="311"/>
      <c r="AR153" s="312"/>
      <c r="AS153" s="312"/>
      <c r="AT153" s="312"/>
      <c r="AU153" s="312"/>
      <c r="AV153" s="312"/>
      <c r="AW153" s="310"/>
      <c r="AX153" s="308"/>
      <c r="AY153" s="310"/>
      <c r="AZ153" s="310"/>
      <c r="BA153" s="313"/>
      <c r="BB153" s="308"/>
      <c r="BC153" s="308"/>
      <c r="BD153" s="308"/>
      <c r="BE153" s="310"/>
      <c r="BF153" s="312"/>
      <c r="BG153" s="308"/>
      <c r="BH153" s="308"/>
      <c r="BI153" s="308"/>
      <c r="BJ153" s="307"/>
      <c r="BK153" s="307"/>
      <c r="BL153" s="308"/>
      <c r="BM153" s="186"/>
      <c r="BN153" s="90"/>
      <c r="BO153" s="80"/>
      <c r="BP153" s="80"/>
      <c r="BQ153" s="80"/>
      <c r="BR153" s="80"/>
      <c r="BS153" s="80"/>
      <c r="BT153" s="80"/>
      <c r="BU153" s="80"/>
      <c r="BV153" s="80"/>
      <c r="BW153" s="82"/>
      <c r="BX153" s="79"/>
      <c r="BY153" s="79"/>
      <c r="BZ153" s="79"/>
      <c r="CA153" s="79"/>
      <c r="CB153" s="79"/>
      <c r="CC153" s="82"/>
      <c r="CD153" s="82"/>
      <c r="CE153" s="82"/>
      <c r="CF153" s="82"/>
      <c r="CG153" s="82"/>
      <c r="CH153" s="82"/>
      <c r="CI153" s="82"/>
      <c r="CJ153" s="79"/>
      <c r="CK153" s="79"/>
      <c r="CL153" s="79"/>
      <c r="CM153" s="79"/>
      <c r="CN153" s="79"/>
      <c r="CO153" s="79"/>
    </row>
    <row r="154" spans="1:93">
      <c r="A154" s="98">
        <v>1</v>
      </c>
      <c r="B154" s="380" t="s">
        <v>983</v>
      </c>
      <c r="C154" s="188" t="s">
        <v>966</v>
      </c>
      <c r="D154" s="47" t="s">
        <v>1023</v>
      </c>
      <c r="E154" s="126"/>
      <c r="F154" s="382" t="s">
        <v>1031</v>
      </c>
      <c r="G154" s="167">
        <v>2</v>
      </c>
      <c r="H154" s="167"/>
      <c r="I154" s="170"/>
      <c r="J154" s="155"/>
      <c r="K154" s="156"/>
      <c r="L154" s="157"/>
      <c r="M154" s="157"/>
      <c r="N154" s="183"/>
      <c r="O154" s="177" t="s">
        <v>1001</v>
      </c>
      <c r="P154" s="145"/>
      <c r="Q154" s="141"/>
      <c r="R154" s="190"/>
      <c r="S154" s="83"/>
      <c r="T154" s="87"/>
      <c r="U154" s="87"/>
      <c r="V154" s="87"/>
      <c r="W154" s="44"/>
      <c r="X154" s="88"/>
      <c r="Y154" s="79"/>
      <c r="Z154" s="79"/>
      <c r="AA154" s="79"/>
      <c r="AB154" s="79"/>
      <c r="AC154" s="86"/>
      <c r="AD154" s="82"/>
      <c r="AE154" s="79"/>
      <c r="AF154" s="88"/>
      <c r="AG154" s="80"/>
      <c r="AH154" s="79"/>
      <c r="AI154" s="79"/>
      <c r="AJ154" s="79"/>
      <c r="AK154" s="80"/>
      <c r="AL154" s="80"/>
      <c r="AM154" s="80"/>
      <c r="AN154" s="79"/>
      <c r="AO154" s="80"/>
      <c r="AP154" s="80"/>
      <c r="AQ154" s="80"/>
      <c r="AR154" s="85"/>
      <c r="AS154" s="85"/>
      <c r="AT154" s="85"/>
      <c r="AU154" s="85"/>
      <c r="AV154" s="85"/>
      <c r="AW154" s="82"/>
      <c r="AX154" s="79"/>
      <c r="AY154" s="82"/>
      <c r="AZ154" s="82"/>
      <c r="BA154" s="86"/>
      <c r="BB154" s="79"/>
      <c r="BC154" s="79"/>
      <c r="BD154" s="79"/>
      <c r="BE154" s="82"/>
      <c r="BF154" s="85"/>
      <c r="BG154" s="79"/>
      <c r="BH154" s="79"/>
      <c r="BI154" s="79"/>
      <c r="BJ154" s="88"/>
      <c r="BK154" s="88"/>
      <c r="BL154" s="79"/>
      <c r="BM154" s="185"/>
      <c r="BN154" s="90"/>
      <c r="BO154" s="80"/>
      <c r="BP154" s="80"/>
      <c r="BQ154" s="80"/>
      <c r="BR154" s="80"/>
      <c r="BS154" s="80"/>
      <c r="BT154" s="80"/>
      <c r="BU154" s="80"/>
      <c r="BV154" s="80"/>
      <c r="BW154" s="82"/>
      <c r="BX154" s="79"/>
      <c r="BY154" s="79"/>
      <c r="BZ154" s="79"/>
      <c r="CA154" s="79"/>
      <c r="CB154" s="79"/>
      <c r="CC154" s="82"/>
      <c r="CD154" s="82"/>
      <c r="CE154" s="82"/>
      <c r="CF154" s="82"/>
      <c r="CG154" s="82"/>
      <c r="CH154" s="82"/>
      <c r="CI154" s="82"/>
      <c r="CJ154" s="79"/>
      <c r="CK154" s="79"/>
      <c r="CL154" s="79"/>
      <c r="CM154" s="79"/>
      <c r="CN154" s="79"/>
      <c r="CO154" s="79"/>
    </row>
    <row r="155" spans="1:93">
      <c r="A155" s="98">
        <v>2</v>
      </c>
      <c r="B155" s="380" t="s">
        <v>984</v>
      </c>
      <c r="C155" s="188" t="s">
        <v>994</v>
      </c>
      <c r="D155" s="47" t="s">
        <v>1024</v>
      </c>
      <c r="E155" s="126"/>
      <c r="F155" s="382" t="s">
        <v>1031</v>
      </c>
      <c r="G155" s="167"/>
      <c r="H155" s="167">
        <v>1</v>
      </c>
      <c r="I155" s="170"/>
      <c r="J155" s="155"/>
      <c r="K155" s="156"/>
      <c r="L155" s="157"/>
      <c r="M155" s="157"/>
      <c r="N155" s="183"/>
      <c r="O155" s="177" t="s">
        <v>1002</v>
      </c>
      <c r="P155" s="145"/>
      <c r="Q155" s="141"/>
      <c r="R155" s="190"/>
      <c r="S155" s="83"/>
      <c r="T155" s="87"/>
      <c r="U155" s="87"/>
      <c r="V155" s="87"/>
      <c r="W155" s="44"/>
      <c r="X155" s="88"/>
      <c r="Y155" s="79"/>
      <c r="Z155" s="79"/>
      <c r="AA155" s="79"/>
      <c r="AB155" s="79"/>
      <c r="AC155" s="86"/>
      <c r="AD155" s="82"/>
      <c r="AE155" s="79"/>
      <c r="AF155" s="88"/>
      <c r="AG155" s="80"/>
      <c r="AH155" s="79"/>
      <c r="AI155" s="79"/>
      <c r="AJ155" s="79"/>
      <c r="AK155" s="80"/>
      <c r="AL155" s="80"/>
      <c r="AM155" s="80"/>
      <c r="AN155" s="79"/>
      <c r="AO155" s="80"/>
      <c r="AP155" s="80"/>
      <c r="AQ155" s="80"/>
      <c r="AR155" s="85"/>
      <c r="AS155" s="85"/>
      <c r="AT155" s="85"/>
      <c r="AU155" s="85"/>
      <c r="AV155" s="85"/>
      <c r="AW155" s="82"/>
      <c r="AX155" s="79"/>
      <c r="AY155" s="82"/>
      <c r="AZ155" s="82"/>
      <c r="BA155" s="86"/>
      <c r="BB155" s="79"/>
      <c r="BC155" s="79"/>
      <c r="BD155" s="79"/>
      <c r="BE155" s="82"/>
      <c r="BF155" s="85"/>
      <c r="BG155" s="79"/>
      <c r="BH155" s="79"/>
      <c r="BI155" s="79"/>
      <c r="BJ155" s="88"/>
      <c r="BK155" s="88"/>
      <c r="BL155" s="79"/>
      <c r="BM155" s="185"/>
      <c r="BN155" s="90"/>
      <c r="BO155" s="80"/>
      <c r="BP155" s="80"/>
      <c r="BQ155" s="80"/>
      <c r="BR155" s="80"/>
      <c r="BS155" s="80"/>
      <c r="BT155" s="80"/>
      <c r="BU155" s="80"/>
      <c r="BV155" s="80"/>
      <c r="BW155" s="82"/>
      <c r="BX155" s="79"/>
      <c r="BY155" s="79"/>
      <c r="BZ155" s="79"/>
      <c r="CA155" s="79"/>
      <c r="CB155" s="79"/>
      <c r="CC155" s="82"/>
      <c r="CD155" s="82"/>
      <c r="CE155" s="82"/>
      <c r="CF155" s="82"/>
      <c r="CG155" s="82"/>
      <c r="CH155" s="82"/>
      <c r="CI155" s="82"/>
      <c r="CJ155" s="79"/>
      <c r="CK155" s="79"/>
      <c r="CL155" s="79"/>
      <c r="CM155" s="79"/>
      <c r="CN155" s="79"/>
      <c r="CO155" s="79"/>
    </row>
    <row r="156" spans="1:93">
      <c r="A156" s="98">
        <v>3</v>
      </c>
      <c r="B156" s="380" t="s">
        <v>985</v>
      </c>
      <c r="C156" s="188" t="s">
        <v>994</v>
      </c>
      <c r="D156" s="47" t="s">
        <v>1025</v>
      </c>
      <c r="E156" s="126"/>
      <c r="F156" s="382" t="s">
        <v>1031</v>
      </c>
      <c r="G156" s="167"/>
      <c r="H156" s="167">
        <v>1</v>
      </c>
      <c r="I156" s="170"/>
      <c r="J156" s="155"/>
      <c r="K156" s="156"/>
      <c r="L156" s="157"/>
      <c r="M156" s="157"/>
      <c r="N156" s="183"/>
      <c r="O156" s="177">
        <v>609444275</v>
      </c>
      <c r="P156" s="145"/>
      <c r="Q156" s="141"/>
      <c r="R156" s="190"/>
      <c r="S156" s="83"/>
      <c r="T156" s="87"/>
      <c r="U156" s="87"/>
      <c r="V156" s="87"/>
      <c r="W156" s="44"/>
      <c r="X156" s="88"/>
      <c r="Y156" s="79"/>
      <c r="Z156" s="79"/>
      <c r="AA156" s="79"/>
      <c r="AB156" s="79"/>
      <c r="AC156" s="86"/>
      <c r="AD156" s="82"/>
      <c r="AE156" s="79"/>
      <c r="AF156" s="88"/>
      <c r="AG156" s="80"/>
      <c r="AH156" s="79"/>
      <c r="AI156" s="79"/>
      <c r="AJ156" s="79"/>
      <c r="AK156" s="80"/>
      <c r="AL156" s="80"/>
      <c r="AM156" s="80"/>
      <c r="AN156" s="79"/>
      <c r="AO156" s="80"/>
      <c r="AP156" s="80"/>
      <c r="AQ156" s="80"/>
      <c r="AR156" s="85"/>
      <c r="AS156" s="85"/>
      <c r="AT156" s="85"/>
      <c r="AU156" s="85"/>
      <c r="AV156" s="85"/>
      <c r="AW156" s="82"/>
      <c r="AX156" s="79"/>
      <c r="AY156" s="82"/>
      <c r="AZ156" s="82"/>
      <c r="BA156" s="86"/>
      <c r="BB156" s="79"/>
      <c r="BC156" s="79"/>
      <c r="BD156" s="79"/>
      <c r="BE156" s="82"/>
      <c r="BF156" s="85"/>
      <c r="BG156" s="79"/>
      <c r="BH156" s="79"/>
      <c r="BI156" s="79"/>
      <c r="BJ156" s="88"/>
      <c r="BK156" s="88"/>
      <c r="BL156" s="79"/>
      <c r="BM156" s="185"/>
      <c r="BN156" s="90"/>
      <c r="BO156" s="80"/>
      <c r="BP156" s="80"/>
      <c r="BQ156" s="80"/>
      <c r="BR156" s="80"/>
      <c r="BS156" s="80"/>
      <c r="BT156" s="80"/>
      <c r="BU156" s="80"/>
      <c r="BV156" s="80"/>
      <c r="BW156" s="82"/>
      <c r="BX156" s="79"/>
      <c r="BY156" s="79"/>
      <c r="BZ156" s="79"/>
      <c r="CA156" s="79"/>
      <c r="CB156" s="79"/>
      <c r="CC156" s="82"/>
      <c r="CD156" s="82"/>
      <c r="CE156" s="82"/>
      <c r="CF156" s="82"/>
      <c r="CG156" s="82"/>
      <c r="CH156" s="82"/>
      <c r="CI156" s="82"/>
      <c r="CJ156" s="79"/>
      <c r="CK156" s="79"/>
      <c r="CL156" s="79"/>
      <c r="CM156" s="79"/>
      <c r="CN156" s="79"/>
      <c r="CO156" s="79"/>
    </row>
    <row r="157" spans="1:93">
      <c r="A157" s="98">
        <v>4</v>
      </c>
      <c r="B157" s="380" t="s">
        <v>986</v>
      </c>
      <c r="C157" s="188">
        <v>45050</v>
      </c>
      <c r="D157" s="47" t="s">
        <v>1026</v>
      </c>
      <c r="E157" s="126"/>
      <c r="F157" s="382" t="s">
        <v>1031</v>
      </c>
      <c r="G157" s="167">
        <v>1</v>
      </c>
      <c r="H157" s="167"/>
      <c r="I157" s="170"/>
      <c r="J157" s="155"/>
      <c r="K157" s="156"/>
      <c r="L157" s="157"/>
      <c r="M157" s="157"/>
      <c r="N157" s="183"/>
      <c r="O157" s="177" t="s">
        <v>1003</v>
      </c>
      <c r="P157" s="145"/>
      <c r="Q157" s="141"/>
      <c r="R157" s="190"/>
      <c r="S157" s="83"/>
      <c r="T157" s="87"/>
      <c r="U157" s="87"/>
      <c r="V157" s="87"/>
      <c r="W157" s="44"/>
      <c r="X157" s="88"/>
      <c r="Y157" s="79"/>
      <c r="Z157" s="79"/>
      <c r="AA157" s="79"/>
      <c r="AB157" s="79"/>
      <c r="AC157" s="86"/>
      <c r="AD157" s="82"/>
      <c r="AE157" s="79"/>
      <c r="AF157" s="88"/>
      <c r="AG157" s="80"/>
      <c r="AH157" s="79"/>
      <c r="AI157" s="79"/>
      <c r="AJ157" s="79"/>
      <c r="AK157" s="80"/>
      <c r="AL157" s="80"/>
      <c r="AM157" s="80"/>
      <c r="AN157" s="79"/>
      <c r="AO157" s="80"/>
      <c r="AP157" s="80"/>
      <c r="AQ157" s="80"/>
      <c r="AR157" s="85"/>
      <c r="AS157" s="85"/>
      <c r="AT157" s="85"/>
      <c r="AU157" s="85"/>
      <c r="AV157" s="85"/>
      <c r="AW157" s="82"/>
      <c r="AX157" s="79"/>
      <c r="AY157" s="82"/>
      <c r="AZ157" s="82"/>
      <c r="BA157" s="86"/>
      <c r="BB157" s="79"/>
      <c r="BC157" s="79"/>
      <c r="BD157" s="79"/>
      <c r="BE157" s="82"/>
      <c r="BF157" s="85"/>
      <c r="BG157" s="79"/>
      <c r="BH157" s="79"/>
      <c r="BI157" s="79"/>
      <c r="BJ157" s="88"/>
      <c r="BK157" s="88"/>
      <c r="BL157" s="79"/>
      <c r="BM157" s="185"/>
      <c r="BN157" s="90"/>
      <c r="BO157" s="80"/>
      <c r="BP157" s="80"/>
      <c r="BQ157" s="80"/>
      <c r="BR157" s="80"/>
      <c r="BS157" s="80"/>
      <c r="BT157" s="80"/>
      <c r="BU157" s="80"/>
      <c r="BV157" s="80"/>
      <c r="BW157" s="82"/>
      <c r="BX157" s="79"/>
      <c r="BY157" s="79"/>
      <c r="BZ157" s="79"/>
      <c r="CA157" s="79"/>
      <c r="CB157" s="79"/>
      <c r="CC157" s="82"/>
      <c r="CD157" s="82"/>
      <c r="CE157" s="82"/>
      <c r="CF157" s="82"/>
      <c r="CG157" s="82"/>
      <c r="CH157" s="82"/>
      <c r="CI157" s="82"/>
      <c r="CJ157" s="79"/>
      <c r="CK157" s="79"/>
      <c r="CL157" s="79"/>
      <c r="CM157" s="79"/>
      <c r="CN157" s="79"/>
      <c r="CO157" s="79"/>
    </row>
    <row r="158" spans="1:93">
      <c r="A158" s="98">
        <v>5</v>
      </c>
      <c r="B158" s="380" t="s">
        <v>987</v>
      </c>
      <c r="C158" s="188">
        <v>45050</v>
      </c>
      <c r="D158" s="47" t="s">
        <v>1027</v>
      </c>
      <c r="E158" s="126"/>
      <c r="F158" s="382" t="s">
        <v>1031</v>
      </c>
      <c r="G158" s="167">
        <v>3</v>
      </c>
      <c r="H158" s="167"/>
      <c r="I158" s="170"/>
      <c r="J158" s="155"/>
      <c r="K158" s="156"/>
      <c r="L158" s="157"/>
      <c r="M158" s="157"/>
      <c r="N158" s="183"/>
      <c r="O158" s="177" t="s">
        <v>1004</v>
      </c>
      <c r="P158" s="145"/>
      <c r="Q158" s="141"/>
      <c r="R158" s="190"/>
      <c r="S158" s="83"/>
      <c r="T158" s="87"/>
      <c r="U158" s="87"/>
      <c r="V158" s="87"/>
      <c r="W158" s="44"/>
      <c r="X158" s="88"/>
      <c r="Y158" s="79"/>
      <c r="Z158" s="79"/>
      <c r="AA158" s="79"/>
      <c r="AB158" s="79"/>
      <c r="AC158" s="86"/>
      <c r="AD158" s="82"/>
      <c r="AE158" s="79"/>
      <c r="AF158" s="88"/>
      <c r="AG158" s="80"/>
      <c r="AH158" s="79"/>
      <c r="AI158" s="79"/>
      <c r="AJ158" s="79"/>
      <c r="AK158" s="80"/>
      <c r="AL158" s="80"/>
      <c r="AM158" s="80"/>
      <c r="AN158" s="79"/>
      <c r="AO158" s="80"/>
      <c r="AP158" s="80"/>
      <c r="AQ158" s="80"/>
      <c r="AR158" s="85"/>
      <c r="AS158" s="85"/>
      <c r="AT158" s="85"/>
      <c r="AU158" s="85"/>
      <c r="AV158" s="85"/>
      <c r="AW158" s="82"/>
      <c r="AX158" s="79"/>
      <c r="AY158" s="82"/>
      <c r="AZ158" s="82"/>
      <c r="BA158" s="86"/>
      <c r="BB158" s="79"/>
      <c r="BC158" s="79"/>
      <c r="BD158" s="79"/>
      <c r="BE158" s="82"/>
      <c r="BF158" s="85"/>
      <c r="BG158" s="79"/>
      <c r="BH158" s="79"/>
      <c r="BI158" s="79"/>
      <c r="BJ158" s="88"/>
      <c r="BK158" s="88"/>
      <c r="BL158" s="79"/>
      <c r="BM158" s="185"/>
      <c r="BN158" s="90"/>
      <c r="BO158" s="80"/>
      <c r="BP158" s="80"/>
      <c r="BQ158" s="80"/>
      <c r="BR158" s="80"/>
      <c r="BS158" s="80"/>
      <c r="BT158" s="80"/>
      <c r="BU158" s="80"/>
      <c r="BV158" s="80"/>
      <c r="BW158" s="82"/>
      <c r="BX158" s="79"/>
      <c r="BY158" s="79"/>
      <c r="BZ158" s="79"/>
      <c r="CA158" s="79"/>
      <c r="CB158" s="79"/>
      <c r="CC158" s="82"/>
      <c r="CD158" s="82"/>
      <c r="CE158" s="82"/>
      <c r="CF158" s="82"/>
      <c r="CG158" s="82"/>
      <c r="CH158" s="82"/>
      <c r="CI158" s="82"/>
      <c r="CJ158" s="79"/>
      <c r="CK158" s="79"/>
      <c r="CL158" s="79"/>
      <c r="CM158" s="79"/>
      <c r="CN158" s="79"/>
      <c r="CO158" s="79"/>
    </row>
    <row r="159" spans="1:93">
      <c r="A159" s="98">
        <v>6</v>
      </c>
      <c r="B159" s="380" t="s">
        <v>997</v>
      </c>
      <c r="C159" s="188">
        <v>45055</v>
      </c>
      <c r="D159" s="47" t="s">
        <v>1028</v>
      </c>
      <c r="E159" s="126"/>
      <c r="F159" s="382" t="s">
        <v>1031</v>
      </c>
      <c r="G159" s="167">
        <v>2</v>
      </c>
      <c r="H159" s="167"/>
      <c r="I159" s="170"/>
      <c r="J159" s="155"/>
      <c r="K159" s="156"/>
      <c r="L159" s="157"/>
      <c r="M159" s="157"/>
      <c r="N159" s="183"/>
      <c r="O159" s="177" t="s">
        <v>1011</v>
      </c>
      <c r="P159" s="145"/>
      <c r="Q159" s="141"/>
      <c r="R159" s="190"/>
      <c r="S159" s="83"/>
      <c r="T159" s="87"/>
      <c r="U159" s="87"/>
      <c r="V159" s="87"/>
      <c r="W159" s="44"/>
      <c r="X159" s="88"/>
      <c r="Y159" s="79"/>
      <c r="Z159" s="79"/>
      <c r="AA159" s="79"/>
      <c r="AB159" s="79"/>
      <c r="AC159" s="86"/>
      <c r="AD159" s="82"/>
      <c r="AE159" s="79"/>
      <c r="AF159" s="88"/>
      <c r="AG159" s="80"/>
      <c r="AH159" s="79"/>
      <c r="AI159" s="79"/>
      <c r="AJ159" s="79"/>
      <c r="AK159" s="80"/>
      <c r="AL159" s="80"/>
      <c r="AM159" s="80"/>
      <c r="AN159" s="79"/>
      <c r="AO159" s="80"/>
      <c r="AP159" s="80"/>
      <c r="AQ159" s="80"/>
      <c r="AR159" s="85"/>
      <c r="AS159" s="85"/>
      <c r="AT159" s="85"/>
      <c r="AU159" s="85"/>
      <c r="AV159" s="85"/>
      <c r="AW159" s="82"/>
      <c r="AX159" s="79"/>
      <c r="AY159" s="82"/>
      <c r="AZ159" s="82"/>
      <c r="BA159" s="86"/>
      <c r="BB159" s="79"/>
      <c r="BC159" s="79"/>
      <c r="BD159" s="79"/>
      <c r="BE159" s="82"/>
      <c r="BF159" s="85"/>
      <c r="BG159" s="79"/>
      <c r="BH159" s="79"/>
      <c r="BI159" s="79"/>
      <c r="BJ159" s="88"/>
      <c r="BK159" s="88"/>
      <c r="BL159" s="79"/>
      <c r="BM159" s="185"/>
      <c r="BN159" s="90"/>
      <c r="BO159" s="80"/>
      <c r="BP159" s="80"/>
      <c r="BQ159" s="80"/>
      <c r="BR159" s="80"/>
      <c r="BS159" s="80"/>
      <c r="BT159" s="80"/>
      <c r="BU159" s="80"/>
      <c r="BV159" s="80"/>
      <c r="BW159" s="82"/>
      <c r="BX159" s="79"/>
      <c r="BY159" s="79"/>
      <c r="BZ159" s="79"/>
      <c r="CA159" s="79"/>
      <c r="CB159" s="79"/>
      <c r="CC159" s="82"/>
      <c r="CD159" s="82"/>
      <c r="CE159" s="82"/>
      <c r="CF159" s="82"/>
      <c r="CG159" s="82"/>
      <c r="CH159" s="82"/>
      <c r="CI159" s="82"/>
      <c r="CJ159" s="79"/>
      <c r="CK159" s="79"/>
      <c r="CL159" s="79"/>
      <c r="CM159" s="79"/>
      <c r="CN159" s="79"/>
      <c r="CO159" s="79"/>
    </row>
    <row r="160" spans="1:93">
      <c r="A160" s="98">
        <v>7</v>
      </c>
      <c r="B160" s="380" t="s">
        <v>998</v>
      </c>
      <c r="C160" s="188">
        <v>45055</v>
      </c>
      <c r="D160" s="47" t="s">
        <v>1029</v>
      </c>
      <c r="E160" s="126"/>
      <c r="F160" s="382" t="s">
        <v>1031</v>
      </c>
      <c r="G160" s="167">
        <v>2</v>
      </c>
      <c r="H160" s="167"/>
      <c r="I160" s="170"/>
      <c r="J160" s="155"/>
      <c r="K160" s="156"/>
      <c r="L160" s="157"/>
      <c r="M160" s="157"/>
      <c r="N160" s="183"/>
      <c r="O160" s="177" t="s">
        <v>1012</v>
      </c>
      <c r="P160" s="145"/>
      <c r="Q160" s="141"/>
      <c r="R160" s="190"/>
      <c r="S160" s="83"/>
      <c r="T160" s="87"/>
      <c r="U160" s="87"/>
      <c r="V160" s="87"/>
      <c r="W160" s="44"/>
      <c r="X160" s="88"/>
      <c r="Y160" s="79"/>
      <c r="Z160" s="79"/>
      <c r="AA160" s="79"/>
      <c r="AB160" s="79"/>
      <c r="AC160" s="86"/>
      <c r="AD160" s="82"/>
      <c r="AE160" s="79"/>
      <c r="AF160" s="88"/>
      <c r="AG160" s="80"/>
      <c r="AH160" s="79"/>
      <c r="AI160" s="79"/>
      <c r="AJ160" s="79"/>
      <c r="AK160" s="80"/>
      <c r="AL160" s="80"/>
      <c r="AM160" s="80"/>
      <c r="AN160" s="79"/>
      <c r="AO160" s="80"/>
      <c r="AP160" s="80"/>
      <c r="AQ160" s="80"/>
      <c r="AR160" s="85"/>
      <c r="AS160" s="85"/>
      <c r="AT160" s="85"/>
      <c r="AU160" s="85"/>
      <c r="AV160" s="85"/>
      <c r="AW160" s="82"/>
      <c r="AX160" s="79"/>
      <c r="AY160" s="82"/>
      <c r="AZ160" s="82"/>
      <c r="BA160" s="86"/>
      <c r="BB160" s="79"/>
      <c r="BC160" s="79"/>
      <c r="BD160" s="79"/>
      <c r="BE160" s="82"/>
      <c r="BF160" s="85"/>
      <c r="BG160" s="79"/>
      <c r="BH160" s="79"/>
      <c r="BI160" s="79"/>
      <c r="BJ160" s="88"/>
      <c r="BK160" s="88"/>
      <c r="BL160" s="79"/>
      <c r="BM160" s="185"/>
      <c r="BN160" s="90"/>
      <c r="BO160" s="80"/>
      <c r="BP160" s="80"/>
      <c r="BQ160" s="80"/>
      <c r="BR160" s="80"/>
      <c r="BS160" s="80"/>
      <c r="BT160" s="80"/>
      <c r="BU160" s="80"/>
      <c r="BV160" s="80"/>
      <c r="BW160" s="82"/>
      <c r="BX160" s="79"/>
      <c r="BY160" s="79"/>
      <c r="BZ160" s="79"/>
      <c r="CA160" s="79"/>
      <c r="CB160" s="79"/>
      <c r="CC160" s="82"/>
      <c r="CD160" s="82"/>
      <c r="CE160" s="82"/>
      <c r="CF160" s="82"/>
      <c r="CG160" s="82"/>
      <c r="CH160" s="82"/>
      <c r="CI160" s="82"/>
      <c r="CJ160" s="79"/>
      <c r="CK160" s="79"/>
      <c r="CL160" s="79"/>
      <c r="CM160" s="79"/>
      <c r="CN160" s="79"/>
      <c r="CO160" s="79"/>
    </row>
    <row r="161" spans="1:93">
      <c r="A161" s="98">
        <v>8</v>
      </c>
      <c r="B161" s="380" t="s">
        <v>999</v>
      </c>
      <c r="C161" s="188">
        <v>45056</v>
      </c>
      <c r="D161" s="47" t="s">
        <v>1030</v>
      </c>
      <c r="E161" s="126"/>
      <c r="F161" s="382" t="s">
        <v>1031</v>
      </c>
      <c r="G161" s="167">
        <v>2</v>
      </c>
      <c r="H161" s="167"/>
      <c r="I161" s="170"/>
      <c r="J161" s="155"/>
      <c r="K161" s="156"/>
      <c r="L161" s="157"/>
      <c r="M161" s="157"/>
      <c r="N161" s="183"/>
      <c r="O161" s="177" t="s">
        <v>1013</v>
      </c>
      <c r="P161" s="145"/>
      <c r="Q161" s="141"/>
      <c r="R161" s="190"/>
      <c r="S161" s="83"/>
      <c r="T161" s="87"/>
      <c r="U161" s="87"/>
      <c r="V161" s="87"/>
      <c r="W161" s="44"/>
      <c r="X161" s="88"/>
      <c r="Y161" s="79"/>
      <c r="Z161" s="79"/>
      <c r="AA161" s="79"/>
      <c r="AB161" s="79"/>
      <c r="AC161" s="86"/>
      <c r="AD161" s="82"/>
      <c r="AE161" s="79"/>
      <c r="AF161" s="88"/>
      <c r="AG161" s="80"/>
      <c r="AH161" s="79"/>
      <c r="AI161" s="79"/>
      <c r="AJ161" s="79"/>
      <c r="AK161" s="80"/>
      <c r="AL161" s="80"/>
      <c r="AM161" s="80"/>
      <c r="AN161" s="79"/>
      <c r="AO161" s="80"/>
      <c r="AP161" s="80"/>
      <c r="AQ161" s="80"/>
      <c r="AR161" s="85"/>
      <c r="AS161" s="85"/>
      <c r="AT161" s="85"/>
      <c r="AU161" s="85"/>
      <c r="AV161" s="85"/>
      <c r="AW161" s="82"/>
      <c r="AX161" s="79"/>
      <c r="AY161" s="82"/>
      <c r="AZ161" s="82"/>
      <c r="BA161" s="86"/>
      <c r="BB161" s="79"/>
      <c r="BC161" s="79"/>
      <c r="BD161" s="79"/>
      <c r="BE161" s="82"/>
      <c r="BF161" s="85"/>
      <c r="BG161" s="79"/>
      <c r="BH161" s="79"/>
      <c r="BI161" s="79"/>
      <c r="BJ161" s="88"/>
      <c r="BK161" s="88"/>
      <c r="BL161" s="79"/>
      <c r="BM161" s="185"/>
      <c r="BN161" s="90"/>
      <c r="BO161" s="80"/>
      <c r="BP161" s="80"/>
      <c r="BQ161" s="80"/>
      <c r="BR161" s="80"/>
      <c r="BS161" s="80"/>
      <c r="BT161" s="80"/>
      <c r="BU161" s="80"/>
      <c r="BV161" s="80"/>
      <c r="BW161" s="82"/>
      <c r="BX161" s="79"/>
      <c r="BY161" s="79"/>
      <c r="BZ161" s="79"/>
      <c r="CA161" s="79"/>
      <c r="CB161" s="79"/>
      <c r="CC161" s="82"/>
      <c r="CD161" s="82"/>
      <c r="CE161" s="82"/>
      <c r="CF161" s="82"/>
      <c r="CG161" s="82"/>
      <c r="CH161" s="82"/>
      <c r="CI161" s="82"/>
      <c r="CJ161" s="79"/>
      <c r="CK161" s="79"/>
      <c r="CL161" s="79"/>
      <c r="CM161" s="79"/>
      <c r="CN161" s="79"/>
      <c r="CO161" s="79"/>
    </row>
    <row r="162" spans="1:93">
      <c r="A162" s="98">
        <v>9</v>
      </c>
      <c r="B162" s="178" t="s">
        <v>988</v>
      </c>
      <c r="C162" s="188">
        <v>45050</v>
      </c>
      <c r="D162" s="47" t="s">
        <v>1015</v>
      </c>
      <c r="E162" s="126"/>
      <c r="F162" s="382" t="s">
        <v>1031</v>
      </c>
      <c r="G162" s="167" t="s">
        <v>102</v>
      </c>
      <c r="H162" s="167"/>
      <c r="I162" s="170"/>
      <c r="J162" s="155"/>
      <c r="K162" s="156"/>
      <c r="L162" s="157"/>
      <c r="M162" s="157"/>
      <c r="N162" s="183"/>
      <c r="O162" s="177" t="s">
        <v>1005</v>
      </c>
      <c r="P162" s="145"/>
      <c r="Q162" s="141"/>
      <c r="R162" s="190"/>
      <c r="S162" s="83"/>
      <c r="T162" s="87"/>
      <c r="U162" s="87"/>
      <c r="V162" s="87"/>
      <c r="W162" s="44"/>
      <c r="X162" s="88"/>
      <c r="Y162" s="79"/>
      <c r="Z162" s="79"/>
      <c r="AA162" s="79"/>
      <c r="AB162" s="79"/>
      <c r="AC162" s="86"/>
      <c r="AD162" s="82"/>
      <c r="AE162" s="79"/>
      <c r="AF162" s="88"/>
      <c r="AG162" s="80"/>
      <c r="AH162" s="79"/>
      <c r="AI162" s="79"/>
      <c r="AJ162" s="79"/>
      <c r="AK162" s="80"/>
      <c r="AL162" s="80"/>
      <c r="AM162" s="80"/>
      <c r="AN162" s="79"/>
      <c r="AO162" s="80"/>
      <c r="AP162" s="80"/>
      <c r="AQ162" s="80"/>
      <c r="AR162" s="85"/>
      <c r="AS162" s="85"/>
      <c r="AT162" s="85"/>
      <c r="AU162" s="85"/>
      <c r="AV162" s="85"/>
      <c r="AW162" s="82"/>
      <c r="AX162" s="79"/>
      <c r="AY162" s="82"/>
      <c r="AZ162" s="82"/>
      <c r="BA162" s="86"/>
      <c r="BB162" s="79"/>
      <c r="BC162" s="79"/>
      <c r="BD162" s="79"/>
      <c r="BE162" s="82"/>
      <c r="BF162" s="85"/>
      <c r="BG162" s="79"/>
      <c r="BH162" s="79"/>
      <c r="BI162" s="79"/>
      <c r="BJ162" s="88"/>
      <c r="BK162" s="88"/>
      <c r="BL162" s="79"/>
      <c r="BM162" s="185"/>
      <c r="BN162" s="90"/>
      <c r="BO162" s="80"/>
      <c r="BP162" s="80"/>
      <c r="BQ162" s="80"/>
      <c r="BR162" s="80"/>
      <c r="BS162" s="80"/>
      <c r="BT162" s="80"/>
      <c r="BU162" s="80"/>
      <c r="BV162" s="80"/>
      <c r="BW162" s="82"/>
      <c r="BX162" s="79"/>
      <c r="BY162" s="79"/>
      <c r="BZ162" s="79"/>
      <c r="CA162" s="79"/>
      <c r="CB162" s="79"/>
      <c r="CC162" s="82"/>
      <c r="CD162" s="82"/>
      <c r="CE162" s="82"/>
      <c r="CF162" s="82"/>
      <c r="CG162" s="82"/>
      <c r="CH162" s="82"/>
      <c r="CI162" s="82"/>
      <c r="CJ162" s="79"/>
      <c r="CK162" s="79"/>
      <c r="CL162" s="79"/>
      <c r="CM162" s="79"/>
      <c r="CN162" s="79"/>
      <c r="CO162" s="79"/>
    </row>
    <row r="163" spans="1:93" ht="12.75" customHeight="1">
      <c r="A163" s="98">
        <v>10</v>
      </c>
      <c r="B163" s="178" t="s">
        <v>989</v>
      </c>
      <c r="C163" s="188">
        <v>45051</v>
      </c>
      <c r="D163" s="47" t="s">
        <v>1016</v>
      </c>
      <c r="E163" s="126"/>
      <c r="F163" s="382" t="s">
        <v>1031</v>
      </c>
      <c r="G163" s="167"/>
      <c r="H163" s="167">
        <v>2</v>
      </c>
      <c r="I163" s="170"/>
      <c r="J163" s="155"/>
      <c r="K163" s="156"/>
      <c r="L163" s="157"/>
      <c r="M163" s="157"/>
      <c r="N163" s="183"/>
      <c r="O163" s="177" t="s">
        <v>1006</v>
      </c>
      <c r="P163" s="145"/>
      <c r="Q163" s="141"/>
      <c r="R163" s="190"/>
      <c r="S163" s="83"/>
      <c r="T163" s="87"/>
      <c r="U163" s="87"/>
      <c r="V163" s="87"/>
      <c r="W163" s="44"/>
      <c r="X163" s="88"/>
      <c r="Y163" s="79"/>
      <c r="Z163" s="79"/>
      <c r="AA163" s="79"/>
      <c r="AB163" s="79"/>
      <c r="AC163" s="86"/>
      <c r="AD163" s="82"/>
      <c r="AE163" s="79"/>
      <c r="AF163" s="88"/>
      <c r="AG163" s="80"/>
      <c r="AH163" s="79"/>
      <c r="AI163" s="79"/>
      <c r="AJ163" s="79"/>
      <c r="AK163" s="80"/>
      <c r="AL163" s="80"/>
      <c r="AM163" s="80"/>
      <c r="AN163" s="79"/>
      <c r="AO163" s="80"/>
      <c r="AP163" s="80"/>
      <c r="AQ163" s="80"/>
      <c r="AR163" s="85"/>
      <c r="AS163" s="85"/>
      <c r="AT163" s="85"/>
      <c r="AU163" s="85"/>
      <c r="AV163" s="85"/>
      <c r="AW163" s="82"/>
      <c r="AX163" s="79"/>
      <c r="AY163" s="82"/>
      <c r="AZ163" s="82"/>
      <c r="BA163" s="86"/>
      <c r="BB163" s="79"/>
      <c r="BC163" s="79"/>
      <c r="BD163" s="79"/>
      <c r="BE163" s="82"/>
      <c r="BF163" s="85"/>
      <c r="BG163" s="79"/>
      <c r="BH163" s="79"/>
      <c r="BI163" s="79"/>
      <c r="BJ163" s="88"/>
      <c r="BK163" s="88"/>
      <c r="BL163" s="79"/>
      <c r="BM163" s="185"/>
      <c r="BN163" s="90"/>
      <c r="BO163" s="80"/>
      <c r="BP163" s="80"/>
      <c r="BQ163" s="80"/>
      <c r="BR163" s="80"/>
      <c r="BS163" s="80"/>
      <c r="BT163" s="80"/>
      <c r="BU163" s="80"/>
      <c r="BV163" s="80"/>
      <c r="BW163" s="82"/>
      <c r="BX163" s="79"/>
      <c r="BY163" s="79"/>
      <c r="BZ163" s="79"/>
      <c r="CA163" s="79"/>
      <c r="CB163" s="79"/>
      <c r="CC163" s="82"/>
      <c r="CD163" s="82"/>
      <c r="CE163" s="82"/>
      <c r="CF163" s="82"/>
      <c r="CG163" s="82"/>
      <c r="CH163" s="82"/>
      <c r="CI163" s="82"/>
      <c r="CJ163" s="79"/>
      <c r="CK163" s="79"/>
      <c r="CL163" s="79"/>
      <c r="CM163" s="79"/>
      <c r="CN163" s="79"/>
      <c r="CO163" s="79"/>
    </row>
    <row r="164" spans="1:93" ht="12.75" customHeight="1">
      <c r="A164" s="98">
        <v>11</v>
      </c>
      <c r="B164" s="178" t="s">
        <v>990</v>
      </c>
      <c r="C164" s="188">
        <v>45051</v>
      </c>
      <c r="D164" s="47" t="s">
        <v>1017</v>
      </c>
      <c r="E164" s="126"/>
      <c r="F164" s="382" t="s">
        <v>1031</v>
      </c>
      <c r="G164" s="167">
        <v>1</v>
      </c>
      <c r="H164" s="167"/>
      <c r="I164" s="170"/>
      <c r="J164" s="155"/>
      <c r="K164" s="156"/>
      <c r="L164" s="157"/>
      <c r="M164" s="157"/>
      <c r="N164" s="183"/>
      <c r="O164" s="177" t="s">
        <v>1007</v>
      </c>
      <c r="P164" s="145"/>
      <c r="Q164" s="141"/>
      <c r="R164" s="190"/>
      <c r="S164" s="83"/>
      <c r="T164" s="87"/>
      <c r="U164" s="87"/>
      <c r="V164" s="87"/>
      <c r="W164" s="44"/>
      <c r="X164" s="88"/>
      <c r="Y164" s="79"/>
      <c r="Z164" s="79"/>
      <c r="AA164" s="79"/>
      <c r="AB164" s="79"/>
      <c r="AC164" s="86"/>
      <c r="AD164" s="82"/>
      <c r="AE164" s="79"/>
      <c r="AF164" s="88"/>
      <c r="AG164" s="80"/>
      <c r="AH164" s="79"/>
      <c r="AI164" s="79"/>
      <c r="AJ164" s="79"/>
      <c r="AK164" s="80"/>
      <c r="AL164" s="80"/>
      <c r="AM164" s="80"/>
      <c r="AN164" s="79"/>
      <c r="AO164" s="80"/>
      <c r="AP164" s="80"/>
      <c r="AQ164" s="80"/>
      <c r="AR164" s="85"/>
      <c r="AS164" s="85"/>
      <c r="AT164" s="85"/>
      <c r="AU164" s="85"/>
      <c r="AV164" s="85"/>
      <c r="AW164" s="82"/>
      <c r="AX164" s="79"/>
      <c r="AY164" s="82"/>
      <c r="AZ164" s="82"/>
      <c r="BA164" s="86"/>
      <c r="BB164" s="79"/>
      <c r="BC164" s="79"/>
      <c r="BD164" s="79"/>
      <c r="BE164" s="82"/>
      <c r="BF164" s="85"/>
      <c r="BG164" s="79"/>
      <c r="BH164" s="79"/>
      <c r="BI164" s="79"/>
      <c r="BJ164" s="88"/>
      <c r="BK164" s="88"/>
      <c r="BL164" s="79"/>
      <c r="BM164" s="185"/>
      <c r="BN164" s="90"/>
      <c r="BO164" s="80"/>
      <c r="BP164" s="80"/>
      <c r="BQ164" s="80"/>
      <c r="BR164" s="80"/>
      <c r="BS164" s="80"/>
      <c r="BT164" s="80"/>
      <c r="BU164" s="80"/>
      <c r="BV164" s="80"/>
      <c r="BW164" s="82"/>
      <c r="BX164" s="79"/>
      <c r="BY164" s="79"/>
      <c r="BZ164" s="79"/>
      <c r="CA164" s="79"/>
      <c r="CB164" s="79"/>
      <c r="CC164" s="82"/>
      <c r="CD164" s="82"/>
      <c r="CE164" s="82"/>
      <c r="CF164" s="82"/>
      <c r="CG164" s="82"/>
      <c r="CH164" s="82"/>
      <c r="CI164" s="82"/>
      <c r="CJ164" s="79"/>
      <c r="CK164" s="79"/>
      <c r="CL164" s="79"/>
      <c r="CM164" s="79"/>
      <c r="CN164" s="79"/>
      <c r="CO164" s="79"/>
    </row>
    <row r="165" spans="1:93">
      <c r="A165" s="98">
        <v>12</v>
      </c>
      <c r="B165" s="178" t="s">
        <v>991</v>
      </c>
      <c r="C165" s="188">
        <v>45051</v>
      </c>
      <c r="D165" s="47" t="s">
        <v>1018</v>
      </c>
      <c r="E165" s="126"/>
      <c r="F165" s="382" t="s">
        <v>1031</v>
      </c>
      <c r="G165" s="167"/>
      <c r="H165" s="167">
        <v>1</v>
      </c>
      <c r="I165" s="170"/>
      <c r="J165" s="155"/>
      <c r="K165" s="156"/>
      <c r="L165" s="157"/>
      <c r="M165" s="157"/>
      <c r="N165" s="183"/>
      <c r="O165" s="177">
        <v>2717704480</v>
      </c>
      <c r="P165" s="145"/>
      <c r="Q165" s="141"/>
      <c r="R165" s="190"/>
      <c r="S165" s="83"/>
      <c r="T165" s="87"/>
      <c r="U165" s="87"/>
      <c r="V165" s="87"/>
      <c r="W165" s="44"/>
      <c r="X165" s="88"/>
      <c r="Y165" s="79"/>
      <c r="Z165" s="79"/>
      <c r="AA165" s="79"/>
      <c r="AB165" s="79"/>
      <c r="AC165" s="86"/>
      <c r="AD165" s="82"/>
      <c r="AE165" s="79"/>
      <c r="AF165" s="88"/>
      <c r="AG165" s="80"/>
      <c r="AH165" s="79"/>
      <c r="AI165" s="79"/>
      <c r="AJ165" s="79"/>
      <c r="AK165" s="80"/>
      <c r="AL165" s="80"/>
      <c r="AM165" s="80"/>
      <c r="AN165" s="79"/>
      <c r="AO165" s="80"/>
      <c r="AP165" s="80"/>
      <c r="AQ165" s="80"/>
      <c r="AR165" s="85"/>
      <c r="AS165" s="85"/>
      <c r="AT165" s="85"/>
      <c r="AU165" s="85"/>
      <c r="AV165" s="85"/>
      <c r="AW165" s="82"/>
      <c r="AX165" s="79"/>
      <c r="AY165" s="82"/>
      <c r="AZ165" s="82"/>
      <c r="BA165" s="86"/>
      <c r="BB165" s="79"/>
      <c r="BC165" s="79"/>
      <c r="BD165" s="79"/>
      <c r="BE165" s="82"/>
      <c r="BF165" s="85"/>
      <c r="BG165" s="79"/>
      <c r="BH165" s="79"/>
      <c r="BI165" s="79"/>
      <c r="BJ165" s="88"/>
      <c r="BK165" s="88"/>
      <c r="BL165" s="79"/>
      <c r="BM165" s="185"/>
      <c r="BN165" s="90"/>
      <c r="BO165" s="80"/>
      <c r="BP165" s="80"/>
      <c r="BQ165" s="80"/>
      <c r="BR165" s="80"/>
      <c r="BS165" s="80"/>
      <c r="BT165" s="80"/>
      <c r="BU165" s="80"/>
      <c r="BV165" s="80"/>
      <c r="BW165" s="82"/>
      <c r="BX165" s="79"/>
      <c r="BY165" s="79"/>
      <c r="BZ165" s="79"/>
      <c r="CA165" s="79"/>
      <c r="CB165" s="79"/>
      <c r="CC165" s="82"/>
      <c r="CD165" s="82"/>
      <c r="CE165" s="82"/>
      <c r="CF165" s="82"/>
      <c r="CG165" s="82"/>
      <c r="CH165" s="82"/>
      <c r="CI165" s="82"/>
      <c r="CJ165" s="79"/>
      <c r="CK165" s="79"/>
      <c r="CL165" s="79"/>
      <c r="CM165" s="79"/>
      <c r="CN165" s="79"/>
      <c r="CO165" s="79"/>
    </row>
    <row r="166" spans="1:93" ht="12.75" customHeight="1">
      <c r="A166" s="98">
        <v>13</v>
      </c>
      <c r="B166" s="178" t="s">
        <v>992</v>
      </c>
      <c r="C166" s="188">
        <v>45051</v>
      </c>
      <c r="D166" s="47" t="s">
        <v>1019</v>
      </c>
      <c r="E166" s="126"/>
      <c r="F166" s="382" t="s">
        <v>1031</v>
      </c>
      <c r="G166" s="167">
        <v>2</v>
      </c>
      <c r="H166" s="167"/>
      <c r="I166" s="170"/>
      <c r="J166" s="155"/>
      <c r="K166" s="156"/>
      <c r="L166" s="157"/>
      <c r="M166" s="157"/>
      <c r="N166" s="183"/>
      <c r="O166" s="177" t="s">
        <v>1008</v>
      </c>
      <c r="P166" s="145"/>
      <c r="Q166" s="141"/>
      <c r="R166" s="190"/>
      <c r="S166" s="83"/>
      <c r="T166" s="87"/>
      <c r="U166" s="87"/>
      <c r="V166" s="87"/>
      <c r="W166" s="44"/>
      <c r="X166" s="88"/>
      <c r="Y166" s="79"/>
      <c r="Z166" s="79"/>
      <c r="AA166" s="79"/>
      <c r="AB166" s="79"/>
      <c r="AC166" s="86"/>
      <c r="AD166" s="82"/>
      <c r="AE166" s="79"/>
      <c r="AF166" s="88"/>
      <c r="AG166" s="80"/>
      <c r="AH166" s="79"/>
      <c r="AI166" s="79"/>
      <c r="AJ166" s="79"/>
      <c r="AK166" s="80"/>
      <c r="AL166" s="80"/>
      <c r="AM166" s="80"/>
      <c r="AN166" s="79"/>
      <c r="AO166" s="80"/>
      <c r="AP166" s="80"/>
      <c r="AQ166" s="80"/>
      <c r="AR166" s="85"/>
      <c r="AS166" s="85"/>
      <c r="AT166" s="85"/>
      <c r="AU166" s="85"/>
      <c r="AV166" s="85"/>
      <c r="AW166" s="82"/>
      <c r="AX166" s="79"/>
      <c r="AY166" s="82"/>
      <c r="AZ166" s="82"/>
      <c r="BA166" s="86"/>
      <c r="BB166" s="79"/>
      <c r="BC166" s="79"/>
      <c r="BD166" s="79"/>
      <c r="BE166" s="82"/>
      <c r="BF166" s="85"/>
      <c r="BG166" s="79"/>
      <c r="BH166" s="79"/>
      <c r="BI166" s="79"/>
      <c r="BJ166" s="88"/>
      <c r="BK166" s="88"/>
      <c r="BL166" s="79"/>
      <c r="BM166" s="185"/>
      <c r="BN166" s="90"/>
      <c r="BO166" s="80"/>
      <c r="BP166" s="80"/>
      <c r="BQ166" s="80"/>
      <c r="BR166" s="80"/>
      <c r="BS166" s="80"/>
      <c r="BT166" s="80"/>
      <c r="BU166" s="80"/>
      <c r="BV166" s="80"/>
      <c r="BW166" s="82"/>
      <c r="BX166" s="79"/>
      <c r="BY166" s="79"/>
      <c r="BZ166" s="79"/>
      <c r="CA166" s="79"/>
      <c r="CB166" s="79"/>
      <c r="CC166" s="82"/>
      <c r="CD166" s="82"/>
      <c r="CE166" s="82"/>
      <c r="CF166" s="82"/>
      <c r="CG166" s="82"/>
      <c r="CH166" s="82"/>
      <c r="CI166" s="82"/>
      <c r="CJ166" s="79"/>
      <c r="CK166" s="79"/>
      <c r="CL166" s="79"/>
      <c r="CM166" s="79"/>
      <c r="CN166" s="79"/>
      <c r="CO166" s="79"/>
    </row>
    <row r="167" spans="1:93" ht="12.75" customHeight="1">
      <c r="A167" s="98">
        <v>14</v>
      </c>
      <c r="B167" s="178" t="s">
        <v>993</v>
      </c>
      <c r="C167" s="188">
        <v>45052</v>
      </c>
      <c r="D167" s="47" t="s">
        <v>1020</v>
      </c>
      <c r="E167" s="126"/>
      <c r="F167" s="382" t="s">
        <v>1031</v>
      </c>
      <c r="G167" s="167">
        <v>1</v>
      </c>
      <c r="H167" s="167"/>
      <c r="I167" s="170"/>
      <c r="J167" s="155"/>
      <c r="K167" s="156"/>
      <c r="L167" s="157"/>
      <c r="M167" s="157"/>
      <c r="N167" s="183"/>
      <c r="O167" s="177">
        <v>2718468600</v>
      </c>
      <c r="P167" s="145"/>
      <c r="Q167" s="141"/>
      <c r="R167" s="190"/>
      <c r="S167" s="83"/>
      <c r="T167" s="87"/>
      <c r="U167" s="87"/>
      <c r="V167" s="87"/>
      <c r="W167" s="44"/>
      <c r="X167" s="88"/>
      <c r="Y167" s="79"/>
      <c r="Z167" s="79"/>
      <c r="AA167" s="79"/>
      <c r="AB167" s="79"/>
      <c r="AC167" s="86"/>
      <c r="AD167" s="82"/>
      <c r="AE167" s="79"/>
      <c r="AF167" s="88"/>
      <c r="AG167" s="80"/>
      <c r="AH167" s="79"/>
      <c r="AI167" s="79"/>
      <c r="AJ167" s="79"/>
      <c r="AK167" s="80"/>
      <c r="AL167" s="80"/>
      <c r="AM167" s="80"/>
      <c r="AN167" s="79"/>
      <c r="AO167" s="80"/>
      <c r="AP167" s="80"/>
      <c r="AQ167" s="80"/>
      <c r="AR167" s="85"/>
      <c r="AS167" s="85"/>
      <c r="AT167" s="85"/>
      <c r="AU167" s="85"/>
      <c r="AV167" s="85"/>
      <c r="AW167" s="82"/>
      <c r="AX167" s="79"/>
      <c r="AY167" s="82"/>
      <c r="AZ167" s="82"/>
      <c r="BA167" s="86"/>
      <c r="BB167" s="79"/>
      <c r="BC167" s="79"/>
      <c r="BD167" s="79"/>
      <c r="BE167" s="82"/>
      <c r="BF167" s="85"/>
      <c r="BG167" s="79"/>
      <c r="BH167" s="79"/>
      <c r="BI167" s="79"/>
      <c r="BJ167" s="88"/>
      <c r="BK167" s="88"/>
      <c r="BL167" s="79"/>
      <c r="BM167" s="185"/>
      <c r="BN167" s="90"/>
      <c r="BO167" s="80"/>
      <c r="BP167" s="80"/>
      <c r="BQ167" s="80"/>
      <c r="BR167" s="80"/>
      <c r="BS167" s="80"/>
      <c r="BT167" s="80"/>
      <c r="BU167" s="80"/>
      <c r="BV167" s="80"/>
      <c r="BW167" s="82"/>
      <c r="BX167" s="79"/>
      <c r="BY167" s="79"/>
      <c r="BZ167" s="79"/>
      <c r="CA167" s="79"/>
      <c r="CB167" s="79"/>
      <c r="CC167" s="82"/>
      <c r="CD167" s="82"/>
      <c r="CE167" s="82"/>
      <c r="CF167" s="82"/>
      <c r="CG167" s="82"/>
      <c r="CH167" s="82"/>
      <c r="CI167" s="82"/>
      <c r="CJ167" s="79"/>
      <c r="CK167" s="79"/>
      <c r="CL167" s="79"/>
      <c r="CM167" s="79"/>
      <c r="CN167" s="79"/>
      <c r="CO167" s="79"/>
    </row>
    <row r="168" spans="1:93">
      <c r="A168" s="98">
        <v>15</v>
      </c>
      <c r="B168" s="178" t="s">
        <v>995</v>
      </c>
      <c r="C168" s="188">
        <v>45054</v>
      </c>
      <c r="D168" s="47" t="s">
        <v>1021</v>
      </c>
      <c r="E168" s="126"/>
      <c r="F168" s="382" t="s">
        <v>1031</v>
      </c>
      <c r="G168" s="167"/>
      <c r="H168" s="167">
        <v>1</v>
      </c>
      <c r="I168" s="170"/>
      <c r="J168" s="155"/>
      <c r="K168" s="156"/>
      <c r="L168" s="157"/>
      <c r="M168" s="157"/>
      <c r="N168" s="183"/>
      <c r="O168" s="177" t="s">
        <v>1009</v>
      </c>
      <c r="P168" s="145"/>
      <c r="Q168" s="141"/>
      <c r="R168" s="190"/>
      <c r="S168" s="83"/>
      <c r="T168" s="87"/>
      <c r="U168" s="87"/>
      <c r="V168" s="87"/>
      <c r="W168" s="44"/>
      <c r="X168" s="88"/>
      <c r="Y168" s="79"/>
      <c r="Z168" s="79"/>
      <c r="AA168" s="79"/>
      <c r="AB168" s="79"/>
      <c r="AC168" s="86"/>
      <c r="AD168" s="82"/>
      <c r="AE168" s="79"/>
      <c r="AF168" s="88"/>
      <c r="AG168" s="80"/>
      <c r="AH168" s="79"/>
      <c r="AI168" s="79"/>
      <c r="AJ168" s="79"/>
      <c r="AK168" s="80"/>
      <c r="AL168" s="80"/>
      <c r="AM168" s="80"/>
      <c r="AN168" s="79"/>
      <c r="AO168" s="80"/>
      <c r="AP168" s="80"/>
      <c r="AQ168" s="80"/>
      <c r="AR168" s="85"/>
      <c r="AS168" s="85"/>
      <c r="AT168" s="85"/>
      <c r="AU168" s="85"/>
      <c r="AV168" s="85"/>
      <c r="AW168" s="82"/>
      <c r="AX168" s="79"/>
      <c r="AY168" s="82"/>
      <c r="AZ168" s="82"/>
      <c r="BA168" s="86"/>
      <c r="BB168" s="79"/>
      <c r="BC168" s="79"/>
      <c r="BD168" s="79"/>
      <c r="BE168" s="82"/>
      <c r="BF168" s="85"/>
      <c r="BG168" s="79"/>
      <c r="BH168" s="79"/>
      <c r="BI168" s="79"/>
      <c r="BJ168" s="88"/>
      <c r="BK168" s="88"/>
      <c r="BL168" s="79"/>
      <c r="BM168" s="185"/>
      <c r="BN168" s="90"/>
      <c r="BO168" s="80"/>
      <c r="BP168" s="80"/>
      <c r="BQ168" s="80"/>
      <c r="BR168" s="80"/>
      <c r="BS168" s="80"/>
      <c r="BT168" s="80"/>
      <c r="BU168" s="80"/>
      <c r="BV168" s="80"/>
      <c r="BW168" s="82"/>
      <c r="BX168" s="79"/>
      <c r="BY168" s="79"/>
      <c r="BZ168" s="79"/>
      <c r="CA168" s="79"/>
      <c r="CB168" s="79"/>
      <c r="CC168" s="82"/>
      <c r="CD168" s="82"/>
      <c r="CE168" s="82"/>
      <c r="CF168" s="82"/>
      <c r="CG168" s="82"/>
      <c r="CH168" s="82"/>
      <c r="CI168" s="82"/>
      <c r="CJ168" s="79"/>
      <c r="CK168" s="79"/>
      <c r="CL168" s="79"/>
      <c r="CM168" s="79"/>
      <c r="CN168" s="79"/>
      <c r="CO168" s="79"/>
    </row>
    <row r="169" spans="1:93">
      <c r="A169" s="98">
        <v>16</v>
      </c>
      <c r="B169" s="178" t="s">
        <v>996</v>
      </c>
      <c r="C169" s="188">
        <v>45055</v>
      </c>
      <c r="D169" s="47" t="s">
        <v>1021</v>
      </c>
      <c r="E169" s="126"/>
      <c r="F169" s="382" t="s">
        <v>1031</v>
      </c>
      <c r="G169" s="167">
        <v>1</v>
      </c>
      <c r="H169" s="167"/>
      <c r="I169" s="170"/>
      <c r="J169" s="155"/>
      <c r="K169" s="156"/>
      <c r="L169" s="157"/>
      <c r="M169" s="157"/>
      <c r="N169" s="183"/>
      <c r="O169" s="177" t="s">
        <v>1010</v>
      </c>
      <c r="P169" s="145"/>
      <c r="Q169" s="141"/>
      <c r="R169" s="190"/>
      <c r="S169" s="83"/>
      <c r="T169" s="87"/>
      <c r="U169" s="87"/>
      <c r="V169" s="87"/>
      <c r="W169" s="44"/>
      <c r="X169" s="88"/>
      <c r="Y169" s="79"/>
      <c r="Z169" s="79"/>
      <c r="AA169" s="79"/>
      <c r="AB169" s="79"/>
      <c r="AC169" s="86"/>
      <c r="AD169" s="82"/>
      <c r="AE169" s="79"/>
      <c r="AF169" s="88"/>
      <c r="AG169" s="80"/>
      <c r="AH169" s="79"/>
      <c r="AI169" s="79"/>
      <c r="AJ169" s="79"/>
      <c r="AK169" s="80"/>
      <c r="AL169" s="80"/>
      <c r="AM169" s="80"/>
      <c r="AN169" s="79"/>
      <c r="AO169" s="80"/>
      <c r="AP169" s="80"/>
      <c r="AQ169" s="80"/>
      <c r="AR169" s="85"/>
      <c r="AS169" s="85"/>
      <c r="AT169" s="85"/>
      <c r="AU169" s="85"/>
      <c r="AV169" s="85"/>
      <c r="AW169" s="82"/>
      <c r="AX169" s="79"/>
      <c r="AY169" s="82"/>
      <c r="AZ169" s="82"/>
      <c r="BA169" s="86"/>
      <c r="BB169" s="79"/>
      <c r="BC169" s="79"/>
      <c r="BD169" s="79"/>
      <c r="BE169" s="82"/>
      <c r="BF169" s="85"/>
      <c r="BG169" s="79"/>
      <c r="BH169" s="79"/>
      <c r="BI169" s="79"/>
      <c r="BJ169" s="88"/>
      <c r="BK169" s="88"/>
      <c r="BL169" s="79"/>
      <c r="BM169" s="185"/>
      <c r="BN169" s="90"/>
      <c r="BO169" s="80"/>
      <c r="BP169" s="80"/>
      <c r="BQ169" s="80"/>
      <c r="BR169" s="80"/>
      <c r="BS169" s="80"/>
      <c r="BT169" s="80"/>
      <c r="BU169" s="80"/>
      <c r="BV169" s="80"/>
      <c r="BW169" s="82"/>
      <c r="BX169" s="79"/>
      <c r="BY169" s="79"/>
      <c r="BZ169" s="79"/>
      <c r="CA169" s="79"/>
      <c r="CB169" s="79"/>
      <c r="CC169" s="82"/>
      <c r="CD169" s="82"/>
      <c r="CE169" s="82"/>
      <c r="CF169" s="82"/>
      <c r="CG169" s="82"/>
      <c r="CH169" s="82"/>
      <c r="CI169" s="82"/>
      <c r="CJ169" s="79"/>
      <c r="CK169" s="79"/>
      <c r="CL169" s="79"/>
      <c r="CM169" s="79"/>
      <c r="CN169" s="79"/>
      <c r="CO169" s="79"/>
    </row>
    <row r="170" spans="1:93" ht="26.4">
      <c r="A170" s="98">
        <v>17</v>
      </c>
      <c r="B170" s="319" t="s">
        <v>1000</v>
      </c>
      <c r="C170" s="188">
        <v>45056</v>
      </c>
      <c r="D170" s="47" t="s">
        <v>1022</v>
      </c>
      <c r="E170" s="126"/>
      <c r="F170" s="382" t="s">
        <v>1031</v>
      </c>
      <c r="G170" s="167"/>
      <c r="H170" s="167">
        <v>3</v>
      </c>
      <c r="I170" s="170"/>
      <c r="J170" s="155"/>
      <c r="K170" s="156"/>
      <c r="L170" s="157"/>
      <c r="M170" s="157"/>
      <c r="N170" s="183"/>
      <c r="O170" s="177" t="s">
        <v>1014</v>
      </c>
      <c r="P170" s="145"/>
      <c r="Q170" s="141"/>
      <c r="R170" s="190"/>
      <c r="S170" s="83"/>
      <c r="T170" s="87"/>
      <c r="U170" s="87"/>
      <c r="V170" s="87"/>
      <c r="W170" s="44"/>
      <c r="X170" s="88"/>
      <c r="Y170" s="79"/>
      <c r="Z170" s="79"/>
      <c r="AA170" s="79"/>
      <c r="AB170" s="79"/>
      <c r="AC170" s="86"/>
      <c r="AD170" s="82"/>
      <c r="AE170" s="79"/>
      <c r="AF170" s="88"/>
      <c r="AG170" s="80"/>
      <c r="AH170" s="79"/>
      <c r="AI170" s="79"/>
      <c r="AJ170" s="79"/>
      <c r="AK170" s="80"/>
      <c r="AL170" s="80"/>
      <c r="AM170" s="80"/>
      <c r="AN170" s="79"/>
      <c r="AO170" s="80"/>
      <c r="AP170" s="80"/>
      <c r="AQ170" s="80"/>
      <c r="AR170" s="85"/>
      <c r="AS170" s="85"/>
      <c r="AT170" s="85"/>
      <c r="AU170" s="85"/>
      <c r="AV170" s="85"/>
      <c r="AW170" s="82"/>
      <c r="AX170" s="79"/>
      <c r="AY170" s="82"/>
      <c r="AZ170" s="82"/>
      <c r="BA170" s="86"/>
      <c r="BB170" s="79"/>
      <c r="BC170" s="79"/>
      <c r="BD170" s="79"/>
      <c r="BE170" s="82"/>
      <c r="BF170" s="85"/>
      <c r="BG170" s="79"/>
      <c r="BH170" s="79"/>
      <c r="BI170" s="79"/>
      <c r="BJ170" s="88"/>
      <c r="BK170" s="88"/>
      <c r="BL170" s="79"/>
      <c r="BM170" s="185"/>
      <c r="BN170" s="90"/>
      <c r="BO170" s="80"/>
      <c r="BP170" s="80"/>
      <c r="BQ170" s="80"/>
      <c r="BR170" s="80"/>
      <c r="BS170" s="80"/>
      <c r="BT170" s="80"/>
      <c r="BU170" s="80"/>
      <c r="BV170" s="80"/>
      <c r="BW170" s="82"/>
      <c r="BX170" s="79"/>
      <c r="BY170" s="79"/>
      <c r="BZ170" s="79"/>
      <c r="CA170" s="79"/>
      <c r="CB170" s="79"/>
      <c r="CC170" s="82"/>
      <c r="CD170" s="82"/>
      <c r="CE170" s="82"/>
      <c r="CF170" s="82"/>
      <c r="CG170" s="82"/>
      <c r="CH170" s="82"/>
      <c r="CI170" s="82"/>
      <c r="CJ170" s="79"/>
      <c r="CK170" s="79"/>
      <c r="CL170" s="79"/>
      <c r="CM170" s="79"/>
      <c r="CN170" s="79"/>
      <c r="CO170" s="79"/>
    </row>
    <row r="171" spans="1:93">
      <c r="A171" s="98">
        <v>1</v>
      </c>
      <c r="B171" s="178" t="s">
        <v>1046</v>
      </c>
      <c r="C171" s="188">
        <v>45057</v>
      </c>
      <c r="D171" s="47" t="s">
        <v>1080</v>
      </c>
      <c r="E171" s="126"/>
      <c r="F171" s="154" t="s">
        <v>1091</v>
      </c>
      <c r="G171" s="191"/>
      <c r="H171" s="441">
        <v>1</v>
      </c>
      <c r="I171" s="170"/>
      <c r="J171" s="155"/>
      <c r="K171" s="156"/>
      <c r="L171" s="157"/>
      <c r="M171" s="157"/>
      <c r="N171" s="183"/>
      <c r="O171" s="191" t="s">
        <v>1049</v>
      </c>
      <c r="P171" s="145"/>
      <c r="Q171" s="141"/>
      <c r="R171" s="190"/>
      <c r="S171" s="83"/>
      <c r="T171" s="87"/>
      <c r="U171" s="87"/>
      <c r="V171" s="87"/>
      <c r="W171" s="44"/>
      <c r="X171" s="88"/>
      <c r="Y171" s="79"/>
      <c r="Z171" s="79"/>
      <c r="AA171" s="79"/>
      <c r="AB171" s="79"/>
      <c r="AC171" s="86"/>
      <c r="AD171" s="82"/>
      <c r="AE171" s="79"/>
      <c r="AF171" s="88"/>
      <c r="AG171" s="80"/>
      <c r="AH171" s="79"/>
      <c r="AI171" s="79"/>
      <c r="AJ171" s="79"/>
      <c r="AK171" s="80"/>
      <c r="AL171" s="80"/>
      <c r="AM171" s="80"/>
      <c r="AN171" s="79"/>
      <c r="AO171" s="80"/>
      <c r="AP171" s="80"/>
      <c r="AQ171" s="80"/>
      <c r="AR171" s="85"/>
      <c r="AS171" s="85"/>
      <c r="AT171" s="85"/>
      <c r="AU171" s="85"/>
      <c r="AV171" s="85"/>
      <c r="AW171" s="82"/>
      <c r="AX171" s="79"/>
      <c r="AY171" s="82"/>
      <c r="AZ171" s="82"/>
      <c r="BA171" s="86"/>
      <c r="BB171" s="79"/>
      <c r="BC171" s="79"/>
      <c r="BD171" s="79"/>
      <c r="BE171" s="82"/>
      <c r="BF171" s="85"/>
      <c r="BG171" s="79"/>
      <c r="BH171" s="79"/>
      <c r="BI171" s="79"/>
      <c r="BJ171" s="88"/>
      <c r="BK171" s="88"/>
      <c r="BL171" s="79"/>
      <c r="BM171" s="185"/>
      <c r="BN171" s="90"/>
      <c r="BO171" s="80"/>
      <c r="BP171" s="80"/>
      <c r="BQ171" s="80"/>
      <c r="BR171" s="80"/>
      <c r="BS171" s="80"/>
      <c r="BT171" s="80"/>
      <c r="BU171" s="80"/>
      <c r="BV171" s="80"/>
      <c r="BW171" s="82"/>
      <c r="BX171" s="79"/>
      <c r="BY171" s="79"/>
      <c r="BZ171" s="79"/>
      <c r="CA171" s="79"/>
      <c r="CB171" s="79"/>
      <c r="CC171" s="82"/>
      <c r="CD171" s="82"/>
      <c r="CE171" s="82"/>
      <c r="CF171" s="82"/>
      <c r="CG171" s="82"/>
      <c r="CH171" s="82"/>
      <c r="CI171" s="82"/>
      <c r="CJ171" s="79"/>
      <c r="CK171" s="79"/>
      <c r="CL171" s="79"/>
      <c r="CM171" s="79"/>
      <c r="CN171" s="79"/>
      <c r="CO171" s="79"/>
    </row>
    <row r="172" spans="1:93">
      <c r="A172" s="98">
        <v>2</v>
      </c>
      <c r="B172" s="178" t="s">
        <v>1048</v>
      </c>
      <c r="C172" s="188">
        <v>45058</v>
      </c>
      <c r="D172" s="47" t="s">
        <v>1075</v>
      </c>
      <c r="E172" s="126"/>
      <c r="F172" s="154" t="s">
        <v>1091</v>
      </c>
      <c r="G172" s="191"/>
      <c r="H172" s="441">
        <v>1</v>
      </c>
      <c r="I172" s="170"/>
      <c r="J172" s="155"/>
      <c r="K172" s="156"/>
      <c r="L172" s="157"/>
      <c r="M172" s="157"/>
      <c r="N172" s="183"/>
      <c r="O172" s="191">
        <v>7884791930</v>
      </c>
      <c r="P172" s="145"/>
      <c r="Q172" s="141"/>
      <c r="R172" s="190"/>
      <c r="S172" s="83"/>
      <c r="T172" s="87"/>
      <c r="U172" s="87"/>
      <c r="V172" s="87"/>
      <c r="W172" s="44"/>
      <c r="X172" s="88"/>
      <c r="Y172" s="79"/>
      <c r="Z172" s="79"/>
      <c r="AA172" s="79"/>
      <c r="AB172" s="79"/>
      <c r="AC172" s="86"/>
      <c r="AD172" s="82"/>
      <c r="AE172" s="79"/>
      <c r="AF172" s="88"/>
      <c r="AG172" s="80"/>
      <c r="AH172" s="79"/>
      <c r="AI172" s="79"/>
      <c r="AJ172" s="79"/>
      <c r="AK172" s="80"/>
      <c r="AL172" s="80"/>
      <c r="AM172" s="80"/>
      <c r="AN172" s="79"/>
      <c r="AO172" s="80"/>
      <c r="AP172" s="80"/>
      <c r="AQ172" s="80"/>
      <c r="AR172" s="85"/>
      <c r="AS172" s="85"/>
      <c r="AT172" s="85"/>
      <c r="AU172" s="85"/>
      <c r="AV172" s="85"/>
      <c r="AW172" s="82"/>
      <c r="AX172" s="79"/>
      <c r="AY172" s="82"/>
      <c r="AZ172" s="82"/>
      <c r="BA172" s="86"/>
      <c r="BB172" s="79"/>
      <c r="BC172" s="79"/>
      <c r="BD172" s="79"/>
      <c r="BE172" s="82"/>
      <c r="BF172" s="85"/>
      <c r="BG172" s="79"/>
      <c r="BH172" s="79"/>
      <c r="BI172" s="79"/>
      <c r="BJ172" s="88"/>
      <c r="BK172" s="88"/>
      <c r="BL172" s="79"/>
      <c r="BM172" s="185"/>
      <c r="BN172" s="90"/>
      <c r="BO172" s="80"/>
      <c r="BP172" s="80"/>
      <c r="BQ172" s="80"/>
      <c r="BR172" s="80"/>
      <c r="BS172" s="80"/>
      <c r="BT172" s="80"/>
      <c r="BU172" s="80"/>
      <c r="BV172" s="80"/>
      <c r="BW172" s="82"/>
      <c r="BX172" s="79"/>
      <c r="BY172" s="79"/>
      <c r="BZ172" s="79"/>
      <c r="CA172" s="79"/>
      <c r="CB172" s="79"/>
      <c r="CC172" s="82"/>
      <c r="CD172" s="82"/>
      <c r="CE172" s="82"/>
      <c r="CF172" s="82"/>
      <c r="CG172" s="82"/>
      <c r="CH172" s="82"/>
      <c r="CI172" s="82"/>
      <c r="CJ172" s="79"/>
      <c r="CK172" s="79"/>
      <c r="CL172" s="79"/>
      <c r="CM172" s="79"/>
      <c r="CN172" s="79"/>
      <c r="CO172" s="79"/>
    </row>
    <row r="173" spans="1:93">
      <c r="A173" s="98">
        <v>3</v>
      </c>
      <c r="B173" s="178" t="s">
        <v>1055</v>
      </c>
      <c r="C173" s="188" t="s">
        <v>1052</v>
      </c>
      <c r="D173" s="47" t="s">
        <v>1078</v>
      </c>
      <c r="E173" s="126"/>
      <c r="F173" s="154" t="s">
        <v>1091</v>
      </c>
      <c r="G173" s="191" t="s">
        <v>128</v>
      </c>
      <c r="H173" s="441"/>
      <c r="I173" s="170"/>
      <c r="J173" s="155"/>
      <c r="K173" s="156"/>
      <c r="L173" s="157"/>
      <c r="M173" s="157"/>
      <c r="N173" s="183"/>
      <c r="O173" s="191">
        <v>73854714041</v>
      </c>
      <c r="P173" s="145"/>
      <c r="Q173" s="141"/>
      <c r="R173" s="190"/>
      <c r="S173" s="83"/>
      <c r="T173" s="87"/>
      <c r="U173" s="87"/>
      <c r="V173" s="87"/>
      <c r="W173" s="44"/>
      <c r="X173" s="88"/>
      <c r="Y173" s="79"/>
      <c r="Z173" s="79"/>
      <c r="AA173" s="79"/>
      <c r="AB173" s="79"/>
      <c r="AC173" s="86"/>
      <c r="AD173" s="82"/>
      <c r="AE173" s="79"/>
      <c r="AF173" s="88"/>
      <c r="AG173" s="80"/>
      <c r="AH173" s="79"/>
      <c r="AI173" s="79"/>
      <c r="AJ173" s="79"/>
      <c r="AK173" s="80"/>
      <c r="AL173" s="80"/>
      <c r="AM173" s="80"/>
      <c r="AN173" s="79"/>
      <c r="AO173" s="80"/>
      <c r="AP173" s="80"/>
      <c r="AQ173" s="80"/>
      <c r="AR173" s="85"/>
      <c r="AS173" s="85"/>
      <c r="AT173" s="85"/>
      <c r="AU173" s="85"/>
      <c r="AV173" s="85"/>
      <c r="AW173" s="82"/>
      <c r="AX173" s="79"/>
      <c r="AY173" s="82"/>
      <c r="AZ173" s="82"/>
      <c r="BA173" s="86"/>
      <c r="BB173" s="79"/>
      <c r="BC173" s="79"/>
      <c r="BD173" s="79"/>
      <c r="BE173" s="82"/>
      <c r="BF173" s="85"/>
      <c r="BG173" s="79"/>
      <c r="BH173" s="79"/>
      <c r="BI173" s="79"/>
      <c r="BJ173" s="88"/>
      <c r="BK173" s="88"/>
      <c r="BL173" s="79"/>
      <c r="BM173" s="185"/>
      <c r="BN173" s="90"/>
      <c r="BO173" s="80"/>
      <c r="BP173" s="80"/>
      <c r="BQ173" s="80"/>
      <c r="BR173" s="80"/>
      <c r="BS173" s="80"/>
      <c r="BT173" s="80"/>
      <c r="BU173" s="80"/>
      <c r="BV173" s="80"/>
      <c r="BW173" s="82"/>
      <c r="BX173" s="79"/>
      <c r="BY173" s="79"/>
      <c r="BZ173" s="79"/>
      <c r="CA173" s="79"/>
      <c r="CB173" s="79"/>
      <c r="CC173" s="82"/>
      <c r="CD173" s="82"/>
      <c r="CE173" s="82"/>
      <c r="CF173" s="82"/>
      <c r="CG173" s="82"/>
      <c r="CH173" s="82"/>
      <c r="CI173" s="82"/>
      <c r="CJ173" s="79"/>
      <c r="CK173" s="79"/>
      <c r="CL173" s="79"/>
      <c r="CM173" s="79"/>
      <c r="CN173" s="79"/>
      <c r="CO173" s="79"/>
    </row>
    <row r="174" spans="1:93">
      <c r="A174" s="98">
        <v>4</v>
      </c>
      <c r="B174" s="178" t="s">
        <v>1056</v>
      </c>
      <c r="C174" s="188" t="s">
        <v>1052</v>
      </c>
      <c r="D174" s="47" t="s">
        <v>1076</v>
      </c>
      <c r="E174" s="126"/>
      <c r="F174" s="154" t="s">
        <v>1091</v>
      </c>
      <c r="G174" s="191"/>
      <c r="H174" s="441">
        <v>1</v>
      </c>
      <c r="I174" s="170"/>
      <c r="J174" s="155"/>
      <c r="K174" s="156"/>
      <c r="L174" s="157"/>
      <c r="M174" s="157"/>
      <c r="N174" s="183"/>
      <c r="O174" s="191">
        <v>2718816310</v>
      </c>
      <c r="P174" s="145"/>
      <c r="Q174" s="141"/>
      <c r="R174" s="190"/>
      <c r="S174" s="83"/>
      <c r="T174" s="87"/>
      <c r="U174" s="87"/>
      <c r="V174" s="87"/>
      <c r="W174" s="44"/>
      <c r="X174" s="88"/>
      <c r="Y174" s="79"/>
      <c r="Z174" s="79"/>
      <c r="AA174" s="79"/>
      <c r="AB174" s="79"/>
      <c r="AC174" s="86"/>
      <c r="AD174" s="82"/>
      <c r="AE174" s="79"/>
      <c r="AF174" s="88"/>
      <c r="AG174" s="80"/>
      <c r="AH174" s="79"/>
      <c r="AI174" s="79"/>
      <c r="AJ174" s="79"/>
      <c r="AK174" s="80"/>
      <c r="AL174" s="80"/>
      <c r="AM174" s="80"/>
      <c r="AN174" s="79"/>
      <c r="AO174" s="80"/>
      <c r="AP174" s="80"/>
      <c r="AQ174" s="80"/>
      <c r="AR174" s="85"/>
      <c r="AS174" s="85"/>
      <c r="AT174" s="85"/>
      <c r="AU174" s="85"/>
      <c r="AV174" s="85"/>
      <c r="AW174" s="82"/>
      <c r="AX174" s="79"/>
      <c r="AY174" s="82"/>
      <c r="AZ174" s="82"/>
      <c r="BA174" s="86"/>
      <c r="BB174" s="79"/>
      <c r="BC174" s="79"/>
      <c r="BD174" s="79"/>
      <c r="BE174" s="82"/>
      <c r="BF174" s="85"/>
      <c r="BG174" s="79"/>
      <c r="BH174" s="79"/>
      <c r="BI174" s="79"/>
      <c r="BJ174" s="88"/>
      <c r="BK174" s="88"/>
      <c r="BL174" s="79"/>
      <c r="BM174" s="185"/>
      <c r="BN174" s="90"/>
      <c r="BO174" s="80"/>
      <c r="BP174" s="80"/>
      <c r="BQ174" s="80"/>
      <c r="BR174" s="80"/>
      <c r="BS174" s="80"/>
      <c r="BT174" s="80"/>
      <c r="BU174" s="80"/>
      <c r="BV174" s="80"/>
      <c r="BW174" s="82"/>
      <c r="BX174" s="79"/>
      <c r="BY174" s="79"/>
      <c r="BZ174" s="79"/>
      <c r="CA174" s="79"/>
      <c r="CB174" s="79"/>
      <c r="CC174" s="82"/>
      <c r="CD174" s="82"/>
      <c r="CE174" s="82"/>
      <c r="CF174" s="82"/>
      <c r="CG174" s="82"/>
      <c r="CH174" s="82"/>
      <c r="CI174" s="82"/>
      <c r="CJ174" s="79"/>
      <c r="CK174" s="79"/>
      <c r="CL174" s="79"/>
      <c r="CM174" s="79"/>
      <c r="CN174" s="79"/>
      <c r="CO174" s="79"/>
    </row>
    <row r="175" spans="1:93">
      <c r="A175" s="98">
        <v>5</v>
      </c>
      <c r="B175" s="178" t="s">
        <v>1061</v>
      </c>
      <c r="C175" s="188" t="s">
        <v>1060</v>
      </c>
      <c r="D175" s="47" t="s">
        <v>1079</v>
      </c>
      <c r="E175" s="126"/>
      <c r="F175" s="154" t="s">
        <v>1091</v>
      </c>
      <c r="G175" s="191"/>
      <c r="H175" s="441">
        <v>1</v>
      </c>
      <c r="I175" s="170"/>
      <c r="J175" s="155"/>
      <c r="K175" s="156"/>
      <c r="L175" s="157"/>
      <c r="M175" s="157"/>
      <c r="N175" s="183"/>
      <c r="O175" s="191" t="s">
        <v>1070</v>
      </c>
      <c r="P175" s="145"/>
      <c r="Q175" s="141"/>
      <c r="R175" s="190"/>
      <c r="S175" s="83"/>
      <c r="T175" s="87"/>
      <c r="U175" s="87"/>
      <c r="V175" s="87"/>
      <c r="W175" s="44"/>
      <c r="X175" s="88"/>
      <c r="Y175" s="79"/>
      <c r="Z175" s="79"/>
      <c r="AA175" s="79"/>
      <c r="AB175" s="79"/>
      <c r="AC175" s="86"/>
      <c r="AD175" s="82"/>
      <c r="AE175" s="79"/>
      <c r="AF175" s="88"/>
      <c r="AG175" s="80"/>
      <c r="AH175" s="79"/>
      <c r="AI175" s="79"/>
      <c r="AJ175" s="79"/>
      <c r="AK175" s="80"/>
      <c r="AL175" s="80"/>
      <c r="AM175" s="80"/>
      <c r="AN175" s="79"/>
      <c r="AO175" s="80"/>
      <c r="AP175" s="80"/>
      <c r="AQ175" s="80"/>
      <c r="AR175" s="85"/>
      <c r="AS175" s="85"/>
      <c r="AT175" s="85"/>
      <c r="AU175" s="85"/>
      <c r="AV175" s="85"/>
      <c r="AW175" s="82"/>
      <c r="AX175" s="79"/>
      <c r="AY175" s="82"/>
      <c r="AZ175" s="82"/>
      <c r="BA175" s="86"/>
      <c r="BB175" s="79"/>
      <c r="BC175" s="79"/>
      <c r="BD175" s="79"/>
      <c r="BE175" s="82"/>
      <c r="BF175" s="85"/>
      <c r="BG175" s="79"/>
      <c r="BH175" s="79"/>
      <c r="BI175" s="79"/>
      <c r="BJ175" s="88"/>
      <c r="BK175" s="88"/>
      <c r="BL175" s="79"/>
      <c r="BM175" s="185"/>
      <c r="BN175" s="90"/>
      <c r="BO175" s="80"/>
      <c r="BP175" s="80"/>
      <c r="BQ175" s="80"/>
      <c r="BR175" s="80"/>
      <c r="BS175" s="80"/>
      <c r="BT175" s="80"/>
      <c r="BU175" s="80"/>
      <c r="BV175" s="80"/>
      <c r="BW175" s="82"/>
      <c r="BX175" s="79"/>
      <c r="BY175" s="79"/>
      <c r="BZ175" s="79"/>
      <c r="CA175" s="79"/>
      <c r="CB175" s="79"/>
      <c r="CC175" s="82"/>
      <c r="CD175" s="82"/>
      <c r="CE175" s="82"/>
      <c r="CF175" s="82"/>
      <c r="CG175" s="82"/>
      <c r="CH175" s="82"/>
      <c r="CI175" s="82"/>
      <c r="CJ175" s="79"/>
      <c r="CK175" s="79"/>
      <c r="CL175" s="79"/>
      <c r="CM175" s="79"/>
      <c r="CN175" s="79"/>
      <c r="CO175" s="79"/>
    </row>
    <row r="176" spans="1:93">
      <c r="A176" s="98">
        <v>6</v>
      </c>
      <c r="B176" s="178" t="s">
        <v>1062</v>
      </c>
      <c r="C176" s="188" t="s">
        <v>1044</v>
      </c>
      <c r="D176" s="47" t="s">
        <v>1077</v>
      </c>
      <c r="E176" s="126"/>
      <c r="F176" s="154" t="s">
        <v>1091</v>
      </c>
      <c r="G176" s="191"/>
      <c r="H176" s="441">
        <v>1</v>
      </c>
      <c r="I176" s="170"/>
      <c r="J176" s="155"/>
      <c r="K176" s="156"/>
      <c r="L176" s="157"/>
      <c r="M176" s="157"/>
      <c r="N176" s="183"/>
      <c r="O176" s="191" t="s">
        <v>1071</v>
      </c>
      <c r="P176" s="145"/>
      <c r="Q176" s="141"/>
      <c r="R176" s="190"/>
      <c r="S176" s="83"/>
      <c r="T176" s="87"/>
      <c r="U176" s="87"/>
      <c r="V176" s="87"/>
      <c r="W176" s="44"/>
      <c r="X176" s="88"/>
      <c r="Y176" s="79"/>
      <c r="Z176" s="79"/>
      <c r="AA176" s="79"/>
      <c r="AB176" s="79"/>
      <c r="AC176" s="86"/>
      <c r="AD176" s="82"/>
      <c r="AE176" s="79"/>
      <c r="AF176" s="88"/>
      <c r="AG176" s="80"/>
      <c r="AH176" s="79"/>
      <c r="AI176" s="79"/>
      <c r="AJ176" s="79"/>
      <c r="AK176" s="80"/>
      <c r="AL176" s="80"/>
      <c r="AM176" s="80"/>
      <c r="AN176" s="79"/>
      <c r="AO176" s="80"/>
      <c r="AP176" s="80"/>
      <c r="AQ176" s="80"/>
      <c r="AR176" s="85"/>
      <c r="AS176" s="85"/>
      <c r="AT176" s="85"/>
      <c r="AU176" s="85"/>
      <c r="AV176" s="85"/>
      <c r="AW176" s="82"/>
      <c r="AX176" s="79"/>
      <c r="AY176" s="82"/>
      <c r="AZ176" s="82"/>
      <c r="BA176" s="86"/>
      <c r="BB176" s="79"/>
      <c r="BC176" s="79"/>
      <c r="BD176" s="79"/>
      <c r="BE176" s="82"/>
      <c r="BF176" s="85"/>
      <c r="BG176" s="79"/>
      <c r="BH176" s="79"/>
      <c r="BI176" s="79"/>
      <c r="BJ176" s="88"/>
      <c r="BK176" s="88"/>
      <c r="BL176" s="79"/>
      <c r="BM176" s="185"/>
      <c r="BN176" s="90"/>
      <c r="BO176" s="80"/>
      <c r="BP176" s="80"/>
      <c r="BQ176" s="80"/>
      <c r="BR176" s="80"/>
      <c r="BS176" s="80"/>
      <c r="BT176" s="80"/>
      <c r="BU176" s="80"/>
      <c r="BV176" s="80"/>
      <c r="BW176" s="82"/>
      <c r="BX176" s="79"/>
      <c r="BY176" s="79"/>
      <c r="BZ176" s="79"/>
      <c r="CA176" s="79"/>
      <c r="CB176" s="79"/>
      <c r="CC176" s="82"/>
      <c r="CD176" s="82"/>
      <c r="CE176" s="82"/>
      <c r="CF176" s="82"/>
      <c r="CG176" s="82"/>
      <c r="CH176" s="82"/>
      <c r="CI176" s="82"/>
      <c r="CJ176" s="79"/>
      <c r="CK176" s="79"/>
      <c r="CL176" s="79"/>
      <c r="CM176" s="79"/>
      <c r="CN176" s="79"/>
      <c r="CO176" s="79"/>
    </row>
    <row r="177" spans="1:93">
      <c r="A177" s="98">
        <v>7</v>
      </c>
      <c r="B177" s="380" t="s">
        <v>1047</v>
      </c>
      <c r="C177" s="188">
        <v>45058</v>
      </c>
      <c r="D177" s="47" t="s">
        <v>1081</v>
      </c>
      <c r="E177" s="126"/>
      <c r="F177" s="154" t="s">
        <v>1091</v>
      </c>
      <c r="G177" s="191"/>
      <c r="H177" s="441">
        <v>2</v>
      </c>
      <c r="I177" s="170"/>
      <c r="J177" s="155"/>
      <c r="K177" s="156"/>
      <c r="L177" s="157"/>
      <c r="M177" s="157"/>
      <c r="N177" s="183"/>
      <c r="O177" s="191" t="s">
        <v>1050</v>
      </c>
      <c r="P177" s="145"/>
      <c r="Q177" s="141"/>
      <c r="R177" s="190"/>
      <c r="S177" s="83"/>
      <c r="T177" s="87"/>
      <c r="U177" s="87"/>
      <c r="V177" s="87"/>
      <c r="W177" s="44"/>
      <c r="X177" s="88"/>
      <c r="Y177" s="79"/>
      <c r="Z177" s="79"/>
      <c r="AA177" s="79"/>
      <c r="AB177" s="79"/>
      <c r="AC177" s="86"/>
      <c r="AD177" s="82"/>
      <c r="AE177" s="79"/>
      <c r="AF177" s="88"/>
      <c r="AG177" s="80"/>
      <c r="AH177" s="79"/>
      <c r="AI177" s="79"/>
      <c r="AJ177" s="79"/>
      <c r="AK177" s="80"/>
      <c r="AL177" s="80"/>
      <c r="AM177" s="80"/>
      <c r="AN177" s="79"/>
      <c r="AO177" s="80"/>
      <c r="AP177" s="80"/>
      <c r="AQ177" s="80"/>
      <c r="AR177" s="85"/>
      <c r="AS177" s="85"/>
      <c r="AT177" s="85"/>
      <c r="AU177" s="85"/>
      <c r="AV177" s="85"/>
      <c r="AW177" s="82"/>
      <c r="AX177" s="79"/>
      <c r="AY177" s="82"/>
      <c r="AZ177" s="82"/>
      <c r="BA177" s="86"/>
      <c r="BB177" s="79"/>
      <c r="BC177" s="79"/>
      <c r="BD177" s="79"/>
      <c r="BE177" s="82"/>
      <c r="BF177" s="85"/>
      <c r="BG177" s="79"/>
      <c r="BH177" s="79"/>
      <c r="BI177" s="79"/>
      <c r="BJ177" s="88"/>
      <c r="BK177" s="88"/>
      <c r="BL177" s="79"/>
      <c r="BM177" s="185"/>
      <c r="BN177" s="90"/>
      <c r="BO177" s="80"/>
      <c r="BP177" s="80"/>
      <c r="BQ177" s="80"/>
      <c r="BR177" s="80"/>
      <c r="BS177" s="80"/>
      <c r="BT177" s="80"/>
      <c r="BU177" s="80"/>
      <c r="BV177" s="80"/>
      <c r="BW177" s="82"/>
      <c r="BX177" s="79"/>
      <c r="BY177" s="79"/>
      <c r="BZ177" s="79"/>
      <c r="CA177" s="79"/>
      <c r="CB177" s="79"/>
      <c r="CC177" s="82"/>
      <c r="CD177" s="82"/>
      <c r="CE177" s="82"/>
      <c r="CF177" s="82"/>
      <c r="CG177" s="82"/>
      <c r="CH177" s="82"/>
      <c r="CI177" s="82"/>
      <c r="CJ177" s="79"/>
      <c r="CK177" s="79"/>
      <c r="CL177" s="79"/>
      <c r="CM177" s="79"/>
      <c r="CN177" s="79"/>
      <c r="CO177" s="79"/>
    </row>
    <row r="178" spans="1:93">
      <c r="A178" s="98">
        <v>8</v>
      </c>
      <c r="B178" s="380" t="s">
        <v>1051</v>
      </c>
      <c r="C178" s="188" t="s">
        <v>1052</v>
      </c>
      <c r="D178" s="47" t="s">
        <v>1082</v>
      </c>
      <c r="E178" s="126"/>
      <c r="F178" s="154" t="s">
        <v>1091</v>
      </c>
      <c r="G178" s="191">
        <v>2</v>
      </c>
      <c r="H178" s="441"/>
      <c r="I178" s="170"/>
      <c r="J178" s="155"/>
      <c r="K178" s="156"/>
      <c r="L178" s="157"/>
      <c r="M178" s="157"/>
      <c r="N178" s="183"/>
      <c r="O178" s="191" t="s">
        <v>1066</v>
      </c>
      <c r="P178" s="145"/>
      <c r="Q178" s="141"/>
      <c r="R178" s="190"/>
      <c r="S178" s="83"/>
      <c r="T178" s="87"/>
      <c r="U178" s="87"/>
      <c r="V178" s="87"/>
      <c r="W178" s="44"/>
      <c r="X178" s="88"/>
      <c r="Y178" s="79"/>
      <c r="Z178" s="79"/>
      <c r="AA178" s="79"/>
      <c r="AB178" s="79"/>
      <c r="AC178" s="86"/>
      <c r="AD178" s="82"/>
      <c r="AE178" s="79"/>
      <c r="AF178" s="88"/>
      <c r="AG178" s="80"/>
      <c r="AH178" s="79"/>
      <c r="AI178" s="79"/>
      <c r="AJ178" s="79"/>
      <c r="AK178" s="80"/>
      <c r="AL178" s="80"/>
      <c r="AM178" s="80"/>
      <c r="AN178" s="79"/>
      <c r="AO178" s="80"/>
      <c r="AP178" s="80"/>
      <c r="AQ178" s="80"/>
      <c r="AR178" s="85"/>
      <c r="AS178" s="85"/>
      <c r="AT178" s="85"/>
      <c r="AU178" s="85"/>
      <c r="AV178" s="85"/>
      <c r="AW178" s="82"/>
      <c r="AX178" s="79"/>
      <c r="AY178" s="82"/>
      <c r="AZ178" s="82"/>
      <c r="BA178" s="86"/>
      <c r="BB178" s="79"/>
      <c r="BC178" s="79"/>
      <c r="BD178" s="79"/>
      <c r="BE178" s="82"/>
      <c r="BF178" s="85"/>
      <c r="BG178" s="79"/>
      <c r="BH178" s="79"/>
      <c r="BI178" s="79"/>
      <c r="BJ178" s="88"/>
      <c r="BK178" s="88"/>
      <c r="BL178" s="79"/>
      <c r="BM178" s="185"/>
      <c r="BN178" s="90"/>
      <c r="BO178" s="80"/>
      <c r="BP178" s="80"/>
      <c r="BQ178" s="80"/>
      <c r="BR178" s="80"/>
      <c r="BS178" s="80"/>
      <c r="BT178" s="80"/>
      <c r="BU178" s="80"/>
      <c r="BV178" s="80"/>
      <c r="BW178" s="82"/>
      <c r="BX178" s="79"/>
      <c r="BY178" s="79"/>
      <c r="BZ178" s="79"/>
      <c r="CA178" s="79"/>
      <c r="CB178" s="79"/>
      <c r="CC178" s="82"/>
      <c r="CD178" s="82"/>
      <c r="CE178" s="82"/>
      <c r="CF178" s="82"/>
      <c r="CG178" s="82"/>
      <c r="CH178" s="82"/>
      <c r="CI178" s="82"/>
      <c r="CJ178" s="79"/>
      <c r="CK178" s="79"/>
      <c r="CL178" s="79"/>
      <c r="CM178" s="79"/>
      <c r="CN178" s="79"/>
      <c r="CO178" s="79"/>
    </row>
    <row r="179" spans="1:93">
      <c r="A179" s="98">
        <v>9</v>
      </c>
      <c r="B179" s="380" t="s">
        <v>1053</v>
      </c>
      <c r="C179" s="188" t="s">
        <v>1052</v>
      </c>
      <c r="D179" s="47" t="s">
        <v>1083</v>
      </c>
      <c r="E179" s="126"/>
      <c r="F179" s="154" t="s">
        <v>1091</v>
      </c>
      <c r="G179" s="191"/>
      <c r="H179" s="441">
        <v>1</v>
      </c>
      <c r="I179" s="170"/>
      <c r="J179" s="155"/>
      <c r="K179" s="156"/>
      <c r="L179" s="157"/>
      <c r="M179" s="157"/>
      <c r="N179" s="183"/>
      <c r="O179" s="191">
        <v>609470362</v>
      </c>
      <c r="P179" s="145"/>
      <c r="Q179" s="141"/>
      <c r="R179" s="190"/>
      <c r="S179" s="83"/>
      <c r="T179" s="87"/>
      <c r="U179" s="87"/>
      <c r="V179" s="87"/>
      <c r="W179" s="44"/>
      <c r="X179" s="88"/>
      <c r="Y179" s="79"/>
      <c r="Z179" s="79"/>
      <c r="AA179" s="79"/>
      <c r="AB179" s="79"/>
      <c r="AC179" s="86"/>
      <c r="AD179" s="82"/>
      <c r="AE179" s="79"/>
      <c r="AF179" s="88"/>
      <c r="AG179" s="80"/>
      <c r="AH179" s="79"/>
      <c r="AI179" s="79"/>
      <c r="AJ179" s="79"/>
      <c r="AK179" s="80"/>
      <c r="AL179" s="80"/>
      <c r="AM179" s="80"/>
      <c r="AN179" s="79"/>
      <c r="AO179" s="80"/>
      <c r="AP179" s="80"/>
      <c r="AQ179" s="80"/>
      <c r="AR179" s="85"/>
      <c r="AS179" s="85"/>
      <c r="AT179" s="85"/>
      <c r="AU179" s="85"/>
      <c r="AV179" s="85"/>
      <c r="AW179" s="82"/>
      <c r="AX179" s="79"/>
      <c r="AY179" s="82"/>
      <c r="AZ179" s="82"/>
      <c r="BA179" s="86"/>
      <c r="BB179" s="79"/>
      <c r="BC179" s="79"/>
      <c r="BD179" s="79"/>
      <c r="BE179" s="82"/>
      <c r="BF179" s="85"/>
      <c r="BG179" s="79"/>
      <c r="BH179" s="79"/>
      <c r="BI179" s="79"/>
      <c r="BJ179" s="88"/>
      <c r="BK179" s="88"/>
      <c r="BL179" s="79"/>
      <c r="BM179" s="185"/>
      <c r="BN179" s="90"/>
      <c r="BO179" s="80"/>
      <c r="BP179" s="80"/>
      <c r="BQ179" s="80"/>
      <c r="BR179" s="80"/>
      <c r="BS179" s="80"/>
      <c r="BT179" s="80"/>
      <c r="BU179" s="80"/>
      <c r="BV179" s="80"/>
      <c r="BW179" s="82"/>
      <c r="BX179" s="79"/>
      <c r="BY179" s="79"/>
      <c r="BZ179" s="79"/>
      <c r="CA179" s="79"/>
      <c r="CB179" s="79"/>
      <c r="CC179" s="82"/>
      <c r="CD179" s="82"/>
      <c r="CE179" s="82"/>
      <c r="CF179" s="82"/>
      <c r="CG179" s="82"/>
      <c r="CH179" s="82"/>
      <c r="CI179" s="82"/>
      <c r="CJ179" s="79"/>
      <c r="CK179" s="79"/>
      <c r="CL179" s="79"/>
      <c r="CM179" s="79"/>
      <c r="CN179" s="79"/>
      <c r="CO179" s="79"/>
    </row>
    <row r="180" spans="1:93">
      <c r="A180" s="98">
        <v>10</v>
      </c>
      <c r="B180" s="380" t="s">
        <v>1054</v>
      </c>
      <c r="C180" s="188" t="s">
        <v>1052</v>
      </c>
      <c r="D180" s="47" t="s">
        <v>1090</v>
      </c>
      <c r="E180" s="126"/>
      <c r="F180" s="154" t="s">
        <v>1091</v>
      </c>
      <c r="G180" s="191" t="s">
        <v>102</v>
      </c>
      <c r="H180" s="441"/>
      <c r="I180" s="170"/>
      <c r="J180" s="155"/>
      <c r="K180" s="156"/>
      <c r="L180" s="157"/>
      <c r="M180" s="157"/>
      <c r="N180" s="183"/>
      <c r="O180" s="191" t="s">
        <v>1067</v>
      </c>
      <c r="P180" s="145"/>
      <c r="Q180" s="141"/>
      <c r="R180" s="190"/>
      <c r="S180" s="83"/>
      <c r="T180" s="87"/>
      <c r="U180" s="87"/>
      <c r="V180" s="87"/>
      <c r="W180" s="44"/>
      <c r="X180" s="88"/>
      <c r="Y180" s="79"/>
      <c r="Z180" s="79"/>
      <c r="AA180" s="79"/>
      <c r="AB180" s="79"/>
      <c r="AC180" s="86"/>
      <c r="AD180" s="82"/>
      <c r="AE180" s="79"/>
      <c r="AF180" s="88"/>
      <c r="AG180" s="80"/>
      <c r="AH180" s="79"/>
      <c r="AI180" s="79"/>
      <c r="AJ180" s="79"/>
      <c r="AK180" s="80"/>
      <c r="AL180" s="80"/>
      <c r="AM180" s="80"/>
      <c r="AN180" s="79"/>
      <c r="AO180" s="80"/>
      <c r="AP180" s="80"/>
      <c r="AQ180" s="80"/>
      <c r="AR180" s="85"/>
      <c r="AS180" s="85"/>
      <c r="AT180" s="85"/>
      <c r="AU180" s="85"/>
      <c r="AV180" s="85"/>
      <c r="AW180" s="82"/>
      <c r="AX180" s="79"/>
      <c r="AY180" s="82"/>
      <c r="AZ180" s="82"/>
      <c r="BA180" s="86"/>
      <c r="BB180" s="79"/>
      <c r="BC180" s="79"/>
      <c r="BD180" s="79"/>
      <c r="BE180" s="82"/>
      <c r="BF180" s="85"/>
      <c r="BG180" s="79"/>
      <c r="BH180" s="79"/>
      <c r="BI180" s="79"/>
      <c r="BJ180" s="88"/>
      <c r="BK180" s="88"/>
      <c r="BL180" s="79"/>
      <c r="BM180" s="185"/>
      <c r="BN180" s="90"/>
      <c r="BO180" s="80"/>
      <c r="BP180" s="80"/>
      <c r="BQ180" s="80"/>
      <c r="BR180" s="80"/>
      <c r="BS180" s="80"/>
      <c r="BT180" s="80"/>
      <c r="BU180" s="80"/>
      <c r="BV180" s="80"/>
      <c r="BW180" s="82"/>
      <c r="BX180" s="79"/>
      <c r="BY180" s="79"/>
      <c r="BZ180" s="79"/>
      <c r="CA180" s="79"/>
      <c r="CB180" s="79"/>
      <c r="CC180" s="82"/>
      <c r="CD180" s="82"/>
      <c r="CE180" s="82"/>
      <c r="CF180" s="82"/>
      <c r="CG180" s="82"/>
      <c r="CH180" s="82"/>
      <c r="CI180" s="82"/>
      <c r="CJ180" s="79"/>
      <c r="CK180" s="79"/>
      <c r="CL180" s="79"/>
      <c r="CM180" s="79"/>
      <c r="CN180" s="79"/>
      <c r="CO180" s="79"/>
    </row>
    <row r="181" spans="1:93">
      <c r="A181" s="98">
        <v>11</v>
      </c>
      <c r="B181" s="380" t="s">
        <v>1057</v>
      </c>
      <c r="C181" s="188" t="s">
        <v>1035</v>
      </c>
      <c r="D181" s="47" t="s">
        <v>1084</v>
      </c>
      <c r="E181" s="126"/>
      <c r="F181" s="154" t="s">
        <v>1091</v>
      </c>
      <c r="G181" s="191">
        <v>3</v>
      </c>
      <c r="H181" s="441"/>
      <c r="I181" s="170"/>
      <c r="J181" s="155"/>
      <c r="K181" s="156"/>
      <c r="L181" s="157"/>
      <c r="M181" s="157"/>
      <c r="N181" s="183"/>
      <c r="O181" s="191">
        <v>226784718</v>
      </c>
      <c r="P181" s="145"/>
      <c r="Q181" s="141"/>
      <c r="R181" s="190"/>
      <c r="S181" s="83"/>
      <c r="T181" s="87"/>
      <c r="U181" s="87"/>
      <c r="V181" s="87"/>
      <c r="W181" s="44"/>
      <c r="X181" s="88"/>
      <c r="Y181" s="79"/>
      <c r="Z181" s="79"/>
      <c r="AA181" s="79"/>
      <c r="AB181" s="79"/>
      <c r="AC181" s="86"/>
      <c r="AD181" s="82"/>
      <c r="AE181" s="79"/>
      <c r="AF181" s="88"/>
      <c r="AG181" s="80"/>
      <c r="AH181" s="79"/>
      <c r="AI181" s="79"/>
      <c r="AJ181" s="79"/>
      <c r="AK181" s="80"/>
      <c r="AL181" s="80"/>
      <c r="AM181" s="80"/>
      <c r="AN181" s="79"/>
      <c r="AO181" s="80"/>
      <c r="AP181" s="80"/>
      <c r="AQ181" s="80"/>
      <c r="AR181" s="85"/>
      <c r="AS181" s="85"/>
      <c r="AT181" s="85"/>
      <c r="AU181" s="85"/>
      <c r="AV181" s="85"/>
      <c r="AW181" s="82"/>
      <c r="AX181" s="79"/>
      <c r="AY181" s="82"/>
      <c r="AZ181" s="82"/>
      <c r="BA181" s="86"/>
      <c r="BB181" s="79"/>
      <c r="BC181" s="79"/>
      <c r="BD181" s="79"/>
      <c r="BE181" s="82"/>
      <c r="BF181" s="85"/>
      <c r="BG181" s="79"/>
      <c r="BH181" s="79"/>
      <c r="BI181" s="79"/>
      <c r="BJ181" s="88"/>
      <c r="BK181" s="88"/>
      <c r="BL181" s="79"/>
      <c r="BM181" s="185"/>
      <c r="BN181" s="90"/>
      <c r="BO181" s="80"/>
      <c r="BP181" s="80"/>
      <c r="BQ181" s="80"/>
      <c r="BR181" s="80"/>
      <c r="BS181" s="80"/>
      <c r="BT181" s="80"/>
      <c r="BU181" s="80"/>
      <c r="BV181" s="80"/>
      <c r="BW181" s="82"/>
      <c r="BX181" s="79"/>
      <c r="BY181" s="79"/>
      <c r="BZ181" s="79"/>
      <c r="CA181" s="79"/>
      <c r="CB181" s="79"/>
      <c r="CC181" s="82"/>
      <c r="CD181" s="82"/>
      <c r="CE181" s="82"/>
      <c r="CF181" s="82"/>
      <c r="CG181" s="82"/>
      <c r="CH181" s="82"/>
      <c r="CI181" s="82"/>
      <c r="CJ181" s="79"/>
      <c r="CK181" s="79"/>
      <c r="CL181" s="79"/>
      <c r="CM181" s="79"/>
      <c r="CN181" s="79"/>
      <c r="CO181" s="79"/>
    </row>
    <row r="182" spans="1:93">
      <c r="A182" s="98">
        <v>12</v>
      </c>
      <c r="B182" s="380" t="s">
        <v>1058</v>
      </c>
      <c r="C182" s="188" t="s">
        <v>1035</v>
      </c>
      <c r="D182" s="47" t="s">
        <v>1085</v>
      </c>
      <c r="E182" s="126"/>
      <c r="F182" s="154" t="s">
        <v>1091</v>
      </c>
      <c r="G182" s="191">
        <v>1</v>
      </c>
      <c r="H182" s="441"/>
      <c r="I182" s="170"/>
      <c r="J182" s="155"/>
      <c r="K182" s="156"/>
      <c r="L182" s="157"/>
      <c r="M182" s="157"/>
      <c r="N182" s="183"/>
      <c r="O182" s="191" t="s">
        <v>1068</v>
      </c>
      <c r="P182" s="145"/>
      <c r="Q182" s="141"/>
      <c r="R182" s="190"/>
      <c r="S182" s="83"/>
      <c r="T182" s="87"/>
      <c r="U182" s="87"/>
      <c r="V182" s="87"/>
      <c r="W182" s="44"/>
      <c r="X182" s="88"/>
      <c r="Y182" s="79"/>
      <c r="Z182" s="79"/>
      <c r="AA182" s="79"/>
      <c r="AB182" s="79"/>
      <c r="AC182" s="86"/>
      <c r="AD182" s="82"/>
      <c r="AE182" s="79"/>
      <c r="AF182" s="88"/>
      <c r="AG182" s="80"/>
      <c r="AH182" s="79"/>
      <c r="AI182" s="79"/>
      <c r="AJ182" s="79"/>
      <c r="AK182" s="80"/>
      <c r="AL182" s="80"/>
      <c r="AM182" s="80"/>
      <c r="AN182" s="79"/>
      <c r="AO182" s="80"/>
      <c r="AP182" s="80"/>
      <c r="AQ182" s="80"/>
      <c r="AR182" s="85"/>
      <c r="AS182" s="85"/>
      <c r="AT182" s="85"/>
      <c r="AU182" s="85"/>
      <c r="AV182" s="85"/>
      <c r="AW182" s="82"/>
      <c r="AX182" s="79"/>
      <c r="AY182" s="82"/>
      <c r="AZ182" s="82"/>
      <c r="BA182" s="86"/>
      <c r="BB182" s="79"/>
      <c r="BC182" s="79"/>
      <c r="BD182" s="79"/>
      <c r="BE182" s="82"/>
      <c r="BF182" s="85"/>
      <c r="BG182" s="79"/>
      <c r="BH182" s="79"/>
      <c r="BI182" s="79"/>
      <c r="BJ182" s="88"/>
      <c r="BK182" s="88"/>
      <c r="BL182" s="79"/>
      <c r="BM182" s="185"/>
      <c r="BN182" s="90"/>
      <c r="BO182" s="80"/>
      <c r="BP182" s="80"/>
      <c r="BQ182" s="80"/>
      <c r="BR182" s="80"/>
      <c r="BS182" s="80"/>
      <c r="BT182" s="80"/>
      <c r="BU182" s="80"/>
      <c r="BV182" s="80"/>
      <c r="BW182" s="82"/>
      <c r="BX182" s="79"/>
      <c r="BY182" s="79"/>
      <c r="BZ182" s="79"/>
      <c r="CA182" s="79"/>
      <c r="CB182" s="79"/>
      <c r="CC182" s="82"/>
      <c r="CD182" s="82"/>
      <c r="CE182" s="82"/>
      <c r="CF182" s="82"/>
      <c r="CG182" s="82"/>
      <c r="CH182" s="82"/>
      <c r="CI182" s="82"/>
      <c r="CJ182" s="79"/>
      <c r="CK182" s="79"/>
      <c r="CL182" s="79"/>
      <c r="CM182" s="79"/>
      <c r="CN182" s="79"/>
      <c r="CO182" s="79"/>
    </row>
    <row r="183" spans="1:93">
      <c r="A183" s="98">
        <v>13</v>
      </c>
      <c r="B183" s="380" t="s">
        <v>1059</v>
      </c>
      <c r="C183" s="188" t="s">
        <v>1060</v>
      </c>
      <c r="D183" s="47" t="s">
        <v>1086</v>
      </c>
      <c r="E183" s="126"/>
      <c r="F183" s="154" t="s">
        <v>1091</v>
      </c>
      <c r="G183" s="191"/>
      <c r="H183" s="441">
        <v>2</v>
      </c>
      <c r="I183" s="170"/>
      <c r="J183" s="155"/>
      <c r="K183" s="156"/>
      <c r="L183" s="157"/>
      <c r="M183" s="157"/>
      <c r="N183" s="183"/>
      <c r="O183" s="191" t="s">
        <v>1069</v>
      </c>
      <c r="P183" s="145"/>
      <c r="Q183" s="141"/>
      <c r="R183" s="190"/>
      <c r="S183" s="83"/>
      <c r="T183" s="87"/>
      <c r="U183" s="87"/>
      <c r="V183" s="87"/>
      <c r="W183" s="44"/>
      <c r="X183" s="88"/>
      <c r="Y183" s="79"/>
      <c r="Z183" s="79"/>
      <c r="AA183" s="79"/>
      <c r="AB183" s="79"/>
      <c r="AC183" s="86"/>
      <c r="AD183" s="82"/>
      <c r="AE183" s="79"/>
      <c r="AF183" s="88"/>
      <c r="AG183" s="80"/>
      <c r="AH183" s="79"/>
      <c r="AI183" s="79"/>
      <c r="AJ183" s="79"/>
      <c r="AK183" s="80"/>
      <c r="AL183" s="80"/>
      <c r="AM183" s="80"/>
      <c r="AN183" s="79"/>
      <c r="AO183" s="80"/>
      <c r="AP183" s="80"/>
      <c r="AQ183" s="80"/>
      <c r="AR183" s="85"/>
      <c r="AS183" s="85"/>
      <c r="AT183" s="85"/>
      <c r="AU183" s="85"/>
      <c r="AV183" s="85"/>
      <c r="AW183" s="82"/>
      <c r="AX183" s="79"/>
      <c r="AY183" s="82"/>
      <c r="AZ183" s="82"/>
      <c r="BA183" s="86"/>
      <c r="BB183" s="79"/>
      <c r="BC183" s="79"/>
      <c r="BD183" s="79"/>
      <c r="BE183" s="82"/>
      <c r="BF183" s="85"/>
      <c r="BG183" s="79"/>
      <c r="BH183" s="79"/>
      <c r="BI183" s="79"/>
      <c r="BJ183" s="88"/>
      <c r="BK183" s="88"/>
      <c r="BL183" s="79"/>
      <c r="BM183" s="185"/>
      <c r="BN183" s="90"/>
      <c r="BO183" s="80"/>
      <c r="BP183" s="80"/>
      <c r="BQ183" s="80"/>
      <c r="BR183" s="80"/>
      <c r="BS183" s="80"/>
      <c r="BT183" s="80"/>
      <c r="BU183" s="80"/>
      <c r="BV183" s="80"/>
      <c r="BW183" s="82"/>
      <c r="BX183" s="79"/>
      <c r="BY183" s="79"/>
      <c r="BZ183" s="79"/>
      <c r="CA183" s="79"/>
      <c r="CB183" s="79"/>
      <c r="CC183" s="82"/>
      <c r="CD183" s="82"/>
      <c r="CE183" s="82"/>
      <c r="CF183" s="82"/>
      <c r="CG183" s="82"/>
      <c r="CH183" s="82"/>
      <c r="CI183" s="82"/>
      <c r="CJ183" s="79"/>
      <c r="CK183" s="79"/>
      <c r="CL183" s="79"/>
      <c r="CM183" s="79"/>
      <c r="CN183" s="79"/>
      <c r="CO183" s="79"/>
    </row>
    <row r="184" spans="1:93">
      <c r="A184" s="98">
        <v>14</v>
      </c>
      <c r="B184" s="380" t="s">
        <v>1063</v>
      </c>
      <c r="C184" s="188" t="s">
        <v>1044</v>
      </c>
      <c r="D184" s="47" t="s">
        <v>1087</v>
      </c>
      <c r="E184" s="126"/>
      <c r="F184" s="154" t="s">
        <v>1091</v>
      </c>
      <c r="G184" s="191">
        <v>3</v>
      </c>
      <c r="H184" s="441"/>
      <c r="I184" s="170"/>
      <c r="J184" s="155"/>
      <c r="K184" s="156"/>
      <c r="L184" s="157"/>
      <c r="M184" s="157"/>
      <c r="N184" s="183"/>
      <c r="O184" s="191" t="s">
        <v>1072</v>
      </c>
      <c r="P184" s="145"/>
      <c r="Q184" s="141"/>
      <c r="R184" s="190"/>
      <c r="S184" s="83"/>
      <c r="T184" s="87"/>
      <c r="U184" s="87"/>
      <c r="V184" s="87"/>
      <c r="W184" s="44"/>
      <c r="X184" s="88"/>
      <c r="Y184" s="79"/>
      <c r="Z184" s="79"/>
      <c r="AA184" s="79"/>
      <c r="AB184" s="79"/>
      <c r="AC184" s="86"/>
      <c r="AD184" s="82"/>
      <c r="AE184" s="79"/>
      <c r="AF184" s="88"/>
      <c r="AG184" s="80"/>
      <c r="AH184" s="79"/>
      <c r="AI184" s="79"/>
      <c r="AJ184" s="79"/>
      <c r="AK184" s="80"/>
      <c r="AL184" s="80"/>
      <c r="AM184" s="80"/>
      <c r="AN184" s="79"/>
      <c r="AO184" s="80"/>
      <c r="AP184" s="80"/>
      <c r="AQ184" s="80"/>
      <c r="AR184" s="85"/>
      <c r="AS184" s="85"/>
      <c r="AT184" s="85"/>
      <c r="AU184" s="85"/>
      <c r="AV184" s="85"/>
      <c r="AW184" s="82"/>
      <c r="AX184" s="79"/>
      <c r="AY184" s="82"/>
      <c r="AZ184" s="82"/>
      <c r="BA184" s="86"/>
      <c r="BB184" s="79"/>
      <c r="BC184" s="79"/>
      <c r="BD184" s="79"/>
      <c r="BE184" s="82"/>
      <c r="BF184" s="85"/>
      <c r="BG184" s="79"/>
      <c r="BH184" s="79"/>
      <c r="BI184" s="79"/>
      <c r="BJ184" s="88"/>
      <c r="BK184" s="88"/>
      <c r="BL184" s="79"/>
      <c r="BM184" s="185"/>
      <c r="BN184" s="90"/>
      <c r="BO184" s="80"/>
      <c r="BP184" s="80"/>
      <c r="BQ184" s="80"/>
      <c r="BR184" s="80"/>
      <c r="BS184" s="80"/>
      <c r="BT184" s="80"/>
      <c r="BU184" s="80"/>
      <c r="BV184" s="80"/>
      <c r="BW184" s="82"/>
      <c r="BX184" s="79"/>
      <c r="BY184" s="79"/>
      <c r="BZ184" s="79"/>
      <c r="CA184" s="79"/>
      <c r="CB184" s="79"/>
      <c r="CC184" s="82"/>
      <c r="CD184" s="82"/>
      <c r="CE184" s="82"/>
      <c r="CF184" s="82"/>
      <c r="CG184" s="82"/>
      <c r="CH184" s="82"/>
      <c r="CI184" s="82"/>
      <c r="CJ184" s="79"/>
      <c r="CK184" s="79"/>
      <c r="CL184" s="79"/>
      <c r="CM184" s="79"/>
      <c r="CN184" s="79"/>
      <c r="CO184" s="79"/>
    </row>
    <row r="185" spans="1:93">
      <c r="A185" s="98">
        <v>15</v>
      </c>
      <c r="B185" s="380" t="s">
        <v>1064</v>
      </c>
      <c r="C185" s="188" t="s">
        <v>1044</v>
      </c>
      <c r="D185" s="47" t="s">
        <v>1088</v>
      </c>
      <c r="E185" s="126"/>
      <c r="F185" s="154" t="s">
        <v>1091</v>
      </c>
      <c r="G185" s="191">
        <v>2</v>
      </c>
      <c r="H185" s="441"/>
      <c r="I185" s="170"/>
      <c r="J185" s="155"/>
      <c r="K185" s="156"/>
      <c r="L185" s="157"/>
      <c r="M185" s="157"/>
      <c r="N185" s="183"/>
      <c r="O185" s="191" t="s">
        <v>1073</v>
      </c>
      <c r="P185" s="145"/>
      <c r="Q185" s="141"/>
      <c r="R185" s="190"/>
      <c r="S185" s="83"/>
      <c r="T185" s="87"/>
      <c r="U185" s="87"/>
      <c r="V185" s="87"/>
      <c r="W185" s="44"/>
      <c r="X185" s="88"/>
      <c r="Y185" s="79"/>
      <c r="Z185" s="79"/>
      <c r="AA185" s="79"/>
      <c r="AB185" s="79"/>
      <c r="AC185" s="86"/>
      <c r="AD185" s="82"/>
      <c r="AE185" s="79"/>
      <c r="AF185" s="88"/>
      <c r="AG185" s="80"/>
      <c r="AH185" s="79"/>
      <c r="AI185" s="79"/>
      <c r="AJ185" s="79"/>
      <c r="AK185" s="80"/>
      <c r="AL185" s="80"/>
      <c r="AM185" s="80"/>
      <c r="AN185" s="79"/>
      <c r="AO185" s="80"/>
      <c r="AP185" s="80"/>
      <c r="AQ185" s="80"/>
      <c r="AR185" s="85"/>
      <c r="AS185" s="85"/>
      <c r="AT185" s="85"/>
      <c r="AU185" s="85"/>
      <c r="AV185" s="85"/>
      <c r="AW185" s="82"/>
      <c r="AX185" s="79"/>
      <c r="AY185" s="82"/>
      <c r="AZ185" s="82"/>
      <c r="BA185" s="86"/>
      <c r="BB185" s="79"/>
      <c r="BC185" s="79"/>
      <c r="BD185" s="79"/>
      <c r="BE185" s="82"/>
      <c r="BF185" s="85"/>
      <c r="BG185" s="79"/>
      <c r="BH185" s="79"/>
      <c r="BI185" s="79"/>
      <c r="BJ185" s="88"/>
      <c r="BK185" s="88"/>
      <c r="BL185" s="79"/>
      <c r="BM185" s="185"/>
      <c r="BN185" s="90"/>
      <c r="BO185" s="80"/>
      <c r="BP185" s="80"/>
      <c r="BQ185" s="80"/>
      <c r="BR185" s="80"/>
      <c r="BS185" s="80"/>
      <c r="BT185" s="80"/>
      <c r="BU185" s="80"/>
      <c r="BV185" s="80"/>
      <c r="BW185" s="82"/>
      <c r="BX185" s="79"/>
      <c r="BY185" s="79"/>
      <c r="BZ185" s="79"/>
      <c r="CA185" s="79"/>
      <c r="CB185" s="79"/>
      <c r="CC185" s="82"/>
      <c r="CD185" s="82"/>
      <c r="CE185" s="82"/>
      <c r="CF185" s="82"/>
      <c r="CG185" s="82"/>
      <c r="CH185" s="82"/>
      <c r="CI185" s="82"/>
      <c r="CJ185" s="79"/>
      <c r="CK185" s="79"/>
      <c r="CL185" s="79"/>
      <c r="CM185" s="79"/>
      <c r="CN185" s="79"/>
      <c r="CO185" s="79"/>
    </row>
    <row r="186" spans="1:93">
      <c r="A186" s="98">
        <v>16</v>
      </c>
      <c r="B186" s="380" t="s">
        <v>1065</v>
      </c>
      <c r="C186" s="188" t="s">
        <v>1044</v>
      </c>
      <c r="D186" s="47" t="s">
        <v>1089</v>
      </c>
      <c r="E186" s="126"/>
      <c r="F186" s="154" t="s">
        <v>1091</v>
      </c>
      <c r="G186" s="191">
        <v>2</v>
      </c>
      <c r="H186" s="441"/>
      <c r="I186" s="170"/>
      <c r="J186" s="155"/>
      <c r="K186" s="156"/>
      <c r="L186" s="157"/>
      <c r="M186" s="157"/>
      <c r="N186" s="183"/>
      <c r="O186" s="191" t="s">
        <v>1074</v>
      </c>
      <c r="P186" s="145"/>
      <c r="Q186" s="141"/>
      <c r="R186" s="190"/>
      <c r="S186" s="83"/>
      <c r="T186" s="87"/>
      <c r="U186" s="87"/>
      <c r="V186" s="87"/>
      <c r="W186" s="44"/>
      <c r="X186" s="88"/>
      <c r="Y186" s="79"/>
      <c r="Z186" s="79"/>
      <c r="AA186" s="79"/>
      <c r="AB186" s="79"/>
      <c r="AC186" s="86"/>
      <c r="AD186" s="82"/>
      <c r="AE186" s="79"/>
      <c r="AF186" s="88"/>
      <c r="AG186" s="80"/>
      <c r="AH186" s="79"/>
      <c r="AI186" s="79"/>
      <c r="AJ186" s="79"/>
      <c r="AK186" s="80"/>
      <c r="AL186" s="80"/>
      <c r="AM186" s="80"/>
      <c r="AN186" s="79"/>
      <c r="AO186" s="80"/>
      <c r="AP186" s="80"/>
      <c r="AQ186" s="80"/>
      <c r="AR186" s="85"/>
      <c r="AS186" s="85"/>
      <c r="AT186" s="85"/>
      <c r="AU186" s="85"/>
      <c r="AV186" s="85"/>
      <c r="AW186" s="82"/>
      <c r="AX186" s="79"/>
      <c r="AY186" s="82"/>
      <c r="AZ186" s="82"/>
      <c r="BA186" s="86"/>
      <c r="BB186" s="79"/>
      <c r="BC186" s="79"/>
      <c r="BD186" s="79"/>
      <c r="BE186" s="82"/>
      <c r="BF186" s="85"/>
      <c r="BG186" s="79"/>
      <c r="BH186" s="79"/>
      <c r="BI186" s="79"/>
      <c r="BJ186" s="88"/>
      <c r="BK186" s="88"/>
      <c r="BL186" s="79"/>
      <c r="BM186" s="185"/>
      <c r="BN186" s="90"/>
      <c r="BO186" s="80"/>
      <c r="BP186" s="80"/>
      <c r="BQ186" s="80"/>
      <c r="BR186" s="80"/>
      <c r="BS186" s="80"/>
      <c r="BT186" s="80"/>
      <c r="BU186" s="80"/>
      <c r="BV186" s="80"/>
      <c r="BW186" s="82"/>
      <c r="BX186" s="79"/>
      <c r="BY186" s="79"/>
      <c r="BZ186" s="79"/>
      <c r="CA186" s="79"/>
      <c r="CB186" s="79"/>
      <c r="CC186" s="82"/>
      <c r="CD186" s="82"/>
      <c r="CE186" s="82"/>
      <c r="CF186" s="82"/>
      <c r="CG186" s="82"/>
      <c r="CH186" s="82"/>
      <c r="CI186" s="82"/>
      <c r="CJ186" s="79"/>
      <c r="CK186" s="79"/>
      <c r="CL186" s="79"/>
      <c r="CM186" s="79"/>
      <c r="CN186" s="79"/>
      <c r="CO186" s="79"/>
    </row>
    <row r="187" spans="1:93">
      <c r="A187" s="98"/>
      <c r="B187" s="380" t="s">
        <v>1117</v>
      </c>
      <c r="C187" s="188" t="s">
        <v>1093</v>
      </c>
      <c r="D187" s="47" t="s">
        <v>1134</v>
      </c>
      <c r="E187" s="126"/>
      <c r="F187" s="154"/>
      <c r="G187" s="167"/>
      <c r="H187" s="167">
        <v>2</v>
      </c>
      <c r="I187" s="170"/>
      <c r="J187" s="155"/>
      <c r="K187" s="156"/>
      <c r="L187" s="157"/>
      <c r="M187" s="157"/>
      <c r="N187" s="183"/>
      <c r="O187" s="177" t="s">
        <v>1151</v>
      </c>
      <c r="P187" s="145"/>
      <c r="Q187" s="141"/>
      <c r="R187" s="190"/>
      <c r="S187" s="83"/>
      <c r="T187" s="87"/>
      <c r="U187" s="87"/>
      <c r="V187" s="87"/>
      <c r="W187" s="44"/>
      <c r="X187" s="88"/>
      <c r="Y187" s="79"/>
      <c r="Z187" s="79"/>
      <c r="AA187" s="79"/>
      <c r="AB187" s="79"/>
      <c r="AC187" s="86"/>
      <c r="AD187" s="82"/>
      <c r="AE187" s="79"/>
      <c r="AF187" s="88"/>
      <c r="AG187" s="80"/>
      <c r="AH187" s="79"/>
      <c r="AI187" s="79"/>
      <c r="AJ187" s="79"/>
      <c r="AK187" s="80"/>
      <c r="AL187" s="80"/>
      <c r="AM187" s="80"/>
      <c r="AN187" s="79"/>
      <c r="AO187" s="80"/>
      <c r="AP187" s="80"/>
      <c r="AQ187" s="80"/>
      <c r="AR187" s="85"/>
      <c r="AS187" s="85"/>
      <c r="AT187" s="85"/>
      <c r="AU187" s="85"/>
      <c r="AV187" s="85"/>
      <c r="AW187" s="82"/>
      <c r="AX187" s="79"/>
      <c r="AY187" s="82"/>
      <c r="AZ187" s="82"/>
      <c r="BA187" s="86"/>
      <c r="BB187" s="79"/>
      <c r="BC187" s="79"/>
      <c r="BD187" s="79"/>
      <c r="BE187" s="82"/>
      <c r="BF187" s="85"/>
      <c r="BG187" s="79"/>
      <c r="BH187" s="79"/>
      <c r="BI187" s="79"/>
      <c r="BJ187" s="88"/>
      <c r="BK187" s="88"/>
      <c r="BL187" s="79"/>
      <c r="BM187" s="185"/>
      <c r="BN187" s="90"/>
      <c r="BO187" s="80"/>
      <c r="BP187" s="80"/>
      <c r="BQ187" s="80"/>
      <c r="BR187" s="80"/>
      <c r="BS187" s="80"/>
      <c r="BT187" s="80"/>
      <c r="BU187" s="80"/>
      <c r="BV187" s="80"/>
      <c r="BW187" s="82"/>
      <c r="BX187" s="79"/>
      <c r="BY187" s="79"/>
      <c r="BZ187" s="79"/>
      <c r="CA187" s="79"/>
      <c r="CB187" s="79"/>
      <c r="CC187" s="82"/>
      <c r="CD187" s="82"/>
      <c r="CE187" s="82"/>
      <c r="CF187" s="82"/>
      <c r="CG187" s="82"/>
      <c r="CH187" s="82"/>
      <c r="CI187" s="82"/>
      <c r="CJ187" s="79"/>
      <c r="CK187" s="79"/>
      <c r="CL187" s="79"/>
      <c r="CM187" s="79"/>
      <c r="CN187" s="79"/>
      <c r="CO187" s="79"/>
    </row>
    <row r="188" spans="1:93">
      <c r="A188" s="98"/>
      <c r="B188" s="380" t="s">
        <v>1171</v>
      </c>
      <c r="C188" s="188" t="s">
        <v>1169</v>
      </c>
      <c r="D188" s="47" t="s">
        <v>1167</v>
      </c>
      <c r="E188" s="126" t="s">
        <v>1170</v>
      </c>
      <c r="F188" s="154"/>
      <c r="G188" s="167"/>
      <c r="H188" s="167">
        <v>1</v>
      </c>
      <c r="I188" s="170"/>
      <c r="J188" s="155"/>
      <c r="K188" s="156"/>
      <c r="L188" s="157"/>
      <c r="M188" s="157"/>
      <c r="N188" s="183"/>
      <c r="O188" s="177" t="s">
        <v>1168</v>
      </c>
      <c r="P188" s="145"/>
      <c r="Q188" s="141"/>
      <c r="R188" s="190"/>
      <c r="S188" s="83"/>
      <c r="T188" s="87"/>
      <c r="U188" s="87"/>
      <c r="V188" s="87"/>
      <c r="W188" s="44"/>
      <c r="X188" s="88"/>
      <c r="Y188" s="79"/>
      <c r="Z188" s="79"/>
      <c r="AA188" s="79"/>
      <c r="AB188" s="79"/>
      <c r="AC188" s="86"/>
      <c r="AD188" s="82"/>
      <c r="AE188" s="79"/>
      <c r="AF188" s="88"/>
      <c r="AG188" s="80"/>
      <c r="AH188" s="79"/>
      <c r="AI188" s="79"/>
      <c r="AJ188" s="79"/>
      <c r="AK188" s="80"/>
      <c r="AL188" s="80"/>
      <c r="AM188" s="80"/>
      <c r="AN188" s="79"/>
      <c r="AO188" s="80"/>
      <c r="AP188" s="80"/>
      <c r="AQ188" s="80"/>
      <c r="AR188" s="85"/>
      <c r="AS188" s="85"/>
      <c r="AT188" s="85"/>
      <c r="AU188" s="85"/>
      <c r="AV188" s="85"/>
      <c r="AW188" s="82"/>
      <c r="AX188" s="79"/>
      <c r="AY188" s="82"/>
      <c r="AZ188" s="82"/>
      <c r="BA188" s="86"/>
      <c r="BB188" s="79"/>
      <c r="BC188" s="79"/>
      <c r="BD188" s="79"/>
      <c r="BE188" s="82"/>
      <c r="BF188" s="85"/>
      <c r="BG188" s="79"/>
      <c r="BH188" s="79"/>
      <c r="BI188" s="79"/>
      <c r="BJ188" s="88"/>
      <c r="BK188" s="88"/>
      <c r="BL188" s="79"/>
      <c r="BM188" s="185"/>
      <c r="BN188" s="90"/>
      <c r="BO188" s="80"/>
      <c r="BP188" s="80"/>
      <c r="BQ188" s="80"/>
      <c r="BR188" s="80"/>
      <c r="BS188" s="80"/>
      <c r="BT188" s="80"/>
      <c r="BU188" s="80"/>
      <c r="BV188" s="80"/>
      <c r="BW188" s="82"/>
      <c r="BX188" s="79"/>
      <c r="BY188" s="79"/>
      <c r="BZ188" s="79"/>
      <c r="CA188" s="79"/>
      <c r="CB188" s="79"/>
      <c r="CC188" s="82"/>
      <c r="CD188" s="82"/>
      <c r="CE188" s="82"/>
      <c r="CF188" s="82"/>
      <c r="CG188" s="82"/>
      <c r="CH188" s="82"/>
      <c r="CI188" s="82"/>
      <c r="CJ188" s="79"/>
      <c r="CK188" s="79"/>
      <c r="CL188" s="79"/>
      <c r="CM188" s="79"/>
      <c r="CN188" s="79"/>
      <c r="CO188" s="79"/>
    </row>
    <row r="189" spans="1:93">
      <c r="A189" s="98"/>
      <c r="B189" s="178" t="s">
        <v>1116</v>
      </c>
      <c r="C189" s="188" t="s">
        <v>1133</v>
      </c>
      <c r="D189" s="47" t="s">
        <v>1135</v>
      </c>
      <c r="E189" s="126"/>
      <c r="F189" s="154"/>
      <c r="G189" s="167">
        <v>1</v>
      </c>
      <c r="H189" s="167"/>
      <c r="I189" s="170"/>
      <c r="J189" s="155"/>
      <c r="K189" s="156"/>
      <c r="L189" s="157"/>
      <c r="M189" s="157"/>
      <c r="N189" s="183"/>
      <c r="O189" s="177" t="s">
        <v>1152</v>
      </c>
      <c r="P189" s="145"/>
      <c r="Q189" s="141"/>
      <c r="R189" s="190"/>
      <c r="S189" s="83"/>
      <c r="T189" s="87"/>
      <c r="U189" s="87"/>
      <c r="V189" s="87"/>
      <c r="W189" s="44"/>
      <c r="X189" s="88"/>
      <c r="Y189" s="79"/>
      <c r="Z189" s="79"/>
      <c r="AA189" s="79"/>
      <c r="AB189" s="79"/>
      <c r="AC189" s="86"/>
      <c r="AD189" s="82"/>
      <c r="AE189" s="79"/>
      <c r="AF189" s="88"/>
      <c r="AG189" s="80"/>
      <c r="AH189" s="79"/>
      <c r="AI189" s="79"/>
      <c r="AJ189" s="79"/>
      <c r="AK189" s="80"/>
      <c r="AL189" s="80"/>
      <c r="AM189" s="80"/>
      <c r="AN189" s="79"/>
      <c r="AO189" s="80"/>
      <c r="AP189" s="80"/>
      <c r="AQ189" s="80"/>
      <c r="AR189" s="85"/>
      <c r="AS189" s="85"/>
      <c r="AT189" s="85"/>
      <c r="AU189" s="85"/>
      <c r="AV189" s="85"/>
      <c r="AW189" s="82"/>
      <c r="AX189" s="79"/>
      <c r="AY189" s="82"/>
      <c r="AZ189" s="82"/>
      <c r="BA189" s="86"/>
      <c r="BB189" s="79"/>
      <c r="BC189" s="79"/>
      <c r="BD189" s="79"/>
      <c r="BE189" s="82"/>
      <c r="BF189" s="85"/>
      <c r="BG189" s="79"/>
      <c r="BH189" s="79"/>
      <c r="BI189" s="79"/>
      <c r="BJ189" s="88"/>
      <c r="BK189" s="88"/>
      <c r="BL189" s="79"/>
      <c r="BM189" s="185"/>
      <c r="BN189" s="90"/>
      <c r="BO189" s="80"/>
      <c r="BP189" s="80"/>
      <c r="BQ189" s="80"/>
      <c r="BR189" s="80"/>
      <c r="BS189" s="80"/>
      <c r="BT189" s="80"/>
      <c r="BU189" s="80"/>
      <c r="BV189" s="80"/>
      <c r="BW189" s="82"/>
      <c r="BX189" s="79"/>
      <c r="BY189" s="79"/>
      <c r="BZ189" s="79"/>
      <c r="CA189" s="79"/>
      <c r="CB189" s="79"/>
      <c r="CC189" s="82"/>
      <c r="CD189" s="82"/>
      <c r="CE189" s="82"/>
      <c r="CF189" s="82"/>
      <c r="CG189" s="82"/>
      <c r="CH189" s="82"/>
      <c r="CI189" s="82"/>
      <c r="CJ189" s="79"/>
      <c r="CK189" s="79"/>
      <c r="CL189" s="79"/>
      <c r="CM189" s="79"/>
      <c r="CN189" s="79"/>
      <c r="CO189" s="79"/>
    </row>
    <row r="190" spans="1:93">
      <c r="A190" s="98"/>
      <c r="B190" s="178" t="s">
        <v>1118</v>
      </c>
      <c r="C190" s="188" t="s">
        <v>1093</v>
      </c>
      <c r="D190" s="47" t="s">
        <v>1136</v>
      </c>
      <c r="E190" s="126"/>
      <c r="F190" s="154"/>
      <c r="G190" s="167">
        <v>1</v>
      </c>
      <c r="H190" s="167"/>
      <c r="I190" s="170"/>
      <c r="J190" s="155"/>
      <c r="K190" s="156"/>
      <c r="L190" s="157"/>
      <c r="M190" s="157"/>
      <c r="N190" s="183"/>
      <c r="O190" s="177" t="s">
        <v>1153</v>
      </c>
      <c r="P190" s="145"/>
      <c r="Q190" s="141"/>
      <c r="R190" s="190"/>
      <c r="S190" s="83"/>
      <c r="T190" s="87"/>
      <c r="U190" s="87"/>
      <c r="V190" s="87"/>
      <c r="W190" s="44"/>
      <c r="X190" s="88"/>
      <c r="Y190" s="79"/>
      <c r="Z190" s="79"/>
      <c r="AA190" s="79"/>
      <c r="AB190" s="79"/>
      <c r="AC190" s="86"/>
      <c r="AD190" s="82"/>
      <c r="AE190" s="79"/>
      <c r="AF190" s="88"/>
      <c r="AG190" s="80"/>
      <c r="AH190" s="79"/>
      <c r="AI190" s="79"/>
      <c r="AJ190" s="79"/>
      <c r="AK190" s="80"/>
      <c r="AL190" s="80"/>
      <c r="AM190" s="80"/>
      <c r="AN190" s="79"/>
      <c r="AO190" s="80"/>
      <c r="AP190" s="80"/>
      <c r="AQ190" s="80"/>
      <c r="AR190" s="85"/>
      <c r="AS190" s="85"/>
      <c r="AT190" s="85"/>
      <c r="AU190" s="85"/>
      <c r="AV190" s="85"/>
      <c r="AW190" s="82"/>
      <c r="AX190" s="79"/>
      <c r="AY190" s="82"/>
      <c r="AZ190" s="82"/>
      <c r="BA190" s="86"/>
      <c r="BB190" s="79"/>
      <c r="BC190" s="79"/>
      <c r="BD190" s="79"/>
      <c r="BE190" s="82"/>
      <c r="BF190" s="85"/>
      <c r="BG190" s="79"/>
      <c r="BH190" s="79"/>
      <c r="BI190" s="79"/>
      <c r="BJ190" s="88"/>
      <c r="BK190" s="88"/>
      <c r="BL190" s="79"/>
      <c r="BM190" s="185"/>
      <c r="BN190" s="90"/>
      <c r="BO190" s="80"/>
      <c r="BP190" s="80"/>
      <c r="BQ190" s="80"/>
      <c r="BR190" s="80"/>
      <c r="BS190" s="80"/>
      <c r="BT190" s="80"/>
      <c r="BU190" s="80"/>
      <c r="BV190" s="80"/>
      <c r="BW190" s="82"/>
      <c r="BX190" s="79"/>
      <c r="BY190" s="79"/>
      <c r="BZ190" s="79"/>
      <c r="CA190" s="79"/>
      <c r="CB190" s="79"/>
      <c r="CC190" s="82"/>
      <c r="CD190" s="82"/>
      <c r="CE190" s="82"/>
      <c r="CF190" s="82"/>
      <c r="CG190" s="82"/>
      <c r="CH190" s="82"/>
      <c r="CI190" s="82"/>
      <c r="CJ190" s="79"/>
      <c r="CK190" s="79"/>
      <c r="CL190" s="79"/>
      <c r="CM190" s="79"/>
      <c r="CN190" s="79"/>
      <c r="CO190" s="79"/>
    </row>
    <row r="191" spans="1:93">
      <c r="A191" s="98"/>
      <c r="B191" s="178" t="s">
        <v>1119</v>
      </c>
      <c r="C191" s="188" t="s">
        <v>1093</v>
      </c>
      <c r="D191" s="47" t="s">
        <v>1137</v>
      </c>
      <c r="E191" s="126"/>
      <c r="F191" s="154"/>
      <c r="G191" s="167"/>
      <c r="H191" s="167">
        <v>1</v>
      </c>
      <c r="I191" s="170"/>
      <c r="J191" s="155"/>
      <c r="K191" s="156"/>
      <c r="L191" s="157"/>
      <c r="M191" s="157"/>
      <c r="N191" s="183"/>
      <c r="O191" s="177" t="s">
        <v>1154</v>
      </c>
      <c r="P191" s="145"/>
      <c r="Q191" s="141"/>
      <c r="R191" s="190"/>
      <c r="S191" s="83"/>
      <c r="T191" s="87"/>
      <c r="U191" s="87"/>
      <c r="V191" s="87"/>
      <c r="W191" s="44"/>
      <c r="X191" s="88"/>
      <c r="Y191" s="79"/>
      <c r="Z191" s="79"/>
      <c r="AA191" s="79"/>
      <c r="AB191" s="79"/>
      <c r="AC191" s="86"/>
      <c r="AD191" s="82"/>
      <c r="AE191" s="79"/>
      <c r="AF191" s="88"/>
      <c r="AG191" s="80"/>
      <c r="AH191" s="79"/>
      <c r="AI191" s="79"/>
      <c r="AJ191" s="79"/>
      <c r="AK191" s="80"/>
      <c r="AL191" s="80"/>
      <c r="AM191" s="80"/>
      <c r="AN191" s="79"/>
      <c r="AO191" s="80"/>
      <c r="AP191" s="80"/>
      <c r="AQ191" s="80"/>
      <c r="AR191" s="85"/>
      <c r="AS191" s="85"/>
      <c r="AT191" s="85"/>
      <c r="AU191" s="85"/>
      <c r="AV191" s="85"/>
      <c r="AW191" s="82"/>
      <c r="AX191" s="79"/>
      <c r="AY191" s="82"/>
      <c r="AZ191" s="82"/>
      <c r="BA191" s="86"/>
      <c r="BB191" s="79"/>
      <c r="BC191" s="79"/>
      <c r="BD191" s="79"/>
      <c r="BE191" s="82"/>
      <c r="BF191" s="85"/>
      <c r="BG191" s="79"/>
      <c r="BH191" s="79"/>
      <c r="BI191" s="79"/>
      <c r="BJ191" s="88"/>
      <c r="BK191" s="88"/>
      <c r="BL191" s="79"/>
      <c r="BM191" s="185"/>
      <c r="BN191" s="90"/>
      <c r="BO191" s="80"/>
      <c r="BP191" s="80"/>
      <c r="BQ191" s="80"/>
      <c r="BR191" s="80"/>
      <c r="BS191" s="80"/>
      <c r="BT191" s="80"/>
      <c r="BU191" s="80"/>
      <c r="BV191" s="80"/>
      <c r="BW191" s="82"/>
      <c r="BX191" s="79"/>
      <c r="BY191" s="79"/>
      <c r="BZ191" s="79"/>
      <c r="CA191" s="79"/>
      <c r="CB191" s="79"/>
      <c r="CC191" s="82"/>
      <c r="CD191" s="82"/>
      <c r="CE191" s="82"/>
      <c r="CF191" s="82"/>
      <c r="CG191" s="82"/>
      <c r="CH191" s="82"/>
      <c r="CI191" s="82"/>
      <c r="CJ191" s="79"/>
      <c r="CK191" s="79"/>
      <c r="CL191" s="79"/>
      <c r="CM191" s="79"/>
      <c r="CN191" s="79"/>
      <c r="CO191" s="79"/>
    </row>
    <row r="192" spans="1:93">
      <c r="A192" s="98"/>
      <c r="B192" s="178" t="s">
        <v>1120</v>
      </c>
      <c r="C192" s="188" t="s">
        <v>1093</v>
      </c>
      <c r="D192" s="47" t="s">
        <v>1138</v>
      </c>
      <c r="E192" s="126"/>
      <c r="F192" s="154"/>
      <c r="G192" s="167"/>
      <c r="H192" s="167">
        <v>1</v>
      </c>
      <c r="I192" s="170"/>
      <c r="J192" s="155"/>
      <c r="K192" s="156"/>
      <c r="L192" s="157"/>
      <c r="M192" s="157"/>
      <c r="N192" s="183"/>
      <c r="O192" s="177" t="s">
        <v>1155</v>
      </c>
      <c r="P192" s="145"/>
      <c r="Q192" s="141"/>
      <c r="R192" s="190"/>
      <c r="S192" s="83"/>
      <c r="T192" s="87"/>
      <c r="U192" s="87"/>
      <c r="V192" s="87"/>
      <c r="W192" s="44"/>
      <c r="X192" s="88"/>
      <c r="Y192" s="79"/>
      <c r="Z192" s="79"/>
      <c r="AA192" s="79"/>
      <c r="AB192" s="79"/>
      <c r="AC192" s="86"/>
      <c r="AD192" s="82"/>
      <c r="AE192" s="79"/>
      <c r="AF192" s="88"/>
      <c r="AG192" s="80"/>
      <c r="AH192" s="79"/>
      <c r="AI192" s="79"/>
      <c r="AJ192" s="79"/>
      <c r="AK192" s="80"/>
      <c r="AL192" s="80"/>
      <c r="AM192" s="80"/>
      <c r="AN192" s="79"/>
      <c r="AO192" s="80"/>
      <c r="AP192" s="80"/>
      <c r="AQ192" s="80"/>
      <c r="AR192" s="85"/>
      <c r="AS192" s="85"/>
      <c r="AT192" s="85"/>
      <c r="AU192" s="85"/>
      <c r="AV192" s="85"/>
      <c r="AW192" s="82"/>
      <c r="AX192" s="79"/>
      <c r="AY192" s="82"/>
      <c r="AZ192" s="82"/>
      <c r="BA192" s="86"/>
      <c r="BB192" s="79"/>
      <c r="BC192" s="79"/>
      <c r="BD192" s="79"/>
      <c r="BE192" s="82"/>
      <c r="BF192" s="85"/>
      <c r="BG192" s="79"/>
      <c r="BH192" s="79"/>
      <c r="BI192" s="79"/>
      <c r="BJ192" s="88"/>
      <c r="BK192" s="88"/>
      <c r="BL192" s="79"/>
      <c r="BM192" s="185"/>
      <c r="BN192" s="90"/>
      <c r="BO192" s="80"/>
      <c r="BP192" s="80"/>
      <c r="BQ192" s="80"/>
      <c r="BR192" s="80"/>
      <c r="BS192" s="80"/>
      <c r="BT192" s="80"/>
      <c r="BU192" s="80"/>
      <c r="BV192" s="80"/>
      <c r="BW192" s="82"/>
      <c r="BX192" s="79"/>
      <c r="BY192" s="79"/>
      <c r="BZ192" s="79"/>
      <c r="CA192" s="79"/>
      <c r="CB192" s="79"/>
      <c r="CC192" s="82"/>
      <c r="CD192" s="82"/>
      <c r="CE192" s="82"/>
      <c r="CF192" s="82"/>
      <c r="CG192" s="82"/>
      <c r="CH192" s="82"/>
      <c r="CI192" s="82"/>
      <c r="CJ192" s="79"/>
      <c r="CK192" s="79"/>
      <c r="CL192" s="79"/>
      <c r="CM192" s="79"/>
      <c r="CN192" s="79"/>
      <c r="CO192" s="79"/>
    </row>
    <row r="193" spans="1:93">
      <c r="A193" s="98"/>
      <c r="B193" s="178" t="s">
        <v>1121</v>
      </c>
      <c r="C193" s="188" t="s">
        <v>1093</v>
      </c>
      <c r="D193" s="47" t="s">
        <v>1139</v>
      </c>
      <c r="E193" s="126"/>
      <c r="F193" s="154"/>
      <c r="G193" s="167"/>
      <c r="H193" s="167">
        <v>1</v>
      </c>
      <c r="I193" s="170"/>
      <c r="J193" s="155"/>
      <c r="K193" s="156"/>
      <c r="L193" s="157"/>
      <c r="M193" s="157"/>
      <c r="N193" s="183"/>
      <c r="O193" s="177">
        <v>2719211670</v>
      </c>
      <c r="P193" s="145"/>
      <c r="Q193" s="141"/>
      <c r="R193" s="190"/>
      <c r="S193" s="83"/>
      <c r="T193" s="87"/>
      <c r="U193" s="87"/>
      <c r="V193" s="87"/>
      <c r="W193" s="44"/>
      <c r="X193" s="88"/>
      <c r="Y193" s="79"/>
      <c r="Z193" s="79"/>
      <c r="AA193" s="79"/>
      <c r="AB193" s="79"/>
      <c r="AC193" s="86"/>
      <c r="AD193" s="82"/>
      <c r="AE193" s="79"/>
      <c r="AF193" s="88"/>
      <c r="AG193" s="80"/>
      <c r="AH193" s="79"/>
      <c r="AI193" s="79"/>
      <c r="AJ193" s="79"/>
      <c r="AK193" s="80"/>
      <c r="AL193" s="80"/>
      <c r="AM193" s="80"/>
      <c r="AN193" s="79"/>
      <c r="AO193" s="80"/>
      <c r="AP193" s="80"/>
      <c r="AQ193" s="80"/>
      <c r="AR193" s="85"/>
      <c r="AS193" s="85"/>
      <c r="AT193" s="85"/>
      <c r="AU193" s="85"/>
      <c r="AV193" s="85"/>
      <c r="AW193" s="82"/>
      <c r="AX193" s="79"/>
      <c r="AY193" s="82"/>
      <c r="AZ193" s="82"/>
      <c r="BA193" s="86"/>
      <c r="BB193" s="79"/>
      <c r="BC193" s="79"/>
      <c r="BD193" s="79"/>
      <c r="BE193" s="82"/>
      <c r="BF193" s="85"/>
      <c r="BG193" s="79"/>
      <c r="BH193" s="79"/>
      <c r="BI193" s="79"/>
      <c r="BJ193" s="88"/>
      <c r="BK193" s="88"/>
      <c r="BL193" s="79"/>
      <c r="BM193" s="185"/>
      <c r="BN193" s="90"/>
      <c r="BO193" s="80"/>
      <c r="BP193" s="80"/>
      <c r="BQ193" s="80"/>
      <c r="BR193" s="80"/>
      <c r="BS193" s="80"/>
      <c r="BT193" s="80"/>
      <c r="BU193" s="80"/>
      <c r="BV193" s="80"/>
      <c r="BW193" s="82"/>
      <c r="BX193" s="79"/>
      <c r="BY193" s="79"/>
      <c r="BZ193" s="79"/>
      <c r="CA193" s="79"/>
      <c r="CB193" s="79"/>
      <c r="CC193" s="82"/>
      <c r="CD193" s="82"/>
      <c r="CE193" s="82"/>
      <c r="CF193" s="82"/>
      <c r="CG193" s="82"/>
      <c r="CH193" s="82"/>
      <c r="CI193" s="82"/>
      <c r="CJ193" s="79"/>
      <c r="CK193" s="79"/>
      <c r="CL193" s="79"/>
      <c r="CM193" s="79"/>
      <c r="CN193" s="79"/>
      <c r="CO193" s="79"/>
    </row>
    <row r="194" spans="1:93">
      <c r="A194" s="98"/>
      <c r="B194" s="178" t="s">
        <v>1122</v>
      </c>
      <c r="C194" s="188" t="s">
        <v>1093</v>
      </c>
      <c r="D194" s="47" t="s">
        <v>1140</v>
      </c>
      <c r="E194" s="126"/>
      <c r="F194" s="154"/>
      <c r="G194" s="167">
        <v>1</v>
      </c>
      <c r="H194" s="167"/>
      <c r="I194" s="170"/>
      <c r="J194" s="155"/>
      <c r="K194" s="156"/>
      <c r="L194" s="157"/>
      <c r="M194" s="157"/>
      <c r="N194" s="183"/>
      <c r="O194" s="177" t="s">
        <v>1156</v>
      </c>
      <c r="P194" s="145"/>
      <c r="Q194" s="141"/>
      <c r="R194" s="190"/>
      <c r="S194" s="83"/>
      <c r="T194" s="87"/>
      <c r="U194" s="87"/>
      <c r="V194" s="87"/>
      <c r="W194" s="44"/>
      <c r="X194" s="88"/>
      <c r="Y194" s="79"/>
      <c r="Z194" s="79"/>
      <c r="AA194" s="79"/>
      <c r="AB194" s="79"/>
      <c r="AC194" s="86"/>
      <c r="AD194" s="82"/>
      <c r="AE194" s="79"/>
      <c r="AF194" s="88"/>
      <c r="AG194" s="80"/>
      <c r="AH194" s="79"/>
      <c r="AI194" s="79"/>
      <c r="AJ194" s="79"/>
      <c r="AK194" s="80"/>
      <c r="AL194" s="80"/>
      <c r="AM194" s="80"/>
      <c r="AN194" s="79"/>
      <c r="AO194" s="80"/>
      <c r="AP194" s="80"/>
      <c r="AQ194" s="80"/>
      <c r="AR194" s="85"/>
      <c r="AS194" s="85"/>
      <c r="AT194" s="85"/>
      <c r="AU194" s="85"/>
      <c r="AV194" s="85"/>
      <c r="AW194" s="82"/>
      <c r="AX194" s="79"/>
      <c r="AY194" s="82"/>
      <c r="AZ194" s="82"/>
      <c r="BA194" s="86"/>
      <c r="BB194" s="79"/>
      <c r="BC194" s="79"/>
      <c r="BD194" s="79"/>
      <c r="BE194" s="82"/>
      <c r="BF194" s="85"/>
      <c r="BG194" s="79"/>
      <c r="BH194" s="79"/>
      <c r="BI194" s="79"/>
      <c r="BJ194" s="88"/>
      <c r="BK194" s="88"/>
      <c r="BL194" s="79"/>
      <c r="BM194" s="185"/>
      <c r="BN194" s="90"/>
      <c r="BO194" s="80"/>
      <c r="BP194" s="80"/>
      <c r="BQ194" s="80"/>
      <c r="BR194" s="80"/>
      <c r="BS194" s="80"/>
      <c r="BT194" s="80"/>
      <c r="BU194" s="80"/>
      <c r="BV194" s="80"/>
      <c r="BW194" s="82"/>
      <c r="BX194" s="79"/>
      <c r="BY194" s="79"/>
      <c r="BZ194" s="79"/>
      <c r="CA194" s="79"/>
      <c r="CB194" s="79"/>
      <c r="CC194" s="82"/>
      <c r="CD194" s="82"/>
      <c r="CE194" s="82"/>
      <c r="CF194" s="82"/>
      <c r="CG194" s="82"/>
      <c r="CH194" s="82"/>
      <c r="CI194" s="82"/>
      <c r="CJ194" s="79"/>
      <c r="CK194" s="79"/>
      <c r="CL194" s="79"/>
      <c r="CM194" s="79"/>
      <c r="CN194" s="79"/>
      <c r="CO194" s="79"/>
    </row>
    <row r="195" spans="1:93" ht="26.4">
      <c r="A195" s="98"/>
      <c r="B195" s="319" t="s">
        <v>1123</v>
      </c>
      <c r="C195" s="188" t="s">
        <v>1096</v>
      </c>
      <c r="D195" s="47" t="s">
        <v>1141</v>
      </c>
      <c r="E195" s="126"/>
      <c r="F195" s="154"/>
      <c r="G195" s="167"/>
      <c r="H195" s="167">
        <v>1</v>
      </c>
      <c r="I195" s="170"/>
      <c r="J195" s="155"/>
      <c r="K195" s="156"/>
      <c r="L195" s="157"/>
      <c r="M195" s="157"/>
      <c r="N195" s="183"/>
      <c r="O195" s="177" t="s">
        <v>1157</v>
      </c>
      <c r="P195" s="145"/>
      <c r="Q195" s="141"/>
      <c r="R195" s="190"/>
      <c r="S195" s="83"/>
      <c r="T195" s="87"/>
      <c r="U195" s="87"/>
      <c r="V195" s="87"/>
      <c r="W195" s="44"/>
      <c r="X195" s="88"/>
      <c r="Y195" s="79"/>
      <c r="Z195" s="79"/>
      <c r="AA195" s="79"/>
      <c r="AB195" s="79"/>
      <c r="AC195" s="86"/>
      <c r="AD195" s="82"/>
      <c r="AE195" s="79"/>
      <c r="AF195" s="88"/>
      <c r="AG195" s="80"/>
      <c r="AH195" s="79"/>
      <c r="AI195" s="79"/>
      <c r="AJ195" s="79"/>
      <c r="AK195" s="80"/>
      <c r="AL195" s="80"/>
      <c r="AM195" s="80"/>
      <c r="AN195" s="79"/>
      <c r="AO195" s="80"/>
      <c r="AP195" s="80"/>
      <c r="AQ195" s="80"/>
      <c r="AR195" s="85"/>
      <c r="AS195" s="85"/>
      <c r="AT195" s="85"/>
      <c r="AU195" s="85"/>
      <c r="AV195" s="85"/>
      <c r="AW195" s="82"/>
      <c r="AX195" s="79"/>
      <c r="AY195" s="82"/>
      <c r="AZ195" s="82"/>
      <c r="BA195" s="86"/>
      <c r="BB195" s="79"/>
      <c r="BC195" s="79"/>
      <c r="BD195" s="79"/>
      <c r="BE195" s="82"/>
      <c r="BF195" s="85"/>
      <c r="BG195" s="79"/>
      <c r="BH195" s="79"/>
      <c r="BI195" s="79"/>
      <c r="BJ195" s="88"/>
      <c r="BK195" s="88"/>
      <c r="BL195" s="79"/>
      <c r="BM195" s="185"/>
      <c r="BN195" s="90"/>
      <c r="BO195" s="80"/>
      <c r="BP195" s="80"/>
      <c r="BQ195" s="80"/>
      <c r="BR195" s="80"/>
      <c r="BS195" s="80"/>
      <c r="BT195" s="80"/>
      <c r="BU195" s="80"/>
      <c r="BV195" s="80"/>
      <c r="BW195" s="82"/>
      <c r="BX195" s="79"/>
      <c r="BY195" s="79"/>
      <c r="BZ195" s="79"/>
      <c r="CA195" s="79"/>
      <c r="CB195" s="79"/>
      <c r="CC195" s="82"/>
      <c r="CD195" s="82"/>
      <c r="CE195" s="82"/>
      <c r="CF195" s="82"/>
      <c r="CG195" s="82"/>
      <c r="CH195" s="82"/>
      <c r="CI195" s="82"/>
      <c r="CJ195" s="79"/>
      <c r="CK195" s="79"/>
      <c r="CL195" s="79"/>
      <c r="CM195" s="79"/>
      <c r="CN195" s="79"/>
      <c r="CO195" s="79"/>
    </row>
    <row r="196" spans="1:93">
      <c r="A196" s="98"/>
      <c r="B196" s="178" t="s">
        <v>1124</v>
      </c>
      <c r="C196" s="188" t="s">
        <v>1096</v>
      </c>
      <c r="D196" s="47" t="s">
        <v>1142</v>
      </c>
      <c r="E196" s="126"/>
      <c r="F196" s="154"/>
      <c r="G196" s="167">
        <v>1</v>
      </c>
      <c r="H196" s="167"/>
      <c r="I196" s="170"/>
      <c r="J196" s="155"/>
      <c r="K196" s="156"/>
      <c r="L196" s="157"/>
      <c r="M196" s="157"/>
      <c r="N196" s="183"/>
      <c r="O196" s="177" t="s">
        <v>1158</v>
      </c>
      <c r="P196" s="145"/>
      <c r="Q196" s="141"/>
      <c r="R196" s="190"/>
      <c r="S196" s="83"/>
      <c r="T196" s="87"/>
      <c r="U196" s="87"/>
      <c r="V196" s="87"/>
      <c r="W196" s="44"/>
      <c r="X196" s="88"/>
      <c r="Y196" s="79"/>
      <c r="Z196" s="79"/>
      <c r="AA196" s="79"/>
      <c r="AB196" s="79"/>
      <c r="AC196" s="86"/>
      <c r="AD196" s="82"/>
      <c r="AE196" s="79"/>
      <c r="AF196" s="88"/>
      <c r="AG196" s="80"/>
      <c r="AH196" s="79"/>
      <c r="AI196" s="79"/>
      <c r="AJ196" s="79"/>
      <c r="AK196" s="80"/>
      <c r="AL196" s="80"/>
      <c r="AM196" s="80"/>
      <c r="AN196" s="79"/>
      <c r="AO196" s="80"/>
      <c r="AP196" s="80"/>
      <c r="AQ196" s="80"/>
      <c r="AR196" s="85"/>
      <c r="AS196" s="85"/>
      <c r="AT196" s="85"/>
      <c r="AU196" s="85"/>
      <c r="AV196" s="85"/>
      <c r="AW196" s="82"/>
      <c r="AX196" s="79"/>
      <c r="AY196" s="82"/>
      <c r="AZ196" s="82"/>
      <c r="BA196" s="86"/>
      <c r="BB196" s="79"/>
      <c r="BC196" s="79"/>
      <c r="BD196" s="79"/>
      <c r="BE196" s="82"/>
      <c r="BF196" s="85"/>
      <c r="BG196" s="79"/>
      <c r="BH196" s="79"/>
      <c r="BI196" s="79"/>
      <c r="BJ196" s="88"/>
      <c r="BK196" s="88"/>
      <c r="BL196" s="79"/>
      <c r="BM196" s="185"/>
      <c r="BN196" s="90"/>
      <c r="BO196" s="80"/>
      <c r="BP196" s="80"/>
      <c r="BQ196" s="80"/>
      <c r="BR196" s="80"/>
      <c r="BS196" s="80"/>
      <c r="BT196" s="80"/>
      <c r="BU196" s="80"/>
      <c r="BV196" s="80"/>
      <c r="BW196" s="82"/>
      <c r="BX196" s="79"/>
      <c r="BY196" s="79"/>
      <c r="BZ196" s="79"/>
      <c r="CA196" s="79"/>
      <c r="CB196" s="79"/>
      <c r="CC196" s="82"/>
      <c r="CD196" s="82"/>
      <c r="CE196" s="82"/>
      <c r="CF196" s="82"/>
      <c r="CG196" s="82"/>
      <c r="CH196" s="82"/>
      <c r="CI196" s="82"/>
      <c r="CJ196" s="79"/>
      <c r="CK196" s="79"/>
      <c r="CL196" s="79"/>
      <c r="CM196" s="79"/>
      <c r="CN196" s="79"/>
      <c r="CO196" s="79"/>
    </row>
    <row r="197" spans="1:93">
      <c r="A197" s="98"/>
      <c r="B197" s="178" t="s">
        <v>1125</v>
      </c>
      <c r="C197" s="188" t="s">
        <v>1096</v>
      </c>
      <c r="D197" s="47" t="s">
        <v>1143</v>
      </c>
      <c r="E197" s="126"/>
      <c r="F197" s="154"/>
      <c r="G197" s="167">
        <v>1</v>
      </c>
      <c r="H197" s="167"/>
      <c r="I197" s="170"/>
      <c r="J197" s="155"/>
      <c r="K197" s="156"/>
      <c r="L197" s="157"/>
      <c r="M197" s="157"/>
      <c r="N197" s="183"/>
      <c r="O197" s="177" t="s">
        <v>1159</v>
      </c>
      <c r="P197" s="145"/>
      <c r="Q197" s="141"/>
      <c r="R197" s="190"/>
      <c r="S197" s="83"/>
      <c r="T197" s="87"/>
      <c r="U197" s="87"/>
      <c r="V197" s="87"/>
      <c r="W197" s="44"/>
      <c r="X197" s="88"/>
      <c r="Y197" s="79"/>
      <c r="Z197" s="79"/>
      <c r="AA197" s="79"/>
      <c r="AB197" s="79"/>
      <c r="AC197" s="86"/>
      <c r="AD197" s="82"/>
      <c r="AE197" s="79"/>
      <c r="AF197" s="88"/>
      <c r="AG197" s="80"/>
      <c r="AH197" s="79"/>
      <c r="AI197" s="79"/>
      <c r="AJ197" s="79"/>
      <c r="AK197" s="80"/>
      <c r="AL197" s="80"/>
      <c r="AM197" s="80"/>
      <c r="AN197" s="79"/>
      <c r="AO197" s="80"/>
      <c r="AP197" s="80"/>
      <c r="AQ197" s="80"/>
      <c r="AR197" s="85"/>
      <c r="AS197" s="85"/>
      <c r="AT197" s="85"/>
      <c r="AU197" s="85"/>
      <c r="AV197" s="85"/>
      <c r="AW197" s="82"/>
      <c r="AX197" s="79"/>
      <c r="AY197" s="82"/>
      <c r="AZ197" s="82"/>
      <c r="BA197" s="86"/>
      <c r="BB197" s="79"/>
      <c r="BC197" s="79"/>
      <c r="BD197" s="79"/>
      <c r="BE197" s="82"/>
      <c r="BF197" s="85"/>
      <c r="BG197" s="79"/>
      <c r="BH197" s="79"/>
      <c r="BI197" s="79"/>
      <c r="BJ197" s="88"/>
      <c r="BK197" s="88"/>
      <c r="BL197" s="79"/>
      <c r="BM197" s="185"/>
      <c r="BN197" s="90"/>
      <c r="BO197" s="80"/>
      <c r="BP197" s="80"/>
      <c r="BQ197" s="80"/>
      <c r="BR197" s="80"/>
      <c r="BS197" s="80"/>
      <c r="BT197" s="80"/>
      <c r="BU197" s="80"/>
      <c r="BV197" s="80"/>
      <c r="BW197" s="82"/>
      <c r="BX197" s="79"/>
      <c r="BY197" s="79"/>
      <c r="BZ197" s="79"/>
      <c r="CA197" s="79"/>
      <c r="CB197" s="79"/>
      <c r="CC197" s="82"/>
      <c r="CD197" s="82"/>
      <c r="CE197" s="82"/>
      <c r="CF197" s="82"/>
      <c r="CG197" s="82"/>
      <c r="CH197" s="82"/>
      <c r="CI197" s="82"/>
      <c r="CJ197" s="79"/>
      <c r="CK197" s="79"/>
      <c r="CL197" s="79"/>
      <c r="CM197" s="79"/>
      <c r="CN197" s="79"/>
      <c r="CO197" s="79"/>
    </row>
    <row r="198" spans="1:93">
      <c r="A198" s="98"/>
      <c r="B198" s="178" t="s">
        <v>1126</v>
      </c>
      <c r="C198" s="188" t="s">
        <v>1096</v>
      </c>
      <c r="D198" s="47" t="s">
        <v>1144</v>
      </c>
      <c r="E198" s="126"/>
      <c r="F198" s="154"/>
      <c r="G198" s="167">
        <v>1</v>
      </c>
      <c r="H198" s="167"/>
      <c r="I198" s="170"/>
      <c r="J198" s="155"/>
      <c r="K198" s="156"/>
      <c r="L198" s="157"/>
      <c r="M198" s="157"/>
      <c r="N198" s="183"/>
      <c r="O198" s="177" t="s">
        <v>1160</v>
      </c>
      <c r="P198" s="145"/>
      <c r="Q198" s="141"/>
      <c r="R198" s="190"/>
      <c r="S198" s="83"/>
      <c r="T198" s="87"/>
      <c r="U198" s="87"/>
      <c r="V198" s="87"/>
      <c r="W198" s="44"/>
      <c r="X198" s="88"/>
      <c r="Y198" s="79"/>
      <c r="Z198" s="79"/>
      <c r="AA198" s="79"/>
      <c r="AB198" s="79"/>
      <c r="AC198" s="86"/>
      <c r="AD198" s="82"/>
      <c r="AE198" s="79"/>
      <c r="AF198" s="88"/>
      <c r="AG198" s="80"/>
      <c r="AH198" s="79"/>
      <c r="AI198" s="79"/>
      <c r="AJ198" s="79"/>
      <c r="AK198" s="80"/>
      <c r="AL198" s="80"/>
      <c r="AM198" s="80"/>
      <c r="AN198" s="79"/>
      <c r="AO198" s="80"/>
      <c r="AP198" s="80"/>
      <c r="AQ198" s="80"/>
      <c r="AR198" s="85"/>
      <c r="AS198" s="85"/>
      <c r="AT198" s="85"/>
      <c r="AU198" s="85"/>
      <c r="AV198" s="85"/>
      <c r="AW198" s="82"/>
      <c r="AX198" s="79"/>
      <c r="AY198" s="82"/>
      <c r="AZ198" s="82"/>
      <c r="BA198" s="86"/>
      <c r="BB198" s="79"/>
      <c r="BC198" s="79"/>
      <c r="BD198" s="79"/>
      <c r="BE198" s="82"/>
      <c r="BF198" s="85"/>
      <c r="BG198" s="79"/>
      <c r="BH198" s="79"/>
      <c r="BI198" s="79"/>
      <c r="BJ198" s="88"/>
      <c r="BK198" s="88"/>
      <c r="BL198" s="79"/>
      <c r="BM198" s="185"/>
      <c r="BN198" s="90"/>
      <c r="BO198" s="80"/>
      <c r="BP198" s="80"/>
      <c r="BQ198" s="80"/>
      <c r="BR198" s="80"/>
      <c r="BS198" s="80"/>
      <c r="BT198" s="80"/>
      <c r="BU198" s="80"/>
      <c r="BV198" s="80"/>
      <c r="BW198" s="82"/>
      <c r="BX198" s="79"/>
      <c r="BY198" s="79"/>
      <c r="BZ198" s="79"/>
      <c r="CA198" s="79"/>
      <c r="CB198" s="79"/>
      <c r="CC198" s="82"/>
      <c r="CD198" s="82"/>
      <c r="CE198" s="82"/>
      <c r="CF198" s="82"/>
      <c r="CG198" s="82"/>
      <c r="CH198" s="82"/>
      <c r="CI198" s="82"/>
      <c r="CJ198" s="79"/>
      <c r="CK198" s="79"/>
      <c r="CL198" s="79"/>
      <c r="CM198" s="79"/>
      <c r="CN198" s="79"/>
      <c r="CO198" s="79"/>
    </row>
    <row r="199" spans="1:93">
      <c r="A199" s="98"/>
      <c r="B199" s="178" t="s">
        <v>1127</v>
      </c>
      <c r="C199" s="188" t="s">
        <v>1096</v>
      </c>
      <c r="D199" s="47" t="s">
        <v>1145</v>
      </c>
      <c r="E199" s="126"/>
      <c r="F199" s="154"/>
      <c r="G199" s="167">
        <v>1</v>
      </c>
      <c r="H199" s="167"/>
      <c r="I199" s="170"/>
      <c r="J199" s="155"/>
      <c r="K199" s="156"/>
      <c r="L199" s="157"/>
      <c r="M199" s="157"/>
      <c r="N199" s="183"/>
      <c r="O199" s="177" t="s">
        <v>1161</v>
      </c>
      <c r="P199" s="145"/>
      <c r="Q199" s="141"/>
      <c r="R199" s="190"/>
      <c r="S199" s="83"/>
      <c r="T199" s="87"/>
      <c r="U199" s="87"/>
      <c r="V199" s="87"/>
      <c r="W199" s="44"/>
      <c r="X199" s="88"/>
      <c r="Y199" s="79"/>
      <c r="Z199" s="79"/>
      <c r="AA199" s="79"/>
      <c r="AB199" s="79"/>
      <c r="AC199" s="86"/>
      <c r="AD199" s="82"/>
      <c r="AE199" s="79"/>
      <c r="AF199" s="88"/>
      <c r="AG199" s="80"/>
      <c r="AH199" s="79"/>
      <c r="AI199" s="79"/>
      <c r="AJ199" s="79"/>
      <c r="AK199" s="80"/>
      <c r="AL199" s="80"/>
      <c r="AM199" s="80"/>
      <c r="AN199" s="79"/>
      <c r="AO199" s="80"/>
      <c r="AP199" s="80"/>
      <c r="AQ199" s="80"/>
      <c r="AR199" s="85"/>
      <c r="AS199" s="85"/>
      <c r="AT199" s="85"/>
      <c r="AU199" s="85"/>
      <c r="AV199" s="85"/>
      <c r="AW199" s="82"/>
      <c r="AX199" s="79"/>
      <c r="AY199" s="82"/>
      <c r="AZ199" s="82"/>
      <c r="BA199" s="86"/>
      <c r="BB199" s="79"/>
      <c r="BC199" s="79"/>
      <c r="BD199" s="79"/>
      <c r="BE199" s="82"/>
      <c r="BF199" s="85"/>
      <c r="BG199" s="79"/>
      <c r="BH199" s="79"/>
      <c r="BI199" s="79"/>
      <c r="BJ199" s="88"/>
      <c r="BK199" s="88"/>
      <c r="BL199" s="79"/>
      <c r="BM199" s="185"/>
      <c r="BN199" s="90"/>
      <c r="BO199" s="80"/>
      <c r="BP199" s="80"/>
      <c r="BQ199" s="80"/>
      <c r="BR199" s="80"/>
      <c r="BS199" s="80"/>
      <c r="BT199" s="80"/>
      <c r="BU199" s="80"/>
      <c r="BV199" s="80"/>
      <c r="BW199" s="82"/>
      <c r="BX199" s="79"/>
      <c r="BY199" s="79"/>
      <c r="BZ199" s="79"/>
      <c r="CA199" s="79"/>
      <c r="CB199" s="79"/>
      <c r="CC199" s="82"/>
      <c r="CD199" s="82"/>
      <c r="CE199" s="82"/>
      <c r="CF199" s="82"/>
      <c r="CG199" s="82"/>
      <c r="CH199" s="82"/>
      <c r="CI199" s="82"/>
      <c r="CJ199" s="79"/>
      <c r="CK199" s="79"/>
      <c r="CL199" s="79"/>
      <c r="CM199" s="79"/>
      <c r="CN199" s="79"/>
      <c r="CO199" s="79"/>
    </row>
    <row r="200" spans="1:93">
      <c r="A200" s="98"/>
      <c r="B200" s="178" t="s">
        <v>1128</v>
      </c>
      <c r="C200" s="188" t="s">
        <v>1096</v>
      </c>
      <c r="D200" s="47" t="s">
        <v>1146</v>
      </c>
      <c r="E200" s="126"/>
      <c r="F200" s="154"/>
      <c r="G200" s="167" t="s">
        <v>128</v>
      </c>
      <c r="I200" s="170"/>
      <c r="J200" s="155"/>
      <c r="K200" s="156"/>
      <c r="L200" s="157"/>
      <c r="M200" s="157"/>
      <c r="N200" s="183"/>
      <c r="O200" s="177" t="s">
        <v>1162</v>
      </c>
      <c r="P200" s="145"/>
      <c r="Q200" s="141"/>
      <c r="R200" s="190"/>
      <c r="S200" s="83"/>
      <c r="T200" s="87"/>
      <c r="U200" s="87"/>
      <c r="V200" s="87"/>
      <c r="W200" s="44"/>
      <c r="X200" s="88"/>
      <c r="Y200" s="79"/>
      <c r="Z200" s="79"/>
      <c r="AA200" s="79"/>
      <c r="AB200" s="79"/>
      <c r="AC200" s="86"/>
      <c r="AD200" s="82"/>
      <c r="AE200" s="79"/>
      <c r="AF200" s="88"/>
      <c r="AG200" s="80"/>
      <c r="AH200" s="79"/>
      <c r="AI200" s="79"/>
      <c r="AJ200" s="79"/>
      <c r="AK200" s="80"/>
      <c r="AL200" s="80"/>
      <c r="AM200" s="80"/>
      <c r="AN200" s="79"/>
      <c r="AO200" s="80"/>
      <c r="AP200" s="80"/>
      <c r="AQ200" s="80"/>
      <c r="AR200" s="85"/>
      <c r="AS200" s="85"/>
      <c r="AT200" s="85"/>
      <c r="AU200" s="85"/>
      <c r="AV200" s="85"/>
      <c r="AW200" s="82"/>
      <c r="AX200" s="79"/>
      <c r="AY200" s="82"/>
      <c r="AZ200" s="82"/>
      <c r="BA200" s="86"/>
      <c r="BB200" s="79"/>
      <c r="BC200" s="79"/>
      <c r="BD200" s="79"/>
      <c r="BE200" s="82"/>
      <c r="BF200" s="85"/>
      <c r="BG200" s="79"/>
      <c r="BH200" s="79"/>
      <c r="BI200" s="79"/>
      <c r="BJ200" s="88"/>
      <c r="BK200" s="88"/>
      <c r="BL200" s="79"/>
      <c r="BM200" s="185"/>
      <c r="BN200" s="90"/>
      <c r="BO200" s="80"/>
      <c r="BP200" s="80"/>
      <c r="BQ200" s="80"/>
      <c r="BR200" s="80"/>
      <c r="BS200" s="80"/>
      <c r="BT200" s="80"/>
      <c r="BU200" s="80"/>
      <c r="BV200" s="80"/>
      <c r="BW200" s="82"/>
      <c r="BX200" s="79"/>
      <c r="BY200" s="79"/>
      <c r="BZ200" s="79"/>
      <c r="CA200" s="79"/>
      <c r="CB200" s="79"/>
      <c r="CC200" s="82"/>
      <c r="CD200" s="82"/>
      <c r="CE200" s="82"/>
      <c r="CF200" s="82"/>
      <c r="CG200" s="82"/>
      <c r="CH200" s="82"/>
      <c r="CI200" s="82"/>
      <c r="CJ200" s="79"/>
      <c r="CK200" s="79"/>
      <c r="CL200" s="79"/>
      <c r="CM200" s="79"/>
      <c r="CN200" s="79"/>
      <c r="CO200" s="79"/>
    </row>
    <row r="201" spans="1:93">
      <c r="A201" s="98"/>
      <c r="B201" s="178" t="s">
        <v>1129</v>
      </c>
      <c r="C201" s="188" t="s">
        <v>1106</v>
      </c>
      <c r="D201" s="47" t="s">
        <v>1147</v>
      </c>
      <c r="E201" s="126"/>
      <c r="F201" s="154"/>
      <c r="G201" s="167" t="s">
        <v>102</v>
      </c>
      <c r="H201" s="167"/>
      <c r="I201" s="170"/>
      <c r="J201" s="155"/>
      <c r="K201" s="156"/>
      <c r="L201" s="157"/>
      <c r="M201" s="157"/>
      <c r="N201" s="183"/>
      <c r="O201" s="177" t="s">
        <v>1163</v>
      </c>
      <c r="P201" s="145"/>
      <c r="Q201" s="141"/>
      <c r="R201" s="190"/>
      <c r="S201" s="83"/>
      <c r="T201" s="87"/>
      <c r="U201" s="87"/>
      <c r="V201" s="87"/>
      <c r="W201" s="44"/>
      <c r="X201" s="88"/>
      <c r="Y201" s="79"/>
      <c r="Z201" s="79"/>
      <c r="AA201" s="79"/>
      <c r="AB201" s="79"/>
      <c r="AC201" s="86"/>
      <c r="AD201" s="82"/>
      <c r="AE201" s="79"/>
      <c r="AF201" s="88"/>
      <c r="AG201" s="80"/>
      <c r="AH201" s="79"/>
      <c r="AI201" s="79"/>
      <c r="AJ201" s="79"/>
      <c r="AK201" s="80"/>
      <c r="AL201" s="80"/>
      <c r="AM201" s="80"/>
      <c r="AN201" s="79"/>
      <c r="AO201" s="80"/>
      <c r="AP201" s="80"/>
      <c r="AQ201" s="80"/>
      <c r="AR201" s="85"/>
      <c r="AS201" s="85"/>
      <c r="AT201" s="85"/>
      <c r="AU201" s="85"/>
      <c r="AV201" s="85"/>
      <c r="AW201" s="82"/>
      <c r="AX201" s="79"/>
      <c r="AY201" s="82"/>
      <c r="AZ201" s="82"/>
      <c r="BA201" s="86"/>
      <c r="BB201" s="79"/>
      <c r="BC201" s="79"/>
      <c r="BD201" s="79"/>
      <c r="BE201" s="82"/>
      <c r="BF201" s="85"/>
      <c r="BG201" s="79"/>
      <c r="BH201" s="79"/>
      <c r="BI201" s="79"/>
      <c r="BJ201" s="88"/>
      <c r="BK201" s="88"/>
      <c r="BL201" s="79"/>
      <c r="BM201" s="185"/>
      <c r="BN201" s="90"/>
      <c r="BO201" s="80"/>
      <c r="BP201" s="80"/>
      <c r="BQ201" s="80"/>
      <c r="BR201" s="80"/>
      <c r="BS201" s="80"/>
      <c r="BT201" s="80"/>
      <c r="BU201" s="80"/>
      <c r="BV201" s="80"/>
      <c r="BW201" s="82"/>
      <c r="BX201" s="79"/>
      <c r="BY201" s="79"/>
      <c r="BZ201" s="79"/>
      <c r="CA201" s="79"/>
      <c r="CB201" s="79"/>
      <c r="CC201" s="82"/>
      <c r="CD201" s="82"/>
      <c r="CE201" s="82"/>
      <c r="CF201" s="82"/>
      <c r="CG201" s="82"/>
      <c r="CH201" s="82"/>
      <c r="CI201" s="82"/>
      <c r="CJ201" s="79"/>
      <c r="CK201" s="79"/>
      <c r="CL201" s="79"/>
      <c r="CM201" s="79"/>
      <c r="CN201" s="79"/>
      <c r="CO201" s="79"/>
    </row>
    <row r="202" spans="1:93" ht="13.5" customHeight="1">
      <c r="A202" s="98"/>
      <c r="B202" s="178" t="s">
        <v>1130</v>
      </c>
      <c r="C202" s="188" t="s">
        <v>1106</v>
      </c>
      <c r="D202" s="47" t="s">
        <v>1148</v>
      </c>
      <c r="E202" s="126"/>
      <c r="F202" s="154" t="s">
        <v>377</v>
      </c>
      <c r="G202" s="167" t="s">
        <v>1166</v>
      </c>
      <c r="H202" s="167"/>
      <c r="I202" s="170"/>
      <c r="J202" s="155"/>
      <c r="K202" s="156"/>
      <c r="L202" s="157"/>
      <c r="M202" s="157"/>
      <c r="N202" s="183"/>
      <c r="O202" s="177">
        <v>6049732533</v>
      </c>
      <c r="P202" s="145"/>
      <c r="Q202" s="141"/>
      <c r="R202" s="190"/>
      <c r="S202" s="83"/>
      <c r="T202" s="87"/>
      <c r="U202" s="87"/>
      <c r="V202" s="87"/>
      <c r="W202" s="44"/>
      <c r="X202" s="88"/>
      <c r="Y202" s="79"/>
      <c r="Z202" s="79"/>
      <c r="AA202" s="79"/>
      <c r="AB202" s="79"/>
      <c r="AC202" s="86"/>
      <c r="AD202" s="82"/>
      <c r="AE202" s="79"/>
      <c r="AF202" s="88"/>
      <c r="AG202" s="80"/>
      <c r="AH202" s="79"/>
      <c r="AI202" s="79"/>
      <c r="AJ202" s="79"/>
      <c r="AK202" s="80"/>
      <c r="AL202" s="80"/>
      <c r="AM202" s="80"/>
      <c r="AN202" s="79"/>
      <c r="AO202" s="80"/>
      <c r="AP202" s="80"/>
      <c r="AQ202" s="80"/>
      <c r="AR202" s="85"/>
      <c r="AS202" s="85"/>
      <c r="AT202" s="85"/>
      <c r="AU202" s="85"/>
      <c r="AV202" s="85"/>
      <c r="AW202" s="82"/>
      <c r="AX202" s="79"/>
      <c r="AY202" s="82"/>
      <c r="AZ202" s="82"/>
      <c r="BA202" s="86"/>
      <c r="BB202" s="79"/>
      <c r="BC202" s="79"/>
      <c r="BD202" s="79"/>
      <c r="BE202" s="82"/>
      <c r="BF202" s="85"/>
      <c r="BG202" s="79"/>
      <c r="BH202" s="79"/>
      <c r="BI202" s="79"/>
      <c r="BJ202" s="88"/>
      <c r="BK202" s="88"/>
      <c r="BL202" s="79"/>
      <c r="BM202" s="185"/>
      <c r="BN202" s="90"/>
      <c r="BO202" s="80"/>
      <c r="BP202" s="80"/>
      <c r="BQ202" s="80"/>
      <c r="BR202" s="80"/>
      <c r="BS202" s="80"/>
      <c r="BT202" s="80"/>
      <c r="BU202" s="80"/>
      <c r="BV202" s="80"/>
      <c r="BW202" s="82"/>
      <c r="BX202" s="79"/>
      <c r="BY202" s="79"/>
      <c r="BZ202" s="79"/>
      <c r="CA202" s="79"/>
      <c r="CB202" s="79"/>
      <c r="CC202" s="82"/>
      <c r="CD202" s="82"/>
      <c r="CE202" s="82"/>
      <c r="CF202" s="82"/>
      <c r="CG202" s="82"/>
      <c r="CH202" s="82"/>
      <c r="CI202" s="82"/>
      <c r="CJ202" s="79"/>
      <c r="CK202" s="79"/>
      <c r="CL202" s="79"/>
      <c r="CM202" s="79"/>
      <c r="CN202" s="79"/>
      <c r="CO202" s="79"/>
    </row>
    <row r="203" spans="1:93" ht="26.4">
      <c r="A203" s="98"/>
      <c r="B203" s="319" t="s">
        <v>1131</v>
      </c>
      <c r="C203" s="188" t="s">
        <v>1106</v>
      </c>
      <c r="D203" s="47" t="s">
        <v>1149</v>
      </c>
      <c r="E203" s="126"/>
      <c r="F203" s="154"/>
      <c r="G203" s="167"/>
      <c r="H203" s="167">
        <v>4</v>
      </c>
      <c r="I203" s="170"/>
      <c r="J203" s="155"/>
      <c r="K203" s="156"/>
      <c r="L203" s="157"/>
      <c r="M203" s="157"/>
      <c r="N203" s="183"/>
      <c r="O203" s="177" t="s">
        <v>1164</v>
      </c>
      <c r="P203" s="145"/>
      <c r="Q203" s="141"/>
      <c r="R203" s="190"/>
      <c r="S203" s="83"/>
      <c r="T203" s="87"/>
      <c r="U203" s="87"/>
      <c r="V203" s="87"/>
      <c r="W203" s="44"/>
      <c r="X203" s="88"/>
      <c r="Y203" s="79"/>
      <c r="Z203" s="79"/>
      <c r="AA203" s="79"/>
      <c r="AB203" s="79"/>
      <c r="AC203" s="86"/>
      <c r="AD203" s="82"/>
      <c r="AE203" s="79"/>
      <c r="AF203" s="88"/>
      <c r="AG203" s="80"/>
      <c r="AH203" s="79"/>
      <c r="AI203" s="79"/>
      <c r="AJ203" s="79"/>
      <c r="AK203" s="80"/>
      <c r="AL203" s="80"/>
      <c r="AM203" s="80"/>
      <c r="AN203" s="79"/>
      <c r="AO203" s="80"/>
      <c r="AP203" s="80"/>
      <c r="AQ203" s="80"/>
      <c r="AR203" s="85"/>
      <c r="AS203" s="85"/>
      <c r="AT203" s="85"/>
      <c r="AU203" s="85"/>
      <c r="AV203" s="85"/>
      <c r="AW203" s="82"/>
      <c r="AX203" s="79"/>
      <c r="AY203" s="82"/>
      <c r="AZ203" s="82"/>
      <c r="BA203" s="86"/>
      <c r="BB203" s="79"/>
      <c r="BC203" s="79"/>
      <c r="BD203" s="79"/>
      <c r="BE203" s="82"/>
      <c r="BF203" s="85"/>
      <c r="BG203" s="79"/>
      <c r="BH203" s="79"/>
      <c r="BI203" s="79"/>
      <c r="BJ203" s="88"/>
      <c r="BK203" s="88"/>
      <c r="BL203" s="79"/>
      <c r="BM203" s="185"/>
      <c r="BN203" s="90"/>
      <c r="BO203" s="80"/>
      <c r="BP203" s="80"/>
      <c r="BQ203" s="80"/>
      <c r="BR203" s="80"/>
      <c r="BS203" s="80"/>
      <c r="BT203" s="80"/>
      <c r="BU203" s="80"/>
      <c r="BV203" s="80"/>
      <c r="BW203" s="82"/>
      <c r="BX203" s="79"/>
      <c r="BY203" s="79"/>
      <c r="BZ203" s="79"/>
      <c r="CA203" s="79"/>
      <c r="CB203" s="79"/>
      <c r="CC203" s="82"/>
      <c r="CD203" s="82"/>
      <c r="CE203" s="82"/>
      <c r="CF203" s="82"/>
      <c r="CG203" s="82"/>
      <c r="CH203" s="82"/>
      <c r="CI203" s="82"/>
      <c r="CJ203" s="79"/>
      <c r="CK203" s="79"/>
      <c r="CL203" s="79"/>
      <c r="CM203" s="79"/>
      <c r="CN203" s="79"/>
      <c r="CO203" s="79"/>
    </row>
    <row r="204" spans="1:93">
      <c r="A204" s="98"/>
      <c r="B204" s="178" t="s">
        <v>1132</v>
      </c>
      <c r="C204" s="188" t="s">
        <v>1110</v>
      </c>
      <c r="D204" s="47" t="s">
        <v>1150</v>
      </c>
      <c r="E204" s="126"/>
      <c r="F204" s="154"/>
      <c r="G204" s="167">
        <v>1</v>
      </c>
      <c r="H204" s="167"/>
      <c r="I204" s="170"/>
      <c r="J204" s="155"/>
      <c r="K204" s="156"/>
      <c r="L204" s="157"/>
      <c r="M204" s="157"/>
      <c r="N204" s="183"/>
      <c r="O204" s="177" t="s">
        <v>1165</v>
      </c>
      <c r="P204" s="145"/>
      <c r="Q204" s="141"/>
      <c r="R204" s="190"/>
      <c r="S204" s="83"/>
      <c r="T204" s="87"/>
      <c r="U204" s="87"/>
      <c r="V204" s="87"/>
      <c r="W204" s="44"/>
      <c r="X204" s="88"/>
      <c r="Y204" s="79"/>
      <c r="Z204" s="79"/>
      <c r="AA204" s="79"/>
      <c r="AB204" s="79"/>
      <c r="AC204" s="86"/>
      <c r="AD204" s="82"/>
      <c r="AE204" s="79"/>
      <c r="AF204" s="88"/>
      <c r="AG204" s="80"/>
      <c r="AH204" s="79"/>
      <c r="AI204" s="79"/>
      <c r="AJ204" s="79"/>
      <c r="AK204" s="80"/>
      <c r="AL204" s="80"/>
      <c r="AM204" s="80"/>
      <c r="AN204" s="79"/>
      <c r="AO204" s="80"/>
      <c r="AP204" s="80"/>
      <c r="AQ204" s="80"/>
      <c r="AR204" s="85"/>
      <c r="AS204" s="85"/>
      <c r="AT204" s="85"/>
      <c r="AU204" s="85"/>
      <c r="AV204" s="85"/>
      <c r="AW204" s="82"/>
      <c r="AX204" s="79"/>
      <c r="AY204" s="82"/>
      <c r="AZ204" s="82"/>
      <c r="BA204" s="86"/>
      <c r="BB204" s="79"/>
      <c r="BC204" s="79"/>
      <c r="BD204" s="79"/>
      <c r="BE204" s="82"/>
      <c r="BF204" s="85"/>
      <c r="BG204" s="79"/>
      <c r="BH204" s="79"/>
      <c r="BI204" s="79"/>
      <c r="BJ204" s="88"/>
      <c r="BK204" s="88"/>
      <c r="BL204" s="79"/>
      <c r="BM204" s="185"/>
      <c r="BN204" s="90"/>
      <c r="BO204" s="80"/>
      <c r="BP204" s="80"/>
      <c r="BQ204" s="80"/>
      <c r="BR204" s="80"/>
      <c r="BS204" s="80"/>
      <c r="BT204" s="80"/>
      <c r="BU204" s="80"/>
      <c r="BV204" s="80"/>
      <c r="BW204" s="82"/>
      <c r="BX204" s="79"/>
      <c r="BY204" s="79"/>
      <c r="BZ204" s="79"/>
      <c r="CA204" s="79"/>
      <c r="CB204" s="79"/>
      <c r="CC204" s="82"/>
      <c r="CD204" s="82"/>
      <c r="CE204" s="82"/>
      <c r="CF204" s="82"/>
      <c r="CG204" s="82"/>
      <c r="CH204" s="82"/>
      <c r="CI204" s="82"/>
      <c r="CJ204" s="79"/>
      <c r="CK204" s="79"/>
      <c r="CL204" s="79"/>
      <c r="CM204" s="79"/>
      <c r="CN204" s="79"/>
      <c r="CO204" s="79"/>
    </row>
    <row r="205" spans="1:93">
      <c r="A205" s="98"/>
      <c r="B205" s="178"/>
      <c r="C205" s="188"/>
      <c r="D205" s="47"/>
      <c r="E205" s="126"/>
      <c r="F205" s="154"/>
      <c r="G205" s="167"/>
      <c r="H205" s="167"/>
      <c r="I205" s="170"/>
      <c r="J205" s="155"/>
      <c r="K205" s="156"/>
      <c r="L205" s="157"/>
      <c r="M205" s="157"/>
      <c r="N205" s="183"/>
      <c r="O205" s="177"/>
      <c r="P205" s="145"/>
      <c r="Q205" s="141"/>
      <c r="R205" s="190"/>
      <c r="S205" s="83"/>
      <c r="T205" s="87"/>
      <c r="U205" s="87"/>
      <c r="V205" s="87"/>
      <c r="W205" s="44"/>
      <c r="X205" s="88"/>
      <c r="Y205" s="79"/>
      <c r="Z205" s="79"/>
      <c r="AA205" s="79"/>
      <c r="AB205" s="79"/>
      <c r="AC205" s="86"/>
      <c r="AD205" s="82"/>
      <c r="AE205" s="79"/>
      <c r="AF205" s="88"/>
      <c r="AG205" s="80"/>
      <c r="AH205" s="79"/>
      <c r="AI205" s="79"/>
      <c r="AJ205" s="79"/>
      <c r="AK205" s="80"/>
      <c r="AL205" s="80"/>
      <c r="AM205" s="80"/>
      <c r="AN205" s="79"/>
      <c r="AO205" s="80"/>
      <c r="AP205" s="80"/>
      <c r="AQ205" s="80"/>
      <c r="AR205" s="85"/>
      <c r="AS205" s="85"/>
      <c r="AT205" s="85"/>
      <c r="AU205" s="85"/>
      <c r="AV205" s="85"/>
      <c r="AW205" s="82"/>
      <c r="AX205" s="79"/>
      <c r="AY205" s="82"/>
      <c r="AZ205" s="82"/>
      <c r="BA205" s="86"/>
      <c r="BB205" s="79"/>
      <c r="BC205" s="79"/>
      <c r="BD205" s="79"/>
      <c r="BE205" s="82"/>
      <c r="BF205" s="85"/>
      <c r="BG205" s="79"/>
      <c r="BH205" s="79"/>
      <c r="BI205" s="79"/>
      <c r="BJ205" s="88"/>
      <c r="BK205" s="88"/>
      <c r="BL205" s="79"/>
      <c r="BM205" s="185"/>
      <c r="BN205" s="90"/>
      <c r="BO205" s="80"/>
      <c r="BP205" s="80"/>
      <c r="BQ205" s="80"/>
      <c r="BR205" s="80"/>
      <c r="BS205" s="80"/>
      <c r="BT205" s="80"/>
      <c r="BU205" s="80"/>
      <c r="BV205" s="80"/>
      <c r="BW205" s="82"/>
      <c r="BX205" s="79"/>
      <c r="BY205" s="79"/>
      <c r="BZ205" s="79"/>
      <c r="CA205" s="79"/>
      <c r="CB205" s="79"/>
      <c r="CC205" s="82"/>
      <c r="CD205" s="82"/>
      <c r="CE205" s="82"/>
      <c r="CF205" s="82"/>
      <c r="CG205" s="82"/>
      <c r="CH205" s="82"/>
      <c r="CI205" s="82"/>
      <c r="CJ205" s="79"/>
      <c r="CK205" s="79"/>
      <c r="CL205" s="79"/>
      <c r="CM205" s="79"/>
      <c r="CN205" s="79"/>
      <c r="CO205" s="79"/>
    </row>
    <row r="206" spans="1:93">
      <c r="A206" s="98"/>
      <c r="B206" s="178"/>
      <c r="C206" s="188"/>
      <c r="D206" s="47"/>
      <c r="E206" s="126"/>
      <c r="F206" s="154"/>
      <c r="G206" s="167"/>
      <c r="H206" s="167"/>
      <c r="I206" s="170"/>
      <c r="J206" s="155"/>
      <c r="K206" s="156"/>
      <c r="L206" s="157"/>
      <c r="M206" s="157"/>
      <c r="N206" s="183"/>
      <c r="O206" s="177"/>
      <c r="P206" s="145"/>
      <c r="Q206" s="141"/>
      <c r="R206" s="190"/>
      <c r="S206" s="83"/>
      <c r="T206" s="87"/>
      <c r="U206" s="87"/>
      <c r="V206" s="87"/>
      <c r="W206" s="44"/>
      <c r="X206" s="88"/>
      <c r="Y206" s="79"/>
      <c r="Z206" s="79"/>
      <c r="AA206" s="79"/>
      <c r="AB206" s="79"/>
      <c r="AC206" s="86"/>
      <c r="AD206" s="82"/>
      <c r="AE206" s="79"/>
      <c r="AF206" s="88"/>
      <c r="AG206" s="80"/>
      <c r="AH206" s="79"/>
      <c r="AI206" s="79"/>
      <c r="AJ206" s="79"/>
      <c r="AK206" s="80"/>
      <c r="AL206" s="80"/>
      <c r="AM206" s="80"/>
      <c r="AN206" s="79"/>
      <c r="AO206" s="80"/>
      <c r="AP206" s="80"/>
      <c r="AQ206" s="80"/>
      <c r="AR206" s="85"/>
      <c r="AS206" s="85"/>
      <c r="AT206" s="85"/>
      <c r="AU206" s="85"/>
      <c r="AV206" s="85"/>
      <c r="AW206" s="82"/>
      <c r="AX206" s="79"/>
      <c r="AY206" s="82"/>
      <c r="AZ206" s="82"/>
      <c r="BA206" s="86"/>
      <c r="BB206" s="79"/>
      <c r="BC206" s="79"/>
      <c r="BD206" s="79"/>
      <c r="BE206" s="82"/>
      <c r="BF206" s="85"/>
      <c r="BG206" s="79"/>
      <c r="BH206" s="79"/>
      <c r="BI206" s="79"/>
      <c r="BJ206" s="88"/>
      <c r="BK206" s="88"/>
      <c r="BL206" s="79"/>
      <c r="BM206" s="185"/>
      <c r="BN206" s="90"/>
      <c r="BO206" s="80"/>
      <c r="BP206" s="80"/>
      <c r="BQ206" s="80"/>
      <c r="BR206" s="80"/>
      <c r="BS206" s="80"/>
      <c r="BT206" s="80"/>
      <c r="BU206" s="80"/>
      <c r="BV206" s="80"/>
      <c r="BW206" s="82"/>
      <c r="BX206" s="79"/>
      <c r="BY206" s="79"/>
      <c r="BZ206" s="79"/>
      <c r="CA206" s="79"/>
      <c r="CB206" s="79"/>
      <c r="CC206" s="82"/>
      <c r="CD206" s="82"/>
      <c r="CE206" s="82"/>
      <c r="CF206" s="82"/>
      <c r="CG206" s="82"/>
      <c r="CH206" s="82"/>
      <c r="CI206" s="82"/>
      <c r="CJ206" s="79"/>
      <c r="CK206" s="79"/>
      <c r="CL206" s="79"/>
      <c r="CM206" s="79"/>
      <c r="CN206" s="79"/>
      <c r="CO206" s="79"/>
    </row>
    <row r="207" spans="1:93">
      <c r="A207" s="98"/>
      <c r="B207" s="178"/>
      <c r="C207" s="188"/>
      <c r="D207" s="47"/>
      <c r="E207" s="126"/>
      <c r="F207" s="154"/>
      <c r="G207" s="167"/>
      <c r="H207" s="167"/>
      <c r="I207" s="170"/>
      <c r="J207" s="155"/>
      <c r="K207" s="156"/>
      <c r="L207" s="157"/>
      <c r="M207" s="157"/>
      <c r="N207" s="183"/>
      <c r="O207" s="177"/>
      <c r="P207" s="145"/>
      <c r="Q207" s="141"/>
      <c r="R207" s="190"/>
      <c r="S207" s="83"/>
      <c r="T207" s="87"/>
      <c r="U207" s="87"/>
      <c r="V207" s="87"/>
      <c r="W207" s="44"/>
      <c r="X207" s="88"/>
      <c r="Y207" s="79"/>
      <c r="Z207" s="79"/>
      <c r="AA207" s="79"/>
      <c r="AB207" s="79"/>
      <c r="AC207" s="86"/>
      <c r="AD207" s="82"/>
      <c r="AE207" s="79"/>
      <c r="AF207" s="88"/>
      <c r="AG207" s="80"/>
      <c r="AH207" s="79"/>
      <c r="AI207" s="79"/>
      <c r="AJ207" s="79"/>
      <c r="AK207" s="80"/>
      <c r="AL207" s="80"/>
      <c r="AM207" s="80"/>
      <c r="AN207" s="79"/>
      <c r="AO207" s="80"/>
      <c r="AP207" s="80"/>
      <c r="AQ207" s="80"/>
      <c r="AR207" s="85"/>
      <c r="AS207" s="85"/>
      <c r="AT207" s="85"/>
      <c r="AU207" s="85"/>
      <c r="AV207" s="85"/>
      <c r="AW207" s="82"/>
      <c r="AX207" s="79"/>
      <c r="AY207" s="82"/>
      <c r="AZ207" s="82"/>
      <c r="BA207" s="86"/>
      <c r="BB207" s="79"/>
      <c r="BC207" s="79"/>
      <c r="BD207" s="79"/>
      <c r="BE207" s="82"/>
      <c r="BF207" s="85"/>
      <c r="BG207" s="79"/>
      <c r="BH207" s="79"/>
      <c r="BI207" s="79"/>
      <c r="BJ207" s="88"/>
      <c r="BK207" s="88"/>
      <c r="BL207" s="79"/>
      <c r="BM207" s="185"/>
      <c r="BN207" s="90"/>
      <c r="BO207" s="80"/>
      <c r="BP207" s="80"/>
      <c r="BQ207" s="80"/>
      <c r="BR207" s="80"/>
      <c r="BS207" s="80"/>
      <c r="BT207" s="80"/>
      <c r="BU207" s="80"/>
      <c r="BV207" s="80"/>
      <c r="BW207" s="82"/>
      <c r="BX207" s="79"/>
      <c r="BY207" s="79"/>
      <c r="BZ207" s="79"/>
      <c r="CA207" s="79"/>
      <c r="CB207" s="79"/>
      <c r="CC207" s="82"/>
      <c r="CD207" s="82"/>
      <c r="CE207" s="82"/>
      <c r="CF207" s="82"/>
      <c r="CG207" s="82"/>
      <c r="CH207" s="82"/>
      <c r="CI207" s="82"/>
      <c r="CJ207" s="79"/>
      <c r="CK207" s="79"/>
      <c r="CL207" s="79"/>
      <c r="CM207" s="79"/>
      <c r="CN207" s="79"/>
      <c r="CO207" s="79"/>
    </row>
    <row r="208" spans="1:93">
      <c r="A208" s="98"/>
      <c r="B208" s="178"/>
      <c r="C208" s="188"/>
      <c r="D208" s="47"/>
      <c r="E208" s="126"/>
      <c r="F208" s="154"/>
      <c r="G208" s="167"/>
      <c r="H208" s="167"/>
      <c r="I208" s="170"/>
      <c r="J208" s="155"/>
      <c r="K208" s="156"/>
      <c r="L208" s="157"/>
      <c r="M208" s="157"/>
      <c r="N208" s="183"/>
      <c r="O208" s="177"/>
      <c r="P208" s="145"/>
      <c r="Q208" s="141"/>
      <c r="R208" s="190"/>
      <c r="S208" s="83"/>
      <c r="T208" s="87"/>
      <c r="U208" s="87"/>
      <c r="V208" s="87"/>
      <c r="W208" s="44"/>
      <c r="X208" s="88"/>
      <c r="Y208" s="79"/>
      <c r="Z208" s="79"/>
      <c r="AA208" s="79"/>
      <c r="AB208" s="79"/>
      <c r="AC208" s="86"/>
      <c r="AD208" s="82"/>
      <c r="AE208" s="79"/>
      <c r="AF208" s="88"/>
      <c r="AG208" s="80"/>
      <c r="AH208" s="79"/>
      <c r="AI208" s="79"/>
      <c r="AJ208" s="79"/>
      <c r="AK208" s="80"/>
      <c r="AL208" s="80"/>
      <c r="AM208" s="80"/>
      <c r="AN208" s="79"/>
      <c r="AO208" s="80"/>
      <c r="AP208" s="80"/>
      <c r="AQ208" s="80"/>
      <c r="AR208" s="85"/>
      <c r="AS208" s="85"/>
      <c r="AT208" s="85"/>
      <c r="AU208" s="85"/>
      <c r="AV208" s="85"/>
      <c r="AW208" s="82"/>
      <c r="AX208" s="79"/>
      <c r="AY208" s="82"/>
      <c r="AZ208" s="82"/>
      <c r="BA208" s="86"/>
      <c r="BB208" s="79"/>
      <c r="BC208" s="79"/>
      <c r="BD208" s="79"/>
      <c r="BE208" s="82"/>
      <c r="BF208" s="85"/>
      <c r="BG208" s="79"/>
      <c r="BH208" s="79"/>
      <c r="BI208" s="79"/>
      <c r="BJ208" s="88"/>
      <c r="BK208" s="88"/>
      <c r="BL208" s="79"/>
      <c r="BM208" s="185"/>
      <c r="BN208" s="90"/>
      <c r="BO208" s="80"/>
      <c r="BP208" s="80"/>
      <c r="BQ208" s="80"/>
      <c r="BR208" s="80"/>
      <c r="BS208" s="80"/>
      <c r="BT208" s="80"/>
      <c r="BU208" s="80"/>
      <c r="BV208" s="80"/>
      <c r="BW208" s="82"/>
      <c r="BX208" s="79"/>
      <c r="BY208" s="79"/>
      <c r="BZ208" s="79"/>
      <c r="CA208" s="79"/>
      <c r="CB208" s="79"/>
      <c r="CC208" s="82"/>
      <c r="CD208" s="82"/>
      <c r="CE208" s="82"/>
      <c r="CF208" s="82"/>
      <c r="CG208" s="82"/>
      <c r="CH208" s="82"/>
      <c r="CI208" s="82"/>
      <c r="CJ208" s="79"/>
      <c r="CK208" s="79"/>
      <c r="CL208" s="79"/>
      <c r="CM208" s="79"/>
      <c r="CN208" s="79"/>
      <c r="CO208" s="79"/>
    </row>
    <row r="209" spans="1:93">
      <c r="A209" s="98"/>
      <c r="B209" s="178"/>
      <c r="C209" s="188"/>
      <c r="D209" s="47"/>
      <c r="E209" s="126"/>
      <c r="F209" s="154"/>
      <c r="G209" s="167"/>
      <c r="H209" s="167"/>
      <c r="I209" s="170"/>
      <c r="J209" s="155"/>
      <c r="K209" s="156"/>
      <c r="L209" s="157"/>
      <c r="M209" s="157"/>
      <c r="N209" s="183"/>
      <c r="O209" s="177"/>
      <c r="P209" s="145"/>
      <c r="Q209" s="141"/>
      <c r="R209" s="190"/>
      <c r="S209" s="83"/>
      <c r="T209" s="87"/>
      <c r="U209" s="87"/>
      <c r="V209" s="87"/>
      <c r="W209" s="44"/>
      <c r="X209" s="88"/>
      <c r="Y209" s="79"/>
      <c r="Z209" s="79"/>
      <c r="AA209" s="79"/>
      <c r="AB209" s="79"/>
      <c r="AC209" s="86"/>
      <c r="AD209" s="82"/>
      <c r="AE209" s="79"/>
      <c r="AF209" s="88"/>
      <c r="AG209" s="80"/>
      <c r="AH209" s="79"/>
      <c r="AI209" s="79"/>
      <c r="AJ209" s="79"/>
      <c r="AK209" s="80"/>
      <c r="AL209" s="80"/>
      <c r="AM209" s="80"/>
      <c r="AN209" s="79"/>
      <c r="AO209" s="80"/>
      <c r="AP209" s="80"/>
      <c r="AQ209" s="80"/>
      <c r="AR209" s="85"/>
      <c r="AS209" s="85"/>
      <c r="AT209" s="85"/>
      <c r="AU209" s="85"/>
      <c r="AV209" s="85"/>
      <c r="AW209" s="82"/>
      <c r="AX209" s="79"/>
      <c r="AY209" s="82"/>
      <c r="AZ209" s="82"/>
      <c r="BA209" s="86"/>
      <c r="BB209" s="79"/>
      <c r="BC209" s="79"/>
      <c r="BD209" s="79"/>
      <c r="BE209" s="82"/>
      <c r="BF209" s="85"/>
      <c r="BG209" s="79"/>
      <c r="BH209" s="79"/>
      <c r="BI209" s="79"/>
      <c r="BJ209" s="88"/>
      <c r="BK209" s="88"/>
      <c r="BL209" s="79"/>
      <c r="BM209" s="185"/>
      <c r="BN209" s="90"/>
      <c r="BO209" s="80"/>
      <c r="BP209" s="80"/>
      <c r="BQ209" s="80"/>
      <c r="BR209" s="80"/>
      <c r="BS209" s="80"/>
      <c r="BT209" s="80"/>
      <c r="BU209" s="80"/>
      <c r="BV209" s="80"/>
      <c r="BW209" s="82"/>
      <c r="BX209" s="79"/>
      <c r="BY209" s="79"/>
      <c r="BZ209" s="79"/>
      <c r="CA209" s="79"/>
      <c r="CB209" s="79"/>
      <c r="CC209" s="82"/>
      <c r="CD209" s="82"/>
      <c r="CE209" s="82"/>
      <c r="CF209" s="82"/>
      <c r="CG209" s="82"/>
      <c r="CH209" s="82"/>
      <c r="CI209" s="82"/>
      <c r="CJ209" s="79"/>
      <c r="CK209" s="79"/>
      <c r="CL209" s="79"/>
      <c r="CM209" s="79"/>
      <c r="CN209" s="79"/>
      <c r="CO209" s="79"/>
    </row>
    <row r="210" spans="1:93">
      <c r="A210" s="98"/>
      <c r="B210" s="178"/>
      <c r="C210" s="188"/>
      <c r="D210" s="47"/>
      <c r="E210" s="126"/>
      <c r="F210" s="154"/>
      <c r="G210" s="167"/>
      <c r="H210" s="167"/>
      <c r="I210" s="170"/>
      <c r="J210" s="155"/>
      <c r="K210" s="156"/>
      <c r="L210" s="157"/>
      <c r="M210" s="157"/>
      <c r="N210" s="183"/>
      <c r="O210" s="177"/>
      <c r="P210" s="145"/>
      <c r="Q210" s="141"/>
      <c r="R210" s="190"/>
      <c r="S210" s="83"/>
      <c r="T210" s="87"/>
      <c r="U210" s="87"/>
      <c r="V210" s="87"/>
      <c r="W210" s="44"/>
      <c r="X210" s="88"/>
      <c r="Y210" s="79"/>
      <c r="Z210" s="79"/>
      <c r="AA210" s="79"/>
      <c r="AB210" s="79"/>
      <c r="AC210" s="86"/>
      <c r="AD210" s="82"/>
      <c r="AE210" s="79"/>
      <c r="AF210" s="88"/>
      <c r="AG210" s="80"/>
      <c r="AH210" s="79"/>
      <c r="AI210" s="79"/>
      <c r="AJ210" s="79"/>
      <c r="AK210" s="80"/>
      <c r="AL210" s="80"/>
      <c r="AM210" s="80"/>
      <c r="AN210" s="79"/>
      <c r="AO210" s="80"/>
      <c r="AP210" s="80"/>
      <c r="AQ210" s="80"/>
      <c r="AR210" s="85"/>
      <c r="AS210" s="85"/>
      <c r="AT210" s="85"/>
      <c r="AU210" s="85"/>
      <c r="AV210" s="85"/>
      <c r="AW210" s="82"/>
      <c r="AX210" s="79"/>
      <c r="AY210" s="82"/>
      <c r="AZ210" s="82"/>
      <c r="BA210" s="86"/>
      <c r="BB210" s="79"/>
      <c r="BC210" s="79"/>
      <c r="BD210" s="79"/>
      <c r="BE210" s="82"/>
      <c r="BF210" s="85"/>
      <c r="BG210" s="79"/>
      <c r="BH210" s="79"/>
      <c r="BI210" s="79"/>
      <c r="BJ210" s="88"/>
      <c r="BK210" s="88"/>
      <c r="BL210" s="79"/>
      <c r="BM210" s="185"/>
      <c r="BN210" s="90"/>
      <c r="BO210" s="80"/>
      <c r="BP210" s="80"/>
      <c r="BQ210" s="80"/>
      <c r="BR210" s="80"/>
      <c r="BS210" s="80"/>
      <c r="BT210" s="80"/>
      <c r="BU210" s="80"/>
      <c r="BV210" s="80"/>
      <c r="BW210" s="82"/>
      <c r="BX210" s="79"/>
      <c r="BY210" s="79"/>
      <c r="BZ210" s="79"/>
      <c r="CA210" s="79"/>
      <c r="CB210" s="79"/>
      <c r="CC210" s="82"/>
      <c r="CD210" s="82"/>
      <c r="CE210" s="82"/>
      <c r="CF210" s="82"/>
      <c r="CG210" s="82"/>
      <c r="CH210" s="82"/>
      <c r="CI210" s="82"/>
      <c r="CJ210" s="79"/>
      <c r="CK210" s="79"/>
      <c r="CL210" s="79"/>
      <c r="CM210" s="79"/>
      <c r="CN210" s="79"/>
      <c r="CO210" s="79"/>
    </row>
    <row r="211" spans="1:93">
      <c r="A211" s="98"/>
      <c r="B211" s="178"/>
      <c r="C211" s="188"/>
      <c r="D211" s="47"/>
      <c r="E211" s="126"/>
      <c r="F211" s="154"/>
      <c r="G211" s="167"/>
      <c r="H211" s="167"/>
      <c r="I211" s="170"/>
      <c r="J211" s="155"/>
      <c r="K211" s="156"/>
      <c r="L211" s="157"/>
      <c r="M211" s="157"/>
      <c r="N211" s="183"/>
      <c r="O211" s="177"/>
      <c r="P211" s="145"/>
      <c r="Q211" s="141"/>
      <c r="R211" s="190"/>
      <c r="S211" s="83"/>
      <c r="T211" s="87"/>
      <c r="U211" s="87"/>
      <c r="V211" s="87"/>
      <c r="W211" s="44"/>
      <c r="X211" s="88"/>
      <c r="Y211" s="79"/>
      <c r="Z211" s="79"/>
      <c r="AA211" s="79"/>
      <c r="AB211" s="79"/>
      <c r="AC211" s="86"/>
      <c r="AD211" s="82"/>
      <c r="AE211" s="79"/>
      <c r="AF211" s="88"/>
      <c r="AG211" s="80"/>
      <c r="AH211" s="79"/>
      <c r="AI211" s="79"/>
      <c r="AJ211" s="79"/>
      <c r="AK211" s="80"/>
      <c r="AL211" s="80"/>
      <c r="AM211" s="80"/>
      <c r="AN211" s="79"/>
      <c r="AO211" s="80"/>
      <c r="AP211" s="80"/>
      <c r="AQ211" s="80"/>
      <c r="AR211" s="85"/>
      <c r="AS211" s="85"/>
      <c r="AT211" s="85"/>
      <c r="AU211" s="85"/>
      <c r="AV211" s="85"/>
      <c r="AW211" s="82"/>
      <c r="AX211" s="79"/>
      <c r="AY211" s="82"/>
      <c r="AZ211" s="82"/>
      <c r="BA211" s="86"/>
      <c r="BB211" s="79"/>
      <c r="BC211" s="79"/>
      <c r="BD211" s="79"/>
      <c r="BE211" s="82"/>
      <c r="BF211" s="85"/>
      <c r="BG211" s="79"/>
      <c r="BH211" s="79"/>
      <c r="BI211" s="79"/>
      <c r="BJ211" s="88"/>
      <c r="BK211" s="88"/>
      <c r="BL211" s="79"/>
      <c r="BM211" s="185"/>
      <c r="BN211" s="90"/>
      <c r="BO211" s="80"/>
      <c r="BP211" s="80"/>
      <c r="BQ211" s="80"/>
      <c r="BR211" s="80"/>
      <c r="BS211" s="80"/>
      <c r="BT211" s="80"/>
      <c r="BU211" s="80"/>
      <c r="BV211" s="80"/>
      <c r="BW211" s="82"/>
      <c r="BX211" s="79"/>
      <c r="BY211" s="79"/>
      <c r="BZ211" s="79"/>
      <c r="CA211" s="79"/>
      <c r="CB211" s="79"/>
      <c r="CC211" s="82"/>
      <c r="CD211" s="82"/>
      <c r="CE211" s="82"/>
      <c r="CF211" s="82"/>
      <c r="CG211" s="82"/>
      <c r="CH211" s="82"/>
      <c r="CI211" s="82"/>
      <c r="CJ211" s="79"/>
      <c r="CK211" s="79"/>
      <c r="CL211" s="79"/>
      <c r="CM211" s="79"/>
      <c r="CN211" s="79"/>
      <c r="CO211" s="79"/>
    </row>
    <row r="212" spans="1:93">
      <c r="A212" s="98"/>
      <c r="B212" s="178"/>
      <c r="C212" s="188"/>
      <c r="D212" s="47"/>
      <c r="E212" s="126"/>
      <c r="F212" s="154"/>
      <c r="G212" s="167"/>
      <c r="H212" s="167"/>
      <c r="I212" s="170"/>
      <c r="J212" s="155"/>
      <c r="K212" s="156"/>
      <c r="L212" s="157"/>
      <c r="M212" s="157"/>
      <c r="N212" s="183"/>
      <c r="O212" s="177"/>
      <c r="P212" s="145"/>
      <c r="Q212" s="141"/>
      <c r="R212" s="190"/>
      <c r="S212" s="83"/>
      <c r="T212" s="87"/>
      <c r="U212" s="87"/>
      <c r="V212" s="87"/>
      <c r="W212" s="44"/>
      <c r="X212" s="88"/>
      <c r="Y212" s="79"/>
      <c r="Z212" s="79"/>
      <c r="AA212" s="79"/>
      <c r="AB212" s="79"/>
      <c r="AC212" s="86"/>
      <c r="AD212" s="82"/>
      <c r="AE212" s="79"/>
      <c r="AF212" s="88"/>
      <c r="AG212" s="80"/>
      <c r="AH212" s="79"/>
      <c r="AI212" s="79"/>
      <c r="AJ212" s="79"/>
      <c r="AK212" s="80"/>
      <c r="AL212" s="80"/>
      <c r="AM212" s="80"/>
      <c r="AN212" s="79"/>
      <c r="AO212" s="80"/>
      <c r="AP212" s="80"/>
      <c r="AQ212" s="80"/>
      <c r="AR212" s="85"/>
      <c r="AS212" s="85"/>
      <c r="AT212" s="85"/>
      <c r="AU212" s="85"/>
      <c r="AV212" s="85"/>
      <c r="AW212" s="82"/>
      <c r="AX212" s="79"/>
      <c r="AY212" s="82"/>
      <c r="AZ212" s="82"/>
      <c r="BA212" s="86"/>
      <c r="BB212" s="79"/>
      <c r="BC212" s="79"/>
      <c r="BD212" s="79"/>
      <c r="BE212" s="82"/>
      <c r="BF212" s="85"/>
      <c r="BG212" s="79"/>
      <c r="BH212" s="79"/>
      <c r="BI212" s="79"/>
      <c r="BJ212" s="88"/>
      <c r="BK212" s="88"/>
      <c r="BL212" s="79"/>
      <c r="BM212" s="185"/>
      <c r="BN212" s="90"/>
      <c r="BO212" s="80"/>
      <c r="BP212" s="80"/>
      <c r="BQ212" s="80"/>
      <c r="BR212" s="80"/>
      <c r="BS212" s="80"/>
      <c r="BT212" s="80"/>
      <c r="BU212" s="80"/>
      <c r="BV212" s="80"/>
      <c r="BW212" s="82"/>
      <c r="BX212" s="79"/>
      <c r="BY212" s="79"/>
      <c r="BZ212" s="79"/>
      <c r="CA212" s="79"/>
      <c r="CB212" s="79"/>
      <c r="CC212" s="82"/>
      <c r="CD212" s="82"/>
      <c r="CE212" s="82"/>
      <c r="CF212" s="82"/>
      <c r="CG212" s="82"/>
      <c r="CH212" s="82"/>
      <c r="CI212" s="82"/>
      <c r="CJ212" s="79"/>
      <c r="CK212" s="79"/>
      <c r="CL212" s="79"/>
      <c r="CM212" s="79"/>
      <c r="CN212" s="79"/>
      <c r="CO212" s="79"/>
    </row>
    <row r="213" spans="1:93">
      <c r="A213" s="98"/>
      <c r="B213" s="178"/>
      <c r="C213" s="188"/>
      <c r="D213" s="47"/>
      <c r="E213" s="126"/>
      <c r="F213" s="154"/>
      <c r="G213" s="167"/>
      <c r="H213" s="167"/>
      <c r="I213" s="170"/>
      <c r="J213" s="155"/>
      <c r="K213" s="156"/>
      <c r="L213" s="157"/>
      <c r="M213" s="157"/>
      <c r="N213" s="183"/>
      <c r="O213" s="177"/>
      <c r="P213" s="145"/>
      <c r="Q213" s="141"/>
      <c r="R213" s="190"/>
      <c r="S213" s="83"/>
      <c r="T213" s="87"/>
      <c r="U213" s="87"/>
      <c r="V213" s="87"/>
      <c r="W213" s="44"/>
      <c r="X213" s="88"/>
      <c r="Y213" s="79"/>
      <c r="Z213" s="79"/>
      <c r="AA213" s="79"/>
      <c r="AB213" s="79"/>
      <c r="AC213" s="86"/>
      <c r="AD213" s="82"/>
      <c r="AE213" s="79"/>
      <c r="AF213" s="88"/>
      <c r="AG213" s="80"/>
      <c r="AH213" s="79"/>
      <c r="AI213" s="79"/>
      <c r="AJ213" s="79"/>
      <c r="AK213" s="80"/>
      <c r="AL213" s="80"/>
      <c r="AM213" s="80"/>
      <c r="AN213" s="79"/>
      <c r="AO213" s="80"/>
      <c r="AP213" s="80"/>
      <c r="AQ213" s="80"/>
      <c r="AR213" s="85"/>
      <c r="AS213" s="85"/>
      <c r="AT213" s="85"/>
      <c r="AU213" s="85"/>
      <c r="AV213" s="85"/>
      <c r="AW213" s="82"/>
      <c r="AX213" s="79"/>
      <c r="AY213" s="82"/>
      <c r="AZ213" s="82"/>
      <c r="BA213" s="86"/>
      <c r="BB213" s="79"/>
      <c r="BC213" s="79"/>
      <c r="BD213" s="79"/>
      <c r="BE213" s="82"/>
      <c r="BF213" s="85"/>
      <c r="BG213" s="79"/>
      <c r="BH213" s="79"/>
      <c r="BI213" s="79"/>
      <c r="BJ213" s="88"/>
      <c r="BK213" s="88"/>
      <c r="BL213" s="79"/>
      <c r="BM213" s="185"/>
      <c r="BN213" s="90"/>
      <c r="BO213" s="80"/>
      <c r="BP213" s="80"/>
      <c r="BQ213" s="80"/>
      <c r="BR213" s="80"/>
      <c r="BS213" s="80"/>
      <c r="BT213" s="80"/>
      <c r="BU213" s="80"/>
      <c r="BV213" s="80"/>
      <c r="BW213" s="82"/>
      <c r="BX213" s="79"/>
      <c r="BY213" s="79"/>
      <c r="BZ213" s="79"/>
      <c r="CA213" s="79"/>
      <c r="CB213" s="79"/>
      <c r="CC213" s="82"/>
      <c r="CD213" s="82"/>
      <c r="CE213" s="82"/>
      <c r="CF213" s="82"/>
      <c r="CG213" s="82"/>
      <c r="CH213" s="82"/>
      <c r="CI213" s="82"/>
      <c r="CJ213" s="79"/>
      <c r="CK213" s="79"/>
      <c r="CL213" s="79"/>
      <c r="CM213" s="79"/>
      <c r="CN213" s="79"/>
      <c r="CO213" s="79"/>
    </row>
    <row r="214" spans="1:93">
      <c r="A214" s="98"/>
      <c r="B214" s="178"/>
      <c r="C214" s="188"/>
      <c r="D214" s="47"/>
      <c r="E214" s="126"/>
      <c r="F214" s="154"/>
      <c r="G214" s="167"/>
      <c r="H214" s="167"/>
      <c r="I214" s="170"/>
      <c r="J214" s="155"/>
      <c r="K214" s="156"/>
      <c r="L214" s="157"/>
      <c r="M214" s="157"/>
      <c r="N214" s="183"/>
      <c r="O214" s="177"/>
      <c r="P214" s="145"/>
      <c r="Q214" s="141"/>
      <c r="R214" s="190"/>
      <c r="S214" s="83"/>
      <c r="T214" s="87"/>
      <c r="U214" s="87"/>
      <c r="V214" s="87"/>
      <c r="W214" s="44"/>
      <c r="X214" s="88"/>
      <c r="Y214" s="79"/>
      <c r="Z214" s="79"/>
      <c r="AA214" s="79"/>
      <c r="AB214" s="79"/>
      <c r="AC214" s="86"/>
      <c r="AD214" s="82"/>
      <c r="AE214" s="79"/>
      <c r="AF214" s="88"/>
      <c r="AG214" s="80"/>
      <c r="AH214" s="79"/>
      <c r="AI214" s="79"/>
      <c r="AJ214" s="79"/>
      <c r="AK214" s="80"/>
      <c r="AL214" s="80"/>
      <c r="AM214" s="80"/>
      <c r="AN214" s="79"/>
      <c r="AO214" s="80"/>
      <c r="AP214" s="80"/>
      <c r="AQ214" s="80"/>
      <c r="AR214" s="85"/>
      <c r="AS214" s="85"/>
      <c r="AT214" s="85"/>
      <c r="AU214" s="85"/>
      <c r="AV214" s="85"/>
      <c r="AW214" s="82"/>
      <c r="AX214" s="79"/>
      <c r="AY214" s="82"/>
      <c r="AZ214" s="82"/>
      <c r="BA214" s="86"/>
      <c r="BB214" s="79"/>
      <c r="BC214" s="79"/>
      <c r="BD214" s="79"/>
      <c r="BE214" s="82"/>
      <c r="BF214" s="85"/>
      <c r="BG214" s="79"/>
      <c r="BH214" s="79"/>
      <c r="BI214" s="79"/>
      <c r="BJ214" s="88"/>
      <c r="BK214" s="88"/>
      <c r="BL214" s="79"/>
      <c r="BM214" s="185"/>
      <c r="BN214" s="90"/>
      <c r="BO214" s="80"/>
      <c r="BP214" s="80"/>
      <c r="BQ214" s="80"/>
      <c r="BR214" s="80"/>
      <c r="BS214" s="80"/>
      <c r="BT214" s="80"/>
      <c r="BU214" s="80"/>
      <c r="BV214" s="80"/>
      <c r="BW214" s="82"/>
      <c r="BX214" s="79"/>
      <c r="BY214" s="79"/>
      <c r="BZ214" s="79"/>
      <c r="CA214" s="79"/>
      <c r="CB214" s="79"/>
      <c r="CC214" s="82"/>
      <c r="CD214" s="82"/>
      <c r="CE214" s="82"/>
      <c r="CF214" s="82"/>
      <c r="CG214" s="82"/>
      <c r="CH214" s="82"/>
      <c r="CI214" s="82"/>
      <c r="CJ214" s="79"/>
      <c r="CK214" s="79"/>
      <c r="CL214" s="79"/>
      <c r="CM214" s="79"/>
      <c r="CN214" s="79"/>
      <c r="CO214" s="79"/>
    </row>
    <row r="215" spans="1:93">
      <c r="A215" s="98"/>
      <c r="B215" s="178"/>
      <c r="C215" s="188"/>
      <c r="D215" s="47"/>
      <c r="E215" s="126"/>
      <c r="F215" s="154"/>
      <c r="G215" s="167"/>
      <c r="H215" s="167"/>
      <c r="I215" s="170"/>
      <c r="J215" s="155"/>
      <c r="K215" s="156"/>
      <c r="L215" s="157"/>
      <c r="M215" s="157"/>
      <c r="N215" s="183"/>
      <c r="O215" s="177"/>
      <c r="P215" s="145"/>
      <c r="Q215" s="141"/>
      <c r="R215" s="190"/>
      <c r="S215" s="83"/>
      <c r="T215" s="87"/>
      <c r="U215" s="87"/>
      <c r="V215" s="87"/>
      <c r="W215" s="44"/>
      <c r="X215" s="88"/>
      <c r="Y215" s="79"/>
      <c r="Z215" s="79"/>
      <c r="AA215" s="79"/>
      <c r="AB215" s="79"/>
      <c r="AC215" s="86"/>
      <c r="AD215" s="82"/>
      <c r="AE215" s="79"/>
      <c r="AF215" s="88"/>
      <c r="AG215" s="80"/>
      <c r="AH215" s="79"/>
      <c r="AI215" s="79"/>
      <c r="AJ215" s="79"/>
      <c r="AK215" s="80"/>
      <c r="AL215" s="80"/>
      <c r="AM215" s="80"/>
      <c r="AN215" s="79"/>
      <c r="AO215" s="80"/>
      <c r="AP215" s="80"/>
      <c r="AQ215" s="80"/>
      <c r="AR215" s="85"/>
      <c r="AS215" s="85"/>
      <c r="AT215" s="85"/>
      <c r="AU215" s="85"/>
      <c r="AV215" s="85"/>
      <c r="AW215" s="82"/>
      <c r="AX215" s="79"/>
      <c r="AY215" s="82"/>
      <c r="AZ215" s="82"/>
      <c r="BA215" s="86"/>
      <c r="BB215" s="79"/>
      <c r="BC215" s="79"/>
      <c r="BD215" s="79"/>
      <c r="BE215" s="82"/>
      <c r="BF215" s="85"/>
      <c r="BG215" s="79"/>
      <c r="BH215" s="79"/>
      <c r="BI215" s="79"/>
      <c r="BJ215" s="88"/>
      <c r="BK215" s="88"/>
      <c r="BL215" s="79"/>
      <c r="BM215" s="185"/>
      <c r="BN215" s="90"/>
      <c r="BO215" s="80"/>
      <c r="BP215" s="80"/>
      <c r="BQ215" s="80"/>
      <c r="BR215" s="80"/>
      <c r="BS215" s="80"/>
      <c r="BT215" s="80"/>
      <c r="BU215" s="80"/>
      <c r="BV215" s="80"/>
      <c r="BW215" s="82"/>
      <c r="BX215" s="79"/>
      <c r="BY215" s="79"/>
      <c r="BZ215" s="79"/>
      <c r="CA215" s="79"/>
      <c r="CB215" s="79"/>
      <c r="CC215" s="82"/>
      <c r="CD215" s="82"/>
      <c r="CE215" s="82"/>
      <c r="CF215" s="82"/>
      <c r="CG215" s="82"/>
      <c r="CH215" s="82"/>
      <c r="CI215" s="82"/>
      <c r="CJ215" s="79"/>
      <c r="CK215" s="79"/>
      <c r="CL215" s="79"/>
      <c r="CM215" s="79"/>
      <c r="CN215" s="79"/>
      <c r="CO215" s="79"/>
    </row>
    <row r="216" spans="1:93">
      <c r="A216" s="98"/>
      <c r="B216" s="178"/>
      <c r="C216" s="188"/>
      <c r="D216" s="47"/>
      <c r="E216" s="126"/>
      <c r="F216" s="154"/>
      <c r="G216" s="167"/>
      <c r="H216" s="167"/>
      <c r="I216" s="170"/>
      <c r="J216" s="155"/>
      <c r="K216" s="156"/>
      <c r="L216" s="157"/>
      <c r="M216" s="157"/>
      <c r="N216" s="183"/>
      <c r="O216" s="177"/>
      <c r="P216" s="145"/>
      <c r="Q216" s="141"/>
      <c r="R216" s="190"/>
      <c r="S216" s="83"/>
      <c r="T216" s="87"/>
      <c r="U216" s="87"/>
      <c r="V216" s="87"/>
      <c r="W216" s="44"/>
      <c r="X216" s="88"/>
      <c r="Y216" s="79"/>
      <c r="Z216" s="79"/>
      <c r="AA216" s="79"/>
      <c r="AB216" s="79"/>
      <c r="AC216" s="86"/>
      <c r="AD216" s="82"/>
      <c r="AE216" s="79"/>
      <c r="AF216" s="88"/>
      <c r="AG216" s="80"/>
      <c r="AH216" s="79"/>
      <c r="AI216" s="79"/>
      <c r="AJ216" s="79"/>
      <c r="AK216" s="80"/>
      <c r="AL216" s="80"/>
      <c r="AM216" s="80"/>
      <c r="AN216" s="79"/>
      <c r="AO216" s="80"/>
      <c r="AP216" s="80"/>
      <c r="AQ216" s="80"/>
      <c r="AR216" s="85"/>
      <c r="AS216" s="85"/>
      <c r="AT216" s="85"/>
      <c r="AU216" s="85"/>
      <c r="AV216" s="85"/>
      <c r="AW216" s="82"/>
      <c r="AX216" s="79"/>
      <c r="AY216" s="82"/>
      <c r="AZ216" s="82"/>
      <c r="BA216" s="86"/>
      <c r="BB216" s="79"/>
      <c r="BC216" s="79"/>
      <c r="BD216" s="79"/>
      <c r="BE216" s="82"/>
      <c r="BF216" s="85"/>
      <c r="BG216" s="79"/>
      <c r="BH216" s="79"/>
      <c r="BI216" s="79"/>
      <c r="BJ216" s="88"/>
      <c r="BK216" s="88"/>
      <c r="BL216" s="79"/>
      <c r="BM216" s="185"/>
      <c r="BN216" s="90"/>
      <c r="BO216" s="80"/>
      <c r="BP216" s="80"/>
      <c r="BQ216" s="80"/>
      <c r="BR216" s="80"/>
      <c r="BS216" s="80"/>
      <c r="BT216" s="80"/>
      <c r="BU216" s="80"/>
      <c r="BV216" s="80"/>
      <c r="BW216" s="82"/>
      <c r="BX216" s="79"/>
      <c r="BY216" s="79"/>
      <c r="BZ216" s="79"/>
      <c r="CA216" s="79"/>
      <c r="CB216" s="79"/>
      <c r="CC216" s="82"/>
      <c r="CD216" s="82"/>
      <c r="CE216" s="82"/>
      <c r="CF216" s="82"/>
      <c r="CG216" s="82"/>
      <c r="CH216" s="82"/>
      <c r="CI216" s="82"/>
      <c r="CJ216" s="79"/>
      <c r="CK216" s="79"/>
      <c r="CL216" s="79"/>
      <c r="CM216" s="79"/>
      <c r="CN216" s="79"/>
      <c r="CO216" s="79"/>
    </row>
    <row r="217" spans="1:93">
      <c r="A217" s="98"/>
      <c r="B217" s="178"/>
      <c r="C217" s="188"/>
      <c r="D217" s="47"/>
      <c r="E217" s="126"/>
      <c r="F217" s="154"/>
      <c r="G217" s="167"/>
      <c r="H217" s="167"/>
      <c r="I217" s="170"/>
      <c r="J217" s="155"/>
      <c r="K217" s="156"/>
      <c r="L217" s="157"/>
      <c r="M217" s="157"/>
      <c r="N217" s="183"/>
      <c r="O217" s="177"/>
      <c r="P217" s="145"/>
      <c r="Q217" s="141"/>
      <c r="R217" s="190"/>
      <c r="S217" s="83"/>
      <c r="T217" s="87"/>
      <c r="U217" s="87"/>
      <c r="V217" s="87"/>
      <c r="W217" s="44"/>
      <c r="X217" s="88"/>
      <c r="Y217" s="79"/>
      <c r="Z217" s="79"/>
      <c r="AA217" s="79"/>
      <c r="AB217" s="79"/>
      <c r="AC217" s="86"/>
      <c r="AD217" s="82"/>
      <c r="AE217" s="79"/>
      <c r="AF217" s="88"/>
      <c r="AG217" s="80"/>
      <c r="AH217" s="79"/>
      <c r="AI217" s="79"/>
      <c r="AJ217" s="79"/>
      <c r="AK217" s="80"/>
      <c r="AL217" s="80"/>
      <c r="AM217" s="80"/>
      <c r="AN217" s="79"/>
      <c r="AO217" s="80"/>
      <c r="AP217" s="80"/>
      <c r="AQ217" s="80"/>
      <c r="AR217" s="85"/>
      <c r="AS217" s="85"/>
      <c r="AT217" s="85"/>
      <c r="AU217" s="85"/>
      <c r="AV217" s="85"/>
      <c r="AW217" s="82"/>
      <c r="AX217" s="79"/>
      <c r="AY217" s="82"/>
      <c r="AZ217" s="82"/>
      <c r="BA217" s="86"/>
      <c r="BB217" s="79"/>
      <c r="BC217" s="79"/>
      <c r="BD217" s="79"/>
      <c r="BE217" s="82"/>
      <c r="BF217" s="85"/>
      <c r="BG217" s="79"/>
      <c r="BH217" s="79"/>
      <c r="BI217" s="79"/>
      <c r="BJ217" s="88"/>
      <c r="BK217" s="88"/>
      <c r="BL217" s="79"/>
      <c r="BM217" s="185"/>
      <c r="BN217" s="90"/>
      <c r="BO217" s="80"/>
      <c r="BP217" s="80"/>
      <c r="BQ217" s="80"/>
      <c r="BR217" s="80"/>
      <c r="BS217" s="80"/>
      <c r="BT217" s="80"/>
      <c r="BU217" s="80"/>
      <c r="BV217" s="80"/>
      <c r="BW217" s="82"/>
      <c r="BX217" s="79"/>
      <c r="BY217" s="79"/>
      <c r="BZ217" s="79"/>
      <c r="CA217" s="79"/>
      <c r="CB217" s="79"/>
      <c r="CC217" s="82"/>
      <c r="CD217" s="82"/>
      <c r="CE217" s="82"/>
      <c r="CF217" s="82"/>
      <c r="CG217" s="82"/>
      <c r="CH217" s="82"/>
      <c r="CI217" s="82"/>
      <c r="CJ217" s="79"/>
      <c r="CK217" s="79"/>
      <c r="CL217" s="79"/>
      <c r="CM217" s="79"/>
      <c r="CN217" s="79"/>
      <c r="CO217" s="79"/>
    </row>
    <row r="218" spans="1:93">
      <c r="A218" s="98"/>
      <c r="B218" s="178"/>
      <c r="C218" s="188"/>
      <c r="D218" s="47"/>
      <c r="E218" s="126"/>
      <c r="F218" s="154"/>
      <c r="G218" s="167"/>
      <c r="H218" s="167"/>
      <c r="I218" s="170"/>
      <c r="J218" s="155"/>
      <c r="K218" s="156"/>
      <c r="L218" s="157"/>
      <c r="M218" s="157"/>
      <c r="N218" s="183"/>
      <c r="O218" s="177"/>
      <c r="P218" s="145"/>
      <c r="Q218" s="141"/>
      <c r="R218" s="190"/>
      <c r="S218" s="83"/>
      <c r="T218" s="87"/>
      <c r="U218" s="87"/>
      <c r="V218" s="87"/>
      <c r="W218" s="44"/>
      <c r="X218" s="88"/>
      <c r="Y218" s="79"/>
      <c r="Z218" s="79"/>
      <c r="AA218" s="79"/>
      <c r="AB218" s="79"/>
      <c r="AC218" s="86"/>
      <c r="AD218" s="82"/>
      <c r="AE218" s="79"/>
      <c r="AF218" s="88"/>
      <c r="AG218" s="80"/>
      <c r="AH218" s="79"/>
      <c r="AI218" s="79"/>
      <c r="AJ218" s="79"/>
      <c r="AK218" s="80"/>
      <c r="AL218" s="80"/>
      <c r="AM218" s="80"/>
      <c r="AN218" s="79"/>
      <c r="AO218" s="80"/>
      <c r="AP218" s="80"/>
      <c r="AQ218" s="80"/>
      <c r="AR218" s="85"/>
      <c r="AS218" s="85"/>
      <c r="AT218" s="85"/>
      <c r="AU218" s="85"/>
      <c r="AV218" s="85"/>
      <c r="AW218" s="82"/>
      <c r="AX218" s="79"/>
      <c r="AY218" s="82"/>
      <c r="AZ218" s="82"/>
      <c r="BA218" s="86"/>
      <c r="BB218" s="79"/>
      <c r="BC218" s="79"/>
      <c r="BD218" s="79"/>
      <c r="BE218" s="82"/>
      <c r="BF218" s="85"/>
      <c r="BG218" s="79"/>
      <c r="BH218" s="79"/>
      <c r="BI218" s="79"/>
      <c r="BJ218" s="88"/>
      <c r="BK218" s="88"/>
      <c r="BL218" s="79"/>
      <c r="BM218" s="185"/>
      <c r="BN218" s="90"/>
      <c r="BO218" s="80"/>
      <c r="BP218" s="80"/>
      <c r="BQ218" s="80"/>
      <c r="BR218" s="80"/>
      <c r="BS218" s="80"/>
      <c r="BT218" s="80"/>
      <c r="BU218" s="80"/>
      <c r="BV218" s="80"/>
      <c r="BW218" s="82"/>
      <c r="BX218" s="79"/>
      <c r="BY218" s="79"/>
      <c r="BZ218" s="79"/>
      <c r="CA218" s="79"/>
      <c r="CB218" s="79"/>
      <c r="CC218" s="82"/>
      <c r="CD218" s="82"/>
      <c r="CE218" s="82"/>
      <c r="CF218" s="82"/>
      <c r="CG218" s="82"/>
      <c r="CH218" s="82"/>
      <c r="CI218" s="82"/>
      <c r="CJ218" s="79"/>
      <c r="CK218" s="79"/>
      <c r="CL218" s="79"/>
      <c r="CM218" s="79"/>
      <c r="CN218" s="79"/>
      <c r="CO218" s="79"/>
    </row>
    <row r="219" spans="1:93">
      <c r="A219" s="98"/>
      <c r="B219" s="178"/>
      <c r="C219" s="188"/>
      <c r="D219" s="47"/>
      <c r="E219" s="126"/>
      <c r="F219" s="154"/>
      <c r="G219" s="167"/>
      <c r="H219" s="167"/>
      <c r="I219" s="170"/>
      <c r="J219" s="155"/>
      <c r="K219" s="156"/>
      <c r="L219" s="157"/>
      <c r="M219" s="157"/>
      <c r="N219" s="183"/>
      <c r="O219" s="177"/>
      <c r="P219" s="145"/>
      <c r="Q219" s="141"/>
      <c r="R219" s="190"/>
      <c r="S219" s="83"/>
      <c r="T219" s="87"/>
      <c r="U219" s="87"/>
      <c r="V219" s="87"/>
      <c r="W219" s="44"/>
      <c r="X219" s="88"/>
      <c r="Y219" s="79"/>
      <c r="Z219" s="79"/>
      <c r="AA219" s="79"/>
      <c r="AB219" s="79"/>
      <c r="AC219" s="86"/>
      <c r="AD219" s="82"/>
      <c r="AE219" s="79"/>
      <c r="AF219" s="88"/>
      <c r="AG219" s="80"/>
      <c r="AH219" s="79"/>
      <c r="AI219" s="79"/>
      <c r="AJ219" s="79"/>
      <c r="AK219" s="80"/>
      <c r="AL219" s="80"/>
      <c r="AM219" s="80"/>
      <c r="AN219" s="79"/>
      <c r="AO219" s="80"/>
      <c r="AP219" s="80"/>
      <c r="AQ219" s="80"/>
      <c r="AR219" s="85"/>
      <c r="AS219" s="85"/>
      <c r="AT219" s="85"/>
      <c r="AU219" s="85"/>
      <c r="AV219" s="85"/>
      <c r="AW219" s="82"/>
      <c r="AX219" s="79"/>
      <c r="AY219" s="82"/>
      <c r="AZ219" s="82"/>
      <c r="BA219" s="86"/>
      <c r="BB219" s="79"/>
      <c r="BC219" s="79"/>
      <c r="BD219" s="79"/>
      <c r="BE219" s="82"/>
      <c r="BF219" s="85"/>
      <c r="BG219" s="79"/>
      <c r="BH219" s="79"/>
      <c r="BI219" s="79"/>
      <c r="BJ219" s="88"/>
      <c r="BK219" s="88"/>
      <c r="BL219" s="79"/>
      <c r="BM219" s="185"/>
      <c r="BN219" s="90"/>
      <c r="BO219" s="80"/>
      <c r="BP219" s="80"/>
      <c r="BQ219" s="80"/>
      <c r="BR219" s="80"/>
      <c r="BS219" s="80"/>
      <c r="BT219" s="80"/>
      <c r="BU219" s="80"/>
      <c r="BV219" s="80"/>
      <c r="BW219" s="82"/>
      <c r="BX219" s="79"/>
      <c r="BY219" s="79"/>
      <c r="BZ219" s="79"/>
      <c r="CA219" s="79"/>
      <c r="CB219" s="79"/>
      <c r="CC219" s="82"/>
      <c r="CD219" s="82"/>
      <c r="CE219" s="82"/>
      <c r="CF219" s="82"/>
      <c r="CG219" s="82"/>
      <c r="CH219" s="82"/>
      <c r="CI219" s="82"/>
      <c r="CJ219" s="79"/>
      <c r="CK219" s="79"/>
      <c r="CL219" s="79"/>
      <c r="CM219" s="79"/>
      <c r="CN219" s="79"/>
      <c r="CO219" s="79"/>
    </row>
    <row r="220" spans="1:93">
      <c r="A220" s="98"/>
      <c r="B220" s="178"/>
      <c r="C220" s="188"/>
      <c r="D220" s="47"/>
      <c r="E220" s="126"/>
      <c r="F220" s="154"/>
      <c r="G220" s="167"/>
      <c r="H220" s="167"/>
      <c r="I220" s="170"/>
      <c r="J220" s="155"/>
      <c r="K220" s="156"/>
      <c r="L220" s="157"/>
      <c r="M220" s="157"/>
      <c r="N220" s="183"/>
      <c r="O220" s="177"/>
      <c r="P220" s="145"/>
      <c r="Q220" s="141"/>
      <c r="R220" s="190"/>
      <c r="S220" s="83"/>
      <c r="T220" s="87"/>
      <c r="U220" s="87"/>
      <c r="V220" s="87"/>
      <c r="W220" s="44"/>
      <c r="X220" s="88"/>
      <c r="Y220" s="79"/>
      <c r="Z220" s="79"/>
      <c r="AA220" s="79"/>
      <c r="AB220" s="79"/>
      <c r="AC220" s="86"/>
      <c r="AD220" s="82"/>
      <c r="AE220" s="79"/>
      <c r="AF220" s="88"/>
      <c r="AG220" s="80"/>
      <c r="AH220" s="79"/>
      <c r="AI220" s="79"/>
      <c r="AJ220" s="79"/>
      <c r="AK220" s="80"/>
      <c r="AL220" s="80"/>
      <c r="AM220" s="80"/>
      <c r="AN220" s="79"/>
      <c r="AO220" s="80"/>
      <c r="AP220" s="80"/>
      <c r="AQ220" s="80"/>
      <c r="AR220" s="85"/>
      <c r="AS220" s="85"/>
      <c r="AT220" s="85"/>
      <c r="AU220" s="85"/>
      <c r="AV220" s="85"/>
      <c r="AW220" s="82"/>
      <c r="AX220" s="79"/>
      <c r="AY220" s="82"/>
      <c r="AZ220" s="82"/>
      <c r="BA220" s="86"/>
      <c r="BB220" s="79"/>
      <c r="BC220" s="79"/>
      <c r="BD220" s="79"/>
      <c r="BE220" s="82"/>
      <c r="BF220" s="85"/>
      <c r="BG220" s="79"/>
      <c r="BH220" s="79"/>
      <c r="BI220" s="79"/>
      <c r="BJ220" s="88"/>
      <c r="BK220" s="88"/>
      <c r="BL220" s="79"/>
      <c r="BM220" s="185"/>
      <c r="BN220" s="90"/>
      <c r="BO220" s="80"/>
      <c r="BP220" s="80"/>
      <c r="BQ220" s="80"/>
      <c r="BR220" s="80"/>
      <c r="BS220" s="80"/>
      <c r="BT220" s="80"/>
      <c r="BU220" s="80"/>
      <c r="BV220" s="80"/>
      <c r="BW220" s="82"/>
      <c r="BX220" s="79"/>
      <c r="BY220" s="79"/>
      <c r="BZ220" s="79"/>
      <c r="CA220" s="79"/>
      <c r="CB220" s="79"/>
      <c r="CC220" s="82"/>
      <c r="CD220" s="82"/>
      <c r="CE220" s="82"/>
      <c r="CF220" s="82"/>
      <c r="CG220" s="82"/>
      <c r="CH220" s="82"/>
      <c r="CI220" s="82"/>
      <c r="CJ220" s="79"/>
      <c r="CK220" s="79"/>
      <c r="CL220" s="79"/>
      <c r="CM220" s="79"/>
      <c r="CN220" s="79"/>
      <c r="CO220" s="79"/>
    </row>
    <row r="221" spans="1:93">
      <c r="A221" s="98"/>
      <c r="B221" s="178"/>
      <c r="C221" s="188"/>
      <c r="D221" s="47"/>
      <c r="E221" s="126"/>
      <c r="F221" s="154"/>
      <c r="G221" s="167"/>
      <c r="H221" s="167"/>
      <c r="I221" s="170"/>
      <c r="J221" s="155"/>
      <c r="K221" s="156"/>
      <c r="L221" s="157"/>
      <c r="M221" s="157"/>
      <c r="N221" s="183"/>
      <c r="O221" s="177"/>
      <c r="P221" s="145"/>
      <c r="Q221" s="141"/>
      <c r="R221" s="190"/>
      <c r="S221" s="83"/>
      <c r="T221" s="87"/>
      <c r="U221" s="87"/>
      <c r="V221" s="87"/>
      <c r="W221" s="44"/>
      <c r="X221" s="88"/>
      <c r="Y221" s="79"/>
      <c r="Z221" s="79"/>
      <c r="AA221" s="79"/>
      <c r="AB221" s="79"/>
      <c r="AC221" s="86"/>
      <c r="AD221" s="82"/>
      <c r="AE221" s="79"/>
      <c r="AF221" s="88"/>
      <c r="AG221" s="80"/>
      <c r="AH221" s="79"/>
      <c r="AI221" s="79"/>
      <c r="AJ221" s="79"/>
      <c r="AK221" s="80"/>
      <c r="AL221" s="80"/>
      <c r="AM221" s="80"/>
      <c r="AN221" s="79"/>
      <c r="AO221" s="80"/>
      <c r="AP221" s="80"/>
      <c r="AQ221" s="80"/>
      <c r="AR221" s="85"/>
      <c r="AS221" s="85"/>
      <c r="AT221" s="85"/>
      <c r="AU221" s="85"/>
      <c r="AV221" s="85"/>
      <c r="AW221" s="82"/>
      <c r="AX221" s="79"/>
      <c r="AY221" s="82"/>
      <c r="AZ221" s="82"/>
      <c r="BA221" s="86"/>
      <c r="BB221" s="79"/>
      <c r="BC221" s="79"/>
      <c r="BD221" s="79"/>
      <c r="BE221" s="82"/>
      <c r="BF221" s="85"/>
      <c r="BG221" s="79"/>
      <c r="BH221" s="79"/>
      <c r="BI221" s="79"/>
      <c r="BJ221" s="88"/>
      <c r="BK221" s="88"/>
      <c r="BL221" s="79"/>
      <c r="BM221" s="185"/>
      <c r="BN221" s="90"/>
      <c r="BO221" s="80"/>
      <c r="BP221" s="80"/>
      <c r="BQ221" s="80"/>
      <c r="BR221" s="80"/>
      <c r="BS221" s="80"/>
      <c r="BT221" s="80"/>
      <c r="BU221" s="80"/>
      <c r="BV221" s="80"/>
      <c r="BW221" s="82"/>
      <c r="BX221" s="79"/>
      <c r="BY221" s="79"/>
      <c r="BZ221" s="79"/>
      <c r="CA221" s="79"/>
      <c r="CB221" s="79"/>
      <c r="CC221" s="82"/>
      <c r="CD221" s="82"/>
      <c r="CE221" s="82"/>
      <c r="CF221" s="82"/>
      <c r="CG221" s="82"/>
      <c r="CH221" s="82"/>
      <c r="CI221" s="82"/>
      <c r="CJ221" s="79"/>
      <c r="CK221" s="79"/>
      <c r="CL221" s="79"/>
      <c r="CM221" s="79"/>
      <c r="CN221" s="79"/>
      <c r="CO221" s="79"/>
    </row>
    <row r="222" spans="1:93">
      <c r="A222" s="98"/>
      <c r="B222" s="178"/>
      <c r="C222" s="188"/>
      <c r="D222" s="47"/>
      <c r="E222" s="126"/>
      <c r="F222" s="154"/>
      <c r="G222" s="167"/>
      <c r="H222" s="167"/>
      <c r="I222" s="170"/>
      <c r="J222" s="155"/>
      <c r="K222" s="156"/>
      <c r="L222" s="157"/>
      <c r="M222" s="157"/>
      <c r="N222" s="183"/>
      <c r="O222" s="177"/>
      <c r="P222" s="145"/>
      <c r="Q222" s="141"/>
      <c r="R222" s="190"/>
      <c r="S222" s="83"/>
      <c r="T222" s="87"/>
      <c r="U222" s="87"/>
      <c r="V222" s="87"/>
      <c r="W222" s="44"/>
      <c r="X222" s="88"/>
      <c r="Y222" s="79"/>
      <c r="Z222" s="79"/>
      <c r="AA222" s="79"/>
      <c r="AB222" s="79"/>
      <c r="AC222" s="86"/>
      <c r="AD222" s="82"/>
      <c r="AE222" s="79"/>
      <c r="AF222" s="88"/>
      <c r="AG222" s="80"/>
      <c r="AH222" s="79"/>
      <c r="AI222" s="79"/>
      <c r="AJ222" s="79"/>
      <c r="AK222" s="80"/>
      <c r="AL222" s="80"/>
      <c r="AM222" s="80"/>
      <c r="AN222" s="79"/>
      <c r="AO222" s="80"/>
      <c r="AP222" s="80"/>
      <c r="AQ222" s="80"/>
      <c r="AR222" s="85"/>
      <c r="AS222" s="85"/>
      <c r="AT222" s="85"/>
      <c r="AU222" s="85"/>
      <c r="AV222" s="85"/>
      <c r="AW222" s="82"/>
      <c r="AX222" s="79"/>
      <c r="AY222" s="82"/>
      <c r="AZ222" s="82"/>
      <c r="BA222" s="86"/>
      <c r="BB222" s="79"/>
      <c r="BC222" s="79"/>
      <c r="BD222" s="79"/>
      <c r="BE222" s="82"/>
      <c r="BF222" s="85"/>
      <c r="BG222" s="79"/>
      <c r="BH222" s="79"/>
      <c r="BI222" s="79"/>
      <c r="BJ222" s="88"/>
      <c r="BK222" s="88"/>
      <c r="BL222" s="79"/>
      <c r="BM222" s="185"/>
      <c r="BN222" s="90"/>
      <c r="BO222" s="80"/>
      <c r="BP222" s="80"/>
      <c r="BQ222" s="80"/>
      <c r="BR222" s="80"/>
      <c r="BS222" s="80"/>
      <c r="BT222" s="80"/>
      <c r="BU222" s="80"/>
      <c r="BV222" s="80"/>
      <c r="BW222" s="82"/>
      <c r="BX222" s="79"/>
      <c r="BY222" s="79"/>
      <c r="BZ222" s="79"/>
      <c r="CA222" s="79"/>
      <c r="CB222" s="79"/>
      <c r="CC222" s="82"/>
      <c r="CD222" s="82"/>
      <c r="CE222" s="82"/>
      <c r="CF222" s="82"/>
      <c r="CG222" s="82"/>
      <c r="CH222" s="82"/>
      <c r="CI222" s="82"/>
      <c r="CJ222" s="79"/>
      <c r="CK222" s="79"/>
      <c r="CL222" s="79"/>
      <c r="CM222" s="79"/>
      <c r="CN222" s="79"/>
      <c r="CO222" s="79"/>
    </row>
    <row r="223" spans="1:93">
      <c r="A223" s="98"/>
      <c r="B223" s="178"/>
      <c r="C223" s="188"/>
      <c r="D223" s="47"/>
      <c r="E223" s="126"/>
      <c r="F223" s="154"/>
      <c r="G223" s="167"/>
      <c r="H223" s="167"/>
      <c r="I223" s="170"/>
      <c r="J223" s="155"/>
      <c r="K223" s="156"/>
      <c r="L223" s="157"/>
      <c r="M223" s="157"/>
      <c r="N223" s="183"/>
      <c r="O223" s="177"/>
      <c r="P223" s="145"/>
      <c r="Q223" s="141"/>
      <c r="R223" s="190"/>
      <c r="S223" s="83"/>
      <c r="T223" s="87"/>
      <c r="U223" s="87"/>
      <c r="V223" s="87"/>
      <c r="W223" s="44"/>
      <c r="X223" s="88"/>
      <c r="Y223" s="79"/>
      <c r="Z223" s="79"/>
      <c r="AA223" s="79"/>
      <c r="AB223" s="79"/>
      <c r="AC223" s="86"/>
      <c r="AD223" s="82"/>
      <c r="AE223" s="79"/>
      <c r="AF223" s="88"/>
      <c r="AG223" s="80"/>
      <c r="AH223" s="79"/>
      <c r="AI223" s="79"/>
      <c r="AJ223" s="79"/>
      <c r="AK223" s="80"/>
      <c r="AL223" s="80"/>
      <c r="AM223" s="80"/>
      <c r="AN223" s="79"/>
      <c r="AO223" s="80"/>
      <c r="AP223" s="80"/>
      <c r="AQ223" s="80"/>
      <c r="AR223" s="85"/>
      <c r="AS223" s="85"/>
      <c r="AT223" s="85"/>
      <c r="AU223" s="85"/>
      <c r="AV223" s="85"/>
      <c r="AW223" s="82"/>
      <c r="AX223" s="79"/>
      <c r="AY223" s="82"/>
      <c r="AZ223" s="82"/>
      <c r="BA223" s="86"/>
      <c r="BB223" s="79"/>
      <c r="BC223" s="79"/>
      <c r="BD223" s="79"/>
      <c r="BE223" s="82"/>
      <c r="BF223" s="85"/>
      <c r="BG223" s="79"/>
      <c r="BH223" s="79"/>
      <c r="BI223" s="79"/>
      <c r="BJ223" s="88"/>
      <c r="BK223" s="88"/>
      <c r="BL223" s="79"/>
      <c r="BM223" s="185"/>
      <c r="BN223" s="90"/>
      <c r="BO223" s="80"/>
      <c r="BP223" s="80"/>
      <c r="BQ223" s="80"/>
      <c r="BR223" s="80"/>
      <c r="BS223" s="80"/>
      <c r="BT223" s="80"/>
      <c r="BU223" s="80"/>
      <c r="BV223" s="80"/>
      <c r="BW223" s="82"/>
      <c r="BX223" s="79"/>
      <c r="BY223" s="79"/>
      <c r="BZ223" s="79"/>
      <c r="CA223" s="79"/>
      <c r="CB223" s="79"/>
      <c r="CC223" s="82"/>
      <c r="CD223" s="82"/>
      <c r="CE223" s="82"/>
      <c r="CF223" s="82"/>
      <c r="CG223" s="82"/>
      <c r="CH223" s="82"/>
      <c r="CI223" s="82"/>
      <c r="CJ223" s="79"/>
      <c r="CK223" s="79"/>
      <c r="CL223" s="79"/>
      <c r="CM223" s="79"/>
      <c r="CN223" s="79"/>
      <c r="CO223" s="79"/>
    </row>
    <row r="224" spans="1:93">
      <c r="A224" s="98"/>
      <c r="B224" s="178"/>
      <c r="C224" s="188"/>
      <c r="D224" s="47"/>
      <c r="E224" s="126"/>
      <c r="F224" s="154"/>
      <c r="G224" s="167"/>
      <c r="H224" s="167"/>
      <c r="I224" s="170"/>
      <c r="J224" s="155"/>
      <c r="K224" s="156"/>
      <c r="L224" s="157"/>
      <c r="M224" s="157"/>
      <c r="N224" s="183"/>
      <c r="O224" s="177"/>
      <c r="P224" s="145"/>
      <c r="Q224" s="141"/>
      <c r="R224" s="190"/>
      <c r="S224" s="83"/>
      <c r="T224" s="87"/>
      <c r="U224" s="87"/>
      <c r="V224" s="87"/>
      <c r="W224" s="44"/>
      <c r="X224" s="88"/>
      <c r="Y224" s="79"/>
      <c r="Z224" s="79"/>
      <c r="AA224" s="79"/>
      <c r="AB224" s="79"/>
      <c r="AC224" s="86"/>
      <c r="AD224" s="82"/>
      <c r="AE224" s="79"/>
      <c r="AF224" s="88"/>
      <c r="AG224" s="80"/>
      <c r="AH224" s="79"/>
      <c r="AI224" s="79"/>
      <c r="AJ224" s="79"/>
      <c r="AK224" s="80"/>
      <c r="AL224" s="80"/>
      <c r="AM224" s="80"/>
      <c r="AN224" s="79"/>
      <c r="AO224" s="80"/>
      <c r="AP224" s="80"/>
      <c r="AQ224" s="80"/>
      <c r="AR224" s="85"/>
      <c r="AS224" s="85"/>
      <c r="AT224" s="85"/>
      <c r="AU224" s="85"/>
      <c r="AV224" s="85"/>
      <c r="AW224" s="82"/>
      <c r="AX224" s="79"/>
      <c r="AY224" s="82"/>
      <c r="AZ224" s="82"/>
      <c r="BA224" s="86"/>
      <c r="BB224" s="79"/>
      <c r="BC224" s="79"/>
      <c r="BD224" s="79"/>
      <c r="BE224" s="82"/>
      <c r="BF224" s="85"/>
      <c r="BG224" s="79"/>
      <c r="BH224" s="79"/>
      <c r="BI224" s="79"/>
      <c r="BJ224" s="88"/>
      <c r="BK224" s="88"/>
      <c r="BL224" s="79"/>
      <c r="BM224" s="185"/>
      <c r="BN224" s="90"/>
      <c r="BO224" s="80"/>
      <c r="BP224" s="80"/>
      <c r="BQ224" s="80"/>
      <c r="BR224" s="80"/>
      <c r="BS224" s="80"/>
      <c r="BT224" s="80"/>
      <c r="BU224" s="80"/>
      <c r="BV224" s="80"/>
      <c r="BW224" s="82"/>
      <c r="BX224" s="79"/>
      <c r="BY224" s="79"/>
      <c r="BZ224" s="79"/>
      <c r="CA224" s="79"/>
      <c r="CB224" s="79"/>
      <c r="CC224" s="82"/>
      <c r="CD224" s="82"/>
      <c r="CE224" s="82"/>
      <c r="CF224" s="82"/>
      <c r="CG224" s="82"/>
      <c r="CH224" s="82"/>
      <c r="CI224" s="82"/>
      <c r="CJ224" s="79"/>
      <c r="CK224" s="79"/>
      <c r="CL224" s="79"/>
      <c r="CM224" s="79"/>
      <c r="CN224" s="79"/>
      <c r="CO224" s="79"/>
    </row>
    <row r="225" spans="1:93">
      <c r="A225" s="98"/>
      <c r="B225" s="178"/>
      <c r="C225" s="188"/>
      <c r="D225" s="47"/>
      <c r="E225" s="126"/>
      <c r="F225" s="154"/>
      <c r="G225" s="167"/>
      <c r="H225" s="167"/>
      <c r="I225" s="170"/>
      <c r="J225" s="155"/>
      <c r="K225" s="156"/>
      <c r="L225" s="157"/>
      <c r="M225" s="157"/>
      <c r="N225" s="183"/>
      <c r="O225" s="177"/>
      <c r="P225" s="145"/>
      <c r="Q225" s="141"/>
      <c r="R225" s="190"/>
      <c r="S225" s="83"/>
      <c r="T225" s="87"/>
      <c r="U225" s="87"/>
      <c r="V225" s="87"/>
      <c r="W225" s="44"/>
      <c r="X225" s="88"/>
      <c r="Y225" s="79"/>
      <c r="Z225" s="79"/>
      <c r="AA225" s="79"/>
      <c r="AB225" s="79"/>
      <c r="AC225" s="86"/>
      <c r="AD225" s="82"/>
      <c r="AE225" s="79"/>
      <c r="AF225" s="88"/>
      <c r="AG225" s="80"/>
      <c r="AH225" s="79"/>
      <c r="AI225" s="79"/>
      <c r="AJ225" s="79"/>
      <c r="AK225" s="80"/>
      <c r="AL225" s="80"/>
      <c r="AM225" s="80"/>
      <c r="AN225" s="79"/>
      <c r="AO225" s="80"/>
      <c r="AP225" s="80"/>
      <c r="AQ225" s="80"/>
      <c r="AR225" s="85"/>
      <c r="AS225" s="85"/>
      <c r="AT225" s="85"/>
      <c r="AU225" s="85"/>
      <c r="AV225" s="85"/>
      <c r="AW225" s="82"/>
      <c r="AX225" s="79"/>
      <c r="AY225" s="82"/>
      <c r="AZ225" s="82"/>
      <c r="BA225" s="86"/>
      <c r="BB225" s="79"/>
      <c r="BC225" s="79"/>
      <c r="BD225" s="79"/>
      <c r="BE225" s="82"/>
      <c r="BF225" s="85"/>
      <c r="BG225" s="79"/>
      <c r="BH225" s="79"/>
      <c r="BI225" s="79"/>
      <c r="BJ225" s="88"/>
      <c r="BK225" s="88"/>
      <c r="BL225" s="79"/>
      <c r="BM225" s="185"/>
      <c r="BN225" s="90"/>
      <c r="BO225" s="80"/>
      <c r="BP225" s="80"/>
      <c r="BQ225" s="80"/>
      <c r="BR225" s="80"/>
      <c r="BS225" s="80"/>
      <c r="BT225" s="80"/>
      <c r="BU225" s="80"/>
      <c r="BV225" s="80"/>
      <c r="BW225" s="82"/>
      <c r="BX225" s="79"/>
      <c r="BY225" s="79"/>
      <c r="BZ225" s="79"/>
      <c r="CA225" s="79"/>
      <c r="CB225" s="79"/>
      <c r="CC225" s="82"/>
      <c r="CD225" s="82"/>
      <c r="CE225" s="82"/>
      <c r="CF225" s="82"/>
      <c r="CG225" s="82"/>
      <c r="CH225" s="82"/>
      <c r="CI225" s="82"/>
      <c r="CJ225" s="79"/>
      <c r="CK225" s="79"/>
      <c r="CL225" s="79"/>
      <c r="CM225" s="79"/>
      <c r="CN225" s="79"/>
      <c r="CO225" s="79"/>
    </row>
    <row r="226" spans="1:93">
      <c r="A226" s="98"/>
      <c r="B226" s="178"/>
      <c r="C226" s="188"/>
      <c r="D226" s="47"/>
      <c r="E226" s="126"/>
      <c r="F226" s="154"/>
      <c r="G226" s="167"/>
      <c r="H226" s="167"/>
      <c r="I226" s="170"/>
      <c r="J226" s="155"/>
      <c r="K226" s="156"/>
      <c r="L226" s="157"/>
      <c r="M226" s="157"/>
      <c r="N226" s="183"/>
      <c r="O226" s="177"/>
      <c r="P226" s="145"/>
      <c r="Q226" s="141"/>
      <c r="R226" s="190"/>
      <c r="S226" s="83"/>
      <c r="T226" s="87"/>
      <c r="U226" s="87"/>
      <c r="V226" s="87"/>
      <c r="W226" s="44"/>
      <c r="X226" s="88"/>
      <c r="Y226" s="79"/>
      <c r="Z226" s="79"/>
      <c r="AA226" s="79"/>
      <c r="AB226" s="79"/>
      <c r="AC226" s="86"/>
      <c r="AD226" s="82"/>
      <c r="AE226" s="79"/>
      <c r="AF226" s="88"/>
      <c r="AG226" s="80"/>
      <c r="AH226" s="79"/>
      <c r="AI226" s="79"/>
      <c r="AJ226" s="79"/>
      <c r="AK226" s="80"/>
      <c r="AL226" s="80"/>
      <c r="AM226" s="80"/>
      <c r="AN226" s="79"/>
      <c r="AO226" s="80"/>
      <c r="AP226" s="80"/>
      <c r="AQ226" s="80"/>
      <c r="AR226" s="85"/>
      <c r="AS226" s="85"/>
      <c r="AT226" s="85"/>
      <c r="AU226" s="85"/>
      <c r="AV226" s="85"/>
      <c r="AW226" s="82"/>
      <c r="AX226" s="79"/>
      <c r="AY226" s="82"/>
      <c r="AZ226" s="82"/>
      <c r="BA226" s="86"/>
      <c r="BB226" s="79"/>
      <c r="BC226" s="79"/>
      <c r="BD226" s="79"/>
      <c r="BE226" s="82"/>
      <c r="BF226" s="85"/>
      <c r="BG226" s="79"/>
      <c r="BH226" s="79"/>
      <c r="BI226" s="79"/>
      <c r="BJ226" s="88"/>
      <c r="BK226" s="88"/>
      <c r="BL226" s="79"/>
      <c r="BM226" s="185"/>
      <c r="BN226" s="90"/>
      <c r="BO226" s="80"/>
      <c r="BP226" s="80"/>
      <c r="BQ226" s="80"/>
      <c r="BR226" s="80"/>
      <c r="BS226" s="80"/>
      <c r="BT226" s="80"/>
      <c r="BU226" s="80"/>
      <c r="BV226" s="80"/>
      <c r="BW226" s="82"/>
      <c r="BX226" s="79"/>
      <c r="BY226" s="79"/>
      <c r="BZ226" s="79"/>
      <c r="CA226" s="79"/>
      <c r="CB226" s="79"/>
      <c r="CC226" s="82"/>
      <c r="CD226" s="82"/>
      <c r="CE226" s="82"/>
      <c r="CF226" s="82"/>
      <c r="CG226" s="82"/>
      <c r="CH226" s="82"/>
      <c r="CI226" s="82"/>
      <c r="CJ226" s="79"/>
      <c r="CK226" s="79"/>
      <c r="CL226" s="79"/>
      <c r="CM226" s="79"/>
      <c r="CN226" s="79"/>
      <c r="CO226" s="79"/>
    </row>
    <row r="227" spans="1:93">
      <c r="A227" s="98"/>
      <c r="B227" s="178"/>
      <c r="C227" s="188"/>
      <c r="D227" s="47"/>
      <c r="E227" s="126"/>
      <c r="F227" s="154"/>
      <c r="G227" s="167"/>
      <c r="H227" s="167"/>
      <c r="I227" s="170"/>
      <c r="J227" s="155"/>
      <c r="K227" s="156"/>
      <c r="L227" s="157"/>
      <c r="M227" s="157"/>
      <c r="N227" s="183"/>
      <c r="O227" s="177"/>
      <c r="P227" s="145"/>
      <c r="Q227" s="141"/>
      <c r="R227" s="190"/>
      <c r="S227" s="83"/>
      <c r="T227" s="87"/>
      <c r="U227" s="87"/>
      <c r="V227" s="87"/>
      <c r="W227" s="44"/>
      <c r="X227" s="88"/>
      <c r="Y227" s="79"/>
      <c r="Z227" s="79"/>
      <c r="AA227" s="79"/>
      <c r="AB227" s="79"/>
      <c r="AC227" s="86"/>
      <c r="AD227" s="82"/>
      <c r="AE227" s="79"/>
      <c r="AF227" s="88"/>
      <c r="AG227" s="80"/>
      <c r="AH227" s="79"/>
      <c r="AI227" s="79"/>
      <c r="AJ227" s="79"/>
      <c r="AK227" s="80"/>
      <c r="AL227" s="80"/>
      <c r="AM227" s="80"/>
      <c r="AN227" s="79"/>
      <c r="AO227" s="80"/>
      <c r="AP227" s="80"/>
      <c r="AQ227" s="80"/>
      <c r="AR227" s="85"/>
      <c r="AS227" s="85"/>
      <c r="AT227" s="85"/>
      <c r="AU227" s="85"/>
      <c r="AV227" s="85"/>
      <c r="AW227" s="82"/>
      <c r="AX227" s="79"/>
      <c r="AY227" s="82"/>
      <c r="AZ227" s="82"/>
      <c r="BA227" s="86"/>
      <c r="BB227" s="79"/>
      <c r="BC227" s="79"/>
      <c r="BD227" s="79"/>
      <c r="BE227" s="82"/>
      <c r="BF227" s="85"/>
      <c r="BG227" s="79"/>
      <c r="BH227" s="79"/>
      <c r="BI227" s="79"/>
      <c r="BJ227" s="88"/>
      <c r="BK227" s="88"/>
      <c r="BL227" s="79"/>
      <c r="BM227" s="185"/>
      <c r="BN227" s="90"/>
      <c r="BO227" s="80"/>
      <c r="BP227" s="80"/>
      <c r="BQ227" s="80"/>
      <c r="BR227" s="80"/>
      <c r="BS227" s="80"/>
      <c r="BT227" s="80"/>
      <c r="BU227" s="80"/>
      <c r="BV227" s="80"/>
      <c r="BW227" s="82"/>
      <c r="BX227" s="79"/>
      <c r="BY227" s="79"/>
      <c r="BZ227" s="79"/>
      <c r="CA227" s="79"/>
      <c r="CB227" s="79"/>
      <c r="CC227" s="82"/>
      <c r="CD227" s="82"/>
      <c r="CE227" s="82"/>
      <c r="CF227" s="82"/>
      <c r="CG227" s="82"/>
      <c r="CH227" s="82"/>
      <c r="CI227" s="82"/>
      <c r="CJ227" s="79"/>
      <c r="CK227" s="79"/>
      <c r="CL227" s="79"/>
      <c r="CM227" s="79"/>
      <c r="CN227" s="79"/>
      <c r="CO227" s="79"/>
    </row>
    <row r="228" spans="1:93">
      <c r="A228" s="98"/>
      <c r="B228" s="178"/>
      <c r="C228" s="188"/>
      <c r="D228" s="47"/>
      <c r="E228" s="126"/>
      <c r="F228" s="154"/>
      <c r="G228" s="167"/>
      <c r="H228" s="167"/>
      <c r="I228" s="170"/>
      <c r="J228" s="155"/>
      <c r="K228" s="156"/>
      <c r="L228" s="157"/>
      <c r="M228" s="157"/>
      <c r="N228" s="183"/>
      <c r="O228" s="177"/>
      <c r="P228" s="145"/>
      <c r="Q228" s="141"/>
      <c r="R228" s="190"/>
      <c r="S228" s="83"/>
      <c r="T228" s="87"/>
      <c r="U228" s="87"/>
      <c r="V228" s="87"/>
      <c r="W228" s="44"/>
      <c r="X228" s="88"/>
      <c r="Y228" s="79"/>
      <c r="Z228" s="79"/>
      <c r="AA228" s="79"/>
      <c r="AB228" s="79"/>
      <c r="AC228" s="86"/>
      <c r="AD228" s="82"/>
      <c r="AE228" s="79"/>
      <c r="AF228" s="88"/>
      <c r="AG228" s="80"/>
      <c r="AH228" s="79"/>
      <c r="AI228" s="79"/>
      <c r="AJ228" s="79"/>
      <c r="AK228" s="80"/>
      <c r="AL228" s="80"/>
      <c r="AM228" s="80"/>
      <c r="AN228" s="79"/>
      <c r="AO228" s="80"/>
      <c r="AP228" s="80"/>
      <c r="AQ228" s="80"/>
      <c r="AR228" s="85"/>
      <c r="AS228" s="85"/>
      <c r="AT228" s="85"/>
      <c r="AU228" s="85"/>
      <c r="AV228" s="85"/>
      <c r="AW228" s="82"/>
      <c r="AX228" s="79"/>
      <c r="AY228" s="82"/>
      <c r="AZ228" s="82"/>
      <c r="BA228" s="86"/>
      <c r="BB228" s="79"/>
      <c r="BC228" s="79"/>
      <c r="BD228" s="79"/>
      <c r="BE228" s="82"/>
      <c r="BF228" s="85"/>
      <c r="BG228" s="79"/>
      <c r="BH228" s="79"/>
      <c r="BI228" s="79"/>
      <c r="BJ228" s="88"/>
      <c r="BK228" s="88"/>
      <c r="BL228" s="79"/>
      <c r="BM228" s="185"/>
      <c r="BN228" s="90"/>
      <c r="BO228" s="80"/>
      <c r="BP228" s="80"/>
      <c r="BQ228" s="80"/>
      <c r="BR228" s="80"/>
      <c r="BS228" s="80"/>
      <c r="BT228" s="80"/>
      <c r="BU228" s="80"/>
      <c r="BV228" s="80"/>
      <c r="BW228" s="82"/>
      <c r="BX228" s="79"/>
      <c r="BY228" s="79"/>
      <c r="BZ228" s="79"/>
      <c r="CA228" s="79"/>
      <c r="CB228" s="79"/>
      <c r="CC228" s="82"/>
      <c r="CD228" s="82"/>
      <c r="CE228" s="82"/>
      <c r="CF228" s="82"/>
      <c r="CG228" s="82"/>
      <c r="CH228" s="82"/>
      <c r="CI228" s="82"/>
      <c r="CJ228" s="79"/>
      <c r="CK228" s="79"/>
      <c r="CL228" s="79"/>
      <c r="CM228" s="79"/>
      <c r="CN228" s="79"/>
      <c r="CO228" s="79"/>
    </row>
    <row r="229" spans="1:93">
      <c r="A229" s="98"/>
      <c r="B229" s="178"/>
      <c r="C229" s="188"/>
      <c r="D229" s="47"/>
      <c r="E229" s="126"/>
      <c r="F229" s="154"/>
      <c r="G229" s="167"/>
      <c r="H229" s="167"/>
      <c r="I229" s="170"/>
      <c r="J229" s="155"/>
      <c r="K229" s="156"/>
      <c r="L229" s="157"/>
      <c r="M229" s="157"/>
      <c r="N229" s="183"/>
      <c r="O229" s="177"/>
      <c r="P229" s="145"/>
      <c r="Q229" s="141"/>
      <c r="R229" s="190"/>
      <c r="S229" s="83"/>
      <c r="T229" s="87"/>
      <c r="U229" s="87"/>
      <c r="V229" s="87"/>
      <c r="W229" s="44"/>
      <c r="X229" s="88"/>
      <c r="Y229" s="79"/>
      <c r="Z229" s="79"/>
      <c r="AA229" s="79"/>
      <c r="AB229" s="79"/>
      <c r="AC229" s="86"/>
      <c r="AD229" s="82"/>
      <c r="AE229" s="79"/>
      <c r="AF229" s="88"/>
      <c r="AG229" s="80"/>
      <c r="AH229" s="79"/>
      <c r="AI229" s="79"/>
      <c r="AJ229" s="79"/>
      <c r="AK229" s="80"/>
      <c r="AL229" s="80"/>
      <c r="AM229" s="80"/>
      <c r="AN229" s="79"/>
      <c r="AO229" s="80"/>
      <c r="AP229" s="80"/>
      <c r="AQ229" s="80"/>
      <c r="AR229" s="85"/>
      <c r="AS229" s="85"/>
      <c r="AT229" s="85"/>
      <c r="AU229" s="85"/>
      <c r="AV229" s="85"/>
      <c r="AW229" s="82"/>
      <c r="AX229" s="79"/>
      <c r="AY229" s="82"/>
      <c r="AZ229" s="82"/>
      <c r="BA229" s="86"/>
      <c r="BB229" s="79"/>
      <c r="BC229" s="79"/>
      <c r="BD229" s="79"/>
      <c r="BE229" s="82"/>
      <c r="BF229" s="85"/>
      <c r="BG229" s="79"/>
      <c r="BH229" s="79"/>
      <c r="BI229" s="79"/>
      <c r="BJ229" s="88"/>
      <c r="BK229" s="88"/>
      <c r="BL229" s="79"/>
      <c r="BM229" s="185"/>
      <c r="BN229" s="90"/>
      <c r="BO229" s="80"/>
      <c r="BP229" s="80"/>
      <c r="BQ229" s="80"/>
      <c r="BR229" s="80"/>
      <c r="BS229" s="80"/>
      <c r="BT229" s="80"/>
      <c r="BU229" s="80"/>
      <c r="BV229" s="80"/>
      <c r="BW229" s="82"/>
      <c r="BX229" s="79"/>
      <c r="BY229" s="79"/>
      <c r="BZ229" s="79"/>
      <c r="CA229" s="79"/>
      <c r="CB229" s="79"/>
      <c r="CC229" s="82"/>
      <c r="CD229" s="82"/>
      <c r="CE229" s="82"/>
      <c r="CF229" s="82"/>
      <c r="CG229" s="82"/>
      <c r="CH229" s="82"/>
      <c r="CI229" s="82"/>
      <c r="CJ229" s="79"/>
      <c r="CK229" s="79"/>
      <c r="CL229" s="79"/>
      <c r="CM229" s="79"/>
      <c r="CN229" s="79"/>
      <c r="CO229" s="79"/>
    </row>
    <row r="230" spans="1:93">
      <c r="A230" s="98"/>
      <c r="B230" s="178"/>
      <c r="C230" s="188"/>
      <c r="D230" s="47"/>
      <c r="E230" s="126"/>
      <c r="F230" s="154"/>
      <c r="G230" s="167"/>
      <c r="H230" s="167"/>
      <c r="I230" s="170"/>
      <c r="J230" s="155"/>
      <c r="K230" s="156"/>
      <c r="L230" s="157"/>
      <c r="M230" s="157"/>
      <c r="N230" s="183"/>
      <c r="O230" s="177"/>
      <c r="P230" s="145"/>
      <c r="Q230" s="141"/>
      <c r="R230" s="190"/>
      <c r="S230" s="83"/>
      <c r="T230" s="87"/>
      <c r="U230" s="87"/>
      <c r="V230" s="87"/>
      <c r="W230" s="44"/>
      <c r="X230" s="88"/>
      <c r="Y230" s="79"/>
      <c r="Z230" s="79"/>
      <c r="AA230" s="79"/>
      <c r="AB230" s="79"/>
      <c r="AC230" s="86"/>
      <c r="AD230" s="82"/>
      <c r="AE230" s="79"/>
      <c r="AF230" s="88"/>
      <c r="AG230" s="80"/>
      <c r="AH230" s="79"/>
      <c r="AI230" s="79"/>
      <c r="AJ230" s="79"/>
      <c r="AK230" s="80"/>
      <c r="AL230" s="80"/>
      <c r="AM230" s="80"/>
      <c r="AN230" s="79"/>
      <c r="AO230" s="80"/>
      <c r="AP230" s="80"/>
      <c r="AQ230" s="80"/>
      <c r="AR230" s="85"/>
      <c r="AS230" s="85"/>
      <c r="AT230" s="85"/>
      <c r="AU230" s="85"/>
      <c r="AV230" s="85"/>
      <c r="AW230" s="82"/>
      <c r="AX230" s="79"/>
      <c r="AY230" s="82"/>
      <c r="AZ230" s="82"/>
      <c r="BA230" s="86"/>
      <c r="BB230" s="79"/>
      <c r="BC230" s="79"/>
      <c r="BD230" s="79"/>
      <c r="BE230" s="82"/>
      <c r="BF230" s="85"/>
      <c r="BG230" s="79"/>
      <c r="BH230" s="79"/>
      <c r="BI230" s="79"/>
      <c r="BJ230" s="88"/>
      <c r="BK230" s="88"/>
      <c r="BL230" s="79"/>
      <c r="BM230" s="185"/>
      <c r="BN230" s="90"/>
      <c r="BO230" s="80"/>
      <c r="BP230" s="80"/>
      <c r="BQ230" s="80"/>
      <c r="BR230" s="80"/>
      <c r="BS230" s="80"/>
      <c r="BT230" s="80"/>
      <c r="BU230" s="80"/>
      <c r="BV230" s="80"/>
      <c r="BW230" s="82"/>
      <c r="BX230" s="79"/>
      <c r="BY230" s="79"/>
      <c r="BZ230" s="79"/>
      <c r="CA230" s="79"/>
      <c r="CB230" s="79"/>
      <c r="CC230" s="82"/>
      <c r="CD230" s="82"/>
      <c r="CE230" s="82"/>
      <c r="CF230" s="82"/>
      <c r="CG230" s="82"/>
      <c r="CH230" s="82"/>
      <c r="CI230" s="82"/>
      <c r="CJ230" s="79"/>
      <c r="CK230" s="79"/>
      <c r="CL230" s="79"/>
      <c r="CM230" s="79"/>
      <c r="CN230" s="79"/>
      <c r="CO230" s="79"/>
    </row>
    <row r="231" spans="1:93">
      <c r="A231" s="98"/>
      <c r="B231" s="178"/>
      <c r="C231" s="188"/>
      <c r="D231" s="47"/>
      <c r="E231" s="126"/>
      <c r="F231" s="154"/>
      <c r="G231" s="167"/>
      <c r="H231" s="167"/>
      <c r="I231" s="170"/>
      <c r="J231" s="155"/>
      <c r="K231" s="156"/>
      <c r="L231" s="157"/>
      <c r="M231" s="157"/>
      <c r="N231" s="183"/>
      <c r="O231" s="177"/>
      <c r="P231" s="145"/>
      <c r="Q231" s="141"/>
      <c r="R231" s="190"/>
      <c r="S231" s="83"/>
      <c r="T231" s="87"/>
      <c r="U231" s="87"/>
      <c r="V231" s="87"/>
      <c r="W231" s="44"/>
      <c r="X231" s="88"/>
      <c r="Y231" s="79"/>
      <c r="Z231" s="79"/>
      <c r="AA231" s="79"/>
      <c r="AB231" s="79"/>
      <c r="AC231" s="86"/>
      <c r="AD231" s="82"/>
      <c r="AE231" s="79"/>
      <c r="AF231" s="88"/>
      <c r="AG231" s="80"/>
      <c r="AH231" s="79"/>
      <c r="AI231" s="79"/>
      <c r="AJ231" s="79"/>
      <c r="AK231" s="80"/>
      <c r="AL231" s="80"/>
      <c r="AM231" s="80"/>
      <c r="AN231" s="79"/>
      <c r="AO231" s="80"/>
      <c r="AP231" s="80"/>
      <c r="AQ231" s="80"/>
      <c r="AR231" s="85"/>
      <c r="AS231" s="85"/>
      <c r="AT231" s="85"/>
      <c r="AU231" s="85"/>
      <c r="AV231" s="85"/>
      <c r="AW231" s="82"/>
      <c r="AX231" s="79"/>
      <c r="AY231" s="82"/>
      <c r="AZ231" s="82"/>
      <c r="BA231" s="86"/>
      <c r="BB231" s="79"/>
      <c r="BC231" s="79"/>
      <c r="BD231" s="79"/>
      <c r="BE231" s="82"/>
      <c r="BF231" s="85"/>
      <c r="BG231" s="79"/>
      <c r="BH231" s="79"/>
      <c r="BI231" s="79"/>
      <c r="BJ231" s="88"/>
      <c r="BK231" s="88"/>
      <c r="BL231" s="79"/>
      <c r="BM231" s="185"/>
      <c r="BN231" s="90"/>
      <c r="BO231" s="80"/>
      <c r="BP231" s="80"/>
      <c r="BQ231" s="80"/>
      <c r="BR231" s="80"/>
      <c r="BS231" s="80"/>
      <c r="BT231" s="80"/>
      <c r="BU231" s="80"/>
      <c r="BV231" s="80"/>
      <c r="BW231" s="82"/>
      <c r="BX231" s="79"/>
      <c r="BY231" s="79"/>
      <c r="BZ231" s="79"/>
      <c r="CA231" s="79"/>
      <c r="CB231" s="79"/>
      <c r="CC231" s="82"/>
      <c r="CD231" s="82"/>
      <c r="CE231" s="82"/>
      <c r="CF231" s="82"/>
      <c r="CG231" s="82"/>
      <c r="CH231" s="82"/>
      <c r="CI231" s="82"/>
      <c r="CJ231" s="79"/>
      <c r="CK231" s="79"/>
      <c r="CL231" s="79"/>
      <c r="CM231" s="79"/>
      <c r="CN231" s="79"/>
      <c r="CO231" s="79"/>
    </row>
    <row r="232" spans="1:93">
      <c r="A232" s="98"/>
      <c r="B232" s="178"/>
      <c r="C232" s="188"/>
      <c r="D232" s="47"/>
      <c r="E232" s="126"/>
      <c r="F232" s="154"/>
      <c r="G232" s="167"/>
      <c r="H232" s="167"/>
      <c r="I232" s="170"/>
      <c r="J232" s="155"/>
      <c r="K232" s="156"/>
      <c r="L232" s="157"/>
      <c r="M232" s="157"/>
      <c r="N232" s="183"/>
      <c r="O232" s="177"/>
      <c r="P232" s="145"/>
      <c r="Q232" s="141"/>
      <c r="R232" s="190"/>
      <c r="S232" s="83"/>
      <c r="T232" s="87"/>
      <c r="U232" s="87"/>
      <c r="V232" s="87"/>
      <c r="W232" s="44"/>
      <c r="X232" s="88"/>
      <c r="Y232" s="79"/>
      <c r="Z232" s="79"/>
      <c r="AA232" s="79"/>
      <c r="AB232" s="79"/>
      <c r="AC232" s="86"/>
      <c r="AD232" s="82"/>
      <c r="AE232" s="79"/>
      <c r="AF232" s="88"/>
      <c r="AG232" s="80"/>
      <c r="AH232" s="79"/>
      <c r="AI232" s="79"/>
      <c r="AJ232" s="79"/>
      <c r="AK232" s="80"/>
      <c r="AL232" s="80"/>
      <c r="AM232" s="80"/>
      <c r="AN232" s="79"/>
      <c r="AO232" s="80"/>
      <c r="AP232" s="80"/>
      <c r="AQ232" s="80"/>
      <c r="AR232" s="85"/>
      <c r="AS232" s="85"/>
      <c r="AT232" s="85"/>
      <c r="AU232" s="85"/>
      <c r="AV232" s="85"/>
      <c r="AW232" s="82"/>
      <c r="AX232" s="79"/>
      <c r="AY232" s="82"/>
      <c r="AZ232" s="82"/>
      <c r="BA232" s="86"/>
      <c r="BB232" s="79"/>
      <c r="BC232" s="79"/>
      <c r="BD232" s="79"/>
      <c r="BE232" s="82"/>
      <c r="BF232" s="85"/>
      <c r="BG232" s="79"/>
      <c r="BH232" s="79"/>
      <c r="BI232" s="79"/>
      <c r="BJ232" s="88"/>
      <c r="BK232" s="88"/>
      <c r="BL232" s="79"/>
      <c r="BM232" s="185"/>
      <c r="BN232" s="90"/>
      <c r="BO232" s="80"/>
      <c r="BP232" s="80"/>
      <c r="BQ232" s="80"/>
      <c r="BR232" s="80"/>
      <c r="BS232" s="80"/>
      <c r="BT232" s="80"/>
      <c r="BU232" s="80"/>
      <c r="BV232" s="80"/>
      <c r="BW232" s="82"/>
      <c r="BX232" s="79"/>
      <c r="BY232" s="79"/>
      <c r="BZ232" s="79"/>
      <c r="CA232" s="79"/>
      <c r="CB232" s="79"/>
      <c r="CC232" s="82"/>
      <c r="CD232" s="82"/>
      <c r="CE232" s="82"/>
      <c r="CF232" s="82"/>
      <c r="CG232" s="82"/>
      <c r="CH232" s="82"/>
      <c r="CI232" s="82"/>
      <c r="CJ232" s="79"/>
      <c r="CK232" s="79"/>
      <c r="CL232" s="79"/>
      <c r="CM232" s="79"/>
      <c r="CN232" s="79"/>
      <c r="CO232" s="79"/>
    </row>
    <row r="233" spans="1:93">
      <c r="A233" s="98"/>
      <c r="B233" s="178"/>
      <c r="C233" s="188"/>
      <c r="D233" s="47"/>
      <c r="E233" s="126"/>
      <c r="F233" s="154"/>
      <c r="G233" s="167"/>
      <c r="H233" s="167"/>
      <c r="I233" s="170"/>
      <c r="J233" s="155"/>
      <c r="K233" s="156"/>
      <c r="L233" s="157"/>
      <c r="M233" s="157"/>
      <c r="N233" s="183"/>
      <c r="O233" s="177"/>
      <c r="P233" s="145"/>
      <c r="Q233" s="141"/>
      <c r="R233" s="190"/>
      <c r="S233" s="83"/>
      <c r="T233" s="87"/>
      <c r="U233" s="87"/>
      <c r="V233" s="87"/>
      <c r="W233" s="44"/>
      <c r="X233" s="88"/>
      <c r="Y233" s="79"/>
      <c r="Z233" s="79"/>
      <c r="AA233" s="79"/>
      <c r="AB233" s="79"/>
      <c r="AC233" s="86"/>
      <c r="AD233" s="82"/>
      <c r="AE233" s="79"/>
      <c r="AF233" s="88"/>
      <c r="AG233" s="80"/>
      <c r="AH233" s="79"/>
      <c r="AI233" s="79"/>
      <c r="AJ233" s="79"/>
      <c r="AK233" s="80"/>
      <c r="AL233" s="80"/>
      <c r="AM233" s="80"/>
      <c r="AN233" s="79"/>
      <c r="AO233" s="80"/>
      <c r="AP233" s="80"/>
      <c r="AQ233" s="80"/>
      <c r="AR233" s="85"/>
      <c r="AS233" s="85"/>
      <c r="AT233" s="85"/>
      <c r="AU233" s="85"/>
      <c r="AV233" s="85"/>
      <c r="AW233" s="82"/>
      <c r="AX233" s="79"/>
      <c r="AY233" s="82"/>
      <c r="AZ233" s="82"/>
      <c r="BA233" s="86"/>
      <c r="BB233" s="79"/>
      <c r="BC233" s="79"/>
      <c r="BD233" s="79"/>
      <c r="BE233" s="82"/>
      <c r="BF233" s="85"/>
      <c r="BG233" s="79"/>
      <c r="BH233" s="79"/>
      <c r="BI233" s="79"/>
      <c r="BJ233" s="88"/>
      <c r="BK233" s="88"/>
      <c r="BL233" s="79"/>
      <c r="BM233" s="185"/>
      <c r="BN233" s="90"/>
      <c r="BO233" s="80"/>
      <c r="BP233" s="80"/>
      <c r="BQ233" s="80"/>
      <c r="BR233" s="80"/>
      <c r="BS233" s="80"/>
      <c r="BT233" s="80"/>
      <c r="BU233" s="80"/>
      <c r="BV233" s="80"/>
      <c r="BW233" s="82"/>
      <c r="BX233" s="79"/>
      <c r="BY233" s="79"/>
      <c r="BZ233" s="79"/>
      <c r="CA233" s="79"/>
      <c r="CB233" s="79"/>
      <c r="CC233" s="82"/>
      <c r="CD233" s="82"/>
      <c r="CE233" s="82"/>
      <c r="CF233" s="82"/>
      <c r="CG233" s="82"/>
      <c r="CH233" s="82"/>
      <c r="CI233" s="82"/>
      <c r="CJ233" s="79"/>
      <c r="CK233" s="79"/>
      <c r="CL233" s="79"/>
      <c r="CM233" s="79"/>
      <c r="CN233" s="79"/>
      <c r="CO233" s="79"/>
    </row>
    <row r="234" spans="1:93">
      <c r="A234" s="98"/>
      <c r="B234" s="178"/>
      <c r="C234" s="188"/>
      <c r="D234" s="47"/>
      <c r="E234" s="126"/>
      <c r="F234" s="154"/>
      <c r="G234" s="167"/>
      <c r="H234" s="167"/>
      <c r="I234" s="170"/>
      <c r="J234" s="155"/>
      <c r="K234" s="156"/>
      <c r="L234" s="157"/>
      <c r="M234" s="157"/>
      <c r="N234" s="183"/>
      <c r="O234" s="177"/>
      <c r="P234" s="145"/>
      <c r="Q234" s="141"/>
      <c r="R234" s="190"/>
      <c r="S234" s="83"/>
      <c r="T234" s="87"/>
      <c r="U234" s="87"/>
      <c r="V234" s="87"/>
      <c r="W234" s="44"/>
      <c r="X234" s="88"/>
      <c r="Y234" s="79"/>
      <c r="Z234" s="79"/>
      <c r="AA234" s="79"/>
      <c r="AB234" s="79"/>
      <c r="AC234" s="86"/>
      <c r="AD234" s="82"/>
      <c r="AE234" s="79"/>
      <c r="AF234" s="88"/>
      <c r="AG234" s="80"/>
      <c r="AH234" s="79"/>
      <c r="AI234" s="79"/>
      <c r="AJ234" s="79"/>
      <c r="AK234" s="80"/>
      <c r="AL234" s="80"/>
      <c r="AM234" s="80"/>
      <c r="AN234" s="79"/>
      <c r="AO234" s="80"/>
      <c r="AP234" s="80"/>
      <c r="AQ234" s="80"/>
      <c r="AR234" s="85"/>
      <c r="AS234" s="85"/>
      <c r="AT234" s="85"/>
      <c r="AU234" s="85"/>
      <c r="AV234" s="85"/>
      <c r="AW234" s="82"/>
      <c r="AX234" s="79"/>
      <c r="AY234" s="82"/>
      <c r="AZ234" s="82"/>
      <c r="BA234" s="86"/>
      <c r="BB234" s="79"/>
      <c r="BC234" s="79"/>
      <c r="BD234" s="79"/>
      <c r="BE234" s="82"/>
      <c r="BF234" s="85"/>
      <c r="BG234" s="79"/>
      <c r="BH234" s="79"/>
      <c r="BI234" s="79"/>
      <c r="BJ234" s="88"/>
      <c r="BK234" s="88"/>
      <c r="BL234" s="79"/>
      <c r="BM234" s="185"/>
      <c r="BN234" s="90"/>
      <c r="BO234" s="80"/>
      <c r="BP234" s="80"/>
      <c r="BQ234" s="80"/>
      <c r="BR234" s="80"/>
      <c r="BS234" s="80"/>
      <c r="BT234" s="80"/>
      <c r="BU234" s="80"/>
      <c r="BV234" s="80"/>
      <c r="BW234" s="82"/>
      <c r="BX234" s="79"/>
      <c r="BY234" s="79"/>
      <c r="BZ234" s="79"/>
      <c r="CA234" s="79"/>
      <c r="CB234" s="79"/>
      <c r="CC234" s="82"/>
      <c r="CD234" s="82"/>
      <c r="CE234" s="82"/>
      <c r="CF234" s="82"/>
      <c r="CG234" s="82"/>
      <c r="CH234" s="82"/>
      <c r="CI234" s="82"/>
      <c r="CJ234" s="79"/>
      <c r="CK234" s="79"/>
      <c r="CL234" s="79"/>
      <c r="CM234" s="79"/>
      <c r="CN234" s="79"/>
      <c r="CO234" s="79"/>
    </row>
    <row r="235" spans="1:93">
      <c r="A235" s="98"/>
      <c r="B235" s="178"/>
      <c r="C235" s="188"/>
      <c r="D235" s="47"/>
      <c r="E235" s="126"/>
      <c r="F235" s="154"/>
      <c r="G235" s="167"/>
      <c r="H235" s="167"/>
      <c r="I235" s="170"/>
      <c r="J235" s="155"/>
      <c r="K235" s="156"/>
      <c r="L235" s="157"/>
      <c r="M235" s="157"/>
      <c r="N235" s="183"/>
      <c r="O235" s="177"/>
      <c r="P235" s="145"/>
      <c r="Q235" s="141"/>
      <c r="R235" s="190"/>
      <c r="S235" s="83"/>
      <c r="T235" s="87"/>
      <c r="U235" s="87"/>
      <c r="V235" s="87"/>
      <c r="W235" s="44"/>
      <c r="X235" s="88"/>
      <c r="Y235" s="79"/>
      <c r="Z235" s="79"/>
      <c r="AA235" s="79"/>
      <c r="AB235" s="79"/>
      <c r="AC235" s="86"/>
      <c r="AD235" s="82"/>
      <c r="AE235" s="79"/>
      <c r="AF235" s="88"/>
      <c r="AG235" s="80"/>
      <c r="AH235" s="79"/>
      <c r="AI235" s="79"/>
      <c r="AJ235" s="79"/>
      <c r="AK235" s="80"/>
      <c r="AL235" s="80"/>
      <c r="AM235" s="80"/>
      <c r="AN235" s="79"/>
      <c r="AO235" s="80"/>
      <c r="AP235" s="80"/>
      <c r="AQ235" s="80"/>
      <c r="AR235" s="85"/>
      <c r="AS235" s="85"/>
      <c r="AT235" s="85"/>
      <c r="AU235" s="85"/>
      <c r="AV235" s="85"/>
      <c r="AW235" s="82"/>
      <c r="AX235" s="79"/>
      <c r="AY235" s="82"/>
      <c r="AZ235" s="82"/>
      <c r="BA235" s="86"/>
      <c r="BB235" s="79"/>
      <c r="BC235" s="79"/>
      <c r="BD235" s="79"/>
      <c r="BE235" s="82"/>
      <c r="BF235" s="85"/>
      <c r="BG235" s="79"/>
      <c r="BH235" s="79"/>
      <c r="BI235" s="79"/>
      <c r="BJ235" s="88"/>
      <c r="BK235" s="88"/>
      <c r="BL235" s="79"/>
      <c r="BM235" s="185"/>
      <c r="BN235" s="90"/>
      <c r="BO235" s="80"/>
      <c r="BP235" s="80"/>
      <c r="BQ235" s="80"/>
      <c r="BR235" s="80"/>
      <c r="BS235" s="80"/>
      <c r="BT235" s="80"/>
      <c r="BU235" s="80"/>
      <c r="BV235" s="80"/>
      <c r="BW235" s="82"/>
      <c r="BX235" s="79"/>
      <c r="BY235" s="79"/>
      <c r="BZ235" s="79"/>
      <c r="CA235" s="79"/>
      <c r="CB235" s="79"/>
      <c r="CC235" s="82"/>
      <c r="CD235" s="82"/>
      <c r="CE235" s="82"/>
      <c r="CF235" s="82"/>
      <c r="CG235" s="82"/>
      <c r="CH235" s="82"/>
      <c r="CI235" s="82"/>
      <c r="CJ235" s="79"/>
      <c r="CK235" s="79"/>
      <c r="CL235" s="79"/>
      <c r="CM235" s="79"/>
      <c r="CN235" s="79"/>
      <c r="CO235" s="79"/>
    </row>
    <row r="236" spans="1:93">
      <c r="A236" s="98"/>
      <c r="B236" s="178"/>
      <c r="C236" s="188"/>
      <c r="D236" s="47"/>
      <c r="E236" s="126"/>
      <c r="F236" s="154"/>
      <c r="G236" s="167"/>
      <c r="H236" s="167"/>
      <c r="I236" s="170"/>
      <c r="J236" s="155"/>
      <c r="K236" s="156"/>
      <c r="L236" s="157"/>
      <c r="M236" s="157"/>
      <c r="N236" s="183"/>
      <c r="O236" s="177"/>
      <c r="P236" s="145"/>
      <c r="Q236" s="141"/>
      <c r="R236" s="190"/>
      <c r="S236" s="83"/>
      <c r="T236" s="87"/>
      <c r="U236" s="87"/>
      <c r="V236" s="87"/>
      <c r="W236" s="44"/>
      <c r="X236" s="88"/>
      <c r="Y236" s="79"/>
      <c r="Z236" s="79"/>
      <c r="AA236" s="79"/>
      <c r="AB236" s="79"/>
      <c r="AC236" s="86"/>
      <c r="AD236" s="82"/>
      <c r="AE236" s="79"/>
      <c r="AF236" s="88"/>
      <c r="AG236" s="80"/>
      <c r="AH236" s="79"/>
      <c r="AI236" s="79"/>
      <c r="AJ236" s="79"/>
      <c r="AK236" s="80"/>
      <c r="AL236" s="80"/>
      <c r="AM236" s="80"/>
      <c r="AN236" s="79"/>
      <c r="AO236" s="80"/>
      <c r="AP236" s="80"/>
      <c r="AQ236" s="80"/>
      <c r="AR236" s="85"/>
      <c r="AS236" s="85"/>
      <c r="AT236" s="85"/>
      <c r="AU236" s="85"/>
      <c r="AV236" s="85"/>
      <c r="AW236" s="82"/>
      <c r="AX236" s="79"/>
      <c r="AY236" s="82"/>
      <c r="AZ236" s="82"/>
      <c r="BA236" s="86"/>
      <c r="BB236" s="79"/>
      <c r="BC236" s="79"/>
      <c r="BD236" s="79"/>
      <c r="BE236" s="82"/>
      <c r="BF236" s="85"/>
      <c r="BG236" s="79"/>
      <c r="BH236" s="79"/>
      <c r="BI236" s="79"/>
      <c r="BJ236" s="88"/>
      <c r="BK236" s="88"/>
      <c r="BL236" s="79"/>
      <c r="BM236" s="185"/>
      <c r="BN236" s="90"/>
      <c r="BO236" s="80"/>
      <c r="BP236" s="80"/>
      <c r="BQ236" s="80"/>
      <c r="BR236" s="80"/>
      <c r="BS236" s="80"/>
      <c r="BT236" s="80"/>
      <c r="BU236" s="80"/>
      <c r="BV236" s="80"/>
      <c r="BW236" s="82"/>
      <c r="BX236" s="79"/>
      <c r="BY236" s="79"/>
      <c r="BZ236" s="79"/>
      <c r="CA236" s="79"/>
      <c r="CB236" s="79"/>
      <c r="CC236" s="82"/>
      <c r="CD236" s="82"/>
      <c r="CE236" s="82"/>
      <c r="CF236" s="82"/>
      <c r="CG236" s="82"/>
      <c r="CH236" s="82"/>
      <c r="CI236" s="82"/>
      <c r="CJ236" s="79"/>
      <c r="CK236" s="79"/>
      <c r="CL236" s="79"/>
      <c r="CM236" s="79"/>
      <c r="CN236" s="79"/>
      <c r="CO236" s="79"/>
    </row>
    <row r="237" spans="1:93">
      <c r="A237" s="98"/>
      <c r="B237" s="178"/>
      <c r="C237" s="188"/>
      <c r="D237" s="47"/>
      <c r="E237" s="126"/>
      <c r="F237" s="154"/>
      <c r="G237" s="167"/>
      <c r="H237" s="167"/>
      <c r="I237" s="170"/>
      <c r="J237" s="155"/>
      <c r="K237" s="156"/>
      <c r="L237" s="157"/>
      <c r="M237" s="157"/>
      <c r="N237" s="183"/>
      <c r="O237" s="177"/>
      <c r="P237" s="145"/>
      <c r="Q237" s="141"/>
      <c r="R237" s="190"/>
      <c r="S237" s="83"/>
      <c r="T237" s="87"/>
      <c r="U237" s="87"/>
      <c r="V237" s="87"/>
      <c r="W237" s="44"/>
      <c r="X237" s="88"/>
      <c r="Y237" s="79"/>
      <c r="Z237" s="79"/>
      <c r="AA237" s="79"/>
      <c r="AB237" s="79"/>
      <c r="AC237" s="86"/>
      <c r="AD237" s="82"/>
      <c r="AE237" s="79"/>
      <c r="AF237" s="88"/>
      <c r="AG237" s="80"/>
      <c r="AH237" s="79"/>
      <c r="AI237" s="79"/>
      <c r="AJ237" s="79"/>
      <c r="AK237" s="80"/>
      <c r="AL237" s="80"/>
      <c r="AM237" s="80"/>
      <c r="AN237" s="79"/>
      <c r="AO237" s="80"/>
      <c r="AP237" s="80"/>
      <c r="AQ237" s="80"/>
      <c r="AR237" s="85"/>
      <c r="AS237" s="85"/>
      <c r="AT237" s="85"/>
      <c r="AU237" s="85"/>
      <c r="AV237" s="85"/>
      <c r="AW237" s="82"/>
      <c r="AX237" s="79"/>
      <c r="AY237" s="82"/>
      <c r="AZ237" s="82"/>
      <c r="BA237" s="86"/>
      <c r="BB237" s="79"/>
      <c r="BC237" s="79"/>
      <c r="BD237" s="79"/>
      <c r="BE237" s="82"/>
      <c r="BF237" s="85"/>
      <c r="BG237" s="79"/>
      <c r="BH237" s="79"/>
      <c r="BI237" s="79"/>
      <c r="BJ237" s="88"/>
      <c r="BK237" s="88"/>
      <c r="BL237" s="79"/>
      <c r="BM237" s="185"/>
      <c r="BN237" s="90"/>
      <c r="BO237" s="80"/>
      <c r="BP237" s="80"/>
      <c r="BQ237" s="80"/>
      <c r="BR237" s="80"/>
      <c r="BS237" s="80"/>
      <c r="BT237" s="80"/>
      <c r="BU237" s="80"/>
      <c r="BV237" s="80"/>
      <c r="BW237" s="82"/>
      <c r="BX237" s="79"/>
      <c r="BY237" s="79"/>
      <c r="BZ237" s="79"/>
      <c r="CA237" s="79"/>
      <c r="CB237" s="79"/>
      <c r="CC237" s="82"/>
      <c r="CD237" s="82"/>
      <c r="CE237" s="82"/>
      <c r="CF237" s="82"/>
      <c r="CG237" s="82"/>
      <c r="CH237" s="82"/>
      <c r="CI237" s="82"/>
      <c r="CJ237" s="79"/>
      <c r="CK237" s="79"/>
      <c r="CL237" s="79"/>
      <c r="CM237" s="79"/>
      <c r="CN237" s="79"/>
      <c r="CO237" s="79"/>
    </row>
    <row r="238" spans="1:93">
      <c r="A238" s="98"/>
      <c r="B238" s="178"/>
      <c r="C238" s="188"/>
      <c r="D238" s="47"/>
      <c r="E238" s="126"/>
      <c r="F238" s="154"/>
      <c r="G238" s="167"/>
      <c r="H238" s="167"/>
      <c r="I238" s="170"/>
      <c r="J238" s="155"/>
      <c r="K238" s="156"/>
      <c r="L238" s="157"/>
      <c r="M238" s="157"/>
      <c r="N238" s="183"/>
      <c r="O238" s="177"/>
      <c r="P238" s="145"/>
      <c r="Q238" s="141"/>
      <c r="R238" s="190"/>
      <c r="S238" s="83"/>
      <c r="T238" s="87"/>
      <c r="U238" s="87"/>
      <c r="V238" s="87"/>
      <c r="W238" s="44"/>
      <c r="X238" s="88"/>
      <c r="Y238" s="79"/>
      <c r="Z238" s="79"/>
      <c r="AA238" s="79"/>
      <c r="AB238" s="79"/>
      <c r="AC238" s="86"/>
      <c r="AD238" s="82"/>
      <c r="AE238" s="79"/>
      <c r="AF238" s="88"/>
      <c r="AG238" s="80"/>
      <c r="AH238" s="79"/>
      <c r="AI238" s="79"/>
      <c r="AJ238" s="79"/>
      <c r="AK238" s="80"/>
      <c r="AL238" s="80"/>
      <c r="AM238" s="80"/>
      <c r="AN238" s="79"/>
      <c r="AO238" s="80"/>
      <c r="AP238" s="80"/>
      <c r="AQ238" s="80"/>
      <c r="AR238" s="85"/>
      <c r="AS238" s="85"/>
      <c r="AT238" s="85"/>
      <c r="AU238" s="85"/>
      <c r="AV238" s="85"/>
      <c r="AW238" s="82"/>
      <c r="AX238" s="79"/>
      <c r="AY238" s="82"/>
      <c r="AZ238" s="82"/>
      <c r="BA238" s="86"/>
      <c r="BB238" s="79"/>
      <c r="BC238" s="79"/>
      <c r="BD238" s="79"/>
      <c r="BE238" s="82"/>
      <c r="BF238" s="85"/>
      <c r="BG238" s="79"/>
      <c r="BH238" s="79"/>
      <c r="BI238" s="79"/>
      <c r="BJ238" s="88"/>
      <c r="BK238" s="88"/>
      <c r="BL238" s="79"/>
      <c r="BM238" s="185"/>
      <c r="BN238" s="90"/>
      <c r="BO238" s="80"/>
      <c r="BP238" s="80"/>
      <c r="BQ238" s="80"/>
      <c r="BR238" s="80"/>
      <c r="BS238" s="80"/>
      <c r="BT238" s="80"/>
      <c r="BU238" s="80"/>
      <c r="BV238" s="80"/>
      <c r="BW238" s="82"/>
      <c r="BX238" s="79"/>
      <c r="BY238" s="79"/>
      <c r="BZ238" s="79"/>
      <c r="CA238" s="79"/>
      <c r="CB238" s="79"/>
      <c r="CC238" s="82"/>
      <c r="CD238" s="82"/>
      <c r="CE238" s="82"/>
      <c r="CF238" s="82"/>
      <c r="CG238" s="82"/>
      <c r="CH238" s="82"/>
      <c r="CI238" s="82"/>
      <c r="CJ238" s="79"/>
      <c r="CK238" s="79"/>
      <c r="CL238" s="79"/>
      <c r="CM238" s="79"/>
      <c r="CN238" s="79"/>
      <c r="CO238" s="79"/>
    </row>
    <row r="239" spans="1:93">
      <c r="A239" s="98"/>
      <c r="B239" s="178"/>
      <c r="C239" s="188"/>
      <c r="D239" s="47"/>
      <c r="E239" s="126"/>
      <c r="F239" s="154"/>
      <c r="G239" s="167"/>
      <c r="H239" s="167"/>
      <c r="I239" s="170"/>
      <c r="J239" s="155"/>
      <c r="K239" s="156"/>
      <c r="L239" s="157"/>
      <c r="M239" s="157"/>
      <c r="N239" s="183"/>
      <c r="O239" s="177"/>
      <c r="P239" s="145"/>
      <c r="Q239" s="141"/>
      <c r="R239" s="190"/>
      <c r="S239" s="83"/>
      <c r="T239" s="87"/>
      <c r="U239" s="87"/>
      <c r="V239" s="87"/>
      <c r="W239" s="44"/>
      <c r="X239" s="88"/>
      <c r="Y239" s="79"/>
      <c r="Z239" s="79"/>
      <c r="AA239" s="79"/>
      <c r="AB239" s="79"/>
      <c r="AC239" s="86"/>
      <c r="AD239" s="82"/>
      <c r="AE239" s="79"/>
      <c r="AF239" s="88"/>
      <c r="AG239" s="80"/>
      <c r="AH239" s="79"/>
      <c r="AI239" s="79"/>
      <c r="AJ239" s="79"/>
      <c r="AK239" s="80"/>
      <c r="AL239" s="80"/>
      <c r="AM239" s="80"/>
      <c r="AN239" s="79"/>
      <c r="AO239" s="80"/>
      <c r="AP239" s="80"/>
      <c r="AQ239" s="80"/>
      <c r="AR239" s="85"/>
      <c r="AS239" s="85"/>
      <c r="AT239" s="85"/>
      <c r="AU239" s="85"/>
      <c r="AV239" s="85"/>
      <c r="AW239" s="82"/>
      <c r="AX239" s="79"/>
      <c r="AY239" s="82"/>
      <c r="AZ239" s="82"/>
      <c r="BA239" s="86"/>
      <c r="BB239" s="79"/>
      <c r="BC239" s="79"/>
      <c r="BD239" s="79"/>
      <c r="BE239" s="82"/>
      <c r="BF239" s="85"/>
      <c r="BG239" s="79"/>
      <c r="BH239" s="79"/>
      <c r="BI239" s="79"/>
      <c r="BJ239" s="88"/>
      <c r="BK239" s="88"/>
      <c r="BL239" s="79"/>
      <c r="BM239" s="185"/>
      <c r="BN239" s="90"/>
      <c r="BO239" s="80"/>
      <c r="BP239" s="80"/>
      <c r="BQ239" s="80"/>
      <c r="BR239" s="80"/>
      <c r="BS239" s="80"/>
      <c r="BT239" s="80"/>
      <c r="BU239" s="80"/>
      <c r="BV239" s="80"/>
      <c r="BW239" s="82"/>
      <c r="BX239" s="79"/>
      <c r="BY239" s="79"/>
      <c r="BZ239" s="79"/>
      <c r="CA239" s="79"/>
      <c r="CB239" s="79"/>
      <c r="CC239" s="82"/>
      <c r="CD239" s="82"/>
      <c r="CE239" s="82"/>
      <c r="CF239" s="82"/>
      <c r="CG239" s="82"/>
      <c r="CH239" s="82"/>
      <c r="CI239" s="82"/>
      <c r="CJ239" s="79"/>
      <c r="CK239" s="79"/>
      <c r="CL239" s="79"/>
      <c r="CM239" s="79"/>
      <c r="CN239" s="79"/>
      <c r="CO239" s="79"/>
    </row>
    <row r="240" spans="1:93">
      <c r="A240" s="98"/>
      <c r="B240" s="178"/>
      <c r="C240" s="188"/>
      <c r="D240" s="47"/>
      <c r="E240" s="126"/>
      <c r="F240" s="154"/>
      <c r="G240" s="167"/>
      <c r="H240" s="167"/>
      <c r="I240" s="170"/>
      <c r="J240" s="155"/>
      <c r="K240" s="156"/>
      <c r="L240" s="157"/>
      <c r="M240" s="157"/>
      <c r="N240" s="183"/>
      <c r="O240" s="177"/>
      <c r="P240" s="145"/>
      <c r="Q240" s="141"/>
      <c r="R240" s="190"/>
      <c r="S240" s="83"/>
      <c r="T240" s="87"/>
      <c r="U240" s="87"/>
      <c r="V240" s="87"/>
      <c r="W240" s="44"/>
      <c r="X240" s="88"/>
      <c r="Y240" s="79"/>
      <c r="Z240" s="79"/>
      <c r="AA240" s="79"/>
      <c r="AB240" s="79"/>
      <c r="AC240" s="86"/>
      <c r="AD240" s="82"/>
      <c r="AE240" s="79"/>
      <c r="AF240" s="88"/>
      <c r="AG240" s="80"/>
      <c r="AH240" s="79"/>
      <c r="AI240" s="79"/>
      <c r="AJ240" s="79"/>
      <c r="AK240" s="80"/>
      <c r="AL240" s="80"/>
      <c r="AM240" s="80"/>
      <c r="AN240" s="79"/>
      <c r="AO240" s="80"/>
      <c r="AP240" s="80"/>
      <c r="AQ240" s="80"/>
      <c r="AR240" s="85"/>
      <c r="AS240" s="85"/>
      <c r="AT240" s="85"/>
      <c r="AU240" s="85"/>
      <c r="AV240" s="85"/>
      <c r="AW240" s="82"/>
      <c r="AX240" s="79"/>
      <c r="AY240" s="82"/>
      <c r="AZ240" s="82"/>
      <c r="BA240" s="86"/>
      <c r="BB240" s="79"/>
      <c r="BC240" s="79"/>
      <c r="BD240" s="79"/>
      <c r="BE240" s="82"/>
      <c r="BF240" s="85"/>
      <c r="BG240" s="79"/>
      <c r="BH240" s="79"/>
      <c r="BI240" s="79"/>
      <c r="BJ240" s="88"/>
      <c r="BK240" s="88"/>
      <c r="BL240" s="79"/>
      <c r="BM240" s="185"/>
      <c r="BN240" s="90"/>
      <c r="BO240" s="80"/>
      <c r="BP240" s="80"/>
      <c r="BQ240" s="80"/>
      <c r="BR240" s="80"/>
      <c r="BS240" s="80"/>
      <c r="BT240" s="80"/>
      <c r="BU240" s="80"/>
      <c r="BV240" s="80"/>
      <c r="BW240" s="82"/>
      <c r="BX240" s="79"/>
      <c r="BY240" s="79"/>
      <c r="BZ240" s="79"/>
      <c r="CA240" s="79"/>
      <c r="CB240" s="79"/>
      <c r="CC240" s="82"/>
      <c r="CD240" s="82"/>
      <c r="CE240" s="82"/>
      <c r="CF240" s="82"/>
      <c r="CG240" s="82"/>
      <c r="CH240" s="82"/>
      <c r="CI240" s="82"/>
      <c r="CJ240" s="79"/>
      <c r="CK240" s="79"/>
      <c r="CL240" s="79"/>
      <c r="CM240" s="79"/>
      <c r="CN240" s="79"/>
      <c r="CO240" s="79"/>
    </row>
    <row r="241" spans="1:93">
      <c r="A241" s="98"/>
      <c r="B241" s="178"/>
      <c r="C241" s="188"/>
      <c r="D241" s="47"/>
      <c r="E241" s="126"/>
      <c r="F241" s="154"/>
      <c r="G241" s="167"/>
      <c r="H241" s="167"/>
      <c r="I241" s="170"/>
      <c r="J241" s="155"/>
      <c r="K241" s="156"/>
      <c r="L241" s="157"/>
      <c r="M241" s="157"/>
      <c r="N241" s="183"/>
      <c r="O241" s="177"/>
      <c r="P241" s="145"/>
      <c r="Q241" s="141"/>
      <c r="R241" s="190"/>
      <c r="S241" s="83"/>
      <c r="T241" s="87"/>
      <c r="U241" s="87"/>
      <c r="V241" s="87"/>
      <c r="W241" s="44"/>
      <c r="X241" s="88"/>
      <c r="Y241" s="79"/>
      <c r="Z241" s="79"/>
      <c r="AA241" s="79"/>
      <c r="AB241" s="79"/>
      <c r="AC241" s="86"/>
      <c r="AD241" s="82"/>
      <c r="AE241" s="79"/>
      <c r="AF241" s="88"/>
      <c r="AG241" s="80"/>
      <c r="AH241" s="79"/>
      <c r="AI241" s="79"/>
      <c r="AJ241" s="79"/>
      <c r="AK241" s="80"/>
      <c r="AL241" s="80"/>
      <c r="AM241" s="80"/>
      <c r="AN241" s="79"/>
      <c r="AO241" s="80"/>
      <c r="AP241" s="80"/>
      <c r="AQ241" s="80"/>
      <c r="AR241" s="85"/>
      <c r="AS241" s="85"/>
      <c r="AT241" s="85"/>
      <c r="AU241" s="85"/>
      <c r="AV241" s="85"/>
      <c r="AW241" s="82"/>
      <c r="AX241" s="79"/>
      <c r="AY241" s="82"/>
      <c r="AZ241" s="82"/>
      <c r="BA241" s="86"/>
      <c r="BB241" s="79"/>
      <c r="BC241" s="79"/>
      <c r="BD241" s="79"/>
      <c r="BE241" s="82"/>
      <c r="BF241" s="85"/>
      <c r="BG241" s="79"/>
      <c r="BH241" s="79"/>
      <c r="BI241" s="79"/>
      <c r="BJ241" s="88"/>
      <c r="BK241" s="88"/>
      <c r="BL241" s="79"/>
      <c r="BM241" s="185"/>
      <c r="BN241" s="90"/>
      <c r="BO241" s="80"/>
      <c r="BP241" s="80"/>
      <c r="BQ241" s="80"/>
      <c r="BR241" s="80"/>
      <c r="BS241" s="80"/>
      <c r="BT241" s="80"/>
      <c r="BU241" s="80"/>
      <c r="BV241" s="80"/>
      <c r="BW241" s="82"/>
      <c r="BX241" s="79"/>
      <c r="BY241" s="79"/>
      <c r="BZ241" s="79"/>
      <c r="CA241" s="79"/>
      <c r="CB241" s="79"/>
      <c r="CC241" s="82"/>
      <c r="CD241" s="82"/>
      <c r="CE241" s="82"/>
      <c r="CF241" s="82"/>
      <c r="CG241" s="82"/>
      <c r="CH241" s="82"/>
      <c r="CI241" s="82"/>
      <c r="CJ241" s="79"/>
      <c r="CK241" s="79"/>
      <c r="CL241" s="79"/>
      <c r="CM241" s="79"/>
      <c r="CN241" s="79"/>
      <c r="CO241" s="79"/>
    </row>
    <row r="242" spans="1:93">
      <c r="A242" s="98"/>
      <c r="B242" s="178"/>
      <c r="C242" s="188"/>
      <c r="D242" s="47"/>
      <c r="E242" s="126"/>
      <c r="F242" s="154"/>
      <c r="G242" s="167"/>
      <c r="H242" s="167"/>
      <c r="I242" s="170"/>
      <c r="J242" s="155"/>
      <c r="K242" s="156"/>
      <c r="L242" s="157"/>
      <c r="M242" s="157"/>
      <c r="N242" s="183"/>
      <c r="O242" s="177"/>
      <c r="P242" s="145"/>
      <c r="Q242" s="141"/>
      <c r="R242" s="190"/>
      <c r="S242" s="83"/>
      <c r="T242" s="87"/>
      <c r="U242" s="87"/>
      <c r="V242" s="87"/>
      <c r="W242" s="44"/>
      <c r="X242" s="88"/>
      <c r="Y242" s="79"/>
      <c r="Z242" s="79"/>
      <c r="AA242" s="79"/>
      <c r="AB242" s="79"/>
      <c r="AC242" s="86"/>
      <c r="AD242" s="82"/>
      <c r="AE242" s="79"/>
      <c r="AF242" s="88"/>
      <c r="AG242" s="80"/>
      <c r="AH242" s="79"/>
      <c r="AI242" s="79"/>
      <c r="AJ242" s="79"/>
      <c r="AK242" s="80"/>
      <c r="AL242" s="80"/>
      <c r="AM242" s="80"/>
      <c r="AN242" s="79"/>
      <c r="AO242" s="80"/>
      <c r="AP242" s="80"/>
      <c r="AQ242" s="80"/>
      <c r="AR242" s="85"/>
      <c r="AS242" s="85"/>
      <c r="AT242" s="85"/>
      <c r="AU242" s="85"/>
      <c r="AV242" s="85"/>
      <c r="AW242" s="82"/>
      <c r="AX242" s="79"/>
      <c r="AY242" s="82"/>
      <c r="AZ242" s="82"/>
      <c r="BA242" s="86"/>
      <c r="BB242" s="79"/>
      <c r="BC242" s="79"/>
      <c r="BD242" s="79"/>
      <c r="BE242" s="82"/>
      <c r="BF242" s="85"/>
      <c r="BG242" s="79"/>
      <c r="BH242" s="79"/>
      <c r="BI242" s="79"/>
      <c r="BJ242" s="88"/>
      <c r="BK242" s="88"/>
      <c r="BL242" s="79"/>
      <c r="BM242" s="185"/>
      <c r="BN242" s="90"/>
      <c r="BO242" s="80"/>
      <c r="BP242" s="80"/>
      <c r="BQ242" s="80"/>
      <c r="BR242" s="80"/>
      <c r="BS242" s="80"/>
      <c r="BT242" s="80"/>
      <c r="BU242" s="80"/>
      <c r="BV242" s="80"/>
      <c r="BW242" s="82"/>
      <c r="BX242" s="79"/>
      <c r="BY242" s="79"/>
      <c r="BZ242" s="79"/>
      <c r="CA242" s="79"/>
      <c r="CB242" s="79"/>
      <c r="CC242" s="82"/>
      <c r="CD242" s="82"/>
      <c r="CE242" s="82"/>
      <c r="CF242" s="82"/>
      <c r="CG242" s="82"/>
      <c r="CH242" s="82"/>
      <c r="CI242" s="82"/>
      <c r="CJ242" s="79"/>
      <c r="CK242" s="79"/>
      <c r="CL242" s="79"/>
      <c r="CM242" s="79"/>
      <c r="CN242" s="79"/>
      <c r="CO242" s="79"/>
    </row>
    <row r="243" spans="1:93">
      <c r="A243" s="98"/>
      <c r="B243" s="178"/>
      <c r="C243" s="188"/>
      <c r="D243" s="47"/>
      <c r="E243" s="126"/>
      <c r="F243" s="154"/>
      <c r="G243" s="167"/>
      <c r="H243" s="167"/>
      <c r="I243" s="170"/>
      <c r="J243" s="155"/>
      <c r="K243" s="156"/>
      <c r="L243" s="157"/>
      <c r="M243" s="157"/>
      <c r="N243" s="183"/>
      <c r="O243" s="177"/>
      <c r="P243" s="145"/>
      <c r="Q243" s="141"/>
      <c r="R243" s="190"/>
      <c r="S243" s="83"/>
      <c r="T243" s="87"/>
      <c r="U243" s="87"/>
      <c r="V243" s="87"/>
      <c r="W243" s="44"/>
      <c r="X243" s="88"/>
      <c r="Y243" s="79"/>
      <c r="Z243" s="79"/>
      <c r="AA243" s="79"/>
      <c r="AB243" s="79"/>
      <c r="AC243" s="86"/>
      <c r="AD243" s="82"/>
      <c r="AE243" s="79"/>
      <c r="AF243" s="88"/>
      <c r="AG243" s="80"/>
      <c r="AH243" s="79"/>
      <c r="AI243" s="79"/>
      <c r="AJ243" s="79"/>
      <c r="AK243" s="80"/>
      <c r="AL243" s="80"/>
      <c r="AM243" s="80"/>
      <c r="AN243" s="79"/>
      <c r="AO243" s="80"/>
      <c r="AP243" s="80"/>
      <c r="AQ243" s="80"/>
      <c r="AR243" s="85"/>
      <c r="AS243" s="85"/>
      <c r="AT243" s="85"/>
      <c r="AU243" s="85"/>
      <c r="AV243" s="85"/>
      <c r="AW243" s="82"/>
      <c r="AX243" s="79"/>
      <c r="AY243" s="82"/>
      <c r="AZ243" s="82"/>
      <c r="BA243" s="86"/>
      <c r="BB243" s="79"/>
      <c r="BC243" s="79"/>
      <c r="BD243" s="79"/>
      <c r="BE243" s="82"/>
      <c r="BF243" s="85"/>
      <c r="BG243" s="79"/>
      <c r="BH243" s="79"/>
      <c r="BI243" s="79"/>
      <c r="BJ243" s="88"/>
      <c r="BK243" s="88"/>
      <c r="BL243" s="79"/>
      <c r="BM243" s="185"/>
      <c r="BN243" s="90"/>
      <c r="BO243" s="80"/>
      <c r="BP243" s="80"/>
      <c r="BQ243" s="80"/>
      <c r="BR243" s="80"/>
      <c r="BS243" s="80"/>
      <c r="BT243" s="80"/>
      <c r="BU243" s="80"/>
      <c r="BV243" s="80"/>
      <c r="BW243" s="82"/>
      <c r="BX243" s="79"/>
      <c r="BY243" s="79"/>
      <c r="BZ243" s="79"/>
      <c r="CA243" s="79"/>
      <c r="CB243" s="79"/>
      <c r="CC243" s="82"/>
      <c r="CD243" s="82"/>
      <c r="CE243" s="82"/>
      <c r="CF243" s="82"/>
      <c r="CG243" s="82"/>
      <c r="CH243" s="82"/>
      <c r="CI243" s="82"/>
      <c r="CJ243" s="79"/>
      <c r="CK243" s="79"/>
      <c r="CL243" s="79"/>
      <c r="CM243" s="79"/>
      <c r="CN243" s="79"/>
      <c r="CO243" s="79"/>
    </row>
    <row r="244" spans="1:93">
      <c r="A244" s="98"/>
      <c r="B244" s="166"/>
      <c r="C244" s="46"/>
      <c r="D244" s="47"/>
      <c r="E244" s="126"/>
      <c r="F244" s="154"/>
      <c r="G244" s="167"/>
      <c r="H244" s="167"/>
      <c r="I244" s="170"/>
      <c r="J244" s="155"/>
      <c r="K244" s="156"/>
      <c r="L244" s="157"/>
      <c r="M244" s="157"/>
      <c r="N244" s="183"/>
      <c r="O244" s="177"/>
      <c r="P244" s="145"/>
      <c r="Q244" s="141"/>
      <c r="R244" s="190"/>
      <c r="S244" s="83"/>
      <c r="T244" s="87"/>
      <c r="U244" s="87"/>
      <c r="V244" s="87"/>
      <c r="W244" s="44"/>
      <c r="X244" s="88"/>
      <c r="Y244" s="79"/>
      <c r="Z244" s="79"/>
      <c r="AA244" s="79"/>
      <c r="AB244" s="79"/>
      <c r="AC244" s="86"/>
      <c r="AD244" s="82"/>
      <c r="AE244" s="79"/>
      <c r="AF244" s="88"/>
      <c r="AG244" s="80"/>
      <c r="AH244" s="79"/>
      <c r="AI244" s="79"/>
      <c r="AJ244" s="79"/>
      <c r="AK244" s="80"/>
      <c r="AL244" s="80"/>
      <c r="AM244" s="80"/>
      <c r="AN244" s="79"/>
      <c r="AO244" s="80"/>
      <c r="AP244" s="80"/>
      <c r="AQ244" s="80"/>
      <c r="AR244" s="85"/>
      <c r="AS244" s="85"/>
      <c r="AT244" s="85"/>
      <c r="AU244" s="85"/>
      <c r="AV244" s="85"/>
      <c r="AW244" s="82"/>
      <c r="AX244" s="79"/>
      <c r="AY244" s="82"/>
      <c r="AZ244" s="82"/>
      <c r="BA244" s="86"/>
      <c r="BB244" s="79"/>
      <c r="BC244" s="79"/>
      <c r="BD244" s="79"/>
      <c r="BE244" s="82"/>
      <c r="BF244" s="85"/>
      <c r="BG244" s="79"/>
      <c r="BH244" s="79"/>
      <c r="BI244" s="79"/>
      <c r="BJ244" s="88"/>
      <c r="BK244" s="88"/>
      <c r="BL244" s="79"/>
      <c r="BM244" s="185"/>
      <c r="BN244" s="90"/>
      <c r="BO244" s="80"/>
      <c r="BP244" s="80"/>
      <c r="BQ244" s="80"/>
      <c r="BR244" s="80"/>
      <c r="BS244" s="80"/>
      <c r="BT244" s="80"/>
      <c r="BU244" s="80"/>
      <c r="BV244" s="80"/>
      <c r="BW244" s="82"/>
      <c r="BX244" s="79"/>
      <c r="BY244" s="79"/>
      <c r="BZ244" s="79"/>
      <c r="CA244" s="79"/>
      <c r="CB244" s="79"/>
      <c r="CC244" s="82"/>
      <c r="CD244" s="82"/>
      <c r="CE244" s="82"/>
      <c r="CF244" s="82"/>
      <c r="CG244" s="82"/>
      <c r="CH244" s="82"/>
      <c r="CI244" s="82"/>
      <c r="CJ244" s="79"/>
      <c r="CK244" s="79"/>
      <c r="CL244" s="79"/>
      <c r="CM244" s="79"/>
      <c r="CN244" s="79"/>
      <c r="CO244" s="79"/>
    </row>
    <row r="245" spans="1:93">
      <c r="B245" s="4"/>
      <c r="C245" s="5"/>
      <c r="D245" s="15"/>
      <c r="E245" s="111"/>
      <c r="F245" s="112"/>
      <c r="G245" s="16"/>
      <c r="H245" s="16"/>
      <c r="I245" s="17"/>
      <c r="J245" s="113"/>
      <c r="K245" s="113"/>
      <c r="L245" s="14"/>
      <c r="M245" s="14"/>
      <c r="N245" s="114"/>
      <c r="O245" s="18"/>
      <c r="W245" s="19"/>
      <c r="X245" s="20"/>
      <c r="Y245" s="19"/>
      <c r="Z245" s="19"/>
      <c r="AA245" s="19"/>
      <c r="AB245" s="19"/>
      <c r="AC245" s="21"/>
      <c r="AD245" s="22"/>
      <c r="AE245" s="19"/>
      <c r="AF245" s="20"/>
      <c r="AG245" s="23"/>
      <c r="AH245" s="19"/>
      <c r="AI245" s="19"/>
      <c r="AJ245" s="19"/>
      <c r="AK245" s="23"/>
      <c r="AL245" s="23"/>
      <c r="AM245" s="23"/>
      <c r="AN245" s="19"/>
      <c r="AO245" s="23"/>
      <c r="AP245" s="23"/>
      <c r="AQ245" s="23"/>
      <c r="AR245" s="24"/>
      <c r="AS245" s="24"/>
      <c r="AT245" s="24"/>
      <c r="AU245" s="24"/>
      <c r="AV245" s="24"/>
      <c r="AW245" s="22"/>
      <c r="AX245" s="19"/>
      <c r="AY245" s="22"/>
      <c r="AZ245" s="22"/>
      <c r="BA245" s="21"/>
      <c r="BB245" s="19"/>
      <c r="BC245" s="19"/>
      <c r="BD245" s="19"/>
      <c r="BE245" s="22"/>
      <c r="BF245" s="24"/>
      <c r="BG245" s="19"/>
      <c r="BH245" s="19"/>
      <c r="BI245" s="19"/>
      <c r="BJ245" s="20"/>
      <c r="BK245" s="20"/>
      <c r="BL245" s="19"/>
      <c r="BM245" s="19"/>
      <c r="BN245" s="25"/>
      <c r="BO245" s="23"/>
      <c r="BP245" s="23"/>
      <c r="BQ245" s="23"/>
      <c r="BR245" s="23"/>
      <c r="BS245" s="23"/>
      <c r="BT245" s="23"/>
      <c r="BU245" s="23"/>
      <c r="BV245" s="23"/>
      <c r="BW245" s="22"/>
      <c r="BX245" s="19"/>
      <c r="BY245" s="19"/>
      <c r="BZ245" s="19"/>
      <c r="CA245" s="19"/>
      <c r="CB245" s="19"/>
      <c r="CC245" s="22"/>
      <c r="CD245" s="22"/>
      <c r="CE245" s="22"/>
      <c r="CF245" s="22"/>
      <c r="CG245" s="22"/>
      <c r="CH245" s="22"/>
      <c r="CI245" s="22"/>
      <c r="CJ245" s="19"/>
      <c r="CK245" s="19"/>
      <c r="CL245" s="19"/>
      <c r="CM245" s="19"/>
      <c r="CN245" s="19"/>
      <c r="CO245" s="19"/>
    </row>
    <row r="246" spans="1:93">
      <c r="C246" s="5"/>
      <c r="D246" s="15"/>
      <c r="E246" s="111"/>
      <c r="F246" s="112"/>
      <c r="G246" s="16"/>
      <c r="H246" s="16"/>
      <c r="I246" s="17"/>
      <c r="J246" s="113"/>
      <c r="K246" s="113"/>
      <c r="L246" s="14"/>
      <c r="M246" s="14"/>
      <c r="N246" s="114"/>
      <c r="O246" s="18"/>
      <c r="W246" s="19"/>
      <c r="X246" s="20"/>
      <c r="Y246" s="19"/>
      <c r="Z246" s="19"/>
      <c r="AA246" s="19"/>
      <c r="AB246" s="19"/>
      <c r="AC246" s="21"/>
      <c r="AD246" s="22"/>
      <c r="AE246" s="19"/>
      <c r="AF246" s="20"/>
      <c r="AG246" s="23"/>
      <c r="AH246" s="19"/>
      <c r="AI246" s="19"/>
      <c r="AJ246" s="19"/>
      <c r="AK246" s="23"/>
      <c r="AL246" s="23"/>
      <c r="AM246" s="23"/>
      <c r="AN246" s="19"/>
      <c r="AO246" s="23"/>
      <c r="AP246" s="23"/>
      <c r="AQ246" s="23"/>
      <c r="AR246" s="24"/>
      <c r="AS246" s="24"/>
      <c r="AT246" s="24"/>
      <c r="AU246" s="24"/>
      <c r="AV246" s="24"/>
      <c r="AW246" s="22"/>
      <c r="AX246" s="19"/>
      <c r="AY246" s="22"/>
      <c r="AZ246" s="22"/>
      <c r="BA246" s="21"/>
      <c r="BB246" s="19"/>
      <c r="BC246" s="19"/>
      <c r="BD246" s="19"/>
      <c r="BE246" s="22"/>
      <c r="BF246" s="24"/>
      <c r="BG246" s="19"/>
      <c r="BH246" s="19"/>
      <c r="BI246" s="19"/>
      <c r="BJ246" s="20"/>
      <c r="BK246" s="20"/>
      <c r="BL246" s="19"/>
      <c r="BM246" s="19"/>
      <c r="BN246" s="25"/>
      <c r="BO246" s="23"/>
      <c r="BP246" s="23"/>
      <c r="BQ246" s="23"/>
      <c r="BR246" s="23"/>
      <c r="BS246" s="23"/>
      <c r="BT246" s="23"/>
      <c r="BU246" s="23"/>
      <c r="BV246" s="23"/>
      <c r="BW246" s="22"/>
      <c r="BX246" s="19"/>
      <c r="BY246" s="19"/>
      <c r="BZ246" s="19"/>
      <c r="CA246" s="19"/>
      <c r="CB246" s="19"/>
      <c r="CC246" s="22"/>
      <c r="CD246" s="22"/>
      <c r="CE246" s="22"/>
      <c r="CF246" s="22"/>
      <c r="CG246" s="22"/>
      <c r="CH246" s="22"/>
      <c r="CI246" s="22"/>
      <c r="CJ246" s="19"/>
      <c r="CK246" s="19"/>
      <c r="CL246" s="19"/>
      <c r="CM246" s="19"/>
      <c r="CN246" s="19"/>
      <c r="CO246" s="19"/>
    </row>
    <row r="247" spans="1:93">
      <c r="C247" s="5"/>
      <c r="D247" s="15"/>
      <c r="E247" s="111"/>
      <c r="F247" s="112"/>
      <c r="G247" s="16"/>
      <c r="H247" s="16"/>
      <c r="I247" s="17"/>
      <c r="J247" s="113"/>
      <c r="K247" s="113"/>
      <c r="L247" s="14"/>
      <c r="M247" s="14"/>
      <c r="N247" s="114"/>
      <c r="O247" s="18"/>
      <c r="W247" s="19"/>
      <c r="X247" s="20"/>
      <c r="Y247" s="19"/>
      <c r="Z247" s="19"/>
      <c r="AA247" s="19"/>
      <c r="AB247" s="19"/>
      <c r="AC247" s="21"/>
      <c r="AD247" s="22"/>
      <c r="AE247" s="19"/>
      <c r="AF247" s="20"/>
      <c r="AG247" s="23"/>
      <c r="AH247" s="19"/>
      <c r="AI247" s="19"/>
      <c r="AJ247" s="19"/>
      <c r="AK247" s="23"/>
      <c r="AL247" s="23"/>
      <c r="AM247" s="23"/>
      <c r="AN247" s="19"/>
      <c r="AO247" s="23"/>
      <c r="AP247" s="23"/>
      <c r="AQ247" s="23"/>
      <c r="AR247" s="24"/>
      <c r="AS247" s="24"/>
      <c r="AT247" s="24"/>
      <c r="AU247" s="24"/>
      <c r="AV247" s="24"/>
      <c r="AW247" s="22"/>
      <c r="AX247" s="19"/>
      <c r="AY247" s="22"/>
      <c r="AZ247" s="22"/>
      <c r="BA247" s="21"/>
      <c r="BB247" s="19"/>
      <c r="BC247" s="19"/>
      <c r="BD247" s="19"/>
      <c r="BE247" s="22"/>
      <c r="BF247" s="24"/>
      <c r="BG247" s="19"/>
      <c r="BH247" s="19"/>
      <c r="BI247" s="19"/>
      <c r="BJ247" s="20"/>
      <c r="BK247" s="20"/>
      <c r="BL247" s="19"/>
      <c r="BM247" s="19"/>
      <c r="BN247" s="25"/>
      <c r="BO247" s="23"/>
      <c r="BP247" s="23"/>
      <c r="BQ247" s="23"/>
      <c r="BR247" s="23"/>
      <c r="BS247" s="23"/>
      <c r="BT247" s="23"/>
      <c r="BU247" s="23"/>
      <c r="BV247" s="23"/>
      <c r="BW247" s="22"/>
      <c r="BX247" s="19"/>
      <c r="BY247" s="19"/>
      <c r="BZ247" s="19"/>
      <c r="CA247" s="19"/>
      <c r="CB247" s="19"/>
      <c r="CC247" s="22"/>
      <c r="CD247" s="22"/>
      <c r="CE247" s="22"/>
      <c r="CF247" s="22"/>
      <c r="CG247" s="22"/>
      <c r="CH247" s="22"/>
      <c r="CI247" s="22"/>
      <c r="CJ247" s="19"/>
      <c r="CK247" s="19"/>
      <c r="CL247" s="19"/>
      <c r="CM247" s="19"/>
      <c r="CN247" s="19"/>
      <c r="CO247" s="19"/>
    </row>
    <row r="248" spans="1:93">
      <c r="C248" s="5"/>
      <c r="D248" s="15"/>
      <c r="E248" s="111"/>
      <c r="F248" s="112"/>
      <c r="G248" s="16"/>
      <c r="H248" s="16"/>
      <c r="I248" s="17"/>
      <c r="J248" s="113"/>
      <c r="K248" s="113"/>
      <c r="L248" s="14"/>
      <c r="M248" s="14"/>
      <c r="N248" s="114"/>
      <c r="O248" s="18"/>
      <c r="W248" s="19"/>
      <c r="X248" s="20"/>
      <c r="Y248" s="19"/>
      <c r="Z248" s="19"/>
      <c r="AA248" s="19"/>
      <c r="AB248" s="19"/>
      <c r="AC248" s="21"/>
      <c r="AD248" s="22"/>
      <c r="AE248" s="19"/>
      <c r="AF248" s="20"/>
      <c r="AG248" s="23"/>
      <c r="AH248" s="19"/>
      <c r="AI248" s="19"/>
      <c r="AJ248" s="19"/>
      <c r="AK248" s="23"/>
      <c r="AL248" s="23"/>
      <c r="AM248" s="23"/>
      <c r="AN248" s="19"/>
      <c r="AO248" s="23"/>
      <c r="AP248" s="23"/>
      <c r="AQ248" s="23"/>
      <c r="AR248" s="24"/>
      <c r="AS248" s="24"/>
      <c r="AT248" s="24"/>
      <c r="AU248" s="24"/>
      <c r="AV248" s="24"/>
      <c r="AW248" s="22"/>
      <c r="AX248" s="19"/>
      <c r="AY248" s="22"/>
      <c r="AZ248" s="22"/>
      <c r="BA248" s="21"/>
      <c r="BB248" s="19"/>
      <c r="BC248" s="19"/>
      <c r="BD248" s="19"/>
      <c r="BE248" s="22"/>
      <c r="BF248" s="24"/>
      <c r="BG248" s="19"/>
      <c r="BH248" s="19"/>
      <c r="BI248" s="19"/>
      <c r="BJ248" s="20"/>
      <c r="BK248" s="20"/>
      <c r="BL248" s="19"/>
      <c r="BM248" s="19"/>
      <c r="BN248" s="25"/>
      <c r="BO248" s="23"/>
      <c r="BP248" s="23"/>
      <c r="BQ248" s="23"/>
      <c r="BR248" s="23"/>
      <c r="BS248" s="23"/>
      <c r="BT248" s="23"/>
      <c r="BU248" s="23"/>
      <c r="BV248" s="23"/>
      <c r="BW248" s="22"/>
      <c r="BX248" s="19"/>
      <c r="BY248" s="19"/>
      <c r="BZ248" s="19"/>
      <c r="CA248" s="19"/>
      <c r="CB248" s="19"/>
      <c r="CC248" s="22"/>
      <c r="CD248" s="22"/>
      <c r="CE248" s="22"/>
      <c r="CF248" s="22"/>
      <c r="CG248" s="22"/>
      <c r="CH248" s="22"/>
      <c r="CI248" s="22"/>
      <c r="CJ248" s="19"/>
      <c r="CK248" s="19"/>
      <c r="CL248" s="19"/>
      <c r="CM248" s="19"/>
      <c r="CN248" s="19"/>
      <c r="CO248" s="19"/>
    </row>
    <row r="249" spans="1:93">
      <c r="C249" s="5"/>
      <c r="D249" s="15"/>
      <c r="E249" s="111"/>
      <c r="F249" s="112"/>
      <c r="G249" s="16"/>
      <c r="H249" s="16"/>
      <c r="I249" s="17"/>
      <c r="J249" s="113"/>
      <c r="K249" s="113"/>
      <c r="L249" s="14"/>
      <c r="M249" s="14"/>
      <c r="N249" s="114"/>
      <c r="O249" s="18"/>
      <c r="W249" s="19"/>
      <c r="X249" s="20"/>
      <c r="Y249" s="19"/>
      <c r="Z249" s="19"/>
      <c r="AA249" s="19"/>
      <c r="AB249" s="19"/>
      <c r="AC249" s="21"/>
      <c r="AD249" s="22"/>
      <c r="AE249" s="19"/>
      <c r="AF249" s="20"/>
      <c r="AG249" s="23"/>
      <c r="AH249" s="19"/>
      <c r="AI249" s="19"/>
      <c r="AJ249" s="19"/>
      <c r="AK249" s="23"/>
      <c r="AL249" s="23"/>
      <c r="AM249" s="23"/>
      <c r="AN249" s="19"/>
      <c r="AO249" s="23"/>
      <c r="AP249" s="23"/>
      <c r="AQ249" s="23"/>
      <c r="AR249" s="24"/>
      <c r="AS249" s="24"/>
      <c r="AT249" s="24"/>
      <c r="AU249" s="24"/>
      <c r="AV249" s="24"/>
      <c r="AW249" s="22"/>
      <c r="AX249" s="19"/>
      <c r="AY249" s="22"/>
      <c r="AZ249" s="22"/>
      <c r="BA249" s="21"/>
      <c r="BB249" s="19"/>
      <c r="BC249" s="19"/>
      <c r="BD249" s="19"/>
      <c r="BE249" s="22"/>
      <c r="BF249" s="24"/>
      <c r="BG249" s="19"/>
      <c r="BH249" s="19"/>
      <c r="BI249" s="19"/>
      <c r="BJ249" s="20"/>
      <c r="BK249" s="20"/>
      <c r="BL249" s="19"/>
      <c r="BM249" s="19"/>
      <c r="BN249" s="25"/>
      <c r="BO249" s="23"/>
      <c r="BP249" s="23"/>
      <c r="BQ249" s="23"/>
      <c r="BR249" s="23"/>
      <c r="BS249" s="23"/>
      <c r="BT249" s="23"/>
      <c r="BU249" s="23"/>
      <c r="BV249" s="23"/>
      <c r="BW249" s="22"/>
      <c r="BX249" s="19"/>
      <c r="BY249" s="19"/>
      <c r="BZ249" s="19"/>
      <c r="CA249" s="19"/>
      <c r="CB249" s="19"/>
      <c r="CC249" s="22"/>
      <c r="CD249" s="22"/>
      <c r="CE249" s="22"/>
      <c r="CF249" s="22"/>
      <c r="CG249" s="22"/>
      <c r="CH249" s="22"/>
      <c r="CI249" s="22"/>
      <c r="CJ249" s="19"/>
      <c r="CK249" s="19"/>
      <c r="CL249" s="19"/>
      <c r="CM249" s="19"/>
      <c r="CN249" s="19"/>
      <c r="CO249" s="19"/>
    </row>
    <row r="250" spans="1:93">
      <c r="C250" s="5"/>
      <c r="D250" s="15"/>
      <c r="E250" s="111"/>
      <c r="F250" s="112"/>
      <c r="G250" s="16"/>
      <c r="H250" s="16"/>
      <c r="I250" s="17"/>
      <c r="J250" s="113"/>
      <c r="K250" s="113"/>
      <c r="L250" s="14"/>
      <c r="M250" s="14"/>
      <c r="N250" s="114"/>
      <c r="O250" s="18"/>
      <c r="W250" s="19"/>
      <c r="X250" s="20"/>
      <c r="Y250" s="19"/>
      <c r="Z250" s="19"/>
      <c r="AA250" s="19"/>
      <c r="AB250" s="19"/>
      <c r="AC250" s="21"/>
      <c r="AD250" s="22"/>
      <c r="AE250" s="19"/>
      <c r="AF250" s="20"/>
      <c r="AG250" s="23"/>
      <c r="AH250" s="19"/>
      <c r="AI250" s="19"/>
      <c r="AJ250" s="19"/>
      <c r="AK250" s="23"/>
      <c r="AL250" s="23"/>
      <c r="AM250" s="23"/>
      <c r="AN250" s="19"/>
      <c r="AO250" s="23"/>
      <c r="AP250" s="23"/>
      <c r="AQ250" s="23"/>
      <c r="AR250" s="24"/>
      <c r="AS250" s="24"/>
      <c r="AT250" s="24"/>
      <c r="AU250" s="24"/>
      <c r="AV250" s="24"/>
      <c r="AW250" s="22"/>
      <c r="AX250" s="19"/>
      <c r="AY250" s="22"/>
      <c r="AZ250" s="22"/>
      <c r="BA250" s="21"/>
      <c r="BB250" s="19"/>
      <c r="BC250" s="19"/>
      <c r="BD250" s="19"/>
      <c r="BE250" s="22"/>
      <c r="BF250" s="24"/>
      <c r="BG250" s="19"/>
      <c r="BH250" s="19"/>
      <c r="BI250" s="19"/>
      <c r="BJ250" s="20"/>
      <c r="BK250" s="20"/>
      <c r="BL250" s="19"/>
      <c r="BM250" s="19"/>
      <c r="BN250" s="25"/>
      <c r="BO250" s="23"/>
      <c r="BP250" s="23"/>
      <c r="BQ250" s="23"/>
      <c r="BR250" s="23"/>
      <c r="BS250" s="23"/>
      <c r="BT250" s="23"/>
      <c r="BU250" s="23"/>
      <c r="BV250" s="23"/>
      <c r="BW250" s="22"/>
      <c r="BX250" s="19"/>
      <c r="BY250" s="19"/>
      <c r="BZ250" s="19"/>
      <c r="CA250" s="19"/>
      <c r="CB250" s="19"/>
      <c r="CC250" s="22"/>
      <c r="CD250" s="22"/>
      <c r="CE250" s="22"/>
      <c r="CF250" s="22"/>
      <c r="CG250" s="22"/>
      <c r="CH250" s="22"/>
      <c r="CI250" s="22"/>
      <c r="CJ250" s="19"/>
      <c r="CK250" s="19"/>
      <c r="CL250" s="19"/>
      <c r="CM250" s="19"/>
      <c r="CN250" s="19"/>
      <c r="CO250" s="19"/>
    </row>
    <row r="251" spans="1:93">
      <c r="C251" s="5"/>
      <c r="D251" s="15"/>
      <c r="E251" s="111"/>
      <c r="F251" s="112"/>
      <c r="G251" s="16"/>
      <c r="H251" s="16"/>
      <c r="I251" s="17"/>
      <c r="J251" s="113"/>
      <c r="K251" s="26"/>
      <c r="L251" s="14"/>
      <c r="M251" s="14"/>
      <c r="N251" s="114"/>
      <c r="O251" s="18"/>
      <c r="W251" s="19"/>
      <c r="X251" s="20"/>
      <c r="Y251" s="19"/>
      <c r="Z251" s="19"/>
      <c r="AA251" s="19"/>
      <c r="AB251" s="19"/>
      <c r="AC251" s="21"/>
      <c r="AD251" s="22"/>
      <c r="AE251" s="19"/>
      <c r="AF251" s="20"/>
      <c r="AG251" s="23"/>
      <c r="AH251" s="19"/>
      <c r="AI251" s="19"/>
      <c r="AJ251" s="19"/>
      <c r="AK251" s="23"/>
      <c r="AL251" s="23"/>
      <c r="AM251" s="23"/>
      <c r="AN251" s="19"/>
      <c r="AO251" s="23"/>
      <c r="AP251" s="23"/>
      <c r="AQ251" s="23"/>
      <c r="AR251" s="24"/>
      <c r="AS251" s="24"/>
      <c r="AT251" s="24"/>
      <c r="AU251" s="24"/>
      <c r="AV251" s="24"/>
      <c r="AW251" s="22"/>
      <c r="AX251" s="19"/>
      <c r="AY251" s="22"/>
      <c r="AZ251" s="22"/>
      <c r="BA251" s="21"/>
      <c r="BB251" s="19"/>
      <c r="BC251" s="19"/>
      <c r="BD251" s="19"/>
      <c r="BE251" s="22"/>
      <c r="BF251" s="24"/>
      <c r="BG251" s="19"/>
      <c r="BH251" s="19"/>
      <c r="BI251" s="19"/>
      <c r="BJ251" s="20"/>
      <c r="BK251" s="20"/>
      <c r="BL251" s="19"/>
      <c r="BM251" s="19"/>
      <c r="BN251" s="25"/>
      <c r="BO251" s="23"/>
      <c r="BP251" s="23"/>
      <c r="BQ251" s="23"/>
      <c r="BR251" s="23"/>
      <c r="BS251" s="23"/>
      <c r="BT251" s="23"/>
      <c r="BU251" s="23"/>
      <c r="BV251" s="23"/>
      <c r="BW251" s="22"/>
      <c r="BX251" s="19"/>
      <c r="BY251" s="19"/>
      <c r="BZ251" s="19"/>
      <c r="CA251" s="19"/>
      <c r="CB251" s="19"/>
      <c r="CC251" s="22"/>
      <c r="CD251" s="22"/>
      <c r="CE251" s="22"/>
      <c r="CF251" s="22"/>
      <c r="CG251" s="22"/>
      <c r="CH251" s="22"/>
      <c r="CI251" s="22"/>
      <c r="CJ251" s="19"/>
      <c r="CK251" s="19"/>
      <c r="CL251" s="19"/>
      <c r="CM251" s="19"/>
      <c r="CN251" s="19"/>
      <c r="CO251" s="19"/>
    </row>
    <row r="252" spans="1:93" ht="14.4">
      <c r="B252" s="27"/>
      <c r="F252" s="28"/>
      <c r="G252" s="4"/>
      <c r="H252" s="4"/>
      <c r="I252" s="115"/>
      <c r="J252" s="115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93" ht="14.4">
      <c r="F253" s="28"/>
      <c r="G253" s="4"/>
      <c r="H253" s="4"/>
      <c r="I253" s="115"/>
      <c r="J253" s="115"/>
      <c r="K253" s="1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93" ht="14.4">
      <c r="B254" s="116" t="s">
        <v>92</v>
      </c>
      <c r="C254" s="117" t="s">
        <v>8</v>
      </c>
      <c r="D254" s="118" t="s">
        <v>9</v>
      </c>
      <c r="E254" s="3"/>
      <c r="G254" s="4"/>
      <c r="H254" s="4"/>
      <c r="I254" s="115"/>
      <c r="J254" s="115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93" ht="14.4">
      <c r="B255" s="116" t="s">
        <v>93</v>
      </c>
      <c r="C255" s="119">
        <v>650000</v>
      </c>
      <c r="D255" s="120">
        <v>1000000</v>
      </c>
      <c r="E255" s="121"/>
      <c r="I255" s="115"/>
      <c r="J255" s="115"/>
    </row>
    <row r="256" spans="1:93" ht="14.4">
      <c r="B256" s="116" t="s">
        <v>94</v>
      </c>
      <c r="C256" s="119">
        <v>650000</v>
      </c>
      <c r="D256" s="120">
        <v>1000000</v>
      </c>
      <c r="E256" s="121"/>
      <c r="I256" s="115"/>
      <c r="J256" s="115"/>
    </row>
    <row r="257" spans="2:6">
      <c r="B257" s="116" t="s">
        <v>95</v>
      </c>
      <c r="C257" s="119">
        <v>500000</v>
      </c>
      <c r="D257" s="119">
        <v>500000</v>
      </c>
      <c r="E257" s="122"/>
    </row>
    <row r="258" spans="2:6">
      <c r="B258" s="116" t="s">
        <v>96</v>
      </c>
      <c r="C258" s="119"/>
      <c r="D258" s="119"/>
      <c r="E258" s="122"/>
    </row>
    <row r="259" spans="2:6">
      <c r="B259" s="116" t="s">
        <v>97</v>
      </c>
      <c r="C259" s="119">
        <v>300000</v>
      </c>
      <c r="D259" s="123" t="s">
        <v>98</v>
      </c>
      <c r="E259" s="124"/>
    </row>
    <row r="263" spans="2:6">
      <c r="B263" s="3685" t="s">
        <v>99</v>
      </c>
      <c r="C263" s="3685"/>
      <c r="D263" s="3685"/>
      <c r="E263" s="3685"/>
      <c r="F263" s="3685"/>
    </row>
    <row r="264" spans="2:6">
      <c r="D264" s="3685"/>
      <c r="E264" s="3685"/>
      <c r="F264" s="3685"/>
    </row>
    <row r="265" spans="2:6">
      <c r="B265" s="2" t="s">
        <v>0</v>
      </c>
    </row>
    <row r="266" spans="2:6">
      <c r="B266" s="2" t="s">
        <v>100</v>
      </c>
    </row>
  </sheetData>
  <mergeCells count="14">
    <mergeCell ref="B2:N2"/>
    <mergeCell ref="B23:H23"/>
    <mergeCell ref="I60:I61"/>
    <mergeCell ref="H60:H61"/>
    <mergeCell ref="J60:J61"/>
    <mergeCell ref="L60:L61"/>
    <mergeCell ref="N60:N61"/>
    <mergeCell ref="O60:O61"/>
    <mergeCell ref="B62:H62"/>
    <mergeCell ref="B263:F263"/>
    <mergeCell ref="D264:F264"/>
    <mergeCell ref="J3:N3"/>
    <mergeCell ref="B104:H104"/>
    <mergeCell ref="B153:H153"/>
  </mergeCells>
  <hyperlinks>
    <hyperlink ref="D25" r:id="rId1" display="javascript:void(0)"/>
    <hyperlink ref="D24" r:id="rId2" display="javascript:void(0)"/>
    <hyperlink ref="D26" r:id="rId3" display="javascript:void(0)"/>
    <hyperlink ref="D27" r:id="rId4" display="javascript:void(0)"/>
    <hyperlink ref="D28" r:id="rId5" display="javascript:void(0)"/>
    <hyperlink ref="D29" r:id="rId6" display="javascript:void(0)"/>
    <hyperlink ref="D30" r:id="rId7" display="javascript:void(0)"/>
    <hyperlink ref="I32" r:id="rId8" display="https://www.wanhai.com/views/cargoTrack/BookingInfoPage.xhtml?file_num=65580&amp;top_file_num=64735&amp;parent_id=64738"/>
    <hyperlink ref="D31" r:id="rId9" display="javascript:void(0)"/>
    <hyperlink ref="D32" r:id="rId10" display="javascript:void(0)"/>
    <hyperlink ref="D33" r:id="rId11" display="javascript:void(0)"/>
    <hyperlink ref="D34" r:id="rId12" display="javascript:void(0)"/>
    <hyperlink ref="D35" r:id="rId13" display="javascript:void(0)"/>
    <hyperlink ref="D36" r:id="rId14" display="javascript:void(0)"/>
    <hyperlink ref="D37" r:id="rId15" display="javascript:void(0)"/>
    <hyperlink ref="D38" r:id="rId16" display="javascript:void(0)"/>
    <hyperlink ref="D55" r:id="rId17" display="javascript:void(0)"/>
    <hyperlink ref="D56" r:id="rId18" display="javascript:void(0)"/>
    <hyperlink ref="D59" r:id="rId19" display="javascript:void(0)"/>
    <hyperlink ref="D45" r:id="rId20" display="javascript:void(0)"/>
    <hyperlink ref="D64" r:id="rId21" display="javascript:void(0)"/>
    <hyperlink ref="D63" r:id="rId22" display="javascript:void(0)"/>
    <hyperlink ref="D69" r:id="rId23" display="javascript:void(0)"/>
    <hyperlink ref="D67" r:id="rId24" display="javascript:void(0)"/>
    <hyperlink ref="D72" r:id="rId25" display="javascript:void(0)"/>
    <hyperlink ref="D73" r:id="rId26" display="javascript:void(0)"/>
    <hyperlink ref="D74" r:id="rId27" display="javascript:void(0)"/>
    <hyperlink ref="D77" r:id="rId28" display="javascript:void(0)"/>
    <hyperlink ref="D91" r:id="rId29" display="javascript:void(0)"/>
    <hyperlink ref="D90" r:id="rId30" display="javascript:void(0)"/>
    <hyperlink ref="D87" r:id="rId31" display="javascript:void(0)"/>
    <hyperlink ref="D89" r:id="rId32" display="javascript:void(0)"/>
    <hyperlink ref="D94" r:id="rId33" display="javascript:void(0)"/>
    <hyperlink ref="D95" r:id="rId34" display="javascript:void(0)"/>
    <hyperlink ref="D96" r:id="rId35" display="javascript:void(0)"/>
    <hyperlink ref="D97" r:id="rId36" display="javascript:void(0)"/>
    <hyperlink ref="D125" r:id="rId37" display="javascript:void(0)"/>
    <hyperlink ref="D126" r:id="rId38" display="javascript:void(0)"/>
    <hyperlink ref="D128" r:id="rId39" display="javascript:void(0)"/>
    <hyperlink ref="D129" r:id="rId40" display="javascript:void(0)"/>
    <hyperlink ref="D141" r:id="rId41" display="javascript:void(0)"/>
    <hyperlink ref="D149" r:id="rId42" display="javascript:void(0)"/>
    <hyperlink ref="D162" r:id="rId43" display="javascript:void(0)"/>
    <hyperlink ref="D163" r:id="rId44" display="javascript:void(0)"/>
    <hyperlink ref="D164" r:id="rId45" display="javascript:void(0)"/>
    <hyperlink ref="D166" r:id="rId46" display="javascript:void(0)"/>
  </hyperlinks>
  <pageMargins left="0.7" right="0.7" top="0.75" bottom="0.75" header="0.3" footer="0.3"/>
  <pageSetup paperSize="9"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T413"/>
  <sheetViews>
    <sheetView topLeftCell="B1" workbookViewId="0">
      <pane xSplit="11" ySplit="3" topLeftCell="U13" activePane="bottomRight" state="frozen"/>
      <selection activeCell="B1" sqref="B1"/>
      <selection pane="topRight" activeCell="M1" sqref="M1"/>
      <selection pane="bottomLeft" activeCell="B4" sqref="B4"/>
      <selection pane="bottomRight" activeCell="AK34" sqref="AK34"/>
    </sheetView>
  </sheetViews>
  <sheetFormatPr defaultColWidth="9.109375" defaultRowHeight="15.6"/>
  <cols>
    <col min="1" max="1" width="5.5546875" style="226" hidden="1" customWidth="1"/>
    <col min="2" max="2" width="5.33203125" style="259" customWidth="1"/>
    <col min="3" max="3" width="25.88671875" style="261" customWidth="1"/>
    <col min="4" max="4" width="13.5546875" style="262" customWidth="1"/>
    <col min="5" max="5" width="20.6640625" style="261" customWidth="1"/>
    <col min="6" max="7" width="20.6640625" style="261" hidden="1" customWidth="1"/>
    <col min="8" max="8" width="4.5546875" style="261" customWidth="1"/>
    <col min="9" max="9" width="4.33203125" style="263" hidden="1" customWidth="1"/>
    <col min="10" max="10" width="5.5546875" style="263" customWidth="1"/>
    <col min="11" max="11" width="6" style="261" customWidth="1"/>
    <col min="12" max="12" width="10.6640625" style="261" customWidth="1"/>
    <col min="13" max="13" width="16.44140625" style="265" customWidth="1"/>
    <col min="14" max="14" width="15" style="261" hidden="1" customWidth="1"/>
    <col min="15" max="15" width="14.109375" style="261" hidden="1" customWidth="1"/>
    <col min="16" max="16" width="12.33203125" style="261" hidden="1" customWidth="1"/>
    <col min="17" max="17" width="14.109375" style="261" hidden="1" customWidth="1"/>
    <col min="18" max="18" width="10.6640625" style="264" hidden="1" customWidth="1"/>
    <col min="19" max="19" width="12" style="265" hidden="1" customWidth="1"/>
    <col min="20" max="20" width="10.88671875" style="263" hidden="1" customWidth="1"/>
    <col min="21" max="21" width="23" style="263" customWidth="1"/>
    <col min="22" max="22" width="16" style="266" hidden="1" customWidth="1"/>
    <col min="23" max="23" width="13.109375" style="263" hidden="1" customWidth="1"/>
    <col min="24" max="24" width="9.5546875" style="263" hidden="1" customWidth="1"/>
    <col min="25" max="25" width="24.44140625" style="263" customWidth="1"/>
    <col min="26" max="26" width="16.88671875" style="267" hidden="1" customWidth="1"/>
    <col min="27" max="27" width="12.5546875" style="268" customWidth="1"/>
    <col min="28" max="28" width="12.6640625" style="268" customWidth="1"/>
    <col min="29" max="29" width="13.33203125" style="268" customWidth="1"/>
    <col min="30" max="30" width="15.6640625" style="264" customWidth="1"/>
    <col min="31" max="31" width="11.88671875" style="263" customWidth="1"/>
    <col min="32" max="32" width="10.33203125" style="263" customWidth="1"/>
    <col min="33" max="33" width="14.6640625" style="268" customWidth="1"/>
    <col min="34" max="34" width="19.44140625" style="268" customWidth="1"/>
    <col min="35" max="35" width="15.5546875" style="269" hidden="1" customWidth="1"/>
    <col min="36" max="36" width="35.88671875" style="270" hidden="1" customWidth="1"/>
    <col min="37" max="37" width="18.6640625" style="271" customWidth="1"/>
    <col min="38" max="38" width="16.6640625" style="272" customWidth="1"/>
    <col min="39" max="39" width="15.109375" style="273" customWidth="1"/>
    <col min="40" max="40" width="20.44140625" style="274" hidden="1" customWidth="1"/>
    <col min="41" max="41" width="20.6640625" style="274" hidden="1" customWidth="1"/>
    <col min="42" max="42" width="22" style="274" hidden="1" customWidth="1"/>
    <col min="43" max="43" width="26.109375" style="269" hidden="1" customWidth="1"/>
    <col min="44" max="44" width="34.33203125" style="196" customWidth="1"/>
    <col min="45" max="45" width="18.88671875" style="196" bestFit="1" customWidth="1"/>
    <col min="46" max="16384" width="9.109375" style="196"/>
  </cols>
  <sheetData>
    <row r="1" spans="1:46" ht="15.75" customHeight="1">
      <c r="A1" s="193"/>
      <c r="B1" s="3698" t="s">
        <v>211</v>
      </c>
      <c r="C1" s="3699"/>
      <c r="D1" s="3699"/>
      <c r="E1" s="3699"/>
      <c r="F1" s="3699"/>
      <c r="G1" s="3700"/>
      <c r="H1" s="279"/>
      <c r="I1" s="279"/>
      <c r="J1" s="277"/>
      <c r="K1" s="277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1"/>
      <c r="W1" s="280"/>
      <c r="X1" s="280"/>
      <c r="Y1" s="280"/>
      <c r="Z1" s="280"/>
      <c r="AA1" s="277"/>
      <c r="AB1" s="277"/>
      <c r="AC1" s="277"/>
      <c r="AD1" s="278"/>
      <c r="AE1" s="277"/>
      <c r="AF1" s="277"/>
      <c r="AG1" s="278"/>
      <c r="AH1" s="278"/>
      <c r="AI1" s="278"/>
      <c r="AJ1" s="282"/>
      <c r="AK1" s="278"/>
      <c r="AL1" s="278"/>
      <c r="AM1" s="283"/>
      <c r="AN1" s="284"/>
      <c r="AO1" s="284"/>
      <c r="AP1" s="284"/>
      <c r="AQ1" s="194"/>
      <c r="AR1" s="195"/>
    </row>
    <row r="2" spans="1:46" ht="18">
      <c r="A2" s="193"/>
      <c r="B2" s="197"/>
      <c r="C2" s="2" t="s">
        <v>0</v>
      </c>
      <c r="D2" s="200"/>
      <c r="E2" s="199"/>
      <c r="F2" s="199"/>
      <c r="G2" s="199"/>
      <c r="H2" s="198"/>
      <c r="I2" s="201"/>
      <c r="J2" s="201"/>
      <c r="K2" s="198"/>
      <c r="L2" s="198"/>
      <c r="M2" s="202"/>
      <c r="N2" s="198"/>
      <c r="O2" s="198"/>
      <c r="P2" s="198"/>
      <c r="Q2" s="198"/>
      <c r="R2" s="202"/>
      <c r="S2" s="202"/>
      <c r="T2" s="203"/>
      <c r="U2" s="202"/>
      <c r="V2" s="204"/>
      <c r="W2" s="202"/>
      <c r="X2" s="202"/>
      <c r="Y2" s="202"/>
      <c r="Z2" s="202"/>
      <c r="AA2" s="198"/>
      <c r="AB2" s="198"/>
      <c r="AC2" s="198"/>
      <c r="AD2" s="199"/>
      <c r="AE2" s="198"/>
      <c r="AF2" s="198"/>
      <c r="AG2" s="199"/>
      <c r="AH2" s="199"/>
      <c r="AI2" s="199"/>
      <c r="AJ2" s="205"/>
      <c r="AK2" s="199"/>
      <c r="AL2" s="199"/>
      <c r="AM2" s="206"/>
      <c r="AN2" s="207"/>
      <c r="AO2" s="207"/>
      <c r="AP2" s="207"/>
      <c r="AQ2" s="194"/>
      <c r="AR2" s="195"/>
      <c r="AS2" s="195"/>
    </row>
    <row r="3" spans="1:46" s="226" customFormat="1" ht="39.6">
      <c r="A3" s="208" t="s">
        <v>174</v>
      </c>
      <c r="B3" s="209" t="s">
        <v>2</v>
      </c>
      <c r="C3" s="211" t="s">
        <v>175</v>
      </c>
      <c r="D3" s="212" t="s">
        <v>176</v>
      </c>
      <c r="E3" s="211" t="s">
        <v>177</v>
      </c>
      <c r="F3" s="210" t="s">
        <v>178</v>
      </c>
      <c r="G3" s="212" t="s">
        <v>7</v>
      </c>
      <c r="H3" s="211" t="s">
        <v>179</v>
      </c>
      <c r="I3" s="211" t="s">
        <v>180</v>
      </c>
      <c r="J3" s="211" t="s">
        <v>8</v>
      </c>
      <c r="K3" s="211" t="s">
        <v>9</v>
      </c>
      <c r="L3" s="211" t="s">
        <v>102</v>
      </c>
      <c r="M3" s="214" t="s">
        <v>404</v>
      </c>
      <c r="N3" s="212" t="s">
        <v>11</v>
      </c>
      <c r="O3" s="212" t="s">
        <v>12</v>
      </c>
      <c r="P3" s="212" t="s">
        <v>13</v>
      </c>
      <c r="Q3" s="212" t="s">
        <v>182</v>
      </c>
      <c r="R3" s="213" t="s">
        <v>181</v>
      </c>
      <c r="S3" s="214" t="s">
        <v>183</v>
      </c>
      <c r="T3" s="211" t="s">
        <v>184</v>
      </c>
      <c r="U3" s="211" t="s">
        <v>185</v>
      </c>
      <c r="V3" s="215" t="s">
        <v>186</v>
      </c>
      <c r="W3" s="210" t="s">
        <v>187</v>
      </c>
      <c r="X3" s="210" t="s">
        <v>208</v>
      </c>
      <c r="Y3" s="210" t="s">
        <v>188</v>
      </c>
      <c r="Z3" s="216" t="s">
        <v>189</v>
      </c>
      <c r="AA3" s="217" t="s">
        <v>190</v>
      </c>
      <c r="AB3" s="217" t="s">
        <v>191</v>
      </c>
      <c r="AC3" s="218" t="s">
        <v>192</v>
      </c>
      <c r="AD3" s="218" t="s">
        <v>193</v>
      </c>
      <c r="AE3" s="210" t="s">
        <v>394</v>
      </c>
      <c r="AF3" s="210" t="s">
        <v>395</v>
      </c>
      <c r="AG3" s="219" t="s">
        <v>209</v>
      </c>
      <c r="AH3" s="219" t="s">
        <v>195</v>
      </c>
      <c r="AI3" s="220" t="s">
        <v>196</v>
      </c>
      <c r="AJ3" s="221" t="s">
        <v>197</v>
      </c>
      <c r="AK3" s="218" t="s">
        <v>198</v>
      </c>
      <c r="AL3" s="219" t="s">
        <v>199</v>
      </c>
      <c r="AM3" s="222" t="s">
        <v>200</v>
      </c>
      <c r="AN3" s="223" t="s">
        <v>201</v>
      </c>
      <c r="AO3" s="223" t="s">
        <v>202</v>
      </c>
      <c r="AP3" s="223" t="s">
        <v>203</v>
      </c>
      <c r="AQ3" s="224" t="s">
        <v>204</v>
      </c>
      <c r="AR3" s="225" t="s">
        <v>205</v>
      </c>
      <c r="AS3" s="225"/>
    </row>
    <row r="4" spans="1:46" ht="17.399999999999999">
      <c r="B4" s="253">
        <v>1</v>
      </c>
      <c r="C4" s="286" t="s">
        <v>390</v>
      </c>
      <c r="D4" s="245" t="s">
        <v>391</v>
      </c>
      <c r="E4" s="362" t="s">
        <v>429</v>
      </c>
      <c r="F4" s="363" t="s">
        <v>430</v>
      </c>
      <c r="G4" s="290"/>
      <c r="H4" s="230" t="s">
        <v>210</v>
      </c>
      <c r="I4" s="228"/>
      <c r="J4" s="228"/>
      <c r="K4" s="230">
        <v>1</v>
      </c>
      <c r="L4" s="230"/>
      <c r="M4" s="246"/>
      <c r="N4" s="287"/>
      <c r="O4" s="287"/>
      <c r="P4" s="287"/>
      <c r="Q4" s="287"/>
      <c r="R4" s="256"/>
      <c r="S4" s="256"/>
      <c r="T4" s="228"/>
      <c r="U4" s="293" t="s">
        <v>400</v>
      </c>
      <c r="V4" s="245"/>
      <c r="W4" s="254"/>
      <c r="X4" s="254"/>
      <c r="Y4" s="352" t="s">
        <v>396</v>
      </c>
      <c r="Z4" s="245"/>
      <c r="AA4" s="287"/>
      <c r="AB4" s="287"/>
      <c r="AC4" s="248"/>
      <c r="AD4" s="247"/>
      <c r="AE4" s="349"/>
      <c r="AF4" s="228"/>
      <c r="AG4" s="349">
        <f>+(1200000+(18-10)*40000)</f>
        <v>1520000</v>
      </c>
      <c r="AH4" s="340">
        <f>+AA4+AB4+AC4</f>
        <v>0</v>
      </c>
      <c r="AI4" s="343">
        <f>+AD4</f>
        <v>0</v>
      </c>
      <c r="AJ4" s="249"/>
      <c r="AK4" s="341">
        <f>(AE4+AF4+AG4)*1.1</f>
        <v>1672000.0000000002</v>
      </c>
      <c r="AL4" s="342">
        <f>+AK4+AI4+AH4</f>
        <v>1672000.0000000002</v>
      </c>
      <c r="AM4" s="349"/>
      <c r="AN4" s="241"/>
      <c r="AO4" s="241"/>
      <c r="AP4" s="241"/>
      <c r="AQ4" s="194"/>
      <c r="AR4" s="195"/>
      <c r="AS4" s="195"/>
      <c r="AT4" s="196">
        <v>1672000.0000000002</v>
      </c>
    </row>
    <row r="5" spans="1:46" ht="17.399999999999999">
      <c r="B5" s="253">
        <v>2</v>
      </c>
      <c r="C5" s="286" t="s">
        <v>392</v>
      </c>
      <c r="D5" s="245" t="s">
        <v>393</v>
      </c>
      <c r="E5" s="362" t="s">
        <v>428</v>
      </c>
      <c r="F5" s="363" t="s">
        <v>430</v>
      </c>
      <c r="G5" s="290"/>
      <c r="H5" s="230" t="s">
        <v>210</v>
      </c>
      <c r="I5" s="228"/>
      <c r="J5" s="228"/>
      <c r="K5" s="230">
        <v>1</v>
      </c>
      <c r="L5" s="230"/>
      <c r="M5" s="246"/>
      <c r="N5" s="287"/>
      <c r="O5" s="287"/>
      <c r="P5" s="287"/>
      <c r="Q5" s="287"/>
      <c r="R5" s="256"/>
      <c r="S5" s="256"/>
      <c r="T5" s="228"/>
      <c r="U5" s="293">
        <v>2712210591</v>
      </c>
      <c r="V5" s="245"/>
      <c r="W5" s="254"/>
      <c r="X5" s="254"/>
      <c r="Y5" s="352" t="s">
        <v>397</v>
      </c>
      <c r="Z5" s="245"/>
      <c r="AA5" s="453">
        <f>1227273*1.1</f>
        <v>1350000.3</v>
      </c>
      <c r="AB5" s="453">
        <f>959091*1.1</f>
        <v>1055000.1000000001</v>
      </c>
      <c r="AC5" s="248"/>
      <c r="AD5" s="247"/>
      <c r="AE5" s="349">
        <v>900000</v>
      </c>
      <c r="AF5" s="351">
        <v>3580000</v>
      </c>
      <c r="AG5" s="350"/>
      <c r="AH5" s="340">
        <f>+AA5+AB5+AC5</f>
        <v>2405000.4000000004</v>
      </c>
      <c r="AI5" s="343">
        <f>+AD5</f>
        <v>0</v>
      </c>
      <c r="AJ5" s="249"/>
      <c r="AK5" s="341">
        <f>(AE5+AF5+AG5)*1.1</f>
        <v>4928000</v>
      </c>
      <c r="AL5" s="342">
        <f>+AK5+AI5+AH5</f>
        <v>7333000.4000000004</v>
      </c>
      <c r="AM5" s="349">
        <f>+AA5+AB5</f>
        <v>2405000.4000000004</v>
      </c>
      <c r="AN5" s="241"/>
      <c r="AO5" s="241"/>
      <c r="AP5" s="241"/>
      <c r="AQ5" s="194"/>
      <c r="AR5" s="195"/>
      <c r="AS5" s="195"/>
      <c r="AT5" s="196">
        <v>4928000</v>
      </c>
    </row>
    <row r="6" spans="1:46" ht="17.399999999999999">
      <c r="B6" s="253">
        <v>3</v>
      </c>
      <c r="C6" s="286" t="s">
        <v>252</v>
      </c>
      <c r="D6" s="245">
        <v>44966</v>
      </c>
      <c r="E6" s="47" t="s">
        <v>271</v>
      </c>
      <c r="F6" s="288"/>
      <c r="G6" s="290" t="s">
        <v>299</v>
      </c>
      <c r="H6" s="230" t="s">
        <v>210</v>
      </c>
      <c r="I6" s="228"/>
      <c r="J6" s="228"/>
      <c r="K6" s="230">
        <v>1</v>
      </c>
      <c r="L6" s="230"/>
      <c r="M6" s="246"/>
      <c r="N6" s="287"/>
      <c r="O6" s="287"/>
      <c r="P6" s="287"/>
      <c r="Q6" s="287"/>
      <c r="R6" s="256"/>
      <c r="S6" s="256"/>
      <c r="T6" s="228"/>
      <c r="U6" s="293" t="s">
        <v>212</v>
      </c>
      <c r="V6" s="245"/>
      <c r="W6" s="254"/>
      <c r="X6" s="254"/>
      <c r="Y6" s="352" t="s">
        <v>398</v>
      </c>
      <c r="Z6" s="245"/>
      <c r="AA6" s="453">
        <f>836364*1.1</f>
        <v>920000.4</v>
      </c>
      <c r="AB6" s="453">
        <f>645000*1.1</f>
        <v>709500</v>
      </c>
      <c r="AC6" s="248"/>
      <c r="AD6" s="247"/>
      <c r="AE6" s="349">
        <v>900000</v>
      </c>
      <c r="AF6" s="351">
        <v>3580000</v>
      </c>
      <c r="AG6" s="349">
        <f>+(1200000+(21-10)*40000)</f>
        <v>1640000</v>
      </c>
      <c r="AH6" s="340">
        <f>+AA6+AB6+AC6</f>
        <v>1629500.4</v>
      </c>
      <c r="AI6" s="343">
        <f>+AD6</f>
        <v>0</v>
      </c>
      <c r="AJ6" s="249"/>
      <c r="AK6" s="341">
        <f>(AE6+AF6+AG6)*1.1</f>
        <v>6732000.0000000009</v>
      </c>
      <c r="AL6" s="342">
        <f>+AK6+AI6+AH6</f>
        <v>8361500.4000000004</v>
      </c>
      <c r="AM6" s="349">
        <f>+AA6+AB6</f>
        <v>1629500.4</v>
      </c>
      <c r="AN6" s="241"/>
      <c r="AO6" s="241"/>
      <c r="AP6" s="241"/>
      <c r="AQ6" s="194"/>
      <c r="AR6" s="195"/>
      <c r="AS6" s="195"/>
      <c r="AT6" s="196">
        <v>6732000.0000000009</v>
      </c>
    </row>
    <row r="7" spans="1:46" ht="17.399999999999999">
      <c r="B7" s="253">
        <v>4</v>
      </c>
      <c r="C7" s="286" t="s">
        <v>253</v>
      </c>
      <c r="D7" s="245">
        <v>44966</v>
      </c>
      <c r="E7" s="47" t="s">
        <v>272</v>
      </c>
      <c r="F7" s="288"/>
      <c r="G7" s="290" t="s">
        <v>299</v>
      </c>
      <c r="H7" s="230" t="s">
        <v>210</v>
      </c>
      <c r="I7" s="228"/>
      <c r="J7" s="228">
        <v>1</v>
      </c>
      <c r="K7" s="230"/>
      <c r="L7" s="230"/>
      <c r="M7" s="246"/>
      <c r="N7" s="287"/>
      <c r="O7" s="287"/>
      <c r="P7" s="287"/>
      <c r="Q7" s="287"/>
      <c r="R7" s="256"/>
      <c r="S7" s="256"/>
      <c r="T7" s="228"/>
      <c r="U7" s="293" t="s">
        <v>213</v>
      </c>
      <c r="V7" s="245"/>
      <c r="W7" s="254"/>
      <c r="X7" s="254"/>
      <c r="Y7" s="352" t="s">
        <v>399</v>
      </c>
      <c r="Z7" s="245"/>
      <c r="AA7" s="453">
        <f>790909*1.1</f>
        <v>869999.9</v>
      </c>
      <c r="AB7" s="453">
        <f>365000*1.1</f>
        <v>401500.00000000006</v>
      </c>
      <c r="AC7" s="248"/>
      <c r="AD7" s="247"/>
      <c r="AE7" s="349">
        <v>900000</v>
      </c>
      <c r="AF7" s="351">
        <v>3380000</v>
      </c>
      <c r="AG7" s="349">
        <v>1200000</v>
      </c>
      <c r="AH7" s="340">
        <f>+AA7+AB7+AC7</f>
        <v>1271499.9000000001</v>
      </c>
      <c r="AI7" s="343">
        <f>+AD7</f>
        <v>0</v>
      </c>
      <c r="AJ7" s="249"/>
      <c r="AK7" s="341">
        <f>(AE7+AF7+AG7)*1.1</f>
        <v>6028000.0000000009</v>
      </c>
      <c r="AL7" s="342">
        <f>+AK7+AI7+AH7</f>
        <v>7299499.9000000013</v>
      </c>
      <c r="AM7" s="349">
        <f>+AA7+AB7</f>
        <v>1271499.9000000001</v>
      </c>
      <c r="AN7" s="241"/>
      <c r="AO7" s="241"/>
      <c r="AP7" s="241"/>
      <c r="AQ7" s="194"/>
      <c r="AR7" s="195"/>
      <c r="AS7" s="195"/>
      <c r="AT7" s="196">
        <v>6028000.0000000009</v>
      </c>
    </row>
    <row r="8" spans="1:46" s="13" customFormat="1" ht="36" customHeight="1">
      <c r="A8" s="3701" t="s">
        <v>436</v>
      </c>
      <c r="B8" s="3702"/>
      <c r="C8" s="3702"/>
      <c r="D8" s="3702"/>
      <c r="E8" s="3702"/>
      <c r="F8" s="3702"/>
      <c r="G8" s="3702"/>
      <c r="H8" s="3702"/>
      <c r="I8" s="3702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54"/>
      <c r="V8" s="355"/>
      <c r="W8" s="356"/>
      <c r="X8" s="355"/>
      <c r="Y8" s="354"/>
      <c r="Z8" s="353"/>
      <c r="AA8" s="346"/>
      <c r="AB8" s="357"/>
      <c r="AC8" s="357"/>
      <c r="AD8" s="357"/>
      <c r="AE8" s="357"/>
      <c r="AF8" s="357"/>
      <c r="AG8" s="357"/>
      <c r="AH8" s="358">
        <f>SUM(AH4:AH7)</f>
        <v>5306000.7</v>
      </c>
      <c r="AI8" s="358">
        <f>SUM(AI2:AI7)</f>
        <v>0</v>
      </c>
      <c r="AJ8" s="359"/>
      <c r="AK8" s="358">
        <f>SUM(AK4:AK7)</f>
        <v>19360000</v>
      </c>
      <c r="AL8" s="358">
        <f>+AH8+AI8+AK8</f>
        <v>24666000.699999999</v>
      </c>
      <c r="AM8" s="357"/>
      <c r="AN8" s="357"/>
      <c r="AO8" s="357"/>
      <c r="AP8" s="357"/>
      <c r="AQ8" s="357"/>
      <c r="AR8" s="357"/>
      <c r="AS8" s="357"/>
    </row>
    <row r="9" spans="1:46" ht="34.799999999999997">
      <c r="B9" s="253">
        <v>1</v>
      </c>
      <c r="C9" s="286" t="s">
        <v>408</v>
      </c>
      <c r="D9" s="245">
        <v>44988</v>
      </c>
      <c r="E9" s="47" t="s">
        <v>531</v>
      </c>
      <c r="F9" s="230"/>
      <c r="G9" s="290" t="s">
        <v>535</v>
      </c>
      <c r="H9" s="230" t="s">
        <v>210</v>
      </c>
      <c r="I9" s="228"/>
      <c r="J9" s="228"/>
      <c r="K9" s="230">
        <v>1</v>
      </c>
      <c r="L9" s="230"/>
      <c r="M9" s="376" t="s">
        <v>123</v>
      </c>
      <c r="N9" s="230"/>
      <c r="O9" s="230"/>
      <c r="P9" s="230"/>
      <c r="Q9" s="230"/>
      <c r="R9" s="256"/>
      <c r="S9" s="257"/>
      <c r="T9" s="228"/>
      <c r="U9" s="228">
        <v>11349535</v>
      </c>
      <c r="V9" s="245"/>
      <c r="W9" s="254"/>
      <c r="X9" s="254"/>
      <c r="Y9" s="291" t="s">
        <v>409</v>
      </c>
      <c r="Z9" s="255"/>
      <c r="AA9" s="373">
        <f>840000*1.1</f>
        <v>924000.00000000012</v>
      </c>
      <c r="AB9" s="373">
        <f>954545*1.1</f>
        <v>1049999.5</v>
      </c>
      <c r="AC9" s="248"/>
      <c r="AD9" s="247"/>
      <c r="AE9" s="349">
        <f>900000+300000</f>
        <v>1200000</v>
      </c>
      <c r="AF9" s="351">
        <v>3580000</v>
      </c>
      <c r="AG9" s="248"/>
      <c r="AH9" s="340">
        <f>+AA9+AB9+AC9</f>
        <v>1973999.5</v>
      </c>
      <c r="AI9" s="343">
        <f>+AD9</f>
        <v>0</v>
      </c>
      <c r="AJ9" s="249" t="s">
        <v>417</v>
      </c>
      <c r="AK9" s="341">
        <f>(AE9+AF9+AG9)*1.1</f>
        <v>5258000</v>
      </c>
      <c r="AL9" s="342">
        <f>+AK9+AI9+AH9</f>
        <v>7231999.5</v>
      </c>
      <c r="AM9" s="349">
        <f>+AA9+AB9</f>
        <v>1973999.5</v>
      </c>
      <c r="AN9" s="241"/>
      <c r="AO9" s="241"/>
      <c r="AP9" s="241"/>
      <c r="AQ9" s="194"/>
      <c r="AR9" s="195"/>
      <c r="AS9" s="195"/>
    </row>
    <row r="10" spans="1:46" ht="34.799999999999997">
      <c r="B10" s="253">
        <v>2</v>
      </c>
      <c r="C10" s="286" t="s">
        <v>410</v>
      </c>
      <c r="D10" s="245">
        <v>44991</v>
      </c>
      <c r="E10" s="47" t="s">
        <v>532</v>
      </c>
      <c r="F10" s="230"/>
      <c r="G10" s="290" t="s">
        <v>535</v>
      </c>
      <c r="H10" s="230" t="s">
        <v>210</v>
      </c>
      <c r="I10" s="228"/>
      <c r="J10" s="228"/>
      <c r="K10" s="230">
        <v>1</v>
      </c>
      <c r="L10" s="230"/>
      <c r="M10" s="246" t="s">
        <v>108</v>
      </c>
      <c r="N10" s="230"/>
      <c r="O10" s="230"/>
      <c r="P10" s="230"/>
      <c r="Q10" s="230"/>
      <c r="R10" s="256"/>
      <c r="S10" s="257"/>
      <c r="T10" s="228"/>
      <c r="U10" s="228">
        <v>11349535</v>
      </c>
      <c r="V10" s="245"/>
      <c r="W10" s="254"/>
      <c r="X10" s="254"/>
      <c r="Y10" s="228" t="s">
        <v>411</v>
      </c>
      <c r="Z10" s="255"/>
      <c r="AA10" s="373">
        <f>840000*1.1</f>
        <v>924000.00000000012</v>
      </c>
      <c r="AB10" s="373">
        <f>954545*1.1</f>
        <v>1049999.5</v>
      </c>
      <c r="AC10" s="248"/>
      <c r="AD10" s="247"/>
      <c r="AE10" s="349">
        <f>900000+300000</f>
        <v>1200000</v>
      </c>
      <c r="AF10" s="351">
        <v>3580000</v>
      </c>
      <c r="AG10" s="248"/>
      <c r="AH10" s="340">
        <f>+AA10+AB10+AC10</f>
        <v>1973999.5</v>
      </c>
      <c r="AI10" s="343">
        <f>+AD10</f>
        <v>0</v>
      </c>
      <c r="AJ10" s="249" t="s">
        <v>417</v>
      </c>
      <c r="AK10" s="341">
        <f>(AE10+AF10+AG10)*1.1</f>
        <v>5258000</v>
      </c>
      <c r="AL10" s="342">
        <f>+AK10+AI10+AH10</f>
        <v>7231999.5</v>
      </c>
      <c r="AM10" s="349">
        <f>+AA10+AB10</f>
        <v>1973999.5</v>
      </c>
      <c r="AN10" s="241"/>
      <c r="AO10" s="241"/>
      <c r="AP10" s="241"/>
      <c r="AQ10" s="194"/>
      <c r="AR10" s="195"/>
      <c r="AS10" s="195"/>
    </row>
    <row r="11" spans="1:46" ht="17.399999999999999">
      <c r="B11" s="253">
        <v>3</v>
      </c>
      <c r="C11" s="286" t="s">
        <v>412</v>
      </c>
      <c r="D11" s="245">
        <v>44992</v>
      </c>
      <c r="E11" s="47" t="s">
        <v>533</v>
      </c>
      <c r="F11" s="230"/>
      <c r="G11" s="290" t="s">
        <v>535</v>
      </c>
      <c r="H11" s="230" t="s">
        <v>210</v>
      </c>
      <c r="I11" s="228"/>
      <c r="J11" s="228"/>
      <c r="K11" s="230">
        <v>1</v>
      </c>
      <c r="L11" s="230"/>
      <c r="M11" s="246" t="s">
        <v>108</v>
      </c>
      <c r="N11" s="230"/>
      <c r="O11" s="230"/>
      <c r="P11" s="230"/>
      <c r="Q11" s="230"/>
      <c r="R11" s="256"/>
      <c r="S11" s="257"/>
      <c r="T11" s="228"/>
      <c r="U11" s="228">
        <v>8035233140</v>
      </c>
      <c r="V11" s="245"/>
      <c r="W11" s="254"/>
      <c r="X11" s="254"/>
      <c r="Y11" s="228" t="s">
        <v>413</v>
      </c>
      <c r="Z11" s="255"/>
      <c r="AA11" s="373">
        <f>1227273*1.1</f>
        <v>1350000.3</v>
      </c>
      <c r="AB11" s="373">
        <f>954545*1.1</f>
        <v>1049999.5</v>
      </c>
      <c r="AC11" s="248"/>
      <c r="AD11" s="247"/>
      <c r="AE11" s="349">
        <v>900000</v>
      </c>
      <c r="AF11" s="351">
        <v>3580000</v>
      </c>
      <c r="AG11" s="248"/>
      <c r="AH11" s="340">
        <f t="shared" ref="AH11:AH23" si="0">+AA11+AB11+AC11</f>
        <v>2399999.7999999998</v>
      </c>
      <c r="AI11" s="343">
        <f t="shared" ref="AI11:AI23" si="1">+AD11</f>
        <v>0</v>
      </c>
      <c r="AJ11" s="249"/>
      <c r="AK11" s="341">
        <f t="shared" ref="AK11:AK23" si="2">(AE11+AF11+AG11)*1.1</f>
        <v>4928000</v>
      </c>
      <c r="AL11" s="342">
        <f t="shared" ref="AL11:AL23" si="3">+AK11+AI11+AH11</f>
        <v>7327999.7999999998</v>
      </c>
      <c r="AM11" s="349">
        <f>+AA11+AB11</f>
        <v>2399999.7999999998</v>
      </c>
      <c r="AN11" s="241"/>
      <c r="AO11" s="241"/>
      <c r="AP11" s="241"/>
      <c r="AQ11" s="194"/>
      <c r="AR11" s="195"/>
      <c r="AS11" s="195"/>
    </row>
    <row r="12" spans="1:46" ht="17.399999999999999">
      <c r="B12" s="253">
        <v>4</v>
      </c>
      <c r="C12" s="286" t="s">
        <v>414</v>
      </c>
      <c r="D12" s="245">
        <v>44993</v>
      </c>
      <c r="E12" s="47" t="s">
        <v>534</v>
      </c>
      <c r="F12" s="230"/>
      <c r="G12" s="290" t="s">
        <v>535</v>
      </c>
      <c r="H12" s="230" t="s">
        <v>210</v>
      </c>
      <c r="I12" s="228"/>
      <c r="J12" s="228"/>
      <c r="K12" s="230">
        <v>1</v>
      </c>
      <c r="L12" s="230"/>
      <c r="M12" s="376" t="s">
        <v>123</v>
      </c>
      <c r="N12" s="230"/>
      <c r="O12" s="230"/>
      <c r="P12" s="230"/>
      <c r="Q12" s="230"/>
      <c r="R12" s="256"/>
      <c r="S12" s="257"/>
      <c r="T12" s="228"/>
      <c r="U12" s="228" t="s">
        <v>530</v>
      </c>
      <c r="V12" s="245"/>
      <c r="W12" s="254"/>
      <c r="X12" s="254"/>
      <c r="Y12" s="228" t="s">
        <v>415</v>
      </c>
      <c r="Z12" s="255"/>
      <c r="AA12" s="373">
        <f>1227273*1.1</f>
        <v>1350000.3</v>
      </c>
      <c r="AB12" s="373">
        <f>954545*1.1</f>
        <v>1049999.5</v>
      </c>
      <c r="AC12" s="248"/>
      <c r="AD12" s="247"/>
      <c r="AE12" s="349">
        <v>900000</v>
      </c>
      <c r="AF12" s="351">
        <v>3580000</v>
      </c>
      <c r="AG12" s="248">
        <f>+(1200000+(14-10)*40000)</f>
        <v>1360000</v>
      </c>
      <c r="AH12" s="340">
        <f t="shared" si="0"/>
        <v>2399999.7999999998</v>
      </c>
      <c r="AI12" s="343">
        <f t="shared" si="1"/>
        <v>0</v>
      </c>
      <c r="AJ12" s="249" t="s">
        <v>416</v>
      </c>
      <c r="AK12" s="341">
        <f t="shared" si="2"/>
        <v>6424000.0000000009</v>
      </c>
      <c r="AL12" s="342">
        <f t="shared" si="3"/>
        <v>8823999.8000000007</v>
      </c>
      <c r="AM12" s="349">
        <f>+AA12+AB12</f>
        <v>2399999.7999999998</v>
      </c>
      <c r="AN12" s="241"/>
      <c r="AO12" s="241"/>
      <c r="AP12" s="241"/>
      <c r="AQ12" s="194"/>
      <c r="AR12" s="195"/>
      <c r="AS12" s="195"/>
    </row>
    <row r="13" spans="1:46" ht="18">
      <c r="B13" s="253">
        <v>5</v>
      </c>
      <c r="C13" s="364">
        <v>105325974830</v>
      </c>
      <c r="D13" s="365" t="s">
        <v>452</v>
      </c>
      <c r="E13" s="47" t="s">
        <v>540</v>
      </c>
      <c r="F13" s="230"/>
      <c r="G13" s="230" t="s">
        <v>377</v>
      </c>
      <c r="H13" s="230" t="s">
        <v>206</v>
      </c>
      <c r="I13" s="228"/>
      <c r="J13" s="228"/>
      <c r="K13" s="230"/>
      <c r="L13" s="230"/>
      <c r="M13" s="377" t="s">
        <v>136</v>
      </c>
      <c r="N13" s="230"/>
      <c r="O13" s="230"/>
      <c r="P13" s="230"/>
      <c r="Q13" s="230"/>
      <c r="R13" s="256"/>
      <c r="S13" s="257"/>
      <c r="T13" s="228"/>
      <c r="U13" s="228" t="s">
        <v>536</v>
      </c>
      <c r="V13" s="245"/>
      <c r="W13" s="254"/>
      <c r="X13" s="254"/>
      <c r="Y13" s="228"/>
      <c r="Z13" s="255"/>
      <c r="AA13" s="248"/>
      <c r="AB13" s="248"/>
      <c r="AC13" s="248"/>
      <c r="AD13" s="247"/>
      <c r="AE13" s="349">
        <v>900000</v>
      </c>
      <c r="AF13" s="228"/>
      <c r="AG13" s="248">
        <v>1500000</v>
      </c>
      <c r="AH13" s="340">
        <f t="shared" si="0"/>
        <v>0</v>
      </c>
      <c r="AI13" s="343">
        <f t="shared" si="1"/>
        <v>0</v>
      </c>
      <c r="AJ13" s="249" t="s">
        <v>539</v>
      </c>
      <c r="AK13" s="341">
        <f t="shared" si="2"/>
        <v>2640000</v>
      </c>
      <c r="AL13" s="342">
        <f t="shared" si="3"/>
        <v>2640000</v>
      </c>
      <c r="AM13" s="349"/>
      <c r="AN13" s="241"/>
      <c r="AO13" s="241"/>
      <c r="AP13" s="241"/>
      <c r="AQ13" s="194"/>
      <c r="AR13" s="195"/>
      <c r="AS13" s="195"/>
    </row>
    <row r="14" spans="1:46" ht="18">
      <c r="B14" s="253">
        <v>6</v>
      </c>
      <c r="C14" s="366">
        <v>105324562930</v>
      </c>
      <c r="D14" s="365" t="s">
        <v>452</v>
      </c>
      <c r="E14" s="47" t="s">
        <v>541</v>
      </c>
      <c r="F14" s="230"/>
      <c r="G14" s="230" t="s">
        <v>377</v>
      </c>
      <c r="H14" s="230" t="s">
        <v>206</v>
      </c>
      <c r="I14" s="228"/>
      <c r="J14" s="228"/>
      <c r="K14" s="230"/>
      <c r="L14" s="230"/>
      <c r="M14" s="376" t="s">
        <v>123</v>
      </c>
      <c r="N14" s="230"/>
      <c r="O14" s="230"/>
      <c r="P14" s="230"/>
      <c r="Q14" s="230"/>
      <c r="R14" s="256"/>
      <c r="S14" s="257"/>
      <c r="T14" s="228"/>
      <c r="U14" s="228" t="s">
        <v>537</v>
      </c>
      <c r="V14" s="245"/>
      <c r="W14" s="254"/>
      <c r="X14" s="254"/>
      <c r="Y14" s="228"/>
      <c r="Z14" s="255"/>
      <c r="AA14" s="248"/>
      <c r="AB14" s="248"/>
      <c r="AC14" s="248"/>
      <c r="AD14" s="247"/>
      <c r="AE14" s="349">
        <v>900000</v>
      </c>
      <c r="AF14" s="228"/>
      <c r="AG14" s="248"/>
      <c r="AH14" s="340">
        <f t="shared" si="0"/>
        <v>0</v>
      </c>
      <c r="AI14" s="343">
        <f t="shared" si="1"/>
        <v>0</v>
      </c>
      <c r="AJ14" s="249" t="s">
        <v>538</v>
      </c>
      <c r="AK14" s="341">
        <f t="shared" si="2"/>
        <v>990000.00000000012</v>
      </c>
      <c r="AL14" s="342">
        <f t="shared" si="3"/>
        <v>990000.00000000012</v>
      </c>
      <c r="AM14" s="349"/>
      <c r="AN14" s="241"/>
      <c r="AO14" s="241"/>
      <c r="AP14" s="241"/>
      <c r="AQ14" s="194"/>
      <c r="AR14" s="195"/>
      <c r="AS14" s="195"/>
    </row>
    <row r="15" spans="1:46" s="13" customFormat="1" ht="36" customHeight="1">
      <c r="A15" s="3701" t="s">
        <v>654</v>
      </c>
      <c r="B15" s="3702"/>
      <c r="C15" s="3702"/>
      <c r="D15" s="3702"/>
      <c r="E15" s="3702"/>
      <c r="F15" s="3702"/>
      <c r="G15" s="3702"/>
      <c r="H15" s="3702"/>
      <c r="I15" s="3702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54"/>
      <c r="V15" s="355"/>
      <c r="W15" s="356"/>
      <c r="X15" s="355"/>
      <c r="Y15" s="354"/>
      <c r="Z15" s="353"/>
      <c r="AA15" s="346"/>
      <c r="AB15" s="357"/>
      <c r="AC15" s="357"/>
      <c r="AD15" s="357"/>
      <c r="AE15" s="357"/>
      <c r="AF15" s="357"/>
      <c r="AG15" s="357"/>
      <c r="AH15" s="358">
        <f>SUM(AH9:AH14)</f>
        <v>8747998.5999999996</v>
      </c>
      <c r="AI15" s="358">
        <f>SUM(AI9:AI14)</f>
        <v>0</v>
      </c>
      <c r="AJ15" s="359"/>
      <c r="AK15" s="358">
        <f>SUM(AK9:AK14)</f>
        <v>25498000</v>
      </c>
      <c r="AL15" s="358">
        <f>+AH15+AI15+AK15</f>
        <v>34245998.600000001</v>
      </c>
      <c r="AM15" s="357"/>
      <c r="AN15" s="357"/>
      <c r="AO15" s="357"/>
      <c r="AP15" s="357"/>
      <c r="AQ15" s="357"/>
      <c r="AR15" s="357"/>
      <c r="AS15" s="357"/>
    </row>
    <row r="16" spans="1:46" ht="17.399999999999999">
      <c r="B16" s="253">
        <v>1</v>
      </c>
      <c r="C16" s="364">
        <v>105377855700</v>
      </c>
      <c r="D16" s="378" t="s">
        <v>776</v>
      </c>
      <c r="E16" s="47" t="s">
        <v>778</v>
      </c>
      <c r="F16" s="230"/>
      <c r="G16" s="290" t="s">
        <v>886</v>
      </c>
      <c r="H16" s="230" t="s">
        <v>206</v>
      </c>
      <c r="I16" s="228"/>
      <c r="J16" s="228"/>
      <c r="K16" s="230"/>
      <c r="L16" s="230"/>
      <c r="M16" s="377" t="s">
        <v>136</v>
      </c>
      <c r="N16" s="230"/>
      <c r="O16" s="230"/>
      <c r="P16" s="230"/>
      <c r="Q16" s="230"/>
      <c r="R16" s="256"/>
      <c r="S16" s="257"/>
      <c r="T16" s="228"/>
      <c r="U16" s="289" t="s">
        <v>777</v>
      </c>
      <c r="V16" s="245"/>
      <c r="W16" s="254"/>
      <c r="X16" s="254"/>
      <c r="Y16" s="228"/>
      <c r="Z16" s="255"/>
      <c r="AA16" s="248"/>
      <c r="AB16" s="248"/>
      <c r="AC16" s="248"/>
      <c r="AD16" s="247"/>
      <c r="AE16" s="349">
        <v>900000</v>
      </c>
      <c r="AF16" s="228"/>
      <c r="AG16" s="248"/>
      <c r="AH16" s="340">
        <f>+AA16+AB16+AC16</f>
        <v>0</v>
      </c>
      <c r="AI16" s="343">
        <f>+AD16</f>
        <v>0</v>
      </c>
      <c r="AJ16" s="249" t="s">
        <v>538</v>
      </c>
      <c r="AK16" s="341">
        <f>(AE16+AF16+AG16)*1.1</f>
        <v>990000.00000000012</v>
      </c>
      <c r="AL16" s="342">
        <f>+AK16+AI16+AH16</f>
        <v>990000.00000000012</v>
      </c>
      <c r="AM16" s="349"/>
      <c r="AN16" s="241"/>
      <c r="AO16" s="241"/>
      <c r="AP16" s="241"/>
      <c r="AQ16" s="194"/>
      <c r="AR16" s="440">
        <v>100000</v>
      </c>
      <c r="AS16" s="195"/>
    </row>
    <row r="17" spans="1:45" ht="17.399999999999999">
      <c r="B17" s="399">
        <v>2</v>
      </c>
      <c r="C17" s="400">
        <v>105382774450</v>
      </c>
      <c r="D17" s="401" t="s">
        <v>765</v>
      </c>
      <c r="E17" s="332" t="s">
        <v>767</v>
      </c>
      <c r="F17" s="402"/>
      <c r="G17" s="290" t="s">
        <v>886</v>
      </c>
      <c r="H17" s="402" t="s">
        <v>206</v>
      </c>
      <c r="I17" s="395"/>
      <c r="J17" s="395"/>
      <c r="K17" s="402"/>
      <c r="L17" s="402" t="s">
        <v>128</v>
      </c>
      <c r="M17" s="403" t="s">
        <v>108</v>
      </c>
      <c r="N17" s="402"/>
      <c r="O17" s="402"/>
      <c r="P17" s="402"/>
      <c r="Q17" s="402"/>
      <c r="R17" s="404"/>
      <c r="S17" s="405"/>
      <c r="T17" s="395"/>
      <c r="U17" s="395" t="s">
        <v>766</v>
      </c>
      <c r="V17" s="406"/>
      <c r="W17" s="407"/>
      <c r="X17" s="407"/>
      <c r="Y17" s="395"/>
      <c r="Z17" s="408"/>
      <c r="AA17" s="409"/>
      <c r="AB17" s="409"/>
      <c r="AC17" s="409"/>
      <c r="AD17" s="410"/>
      <c r="AE17" s="411">
        <v>900000</v>
      </c>
      <c r="AF17" s="395"/>
      <c r="AG17" s="409"/>
      <c r="AH17" s="412">
        <f>+AA17+AB17+AC17</f>
        <v>0</v>
      </c>
      <c r="AI17" s="413">
        <f>+AD17</f>
        <v>0</v>
      </c>
      <c r="AJ17" s="397" t="s">
        <v>538</v>
      </c>
      <c r="AK17" s="414">
        <f>(AE17+AF17+AG17)*1.1</f>
        <v>990000.00000000012</v>
      </c>
      <c r="AL17" s="415">
        <f>+AK17+AI17+AH17</f>
        <v>990000.00000000012</v>
      </c>
      <c r="AM17" s="349"/>
      <c r="AN17" s="416"/>
      <c r="AO17" s="416"/>
      <c r="AP17" s="416"/>
      <c r="AQ17" s="417"/>
      <c r="AR17" s="440">
        <v>100000</v>
      </c>
      <c r="AS17" s="418"/>
    </row>
    <row r="18" spans="1:45" ht="17.399999999999999">
      <c r="B18" s="253">
        <v>3</v>
      </c>
      <c r="C18" s="286" t="s">
        <v>753</v>
      </c>
      <c r="D18" s="245" t="s">
        <v>693</v>
      </c>
      <c r="E18" s="47" t="s">
        <v>825</v>
      </c>
      <c r="F18" s="230"/>
      <c r="G18" s="290" t="s">
        <v>886</v>
      </c>
      <c r="H18" s="230" t="s">
        <v>210</v>
      </c>
      <c r="I18" s="228"/>
      <c r="J18" s="228"/>
      <c r="K18" s="230"/>
      <c r="L18" s="230" t="s">
        <v>128</v>
      </c>
      <c r="M18" s="246" t="s">
        <v>108</v>
      </c>
      <c r="N18" s="230"/>
      <c r="O18" s="230"/>
      <c r="P18" s="230"/>
      <c r="Q18" s="230"/>
      <c r="R18" s="256"/>
      <c r="S18" s="257"/>
      <c r="T18" s="228"/>
      <c r="U18" s="228"/>
      <c r="V18" s="245"/>
      <c r="W18" s="254"/>
      <c r="X18" s="254"/>
      <c r="Y18" s="228"/>
      <c r="Z18" s="255"/>
      <c r="AA18" s="248"/>
      <c r="AB18" s="248"/>
      <c r="AC18" s="248"/>
      <c r="AD18" s="247"/>
      <c r="AE18" s="349">
        <v>900000</v>
      </c>
      <c r="AF18" s="351"/>
      <c r="AG18" s="248"/>
      <c r="AH18" s="340">
        <f>+AA18+AB18+AC18</f>
        <v>0</v>
      </c>
      <c r="AI18" s="343">
        <f>+AD18</f>
        <v>0</v>
      </c>
      <c r="AJ18" s="249" t="s">
        <v>538</v>
      </c>
      <c r="AK18" s="341">
        <f>(AE18+AF18+AG18)*1.1</f>
        <v>990000.00000000012</v>
      </c>
      <c r="AL18" s="342">
        <f>+AK18+AI18+AH18</f>
        <v>990000.00000000012</v>
      </c>
      <c r="AM18" s="349"/>
      <c r="AN18" s="241"/>
      <c r="AO18" s="241"/>
      <c r="AP18" s="241"/>
      <c r="AQ18" s="194"/>
      <c r="AR18" s="440">
        <v>100000</v>
      </c>
      <c r="AS18" s="195"/>
    </row>
    <row r="19" spans="1:45" ht="34.799999999999997">
      <c r="B19" s="399">
        <v>4</v>
      </c>
      <c r="C19" s="286" t="s">
        <v>676</v>
      </c>
      <c r="D19" s="378" t="s">
        <v>667</v>
      </c>
      <c r="E19" s="47" t="s">
        <v>678</v>
      </c>
      <c r="F19" s="230"/>
      <c r="G19" s="290" t="s">
        <v>886</v>
      </c>
      <c r="H19" s="230" t="s">
        <v>210</v>
      </c>
      <c r="I19" s="228"/>
      <c r="J19" s="228"/>
      <c r="K19" s="230">
        <v>1</v>
      </c>
      <c r="L19" s="230"/>
      <c r="M19" s="246" t="s">
        <v>108</v>
      </c>
      <c r="N19" s="230"/>
      <c r="O19" s="230"/>
      <c r="P19" s="230"/>
      <c r="Q19" s="230"/>
      <c r="R19" s="256"/>
      <c r="S19" s="257"/>
      <c r="T19" s="228"/>
      <c r="U19" s="228" t="s">
        <v>668</v>
      </c>
      <c r="V19" s="245"/>
      <c r="W19" s="254"/>
      <c r="X19" s="254"/>
      <c r="Y19" s="375" t="s">
        <v>677</v>
      </c>
      <c r="Z19" s="255"/>
      <c r="AA19" s="373">
        <v>1450000</v>
      </c>
      <c r="AB19" s="373">
        <v>709500</v>
      </c>
      <c r="AC19" s="248"/>
      <c r="AD19" s="247"/>
      <c r="AE19" s="349">
        <f>900000+300000</f>
        <v>1200000</v>
      </c>
      <c r="AF19" s="351">
        <v>3580000</v>
      </c>
      <c r="AG19" s="248"/>
      <c r="AH19" s="340">
        <f t="shared" si="0"/>
        <v>2159500</v>
      </c>
      <c r="AI19" s="343">
        <f t="shared" si="1"/>
        <v>0</v>
      </c>
      <c r="AJ19" s="249"/>
      <c r="AK19" s="341">
        <f t="shared" si="2"/>
        <v>5258000</v>
      </c>
      <c r="AL19" s="342">
        <f t="shared" si="3"/>
        <v>7417500</v>
      </c>
      <c r="AM19" s="349">
        <f>+AA19+AB19</f>
        <v>2159500</v>
      </c>
      <c r="AN19" s="241"/>
      <c r="AO19" s="241"/>
      <c r="AP19" s="241"/>
      <c r="AQ19" s="194"/>
      <c r="AR19" s="440">
        <v>200000</v>
      </c>
      <c r="AS19" s="195"/>
    </row>
    <row r="20" spans="1:45" ht="17.399999999999999">
      <c r="B20" s="253">
        <v>5</v>
      </c>
      <c r="C20" s="286" t="s">
        <v>760</v>
      </c>
      <c r="D20" s="378" t="s">
        <v>761</v>
      </c>
      <c r="E20" s="47" t="s">
        <v>764</v>
      </c>
      <c r="F20" s="230"/>
      <c r="G20" s="290" t="s">
        <v>886</v>
      </c>
      <c r="H20" s="230" t="s">
        <v>210</v>
      </c>
      <c r="I20" s="228"/>
      <c r="J20" s="228"/>
      <c r="K20" s="230">
        <v>1</v>
      </c>
      <c r="L20" s="230"/>
      <c r="M20" s="246" t="s">
        <v>108</v>
      </c>
      <c r="N20" s="230"/>
      <c r="O20" s="230"/>
      <c r="P20" s="230"/>
      <c r="Q20" s="230"/>
      <c r="R20" s="256"/>
      <c r="S20" s="257"/>
      <c r="T20" s="228"/>
      <c r="U20" s="289" t="s">
        <v>762</v>
      </c>
      <c r="V20" s="245"/>
      <c r="W20" s="254"/>
      <c r="X20" s="254"/>
      <c r="Y20" s="228" t="s">
        <v>763</v>
      </c>
      <c r="Z20" s="255"/>
      <c r="AA20" s="373">
        <v>1350000</v>
      </c>
      <c r="AB20" s="373">
        <v>1050000</v>
      </c>
      <c r="AC20" s="248"/>
      <c r="AD20" s="247"/>
      <c r="AE20" s="349">
        <v>900000</v>
      </c>
      <c r="AF20" s="351">
        <v>3580000</v>
      </c>
      <c r="AG20" s="248"/>
      <c r="AH20" s="340">
        <f t="shared" si="0"/>
        <v>2400000</v>
      </c>
      <c r="AI20" s="343">
        <f t="shared" si="1"/>
        <v>0</v>
      </c>
      <c r="AJ20" s="249"/>
      <c r="AK20" s="341">
        <f t="shared" si="2"/>
        <v>4928000</v>
      </c>
      <c r="AL20" s="342">
        <f t="shared" si="3"/>
        <v>7328000</v>
      </c>
      <c r="AM20" s="349">
        <f>+AA20+AB20</f>
        <v>2400000</v>
      </c>
      <c r="AN20" s="241"/>
      <c r="AO20" s="241"/>
      <c r="AP20" s="241"/>
      <c r="AQ20" s="194"/>
      <c r="AR20" s="440">
        <v>200000</v>
      </c>
      <c r="AS20" s="195"/>
    </row>
    <row r="21" spans="1:45" ht="17.399999999999999">
      <c r="B21" s="399">
        <v>6</v>
      </c>
      <c r="C21" s="286" t="s">
        <v>774</v>
      </c>
      <c r="D21" s="378" t="s">
        <v>768</v>
      </c>
      <c r="E21" s="47" t="s">
        <v>775</v>
      </c>
      <c r="F21" s="230"/>
      <c r="G21" s="290" t="s">
        <v>886</v>
      </c>
      <c r="H21" s="230" t="s">
        <v>210</v>
      </c>
      <c r="I21" s="228"/>
      <c r="J21" s="228"/>
      <c r="K21" s="230">
        <v>1</v>
      </c>
      <c r="L21" s="230"/>
      <c r="M21" s="246" t="s">
        <v>108</v>
      </c>
      <c r="N21" s="230"/>
      <c r="O21" s="230"/>
      <c r="P21" s="230"/>
      <c r="Q21" s="230"/>
      <c r="R21" s="256"/>
      <c r="S21" s="257"/>
      <c r="T21" s="228"/>
      <c r="U21" s="228" t="s">
        <v>772</v>
      </c>
      <c r="V21" s="245"/>
      <c r="W21" s="254"/>
      <c r="X21" s="254"/>
      <c r="Y21" s="375" t="s">
        <v>871</v>
      </c>
      <c r="Z21" s="255"/>
      <c r="AA21" s="373">
        <v>1450000</v>
      </c>
      <c r="AB21" s="373">
        <v>1055000</v>
      </c>
      <c r="AC21" s="248"/>
      <c r="AD21" s="247"/>
      <c r="AE21" s="349">
        <v>900000</v>
      </c>
      <c r="AF21" s="351">
        <v>3580000</v>
      </c>
      <c r="AG21" s="248"/>
      <c r="AH21" s="340">
        <f t="shared" si="0"/>
        <v>2505000</v>
      </c>
      <c r="AI21" s="343">
        <f t="shared" si="1"/>
        <v>0</v>
      </c>
      <c r="AJ21" s="249"/>
      <c r="AK21" s="341">
        <f t="shared" si="2"/>
        <v>4928000</v>
      </c>
      <c r="AL21" s="342">
        <f t="shared" si="3"/>
        <v>7433000</v>
      </c>
      <c r="AM21" s="349">
        <f>+AA21+AB21</f>
        <v>2505000</v>
      </c>
      <c r="AN21" s="241"/>
      <c r="AO21" s="241"/>
      <c r="AP21" s="241"/>
      <c r="AQ21" s="194"/>
      <c r="AR21" s="440">
        <v>200000</v>
      </c>
      <c r="AS21" s="195"/>
    </row>
    <row r="22" spans="1:45" ht="17.399999999999999">
      <c r="B22" s="253">
        <v>7</v>
      </c>
      <c r="C22" s="286" t="s">
        <v>826</v>
      </c>
      <c r="D22" s="245">
        <v>45028</v>
      </c>
      <c r="E22" s="387" t="s">
        <v>828</v>
      </c>
      <c r="F22" s="230"/>
      <c r="G22" s="228" t="s">
        <v>965</v>
      </c>
      <c r="H22" s="230" t="s">
        <v>210</v>
      </c>
      <c r="I22" s="228"/>
      <c r="J22" s="228"/>
      <c r="K22" s="230">
        <v>1</v>
      </c>
      <c r="L22" s="230"/>
      <c r="M22" s="246" t="s">
        <v>108</v>
      </c>
      <c r="N22" s="230"/>
      <c r="O22" s="230"/>
      <c r="P22" s="230"/>
      <c r="Q22" s="230"/>
      <c r="R22" s="256"/>
      <c r="S22" s="257"/>
      <c r="T22" s="228"/>
      <c r="U22" s="228" t="s">
        <v>772</v>
      </c>
      <c r="V22" s="245"/>
      <c r="W22" s="254"/>
      <c r="X22" s="254"/>
      <c r="Y22" s="375" t="s">
        <v>827</v>
      </c>
      <c r="Z22" s="255"/>
      <c r="AA22" s="373">
        <v>1450000</v>
      </c>
      <c r="AB22" s="373">
        <v>2110000</v>
      </c>
      <c r="AC22" s="248"/>
      <c r="AD22" s="247"/>
      <c r="AE22" s="349">
        <v>900000</v>
      </c>
      <c r="AF22" s="351">
        <v>3580000</v>
      </c>
      <c r="AG22" s="248"/>
      <c r="AH22" s="340">
        <f t="shared" si="0"/>
        <v>3560000</v>
      </c>
      <c r="AI22" s="343">
        <f t="shared" si="1"/>
        <v>0</v>
      </c>
      <c r="AJ22" s="249"/>
      <c r="AK22" s="341">
        <f t="shared" si="2"/>
        <v>4928000</v>
      </c>
      <c r="AL22" s="342">
        <f t="shared" si="3"/>
        <v>8488000</v>
      </c>
      <c r="AM22" s="349">
        <f>+AA22+AB22</f>
        <v>3560000</v>
      </c>
      <c r="AN22" s="241"/>
      <c r="AO22" s="241"/>
      <c r="AP22" s="241"/>
      <c r="AQ22" s="194"/>
      <c r="AR22" s="440">
        <v>200000</v>
      </c>
      <c r="AS22" s="195"/>
    </row>
    <row r="23" spans="1:45" ht="34.799999999999997">
      <c r="B23" s="399">
        <v>8</v>
      </c>
      <c r="C23" s="286" t="s">
        <v>829</v>
      </c>
      <c r="D23" s="245">
        <v>45028</v>
      </c>
      <c r="E23" s="387" t="s">
        <v>831</v>
      </c>
      <c r="F23" s="230"/>
      <c r="G23" s="228" t="s">
        <v>965</v>
      </c>
      <c r="H23" s="230" t="s">
        <v>210</v>
      </c>
      <c r="I23" s="228"/>
      <c r="J23" s="228"/>
      <c r="K23" s="230">
        <v>1</v>
      </c>
      <c r="L23" s="230"/>
      <c r="M23" s="376" t="s">
        <v>123</v>
      </c>
      <c r="N23" s="230"/>
      <c r="O23" s="230"/>
      <c r="P23" s="230"/>
      <c r="Q23" s="230"/>
      <c r="R23" s="256"/>
      <c r="S23" s="257"/>
      <c r="T23" s="228"/>
      <c r="U23" s="228" t="s">
        <v>772</v>
      </c>
      <c r="V23" s="245"/>
      <c r="W23" s="254"/>
      <c r="X23" s="254"/>
      <c r="Y23" s="375" t="s">
        <v>830</v>
      </c>
      <c r="Z23" s="255"/>
      <c r="AA23" s="373">
        <v>1450000</v>
      </c>
      <c r="AB23" s="248"/>
      <c r="AC23" s="248"/>
      <c r="AD23" s="247"/>
      <c r="AE23" s="349">
        <f>900000+300000</f>
        <v>1200000</v>
      </c>
      <c r="AF23" s="351">
        <v>3580000</v>
      </c>
      <c r="AG23" s="248"/>
      <c r="AH23" s="340">
        <f t="shared" si="0"/>
        <v>1450000</v>
      </c>
      <c r="AI23" s="343">
        <f t="shared" si="1"/>
        <v>0</v>
      </c>
      <c r="AJ23" s="249"/>
      <c r="AK23" s="341">
        <f t="shared" si="2"/>
        <v>5258000</v>
      </c>
      <c r="AL23" s="342">
        <f t="shared" si="3"/>
        <v>6708000</v>
      </c>
      <c r="AM23" s="349">
        <f>+AA23</f>
        <v>1450000</v>
      </c>
      <c r="AN23" s="241"/>
      <c r="AO23" s="241"/>
      <c r="AP23" s="241"/>
      <c r="AQ23" s="194"/>
      <c r="AR23" s="440">
        <v>200000</v>
      </c>
      <c r="AS23" s="195"/>
    </row>
    <row r="24" spans="1:45" ht="17.399999999999999">
      <c r="B24" s="253">
        <v>9</v>
      </c>
      <c r="C24" s="390" t="s">
        <v>844</v>
      </c>
      <c r="D24" s="245" t="s">
        <v>845</v>
      </c>
      <c r="E24" s="387" t="s">
        <v>847</v>
      </c>
      <c r="F24" s="230"/>
      <c r="G24" s="228" t="s">
        <v>965</v>
      </c>
      <c r="H24" s="230" t="s">
        <v>210</v>
      </c>
      <c r="I24" s="228"/>
      <c r="J24" s="228"/>
      <c r="K24" s="230">
        <v>1</v>
      </c>
      <c r="L24" s="230"/>
      <c r="M24" s="246" t="s">
        <v>108</v>
      </c>
      <c r="N24" s="230"/>
      <c r="O24" s="230"/>
      <c r="P24" s="230"/>
      <c r="Q24" s="230"/>
      <c r="R24" s="256"/>
      <c r="S24" s="257"/>
      <c r="T24" s="228"/>
      <c r="U24" s="228">
        <v>2716792970</v>
      </c>
      <c r="V24" s="245"/>
      <c r="W24" s="254"/>
      <c r="X24" s="254"/>
      <c r="Y24" s="375" t="s">
        <v>859</v>
      </c>
      <c r="Z24" s="255"/>
      <c r="AA24" s="373">
        <v>1200000</v>
      </c>
      <c r="AB24" s="373">
        <v>4220000</v>
      </c>
      <c r="AC24" s="248"/>
      <c r="AD24" s="247"/>
      <c r="AE24" s="349">
        <v>900000</v>
      </c>
      <c r="AF24" s="351">
        <v>3580000</v>
      </c>
      <c r="AG24" s="248"/>
      <c r="AH24" s="340">
        <f t="shared" ref="AH24:AH34" si="4">+AA24+AB24+AC24</f>
        <v>5420000</v>
      </c>
      <c r="AI24" s="343">
        <f t="shared" ref="AI24:AI34" si="5">+AD24</f>
        <v>0</v>
      </c>
      <c r="AJ24" s="249"/>
      <c r="AK24" s="341">
        <f t="shared" ref="AK24:AK34" si="6">(AE24+AF24+AG24)*1.1</f>
        <v>4928000</v>
      </c>
      <c r="AL24" s="342">
        <f t="shared" ref="AL24:AL34" si="7">+AK24+AI24+AH24</f>
        <v>10348000</v>
      </c>
      <c r="AM24" s="349">
        <f>+AA24+AB24</f>
        <v>5420000</v>
      </c>
      <c r="AN24" s="241"/>
      <c r="AO24" s="241"/>
      <c r="AP24" s="241"/>
      <c r="AQ24" s="194"/>
      <c r="AR24" s="440">
        <v>200000</v>
      </c>
      <c r="AS24" s="195"/>
    </row>
    <row r="25" spans="1:45" ht="17.399999999999999">
      <c r="B25" s="399">
        <v>10</v>
      </c>
      <c r="C25" s="390" t="s">
        <v>842</v>
      </c>
      <c r="D25" s="245" t="s">
        <v>845</v>
      </c>
      <c r="E25" s="387" t="s">
        <v>848</v>
      </c>
      <c r="F25" s="230"/>
      <c r="G25" s="228" t="s">
        <v>965</v>
      </c>
      <c r="H25" s="230" t="s">
        <v>210</v>
      </c>
      <c r="I25" s="228"/>
      <c r="J25" s="228"/>
      <c r="K25" s="230">
        <v>1</v>
      </c>
      <c r="L25" s="230"/>
      <c r="M25" s="246" t="s">
        <v>108</v>
      </c>
      <c r="N25" s="230"/>
      <c r="O25" s="230"/>
      <c r="P25" s="230"/>
      <c r="Q25" s="230"/>
      <c r="R25" s="256"/>
      <c r="S25" s="257"/>
      <c r="T25" s="228"/>
      <c r="U25" s="228">
        <v>2716792970</v>
      </c>
      <c r="V25" s="245"/>
      <c r="W25" s="254"/>
      <c r="X25" s="254"/>
      <c r="Y25" s="375" t="s">
        <v>843</v>
      </c>
      <c r="Z25" s="255"/>
      <c r="AA25" s="373">
        <v>1200000</v>
      </c>
      <c r="AB25" s="248"/>
      <c r="AC25" s="248"/>
      <c r="AD25" s="247"/>
      <c r="AE25" s="349">
        <v>900000</v>
      </c>
      <c r="AF25" s="351">
        <v>3580000</v>
      </c>
      <c r="AG25" s="248"/>
      <c r="AH25" s="340">
        <f t="shared" si="4"/>
        <v>1200000</v>
      </c>
      <c r="AI25" s="343">
        <f t="shared" si="5"/>
        <v>0</v>
      </c>
      <c r="AJ25" s="249"/>
      <c r="AK25" s="341">
        <f t="shared" si="6"/>
        <v>4928000</v>
      </c>
      <c r="AL25" s="342">
        <f t="shared" si="7"/>
        <v>6128000</v>
      </c>
      <c r="AM25" s="349">
        <f>+AA25+AB25</f>
        <v>1200000</v>
      </c>
      <c r="AN25" s="241"/>
      <c r="AO25" s="241"/>
      <c r="AP25" s="241"/>
      <c r="AQ25" s="194"/>
      <c r="AR25" s="440">
        <v>200000</v>
      </c>
      <c r="AS25" s="195"/>
    </row>
    <row r="26" spans="1:45" ht="17.399999999999999">
      <c r="B26" s="253">
        <v>11</v>
      </c>
      <c r="C26" s="390" t="s">
        <v>839</v>
      </c>
      <c r="D26" s="245" t="s">
        <v>840</v>
      </c>
      <c r="E26" s="387" t="s">
        <v>846</v>
      </c>
      <c r="F26" s="230"/>
      <c r="G26" s="228" t="s">
        <v>965</v>
      </c>
      <c r="H26" s="230" t="s">
        <v>210</v>
      </c>
      <c r="I26" s="228"/>
      <c r="J26" s="228"/>
      <c r="K26" s="230">
        <v>1</v>
      </c>
      <c r="L26" s="230"/>
      <c r="M26" s="246" t="s">
        <v>108</v>
      </c>
      <c r="N26" s="230"/>
      <c r="O26" s="230"/>
      <c r="P26" s="230"/>
      <c r="Q26" s="230"/>
      <c r="R26" s="256"/>
      <c r="S26" s="257"/>
      <c r="T26" s="228"/>
      <c r="U26" s="228">
        <v>2716792970</v>
      </c>
      <c r="V26" s="245"/>
      <c r="W26" s="254"/>
      <c r="X26" s="254"/>
      <c r="Y26" s="375" t="s">
        <v>841</v>
      </c>
      <c r="Z26" s="255"/>
      <c r="AA26" s="373">
        <v>1200000</v>
      </c>
      <c r="AB26" s="248"/>
      <c r="AC26" s="248"/>
      <c r="AD26" s="247"/>
      <c r="AE26" s="349">
        <v>900000</v>
      </c>
      <c r="AF26" s="351">
        <v>3580000</v>
      </c>
      <c r="AG26" s="248"/>
      <c r="AH26" s="340">
        <f t="shared" si="4"/>
        <v>1200000</v>
      </c>
      <c r="AI26" s="343">
        <f t="shared" si="5"/>
        <v>0</v>
      </c>
      <c r="AJ26" s="249"/>
      <c r="AK26" s="341">
        <f t="shared" si="6"/>
        <v>4928000</v>
      </c>
      <c r="AL26" s="342">
        <f t="shared" si="7"/>
        <v>6128000</v>
      </c>
      <c r="AM26" s="349">
        <f t="shared" ref="AM26:AM34" si="8">+AA26+AB26</f>
        <v>1200000</v>
      </c>
      <c r="AN26" s="241"/>
      <c r="AO26" s="241"/>
      <c r="AP26" s="241"/>
      <c r="AQ26" s="194"/>
      <c r="AR26" s="440">
        <v>200000</v>
      </c>
      <c r="AS26" s="195"/>
    </row>
    <row r="27" spans="1:45" ht="16.5" customHeight="1">
      <c r="B27" s="399">
        <v>12</v>
      </c>
      <c r="C27" s="392" t="s">
        <v>849</v>
      </c>
      <c r="D27" s="245" t="s">
        <v>850</v>
      </c>
      <c r="E27" s="387" t="s">
        <v>852</v>
      </c>
      <c r="F27" s="230"/>
      <c r="G27" s="228" t="s">
        <v>965</v>
      </c>
      <c r="H27" s="230" t="s">
        <v>210</v>
      </c>
      <c r="I27" s="228"/>
      <c r="J27" s="228"/>
      <c r="K27" s="230">
        <v>1</v>
      </c>
      <c r="L27" s="230"/>
      <c r="M27" s="246" t="s">
        <v>108</v>
      </c>
      <c r="N27" s="230"/>
      <c r="O27" s="230"/>
      <c r="P27" s="230"/>
      <c r="Q27" s="230"/>
      <c r="R27" s="256"/>
      <c r="S27" s="257"/>
      <c r="T27" s="228"/>
      <c r="U27" s="228">
        <v>2716792970</v>
      </c>
      <c r="V27" s="245"/>
      <c r="W27" s="254"/>
      <c r="X27" s="254"/>
      <c r="Y27" s="375" t="s">
        <v>851</v>
      </c>
      <c r="Z27" s="255"/>
      <c r="AA27" s="373">
        <v>1200000</v>
      </c>
      <c r="AB27" s="248"/>
      <c r="AC27" s="248"/>
      <c r="AD27" s="247"/>
      <c r="AE27" s="349">
        <v>900000</v>
      </c>
      <c r="AF27" s="351">
        <v>3580000</v>
      </c>
      <c r="AG27" s="248"/>
      <c r="AH27" s="340">
        <f t="shared" si="4"/>
        <v>1200000</v>
      </c>
      <c r="AI27" s="343">
        <f t="shared" si="5"/>
        <v>0</v>
      </c>
      <c r="AJ27" s="249"/>
      <c r="AK27" s="341">
        <f t="shared" si="6"/>
        <v>4928000</v>
      </c>
      <c r="AL27" s="342">
        <f t="shared" si="7"/>
        <v>6128000</v>
      </c>
      <c r="AM27" s="349">
        <f t="shared" si="8"/>
        <v>1200000</v>
      </c>
      <c r="AN27" s="241"/>
      <c r="AO27" s="241"/>
      <c r="AP27" s="241"/>
      <c r="AQ27" s="194"/>
      <c r="AR27" s="440">
        <v>200000</v>
      </c>
      <c r="AS27" s="195"/>
    </row>
    <row r="28" spans="1:45">
      <c r="B28" s="253">
        <v>13</v>
      </c>
      <c r="C28" s="392" t="s">
        <v>855</v>
      </c>
      <c r="D28" s="245" t="s">
        <v>850</v>
      </c>
      <c r="E28" s="387" t="s">
        <v>858</v>
      </c>
      <c r="F28" s="230"/>
      <c r="G28" s="228" t="s">
        <v>965</v>
      </c>
      <c r="H28" s="230" t="s">
        <v>210</v>
      </c>
      <c r="I28" s="228"/>
      <c r="J28" s="228"/>
      <c r="K28" s="230">
        <v>1</v>
      </c>
      <c r="L28" s="230"/>
      <c r="M28" s="246" t="s">
        <v>108</v>
      </c>
      <c r="N28" s="230"/>
      <c r="O28" s="230"/>
      <c r="P28" s="230"/>
      <c r="Q28" s="230"/>
      <c r="R28" s="256"/>
      <c r="S28" s="257"/>
      <c r="T28" s="228"/>
      <c r="U28" s="228" t="s">
        <v>856</v>
      </c>
      <c r="V28" s="245"/>
      <c r="W28" s="254"/>
      <c r="X28" s="254"/>
      <c r="Y28" s="375" t="s">
        <v>857</v>
      </c>
      <c r="Z28" s="255"/>
      <c r="AA28" s="373">
        <v>1450000</v>
      </c>
      <c r="AB28" s="373">
        <v>1050000</v>
      </c>
      <c r="AC28" s="248"/>
      <c r="AD28" s="247"/>
      <c r="AE28" s="349">
        <v>900000</v>
      </c>
      <c r="AF28" s="351">
        <v>3580000</v>
      </c>
      <c r="AG28" s="248"/>
      <c r="AH28" s="340">
        <f t="shared" si="4"/>
        <v>2500000</v>
      </c>
      <c r="AI28" s="343">
        <f t="shared" si="5"/>
        <v>0</v>
      </c>
      <c r="AJ28" s="249"/>
      <c r="AK28" s="341">
        <f t="shared" si="6"/>
        <v>4928000</v>
      </c>
      <c r="AL28" s="342">
        <f t="shared" si="7"/>
        <v>7428000</v>
      </c>
      <c r="AM28" s="349">
        <f t="shared" si="8"/>
        <v>2500000</v>
      </c>
      <c r="AN28" s="241"/>
      <c r="AO28" s="241"/>
      <c r="AP28" s="241"/>
      <c r="AQ28" s="194"/>
      <c r="AR28" s="440">
        <v>200000</v>
      </c>
      <c r="AS28" s="195"/>
    </row>
    <row r="29" spans="1:45" ht="31.2">
      <c r="B29" s="399">
        <v>14</v>
      </c>
      <c r="C29" s="393" t="s">
        <v>862</v>
      </c>
      <c r="D29" s="245">
        <v>45034</v>
      </c>
      <c r="E29" s="391" t="s">
        <v>863</v>
      </c>
      <c r="F29" s="230"/>
      <c r="G29" s="228" t="s">
        <v>965</v>
      </c>
      <c r="H29" s="230" t="s">
        <v>210</v>
      </c>
      <c r="I29" s="228"/>
      <c r="J29" s="228"/>
      <c r="K29" s="230">
        <v>1</v>
      </c>
      <c r="L29" s="230"/>
      <c r="M29" s="376" t="s">
        <v>123</v>
      </c>
      <c r="N29" s="230"/>
      <c r="O29" s="230"/>
      <c r="P29" s="230"/>
      <c r="Q29" s="230"/>
      <c r="R29" s="256"/>
      <c r="S29" s="257"/>
      <c r="T29" s="228"/>
      <c r="U29" s="228" t="s">
        <v>861</v>
      </c>
      <c r="V29" s="245"/>
      <c r="W29" s="254"/>
      <c r="X29" s="254"/>
      <c r="Y29" s="375" t="s">
        <v>860</v>
      </c>
      <c r="Z29" s="255"/>
      <c r="AA29" s="373">
        <v>920000</v>
      </c>
      <c r="AB29" s="373">
        <v>709500</v>
      </c>
      <c r="AC29" s="248"/>
      <c r="AD29" s="247"/>
      <c r="AE29" s="349">
        <f t="shared" ref="AE29:AE34" si="9">900000+300000</f>
        <v>1200000</v>
      </c>
      <c r="AF29" s="351">
        <v>3580000</v>
      </c>
      <c r="AG29" s="248">
        <v>1200000</v>
      </c>
      <c r="AH29" s="340">
        <f t="shared" si="4"/>
        <v>1629500</v>
      </c>
      <c r="AI29" s="343">
        <f t="shared" si="5"/>
        <v>0</v>
      </c>
      <c r="AJ29" s="249" t="s">
        <v>416</v>
      </c>
      <c r="AK29" s="341">
        <f t="shared" si="6"/>
        <v>6578000.0000000009</v>
      </c>
      <c r="AL29" s="342">
        <f t="shared" si="7"/>
        <v>8207500.0000000009</v>
      </c>
      <c r="AM29" s="349">
        <f t="shared" si="8"/>
        <v>1629500</v>
      </c>
      <c r="AN29" s="241"/>
      <c r="AO29" s="241"/>
      <c r="AP29" s="241"/>
      <c r="AQ29" s="194"/>
      <c r="AR29" s="440">
        <v>200000</v>
      </c>
      <c r="AS29" s="195"/>
    </row>
    <row r="30" spans="1:45" s="195" customFormat="1" ht="31.2">
      <c r="A30" s="193"/>
      <c r="B30" s="253">
        <v>15</v>
      </c>
      <c r="C30" s="432" t="s">
        <v>875</v>
      </c>
      <c r="D30" s="363" t="s">
        <v>872</v>
      </c>
      <c r="E30" s="387" t="s">
        <v>874</v>
      </c>
      <c r="F30" s="230"/>
      <c r="G30" s="228" t="s">
        <v>965</v>
      </c>
      <c r="H30" s="230" t="s">
        <v>748</v>
      </c>
      <c r="I30" s="228"/>
      <c r="J30" s="228"/>
      <c r="K30" s="230">
        <v>1</v>
      </c>
      <c r="L30" s="230"/>
      <c r="M30" s="376" t="s">
        <v>947</v>
      </c>
      <c r="N30" s="230"/>
      <c r="O30" s="230"/>
      <c r="P30" s="230"/>
      <c r="Q30" s="230"/>
      <c r="R30" s="247"/>
      <c r="S30" s="246"/>
      <c r="T30" s="228"/>
      <c r="U30" s="228">
        <v>2717182770</v>
      </c>
      <c r="V30" s="258"/>
      <c r="W30" s="228"/>
      <c r="X30" s="228"/>
      <c r="Y30" s="375" t="s">
        <v>873</v>
      </c>
      <c r="Z30" s="255"/>
      <c r="AA30" s="373">
        <v>1450000</v>
      </c>
      <c r="AB30" s="373">
        <v>2110000</v>
      </c>
      <c r="AC30" s="248"/>
      <c r="AD30" s="247"/>
      <c r="AE30" s="349">
        <f t="shared" si="9"/>
        <v>1200000</v>
      </c>
      <c r="AF30" s="351">
        <v>3580000</v>
      </c>
      <c r="AG30" s="248"/>
      <c r="AH30" s="412">
        <f t="shared" si="4"/>
        <v>3560000</v>
      </c>
      <c r="AI30" s="413">
        <f t="shared" si="5"/>
        <v>0</v>
      </c>
      <c r="AJ30" s="249"/>
      <c r="AK30" s="414">
        <f t="shared" si="6"/>
        <v>5258000</v>
      </c>
      <c r="AL30" s="415">
        <f t="shared" si="7"/>
        <v>8818000</v>
      </c>
      <c r="AM30" s="349">
        <f t="shared" si="8"/>
        <v>3560000</v>
      </c>
      <c r="AN30" s="241"/>
      <c r="AO30" s="241"/>
      <c r="AP30" s="241"/>
      <c r="AQ30" s="194"/>
      <c r="AR30" s="440">
        <v>200000</v>
      </c>
    </row>
    <row r="31" spans="1:45" ht="31.2">
      <c r="B31" s="399">
        <v>16</v>
      </c>
      <c r="C31" s="432" t="s">
        <v>876</v>
      </c>
      <c r="D31" s="363" t="s">
        <v>872</v>
      </c>
      <c r="E31" s="430" t="s">
        <v>877</v>
      </c>
      <c r="F31" s="419"/>
      <c r="G31" s="228" t="s">
        <v>965</v>
      </c>
      <c r="H31" s="419" t="s">
        <v>210</v>
      </c>
      <c r="I31" s="396"/>
      <c r="J31" s="396"/>
      <c r="K31" s="419">
        <v>1</v>
      </c>
      <c r="L31" s="419"/>
      <c r="M31" s="376" t="s">
        <v>947</v>
      </c>
      <c r="N31" s="419"/>
      <c r="O31" s="419"/>
      <c r="P31" s="419"/>
      <c r="Q31" s="419"/>
      <c r="R31" s="421"/>
      <c r="S31" s="422"/>
      <c r="T31" s="396"/>
      <c r="U31" s="228">
        <v>2717182770</v>
      </c>
      <c r="V31" s="420"/>
      <c r="W31" s="423"/>
      <c r="X31" s="423"/>
      <c r="Y31" s="437" t="s">
        <v>943</v>
      </c>
      <c r="Z31" s="424"/>
      <c r="AA31" s="373">
        <v>1450000</v>
      </c>
      <c r="AB31" s="425"/>
      <c r="AC31" s="425"/>
      <c r="AD31" s="426"/>
      <c r="AE31" s="349">
        <f t="shared" si="9"/>
        <v>1200000</v>
      </c>
      <c r="AF31" s="351">
        <v>3580000</v>
      </c>
      <c r="AG31" s="425"/>
      <c r="AH31" s="412">
        <f t="shared" si="4"/>
        <v>1450000</v>
      </c>
      <c r="AI31" s="413">
        <f t="shared" si="5"/>
        <v>0</v>
      </c>
      <c r="AJ31" s="398"/>
      <c r="AK31" s="414">
        <f t="shared" si="6"/>
        <v>5258000</v>
      </c>
      <c r="AL31" s="415">
        <f t="shared" si="7"/>
        <v>6708000</v>
      </c>
      <c r="AM31" s="349">
        <f t="shared" si="8"/>
        <v>1450000</v>
      </c>
      <c r="AN31" s="428"/>
      <c r="AO31" s="428"/>
      <c r="AP31" s="428"/>
      <c r="AQ31" s="427"/>
      <c r="AR31" s="440">
        <v>200000</v>
      </c>
      <c r="AS31" s="429"/>
    </row>
    <row r="32" spans="1:45" ht="31.2">
      <c r="B32" s="253">
        <v>17</v>
      </c>
      <c r="C32" s="393" t="s">
        <v>951</v>
      </c>
      <c r="D32" s="245" t="s">
        <v>881</v>
      </c>
      <c r="E32" s="391" t="s">
        <v>957</v>
      </c>
      <c r="F32" s="230"/>
      <c r="G32" s="230" t="s">
        <v>377</v>
      </c>
      <c r="H32" s="419" t="s">
        <v>210</v>
      </c>
      <c r="I32" s="228"/>
      <c r="J32" s="228"/>
      <c r="K32" s="419">
        <v>1</v>
      </c>
      <c r="L32" s="230"/>
      <c r="M32" s="376" t="s">
        <v>947</v>
      </c>
      <c r="N32" s="230"/>
      <c r="O32" s="230"/>
      <c r="P32" s="230"/>
      <c r="Q32" s="230"/>
      <c r="R32" s="256"/>
      <c r="S32" s="257"/>
      <c r="T32" s="228"/>
      <c r="U32" s="228" t="s">
        <v>946</v>
      </c>
      <c r="V32" s="245"/>
      <c r="W32" s="254"/>
      <c r="X32" s="254"/>
      <c r="Y32" s="228" t="s">
        <v>955</v>
      </c>
      <c r="Z32" s="255"/>
      <c r="AA32" s="373">
        <v>920000</v>
      </c>
      <c r="AB32" s="373">
        <v>709500</v>
      </c>
      <c r="AC32" s="425"/>
      <c r="AD32" s="247"/>
      <c r="AE32" s="349">
        <f t="shared" si="9"/>
        <v>1200000</v>
      </c>
      <c r="AF32" s="351">
        <v>3580000</v>
      </c>
      <c r="AG32" s="248"/>
      <c r="AH32" s="412">
        <f t="shared" si="4"/>
        <v>1629500</v>
      </c>
      <c r="AI32" s="413">
        <f t="shared" si="5"/>
        <v>0</v>
      </c>
      <c r="AJ32" s="249"/>
      <c r="AK32" s="414">
        <f t="shared" si="6"/>
        <v>5258000</v>
      </c>
      <c r="AL32" s="415">
        <f t="shared" si="7"/>
        <v>6887500</v>
      </c>
      <c r="AM32" s="349">
        <f t="shared" si="8"/>
        <v>1629500</v>
      </c>
      <c r="AN32" s="241"/>
      <c r="AO32" s="241"/>
      <c r="AP32" s="241"/>
      <c r="AQ32" s="194"/>
      <c r="AR32" s="440">
        <v>200000</v>
      </c>
      <c r="AS32" s="195"/>
    </row>
    <row r="33" spans="1:45" ht="31.2">
      <c r="B33" s="399">
        <v>18</v>
      </c>
      <c r="C33" s="432" t="s">
        <v>950</v>
      </c>
      <c r="D33" s="245" t="s">
        <v>881</v>
      </c>
      <c r="E33" s="391" t="s">
        <v>956</v>
      </c>
      <c r="F33" s="230"/>
      <c r="G33" s="230" t="s">
        <v>377</v>
      </c>
      <c r="H33" s="419" t="s">
        <v>210</v>
      </c>
      <c r="I33" s="228"/>
      <c r="J33" s="228"/>
      <c r="K33" s="419">
        <v>1</v>
      </c>
      <c r="L33" s="230"/>
      <c r="M33" s="376" t="s">
        <v>947</v>
      </c>
      <c r="N33" s="230"/>
      <c r="O33" s="230"/>
      <c r="P33" s="230"/>
      <c r="Q33" s="230"/>
      <c r="R33" s="256"/>
      <c r="S33" s="257"/>
      <c r="T33" s="228"/>
      <c r="U33" s="228" t="s">
        <v>944</v>
      </c>
      <c r="V33" s="245"/>
      <c r="W33" s="254"/>
      <c r="X33" s="254"/>
      <c r="Y33" s="228" t="s">
        <v>945</v>
      </c>
      <c r="Z33" s="255"/>
      <c r="AA33" s="373">
        <v>1450000</v>
      </c>
      <c r="AB33" s="373">
        <v>1050000</v>
      </c>
      <c r="AC33" s="248"/>
      <c r="AD33" s="247"/>
      <c r="AE33" s="349">
        <f t="shared" si="9"/>
        <v>1200000</v>
      </c>
      <c r="AF33" s="351">
        <v>3580000</v>
      </c>
      <c r="AG33" s="248"/>
      <c r="AH33" s="412">
        <f t="shared" si="4"/>
        <v>2500000</v>
      </c>
      <c r="AI33" s="413">
        <f t="shared" si="5"/>
        <v>0</v>
      </c>
      <c r="AJ33" s="249"/>
      <c r="AK33" s="414">
        <f t="shared" si="6"/>
        <v>5258000</v>
      </c>
      <c r="AL33" s="415">
        <f t="shared" si="7"/>
        <v>7758000</v>
      </c>
      <c r="AM33" s="349">
        <f t="shared" si="8"/>
        <v>2500000</v>
      </c>
      <c r="AN33" s="241"/>
      <c r="AO33" s="241"/>
      <c r="AP33" s="241"/>
      <c r="AQ33" s="194"/>
      <c r="AR33" s="440">
        <v>200000</v>
      </c>
      <c r="AS33" s="195"/>
    </row>
    <row r="34" spans="1:45" ht="31.2">
      <c r="B34" s="253">
        <v>19</v>
      </c>
      <c r="C34" s="393" t="s">
        <v>953</v>
      </c>
      <c r="D34" s="245" t="s">
        <v>910</v>
      </c>
      <c r="E34" s="391" t="s">
        <v>958</v>
      </c>
      <c r="F34" s="230"/>
      <c r="G34" s="230" t="s">
        <v>377</v>
      </c>
      <c r="H34" s="230" t="s">
        <v>748</v>
      </c>
      <c r="I34" s="228"/>
      <c r="J34" s="228"/>
      <c r="K34" s="230">
        <v>1</v>
      </c>
      <c r="L34" s="230"/>
      <c r="M34" s="434" t="s">
        <v>108</v>
      </c>
      <c r="N34" s="230"/>
      <c r="O34" s="230"/>
      <c r="P34" s="230"/>
      <c r="Q34" s="230"/>
      <c r="R34" s="256"/>
      <c r="S34" s="257"/>
      <c r="T34" s="228"/>
      <c r="U34" s="228" t="s">
        <v>954</v>
      </c>
      <c r="V34" s="245"/>
      <c r="W34" s="254"/>
      <c r="X34" s="254"/>
      <c r="Y34" s="228" t="s">
        <v>952</v>
      </c>
      <c r="Z34" s="255"/>
      <c r="AA34" s="373">
        <v>920000</v>
      </c>
      <c r="AB34" s="373">
        <v>1055000</v>
      </c>
      <c r="AC34" s="248"/>
      <c r="AD34" s="247"/>
      <c r="AE34" s="349">
        <f t="shared" si="9"/>
        <v>1200000</v>
      </c>
      <c r="AF34" s="351">
        <v>3580000</v>
      </c>
      <c r="AG34" s="248"/>
      <c r="AH34" s="412">
        <f t="shared" si="4"/>
        <v>1975000</v>
      </c>
      <c r="AI34" s="413">
        <f t="shared" si="5"/>
        <v>0</v>
      </c>
      <c r="AJ34" s="249"/>
      <c r="AK34" s="414">
        <f t="shared" si="6"/>
        <v>5258000</v>
      </c>
      <c r="AL34" s="415">
        <f t="shared" si="7"/>
        <v>7233000</v>
      </c>
      <c r="AM34" s="349">
        <f t="shared" si="8"/>
        <v>1975000</v>
      </c>
      <c r="AN34" s="241"/>
      <c r="AO34" s="241"/>
      <c r="AP34" s="241"/>
      <c r="AQ34" s="194"/>
      <c r="AR34" s="440">
        <v>200000</v>
      </c>
      <c r="AS34" s="195"/>
    </row>
    <row r="35" spans="1:45" ht="29.25" customHeight="1">
      <c r="A35" s="3701" t="s">
        <v>867</v>
      </c>
      <c r="B35" s="3702"/>
      <c r="C35" s="3702"/>
      <c r="D35" s="3702"/>
      <c r="E35" s="3702"/>
      <c r="F35" s="3702"/>
      <c r="G35" s="3702"/>
      <c r="H35" s="3702"/>
      <c r="I35" s="3702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54"/>
      <c r="V35" s="355"/>
      <c r="W35" s="356"/>
      <c r="X35" s="355"/>
      <c r="Y35" s="354"/>
      <c r="Z35" s="353"/>
      <c r="AA35" s="346"/>
      <c r="AB35" s="357"/>
      <c r="AC35" s="357"/>
      <c r="AD35" s="357"/>
      <c r="AE35" s="357"/>
      <c r="AF35" s="357"/>
      <c r="AG35" s="357"/>
      <c r="AH35" s="358">
        <f>SUM(AH18:AH34)</f>
        <v>36338500</v>
      </c>
      <c r="AI35" s="358">
        <f>SUM(AI18:AI34)</f>
        <v>0</v>
      </c>
      <c r="AJ35" s="359"/>
      <c r="AK35" s="358">
        <f>SUM(AK18:AK34)</f>
        <v>83798000</v>
      </c>
      <c r="AL35" s="358">
        <f>SUM(AL18:AL34)</f>
        <v>120136500</v>
      </c>
      <c r="AM35" s="357"/>
      <c r="AN35" s="357"/>
      <c r="AO35" s="357"/>
      <c r="AP35" s="357"/>
      <c r="AQ35" s="357"/>
      <c r="AR35" s="357"/>
      <c r="AS35" s="357"/>
    </row>
    <row r="36" spans="1:45">
      <c r="B36" s="253"/>
      <c r="C36" s="230"/>
      <c r="D36" s="245"/>
      <c r="E36" s="230"/>
      <c r="F36" s="230"/>
      <c r="G36" s="230"/>
      <c r="H36" s="230"/>
      <c r="I36" s="228"/>
      <c r="J36" s="228"/>
      <c r="K36" s="230"/>
      <c r="L36" s="230"/>
      <c r="M36" s="246"/>
      <c r="N36" s="230"/>
      <c r="O36" s="230"/>
      <c r="P36" s="230"/>
      <c r="Q36" s="230"/>
      <c r="R36" s="256"/>
      <c r="S36" s="257"/>
      <c r="T36" s="228"/>
      <c r="U36" s="228"/>
      <c r="V36" s="245"/>
      <c r="W36" s="254"/>
      <c r="X36" s="254"/>
      <c r="Y36" s="228"/>
      <c r="Z36" s="255"/>
      <c r="AA36" s="248"/>
      <c r="AB36" s="248"/>
      <c r="AC36" s="248"/>
      <c r="AD36" s="247"/>
      <c r="AE36" s="228"/>
      <c r="AF36" s="228"/>
      <c r="AG36" s="248"/>
      <c r="AH36" s="248"/>
      <c r="AI36" s="194"/>
      <c r="AJ36" s="249"/>
      <c r="AK36" s="250"/>
      <c r="AL36" s="251"/>
      <c r="AM36" s="252"/>
      <c r="AN36" s="241"/>
      <c r="AO36" s="241"/>
      <c r="AP36" s="241"/>
      <c r="AQ36" s="194"/>
      <c r="AR36" s="195"/>
      <c r="AS36" s="195"/>
    </row>
    <row r="37" spans="1:45">
      <c r="B37" s="253"/>
      <c r="C37" s="230"/>
      <c r="D37" s="245"/>
      <c r="E37" s="230"/>
      <c r="F37" s="230"/>
      <c r="G37" s="230"/>
      <c r="H37" s="230"/>
      <c r="I37" s="228"/>
      <c r="J37" s="228"/>
      <c r="K37" s="230"/>
      <c r="L37" s="230"/>
      <c r="M37" s="246"/>
      <c r="N37" s="230"/>
      <c r="O37" s="230"/>
      <c r="P37" s="230"/>
      <c r="Q37" s="230"/>
      <c r="R37" s="256"/>
      <c r="S37" s="257"/>
      <c r="T37" s="228"/>
      <c r="U37" s="228"/>
      <c r="V37" s="245"/>
      <c r="W37" s="254"/>
      <c r="X37" s="254"/>
      <c r="Y37" s="228"/>
      <c r="Z37" s="255"/>
      <c r="AA37" s="248"/>
      <c r="AB37" s="248"/>
      <c r="AC37" s="248"/>
      <c r="AD37" s="247"/>
      <c r="AE37" s="228"/>
      <c r="AF37" s="228"/>
      <c r="AG37" s="248"/>
      <c r="AH37" s="248"/>
      <c r="AI37" s="194"/>
      <c r="AJ37" s="249"/>
      <c r="AK37" s="250"/>
      <c r="AL37" s="251"/>
      <c r="AM37" s="252"/>
      <c r="AN37" s="241"/>
      <c r="AO37" s="241"/>
      <c r="AP37" s="241"/>
      <c r="AQ37" s="194"/>
      <c r="AR37" s="195"/>
      <c r="AS37" s="195"/>
    </row>
    <row r="38" spans="1:45">
      <c r="B38" s="253"/>
      <c r="C38" s="230"/>
      <c r="D38" s="245"/>
      <c r="E38" s="230"/>
      <c r="F38" s="230"/>
      <c r="G38" s="230"/>
      <c r="H38" s="230"/>
      <c r="I38" s="228"/>
      <c r="J38" s="228"/>
      <c r="K38" s="230"/>
      <c r="L38" s="230"/>
      <c r="M38" s="246"/>
      <c r="N38" s="230"/>
      <c r="O38" s="230"/>
      <c r="P38" s="230"/>
      <c r="Q38" s="230"/>
      <c r="R38" s="256"/>
      <c r="S38" s="257"/>
      <c r="T38" s="228"/>
      <c r="U38" s="228"/>
      <c r="V38" s="245"/>
      <c r="W38" s="254"/>
      <c r="X38" s="254"/>
      <c r="Y38" s="228"/>
      <c r="Z38" s="255"/>
      <c r="AA38" s="248"/>
      <c r="AB38" s="248"/>
      <c r="AC38" s="248"/>
      <c r="AD38" s="247"/>
      <c r="AE38" s="228"/>
      <c r="AF38" s="228"/>
      <c r="AG38" s="248"/>
      <c r="AH38" s="248"/>
      <c r="AI38" s="194"/>
      <c r="AJ38" s="249"/>
      <c r="AK38" s="250"/>
      <c r="AL38" s="251"/>
      <c r="AM38" s="252"/>
      <c r="AN38" s="241"/>
      <c r="AO38" s="241"/>
      <c r="AP38" s="241"/>
      <c r="AQ38" s="194"/>
      <c r="AR38" s="195"/>
      <c r="AS38" s="195"/>
    </row>
    <row r="39" spans="1:45">
      <c r="B39" s="253"/>
      <c r="C39" s="230"/>
      <c r="D39" s="245"/>
      <c r="E39" s="230"/>
      <c r="F39" s="230"/>
      <c r="G39" s="230"/>
      <c r="H39" s="230"/>
      <c r="I39" s="228"/>
      <c r="J39" s="228"/>
      <c r="K39" s="230"/>
      <c r="L39" s="230"/>
      <c r="M39" s="246"/>
      <c r="N39" s="230"/>
      <c r="O39" s="230"/>
      <c r="P39" s="230"/>
      <c r="Q39" s="230"/>
      <c r="R39" s="256"/>
      <c r="S39" s="257"/>
      <c r="T39" s="228"/>
      <c r="U39" s="228"/>
      <c r="V39" s="245"/>
      <c r="W39" s="254"/>
      <c r="X39" s="254"/>
      <c r="Y39" s="228"/>
      <c r="Z39" s="255"/>
      <c r="AA39" s="248"/>
      <c r="AB39" s="248"/>
      <c r="AC39" s="248"/>
      <c r="AD39" s="247"/>
      <c r="AE39" s="228"/>
      <c r="AF39" s="228"/>
      <c r="AG39" s="248"/>
      <c r="AH39" s="248"/>
      <c r="AI39" s="194"/>
      <c r="AJ39" s="249"/>
      <c r="AK39" s="250"/>
      <c r="AL39" s="251"/>
      <c r="AM39" s="252"/>
      <c r="AN39" s="241"/>
      <c r="AO39" s="241"/>
      <c r="AP39" s="241"/>
      <c r="AQ39" s="194"/>
      <c r="AR39" s="195"/>
      <c r="AS39" s="195"/>
    </row>
    <row r="40" spans="1:45">
      <c r="B40" s="253"/>
      <c r="C40" s="230"/>
      <c r="D40" s="245"/>
      <c r="E40" s="230"/>
      <c r="F40" s="230"/>
      <c r="G40" s="230"/>
      <c r="H40" s="230"/>
      <c r="I40" s="228"/>
      <c r="J40" s="228"/>
      <c r="K40" s="230"/>
      <c r="L40" s="230"/>
      <c r="M40" s="246"/>
      <c r="N40" s="230"/>
      <c r="O40" s="230"/>
      <c r="P40" s="230"/>
      <c r="Q40" s="230"/>
      <c r="R40" s="256"/>
      <c r="S40" s="257"/>
      <c r="T40" s="228"/>
      <c r="U40" s="228"/>
      <c r="V40" s="245"/>
      <c r="W40" s="254"/>
      <c r="X40" s="254"/>
      <c r="Y40" s="228"/>
      <c r="Z40" s="255"/>
      <c r="AA40" s="248"/>
      <c r="AB40" s="248"/>
      <c r="AC40" s="248"/>
      <c r="AD40" s="247"/>
      <c r="AE40" s="228"/>
      <c r="AF40" s="228"/>
      <c r="AG40" s="248"/>
      <c r="AH40" s="248"/>
      <c r="AI40" s="194"/>
      <c r="AJ40" s="249"/>
      <c r="AK40" s="250"/>
      <c r="AL40" s="251"/>
      <c r="AM40" s="252"/>
      <c r="AN40" s="241"/>
      <c r="AO40" s="241"/>
      <c r="AP40" s="241"/>
      <c r="AQ40" s="194"/>
      <c r="AR40" s="195"/>
      <c r="AS40" s="195"/>
    </row>
    <row r="41" spans="1:45">
      <c r="B41" s="253"/>
      <c r="C41" s="230"/>
      <c r="D41" s="245"/>
      <c r="E41" s="230"/>
      <c r="F41" s="230"/>
      <c r="G41" s="230"/>
      <c r="H41" s="230"/>
      <c r="I41" s="228"/>
      <c r="J41" s="228"/>
      <c r="K41" s="230"/>
      <c r="L41" s="230"/>
      <c r="M41" s="246"/>
      <c r="N41" s="230"/>
      <c r="O41" s="230"/>
      <c r="P41" s="230"/>
      <c r="Q41" s="230"/>
      <c r="R41" s="256"/>
      <c r="S41" s="257"/>
      <c r="T41" s="228"/>
      <c r="U41" s="228"/>
      <c r="V41" s="245"/>
      <c r="W41" s="254"/>
      <c r="X41" s="254"/>
      <c r="Y41" s="228"/>
      <c r="Z41" s="255"/>
      <c r="AA41" s="248"/>
      <c r="AB41" s="248"/>
      <c r="AC41" s="248"/>
      <c r="AD41" s="247"/>
      <c r="AE41" s="228"/>
      <c r="AF41" s="228"/>
      <c r="AG41" s="248"/>
      <c r="AH41" s="248"/>
      <c r="AI41" s="194"/>
      <c r="AJ41" s="249"/>
      <c r="AK41" s="250"/>
      <c r="AL41" s="251"/>
      <c r="AM41" s="252"/>
      <c r="AN41" s="241"/>
      <c r="AO41" s="241"/>
      <c r="AP41" s="241"/>
      <c r="AQ41" s="194"/>
      <c r="AR41" s="195"/>
      <c r="AS41" s="195"/>
    </row>
    <row r="42" spans="1:45">
      <c r="B42" s="253"/>
      <c r="C42" s="230"/>
      <c r="D42" s="245"/>
      <c r="E42" s="230"/>
      <c r="F42" s="230"/>
      <c r="G42" s="230"/>
      <c r="H42" s="230"/>
      <c r="I42" s="228"/>
      <c r="J42" s="228"/>
      <c r="K42" s="230"/>
      <c r="L42" s="230"/>
      <c r="M42" s="246"/>
      <c r="N42" s="230"/>
      <c r="O42" s="230"/>
      <c r="P42" s="230"/>
      <c r="Q42" s="230"/>
      <c r="R42" s="256"/>
      <c r="S42" s="257"/>
      <c r="T42" s="228"/>
      <c r="U42" s="228"/>
      <c r="V42" s="245"/>
      <c r="W42" s="254"/>
      <c r="X42" s="254"/>
      <c r="Y42" s="228"/>
      <c r="Z42" s="255"/>
      <c r="AA42" s="248"/>
      <c r="AB42" s="248"/>
      <c r="AC42" s="248"/>
      <c r="AD42" s="247"/>
      <c r="AE42" s="228"/>
      <c r="AF42" s="228"/>
      <c r="AG42" s="248"/>
      <c r="AH42" s="248"/>
      <c r="AI42" s="194"/>
      <c r="AJ42" s="249"/>
      <c r="AK42" s="250"/>
      <c r="AL42" s="251"/>
      <c r="AM42" s="252"/>
      <c r="AN42" s="241"/>
      <c r="AO42" s="241"/>
      <c r="AP42" s="241"/>
      <c r="AQ42" s="194"/>
      <c r="AR42" s="195"/>
      <c r="AS42" s="195"/>
    </row>
    <row r="43" spans="1:45">
      <c r="B43" s="253"/>
      <c r="C43" s="230"/>
      <c r="D43" s="245"/>
      <c r="E43" s="230"/>
      <c r="F43" s="230"/>
      <c r="G43" s="230"/>
      <c r="H43" s="230"/>
      <c r="I43" s="228"/>
      <c r="J43" s="228"/>
      <c r="K43" s="230"/>
      <c r="L43" s="230"/>
      <c r="M43" s="246"/>
      <c r="N43" s="230"/>
      <c r="O43" s="230"/>
      <c r="P43" s="230"/>
      <c r="Q43" s="230"/>
      <c r="R43" s="256"/>
      <c r="S43" s="257"/>
      <c r="T43" s="228"/>
      <c r="U43" s="228"/>
      <c r="V43" s="245"/>
      <c r="W43" s="254"/>
      <c r="X43" s="254"/>
      <c r="Y43" s="228"/>
      <c r="Z43" s="255"/>
      <c r="AA43" s="248"/>
      <c r="AB43" s="248"/>
      <c r="AC43" s="248"/>
      <c r="AD43" s="247"/>
      <c r="AE43" s="228"/>
      <c r="AF43" s="228"/>
      <c r="AG43" s="248"/>
      <c r="AH43" s="248"/>
      <c r="AI43" s="194"/>
      <c r="AJ43" s="249"/>
      <c r="AK43" s="250"/>
      <c r="AL43" s="251"/>
      <c r="AM43" s="252"/>
      <c r="AN43" s="241"/>
      <c r="AO43" s="241"/>
      <c r="AP43" s="241"/>
      <c r="AQ43" s="194"/>
      <c r="AR43" s="195"/>
      <c r="AS43" s="195"/>
    </row>
    <row r="44" spans="1:45">
      <c r="B44" s="253"/>
      <c r="C44" s="230"/>
      <c r="D44" s="245"/>
      <c r="E44" s="230"/>
      <c r="F44" s="230"/>
      <c r="G44" s="230"/>
      <c r="H44" s="230"/>
      <c r="I44" s="228"/>
      <c r="J44" s="228"/>
      <c r="K44" s="230"/>
      <c r="L44" s="230"/>
      <c r="M44" s="246"/>
      <c r="N44" s="230"/>
      <c r="O44" s="230"/>
      <c r="P44" s="230"/>
      <c r="Q44" s="230"/>
      <c r="R44" s="256"/>
      <c r="S44" s="257"/>
      <c r="T44" s="228"/>
      <c r="U44" s="228"/>
      <c r="V44" s="245"/>
      <c r="W44" s="254"/>
      <c r="X44" s="254"/>
      <c r="Y44" s="228"/>
      <c r="Z44" s="255"/>
      <c r="AA44" s="248"/>
      <c r="AB44" s="248"/>
      <c r="AC44" s="248"/>
      <c r="AD44" s="247"/>
      <c r="AE44" s="228"/>
      <c r="AF44" s="228"/>
      <c r="AG44" s="248"/>
      <c r="AH44" s="248"/>
      <c r="AI44" s="194"/>
      <c r="AJ44" s="249"/>
      <c r="AK44" s="250"/>
      <c r="AL44" s="251"/>
      <c r="AM44" s="252"/>
      <c r="AN44" s="241"/>
      <c r="AO44" s="241"/>
      <c r="AP44" s="241"/>
      <c r="AQ44" s="194"/>
      <c r="AR44" s="195"/>
      <c r="AS44" s="195"/>
    </row>
    <row r="45" spans="1:45">
      <c r="B45" s="253"/>
      <c r="C45" s="230"/>
      <c r="D45" s="245"/>
      <c r="E45" s="230"/>
      <c r="F45" s="230"/>
      <c r="G45" s="230"/>
      <c r="H45" s="230"/>
      <c r="I45" s="228"/>
      <c r="J45" s="228"/>
      <c r="K45" s="230"/>
      <c r="L45" s="230"/>
      <c r="M45" s="246"/>
      <c r="N45" s="230"/>
      <c r="O45" s="230"/>
      <c r="P45" s="230"/>
      <c r="Q45" s="230"/>
      <c r="R45" s="256"/>
      <c r="S45" s="257"/>
      <c r="T45" s="228"/>
      <c r="U45" s="228"/>
      <c r="V45" s="245"/>
      <c r="W45" s="254"/>
      <c r="X45" s="254"/>
      <c r="Y45" s="228"/>
      <c r="Z45" s="255"/>
      <c r="AA45" s="248"/>
      <c r="AB45" s="248"/>
      <c r="AC45" s="248"/>
      <c r="AD45" s="247"/>
      <c r="AE45" s="228"/>
      <c r="AF45" s="228"/>
      <c r="AG45" s="248"/>
      <c r="AH45" s="248"/>
      <c r="AI45" s="194"/>
      <c r="AJ45" s="249"/>
      <c r="AK45" s="250"/>
      <c r="AL45" s="251"/>
      <c r="AM45" s="252"/>
      <c r="AN45" s="241"/>
      <c r="AO45" s="241"/>
      <c r="AP45" s="241"/>
      <c r="AQ45" s="194"/>
      <c r="AR45" s="195"/>
      <c r="AS45" s="195"/>
    </row>
    <row r="46" spans="1:45">
      <c r="B46" s="253"/>
      <c r="C46" s="230"/>
      <c r="D46" s="245"/>
      <c r="E46" s="230"/>
      <c r="F46" s="230"/>
      <c r="G46" s="230"/>
      <c r="H46" s="230"/>
      <c r="I46" s="228"/>
      <c r="J46" s="228"/>
      <c r="K46" s="230"/>
      <c r="L46" s="230"/>
      <c r="M46" s="246"/>
      <c r="N46" s="230"/>
      <c r="O46" s="230"/>
      <c r="P46" s="230"/>
      <c r="Q46" s="230"/>
      <c r="R46" s="256"/>
      <c r="S46" s="257"/>
      <c r="T46" s="228"/>
      <c r="U46" s="228"/>
      <c r="V46" s="245"/>
      <c r="W46" s="254"/>
      <c r="X46" s="254"/>
      <c r="Y46" s="228"/>
      <c r="Z46" s="255"/>
      <c r="AA46" s="248"/>
      <c r="AB46" s="248"/>
      <c r="AC46" s="248"/>
      <c r="AD46" s="247"/>
      <c r="AE46" s="228"/>
      <c r="AF46" s="228"/>
      <c r="AG46" s="248"/>
      <c r="AH46" s="248"/>
      <c r="AI46" s="194"/>
      <c r="AJ46" s="249"/>
      <c r="AK46" s="250"/>
      <c r="AL46" s="251"/>
      <c r="AM46" s="252"/>
      <c r="AN46" s="241"/>
      <c r="AO46" s="241"/>
      <c r="AP46" s="241"/>
      <c r="AQ46" s="194"/>
      <c r="AR46" s="195"/>
      <c r="AS46" s="195"/>
    </row>
    <row r="47" spans="1:45">
      <c r="B47" s="253"/>
      <c r="C47" s="230"/>
      <c r="D47" s="245"/>
      <c r="E47" s="230"/>
      <c r="F47" s="230"/>
      <c r="G47" s="230"/>
      <c r="H47" s="230"/>
      <c r="I47" s="228"/>
      <c r="J47" s="228"/>
      <c r="K47" s="230"/>
      <c r="L47" s="230"/>
      <c r="M47" s="246"/>
      <c r="N47" s="230"/>
      <c r="O47" s="230"/>
      <c r="P47" s="230"/>
      <c r="Q47" s="230"/>
      <c r="R47" s="256"/>
      <c r="S47" s="257"/>
      <c r="T47" s="228"/>
      <c r="U47" s="228"/>
      <c r="V47" s="245"/>
      <c r="W47" s="254"/>
      <c r="X47" s="254"/>
      <c r="Y47" s="228"/>
      <c r="Z47" s="255"/>
      <c r="AA47" s="248"/>
      <c r="AB47" s="248"/>
      <c r="AC47" s="248"/>
      <c r="AD47" s="247"/>
      <c r="AE47" s="228"/>
      <c r="AF47" s="228"/>
      <c r="AG47" s="248"/>
      <c r="AH47" s="248"/>
      <c r="AI47" s="194"/>
      <c r="AJ47" s="249"/>
      <c r="AK47" s="250"/>
      <c r="AL47" s="251"/>
      <c r="AM47" s="252"/>
      <c r="AN47" s="241"/>
      <c r="AO47" s="241"/>
      <c r="AP47" s="241"/>
      <c r="AQ47" s="194"/>
      <c r="AR47" s="195"/>
      <c r="AS47" s="195"/>
    </row>
    <row r="48" spans="1:45">
      <c r="B48" s="253"/>
      <c r="C48" s="230"/>
      <c r="D48" s="245"/>
      <c r="E48" s="230"/>
      <c r="F48" s="230"/>
      <c r="G48" s="230"/>
      <c r="H48" s="230"/>
      <c r="I48" s="228"/>
      <c r="J48" s="228"/>
      <c r="K48" s="230"/>
      <c r="L48" s="230"/>
      <c r="M48" s="246"/>
      <c r="N48" s="230"/>
      <c r="O48" s="230"/>
      <c r="P48" s="230"/>
      <c r="Q48" s="230"/>
      <c r="R48" s="256"/>
      <c r="S48" s="257"/>
      <c r="T48" s="228"/>
      <c r="U48" s="228"/>
      <c r="V48" s="245"/>
      <c r="W48" s="254"/>
      <c r="X48" s="254"/>
      <c r="Y48" s="228"/>
      <c r="Z48" s="255"/>
      <c r="AA48" s="248"/>
      <c r="AB48" s="248"/>
      <c r="AC48" s="248"/>
      <c r="AD48" s="247"/>
      <c r="AE48" s="228"/>
      <c r="AF48" s="228"/>
      <c r="AG48" s="248"/>
      <c r="AH48" s="248"/>
      <c r="AI48" s="194"/>
      <c r="AJ48" s="249"/>
      <c r="AK48" s="250"/>
      <c r="AL48" s="251"/>
      <c r="AM48" s="252"/>
      <c r="AN48" s="241"/>
      <c r="AO48" s="241"/>
      <c r="AP48" s="241"/>
      <c r="AQ48" s="194"/>
      <c r="AR48" s="195"/>
      <c r="AS48" s="195"/>
    </row>
    <row r="49" spans="2:45">
      <c r="B49" s="253"/>
      <c r="C49" s="230"/>
      <c r="D49" s="245"/>
      <c r="E49" s="230"/>
      <c r="F49" s="230"/>
      <c r="G49" s="230"/>
      <c r="H49" s="230"/>
      <c r="I49" s="228"/>
      <c r="J49" s="228"/>
      <c r="K49" s="230"/>
      <c r="L49" s="230"/>
      <c r="M49" s="246"/>
      <c r="N49" s="230"/>
      <c r="O49" s="230"/>
      <c r="P49" s="230"/>
      <c r="Q49" s="230"/>
      <c r="R49" s="256"/>
      <c r="S49" s="257"/>
      <c r="T49" s="228"/>
      <c r="U49" s="228"/>
      <c r="V49" s="245"/>
      <c r="W49" s="254"/>
      <c r="X49" s="254"/>
      <c r="Y49" s="228"/>
      <c r="Z49" s="255"/>
      <c r="AA49" s="248"/>
      <c r="AB49" s="248"/>
      <c r="AC49" s="248"/>
      <c r="AD49" s="247"/>
      <c r="AE49" s="228"/>
      <c r="AF49" s="228"/>
      <c r="AG49" s="248"/>
      <c r="AH49" s="248"/>
      <c r="AI49" s="194"/>
      <c r="AJ49" s="249"/>
      <c r="AK49" s="250"/>
      <c r="AL49" s="251"/>
      <c r="AM49" s="252"/>
      <c r="AN49" s="241"/>
      <c r="AO49" s="241"/>
      <c r="AP49" s="241"/>
      <c r="AQ49" s="194"/>
      <c r="AR49" s="195"/>
      <c r="AS49" s="195"/>
    </row>
    <row r="50" spans="2:45">
      <c r="B50" s="253"/>
      <c r="C50" s="230"/>
      <c r="D50" s="245"/>
      <c r="E50" s="230"/>
      <c r="F50" s="230"/>
      <c r="G50" s="230"/>
      <c r="H50" s="230"/>
      <c r="I50" s="228"/>
      <c r="J50" s="228"/>
      <c r="K50" s="230"/>
      <c r="L50" s="230"/>
      <c r="M50" s="246"/>
      <c r="N50" s="230"/>
      <c r="O50" s="230"/>
      <c r="P50" s="230"/>
      <c r="Q50" s="230"/>
      <c r="R50" s="256"/>
      <c r="S50" s="257"/>
      <c r="T50" s="228"/>
      <c r="U50" s="228"/>
      <c r="V50" s="245"/>
      <c r="W50" s="254"/>
      <c r="X50" s="254"/>
      <c r="Y50" s="228"/>
      <c r="Z50" s="255"/>
      <c r="AA50" s="248"/>
      <c r="AB50" s="248"/>
      <c r="AC50" s="248"/>
      <c r="AD50" s="247"/>
      <c r="AE50" s="228"/>
      <c r="AF50" s="228"/>
      <c r="AG50" s="248"/>
      <c r="AH50" s="248"/>
      <c r="AI50" s="194"/>
      <c r="AJ50" s="249"/>
      <c r="AK50" s="250"/>
      <c r="AL50" s="251"/>
      <c r="AM50" s="252"/>
      <c r="AN50" s="241"/>
      <c r="AO50" s="241"/>
      <c r="AP50" s="241"/>
      <c r="AQ50" s="194"/>
      <c r="AR50" s="195"/>
      <c r="AS50" s="195"/>
    </row>
    <row r="51" spans="2:45">
      <c r="B51" s="253"/>
      <c r="C51" s="230"/>
      <c r="D51" s="245"/>
      <c r="E51" s="230"/>
      <c r="F51" s="230"/>
      <c r="G51" s="230"/>
      <c r="H51" s="230"/>
      <c r="I51" s="228"/>
      <c r="J51" s="228"/>
      <c r="K51" s="230"/>
      <c r="L51" s="230"/>
      <c r="M51" s="246"/>
      <c r="N51" s="230"/>
      <c r="O51" s="230"/>
      <c r="P51" s="230"/>
      <c r="Q51" s="230"/>
      <c r="R51" s="256"/>
      <c r="S51" s="257"/>
      <c r="T51" s="228"/>
      <c r="U51" s="228"/>
      <c r="V51" s="245"/>
      <c r="W51" s="254"/>
      <c r="X51" s="254"/>
      <c r="Y51" s="228"/>
      <c r="Z51" s="255"/>
      <c r="AA51" s="248"/>
      <c r="AB51" s="248"/>
      <c r="AC51" s="248"/>
      <c r="AD51" s="247"/>
      <c r="AE51" s="228"/>
      <c r="AF51" s="228"/>
      <c r="AG51" s="248"/>
      <c r="AH51" s="248"/>
      <c r="AI51" s="194"/>
      <c r="AJ51" s="249"/>
      <c r="AK51" s="250"/>
      <c r="AL51" s="251"/>
      <c r="AM51" s="252"/>
      <c r="AN51" s="241"/>
      <c r="AO51" s="241"/>
      <c r="AP51" s="241"/>
      <c r="AQ51" s="194"/>
      <c r="AR51" s="195"/>
      <c r="AS51" s="195"/>
    </row>
    <row r="52" spans="2:45">
      <c r="B52" s="253"/>
      <c r="C52" s="230"/>
      <c r="D52" s="245"/>
      <c r="E52" s="230"/>
      <c r="F52" s="230"/>
      <c r="G52" s="230"/>
      <c r="H52" s="230"/>
      <c r="I52" s="228"/>
      <c r="J52" s="228"/>
      <c r="K52" s="230"/>
      <c r="L52" s="230"/>
      <c r="M52" s="246"/>
      <c r="N52" s="230"/>
      <c r="O52" s="230"/>
      <c r="P52" s="230"/>
      <c r="Q52" s="230"/>
      <c r="R52" s="256"/>
      <c r="S52" s="257"/>
      <c r="T52" s="228"/>
      <c r="U52" s="228"/>
      <c r="V52" s="245"/>
      <c r="W52" s="254"/>
      <c r="X52" s="254"/>
      <c r="Y52" s="228"/>
      <c r="Z52" s="255"/>
      <c r="AA52" s="248"/>
      <c r="AB52" s="248"/>
      <c r="AC52" s="248"/>
      <c r="AD52" s="247"/>
      <c r="AE52" s="228"/>
      <c r="AF52" s="228"/>
      <c r="AG52" s="248"/>
      <c r="AH52" s="248"/>
      <c r="AI52" s="194"/>
      <c r="AJ52" s="249"/>
      <c r="AK52" s="250"/>
      <c r="AL52" s="251"/>
      <c r="AM52" s="252"/>
      <c r="AN52" s="241"/>
      <c r="AO52" s="241"/>
      <c r="AP52" s="241"/>
      <c r="AQ52" s="194"/>
      <c r="AR52" s="195"/>
      <c r="AS52" s="195"/>
    </row>
    <row r="53" spans="2:45">
      <c r="B53" s="253"/>
      <c r="C53" s="230"/>
      <c r="D53" s="245"/>
      <c r="E53" s="230"/>
      <c r="F53" s="230"/>
      <c r="G53" s="230"/>
      <c r="H53" s="230"/>
      <c r="I53" s="228"/>
      <c r="J53" s="228"/>
      <c r="K53" s="230"/>
      <c r="L53" s="230"/>
      <c r="M53" s="246"/>
      <c r="N53" s="230"/>
      <c r="O53" s="230"/>
      <c r="P53" s="230"/>
      <c r="Q53" s="230"/>
      <c r="R53" s="256"/>
      <c r="S53" s="257"/>
      <c r="T53" s="228"/>
      <c r="U53" s="228"/>
      <c r="V53" s="245"/>
      <c r="W53" s="254"/>
      <c r="X53" s="254"/>
      <c r="Y53" s="228"/>
      <c r="Z53" s="255"/>
      <c r="AA53" s="248"/>
      <c r="AB53" s="248"/>
      <c r="AC53" s="248"/>
      <c r="AD53" s="247"/>
      <c r="AE53" s="228"/>
      <c r="AF53" s="228"/>
      <c r="AG53" s="248"/>
      <c r="AH53" s="248"/>
      <c r="AI53" s="194"/>
      <c r="AJ53" s="249"/>
      <c r="AK53" s="250"/>
      <c r="AL53" s="251"/>
      <c r="AM53" s="252"/>
      <c r="AN53" s="241"/>
      <c r="AO53" s="241"/>
      <c r="AP53" s="241"/>
      <c r="AQ53" s="194"/>
      <c r="AR53" s="195"/>
      <c r="AS53" s="195"/>
    </row>
    <row r="54" spans="2:45">
      <c r="B54" s="253"/>
      <c r="C54" s="230"/>
      <c r="D54" s="245"/>
      <c r="E54" s="230"/>
      <c r="F54" s="230"/>
      <c r="G54" s="230"/>
      <c r="H54" s="230"/>
      <c r="I54" s="228"/>
      <c r="J54" s="228"/>
      <c r="K54" s="230"/>
      <c r="L54" s="230"/>
      <c r="M54" s="246"/>
      <c r="N54" s="230"/>
      <c r="O54" s="230"/>
      <c r="P54" s="230"/>
      <c r="Q54" s="230"/>
      <c r="R54" s="256"/>
      <c r="S54" s="257"/>
      <c r="T54" s="228"/>
      <c r="U54" s="228"/>
      <c r="V54" s="245"/>
      <c r="W54" s="254"/>
      <c r="X54" s="254"/>
      <c r="Y54" s="228"/>
      <c r="Z54" s="255"/>
      <c r="AA54" s="248"/>
      <c r="AB54" s="248"/>
      <c r="AC54" s="248"/>
      <c r="AD54" s="247"/>
      <c r="AE54" s="228"/>
      <c r="AF54" s="228"/>
      <c r="AG54" s="248"/>
      <c r="AH54" s="248"/>
      <c r="AI54" s="194"/>
      <c r="AJ54" s="249"/>
      <c r="AK54" s="250"/>
      <c r="AL54" s="251"/>
      <c r="AM54" s="252"/>
      <c r="AN54" s="241"/>
      <c r="AO54" s="241"/>
      <c r="AP54" s="241"/>
      <c r="AQ54" s="194"/>
      <c r="AR54" s="195"/>
      <c r="AS54" s="195"/>
    </row>
    <row r="55" spans="2:45">
      <c r="B55" s="253"/>
      <c r="C55" s="230"/>
      <c r="D55" s="245"/>
      <c r="E55" s="230"/>
      <c r="F55" s="230"/>
      <c r="G55" s="230"/>
      <c r="H55" s="230"/>
      <c r="I55" s="228"/>
      <c r="J55" s="228"/>
      <c r="K55" s="230"/>
      <c r="L55" s="230"/>
      <c r="M55" s="246"/>
      <c r="N55" s="230"/>
      <c r="O55" s="230"/>
      <c r="P55" s="230"/>
      <c r="Q55" s="230"/>
      <c r="R55" s="256"/>
      <c r="S55" s="257"/>
      <c r="T55" s="228"/>
      <c r="U55" s="228"/>
      <c r="V55" s="245"/>
      <c r="W55" s="254"/>
      <c r="X55" s="254"/>
      <c r="Y55" s="228"/>
      <c r="Z55" s="255"/>
      <c r="AA55" s="248"/>
      <c r="AB55" s="248"/>
      <c r="AC55" s="248"/>
      <c r="AD55" s="247"/>
      <c r="AE55" s="228"/>
      <c r="AF55" s="228"/>
      <c r="AG55" s="248"/>
      <c r="AH55" s="248"/>
      <c r="AI55" s="194"/>
      <c r="AJ55" s="249"/>
      <c r="AK55" s="250"/>
      <c r="AL55" s="251"/>
      <c r="AM55" s="252"/>
      <c r="AN55" s="241"/>
      <c r="AO55" s="241"/>
      <c r="AP55" s="241"/>
      <c r="AQ55" s="194"/>
      <c r="AR55" s="195"/>
      <c r="AS55" s="195"/>
    </row>
    <row r="56" spans="2:45">
      <c r="B56" s="253"/>
      <c r="C56" s="230"/>
      <c r="D56" s="245"/>
      <c r="E56" s="230"/>
      <c r="F56" s="230"/>
      <c r="G56" s="230"/>
      <c r="H56" s="230"/>
      <c r="I56" s="228"/>
      <c r="J56" s="228"/>
      <c r="K56" s="230"/>
      <c r="L56" s="230"/>
      <c r="M56" s="246"/>
      <c r="N56" s="230"/>
      <c r="O56" s="230"/>
      <c r="P56" s="230"/>
      <c r="Q56" s="230"/>
      <c r="R56" s="256"/>
      <c r="S56" s="257"/>
      <c r="T56" s="228"/>
      <c r="U56" s="228"/>
      <c r="V56" s="245"/>
      <c r="W56" s="254"/>
      <c r="X56" s="254"/>
      <c r="Y56" s="228"/>
      <c r="Z56" s="255"/>
      <c r="AA56" s="248"/>
      <c r="AB56" s="248"/>
      <c r="AC56" s="248"/>
      <c r="AD56" s="247"/>
      <c r="AE56" s="228"/>
      <c r="AF56" s="228"/>
      <c r="AG56" s="248"/>
      <c r="AH56" s="248"/>
      <c r="AI56" s="194"/>
      <c r="AJ56" s="249"/>
      <c r="AK56" s="250"/>
      <c r="AL56" s="251"/>
      <c r="AM56" s="252"/>
      <c r="AN56" s="241"/>
      <c r="AO56" s="241"/>
      <c r="AP56" s="241"/>
      <c r="AQ56" s="194"/>
      <c r="AR56" s="195"/>
      <c r="AS56" s="195"/>
    </row>
    <row r="57" spans="2:45">
      <c r="B57" s="253"/>
      <c r="C57" s="230"/>
      <c r="D57" s="245"/>
      <c r="E57" s="230"/>
      <c r="F57" s="230"/>
      <c r="G57" s="230"/>
      <c r="H57" s="230"/>
      <c r="I57" s="228"/>
      <c r="J57" s="228"/>
      <c r="K57" s="230"/>
      <c r="L57" s="230"/>
      <c r="M57" s="246"/>
      <c r="N57" s="230"/>
      <c r="O57" s="230"/>
      <c r="P57" s="230"/>
      <c r="Q57" s="230"/>
      <c r="R57" s="256"/>
      <c r="S57" s="257"/>
      <c r="T57" s="228"/>
      <c r="U57" s="228"/>
      <c r="V57" s="245"/>
      <c r="W57" s="254"/>
      <c r="X57" s="254"/>
      <c r="Y57" s="228"/>
      <c r="Z57" s="255"/>
      <c r="AA57" s="248"/>
      <c r="AB57" s="248"/>
      <c r="AC57" s="248"/>
      <c r="AD57" s="247"/>
      <c r="AE57" s="228"/>
      <c r="AF57" s="228"/>
      <c r="AG57" s="248"/>
      <c r="AH57" s="248"/>
      <c r="AI57" s="194"/>
      <c r="AJ57" s="249"/>
      <c r="AK57" s="250"/>
      <c r="AL57" s="251"/>
      <c r="AM57" s="252"/>
      <c r="AN57" s="241"/>
      <c r="AO57" s="241"/>
      <c r="AP57" s="241"/>
      <c r="AQ57" s="194"/>
      <c r="AR57" s="195"/>
      <c r="AS57" s="195"/>
    </row>
    <row r="58" spans="2:45">
      <c r="B58" s="253"/>
      <c r="C58" s="230"/>
      <c r="D58" s="245"/>
      <c r="E58" s="230"/>
      <c r="F58" s="230"/>
      <c r="G58" s="230"/>
      <c r="H58" s="230"/>
      <c r="I58" s="228"/>
      <c r="J58" s="228"/>
      <c r="K58" s="230"/>
      <c r="L58" s="230"/>
      <c r="M58" s="246"/>
      <c r="N58" s="230"/>
      <c r="O58" s="230"/>
      <c r="P58" s="230"/>
      <c r="Q58" s="230"/>
      <c r="R58" s="256"/>
      <c r="S58" s="257"/>
      <c r="T58" s="228"/>
      <c r="U58" s="228"/>
      <c r="V58" s="245"/>
      <c r="W58" s="254"/>
      <c r="X58" s="254"/>
      <c r="Y58" s="228"/>
      <c r="Z58" s="255"/>
      <c r="AA58" s="248"/>
      <c r="AB58" s="248"/>
      <c r="AC58" s="248"/>
      <c r="AD58" s="247"/>
      <c r="AE58" s="228"/>
      <c r="AF58" s="228"/>
      <c r="AG58" s="248"/>
      <c r="AH58" s="248"/>
      <c r="AI58" s="194"/>
      <c r="AJ58" s="249"/>
      <c r="AK58" s="250"/>
      <c r="AL58" s="251"/>
      <c r="AM58" s="252"/>
      <c r="AN58" s="241"/>
      <c r="AO58" s="241"/>
      <c r="AP58" s="241"/>
      <c r="AQ58" s="194"/>
      <c r="AR58" s="195"/>
      <c r="AS58" s="195"/>
    </row>
    <row r="59" spans="2:45">
      <c r="B59" s="253"/>
      <c r="C59" s="230"/>
      <c r="D59" s="245"/>
      <c r="E59" s="230"/>
      <c r="F59" s="230"/>
      <c r="G59" s="230"/>
      <c r="H59" s="230"/>
      <c r="I59" s="228"/>
      <c r="J59" s="228"/>
      <c r="K59" s="230"/>
      <c r="L59" s="230"/>
      <c r="M59" s="246"/>
      <c r="N59" s="230"/>
      <c r="O59" s="230"/>
      <c r="P59" s="230"/>
      <c r="Q59" s="230"/>
      <c r="R59" s="256"/>
      <c r="S59" s="257"/>
      <c r="T59" s="228"/>
      <c r="U59" s="228"/>
      <c r="V59" s="245"/>
      <c r="W59" s="254"/>
      <c r="X59" s="254"/>
      <c r="Y59" s="228"/>
      <c r="Z59" s="255"/>
      <c r="AA59" s="248"/>
      <c r="AB59" s="248"/>
      <c r="AC59" s="248"/>
      <c r="AD59" s="247"/>
      <c r="AE59" s="228"/>
      <c r="AF59" s="228"/>
      <c r="AG59" s="248"/>
      <c r="AH59" s="248"/>
      <c r="AI59" s="194"/>
      <c r="AJ59" s="249"/>
      <c r="AK59" s="250"/>
      <c r="AL59" s="251"/>
      <c r="AM59" s="252"/>
      <c r="AN59" s="241"/>
      <c r="AO59" s="241"/>
      <c r="AP59" s="241"/>
      <c r="AQ59" s="194"/>
      <c r="AR59" s="195"/>
      <c r="AS59" s="195"/>
    </row>
    <row r="60" spans="2:45">
      <c r="B60" s="253"/>
      <c r="C60" s="230"/>
      <c r="D60" s="245"/>
      <c r="E60" s="230"/>
      <c r="F60" s="230"/>
      <c r="G60" s="230"/>
      <c r="H60" s="230"/>
      <c r="I60" s="228"/>
      <c r="J60" s="228"/>
      <c r="K60" s="230"/>
      <c r="L60" s="230"/>
      <c r="M60" s="246"/>
      <c r="N60" s="230"/>
      <c r="O60" s="230"/>
      <c r="P60" s="230"/>
      <c r="Q60" s="230"/>
      <c r="R60" s="256"/>
      <c r="S60" s="257"/>
      <c r="T60" s="228"/>
      <c r="U60" s="228"/>
      <c r="V60" s="245"/>
      <c r="W60" s="254"/>
      <c r="X60" s="254"/>
      <c r="Y60" s="228"/>
      <c r="Z60" s="255"/>
      <c r="AA60" s="248"/>
      <c r="AB60" s="248"/>
      <c r="AC60" s="248"/>
      <c r="AD60" s="247"/>
      <c r="AE60" s="228"/>
      <c r="AF60" s="228"/>
      <c r="AG60" s="248"/>
      <c r="AH60" s="248"/>
      <c r="AI60" s="194"/>
      <c r="AJ60" s="249"/>
      <c r="AK60" s="250"/>
      <c r="AL60" s="251"/>
      <c r="AM60" s="252"/>
      <c r="AN60" s="241"/>
      <c r="AO60" s="241"/>
      <c r="AP60" s="241"/>
      <c r="AQ60" s="194"/>
      <c r="AR60" s="195"/>
      <c r="AS60" s="195"/>
    </row>
    <row r="61" spans="2:45">
      <c r="B61" s="253"/>
      <c r="C61" s="230"/>
      <c r="D61" s="245"/>
      <c r="E61" s="230"/>
      <c r="F61" s="230"/>
      <c r="G61" s="230"/>
      <c r="H61" s="230"/>
      <c r="I61" s="228"/>
      <c r="J61" s="228"/>
      <c r="K61" s="230"/>
      <c r="L61" s="230"/>
      <c r="M61" s="246"/>
      <c r="N61" s="230"/>
      <c r="O61" s="230"/>
      <c r="P61" s="230"/>
      <c r="Q61" s="230"/>
      <c r="R61" s="256"/>
      <c r="S61" s="257"/>
      <c r="T61" s="228"/>
      <c r="U61" s="228"/>
      <c r="V61" s="245"/>
      <c r="W61" s="254"/>
      <c r="X61" s="254"/>
      <c r="Y61" s="228"/>
      <c r="Z61" s="255"/>
      <c r="AA61" s="248"/>
      <c r="AB61" s="248"/>
      <c r="AC61" s="248"/>
      <c r="AD61" s="247"/>
      <c r="AE61" s="228"/>
      <c r="AF61" s="228"/>
      <c r="AG61" s="248"/>
      <c r="AH61" s="248"/>
      <c r="AI61" s="194"/>
      <c r="AJ61" s="249"/>
      <c r="AK61" s="250"/>
      <c r="AL61" s="251"/>
      <c r="AM61" s="252"/>
      <c r="AN61" s="241"/>
      <c r="AO61" s="241"/>
      <c r="AP61" s="241"/>
      <c r="AQ61" s="194"/>
      <c r="AR61" s="195"/>
      <c r="AS61" s="195"/>
    </row>
    <row r="62" spans="2:45">
      <c r="B62" s="253"/>
      <c r="C62" s="230"/>
      <c r="D62" s="245"/>
      <c r="E62" s="230"/>
      <c r="F62" s="230"/>
      <c r="G62" s="230"/>
      <c r="H62" s="230"/>
      <c r="I62" s="228"/>
      <c r="J62" s="228"/>
      <c r="K62" s="230"/>
      <c r="L62" s="230"/>
      <c r="M62" s="246"/>
      <c r="N62" s="230"/>
      <c r="O62" s="230"/>
      <c r="P62" s="230"/>
      <c r="Q62" s="230"/>
      <c r="R62" s="256"/>
      <c r="S62" s="257"/>
      <c r="T62" s="228"/>
      <c r="U62" s="228"/>
      <c r="V62" s="245"/>
      <c r="W62" s="254"/>
      <c r="X62" s="254"/>
      <c r="Y62" s="228"/>
      <c r="Z62" s="255"/>
      <c r="AA62" s="248"/>
      <c r="AB62" s="248"/>
      <c r="AC62" s="248"/>
      <c r="AD62" s="247"/>
      <c r="AE62" s="228"/>
      <c r="AF62" s="228"/>
      <c r="AG62" s="248"/>
      <c r="AH62" s="248"/>
      <c r="AI62" s="194"/>
      <c r="AJ62" s="249"/>
      <c r="AK62" s="250"/>
      <c r="AL62" s="251"/>
      <c r="AM62" s="252"/>
      <c r="AN62" s="241"/>
      <c r="AO62" s="241"/>
      <c r="AP62" s="241"/>
      <c r="AQ62" s="194"/>
      <c r="AR62" s="195"/>
      <c r="AS62" s="195"/>
    </row>
    <row r="63" spans="2:45">
      <c r="B63" s="253"/>
      <c r="C63" s="230"/>
      <c r="D63" s="245"/>
      <c r="E63" s="230"/>
      <c r="F63" s="230"/>
      <c r="G63" s="230"/>
      <c r="H63" s="230"/>
      <c r="I63" s="228"/>
      <c r="J63" s="228"/>
      <c r="K63" s="230"/>
      <c r="L63" s="230"/>
      <c r="M63" s="246"/>
      <c r="N63" s="230"/>
      <c r="O63" s="230"/>
      <c r="P63" s="230"/>
      <c r="Q63" s="230"/>
      <c r="R63" s="256"/>
      <c r="S63" s="257"/>
      <c r="T63" s="228"/>
      <c r="U63" s="228"/>
      <c r="V63" s="245"/>
      <c r="W63" s="254"/>
      <c r="X63" s="254"/>
      <c r="Y63" s="228"/>
      <c r="Z63" s="255"/>
      <c r="AA63" s="248"/>
      <c r="AB63" s="248"/>
      <c r="AC63" s="248"/>
      <c r="AD63" s="247"/>
      <c r="AE63" s="228"/>
      <c r="AF63" s="228"/>
      <c r="AG63" s="248"/>
      <c r="AH63" s="248"/>
      <c r="AI63" s="194"/>
      <c r="AJ63" s="249"/>
      <c r="AK63" s="250"/>
      <c r="AL63" s="251"/>
      <c r="AM63" s="252"/>
      <c r="AN63" s="241"/>
      <c r="AO63" s="241"/>
      <c r="AP63" s="241"/>
      <c r="AQ63" s="194"/>
      <c r="AR63" s="195"/>
      <c r="AS63" s="195"/>
    </row>
    <row r="64" spans="2:45">
      <c r="B64" s="253"/>
      <c r="C64" s="230"/>
      <c r="D64" s="245"/>
      <c r="E64" s="230"/>
      <c r="F64" s="230"/>
      <c r="G64" s="230"/>
      <c r="H64" s="230"/>
      <c r="I64" s="228"/>
      <c r="J64" s="228"/>
      <c r="K64" s="230"/>
      <c r="L64" s="230"/>
      <c r="M64" s="246"/>
      <c r="N64" s="230"/>
      <c r="O64" s="230"/>
      <c r="P64" s="230"/>
      <c r="Q64" s="230"/>
      <c r="R64" s="256"/>
      <c r="S64" s="257"/>
      <c r="T64" s="228"/>
      <c r="U64" s="228"/>
      <c r="V64" s="245"/>
      <c r="W64" s="254"/>
      <c r="X64" s="254"/>
      <c r="Y64" s="228"/>
      <c r="Z64" s="255"/>
      <c r="AA64" s="248"/>
      <c r="AB64" s="248"/>
      <c r="AC64" s="248"/>
      <c r="AD64" s="247"/>
      <c r="AE64" s="228"/>
      <c r="AF64" s="228"/>
      <c r="AG64" s="248"/>
      <c r="AH64" s="248"/>
      <c r="AI64" s="194"/>
      <c r="AJ64" s="249"/>
      <c r="AK64" s="250"/>
      <c r="AL64" s="251"/>
      <c r="AM64" s="252"/>
      <c r="AN64" s="241"/>
      <c r="AO64" s="241"/>
      <c r="AP64" s="241"/>
      <c r="AQ64" s="194"/>
      <c r="AR64" s="195"/>
      <c r="AS64" s="195"/>
    </row>
    <row r="65" spans="2:45">
      <c r="B65" s="253"/>
      <c r="C65" s="230"/>
      <c r="D65" s="245"/>
      <c r="E65" s="230"/>
      <c r="F65" s="230"/>
      <c r="G65" s="230"/>
      <c r="H65" s="230"/>
      <c r="I65" s="228"/>
      <c r="J65" s="228"/>
      <c r="K65" s="230"/>
      <c r="L65" s="230"/>
      <c r="M65" s="246"/>
      <c r="N65" s="230"/>
      <c r="O65" s="230"/>
      <c r="P65" s="230"/>
      <c r="Q65" s="230"/>
      <c r="R65" s="256"/>
      <c r="S65" s="257"/>
      <c r="T65" s="228"/>
      <c r="U65" s="228"/>
      <c r="V65" s="245"/>
      <c r="W65" s="254"/>
      <c r="X65" s="254"/>
      <c r="Y65" s="228"/>
      <c r="Z65" s="255"/>
      <c r="AA65" s="248"/>
      <c r="AB65" s="248"/>
      <c r="AC65" s="248"/>
      <c r="AD65" s="247"/>
      <c r="AE65" s="228"/>
      <c r="AF65" s="228"/>
      <c r="AG65" s="248"/>
      <c r="AH65" s="248"/>
      <c r="AI65" s="194"/>
      <c r="AJ65" s="249"/>
      <c r="AK65" s="250"/>
      <c r="AL65" s="251"/>
      <c r="AM65" s="252"/>
      <c r="AN65" s="241"/>
      <c r="AO65" s="241"/>
      <c r="AP65" s="241"/>
      <c r="AQ65" s="194"/>
      <c r="AR65" s="195"/>
      <c r="AS65" s="195"/>
    </row>
    <row r="66" spans="2:45">
      <c r="B66" s="253"/>
      <c r="C66" s="230"/>
      <c r="D66" s="245"/>
      <c r="E66" s="230"/>
      <c r="F66" s="230"/>
      <c r="G66" s="230"/>
      <c r="H66" s="230"/>
      <c r="I66" s="228"/>
      <c r="J66" s="228"/>
      <c r="K66" s="230"/>
      <c r="L66" s="230"/>
      <c r="M66" s="246"/>
      <c r="N66" s="230"/>
      <c r="O66" s="230"/>
      <c r="P66" s="230"/>
      <c r="Q66" s="230"/>
      <c r="R66" s="256"/>
      <c r="S66" s="257"/>
      <c r="T66" s="228"/>
      <c r="U66" s="228"/>
      <c r="V66" s="245"/>
      <c r="W66" s="254"/>
      <c r="X66" s="254"/>
      <c r="Y66" s="228"/>
      <c r="Z66" s="255"/>
      <c r="AA66" s="248"/>
      <c r="AB66" s="248"/>
      <c r="AC66" s="248"/>
      <c r="AD66" s="247"/>
      <c r="AE66" s="228"/>
      <c r="AF66" s="228"/>
      <c r="AG66" s="248"/>
      <c r="AH66" s="248"/>
      <c r="AI66" s="194"/>
      <c r="AJ66" s="249"/>
      <c r="AK66" s="250"/>
      <c r="AL66" s="251"/>
      <c r="AM66" s="252"/>
      <c r="AN66" s="241"/>
      <c r="AO66" s="241"/>
      <c r="AP66" s="241"/>
      <c r="AQ66" s="194"/>
      <c r="AR66" s="195"/>
      <c r="AS66" s="195"/>
    </row>
    <row r="67" spans="2:45">
      <c r="B67" s="253"/>
      <c r="C67" s="230"/>
      <c r="D67" s="245"/>
      <c r="E67" s="230"/>
      <c r="F67" s="230"/>
      <c r="G67" s="230"/>
      <c r="H67" s="230"/>
      <c r="I67" s="228"/>
      <c r="J67" s="228"/>
      <c r="K67" s="230"/>
      <c r="L67" s="230"/>
      <c r="M67" s="246"/>
      <c r="N67" s="230"/>
      <c r="O67" s="230"/>
      <c r="P67" s="230"/>
      <c r="Q67" s="230"/>
      <c r="R67" s="256"/>
      <c r="S67" s="257"/>
      <c r="T67" s="228"/>
      <c r="U67" s="228"/>
      <c r="V67" s="245"/>
      <c r="W67" s="254"/>
      <c r="X67" s="254"/>
      <c r="Y67" s="228"/>
      <c r="Z67" s="255"/>
      <c r="AA67" s="248"/>
      <c r="AB67" s="248"/>
      <c r="AC67" s="248"/>
      <c r="AD67" s="247"/>
      <c r="AE67" s="228"/>
      <c r="AF67" s="228"/>
      <c r="AG67" s="248"/>
      <c r="AH67" s="248"/>
      <c r="AI67" s="194"/>
      <c r="AJ67" s="249"/>
      <c r="AK67" s="250"/>
      <c r="AL67" s="251"/>
      <c r="AM67" s="252"/>
      <c r="AN67" s="241"/>
      <c r="AO67" s="241"/>
      <c r="AP67" s="241"/>
      <c r="AQ67" s="194"/>
      <c r="AR67" s="195"/>
      <c r="AS67" s="195"/>
    </row>
    <row r="68" spans="2:45">
      <c r="B68" s="253"/>
      <c r="C68" s="230"/>
      <c r="D68" s="245"/>
      <c r="E68" s="230"/>
      <c r="F68" s="230"/>
      <c r="G68" s="230"/>
      <c r="H68" s="230"/>
      <c r="I68" s="228"/>
      <c r="J68" s="228"/>
      <c r="K68" s="230"/>
      <c r="L68" s="230"/>
      <c r="M68" s="246"/>
      <c r="N68" s="230"/>
      <c r="O68" s="230"/>
      <c r="P68" s="230"/>
      <c r="Q68" s="230"/>
      <c r="R68" s="256"/>
      <c r="S68" s="257"/>
      <c r="T68" s="228"/>
      <c r="U68" s="228"/>
      <c r="V68" s="245"/>
      <c r="W68" s="254"/>
      <c r="X68" s="254"/>
      <c r="Y68" s="228"/>
      <c r="Z68" s="255"/>
      <c r="AA68" s="248"/>
      <c r="AB68" s="248"/>
      <c r="AC68" s="248"/>
      <c r="AD68" s="247"/>
      <c r="AE68" s="228"/>
      <c r="AF68" s="228"/>
      <c r="AG68" s="248"/>
      <c r="AH68" s="248"/>
      <c r="AI68" s="194"/>
      <c r="AJ68" s="249"/>
      <c r="AK68" s="250"/>
      <c r="AL68" s="251"/>
      <c r="AM68" s="252"/>
      <c r="AN68" s="241"/>
      <c r="AO68" s="241"/>
      <c r="AP68" s="241"/>
      <c r="AQ68" s="194"/>
      <c r="AR68" s="195"/>
      <c r="AS68" s="195"/>
    </row>
    <row r="69" spans="2:45">
      <c r="B69" s="253"/>
      <c r="C69" s="230"/>
      <c r="D69" s="245"/>
      <c r="E69" s="230"/>
      <c r="F69" s="230"/>
      <c r="G69" s="230"/>
      <c r="H69" s="230"/>
      <c r="I69" s="228"/>
      <c r="J69" s="228"/>
      <c r="K69" s="230"/>
      <c r="L69" s="230"/>
      <c r="M69" s="246"/>
      <c r="N69" s="230"/>
      <c r="O69" s="230"/>
      <c r="P69" s="230"/>
      <c r="Q69" s="230"/>
      <c r="R69" s="256"/>
      <c r="S69" s="257"/>
      <c r="T69" s="228"/>
      <c r="U69" s="228"/>
      <c r="V69" s="245"/>
      <c r="W69" s="254"/>
      <c r="X69" s="254"/>
      <c r="Y69" s="228"/>
      <c r="Z69" s="255"/>
      <c r="AA69" s="248"/>
      <c r="AB69" s="248"/>
      <c r="AC69" s="248"/>
      <c r="AD69" s="247"/>
      <c r="AE69" s="228"/>
      <c r="AF69" s="228"/>
      <c r="AG69" s="248"/>
      <c r="AH69" s="248"/>
      <c r="AI69" s="194"/>
      <c r="AJ69" s="249"/>
      <c r="AK69" s="250"/>
      <c r="AL69" s="251"/>
      <c r="AM69" s="252"/>
      <c r="AN69" s="241"/>
      <c r="AO69" s="241"/>
      <c r="AP69" s="241"/>
      <c r="AQ69" s="194"/>
      <c r="AR69" s="195"/>
      <c r="AS69" s="195"/>
    </row>
    <row r="70" spans="2:45">
      <c r="B70" s="253"/>
      <c r="C70" s="230"/>
      <c r="D70" s="245"/>
      <c r="E70" s="230"/>
      <c r="F70" s="230"/>
      <c r="G70" s="230"/>
      <c r="H70" s="230"/>
      <c r="I70" s="228"/>
      <c r="J70" s="228"/>
      <c r="K70" s="230"/>
      <c r="L70" s="230"/>
      <c r="M70" s="246"/>
      <c r="N70" s="230"/>
      <c r="O70" s="230"/>
      <c r="P70" s="230"/>
      <c r="Q70" s="230"/>
      <c r="R70" s="256"/>
      <c r="S70" s="257"/>
      <c r="T70" s="228"/>
      <c r="U70" s="228"/>
      <c r="V70" s="245"/>
      <c r="W70" s="254"/>
      <c r="X70" s="254"/>
      <c r="Y70" s="228"/>
      <c r="Z70" s="255"/>
      <c r="AA70" s="248"/>
      <c r="AB70" s="248"/>
      <c r="AC70" s="248"/>
      <c r="AD70" s="247"/>
      <c r="AE70" s="228"/>
      <c r="AF70" s="228"/>
      <c r="AG70" s="248"/>
      <c r="AH70" s="248"/>
      <c r="AI70" s="194"/>
      <c r="AJ70" s="249"/>
      <c r="AK70" s="250"/>
      <c r="AL70" s="251"/>
      <c r="AM70" s="252"/>
      <c r="AN70" s="241"/>
      <c r="AO70" s="241"/>
      <c r="AP70" s="241"/>
      <c r="AQ70" s="194"/>
      <c r="AR70" s="195"/>
      <c r="AS70" s="195"/>
    </row>
    <row r="71" spans="2:45">
      <c r="B71" s="253"/>
      <c r="C71" s="230"/>
      <c r="D71" s="245"/>
      <c r="E71" s="230"/>
      <c r="F71" s="230"/>
      <c r="G71" s="230"/>
      <c r="H71" s="230"/>
      <c r="I71" s="228"/>
      <c r="J71" s="228"/>
      <c r="K71" s="230"/>
      <c r="L71" s="230"/>
      <c r="M71" s="246"/>
      <c r="N71" s="230"/>
      <c r="O71" s="230"/>
      <c r="P71" s="230"/>
      <c r="Q71" s="230"/>
      <c r="R71" s="256"/>
      <c r="S71" s="257"/>
      <c r="T71" s="228"/>
      <c r="U71" s="228"/>
      <c r="V71" s="245"/>
      <c r="W71" s="254"/>
      <c r="X71" s="254"/>
      <c r="Y71" s="228"/>
      <c r="Z71" s="255"/>
      <c r="AA71" s="248"/>
      <c r="AB71" s="248"/>
      <c r="AC71" s="248"/>
      <c r="AD71" s="247"/>
      <c r="AE71" s="228"/>
      <c r="AF71" s="228"/>
      <c r="AG71" s="248"/>
      <c r="AH71" s="248"/>
      <c r="AI71" s="194"/>
      <c r="AJ71" s="249"/>
      <c r="AK71" s="250"/>
      <c r="AL71" s="251"/>
      <c r="AM71" s="252"/>
      <c r="AN71" s="241"/>
      <c r="AO71" s="241"/>
      <c r="AP71" s="241"/>
      <c r="AQ71" s="194"/>
      <c r="AR71" s="195"/>
      <c r="AS71" s="195"/>
    </row>
    <row r="72" spans="2:45">
      <c r="B72" s="253"/>
      <c r="C72" s="230"/>
      <c r="D72" s="245"/>
      <c r="E72" s="230"/>
      <c r="F72" s="230"/>
      <c r="G72" s="230"/>
      <c r="H72" s="230"/>
      <c r="I72" s="228"/>
      <c r="J72" s="228"/>
      <c r="K72" s="230"/>
      <c r="L72" s="230"/>
      <c r="M72" s="246"/>
      <c r="N72" s="230"/>
      <c r="O72" s="230"/>
      <c r="P72" s="230"/>
      <c r="Q72" s="230"/>
      <c r="R72" s="256"/>
      <c r="S72" s="257"/>
      <c r="T72" s="228"/>
      <c r="U72" s="228"/>
      <c r="V72" s="245"/>
      <c r="W72" s="254"/>
      <c r="X72" s="254"/>
      <c r="Y72" s="228"/>
      <c r="Z72" s="255"/>
      <c r="AA72" s="248"/>
      <c r="AB72" s="248"/>
      <c r="AC72" s="248"/>
      <c r="AD72" s="247"/>
      <c r="AE72" s="228"/>
      <c r="AF72" s="228"/>
      <c r="AG72" s="248"/>
      <c r="AH72" s="248"/>
      <c r="AI72" s="194"/>
      <c r="AJ72" s="249"/>
      <c r="AK72" s="250"/>
      <c r="AL72" s="251"/>
      <c r="AM72" s="252"/>
      <c r="AN72" s="241"/>
      <c r="AO72" s="241"/>
      <c r="AP72" s="241"/>
      <c r="AQ72" s="194"/>
      <c r="AR72" s="195"/>
      <c r="AS72" s="195"/>
    </row>
    <row r="73" spans="2:45">
      <c r="B73" s="253"/>
      <c r="C73" s="230"/>
      <c r="D73" s="245"/>
      <c r="E73" s="230"/>
      <c r="F73" s="230"/>
      <c r="G73" s="230"/>
      <c r="H73" s="230"/>
      <c r="I73" s="228"/>
      <c r="J73" s="228"/>
      <c r="K73" s="230"/>
      <c r="L73" s="230"/>
      <c r="M73" s="246"/>
      <c r="N73" s="230"/>
      <c r="O73" s="230"/>
      <c r="P73" s="230"/>
      <c r="Q73" s="230"/>
      <c r="R73" s="256"/>
      <c r="S73" s="257"/>
      <c r="T73" s="228"/>
      <c r="U73" s="228"/>
      <c r="V73" s="245"/>
      <c r="W73" s="254"/>
      <c r="X73" s="254"/>
      <c r="Y73" s="228"/>
      <c r="Z73" s="255"/>
      <c r="AA73" s="248"/>
      <c r="AB73" s="248"/>
      <c r="AC73" s="248"/>
      <c r="AD73" s="247"/>
      <c r="AE73" s="228"/>
      <c r="AF73" s="228"/>
      <c r="AG73" s="248"/>
      <c r="AH73" s="248"/>
      <c r="AI73" s="194"/>
      <c r="AJ73" s="249"/>
      <c r="AK73" s="250"/>
      <c r="AL73" s="251"/>
      <c r="AM73" s="252"/>
      <c r="AN73" s="241"/>
      <c r="AO73" s="241"/>
      <c r="AP73" s="241"/>
      <c r="AQ73" s="194"/>
      <c r="AR73" s="195"/>
      <c r="AS73" s="195"/>
    </row>
    <row r="74" spans="2:45">
      <c r="B74" s="253"/>
      <c r="C74" s="230"/>
      <c r="D74" s="245"/>
      <c r="E74" s="230"/>
      <c r="F74" s="230"/>
      <c r="G74" s="230"/>
      <c r="H74" s="230"/>
      <c r="I74" s="228"/>
      <c r="J74" s="228"/>
      <c r="K74" s="230"/>
      <c r="L74" s="230"/>
      <c r="M74" s="246"/>
      <c r="N74" s="230"/>
      <c r="O74" s="230"/>
      <c r="P74" s="230"/>
      <c r="Q74" s="230"/>
      <c r="R74" s="256"/>
      <c r="S74" s="257"/>
      <c r="T74" s="228"/>
      <c r="U74" s="228"/>
      <c r="V74" s="245"/>
      <c r="W74" s="254"/>
      <c r="X74" s="254"/>
      <c r="Y74" s="228"/>
      <c r="Z74" s="255"/>
      <c r="AA74" s="248"/>
      <c r="AB74" s="248"/>
      <c r="AC74" s="248"/>
      <c r="AD74" s="247"/>
      <c r="AE74" s="228"/>
      <c r="AF74" s="228"/>
      <c r="AG74" s="248"/>
      <c r="AH74" s="248"/>
      <c r="AI74" s="194"/>
      <c r="AJ74" s="249"/>
      <c r="AK74" s="250"/>
      <c r="AL74" s="251"/>
      <c r="AM74" s="252"/>
      <c r="AN74" s="241"/>
      <c r="AO74" s="241"/>
      <c r="AP74" s="241"/>
      <c r="AQ74" s="194"/>
      <c r="AR74" s="195"/>
      <c r="AS74" s="195"/>
    </row>
    <row r="75" spans="2:45">
      <c r="B75" s="253"/>
      <c r="C75" s="230"/>
      <c r="D75" s="245"/>
      <c r="E75" s="230"/>
      <c r="F75" s="230"/>
      <c r="G75" s="230"/>
      <c r="H75" s="230"/>
      <c r="I75" s="228"/>
      <c r="J75" s="228"/>
      <c r="K75" s="230"/>
      <c r="L75" s="230"/>
      <c r="M75" s="246"/>
      <c r="N75" s="230"/>
      <c r="O75" s="230"/>
      <c r="P75" s="230"/>
      <c r="Q75" s="230"/>
      <c r="R75" s="256"/>
      <c r="S75" s="257"/>
      <c r="T75" s="228"/>
      <c r="U75" s="228"/>
      <c r="V75" s="245"/>
      <c r="W75" s="254"/>
      <c r="X75" s="254"/>
      <c r="Y75" s="228"/>
      <c r="Z75" s="255"/>
      <c r="AA75" s="248"/>
      <c r="AB75" s="248"/>
      <c r="AC75" s="248"/>
      <c r="AD75" s="247"/>
      <c r="AE75" s="228"/>
      <c r="AF75" s="228"/>
      <c r="AG75" s="248"/>
      <c r="AH75" s="248"/>
      <c r="AI75" s="194"/>
      <c r="AJ75" s="249"/>
      <c r="AK75" s="250"/>
      <c r="AL75" s="251"/>
      <c r="AM75" s="252"/>
      <c r="AN75" s="241"/>
      <c r="AO75" s="241"/>
      <c r="AP75" s="241"/>
      <c r="AQ75" s="194"/>
      <c r="AR75" s="195"/>
      <c r="AS75" s="195"/>
    </row>
    <row r="76" spans="2:45">
      <c r="B76" s="253"/>
      <c r="C76" s="230"/>
      <c r="D76" s="245"/>
      <c r="E76" s="230"/>
      <c r="F76" s="230"/>
      <c r="G76" s="230"/>
      <c r="H76" s="230"/>
      <c r="I76" s="228"/>
      <c r="J76" s="228"/>
      <c r="K76" s="230"/>
      <c r="L76" s="230"/>
      <c r="M76" s="246"/>
      <c r="N76" s="230"/>
      <c r="O76" s="230"/>
      <c r="P76" s="230"/>
      <c r="Q76" s="230"/>
      <c r="R76" s="256"/>
      <c r="S76" s="257"/>
      <c r="T76" s="228"/>
      <c r="U76" s="228"/>
      <c r="V76" s="245"/>
      <c r="W76" s="254"/>
      <c r="X76" s="254"/>
      <c r="Y76" s="228"/>
      <c r="Z76" s="255"/>
      <c r="AA76" s="248"/>
      <c r="AB76" s="248"/>
      <c r="AC76" s="248"/>
      <c r="AD76" s="247"/>
      <c r="AE76" s="228"/>
      <c r="AF76" s="228"/>
      <c r="AG76" s="248"/>
      <c r="AH76" s="248"/>
      <c r="AI76" s="194"/>
      <c r="AJ76" s="249"/>
      <c r="AK76" s="250"/>
      <c r="AL76" s="251"/>
      <c r="AM76" s="252"/>
      <c r="AN76" s="241"/>
      <c r="AO76" s="241"/>
      <c r="AP76" s="241"/>
      <c r="AQ76" s="194"/>
      <c r="AR76" s="195"/>
      <c r="AS76" s="195"/>
    </row>
    <row r="77" spans="2:45">
      <c r="B77" s="253"/>
      <c r="C77" s="230"/>
      <c r="D77" s="245"/>
      <c r="E77" s="230"/>
      <c r="F77" s="230"/>
      <c r="G77" s="230"/>
      <c r="H77" s="230"/>
      <c r="I77" s="228"/>
      <c r="J77" s="228"/>
      <c r="K77" s="230"/>
      <c r="L77" s="230"/>
      <c r="M77" s="246"/>
      <c r="N77" s="230"/>
      <c r="O77" s="230"/>
      <c r="P77" s="230"/>
      <c r="Q77" s="230"/>
      <c r="R77" s="256"/>
      <c r="S77" s="257"/>
      <c r="T77" s="228"/>
      <c r="U77" s="228"/>
      <c r="V77" s="245"/>
      <c r="W77" s="254"/>
      <c r="X77" s="254"/>
      <c r="Y77" s="228"/>
      <c r="Z77" s="255"/>
      <c r="AA77" s="248"/>
      <c r="AB77" s="248"/>
      <c r="AC77" s="248"/>
      <c r="AD77" s="247"/>
      <c r="AE77" s="228"/>
      <c r="AF77" s="228"/>
      <c r="AG77" s="248"/>
      <c r="AH77" s="248"/>
      <c r="AI77" s="194"/>
      <c r="AJ77" s="249"/>
      <c r="AK77" s="250"/>
      <c r="AL77" s="251"/>
      <c r="AM77" s="252"/>
      <c r="AN77" s="241"/>
      <c r="AO77" s="241"/>
      <c r="AP77" s="241"/>
      <c r="AQ77" s="194"/>
      <c r="AR77" s="195"/>
      <c r="AS77" s="195"/>
    </row>
    <row r="78" spans="2:45">
      <c r="B78" s="253"/>
      <c r="C78" s="230"/>
      <c r="D78" s="245"/>
      <c r="E78" s="230"/>
      <c r="F78" s="230"/>
      <c r="G78" s="230"/>
      <c r="H78" s="230"/>
      <c r="I78" s="228"/>
      <c r="J78" s="228"/>
      <c r="K78" s="230"/>
      <c r="L78" s="230"/>
      <c r="M78" s="246"/>
      <c r="N78" s="230"/>
      <c r="O78" s="230"/>
      <c r="P78" s="230"/>
      <c r="Q78" s="230"/>
      <c r="R78" s="256"/>
      <c r="S78" s="257"/>
      <c r="T78" s="228"/>
      <c r="U78" s="228"/>
      <c r="V78" s="245"/>
      <c r="W78" s="254"/>
      <c r="X78" s="254"/>
      <c r="Y78" s="228"/>
      <c r="Z78" s="255"/>
      <c r="AA78" s="248"/>
      <c r="AB78" s="248"/>
      <c r="AC78" s="248"/>
      <c r="AD78" s="247"/>
      <c r="AE78" s="228"/>
      <c r="AF78" s="228"/>
      <c r="AG78" s="248"/>
      <c r="AH78" s="248"/>
      <c r="AI78" s="194"/>
      <c r="AJ78" s="249"/>
      <c r="AK78" s="250"/>
      <c r="AL78" s="251"/>
      <c r="AM78" s="252"/>
      <c r="AN78" s="241"/>
      <c r="AO78" s="241"/>
      <c r="AP78" s="241"/>
      <c r="AQ78" s="194"/>
      <c r="AR78" s="195"/>
      <c r="AS78" s="195"/>
    </row>
    <row r="79" spans="2:45">
      <c r="B79" s="253"/>
      <c r="C79" s="230"/>
      <c r="D79" s="245"/>
      <c r="E79" s="230"/>
      <c r="F79" s="230"/>
      <c r="G79" s="230"/>
      <c r="H79" s="230"/>
      <c r="I79" s="228"/>
      <c r="J79" s="228"/>
      <c r="K79" s="230"/>
      <c r="L79" s="230"/>
      <c r="M79" s="246"/>
      <c r="N79" s="230"/>
      <c r="O79" s="230"/>
      <c r="P79" s="230"/>
      <c r="Q79" s="230"/>
      <c r="R79" s="256"/>
      <c r="S79" s="257"/>
      <c r="T79" s="228"/>
      <c r="U79" s="228"/>
      <c r="V79" s="245"/>
      <c r="W79" s="254"/>
      <c r="X79" s="254"/>
      <c r="Y79" s="228"/>
      <c r="Z79" s="255"/>
      <c r="AA79" s="248"/>
      <c r="AB79" s="248"/>
      <c r="AC79" s="248"/>
      <c r="AD79" s="247"/>
      <c r="AE79" s="228"/>
      <c r="AF79" s="228"/>
      <c r="AG79" s="248"/>
      <c r="AH79" s="248"/>
      <c r="AI79" s="194"/>
      <c r="AJ79" s="249"/>
      <c r="AK79" s="250"/>
      <c r="AL79" s="251"/>
      <c r="AM79" s="252"/>
      <c r="AN79" s="241"/>
      <c r="AO79" s="241"/>
      <c r="AP79" s="241"/>
      <c r="AQ79" s="194"/>
      <c r="AR79" s="195"/>
      <c r="AS79" s="195"/>
    </row>
    <row r="80" spans="2:45">
      <c r="B80" s="253"/>
      <c r="C80" s="230"/>
      <c r="D80" s="245"/>
      <c r="E80" s="230"/>
      <c r="F80" s="230"/>
      <c r="G80" s="230"/>
      <c r="H80" s="230"/>
      <c r="I80" s="228"/>
      <c r="J80" s="228"/>
      <c r="K80" s="230"/>
      <c r="L80" s="230"/>
      <c r="M80" s="246"/>
      <c r="N80" s="230"/>
      <c r="O80" s="230"/>
      <c r="P80" s="230"/>
      <c r="Q80" s="230"/>
      <c r="R80" s="256"/>
      <c r="S80" s="257"/>
      <c r="T80" s="228"/>
      <c r="U80" s="228"/>
      <c r="V80" s="245"/>
      <c r="W80" s="254"/>
      <c r="X80" s="254"/>
      <c r="Y80" s="228"/>
      <c r="Z80" s="255"/>
      <c r="AA80" s="248"/>
      <c r="AB80" s="248"/>
      <c r="AC80" s="248"/>
      <c r="AD80" s="247"/>
      <c r="AE80" s="228"/>
      <c r="AF80" s="228"/>
      <c r="AG80" s="248"/>
      <c r="AH80" s="248"/>
      <c r="AI80" s="194"/>
      <c r="AJ80" s="249"/>
      <c r="AK80" s="250"/>
      <c r="AL80" s="251"/>
      <c r="AM80" s="252"/>
      <c r="AN80" s="241"/>
      <c r="AO80" s="241"/>
      <c r="AP80" s="241"/>
      <c r="AQ80" s="194"/>
      <c r="AR80" s="195"/>
      <c r="AS80" s="195"/>
    </row>
    <row r="81" spans="2:45">
      <c r="B81" s="253"/>
      <c r="C81" s="230"/>
      <c r="D81" s="245"/>
      <c r="E81" s="230"/>
      <c r="F81" s="230"/>
      <c r="G81" s="230"/>
      <c r="H81" s="230"/>
      <c r="I81" s="228"/>
      <c r="J81" s="228"/>
      <c r="K81" s="230"/>
      <c r="L81" s="230"/>
      <c r="M81" s="246"/>
      <c r="N81" s="230"/>
      <c r="O81" s="230"/>
      <c r="P81" s="230"/>
      <c r="Q81" s="230"/>
      <c r="R81" s="256"/>
      <c r="S81" s="257"/>
      <c r="T81" s="228"/>
      <c r="U81" s="228"/>
      <c r="V81" s="245"/>
      <c r="W81" s="254"/>
      <c r="X81" s="254"/>
      <c r="Y81" s="228"/>
      <c r="Z81" s="255"/>
      <c r="AA81" s="248"/>
      <c r="AB81" s="248"/>
      <c r="AC81" s="248"/>
      <c r="AD81" s="247"/>
      <c r="AE81" s="228"/>
      <c r="AF81" s="228"/>
      <c r="AG81" s="248"/>
      <c r="AH81" s="248"/>
      <c r="AI81" s="194"/>
      <c r="AJ81" s="249"/>
      <c r="AK81" s="250"/>
      <c r="AL81" s="251"/>
      <c r="AM81" s="252"/>
      <c r="AN81" s="241"/>
      <c r="AO81" s="241"/>
      <c r="AP81" s="241"/>
      <c r="AQ81" s="194"/>
      <c r="AR81" s="195"/>
      <c r="AS81" s="195"/>
    </row>
    <row r="82" spans="2:45">
      <c r="B82" s="253"/>
      <c r="C82" s="230"/>
      <c r="D82" s="245"/>
      <c r="E82" s="230"/>
      <c r="F82" s="230"/>
      <c r="G82" s="230"/>
      <c r="H82" s="230"/>
      <c r="I82" s="228"/>
      <c r="J82" s="228"/>
      <c r="K82" s="230"/>
      <c r="L82" s="230"/>
      <c r="M82" s="246"/>
      <c r="N82" s="230"/>
      <c r="O82" s="230"/>
      <c r="P82" s="230"/>
      <c r="Q82" s="230"/>
      <c r="R82" s="256"/>
      <c r="S82" s="257"/>
      <c r="T82" s="228"/>
      <c r="U82" s="228"/>
      <c r="V82" s="245"/>
      <c r="W82" s="254"/>
      <c r="X82" s="254"/>
      <c r="Y82" s="228"/>
      <c r="Z82" s="255"/>
      <c r="AA82" s="248"/>
      <c r="AB82" s="248"/>
      <c r="AC82" s="248"/>
      <c r="AD82" s="247"/>
      <c r="AE82" s="228"/>
      <c r="AF82" s="228"/>
      <c r="AG82" s="248"/>
      <c r="AH82" s="248"/>
      <c r="AI82" s="194"/>
      <c r="AJ82" s="249"/>
      <c r="AK82" s="250"/>
      <c r="AL82" s="251"/>
      <c r="AM82" s="252"/>
      <c r="AN82" s="241"/>
      <c r="AO82" s="241"/>
      <c r="AP82" s="241"/>
      <c r="AQ82" s="194"/>
      <c r="AR82" s="195"/>
      <c r="AS82" s="195"/>
    </row>
    <row r="83" spans="2:45">
      <c r="B83" s="253"/>
      <c r="C83" s="230"/>
      <c r="D83" s="245"/>
      <c r="E83" s="230"/>
      <c r="F83" s="230"/>
      <c r="G83" s="230"/>
      <c r="H83" s="230"/>
      <c r="I83" s="228"/>
      <c r="J83" s="228"/>
      <c r="K83" s="230"/>
      <c r="L83" s="230"/>
      <c r="M83" s="246"/>
      <c r="N83" s="230"/>
      <c r="O83" s="230"/>
      <c r="P83" s="230"/>
      <c r="Q83" s="230"/>
      <c r="R83" s="256"/>
      <c r="S83" s="257"/>
      <c r="T83" s="228"/>
      <c r="U83" s="228"/>
      <c r="V83" s="245"/>
      <c r="W83" s="254"/>
      <c r="X83" s="254"/>
      <c r="Y83" s="228"/>
      <c r="Z83" s="255"/>
      <c r="AA83" s="248"/>
      <c r="AB83" s="248"/>
      <c r="AC83" s="248"/>
      <c r="AD83" s="247"/>
      <c r="AE83" s="228"/>
      <c r="AF83" s="228"/>
      <c r="AG83" s="248"/>
      <c r="AH83" s="248"/>
      <c r="AI83" s="194"/>
      <c r="AJ83" s="249"/>
      <c r="AK83" s="250"/>
      <c r="AL83" s="251"/>
      <c r="AM83" s="252"/>
      <c r="AN83" s="241"/>
      <c r="AO83" s="241"/>
      <c r="AP83" s="241"/>
      <c r="AQ83" s="194"/>
      <c r="AR83" s="195"/>
      <c r="AS83" s="195"/>
    </row>
    <row r="84" spans="2:45">
      <c r="B84" s="253"/>
      <c r="C84" s="230"/>
      <c r="D84" s="245"/>
      <c r="E84" s="230"/>
      <c r="F84" s="230"/>
      <c r="G84" s="230"/>
      <c r="H84" s="230"/>
      <c r="I84" s="228"/>
      <c r="J84" s="228"/>
      <c r="K84" s="230"/>
      <c r="L84" s="230"/>
      <c r="M84" s="246"/>
      <c r="N84" s="230"/>
      <c r="O84" s="230"/>
      <c r="P84" s="230"/>
      <c r="Q84" s="230"/>
      <c r="R84" s="256"/>
      <c r="S84" s="257"/>
      <c r="T84" s="228"/>
      <c r="U84" s="228"/>
      <c r="V84" s="245"/>
      <c r="W84" s="254"/>
      <c r="X84" s="254"/>
      <c r="Y84" s="228"/>
      <c r="Z84" s="255"/>
      <c r="AA84" s="248"/>
      <c r="AB84" s="248"/>
      <c r="AC84" s="248"/>
      <c r="AD84" s="247"/>
      <c r="AE84" s="228"/>
      <c r="AF84" s="228"/>
      <c r="AG84" s="248"/>
      <c r="AH84" s="248"/>
      <c r="AI84" s="194"/>
      <c r="AJ84" s="249"/>
      <c r="AK84" s="250"/>
      <c r="AL84" s="251"/>
      <c r="AM84" s="252"/>
      <c r="AN84" s="241"/>
      <c r="AO84" s="241"/>
      <c r="AP84" s="241"/>
      <c r="AQ84" s="194"/>
      <c r="AR84" s="195"/>
      <c r="AS84" s="195"/>
    </row>
    <row r="85" spans="2:45">
      <c r="B85" s="253"/>
      <c r="C85" s="230"/>
      <c r="D85" s="245"/>
      <c r="E85" s="230"/>
      <c r="F85" s="230"/>
      <c r="G85" s="230"/>
      <c r="H85" s="230"/>
      <c r="I85" s="228"/>
      <c r="J85" s="228"/>
      <c r="K85" s="230"/>
      <c r="L85" s="230"/>
      <c r="M85" s="246"/>
      <c r="N85" s="230"/>
      <c r="O85" s="230"/>
      <c r="P85" s="230"/>
      <c r="Q85" s="230"/>
      <c r="R85" s="256"/>
      <c r="S85" s="257"/>
      <c r="T85" s="228"/>
      <c r="U85" s="228"/>
      <c r="V85" s="245"/>
      <c r="W85" s="254"/>
      <c r="X85" s="254"/>
      <c r="Y85" s="228"/>
      <c r="Z85" s="255"/>
      <c r="AA85" s="248"/>
      <c r="AB85" s="248"/>
      <c r="AC85" s="248"/>
      <c r="AD85" s="247"/>
      <c r="AE85" s="228"/>
      <c r="AF85" s="228"/>
      <c r="AG85" s="248"/>
      <c r="AH85" s="248"/>
      <c r="AI85" s="194"/>
      <c r="AJ85" s="249"/>
      <c r="AK85" s="250"/>
      <c r="AL85" s="251"/>
      <c r="AM85" s="252"/>
      <c r="AN85" s="241"/>
      <c r="AO85" s="241"/>
      <c r="AP85" s="241"/>
      <c r="AQ85" s="194"/>
      <c r="AR85" s="195"/>
      <c r="AS85" s="195"/>
    </row>
    <row r="86" spans="2:45">
      <c r="B86" s="253"/>
      <c r="C86" s="230"/>
      <c r="D86" s="245"/>
      <c r="E86" s="230"/>
      <c r="F86" s="230"/>
      <c r="G86" s="230"/>
      <c r="H86" s="230"/>
      <c r="I86" s="228"/>
      <c r="J86" s="228"/>
      <c r="K86" s="230"/>
      <c r="L86" s="230"/>
      <c r="M86" s="246"/>
      <c r="N86" s="230"/>
      <c r="O86" s="230"/>
      <c r="P86" s="230"/>
      <c r="Q86" s="230"/>
      <c r="R86" s="256"/>
      <c r="S86" s="257"/>
      <c r="T86" s="228"/>
      <c r="U86" s="228"/>
      <c r="V86" s="245"/>
      <c r="W86" s="254"/>
      <c r="X86" s="254"/>
      <c r="Y86" s="228"/>
      <c r="Z86" s="255"/>
      <c r="AA86" s="248"/>
      <c r="AB86" s="248"/>
      <c r="AC86" s="248"/>
      <c r="AD86" s="247"/>
      <c r="AE86" s="228"/>
      <c r="AF86" s="228"/>
      <c r="AG86" s="248"/>
      <c r="AH86" s="248"/>
      <c r="AI86" s="194"/>
      <c r="AJ86" s="249"/>
      <c r="AK86" s="250"/>
      <c r="AL86" s="251"/>
      <c r="AM86" s="252"/>
      <c r="AN86" s="241"/>
      <c r="AO86" s="241"/>
      <c r="AP86" s="241"/>
      <c r="AQ86" s="194"/>
      <c r="AR86" s="195"/>
      <c r="AS86" s="195"/>
    </row>
    <row r="87" spans="2:45">
      <c r="B87" s="253"/>
      <c r="C87" s="230"/>
      <c r="D87" s="245"/>
      <c r="E87" s="230"/>
      <c r="F87" s="230"/>
      <c r="G87" s="230"/>
      <c r="H87" s="230"/>
      <c r="I87" s="228"/>
      <c r="J87" s="228"/>
      <c r="K87" s="230"/>
      <c r="L87" s="230"/>
      <c r="M87" s="246"/>
      <c r="N87" s="230"/>
      <c r="O87" s="230"/>
      <c r="P87" s="230"/>
      <c r="Q87" s="230"/>
      <c r="R87" s="256"/>
      <c r="S87" s="257"/>
      <c r="T87" s="228"/>
      <c r="U87" s="228"/>
      <c r="V87" s="245"/>
      <c r="W87" s="254"/>
      <c r="X87" s="254"/>
      <c r="Y87" s="228"/>
      <c r="Z87" s="255"/>
      <c r="AA87" s="248"/>
      <c r="AB87" s="248"/>
      <c r="AC87" s="248"/>
      <c r="AD87" s="247"/>
      <c r="AE87" s="228"/>
      <c r="AF87" s="228"/>
      <c r="AG87" s="248"/>
      <c r="AH87" s="248"/>
      <c r="AI87" s="194"/>
      <c r="AJ87" s="249"/>
      <c r="AK87" s="250"/>
      <c r="AL87" s="251"/>
      <c r="AM87" s="252"/>
      <c r="AN87" s="241"/>
      <c r="AO87" s="241"/>
      <c r="AP87" s="241"/>
      <c r="AQ87" s="194"/>
      <c r="AR87" s="195"/>
      <c r="AS87" s="195"/>
    </row>
    <row r="88" spans="2:45">
      <c r="B88" s="253"/>
      <c r="C88" s="230"/>
      <c r="D88" s="245"/>
      <c r="E88" s="230"/>
      <c r="F88" s="230"/>
      <c r="G88" s="230"/>
      <c r="H88" s="230"/>
      <c r="I88" s="228"/>
      <c r="J88" s="228"/>
      <c r="K88" s="230"/>
      <c r="L88" s="230"/>
      <c r="M88" s="246"/>
      <c r="N88" s="230"/>
      <c r="O88" s="230"/>
      <c r="P88" s="230"/>
      <c r="Q88" s="230"/>
      <c r="R88" s="256"/>
      <c r="S88" s="257"/>
      <c r="T88" s="228"/>
      <c r="U88" s="228"/>
      <c r="V88" s="245"/>
      <c r="W88" s="254"/>
      <c r="X88" s="254"/>
      <c r="Y88" s="228"/>
      <c r="Z88" s="255"/>
      <c r="AA88" s="248"/>
      <c r="AB88" s="248"/>
      <c r="AC88" s="248"/>
      <c r="AD88" s="247"/>
      <c r="AE88" s="228"/>
      <c r="AF88" s="228"/>
      <c r="AG88" s="248"/>
      <c r="AH88" s="248"/>
      <c r="AI88" s="194"/>
      <c r="AJ88" s="249"/>
      <c r="AK88" s="250"/>
      <c r="AL88" s="251"/>
      <c r="AM88" s="252"/>
      <c r="AN88" s="241"/>
      <c r="AO88" s="241"/>
      <c r="AP88" s="241"/>
      <c r="AQ88" s="194"/>
      <c r="AR88" s="195"/>
      <c r="AS88" s="195"/>
    </row>
    <row r="89" spans="2:45">
      <c r="B89" s="253"/>
      <c r="C89" s="230"/>
      <c r="D89" s="245"/>
      <c r="E89" s="230"/>
      <c r="F89" s="230"/>
      <c r="G89" s="230"/>
      <c r="H89" s="230"/>
      <c r="I89" s="228"/>
      <c r="J89" s="228"/>
      <c r="K89" s="230"/>
      <c r="L89" s="230"/>
      <c r="M89" s="246"/>
      <c r="N89" s="230"/>
      <c r="O89" s="230"/>
      <c r="P89" s="230"/>
      <c r="Q89" s="230"/>
      <c r="R89" s="256"/>
      <c r="S89" s="257"/>
      <c r="T89" s="228"/>
      <c r="U89" s="228"/>
      <c r="V89" s="245"/>
      <c r="W89" s="254"/>
      <c r="X89" s="254"/>
      <c r="Y89" s="228"/>
      <c r="Z89" s="255"/>
      <c r="AA89" s="248"/>
      <c r="AB89" s="248"/>
      <c r="AC89" s="248"/>
      <c r="AD89" s="247"/>
      <c r="AE89" s="228"/>
      <c r="AF89" s="228"/>
      <c r="AG89" s="248"/>
      <c r="AH89" s="248"/>
      <c r="AI89" s="194"/>
      <c r="AJ89" s="249"/>
      <c r="AK89" s="250"/>
      <c r="AL89" s="251"/>
      <c r="AM89" s="252"/>
      <c r="AN89" s="241"/>
      <c r="AO89" s="241"/>
      <c r="AP89" s="241"/>
      <c r="AQ89" s="194"/>
      <c r="AR89" s="195"/>
      <c r="AS89" s="195"/>
    </row>
    <row r="90" spans="2:45">
      <c r="B90" s="253"/>
      <c r="C90" s="230"/>
      <c r="D90" s="245"/>
      <c r="E90" s="230"/>
      <c r="F90" s="230"/>
      <c r="G90" s="230"/>
      <c r="H90" s="230"/>
      <c r="I90" s="228"/>
      <c r="J90" s="228"/>
      <c r="K90" s="230"/>
      <c r="L90" s="230"/>
      <c r="M90" s="246"/>
      <c r="N90" s="230"/>
      <c r="O90" s="230"/>
      <c r="P90" s="230"/>
      <c r="Q90" s="230"/>
      <c r="R90" s="256"/>
      <c r="S90" s="257"/>
      <c r="T90" s="228"/>
      <c r="U90" s="228"/>
      <c r="V90" s="245"/>
      <c r="W90" s="254"/>
      <c r="X90" s="254"/>
      <c r="Y90" s="228"/>
      <c r="Z90" s="255"/>
      <c r="AA90" s="248"/>
      <c r="AB90" s="248"/>
      <c r="AC90" s="248"/>
      <c r="AD90" s="247"/>
      <c r="AE90" s="228"/>
      <c r="AF90" s="228"/>
      <c r="AG90" s="248"/>
      <c r="AH90" s="248"/>
      <c r="AI90" s="194"/>
      <c r="AJ90" s="249"/>
      <c r="AK90" s="250"/>
      <c r="AL90" s="251"/>
      <c r="AM90" s="252"/>
      <c r="AN90" s="241"/>
      <c r="AO90" s="241"/>
      <c r="AP90" s="241"/>
      <c r="AQ90" s="194"/>
      <c r="AR90" s="195"/>
      <c r="AS90" s="195"/>
    </row>
    <row r="91" spans="2:45">
      <c r="B91" s="253"/>
      <c r="C91" s="230"/>
      <c r="D91" s="245"/>
      <c r="E91" s="230"/>
      <c r="F91" s="230"/>
      <c r="G91" s="230"/>
      <c r="H91" s="230"/>
      <c r="I91" s="228"/>
      <c r="J91" s="228"/>
      <c r="K91" s="230"/>
      <c r="L91" s="230"/>
      <c r="M91" s="246"/>
      <c r="N91" s="230"/>
      <c r="O91" s="230"/>
      <c r="P91" s="230"/>
      <c r="Q91" s="230"/>
      <c r="R91" s="256"/>
      <c r="S91" s="257"/>
      <c r="T91" s="228"/>
      <c r="U91" s="228"/>
      <c r="V91" s="245"/>
      <c r="W91" s="254"/>
      <c r="X91" s="254"/>
      <c r="Y91" s="228"/>
      <c r="Z91" s="255"/>
      <c r="AA91" s="248"/>
      <c r="AB91" s="248"/>
      <c r="AC91" s="248"/>
      <c r="AD91" s="247"/>
      <c r="AE91" s="228"/>
      <c r="AF91" s="228"/>
      <c r="AG91" s="248"/>
      <c r="AH91" s="248"/>
      <c r="AI91" s="194"/>
      <c r="AJ91" s="249"/>
      <c r="AK91" s="250"/>
      <c r="AL91" s="251"/>
      <c r="AM91" s="252"/>
      <c r="AN91" s="241"/>
      <c r="AO91" s="241"/>
      <c r="AP91" s="241"/>
      <c r="AQ91" s="194"/>
      <c r="AR91" s="195"/>
      <c r="AS91" s="195"/>
    </row>
    <row r="92" spans="2:45">
      <c r="B92" s="253"/>
      <c r="C92" s="230"/>
      <c r="D92" s="245"/>
      <c r="E92" s="230"/>
      <c r="F92" s="230"/>
      <c r="G92" s="230"/>
      <c r="H92" s="230"/>
      <c r="I92" s="228"/>
      <c r="J92" s="228"/>
      <c r="K92" s="230"/>
      <c r="L92" s="230"/>
      <c r="M92" s="246"/>
      <c r="N92" s="230"/>
      <c r="O92" s="230"/>
      <c r="P92" s="230"/>
      <c r="Q92" s="230"/>
      <c r="R92" s="256"/>
      <c r="S92" s="257"/>
      <c r="T92" s="228"/>
      <c r="U92" s="228"/>
      <c r="V92" s="245"/>
      <c r="W92" s="254"/>
      <c r="X92" s="254"/>
      <c r="Y92" s="228"/>
      <c r="Z92" s="255"/>
      <c r="AA92" s="248"/>
      <c r="AB92" s="248"/>
      <c r="AC92" s="248"/>
      <c r="AD92" s="247"/>
      <c r="AE92" s="228"/>
      <c r="AF92" s="228"/>
      <c r="AG92" s="248"/>
      <c r="AH92" s="248"/>
      <c r="AI92" s="194"/>
      <c r="AJ92" s="249"/>
      <c r="AK92" s="250"/>
      <c r="AL92" s="251"/>
      <c r="AM92" s="252"/>
      <c r="AN92" s="241"/>
      <c r="AO92" s="241"/>
      <c r="AP92" s="241"/>
      <c r="AQ92" s="194"/>
      <c r="AR92" s="195"/>
      <c r="AS92" s="195"/>
    </row>
    <row r="93" spans="2:45">
      <c r="B93" s="253"/>
      <c r="C93" s="230"/>
      <c r="D93" s="245"/>
      <c r="E93" s="230"/>
      <c r="F93" s="230"/>
      <c r="G93" s="230"/>
      <c r="H93" s="230"/>
      <c r="I93" s="228"/>
      <c r="J93" s="228"/>
      <c r="K93" s="230"/>
      <c r="L93" s="230"/>
      <c r="M93" s="246"/>
      <c r="N93" s="230"/>
      <c r="O93" s="230"/>
      <c r="P93" s="230"/>
      <c r="Q93" s="230"/>
      <c r="R93" s="256"/>
      <c r="S93" s="257"/>
      <c r="T93" s="228"/>
      <c r="U93" s="228"/>
      <c r="V93" s="245"/>
      <c r="W93" s="254"/>
      <c r="X93" s="254"/>
      <c r="Y93" s="228"/>
      <c r="Z93" s="255"/>
      <c r="AA93" s="248"/>
      <c r="AB93" s="248"/>
      <c r="AC93" s="248"/>
      <c r="AD93" s="247"/>
      <c r="AE93" s="228"/>
      <c r="AF93" s="228"/>
      <c r="AG93" s="248"/>
      <c r="AH93" s="248"/>
      <c r="AI93" s="194"/>
      <c r="AJ93" s="249"/>
      <c r="AK93" s="250"/>
      <c r="AL93" s="251"/>
      <c r="AM93" s="252"/>
      <c r="AN93" s="241"/>
      <c r="AO93" s="241"/>
      <c r="AP93" s="241"/>
      <c r="AQ93" s="194"/>
      <c r="AR93" s="195"/>
      <c r="AS93" s="195"/>
    </row>
    <row r="94" spans="2:45">
      <c r="B94" s="253"/>
      <c r="C94" s="230"/>
      <c r="D94" s="245"/>
      <c r="E94" s="230"/>
      <c r="F94" s="230"/>
      <c r="G94" s="230"/>
      <c r="H94" s="230"/>
      <c r="I94" s="228"/>
      <c r="J94" s="228"/>
      <c r="K94" s="230"/>
      <c r="L94" s="230"/>
      <c r="M94" s="246"/>
      <c r="N94" s="230"/>
      <c r="O94" s="230"/>
      <c r="P94" s="230"/>
      <c r="Q94" s="230"/>
      <c r="R94" s="256"/>
      <c r="S94" s="257"/>
      <c r="T94" s="228"/>
      <c r="U94" s="228"/>
      <c r="V94" s="245"/>
      <c r="W94" s="254"/>
      <c r="X94" s="254"/>
      <c r="Y94" s="228"/>
      <c r="Z94" s="255"/>
      <c r="AA94" s="248"/>
      <c r="AB94" s="248"/>
      <c r="AC94" s="248"/>
      <c r="AD94" s="247"/>
      <c r="AE94" s="228"/>
      <c r="AF94" s="228"/>
      <c r="AG94" s="248"/>
      <c r="AH94" s="248"/>
      <c r="AI94" s="194"/>
      <c r="AJ94" s="249"/>
      <c r="AK94" s="250"/>
      <c r="AL94" s="251"/>
      <c r="AM94" s="252"/>
      <c r="AN94" s="241"/>
      <c r="AO94" s="241"/>
      <c r="AP94" s="241"/>
      <c r="AQ94" s="194"/>
      <c r="AR94" s="195"/>
      <c r="AS94" s="195"/>
    </row>
    <row r="95" spans="2:45">
      <c r="B95" s="253"/>
      <c r="C95" s="230"/>
      <c r="D95" s="245"/>
      <c r="E95" s="230"/>
      <c r="F95" s="230"/>
      <c r="G95" s="230"/>
      <c r="H95" s="230"/>
      <c r="I95" s="228"/>
      <c r="J95" s="228"/>
      <c r="K95" s="230"/>
      <c r="L95" s="230"/>
      <c r="M95" s="246"/>
      <c r="N95" s="230"/>
      <c r="O95" s="230"/>
      <c r="P95" s="230"/>
      <c r="Q95" s="230"/>
      <c r="R95" s="256"/>
      <c r="S95" s="257"/>
      <c r="T95" s="228"/>
      <c r="U95" s="228"/>
      <c r="V95" s="245"/>
      <c r="W95" s="254"/>
      <c r="X95" s="254"/>
      <c r="Y95" s="228"/>
      <c r="Z95" s="255"/>
      <c r="AA95" s="248"/>
      <c r="AB95" s="248"/>
      <c r="AC95" s="248"/>
      <c r="AD95" s="247"/>
      <c r="AE95" s="228"/>
      <c r="AF95" s="228"/>
      <c r="AG95" s="248"/>
      <c r="AH95" s="248"/>
      <c r="AI95" s="194"/>
      <c r="AJ95" s="249"/>
      <c r="AK95" s="250"/>
      <c r="AL95" s="251"/>
      <c r="AM95" s="252"/>
      <c r="AN95" s="241"/>
      <c r="AO95" s="241"/>
      <c r="AP95" s="241"/>
      <c r="AQ95" s="194"/>
      <c r="AR95" s="195"/>
      <c r="AS95" s="195"/>
    </row>
    <row r="96" spans="2:45">
      <c r="B96" s="253"/>
      <c r="C96" s="230"/>
      <c r="D96" s="245"/>
      <c r="E96" s="230"/>
      <c r="F96" s="230"/>
      <c r="G96" s="230"/>
      <c r="H96" s="230"/>
      <c r="I96" s="228"/>
      <c r="J96" s="228"/>
      <c r="K96" s="230"/>
      <c r="L96" s="230"/>
      <c r="M96" s="246"/>
      <c r="N96" s="230"/>
      <c r="O96" s="230"/>
      <c r="P96" s="230"/>
      <c r="Q96" s="230"/>
      <c r="R96" s="256"/>
      <c r="S96" s="257"/>
      <c r="T96" s="228"/>
      <c r="U96" s="228"/>
      <c r="V96" s="245"/>
      <c r="W96" s="254"/>
      <c r="X96" s="254"/>
      <c r="Y96" s="228"/>
      <c r="Z96" s="255"/>
      <c r="AA96" s="248"/>
      <c r="AB96" s="248"/>
      <c r="AC96" s="248"/>
      <c r="AD96" s="247"/>
      <c r="AE96" s="228"/>
      <c r="AF96" s="228"/>
      <c r="AG96" s="248"/>
      <c r="AH96" s="248"/>
      <c r="AI96" s="194"/>
      <c r="AJ96" s="249"/>
      <c r="AK96" s="250"/>
      <c r="AL96" s="251"/>
      <c r="AM96" s="252"/>
      <c r="AN96" s="241"/>
      <c r="AO96" s="241"/>
      <c r="AP96" s="241"/>
      <c r="AQ96" s="194"/>
      <c r="AR96" s="195"/>
      <c r="AS96" s="195"/>
    </row>
    <row r="97" spans="2:45">
      <c r="B97" s="253"/>
      <c r="C97" s="230"/>
      <c r="D97" s="245"/>
      <c r="E97" s="230"/>
      <c r="F97" s="230"/>
      <c r="G97" s="230"/>
      <c r="H97" s="230"/>
      <c r="I97" s="228"/>
      <c r="J97" s="228"/>
      <c r="K97" s="230"/>
      <c r="L97" s="230"/>
      <c r="M97" s="246"/>
      <c r="N97" s="230"/>
      <c r="O97" s="230"/>
      <c r="P97" s="230"/>
      <c r="Q97" s="230"/>
      <c r="R97" s="256"/>
      <c r="S97" s="257"/>
      <c r="T97" s="228"/>
      <c r="U97" s="228"/>
      <c r="V97" s="245"/>
      <c r="W97" s="254"/>
      <c r="X97" s="254"/>
      <c r="Y97" s="228"/>
      <c r="Z97" s="255"/>
      <c r="AA97" s="248"/>
      <c r="AB97" s="248"/>
      <c r="AC97" s="248"/>
      <c r="AD97" s="247"/>
      <c r="AE97" s="228"/>
      <c r="AF97" s="228"/>
      <c r="AG97" s="248"/>
      <c r="AH97" s="248"/>
      <c r="AI97" s="194"/>
      <c r="AJ97" s="249"/>
      <c r="AK97" s="250"/>
      <c r="AL97" s="251"/>
      <c r="AM97" s="252"/>
      <c r="AN97" s="241"/>
      <c r="AO97" s="241"/>
      <c r="AP97" s="241"/>
      <c r="AQ97" s="194"/>
      <c r="AR97" s="195"/>
      <c r="AS97" s="195"/>
    </row>
    <row r="98" spans="2:45">
      <c r="B98" s="253"/>
      <c r="C98" s="230"/>
      <c r="D98" s="245"/>
      <c r="E98" s="230"/>
      <c r="F98" s="230"/>
      <c r="G98" s="230"/>
      <c r="H98" s="230"/>
      <c r="I98" s="228"/>
      <c r="J98" s="228"/>
      <c r="K98" s="230"/>
      <c r="L98" s="230"/>
      <c r="M98" s="246"/>
      <c r="N98" s="230"/>
      <c r="O98" s="230"/>
      <c r="P98" s="230"/>
      <c r="Q98" s="230"/>
      <c r="R98" s="256"/>
      <c r="S98" s="257"/>
      <c r="T98" s="228"/>
      <c r="U98" s="228"/>
      <c r="V98" s="245"/>
      <c r="W98" s="254"/>
      <c r="X98" s="254"/>
      <c r="Y98" s="228"/>
      <c r="Z98" s="255"/>
      <c r="AA98" s="248"/>
      <c r="AB98" s="248"/>
      <c r="AC98" s="248"/>
      <c r="AD98" s="247"/>
      <c r="AE98" s="228"/>
      <c r="AF98" s="228"/>
      <c r="AG98" s="248"/>
      <c r="AH98" s="248"/>
      <c r="AI98" s="194"/>
      <c r="AJ98" s="249"/>
      <c r="AK98" s="250"/>
      <c r="AL98" s="251"/>
      <c r="AM98" s="252"/>
      <c r="AN98" s="241"/>
      <c r="AO98" s="241"/>
      <c r="AP98" s="241"/>
      <c r="AQ98" s="194"/>
      <c r="AR98" s="195"/>
      <c r="AS98" s="195"/>
    </row>
    <row r="99" spans="2:45">
      <c r="B99" s="253"/>
      <c r="C99" s="230"/>
      <c r="D99" s="245"/>
      <c r="E99" s="230"/>
      <c r="F99" s="230"/>
      <c r="G99" s="230"/>
      <c r="H99" s="230"/>
      <c r="I99" s="228"/>
      <c r="J99" s="228"/>
      <c r="K99" s="230"/>
      <c r="L99" s="230"/>
      <c r="M99" s="246"/>
      <c r="N99" s="230"/>
      <c r="O99" s="230"/>
      <c r="P99" s="230"/>
      <c r="Q99" s="230"/>
      <c r="R99" s="256"/>
      <c r="S99" s="257"/>
      <c r="T99" s="228"/>
      <c r="U99" s="228"/>
      <c r="V99" s="245"/>
      <c r="W99" s="254"/>
      <c r="X99" s="254"/>
      <c r="Y99" s="228"/>
      <c r="Z99" s="255"/>
      <c r="AA99" s="248"/>
      <c r="AB99" s="248"/>
      <c r="AC99" s="248"/>
      <c r="AD99" s="247"/>
      <c r="AE99" s="228"/>
      <c r="AF99" s="228"/>
      <c r="AG99" s="248"/>
      <c r="AH99" s="248"/>
      <c r="AI99" s="194"/>
      <c r="AJ99" s="249"/>
      <c r="AK99" s="250"/>
      <c r="AL99" s="251"/>
      <c r="AM99" s="252"/>
      <c r="AN99" s="241"/>
      <c r="AO99" s="241"/>
      <c r="AP99" s="241"/>
      <c r="AQ99" s="194"/>
      <c r="AR99" s="195"/>
      <c r="AS99" s="195"/>
    </row>
    <row r="100" spans="2:45">
      <c r="B100" s="253"/>
      <c r="C100" s="230"/>
      <c r="D100" s="245"/>
      <c r="E100" s="230"/>
      <c r="F100" s="230"/>
      <c r="G100" s="230"/>
      <c r="H100" s="230"/>
      <c r="I100" s="228"/>
      <c r="J100" s="228"/>
      <c r="K100" s="230"/>
      <c r="L100" s="230"/>
      <c r="M100" s="246"/>
      <c r="N100" s="230"/>
      <c r="O100" s="230"/>
      <c r="P100" s="230"/>
      <c r="Q100" s="230"/>
      <c r="R100" s="256"/>
      <c r="S100" s="257"/>
      <c r="T100" s="228"/>
      <c r="U100" s="228"/>
      <c r="V100" s="245"/>
      <c r="W100" s="254"/>
      <c r="X100" s="254"/>
      <c r="Y100" s="228"/>
      <c r="Z100" s="255"/>
      <c r="AA100" s="248"/>
      <c r="AB100" s="248"/>
      <c r="AC100" s="248"/>
      <c r="AD100" s="247"/>
      <c r="AE100" s="228"/>
      <c r="AF100" s="228"/>
      <c r="AG100" s="248"/>
      <c r="AH100" s="248"/>
      <c r="AI100" s="194"/>
      <c r="AJ100" s="249"/>
      <c r="AK100" s="250"/>
      <c r="AL100" s="251"/>
      <c r="AM100" s="252"/>
      <c r="AN100" s="241"/>
      <c r="AO100" s="241"/>
      <c r="AP100" s="241"/>
      <c r="AQ100" s="194"/>
      <c r="AR100" s="195"/>
      <c r="AS100" s="195"/>
    </row>
    <row r="101" spans="2:45">
      <c r="B101" s="253"/>
      <c r="C101" s="230"/>
      <c r="D101" s="245"/>
      <c r="E101" s="230"/>
      <c r="F101" s="230"/>
      <c r="G101" s="230"/>
      <c r="H101" s="230"/>
      <c r="I101" s="228"/>
      <c r="J101" s="228"/>
      <c r="K101" s="230"/>
      <c r="L101" s="230"/>
      <c r="M101" s="246"/>
      <c r="N101" s="230"/>
      <c r="O101" s="230"/>
      <c r="P101" s="230"/>
      <c r="Q101" s="230"/>
      <c r="R101" s="256"/>
      <c r="S101" s="257"/>
      <c r="T101" s="228"/>
      <c r="U101" s="228"/>
      <c r="V101" s="245"/>
      <c r="W101" s="254"/>
      <c r="X101" s="254"/>
      <c r="Y101" s="228"/>
      <c r="Z101" s="255"/>
      <c r="AA101" s="248"/>
      <c r="AB101" s="248"/>
      <c r="AC101" s="248"/>
      <c r="AD101" s="247"/>
      <c r="AE101" s="228"/>
      <c r="AF101" s="228"/>
      <c r="AG101" s="248"/>
      <c r="AH101" s="248"/>
      <c r="AI101" s="194"/>
      <c r="AJ101" s="249"/>
      <c r="AK101" s="250"/>
      <c r="AL101" s="251"/>
      <c r="AM101" s="252"/>
      <c r="AN101" s="241"/>
      <c r="AO101" s="241"/>
      <c r="AP101" s="241"/>
      <c r="AQ101" s="194"/>
      <c r="AR101" s="195"/>
      <c r="AS101" s="195"/>
    </row>
    <row r="102" spans="2:45">
      <c r="B102" s="253"/>
      <c r="C102" s="230"/>
      <c r="D102" s="245"/>
      <c r="E102" s="230"/>
      <c r="F102" s="230"/>
      <c r="G102" s="230"/>
      <c r="H102" s="230"/>
      <c r="I102" s="228"/>
      <c r="J102" s="228"/>
      <c r="K102" s="230"/>
      <c r="L102" s="230"/>
      <c r="M102" s="246"/>
      <c r="N102" s="230"/>
      <c r="O102" s="230"/>
      <c r="P102" s="230"/>
      <c r="Q102" s="230"/>
      <c r="R102" s="256"/>
      <c r="S102" s="257"/>
      <c r="T102" s="228"/>
      <c r="U102" s="228"/>
      <c r="V102" s="245"/>
      <c r="W102" s="254"/>
      <c r="X102" s="254"/>
      <c r="Y102" s="228"/>
      <c r="Z102" s="255"/>
      <c r="AA102" s="248"/>
      <c r="AB102" s="248"/>
      <c r="AC102" s="248"/>
      <c r="AD102" s="247"/>
      <c r="AE102" s="228"/>
      <c r="AF102" s="228"/>
      <c r="AG102" s="248"/>
      <c r="AH102" s="248"/>
      <c r="AI102" s="194"/>
      <c r="AJ102" s="249"/>
      <c r="AK102" s="250"/>
      <c r="AL102" s="251"/>
      <c r="AM102" s="252"/>
      <c r="AN102" s="241"/>
      <c r="AO102" s="241"/>
      <c r="AP102" s="241"/>
      <c r="AQ102" s="194"/>
      <c r="AR102" s="195"/>
      <c r="AS102" s="195"/>
    </row>
    <row r="103" spans="2:45">
      <c r="B103" s="253"/>
      <c r="C103" s="230"/>
      <c r="D103" s="245"/>
      <c r="E103" s="230"/>
      <c r="F103" s="230"/>
      <c r="G103" s="230"/>
      <c r="H103" s="230"/>
      <c r="I103" s="228"/>
      <c r="J103" s="228"/>
      <c r="K103" s="230"/>
      <c r="L103" s="230"/>
      <c r="M103" s="246"/>
      <c r="N103" s="230"/>
      <c r="O103" s="230"/>
      <c r="P103" s="230"/>
      <c r="Q103" s="230"/>
      <c r="R103" s="256"/>
      <c r="S103" s="257"/>
      <c r="T103" s="228"/>
      <c r="U103" s="228"/>
      <c r="V103" s="245"/>
      <c r="W103" s="254"/>
      <c r="X103" s="254"/>
      <c r="Y103" s="228"/>
      <c r="Z103" s="255"/>
      <c r="AA103" s="248"/>
      <c r="AB103" s="248"/>
      <c r="AC103" s="248"/>
      <c r="AD103" s="247"/>
      <c r="AE103" s="228"/>
      <c r="AF103" s="228"/>
      <c r="AG103" s="248"/>
      <c r="AH103" s="248"/>
      <c r="AI103" s="194"/>
      <c r="AJ103" s="249"/>
      <c r="AK103" s="250"/>
      <c r="AL103" s="251"/>
      <c r="AM103" s="252"/>
      <c r="AN103" s="241"/>
      <c r="AO103" s="241"/>
      <c r="AP103" s="241"/>
      <c r="AQ103" s="194"/>
      <c r="AR103" s="195"/>
      <c r="AS103" s="195"/>
    </row>
    <row r="104" spans="2:45">
      <c r="B104" s="253"/>
      <c r="C104" s="230"/>
      <c r="D104" s="245"/>
      <c r="E104" s="230"/>
      <c r="F104" s="230"/>
      <c r="G104" s="230"/>
      <c r="H104" s="230"/>
      <c r="I104" s="228"/>
      <c r="J104" s="228"/>
      <c r="K104" s="230"/>
      <c r="L104" s="230"/>
      <c r="M104" s="246"/>
      <c r="N104" s="230"/>
      <c r="O104" s="230"/>
      <c r="P104" s="230"/>
      <c r="Q104" s="230"/>
      <c r="R104" s="256"/>
      <c r="S104" s="257"/>
      <c r="T104" s="228"/>
      <c r="U104" s="228"/>
      <c r="V104" s="245"/>
      <c r="W104" s="254"/>
      <c r="X104" s="254"/>
      <c r="Y104" s="228"/>
      <c r="Z104" s="255"/>
      <c r="AA104" s="248"/>
      <c r="AB104" s="248"/>
      <c r="AC104" s="248"/>
      <c r="AD104" s="247"/>
      <c r="AE104" s="228"/>
      <c r="AF104" s="228"/>
      <c r="AG104" s="248"/>
      <c r="AH104" s="248"/>
      <c r="AI104" s="194"/>
      <c r="AJ104" s="249"/>
      <c r="AK104" s="250"/>
      <c r="AL104" s="251"/>
      <c r="AM104" s="252"/>
      <c r="AN104" s="241"/>
      <c r="AO104" s="241"/>
      <c r="AP104" s="241"/>
      <c r="AQ104" s="194"/>
      <c r="AR104" s="195"/>
      <c r="AS104" s="195"/>
    </row>
    <row r="105" spans="2:45">
      <c r="B105" s="253"/>
      <c r="C105" s="230"/>
      <c r="D105" s="245"/>
      <c r="E105" s="230"/>
      <c r="F105" s="230"/>
      <c r="G105" s="230"/>
      <c r="H105" s="230"/>
      <c r="I105" s="228"/>
      <c r="J105" s="228"/>
      <c r="K105" s="230"/>
      <c r="L105" s="230"/>
      <c r="M105" s="246"/>
      <c r="N105" s="230"/>
      <c r="O105" s="230"/>
      <c r="P105" s="230"/>
      <c r="Q105" s="230"/>
      <c r="R105" s="256"/>
      <c r="S105" s="257"/>
      <c r="T105" s="228"/>
      <c r="U105" s="228"/>
      <c r="V105" s="245"/>
      <c r="W105" s="254"/>
      <c r="X105" s="254"/>
      <c r="Y105" s="228"/>
      <c r="Z105" s="255"/>
      <c r="AA105" s="248"/>
      <c r="AB105" s="248"/>
      <c r="AC105" s="248"/>
      <c r="AD105" s="247"/>
      <c r="AE105" s="228"/>
      <c r="AF105" s="228"/>
      <c r="AG105" s="248"/>
      <c r="AH105" s="248"/>
      <c r="AI105" s="194"/>
      <c r="AJ105" s="249"/>
      <c r="AK105" s="250"/>
      <c r="AL105" s="251"/>
      <c r="AM105" s="252"/>
      <c r="AN105" s="241"/>
      <c r="AO105" s="241"/>
      <c r="AP105" s="241"/>
      <c r="AQ105" s="194"/>
      <c r="AR105" s="195"/>
      <c r="AS105" s="195"/>
    </row>
    <row r="106" spans="2:45">
      <c r="B106" s="253"/>
      <c r="C106" s="230"/>
      <c r="D106" s="245"/>
      <c r="E106" s="230"/>
      <c r="F106" s="230"/>
      <c r="G106" s="230"/>
      <c r="H106" s="230"/>
      <c r="I106" s="228"/>
      <c r="J106" s="228"/>
      <c r="K106" s="230"/>
      <c r="L106" s="230"/>
      <c r="M106" s="246"/>
      <c r="N106" s="230"/>
      <c r="O106" s="230"/>
      <c r="P106" s="230"/>
      <c r="Q106" s="230"/>
      <c r="R106" s="256"/>
      <c r="S106" s="257"/>
      <c r="T106" s="228"/>
      <c r="U106" s="228"/>
      <c r="V106" s="245"/>
      <c r="W106" s="254"/>
      <c r="X106" s="254"/>
      <c r="Y106" s="228"/>
      <c r="Z106" s="255"/>
      <c r="AA106" s="248"/>
      <c r="AB106" s="248"/>
      <c r="AC106" s="248"/>
      <c r="AD106" s="247"/>
      <c r="AE106" s="228"/>
      <c r="AF106" s="228"/>
      <c r="AG106" s="248"/>
      <c r="AH106" s="248"/>
      <c r="AI106" s="194"/>
      <c r="AJ106" s="249"/>
      <c r="AK106" s="250"/>
      <c r="AL106" s="251"/>
      <c r="AM106" s="252"/>
      <c r="AN106" s="241"/>
      <c r="AO106" s="241"/>
      <c r="AP106" s="241"/>
      <c r="AQ106" s="194"/>
      <c r="AR106" s="195"/>
      <c r="AS106" s="195"/>
    </row>
    <row r="107" spans="2:45">
      <c r="B107" s="253"/>
      <c r="C107" s="230"/>
      <c r="D107" s="245"/>
      <c r="E107" s="230"/>
      <c r="F107" s="230"/>
      <c r="G107" s="230"/>
      <c r="H107" s="230"/>
      <c r="I107" s="228"/>
      <c r="J107" s="228"/>
      <c r="K107" s="230"/>
      <c r="L107" s="230"/>
      <c r="M107" s="246"/>
      <c r="N107" s="230"/>
      <c r="O107" s="230"/>
      <c r="P107" s="230"/>
      <c r="Q107" s="230"/>
      <c r="R107" s="256"/>
      <c r="S107" s="257"/>
      <c r="T107" s="228"/>
      <c r="U107" s="228"/>
      <c r="V107" s="245"/>
      <c r="W107" s="254"/>
      <c r="X107" s="254"/>
      <c r="Y107" s="228"/>
      <c r="Z107" s="255"/>
      <c r="AA107" s="248"/>
      <c r="AB107" s="248"/>
      <c r="AC107" s="248"/>
      <c r="AD107" s="247"/>
      <c r="AE107" s="228"/>
      <c r="AF107" s="228"/>
      <c r="AG107" s="248"/>
      <c r="AH107" s="248"/>
      <c r="AI107" s="194"/>
      <c r="AJ107" s="249"/>
      <c r="AK107" s="250"/>
      <c r="AL107" s="251"/>
      <c r="AM107" s="252"/>
      <c r="AN107" s="241"/>
      <c r="AO107" s="241"/>
      <c r="AP107" s="241"/>
      <c r="AQ107" s="194"/>
      <c r="AR107" s="195"/>
      <c r="AS107" s="195"/>
    </row>
    <row r="108" spans="2:45">
      <c r="B108" s="253"/>
      <c r="C108" s="230"/>
      <c r="D108" s="245"/>
      <c r="E108" s="230"/>
      <c r="F108" s="230"/>
      <c r="G108" s="230"/>
      <c r="H108" s="230"/>
      <c r="I108" s="228"/>
      <c r="J108" s="228"/>
      <c r="K108" s="230"/>
      <c r="L108" s="230"/>
      <c r="M108" s="246"/>
      <c r="N108" s="230"/>
      <c r="O108" s="230"/>
      <c r="P108" s="230"/>
      <c r="Q108" s="230"/>
      <c r="R108" s="256"/>
      <c r="S108" s="257"/>
      <c r="T108" s="228"/>
      <c r="U108" s="228"/>
      <c r="V108" s="245"/>
      <c r="W108" s="254"/>
      <c r="X108" s="254"/>
      <c r="Y108" s="228"/>
      <c r="Z108" s="255"/>
      <c r="AA108" s="248"/>
      <c r="AB108" s="248"/>
      <c r="AC108" s="248"/>
      <c r="AD108" s="247"/>
      <c r="AE108" s="228"/>
      <c r="AF108" s="228"/>
      <c r="AG108" s="248"/>
      <c r="AH108" s="248"/>
      <c r="AI108" s="194"/>
      <c r="AJ108" s="249"/>
      <c r="AK108" s="250"/>
      <c r="AL108" s="251"/>
      <c r="AM108" s="252"/>
      <c r="AN108" s="241"/>
      <c r="AO108" s="241"/>
      <c r="AP108" s="241"/>
      <c r="AQ108" s="194"/>
      <c r="AR108" s="195"/>
      <c r="AS108" s="195"/>
    </row>
    <row r="109" spans="2:45">
      <c r="B109" s="253"/>
      <c r="C109" s="230"/>
      <c r="D109" s="245"/>
      <c r="E109" s="230"/>
      <c r="F109" s="230"/>
      <c r="G109" s="230"/>
      <c r="H109" s="230"/>
      <c r="I109" s="228"/>
      <c r="J109" s="228"/>
      <c r="K109" s="230"/>
      <c r="L109" s="230"/>
      <c r="M109" s="246"/>
      <c r="N109" s="230"/>
      <c r="O109" s="230"/>
      <c r="P109" s="230"/>
      <c r="Q109" s="230"/>
      <c r="R109" s="256"/>
      <c r="S109" s="257"/>
      <c r="T109" s="228"/>
      <c r="U109" s="228"/>
      <c r="V109" s="245"/>
      <c r="W109" s="254"/>
      <c r="X109" s="254"/>
      <c r="Y109" s="228"/>
      <c r="Z109" s="255"/>
      <c r="AA109" s="248"/>
      <c r="AB109" s="248"/>
      <c r="AC109" s="248"/>
      <c r="AD109" s="247"/>
      <c r="AE109" s="228"/>
      <c r="AF109" s="228"/>
      <c r="AG109" s="248"/>
      <c r="AH109" s="248"/>
      <c r="AI109" s="194"/>
      <c r="AJ109" s="249"/>
      <c r="AK109" s="250"/>
      <c r="AL109" s="251"/>
      <c r="AM109" s="252"/>
      <c r="AN109" s="241"/>
      <c r="AO109" s="241"/>
      <c r="AP109" s="241"/>
      <c r="AQ109" s="194"/>
      <c r="AR109" s="195"/>
      <c r="AS109" s="195"/>
    </row>
    <row r="110" spans="2:45">
      <c r="B110" s="253"/>
      <c r="C110" s="230"/>
      <c r="D110" s="245"/>
      <c r="E110" s="230"/>
      <c r="F110" s="230"/>
      <c r="G110" s="230"/>
      <c r="H110" s="230"/>
      <c r="I110" s="228"/>
      <c r="J110" s="228"/>
      <c r="K110" s="230"/>
      <c r="L110" s="230"/>
      <c r="M110" s="246"/>
      <c r="N110" s="230"/>
      <c r="O110" s="230"/>
      <c r="P110" s="230"/>
      <c r="Q110" s="230"/>
      <c r="R110" s="256"/>
      <c r="S110" s="257"/>
      <c r="T110" s="228"/>
      <c r="U110" s="228"/>
      <c r="V110" s="245"/>
      <c r="W110" s="254"/>
      <c r="X110" s="254"/>
      <c r="Y110" s="228"/>
      <c r="Z110" s="255"/>
      <c r="AA110" s="248"/>
      <c r="AB110" s="248"/>
      <c r="AC110" s="248"/>
      <c r="AD110" s="247"/>
      <c r="AE110" s="228"/>
      <c r="AF110" s="228"/>
      <c r="AG110" s="248"/>
      <c r="AH110" s="248"/>
      <c r="AI110" s="194"/>
      <c r="AJ110" s="249"/>
      <c r="AK110" s="250"/>
      <c r="AL110" s="251"/>
      <c r="AM110" s="252"/>
      <c r="AN110" s="241"/>
      <c r="AO110" s="241"/>
      <c r="AP110" s="241"/>
      <c r="AQ110" s="194"/>
      <c r="AR110" s="195"/>
      <c r="AS110" s="195"/>
    </row>
    <row r="111" spans="2:45">
      <c r="B111" s="253"/>
      <c r="C111" s="230"/>
      <c r="D111" s="245"/>
      <c r="E111" s="230"/>
      <c r="F111" s="230"/>
      <c r="G111" s="230"/>
      <c r="H111" s="230"/>
      <c r="I111" s="228"/>
      <c r="J111" s="228"/>
      <c r="K111" s="230"/>
      <c r="L111" s="230"/>
      <c r="M111" s="246"/>
      <c r="N111" s="230"/>
      <c r="O111" s="230"/>
      <c r="P111" s="230"/>
      <c r="Q111" s="230"/>
      <c r="R111" s="256"/>
      <c r="S111" s="257"/>
      <c r="T111" s="228"/>
      <c r="U111" s="228"/>
      <c r="V111" s="245"/>
      <c r="W111" s="254"/>
      <c r="X111" s="254"/>
      <c r="Y111" s="228"/>
      <c r="Z111" s="255"/>
      <c r="AA111" s="248"/>
      <c r="AB111" s="248"/>
      <c r="AC111" s="248"/>
      <c r="AD111" s="247"/>
      <c r="AE111" s="228"/>
      <c r="AF111" s="228"/>
      <c r="AG111" s="248"/>
      <c r="AH111" s="248"/>
      <c r="AI111" s="194"/>
      <c r="AJ111" s="249"/>
      <c r="AK111" s="250"/>
      <c r="AL111" s="251"/>
      <c r="AM111" s="252"/>
      <c r="AN111" s="241"/>
      <c r="AO111" s="241"/>
      <c r="AP111" s="241"/>
      <c r="AQ111" s="194"/>
      <c r="AR111" s="195"/>
      <c r="AS111" s="195"/>
    </row>
    <row r="112" spans="2:45">
      <c r="B112" s="253"/>
      <c r="C112" s="230"/>
      <c r="D112" s="245"/>
      <c r="E112" s="230"/>
      <c r="F112" s="230"/>
      <c r="G112" s="230"/>
      <c r="H112" s="230"/>
      <c r="I112" s="228"/>
      <c r="J112" s="228"/>
      <c r="K112" s="230"/>
      <c r="L112" s="230"/>
      <c r="M112" s="246"/>
      <c r="N112" s="230"/>
      <c r="O112" s="230"/>
      <c r="P112" s="230"/>
      <c r="Q112" s="230"/>
      <c r="R112" s="256"/>
      <c r="S112" s="257"/>
      <c r="T112" s="228"/>
      <c r="U112" s="228"/>
      <c r="V112" s="245"/>
      <c r="W112" s="254"/>
      <c r="X112" s="254"/>
      <c r="Y112" s="228"/>
      <c r="Z112" s="255"/>
      <c r="AA112" s="248"/>
      <c r="AB112" s="248"/>
      <c r="AC112" s="248"/>
      <c r="AD112" s="247"/>
      <c r="AE112" s="228"/>
      <c r="AF112" s="228"/>
      <c r="AG112" s="248"/>
      <c r="AH112" s="248"/>
      <c r="AI112" s="194"/>
      <c r="AJ112" s="249"/>
      <c r="AK112" s="250"/>
      <c r="AL112" s="251"/>
      <c r="AM112" s="252"/>
      <c r="AN112" s="241"/>
      <c r="AO112" s="241"/>
      <c r="AP112" s="241"/>
      <c r="AQ112" s="194"/>
      <c r="AR112" s="195"/>
      <c r="AS112" s="195"/>
    </row>
    <row r="113" spans="2:45">
      <c r="B113" s="253"/>
      <c r="C113" s="230"/>
      <c r="D113" s="245"/>
      <c r="E113" s="230"/>
      <c r="F113" s="230"/>
      <c r="G113" s="230"/>
      <c r="H113" s="230"/>
      <c r="I113" s="228"/>
      <c r="J113" s="228"/>
      <c r="K113" s="230"/>
      <c r="L113" s="230"/>
      <c r="M113" s="246"/>
      <c r="N113" s="230"/>
      <c r="O113" s="230"/>
      <c r="P113" s="230"/>
      <c r="Q113" s="230"/>
      <c r="R113" s="256"/>
      <c r="S113" s="257"/>
      <c r="T113" s="228"/>
      <c r="U113" s="228"/>
      <c r="V113" s="245"/>
      <c r="W113" s="254"/>
      <c r="X113" s="254"/>
      <c r="Y113" s="228"/>
      <c r="Z113" s="255"/>
      <c r="AA113" s="248"/>
      <c r="AB113" s="248"/>
      <c r="AC113" s="248"/>
      <c r="AD113" s="247"/>
      <c r="AE113" s="228"/>
      <c r="AF113" s="228"/>
      <c r="AG113" s="248"/>
      <c r="AH113" s="248"/>
      <c r="AI113" s="194"/>
      <c r="AJ113" s="249"/>
      <c r="AK113" s="250"/>
      <c r="AL113" s="251"/>
      <c r="AM113" s="252"/>
      <c r="AN113" s="241"/>
      <c r="AO113" s="241"/>
      <c r="AP113" s="241"/>
      <c r="AQ113" s="194"/>
      <c r="AR113" s="195"/>
      <c r="AS113" s="195"/>
    </row>
    <row r="114" spans="2:45">
      <c r="B114" s="253"/>
      <c r="C114" s="230"/>
      <c r="D114" s="245"/>
      <c r="E114" s="230"/>
      <c r="F114" s="230"/>
      <c r="G114" s="230"/>
      <c r="H114" s="230"/>
      <c r="I114" s="228"/>
      <c r="J114" s="228"/>
      <c r="K114" s="230"/>
      <c r="L114" s="230"/>
      <c r="M114" s="246"/>
      <c r="N114" s="230"/>
      <c r="O114" s="230"/>
      <c r="P114" s="230"/>
      <c r="Q114" s="230"/>
      <c r="R114" s="256"/>
      <c r="S114" s="257"/>
      <c r="T114" s="228"/>
      <c r="U114" s="228"/>
      <c r="V114" s="245"/>
      <c r="W114" s="254"/>
      <c r="X114" s="254"/>
      <c r="Y114" s="228"/>
      <c r="Z114" s="255"/>
      <c r="AA114" s="248"/>
      <c r="AB114" s="248"/>
      <c r="AC114" s="248"/>
      <c r="AD114" s="247"/>
      <c r="AE114" s="228"/>
      <c r="AF114" s="228"/>
      <c r="AG114" s="248"/>
      <c r="AH114" s="248"/>
      <c r="AI114" s="194"/>
      <c r="AJ114" s="249"/>
      <c r="AK114" s="250"/>
      <c r="AL114" s="251"/>
      <c r="AM114" s="252"/>
      <c r="AN114" s="241"/>
      <c r="AO114" s="241"/>
      <c r="AP114" s="241"/>
      <c r="AQ114" s="194"/>
      <c r="AR114" s="195"/>
      <c r="AS114" s="195"/>
    </row>
    <row r="115" spans="2:45">
      <c r="B115" s="253"/>
      <c r="C115" s="230"/>
      <c r="D115" s="245"/>
      <c r="E115" s="230"/>
      <c r="F115" s="230"/>
      <c r="G115" s="230"/>
      <c r="H115" s="230"/>
      <c r="I115" s="228"/>
      <c r="J115" s="228"/>
      <c r="K115" s="230"/>
      <c r="L115" s="230"/>
      <c r="M115" s="246"/>
      <c r="N115" s="230"/>
      <c r="O115" s="230"/>
      <c r="P115" s="230"/>
      <c r="Q115" s="230"/>
      <c r="R115" s="256"/>
      <c r="S115" s="257"/>
      <c r="T115" s="228"/>
      <c r="U115" s="228"/>
      <c r="V115" s="245"/>
      <c r="W115" s="254"/>
      <c r="X115" s="254"/>
      <c r="Y115" s="228"/>
      <c r="Z115" s="255"/>
      <c r="AA115" s="248"/>
      <c r="AB115" s="248"/>
      <c r="AC115" s="248"/>
      <c r="AD115" s="247"/>
      <c r="AE115" s="228"/>
      <c r="AF115" s="228"/>
      <c r="AG115" s="248"/>
      <c r="AH115" s="248"/>
      <c r="AI115" s="194"/>
      <c r="AJ115" s="249"/>
      <c r="AK115" s="250"/>
      <c r="AL115" s="251"/>
      <c r="AM115" s="252"/>
      <c r="AN115" s="241"/>
      <c r="AO115" s="241"/>
      <c r="AP115" s="241"/>
      <c r="AQ115" s="194"/>
      <c r="AR115" s="195"/>
      <c r="AS115" s="195"/>
    </row>
    <row r="116" spans="2:45">
      <c r="B116" s="253"/>
      <c r="C116" s="230"/>
      <c r="D116" s="245"/>
      <c r="E116" s="230"/>
      <c r="F116" s="230"/>
      <c r="G116" s="230"/>
      <c r="H116" s="230"/>
      <c r="I116" s="228"/>
      <c r="J116" s="228"/>
      <c r="K116" s="230"/>
      <c r="L116" s="230"/>
      <c r="M116" s="246"/>
      <c r="N116" s="230"/>
      <c r="O116" s="230"/>
      <c r="P116" s="230"/>
      <c r="Q116" s="230"/>
      <c r="R116" s="256"/>
      <c r="S116" s="257"/>
      <c r="T116" s="228"/>
      <c r="U116" s="228"/>
      <c r="V116" s="245"/>
      <c r="W116" s="254"/>
      <c r="X116" s="254"/>
      <c r="Y116" s="228"/>
      <c r="Z116" s="255"/>
      <c r="AA116" s="248"/>
      <c r="AB116" s="248"/>
      <c r="AC116" s="248"/>
      <c r="AD116" s="247"/>
      <c r="AE116" s="228"/>
      <c r="AF116" s="228"/>
      <c r="AG116" s="248"/>
      <c r="AH116" s="248"/>
      <c r="AI116" s="194"/>
      <c r="AJ116" s="249"/>
      <c r="AK116" s="250"/>
      <c r="AL116" s="251"/>
      <c r="AM116" s="252"/>
      <c r="AN116" s="241"/>
      <c r="AO116" s="241"/>
      <c r="AP116" s="241"/>
      <c r="AQ116" s="194"/>
      <c r="AR116" s="195"/>
      <c r="AS116" s="195"/>
    </row>
    <row r="117" spans="2:45">
      <c r="B117" s="253"/>
      <c r="C117" s="230"/>
      <c r="D117" s="245"/>
      <c r="E117" s="230"/>
      <c r="F117" s="230"/>
      <c r="G117" s="230"/>
      <c r="H117" s="230"/>
      <c r="I117" s="228"/>
      <c r="J117" s="228"/>
      <c r="K117" s="230"/>
      <c r="L117" s="230"/>
      <c r="M117" s="246"/>
      <c r="N117" s="230"/>
      <c r="O117" s="230"/>
      <c r="P117" s="230"/>
      <c r="Q117" s="230"/>
      <c r="R117" s="256"/>
      <c r="S117" s="257"/>
      <c r="T117" s="228"/>
      <c r="U117" s="228"/>
      <c r="V117" s="245"/>
      <c r="W117" s="254"/>
      <c r="X117" s="254"/>
      <c r="Y117" s="228"/>
      <c r="Z117" s="255"/>
      <c r="AA117" s="248"/>
      <c r="AB117" s="248"/>
      <c r="AC117" s="248"/>
      <c r="AD117" s="247"/>
      <c r="AE117" s="228"/>
      <c r="AF117" s="228"/>
      <c r="AG117" s="248"/>
      <c r="AH117" s="248"/>
      <c r="AI117" s="194"/>
      <c r="AJ117" s="249"/>
      <c r="AK117" s="250"/>
      <c r="AL117" s="251"/>
      <c r="AM117" s="252"/>
      <c r="AN117" s="241"/>
      <c r="AO117" s="241"/>
      <c r="AP117" s="241"/>
      <c r="AQ117" s="194"/>
      <c r="AR117" s="195"/>
      <c r="AS117" s="195"/>
    </row>
    <row r="118" spans="2:45">
      <c r="B118" s="253"/>
      <c r="C118" s="230"/>
      <c r="D118" s="245"/>
      <c r="E118" s="230"/>
      <c r="F118" s="230"/>
      <c r="G118" s="230"/>
      <c r="H118" s="230"/>
      <c r="I118" s="228"/>
      <c r="J118" s="228"/>
      <c r="K118" s="230"/>
      <c r="L118" s="230"/>
      <c r="M118" s="246"/>
      <c r="N118" s="230"/>
      <c r="O118" s="230"/>
      <c r="P118" s="230"/>
      <c r="Q118" s="230"/>
      <c r="R118" s="256"/>
      <c r="S118" s="257"/>
      <c r="T118" s="228"/>
      <c r="U118" s="228"/>
      <c r="V118" s="245"/>
      <c r="W118" s="254"/>
      <c r="X118" s="254"/>
      <c r="Y118" s="228"/>
      <c r="Z118" s="255"/>
      <c r="AA118" s="248"/>
      <c r="AB118" s="248"/>
      <c r="AC118" s="248"/>
      <c r="AD118" s="247"/>
      <c r="AE118" s="228"/>
      <c r="AF118" s="228"/>
      <c r="AG118" s="248"/>
      <c r="AH118" s="248"/>
      <c r="AI118" s="194"/>
      <c r="AJ118" s="249"/>
      <c r="AK118" s="250"/>
      <c r="AL118" s="251"/>
      <c r="AM118" s="252"/>
      <c r="AN118" s="241"/>
      <c r="AO118" s="241"/>
      <c r="AP118" s="241"/>
      <c r="AQ118" s="194"/>
      <c r="AR118" s="195"/>
      <c r="AS118" s="195"/>
    </row>
    <row r="119" spans="2:45">
      <c r="B119" s="253"/>
      <c r="C119" s="230"/>
      <c r="D119" s="245"/>
      <c r="E119" s="230"/>
      <c r="F119" s="230"/>
      <c r="G119" s="230"/>
      <c r="H119" s="230"/>
      <c r="I119" s="228"/>
      <c r="J119" s="228"/>
      <c r="K119" s="230"/>
      <c r="L119" s="230"/>
      <c r="M119" s="246"/>
      <c r="N119" s="230"/>
      <c r="O119" s="230"/>
      <c r="P119" s="230"/>
      <c r="Q119" s="230"/>
      <c r="R119" s="256"/>
      <c r="S119" s="257"/>
      <c r="T119" s="228"/>
      <c r="U119" s="228"/>
      <c r="V119" s="245"/>
      <c r="W119" s="254"/>
      <c r="X119" s="254"/>
      <c r="Y119" s="228"/>
      <c r="Z119" s="255"/>
      <c r="AA119" s="248"/>
      <c r="AB119" s="248"/>
      <c r="AC119" s="248"/>
      <c r="AD119" s="247"/>
      <c r="AE119" s="228"/>
      <c r="AF119" s="228"/>
      <c r="AG119" s="248"/>
      <c r="AH119" s="248"/>
      <c r="AI119" s="194"/>
      <c r="AJ119" s="249"/>
      <c r="AK119" s="250"/>
      <c r="AL119" s="251"/>
      <c r="AM119" s="252"/>
      <c r="AN119" s="241"/>
      <c r="AO119" s="241"/>
      <c r="AP119" s="241"/>
      <c r="AQ119" s="194"/>
      <c r="AR119" s="195"/>
      <c r="AS119" s="195"/>
    </row>
    <row r="120" spans="2:45">
      <c r="B120" s="253"/>
      <c r="C120" s="230"/>
      <c r="D120" s="245"/>
      <c r="E120" s="230"/>
      <c r="F120" s="230"/>
      <c r="G120" s="230"/>
      <c r="H120" s="230"/>
      <c r="I120" s="228"/>
      <c r="J120" s="228"/>
      <c r="K120" s="230"/>
      <c r="L120" s="230"/>
      <c r="M120" s="246"/>
      <c r="N120" s="230"/>
      <c r="O120" s="230"/>
      <c r="P120" s="230"/>
      <c r="Q120" s="230"/>
      <c r="R120" s="256"/>
      <c r="S120" s="257"/>
      <c r="T120" s="228"/>
      <c r="U120" s="228"/>
      <c r="V120" s="245"/>
      <c r="W120" s="254"/>
      <c r="X120" s="254"/>
      <c r="Y120" s="228"/>
      <c r="Z120" s="255"/>
      <c r="AA120" s="248"/>
      <c r="AB120" s="248"/>
      <c r="AC120" s="248"/>
      <c r="AD120" s="247"/>
      <c r="AE120" s="228"/>
      <c r="AF120" s="228"/>
      <c r="AG120" s="248"/>
      <c r="AH120" s="248"/>
      <c r="AI120" s="194"/>
      <c r="AJ120" s="249"/>
      <c r="AK120" s="250"/>
      <c r="AL120" s="251"/>
      <c r="AM120" s="252"/>
      <c r="AN120" s="241"/>
      <c r="AO120" s="241"/>
      <c r="AP120" s="241"/>
      <c r="AQ120" s="194"/>
      <c r="AR120" s="195"/>
      <c r="AS120" s="195"/>
    </row>
    <row r="121" spans="2:45">
      <c r="B121" s="253"/>
      <c r="C121" s="230"/>
      <c r="D121" s="245"/>
      <c r="E121" s="230"/>
      <c r="F121" s="230"/>
      <c r="G121" s="230"/>
      <c r="H121" s="230"/>
      <c r="I121" s="228"/>
      <c r="J121" s="228"/>
      <c r="K121" s="230"/>
      <c r="L121" s="230"/>
      <c r="M121" s="246"/>
      <c r="N121" s="230"/>
      <c r="O121" s="230"/>
      <c r="P121" s="230"/>
      <c r="Q121" s="230"/>
      <c r="R121" s="256"/>
      <c r="S121" s="257"/>
      <c r="T121" s="228"/>
      <c r="U121" s="228"/>
      <c r="V121" s="245"/>
      <c r="W121" s="254"/>
      <c r="X121" s="254"/>
      <c r="Y121" s="228"/>
      <c r="Z121" s="255"/>
      <c r="AA121" s="248"/>
      <c r="AB121" s="248"/>
      <c r="AC121" s="248"/>
      <c r="AD121" s="247"/>
      <c r="AE121" s="228"/>
      <c r="AF121" s="228"/>
      <c r="AG121" s="248"/>
      <c r="AH121" s="248"/>
      <c r="AI121" s="194"/>
      <c r="AJ121" s="249"/>
      <c r="AK121" s="250"/>
      <c r="AL121" s="251"/>
      <c r="AM121" s="252"/>
      <c r="AN121" s="241"/>
      <c r="AO121" s="241"/>
      <c r="AP121" s="241"/>
      <c r="AQ121" s="194"/>
      <c r="AR121" s="195"/>
      <c r="AS121" s="195"/>
    </row>
    <row r="122" spans="2:45">
      <c r="B122" s="253"/>
      <c r="C122" s="230"/>
      <c r="D122" s="245"/>
      <c r="E122" s="230"/>
      <c r="F122" s="230"/>
      <c r="G122" s="230"/>
      <c r="H122" s="230"/>
      <c r="I122" s="228"/>
      <c r="J122" s="228"/>
      <c r="K122" s="230"/>
      <c r="L122" s="230"/>
      <c r="M122" s="246"/>
      <c r="N122" s="230"/>
      <c r="O122" s="230"/>
      <c r="P122" s="230"/>
      <c r="Q122" s="230"/>
      <c r="R122" s="256"/>
      <c r="S122" s="257"/>
      <c r="T122" s="228"/>
      <c r="U122" s="228"/>
      <c r="V122" s="245"/>
      <c r="W122" s="254"/>
      <c r="X122" s="254"/>
      <c r="Y122" s="228"/>
      <c r="Z122" s="255"/>
      <c r="AA122" s="248"/>
      <c r="AB122" s="248"/>
      <c r="AC122" s="248"/>
      <c r="AD122" s="247"/>
      <c r="AE122" s="228"/>
      <c r="AF122" s="228"/>
      <c r="AG122" s="248"/>
      <c r="AH122" s="248"/>
      <c r="AI122" s="194"/>
      <c r="AJ122" s="249"/>
      <c r="AK122" s="250"/>
      <c r="AL122" s="251"/>
      <c r="AM122" s="252"/>
      <c r="AN122" s="241"/>
      <c r="AO122" s="241"/>
      <c r="AP122" s="241"/>
      <c r="AQ122" s="194"/>
      <c r="AR122" s="195"/>
      <c r="AS122" s="195"/>
    </row>
    <row r="123" spans="2:45">
      <c r="B123" s="253"/>
      <c r="C123" s="230"/>
      <c r="D123" s="245"/>
      <c r="E123" s="230"/>
      <c r="F123" s="230"/>
      <c r="G123" s="230"/>
      <c r="H123" s="230"/>
      <c r="I123" s="228"/>
      <c r="J123" s="228"/>
      <c r="K123" s="230"/>
      <c r="L123" s="230"/>
      <c r="M123" s="246"/>
      <c r="N123" s="230"/>
      <c r="O123" s="230"/>
      <c r="P123" s="230"/>
      <c r="Q123" s="230"/>
      <c r="R123" s="256"/>
      <c r="S123" s="257"/>
      <c r="T123" s="228"/>
      <c r="U123" s="228"/>
      <c r="V123" s="245"/>
      <c r="W123" s="254"/>
      <c r="X123" s="254"/>
      <c r="Y123" s="228"/>
      <c r="Z123" s="255"/>
      <c r="AA123" s="248"/>
      <c r="AB123" s="248"/>
      <c r="AC123" s="248"/>
      <c r="AD123" s="247"/>
      <c r="AE123" s="228"/>
      <c r="AF123" s="228"/>
      <c r="AG123" s="248"/>
      <c r="AH123" s="248"/>
      <c r="AI123" s="194"/>
      <c r="AJ123" s="249"/>
      <c r="AK123" s="250"/>
      <c r="AL123" s="251"/>
      <c r="AM123" s="252"/>
      <c r="AN123" s="241"/>
      <c r="AO123" s="241"/>
      <c r="AP123" s="241"/>
      <c r="AQ123" s="194"/>
      <c r="AR123" s="195"/>
      <c r="AS123" s="195"/>
    </row>
    <row r="124" spans="2:45">
      <c r="B124" s="253"/>
      <c r="C124" s="230"/>
      <c r="D124" s="245"/>
      <c r="E124" s="230"/>
      <c r="F124" s="230"/>
      <c r="G124" s="230"/>
      <c r="H124" s="230"/>
      <c r="I124" s="228"/>
      <c r="J124" s="228"/>
      <c r="K124" s="230"/>
      <c r="L124" s="230"/>
      <c r="M124" s="246"/>
      <c r="N124" s="230"/>
      <c r="O124" s="230"/>
      <c r="P124" s="230"/>
      <c r="Q124" s="230"/>
      <c r="R124" s="256"/>
      <c r="S124" s="257"/>
      <c r="T124" s="228"/>
      <c r="U124" s="228"/>
      <c r="V124" s="245"/>
      <c r="W124" s="254"/>
      <c r="X124" s="254"/>
      <c r="Y124" s="228"/>
      <c r="Z124" s="255"/>
      <c r="AA124" s="248"/>
      <c r="AB124" s="248"/>
      <c r="AC124" s="248"/>
      <c r="AD124" s="247"/>
      <c r="AE124" s="228"/>
      <c r="AF124" s="228"/>
      <c r="AG124" s="248"/>
      <c r="AH124" s="248"/>
      <c r="AI124" s="194"/>
      <c r="AJ124" s="249"/>
      <c r="AK124" s="250"/>
      <c r="AL124" s="251"/>
      <c r="AM124" s="252"/>
      <c r="AN124" s="241"/>
      <c r="AO124" s="241"/>
      <c r="AP124" s="241"/>
      <c r="AQ124" s="194"/>
      <c r="AR124" s="195"/>
      <c r="AS124" s="195"/>
    </row>
    <row r="125" spans="2:45">
      <c r="B125" s="253"/>
      <c r="C125" s="230"/>
      <c r="D125" s="245"/>
      <c r="E125" s="230"/>
      <c r="F125" s="230"/>
      <c r="G125" s="230"/>
      <c r="H125" s="230"/>
      <c r="I125" s="228"/>
      <c r="J125" s="228"/>
      <c r="K125" s="230"/>
      <c r="L125" s="230"/>
      <c r="M125" s="246"/>
      <c r="N125" s="230"/>
      <c r="O125" s="230"/>
      <c r="P125" s="230"/>
      <c r="Q125" s="230"/>
      <c r="R125" s="256"/>
      <c r="S125" s="257"/>
      <c r="T125" s="228"/>
      <c r="U125" s="228"/>
      <c r="V125" s="245"/>
      <c r="W125" s="254"/>
      <c r="X125" s="254"/>
      <c r="Y125" s="228"/>
      <c r="Z125" s="255"/>
      <c r="AA125" s="248"/>
      <c r="AB125" s="248"/>
      <c r="AC125" s="248"/>
      <c r="AD125" s="247"/>
      <c r="AE125" s="228"/>
      <c r="AF125" s="228"/>
      <c r="AG125" s="248"/>
      <c r="AH125" s="248"/>
      <c r="AI125" s="194"/>
      <c r="AJ125" s="249"/>
      <c r="AK125" s="250"/>
      <c r="AL125" s="251"/>
      <c r="AM125" s="252"/>
      <c r="AN125" s="241"/>
      <c r="AO125" s="241"/>
      <c r="AP125" s="241"/>
      <c r="AQ125" s="194"/>
      <c r="AR125" s="195"/>
      <c r="AS125" s="195"/>
    </row>
    <row r="126" spans="2:45">
      <c r="B126" s="253"/>
      <c r="C126" s="230"/>
      <c r="D126" s="245"/>
      <c r="E126" s="230"/>
      <c r="F126" s="230"/>
      <c r="G126" s="230"/>
      <c r="H126" s="230"/>
      <c r="I126" s="228"/>
      <c r="J126" s="228"/>
      <c r="K126" s="230"/>
      <c r="L126" s="230"/>
      <c r="M126" s="246"/>
      <c r="N126" s="230"/>
      <c r="O126" s="230"/>
      <c r="P126" s="230"/>
      <c r="Q126" s="230"/>
      <c r="R126" s="256"/>
      <c r="S126" s="257"/>
      <c r="T126" s="228"/>
      <c r="U126" s="228"/>
      <c r="V126" s="245"/>
      <c r="W126" s="254"/>
      <c r="X126" s="254"/>
      <c r="Y126" s="228"/>
      <c r="Z126" s="255"/>
      <c r="AA126" s="248"/>
      <c r="AB126" s="248"/>
      <c r="AC126" s="248"/>
      <c r="AD126" s="247"/>
      <c r="AE126" s="228"/>
      <c r="AF126" s="228"/>
      <c r="AG126" s="248"/>
      <c r="AH126" s="248"/>
      <c r="AI126" s="194"/>
      <c r="AJ126" s="249"/>
      <c r="AK126" s="250"/>
      <c r="AL126" s="251"/>
      <c r="AM126" s="252"/>
      <c r="AN126" s="241"/>
      <c r="AO126" s="241"/>
      <c r="AP126" s="241"/>
      <c r="AQ126" s="194"/>
      <c r="AR126" s="195"/>
      <c r="AS126" s="195"/>
    </row>
    <row r="127" spans="2:45">
      <c r="B127" s="253"/>
      <c r="C127" s="230"/>
      <c r="D127" s="245"/>
      <c r="E127" s="230"/>
      <c r="F127" s="230"/>
      <c r="G127" s="230"/>
      <c r="H127" s="230"/>
      <c r="I127" s="228"/>
      <c r="J127" s="228"/>
      <c r="K127" s="230"/>
      <c r="L127" s="230"/>
      <c r="M127" s="246"/>
      <c r="N127" s="230"/>
      <c r="O127" s="230"/>
      <c r="P127" s="230"/>
      <c r="Q127" s="230"/>
      <c r="R127" s="256"/>
      <c r="S127" s="257"/>
      <c r="T127" s="228"/>
      <c r="U127" s="228"/>
      <c r="V127" s="245"/>
      <c r="W127" s="254"/>
      <c r="X127" s="254"/>
      <c r="Y127" s="228"/>
      <c r="Z127" s="255"/>
      <c r="AA127" s="248"/>
      <c r="AB127" s="248"/>
      <c r="AC127" s="248"/>
      <c r="AD127" s="247"/>
      <c r="AE127" s="228"/>
      <c r="AF127" s="228"/>
      <c r="AG127" s="248"/>
      <c r="AH127" s="248"/>
      <c r="AI127" s="194"/>
      <c r="AJ127" s="249"/>
      <c r="AK127" s="250"/>
      <c r="AL127" s="251"/>
      <c r="AM127" s="252"/>
      <c r="AN127" s="241"/>
      <c r="AO127" s="241"/>
      <c r="AP127" s="241"/>
      <c r="AQ127" s="194"/>
      <c r="AR127" s="195"/>
      <c r="AS127" s="195"/>
    </row>
    <row r="128" spans="2:45">
      <c r="B128" s="253"/>
      <c r="C128" s="230"/>
      <c r="D128" s="245"/>
      <c r="E128" s="230"/>
      <c r="F128" s="230"/>
      <c r="G128" s="230"/>
      <c r="H128" s="230"/>
      <c r="I128" s="228"/>
      <c r="J128" s="228"/>
      <c r="K128" s="230"/>
      <c r="L128" s="230"/>
      <c r="M128" s="246"/>
      <c r="N128" s="230"/>
      <c r="O128" s="230"/>
      <c r="P128" s="230"/>
      <c r="Q128" s="230"/>
      <c r="R128" s="256"/>
      <c r="S128" s="257"/>
      <c r="T128" s="228"/>
      <c r="U128" s="228"/>
      <c r="V128" s="245"/>
      <c r="W128" s="254"/>
      <c r="X128" s="254"/>
      <c r="Y128" s="228"/>
      <c r="Z128" s="255"/>
      <c r="AA128" s="248"/>
      <c r="AB128" s="248"/>
      <c r="AC128" s="248"/>
      <c r="AD128" s="247"/>
      <c r="AE128" s="228"/>
      <c r="AF128" s="228"/>
      <c r="AG128" s="248"/>
      <c r="AH128" s="248"/>
      <c r="AI128" s="194"/>
      <c r="AJ128" s="249"/>
      <c r="AK128" s="250"/>
      <c r="AL128" s="251"/>
      <c r="AM128" s="252"/>
      <c r="AN128" s="241"/>
      <c r="AO128" s="241"/>
      <c r="AP128" s="241"/>
      <c r="AQ128" s="194"/>
      <c r="AR128" s="195"/>
      <c r="AS128" s="195"/>
    </row>
    <row r="129" spans="2:45">
      <c r="B129" s="253"/>
      <c r="C129" s="230"/>
      <c r="D129" s="245"/>
      <c r="E129" s="230"/>
      <c r="F129" s="230"/>
      <c r="G129" s="230"/>
      <c r="H129" s="230"/>
      <c r="I129" s="228"/>
      <c r="J129" s="228"/>
      <c r="K129" s="230"/>
      <c r="L129" s="230"/>
      <c r="M129" s="246"/>
      <c r="N129" s="230"/>
      <c r="O129" s="230"/>
      <c r="P129" s="230"/>
      <c r="Q129" s="230"/>
      <c r="R129" s="256"/>
      <c r="S129" s="257"/>
      <c r="T129" s="228"/>
      <c r="U129" s="228"/>
      <c r="V129" s="245"/>
      <c r="W129" s="254"/>
      <c r="X129" s="254"/>
      <c r="Y129" s="228"/>
      <c r="Z129" s="255"/>
      <c r="AA129" s="248"/>
      <c r="AB129" s="248"/>
      <c r="AC129" s="248"/>
      <c r="AD129" s="247"/>
      <c r="AE129" s="228"/>
      <c r="AF129" s="228"/>
      <c r="AG129" s="248"/>
      <c r="AH129" s="248"/>
      <c r="AI129" s="194"/>
      <c r="AJ129" s="249"/>
      <c r="AK129" s="250"/>
      <c r="AL129" s="251"/>
      <c r="AM129" s="252"/>
      <c r="AN129" s="241"/>
      <c r="AO129" s="241"/>
      <c r="AP129" s="241"/>
      <c r="AQ129" s="194"/>
      <c r="AR129" s="195"/>
      <c r="AS129" s="195"/>
    </row>
    <row r="130" spans="2:45">
      <c r="B130" s="253"/>
      <c r="C130" s="230"/>
      <c r="D130" s="245"/>
      <c r="E130" s="230"/>
      <c r="F130" s="230"/>
      <c r="G130" s="230"/>
      <c r="H130" s="230"/>
      <c r="I130" s="228"/>
      <c r="J130" s="228"/>
      <c r="K130" s="230"/>
      <c r="L130" s="230"/>
      <c r="M130" s="246"/>
      <c r="N130" s="230"/>
      <c r="O130" s="230"/>
      <c r="P130" s="230"/>
      <c r="Q130" s="230"/>
      <c r="R130" s="256"/>
      <c r="S130" s="257"/>
      <c r="T130" s="228"/>
      <c r="U130" s="228"/>
      <c r="V130" s="245"/>
      <c r="W130" s="254"/>
      <c r="X130" s="254"/>
      <c r="Y130" s="228"/>
      <c r="Z130" s="255"/>
      <c r="AA130" s="248"/>
      <c r="AB130" s="248"/>
      <c r="AC130" s="248"/>
      <c r="AD130" s="247"/>
      <c r="AE130" s="228"/>
      <c r="AF130" s="228"/>
      <c r="AG130" s="248"/>
      <c r="AH130" s="248"/>
      <c r="AI130" s="194"/>
      <c r="AJ130" s="249"/>
      <c r="AK130" s="250"/>
      <c r="AL130" s="251"/>
      <c r="AM130" s="252"/>
      <c r="AN130" s="241"/>
      <c r="AO130" s="241"/>
      <c r="AP130" s="241"/>
      <c r="AQ130" s="194"/>
      <c r="AR130" s="195"/>
      <c r="AS130" s="195"/>
    </row>
    <row r="131" spans="2:45">
      <c r="B131" s="253"/>
      <c r="C131" s="230"/>
      <c r="D131" s="245"/>
      <c r="E131" s="230"/>
      <c r="F131" s="230"/>
      <c r="G131" s="230"/>
      <c r="H131" s="230"/>
      <c r="I131" s="228"/>
      <c r="J131" s="228"/>
      <c r="K131" s="230"/>
      <c r="L131" s="230"/>
      <c r="M131" s="246"/>
      <c r="N131" s="230"/>
      <c r="O131" s="230"/>
      <c r="P131" s="230"/>
      <c r="Q131" s="230"/>
      <c r="R131" s="256"/>
      <c r="S131" s="257"/>
      <c r="T131" s="228"/>
      <c r="U131" s="228"/>
      <c r="V131" s="245"/>
      <c r="W131" s="254"/>
      <c r="X131" s="254"/>
      <c r="Y131" s="228"/>
      <c r="Z131" s="255"/>
      <c r="AA131" s="248"/>
      <c r="AB131" s="248"/>
      <c r="AC131" s="248"/>
      <c r="AD131" s="247"/>
      <c r="AE131" s="228"/>
      <c r="AF131" s="228"/>
      <c r="AG131" s="248"/>
      <c r="AH131" s="248"/>
      <c r="AI131" s="194"/>
      <c r="AJ131" s="249"/>
      <c r="AK131" s="250"/>
      <c r="AL131" s="251"/>
      <c r="AM131" s="252"/>
      <c r="AN131" s="241"/>
      <c r="AO131" s="241"/>
      <c r="AP131" s="241"/>
      <c r="AQ131" s="194"/>
      <c r="AR131" s="195"/>
      <c r="AS131" s="195"/>
    </row>
    <row r="132" spans="2:45">
      <c r="B132" s="253"/>
      <c r="C132" s="230"/>
      <c r="D132" s="245"/>
      <c r="E132" s="230"/>
      <c r="F132" s="230"/>
      <c r="G132" s="230"/>
      <c r="H132" s="230"/>
      <c r="I132" s="228"/>
      <c r="J132" s="228"/>
      <c r="K132" s="230"/>
      <c r="L132" s="230"/>
      <c r="M132" s="246"/>
      <c r="N132" s="230"/>
      <c r="O132" s="230"/>
      <c r="P132" s="230"/>
      <c r="Q132" s="230"/>
      <c r="R132" s="256"/>
      <c r="S132" s="257"/>
      <c r="T132" s="228"/>
      <c r="U132" s="228"/>
      <c r="V132" s="245"/>
      <c r="W132" s="254"/>
      <c r="X132" s="254"/>
      <c r="Y132" s="228"/>
      <c r="Z132" s="255"/>
      <c r="AA132" s="248"/>
      <c r="AB132" s="248"/>
      <c r="AC132" s="248"/>
      <c r="AD132" s="247"/>
      <c r="AE132" s="228"/>
      <c r="AF132" s="228"/>
      <c r="AG132" s="248"/>
      <c r="AH132" s="248"/>
      <c r="AI132" s="194"/>
      <c r="AJ132" s="249"/>
      <c r="AK132" s="250"/>
      <c r="AL132" s="251"/>
      <c r="AM132" s="252"/>
      <c r="AN132" s="241"/>
      <c r="AO132" s="241"/>
      <c r="AP132" s="241"/>
      <c r="AQ132" s="194"/>
      <c r="AR132" s="195"/>
      <c r="AS132" s="195"/>
    </row>
    <row r="133" spans="2:45">
      <c r="B133" s="253"/>
      <c r="C133" s="230"/>
      <c r="D133" s="245"/>
      <c r="E133" s="230"/>
      <c r="F133" s="230"/>
      <c r="G133" s="230"/>
      <c r="H133" s="230"/>
      <c r="I133" s="228"/>
      <c r="J133" s="228"/>
      <c r="K133" s="230"/>
      <c r="L133" s="230"/>
      <c r="M133" s="246"/>
      <c r="N133" s="230"/>
      <c r="O133" s="230"/>
      <c r="P133" s="230"/>
      <c r="Q133" s="230"/>
      <c r="R133" s="256"/>
      <c r="S133" s="257"/>
      <c r="T133" s="228"/>
      <c r="U133" s="228"/>
      <c r="V133" s="245"/>
      <c r="W133" s="254"/>
      <c r="X133" s="254"/>
      <c r="Y133" s="228"/>
      <c r="Z133" s="255"/>
      <c r="AA133" s="248"/>
      <c r="AB133" s="248"/>
      <c r="AC133" s="248"/>
      <c r="AD133" s="247"/>
      <c r="AE133" s="228"/>
      <c r="AF133" s="228"/>
      <c r="AG133" s="248"/>
      <c r="AH133" s="248"/>
      <c r="AI133" s="194"/>
      <c r="AJ133" s="249"/>
      <c r="AK133" s="250"/>
      <c r="AL133" s="251"/>
      <c r="AM133" s="252"/>
      <c r="AN133" s="241"/>
      <c r="AO133" s="241"/>
      <c r="AP133" s="241"/>
      <c r="AQ133" s="194"/>
      <c r="AR133" s="195"/>
      <c r="AS133" s="195"/>
    </row>
    <row r="134" spans="2:45">
      <c r="B134" s="253"/>
      <c r="C134" s="230"/>
      <c r="D134" s="245"/>
      <c r="E134" s="230"/>
      <c r="F134" s="230"/>
      <c r="G134" s="230"/>
      <c r="H134" s="230"/>
      <c r="I134" s="228"/>
      <c r="J134" s="228"/>
      <c r="K134" s="230"/>
      <c r="L134" s="230"/>
      <c r="M134" s="246"/>
      <c r="N134" s="230"/>
      <c r="O134" s="230"/>
      <c r="P134" s="230"/>
      <c r="Q134" s="230"/>
      <c r="R134" s="256"/>
      <c r="S134" s="257"/>
      <c r="T134" s="228"/>
      <c r="U134" s="228"/>
      <c r="V134" s="245"/>
      <c r="W134" s="254"/>
      <c r="X134" s="254"/>
      <c r="Y134" s="228"/>
      <c r="Z134" s="255"/>
      <c r="AA134" s="248"/>
      <c r="AB134" s="248"/>
      <c r="AC134" s="248"/>
      <c r="AD134" s="247"/>
      <c r="AE134" s="228"/>
      <c r="AF134" s="228"/>
      <c r="AG134" s="248"/>
      <c r="AH134" s="248"/>
      <c r="AI134" s="194"/>
      <c r="AJ134" s="249"/>
      <c r="AK134" s="250"/>
      <c r="AL134" s="251"/>
      <c r="AM134" s="252"/>
      <c r="AN134" s="241"/>
      <c r="AO134" s="241"/>
      <c r="AP134" s="241"/>
      <c r="AQ134" s="194"/>
      <c r="AR134" s="195"/>
      <c r="AS134" s="195"/>
    </row>
    <row r="135" spans="2:45">
      <c r="B135" s="253"/>
      <c r="C135" s="230"/>
      <c r="D135" s="245"/>
      <c r="E135" s="230"/>
      <c r="F135" s="230"/>
      <c r="G135" s="230"/>
      <c r="H135" s="230"/>
      <c r="I135" s="228"/>
      <c r="J135" s="228"/>
      <c r="K135" s="230"/>
      <c r="L135" s="230"/>
      <c r="M135" s="246"/>
      <c r="N135" s="230"/>
      <c r="O135" s="230"/>
      <c r="P135" s="230"/>
      <c r="Q135" s="230"/>
      <c r="R135" s="256"/>
      <c r="S135" s="257"/>
      <c r="T135" s="228"/>
      <c r="U135" s="228"/>
      <c r="V135" s="245"/>
      <c r="W135" s="254"/>
      <c r="X135" s="254"/>
      <c r="Y135" s="228"/>
      <c r="Z135" s="255"/>
      <c r="AA135" s="248"/>
      <c r="AB135" s="248"/>
      <c r="AC135" s="248"/>
      <c r="AD135" s="247"/>
      <c r="AE135" s="228"/>
      <c r="AF135" s="228"/>
      <c r="AG135" s="248"/>
      <c r="AH135" s="248"/>
      <c r="AI135" s="194"/>
      <c r="AJ135" s="249"/>
      <c r="AK135" s="250"/>
      <c r="AL135" s="251"/>
      <c r="AM135" s="252"/>
      <c r="AN135" s="241"/>
      <c r="AO135" s="241"/>
      <c r="AP135" s="241"/>
      <c r="AQ135" s="194"/>
      <c r="AR135" s="195"/>
      <c r="AS135" s="195"/>
    </row>
    <row r="136" spans="2:45">
      <c r="B136" s="253"/>
      <c r="C136" s="230"/>
      <c r="D136" s="245"/>
      <c r="E136" s="230"/>
      <c r="F136" s="230"/>
      <c r="G136" s="230"/>
      <c r="H136" s="230"/>
      <c r="I136" s="228"/>
      <c r="J136" s="228"/>
      <c r="K136" s="230"/>
      <c r="L136" s="230"/>
      <c r="M136" s="246"/>
      <c r="N136" s="230"/>
      <c r="O136" s="230"/>
      <c r="P136" s="230"/>
      <c r="Q136" s="230"/>
      <c r="R136" s="256"/>
      <c r="S136" s="257"/>
      <c r="T136" s="228"/>
      <c r="U136" s="228"/>
      <c r="V136" s="245"/>
      <c r="W136" s="254"/>
      <c r="X136" s="254"/>
      <c r="Y136" s="228"/>
      <c r="Z136" s="255"/>
      <c r="AA136" s="248"/>
      <c r="AB136" s="248"/>
      <c r="AC136" s="248"/>
      <c r="AD136" s="247"/>
      <c r="AE136" s="228"/>
      <c r="AF136" s="228"/>
      <c r="AG136" s="248"/>
      <c r="AH136" s="248"/>
      <c r="AI136" s="194"/>
      <c r="AJ136" s="249"/>
      <c r="AK136" s="250"/>
      <c r="AL136" s="251"/>
      <c r="AM136" s="252"/>
      <c r="AN136" s="241"/>
      <c r="AO136" s="241"/>
      <c r="AP136" s="241"/>
      <c r="AQ136" s="194"/>
      <c r="AR136" s="195"/>
      <c r="AS136" s="195"/>
    </row>
    <row r="137" spans="2:45">
      <c r="B137" s="253"/>
      <c r="C137" s="230"/>
      <c r="D137" s="245"/>
      <c r="E137" s="230"/>
      <c r="F137" s="230"/>
      <c r="G137" s="230"/>
      <c r="H137" s="230"/>
      <c r="I137" s="228"/>
      <c r="J137" s="228"/>
      <c r="K137" s="230"/>
      <c r="L137" s="230"/>
      <c r="M137" s="246"/>
      <c r="N137" s="230"/>
      <c r="O137" s="230"/>
      <c r="P137" s="230"/>
      <c r="Q137" s="230"/>
      <c r="R137" s="256"/>
      <c r="S137" s="257"/>
      <c r="T137" s="228"/>
      <c r="U137" s="228"/>
      <c r="V137" s="245"/>
      <c r="W137" s="254"/>
      <c r="X137" s="254"/>
      <c r="Y137" s="228"/>
      <c r="Z137" s="255"/>
      <c r="AA137" s="248"/>
      <c r="AB137" s="248"/>
      <c r="AC137" s="248"/>
      <c r="AD137" s="247"/>
      <c r="AE137" s="228"/>
      <c r="AF137" s="228"/>
      <c r="AG137" s="248"/>
      <c r="AH137" s="248"/>
      <c r="AI137" s="194"/>
      <c r="AJ137" s="249"/>
      <c r="AK137" s="250"/>
      <c r="AL137" s="251"/>
      <c r="AM137" s="252"/>
      <c r="AN137" s="241"/>
      <c r="AO137" s="241"/>
      <c r="AP137" s="241"/>
      <c r="AQ137" s="194"/>
      <c r="AR137" s="195"/>
      <c r="AS137" s="195"/>
    </row>
    <row r="138" spans="2:45">
      <c r="B138" s="253"/>
      <c r="C138" s="230"/>
      <c r="D138" s="245"/>
      <c r="E138" s="230"/>
      <c r="F138" s="230"/>
      <c r="G138" s="230"/>
      <c r="H138" s="230"/>
      <c r="I138" s="228"/>
      <c r="J138" s="228"/>
      <c r="K138" s="230"/>
      <c r="L138" s="230"/>
      <c r="M138" s="246"/>
      <c r="N138" s="230"/>
      <c r="O138" s="230"/>
      <c r="P138" s="230"/>
      <c r="Q138" s="230"/>
      <c r="R138" s="256"/>
      <c r="S138" s="257"/>
      <c r="T138" s="228"/>
      <c r="U138" s="228"/>
      <c r="V138" s="245"/>
      <c r="W138" s="254"/>
      <c r="X138" s="254"/>
      <c r="Y138" s="228"/>
      <c r="Z138" s="255"/>
      <c r="AA138" s="248"/>
      <c r="AB138" s="248"/>
      <c r="AC138" s="248"/>
      <c r="AD138" s="247"/>
      <c r="AE138" s="228"/>
      <c r="AF138" s="228"/>
      <c r="AG138" s="248"/>
      <c r="AH138" s="248"/>
      <c r="AI138" s="194"/>
      <c r="AJ138" s="249"/>
      <c r="AK138" s="250"/>
      <c r="AL138" s="251"/>
      <c r="AM138" s="252"/>
      <c r="AN138" s="241"/>
      <c r="AO138" s="241"/>
      <c r="AP138" s="241"/>
      <c r="AQ138" s="194"/>
      <c r="AR138" s="195"/>
      <c r="AS138" s="195"/>
    </row>
    <row r="139" spans="2:45">
      <c r="B139" s="253"/>
      <c r="C139" s="230"/>
      <c r="D139" s="245"/>
      <c r="E139" s="230"/>
      <c r="F139" s="230"/>
      <c r="G139" s="230"/>
      <c r="H139" s="230"/>
      <c r="I139" s="228"/>
      <c r="J139" s="228"/>
      <c r="K139" s="230"/>
      <c r="L139" s="230"/>
      <c r="M139" s="246"/>
      <c r="N139" s="230"/>
      <c r="O139" s="230"/>
      <c r="P139" s="230"/>
      <c r="Q139" s="230"/>
      <c r="R139" s="256"/>
      <c r="S139" s="257"/>
      <c r="T139" s="228"/>
      <c r="U139" s="228"/>
      <c r="V139" s="245"/>
      <c r="W139" s="254"/>
      <c r="X139" s="254"/>
      <c r="Y139" s="228"/>
      <c r="Z139" s="255"/>
      <c r="AA139" s="248"/>
      <c r="AB139" s="248"/>
      <c r="AC139" s="248"/>
      <c r="AD139" s="247"/>
      <c r="AE139" s="228"/>
      <c r="AF139" s="228"/>
      <c r="AG139" s="248"/>
      <c r="AH139" s="248"/>
      <c r="AI139" s="194"/>
      <c r="AJ139" s="249"/>
      <c r="AK139" s="250"/>
      <c r="AL139" s="251"/>
      <c r="AM139" s="252"/>
      <c r="AN139" s="241"/>
      <c r="AO139" s="241"/>
      <c r="AP139" s="241"/>
      <c r="AQ139" s="194"/>
      <c r="AR139" s="195"/>
      <c r="AS139" s="195"/>
    </row>
    <row r="140" spans="2:45">
      <c r="B140" s="253"/>
      <c r="C140" s="230"/>
      <c r="D140" s="245"/>
      <c r="E140" s="230"/>
      <c r="F140" s="230"/>
      <c r="G140" s="230"/>
      <c r="H140" s="230"/>
      <c r="I140" s="228"/>
      <c r="J140" s="228"/>
      <c r="K140" s="230"/>
      <c r="L140" s="230"/>
      <c r="M140" s="246"/>
      <c r="N140" s="230"/>
      <c r="O140" s="230"/>
      <c r="P140" s="230"/>
      <c r="Q140" s="230"/>
      <c r="R140" s="256"/>
      <c r="S140" s="257"/>
      <c r="T140" s="228"/>
      <c r="U140" s="228"/>
      <c r="V140" s="245"/>
      <c r="W140" s="254"/>
      <c r="X140" s="254"/>
      <c r="Y140" s="228"/>
      <c r="Z140" s="255"/>
      <c r="AA140" s="248"/>
      <c r="AB140" s="248"/>
      <c r="AC140" s="248"/>
      <c r="AD140" s="247"/>
      <c r="AE140" s="228"/>
      <c r="AF140" s="228"/>
      <c r="AG140" s="248"/>
      <c r="AH140" s="248"/>
      <c r="AI140" s="194"/>
      <c r="AJ140" s="249"/>
      <c r="AK140" s="250"/>
      <c r="AL140" s="251"/>
      <c r="AM140" s="252"/>
      <c r="AN140" s="241"/>
      <c r="AO140" s="241"/>
      <c r="AP140" s="241"/>
      <c r="AQ140" s="194"/>
      <c r="AR140" s="195"/>
      <c r="AS140" s="195"/>
    </row>
    <row r="141" spans="2:45">
      <c r="B141" s="253"/>
      <c r="C141" s="230"/>
      <c r="D141" s="245"/>
      <c r="E141" s="230"/>
      <c r="F141" s="230"/>
      <c r="G141" s="230"/>
      <c r="H141" s="230"/>
      <c r="I141" s="228"/>
      <c r="J141" s="228"/>
      <c r="K141" s="230"/>
      <c r="L141" s="230"/>
      <c r="M141" s="246"/>
      <c r="N141" s="230"/>
      <c r="O141" s="230"/>
      <c r="P141" s="230"/>
      <c r="Q141" s="230"/>
      <c r="R141" s="256"/>
      <c r="S141" s="257"/>
      <c r="T141" s="228"/>
      <c r="U141" s="228"/>
      <c r="V141" s="245"/>
      <c r="W141" s="254"/>
      <c r="X141" s="254"/>
      <c r="Y141" s="228"/>
      <c r="Z141" s="255"/>
      <c r="AA141" s="248"/>
      <c r="AB141" s="248"/>
      <c r="AC141" s="248"/>
      <c r="AD141" s="247"/>
      <c r="AE141" s="228"/>
      <c r="AF141" s="228"/>
      <c r="AG141" s="248"/>
      <c r="AH141" s="248"/>
      <c r="AI141" s="194"/>
      <c r="AJ141" s="249"/>
      <c r="AK141" s="250"/>
      <c r="AL141" s="251"/>
      <c r="AM141" s="252"/>
      <c r="AN141" s="241"/>
      <c r="AO141" s="241"/>
      <c r="AP141" s="241"/>
      <c r="AQ141" s="194"/>
      <c r="AR141" s="195"/>
      <c r="AS141" s="195"/>
    </row>
    <row r="142" spans="2:45">
      <c r="B142" s="253"/>
      <c r="C142" s="230"/>
      <c r="D142" s="245"/>
      <c r="E142" s="230"/>
      <c r="F142" s="230"/>
      <c r="G142" s="230"/>
      <c r="H142" s="230"/>
      <c r="I142" s="228"/>
      <c r="J142" s="228"/>
      <c r="K142" s="230"/>
      <c r="L142" s="230"/>
      <c r="M142" s="246"/>
      <c r="N142" s="230"/>
      <c r="O142" s="230"/>
      <c r="P142" s="230"/>
      <c r="Q142" s="230"/>
      <c r="R142" s="256"/>
      <c r="S142" s="257"/>
      <c r="T142" s="228"/>
      <c r="U142" s="228"/>
      <c r="V142" s="245"/>
      <c r="W142" s="254"/>
      <c r="X142" s="254"/>
      <c r="Y142" s="228"/>
      <c r="Z142" s="255"/>
      <c r="AA142" s="248"/>
      <c r="AB142" s="248"/>
      <c r="AC142" s="248"/>
      <c r="AD142" s="247"/>
      <c r="AE142" s="228"/>
      <c r="AF142" s="228"/>
      <c r="AG142" s="248"/>
      <c r="AH142" s="248"/>
      <c r="AI142" s="194"/>
      <c r="AJ142" s="249"/>
      <c r="AK142" s="250"/>
      <c r="AL142" s="251"/>
      <c r="AM142" s="252"/>
      <c r="AN142" s="241"/>
      <c r="AO142" s="241"/>
      <c r="AP142" s="241"/>
      <c r="AQ142" s="194"/>
      <c r="AR142" s="195"/>
      <c r="AS142" s="195"/>
    </row>
    <row r="143" spans="2:45">
      <c r="B143" s="253"/>
      <c r="C143" s="230"/>
      <c r="D143" s="245"/>
      <c r="E143" s="230"/>
      <c r="F143" s="230"/>
      <c r="G143" s="230"/>
      <c r="H143" s="230"/>
      <c r="I143" s="228"/>
      <c r="J143" s="228"/>
      <c r="K143" s="230"/>
      <c r="L143" s="230"/>
      <c r="M143" s="246"/>
      <c r="N143" s="230"/>
      <c r="O143" s="230"/>
      <c r="P143" s="230"/>
      <c r="Q143" s="230"/>
      <c r="R143" s="256"/>
      <c r="S143" s="257"/>
      <c r="T143" s="228"/>
      <c r="U143" s="228"/>
      <c r="V143" s="245"/>
      <c r="W143" s="254"/>
      <c r="X143" s="254"/>
      <c r="Y143" s="228"/>
      <c r="Z143" s="255"/>
      <c r="AA143" s="248"/>
      <c r="AB143" s="248"/>
      <c r="AC143" s="248"/>
      <c r="AD143" s="247"/>
      <c r="AE143" s="228"/>
      <c r="AF143" s="228"/>
      <c r="AG143" s="248"/>
      <c r="AH143" s="248"/>
      <c r="AI143" s="194"/>
      <c r="AJ143" s="249"/>
      <c r="AK143" s="250"/>
      <c r="AL143" s="251"/>
      <c r="AM143" s="252"/>
      <c r="AN143" s="241"/>
      <c r="AO143" s="241"/>
      <c r="AP143" s="241"/>
      <c r="AQ143" s="194"/>
      <c r="AR143" s="195"/>
      <c r="AS143" s="195"/>
    </row>
    <row r="144" spans="2:45">
      <c r="B144" s="253"/>
      <c r="C144" s="230"/>
      <c r="D144" s="245"/>
      <c r="E144" s="230"/>
      <c r="F144" s="230"/>
      <c r="G144" s="230"/>
      <c r="H144" s="230"/>
      <c r="I144" s="228"/>
      <c r="J144" s="228"/>
      <c r="K144" s="230"/>
      <c r="L144" s="230"/>
      <c r="M144" s="246"/>
      <c r="N144" s="230"/>
      <c r="O144" s="230"/>
      <c r="P144" s="230"/>
      <c r="Q144" s="230"/>
      <c r="R144" s="256"/>
      <c r="S144" s="257"/>
      <c r="T144" s="228"/>
      <c r="U144" s="228"/>
      <c r="V144" s="245"/>
      <c r="W144" s="254"/>
      <c r="X144" s="254"/>
      <c r="Y144" s="228"/>
      <c r="Z144" s="255"/>
      <c r="AA144" s="248"/>
      <c r="AB144" s="248"/>
      <c r="AC144" s="248"/>
      <c r="AD144" s="247"/>
      <c r="AE144" s="228"/>
      <c r="AF144" s="228"/>
      <c r="AG144" s="248"/>
      <c r="AH144" s="248"/>
      <c r="AI144" s="194"/>
      <c r="AJ144" s="249"/>
      <c r="AK144" s="250"/>
      <c r="AL144" s="251"/>
      <c r="AM144" s="252"/>
      <c r="AN144" s="241"/>
      <c r="AO144" s="241"/>
      <c r="AP144" s="241"/>
      <c r="AQ144" s="194"/>
      <c r="AR144" s="195"/>
      <c r="AS144" s="195"/>
    </row>
    <row r="145" spans="2:45">
      <c r="B145" s="253"/>
      <c r="C145" s="230"/>
      <c r="D145" s="245"/>
      <c r="E145" s="230"/>
      <c r="F145" s="230"/>
      <c r="G145" s="230"/>
      <c r="H145" s="230"/>
      <c r="I145" s="228"/>
      <c r="J145" s="228"/>
      <c r="K145" s="230"/>
      <c r="L145" s="230"/>
      <c r="M145" s="246"/>
      <c r="N145" s="230"/>
      <c r="O145" s="230"/>
      <c r="P145" s="230"/>
      <c r="Q145" s="230"/>
      <c r="R145" s="256"/>
      <c r="S145" s="257"/>
      <c r="T145" s="228"/>
      <c r="U145" s="228"/>
      <c r="V145" s="245"/>
      <c r="W145" s="254"/>
      <c r="X145" s="254"/>
      <c r="Y145" s="228"/>
      <c r="Z145" s="255"/>
      <c r="AA145" s="248"/>
      <c r="AB145" s="248"/>
      <c r="AC145" s="248"/>
      <c r="AD145" s="247"/>
      <c r="AE145" s="228"/>
      <c r="AF145" s="228"/>
      <c r="AG145" s="248"/>
      <c r="AH145" s="248"/>
      <c r="AI145" s="194"/>
      <c r="AJ145" s="249"/>
      <c r="AK145" s="250"/>
      <c r="AL145" s="251"/>
      <c r="AM145" s="252"/>
      <c r="AN145" s="241"/>
      <c r="AO145" s="241"/>
      <c r="AP145" s="241"/>
      <c r="AQ145" s="194"/>
      <c r="AR145" s="195"/>
      <c r="AS145" s="195"/>
    </row>
    <row r="146" spans="2:45">
      <c r="B146" s="253"/>
      <c r="C146" s="230"/>
      <c r="D146" s="245"/>
      <c r="E146" s="230"/>
      <c r="F146" s="230"/>
      <c r="G146" s="230"/>
      <c r="H146" s="230"/>
      <c r="I146" s="228"/>
      <c r="J146" s="228"/>
      <c r="K146" s="230"/>
      <c r="L146" s="230"/>
      <c r="M146" s="246"/>
      <c r="N146" s="230"/>
      <c r="O146" s="230"/>
      <c r="P146" s="230"/>
      <c r="Q146" s="230"/>
      <c r="R146" s="256"/>
      <c r="S146" s="257"/>
      <c r="T146" s="228"/>
      <c r="U146" s="228"/>
      <c r="V146" s="245"/>
      <c r="W146" s="254"/>
      <c r="X146" s="254"/>
      <c r="Y146" s="228"/>
      <c r="Z146" s="255"/>
      <c r="AA146" s="248"/>
      <c r="AB146" s="248"/>
      <c r="AC146" s="248"/>
      <c r="AD146" s="247"/>
      <c r="AE146" s="228"/>
      <c r="AF146" s="228"/>
      <c r="AG146" s="248"/>
      <c r="AH146" s="248"/>
      <c r="AI146" s="194"/>
      <c r="AJ146" s="249"/>
      <c r="AK146" s="250"/>
      <c r="AL146" s="251"/>
      <c r="AM146" s="252"/>
      <c r="AN146" s="241"/>
      <c r="AO146" s="241"/>
      <c r="AP146" s="241"/>
      <c r="AQ146" s="194"/>
      <c r="AR146" s="195"/>
      <c r="AS146" s="195"/>
    </row>
    <row r="147" spans="2:45">
      <c r="B147" s="253"/>
      <c r="C147" s="230"/>
      <c r="D147" s="245"/>
      <c r="E147" s="230"/>
      <c r="F147" s="230"/>
      <c r="G147" s="230"/>
      <c r="H147" s="230"/>
      <c r="I147" s="228"/>
      <c r="J147" s="228"/>
      <c r="K147" s="230"/>
      <c r="L147" s="230"/>
      <c r="M147" s="246"/>
      <c r="N147" s="230"/>
      <c r="O147" s="230"/>
      <c r="P147" s="230"/>
      <c r="Q147" s="230"/>
      <c r="R147" s="256"/>
      <c r="S147" s="257"/>
      <c r="T147" s="228"/>
      <c r="U147" s="228"/>
      <c r="V147" s="245"/>
      <c r="W147" s="254"/>
      <c r="X147" s="254"/>
      <c r="Y147" s="228"/>
      <c r="Z147" s="255"/>
      <c r="AA147" s="248"/>
      <c r="AB147" s="248"/>
      <c r="AC147" s="248"/>
      <c r="AD147" s="247"/>
      <c r="AE147" s="228"/>
      <c r="AF147" s="228"/>
      <c r="AG147" s="248"/>
      <c r="AH147" s="248"/>
      <c r="AI147" s="194"/>
      <c r="AJ147" s="249"/>
      <c r="AK147" s="250"/>
      <c r="AL147" s="251"/>
      <c r="AM147" s="252"/>
      <c r="AN147" s="241"/>
      <c r="AO147" s="241"/>
      <c r="AP147" s="241"/>
      <c r="AQ147" s="194"/>
      <c r="AR147" s="195"/>
      <c r="AS147" s="195"/>
    </row>
    <row r="148" spans="2:45">
      <c r="B148" s="253"/>
      <c r="C148" s="230"/>
      <c r="D148" s="245"/>
      <c r="E148" s="230"/>
      <c r="F148" s="230"/>
      <c r="G148" s="230"/>
      <c r="H148" s="230"/>
      <c r="I148" s="228"/>
      <c r="J148" s="228"/>
      <c r="K148" s="230"/>
      <c r="L148" s="230"/>
      <c r="M148" s="246"/>
      <c r="N148" s="230"/>
      <c r="O148" s="230"/>
      <c r="P148" s="230"/>
      <c r="Q148" s="230"/>
      <c r="R148" s="256"/>
      <c r="S148" s="257"/>
      <c r="T148" s="228"/>
      <c r="U148" s="228"/>
      <c r="V148" s="245"/>
      <c r="W148" s="254"/>
      <c r="X148" s="254"/>
      <c r="Y148" s="228"/>
      <c r="Z148" s="255"/>
      <c r="AA148" s="248"/>
      <c r="AB148" s="248"/>
      <c r="AC148" s="248"/>
      <c r="AD148" s="247"/>
      <c r="AE148" s="228"/>
      <c r="AF148" s="228"/>
      <c r="AG148" s="248"/>
      <c r="AH148" s="248"/>
      <c r="AI148" s="194"/>
      <c r="AJ148" s="249"/>
      <c r="AK148" s="250"/>
      <c r="AL148" s="251"/>
      <c r="AM148" s="252"/>
      <c r="AN148" s="241"/>
      <c r="AO148" s="241"/>
      <c r="AP148" s="241"/>
      <c r="AQ148" s="194"/>
      <c r="AR148" s="195"/>
      <c r="AS148" s="195"/>
    </row>
    <row r="149" spans="2:45">
      <c r="B149" s="253"/>
      <c r="C149" s="230"/>
      <c r="D149" s="245"/>
      <c r="E149" s="230"/>
      <c r="F149" s="230"/>
      <c r="G149" s="230"/>
      <c r="H149" s="230"/>
      <c r="I149" s="228"/>
      <c r="J149" s="228"/>
      <c r="K149" s="230"/>
      <c r="L149" s="230"/>
      <c r="M149" s="246"/>
      <c r="N149" s="230"/>
      <c r="O149" s="230"/>
      <c r="P149" s="230"/>
      <c r="Q149" s="230"/>
      <c r="R149" s="256"/>
      <c r="S149" s="257"/>
      <c r="T149" s="228"/>
      <c r="U149" s="228"/>
      <c r="V149" s="245"/>
      <c r="W149" s="254"/>
      <c r="X149" s="254"/>
      <c r="Y149" s="228"/>
      <c r="Z149" s="255"/>
      <c r="AA149" s="248"/>
      <c r="AB149" s="248"/>
      <c r="AC149" s="248"/>
      <c r="AD149" s="247"/>
      <c r="AE149" s="228"/>
      <c r="AF149" s="228"/>
      <c r="AG149" s="248"/>
      <c r="AH149" s="248"/>
      <c r="AI149" s="194"/>
      <c r="AJ149" s="249"/>
      <c r="AK149" s="250"/>
      <c r="AL149" s="251"/>
      <c r="AM149" s="252"/>
      <c r="AN149" s="241"/>
      <c r="AO149" s="241"/>
      <c r="AP149" s="241"/>
      <c r="AQ149" s="194"/>
      <c r="AR149" s="195"/>
      <c r="AS149" s="195"/>
    </row>
    <row r="150" spans="2:45">
      <c r="B150" s="253"/>
      <c r="C150" s="230"/>
      <c r="D150" s="245"/>
      <c r="E150" s="230"/>
      <c r="F150" s="230"/>
      <c r="G150" s="230"/>
      <c r="H150" s="230"/>
      <c r="I150" s="228"/>
      <c r="J150" s="228"/>
      <c r="K150" s="230"/>
      <c r="L150" s="230"/>
      <c r="M150" s="246"/>
      <c r="N150" s="230"/>
      <c r="O150" s="230"/>
      <c r="P150" s="230"/>
      <c r="Q150" s="230"/>
      <c r="R150" s="256"/>
      <c r="S150" s="257"/>
      <c r="T150" s="228"/>
      <c r="U150" s="228"/>
      <c r="V150" s="245"/>
      <c r="W150" s="254"/>
      <c r="X150" s="254"/>
      <c r="Y150" s="228"/>
      <c r="Z150" s="255"/>
      <c r="AA150" s="248"/>
      <c r="AB150" s="248"/>
      <c r="AC150" s="248"/>
      <c r="AD150" s="247"/>
      <c r="AE150" s="228"/>
      <c r="AF150" s="228"/>
      <c r="AG150" s="248"/>
      <c r="AH150" s="248"/>
      <c r="AI150" s="194"/>
      <c r="AJ150" s="249"/>
      <c r="AK150" s="250"/>
      <c r="AL150" s="251"/>
      <c r="AM150" s="252"/>
      <c r="AN150" s="241"/>
      <c r="AO150" s="241"/>
      <c r="AP150" s="241"/>
      <c r="AQ150" s="194"/>
      <c r="AR150" s="195"/>
      <c r="AS150" s="195"/>
    </row>
    <row r="151" spans="2:45">
      <c r="B151" s="253"/>
      <c r="C151" s="230"/>
      <c r="D151" s="245"/>
      <c r="E151" s="230"/>
      <c r="F151" s="230"/>
      <c r="G151" s="230"/>
      <c r="H151" s="230"/>
      <c r="I151" s="228"/>
      <c r="J151" s="228"/>
      <c r="K151" s="230"/>
      <c r="L151" s="230"/>
      <c r="M151" s="246"/>
      <c r="N151" s="230"/>
      <c r="O151" s="230"/>
      <c r="P151" s="230"/>
      <c r="Q151" s="230"/>
      <c r="R151" s="256"/>
      <c r="S151" s="257"/>
      <c r="T151" s="228"/>
      <c r="U151" s="228"/>
      <c r="V151" s="245"/>
      <c r="W151" s="254"/>
      <c r="X151" s="254"/>
      <c r="Y151" s="228"/>
      <c r="Z151" s="255"/>
      <c r="AA151" s="248"/>
      <c r="AB151" s="248"/>
      <c r="AC151" s="248"/>
      <c r="AD151" s="247"/>
      <c r="AE151" s="228"/>
      <c r="AF151" s="228"/>
      <c r="AG151" s="248"/>
      <c r="AH151" s="248"/>
      <c r="AI151" s="194"/>
      <c r="AJ151" s="249"/>
      <c r="AK151" s="250"/>
      <c r="AL151" s="251"/>
      <c r="AM151" s="252"/>
      <c r="AN151" s="241"/>
      <c r="AO151" s="241"/>
      <c r="AP151" s="241"/>
      <c r="AQ151" s="194"/>
      <c r="AR151" s="195"/>
      <c r="AS151" s="195"/>
    </row>
    <row r="152" spans="2:45">
      <c r="B152" s="253"/>
      <c r="C152" s="230"/>
      <c r="D152" s="245"/>
      <c r="E152" s="230"/>
      <c r="F152" s="230"/>
      <c r="G152" s="230"/>
      <c r="H152" s="230"/>
      <c r="I152" s="228"/>
      <c r="J152" s="228"/>
      <c r="K152" s="230"/>
      <c r="L152" s="230"/>
      <c r="M152" s="246"/>
      <c r="N152" s="230"/>
      <c r="O152" s="230"/>
      <c r="P152" s="230"/>
      <c r="Q152" s="230"/>
      <c r="R152" s="256"/>
      <c r="S152" s="257"/>
      <c r="T152" s="228"/>
      <c r="U152" s="228"/>
      <c r="V152" s="245"/>
      <c r="W152" s="254"/>
      <c r="X152" s="254"/>
      <c r="Y152" s="228"/>
      <c r="Z152" s="255"/>
      <c r="AA152" s="248"/>
      <c r="AB152" s="248"/>
      <c r="AC152" s="248"/>
      <c r="AD152" s="247"/>
      <c r="AE152" s="228"/>
      <c r="AF152" s="228"/>
      <c r="AG152" s="248"/>
      <c r="AH152" s="248"/>
      <c r="AI152" s="194"/>
      <c r="AJ152" s="249"/>
      <c r="AK152" s="250"/>
      <c r="AL152" s="251"/>
      <c r="AM152" s="252"/>
      <c r="AN152" s="241"/>
      <c r="AO152" s="241"/>
      <c r="AP152" s="241"/>
      <c r="AQ152" s="194"/>
      <c r="AR152" s="195"/>
      <c r="AS152" s="195"/>
    </row>
    <row r="153" spans="2:45">
      <c r="B153" s="253"/>
      <c r="C153" s="230"/>
      <c r="D153" s="245"/>
      <c r="E153" s="230"/>
      <c r="F153" s="230"/>
      <c r="G153" s="230"/>
      <c r="H153" s="230"/>
      <c r="I153" s="228"/>
      <c r="J153" s="228"/>
      <c r="K153" s="230"/>
      <c r="L153" s="230"/>
      <c r="M153" s="246"/>
      <c r="N153" s="230"/>
      <c r="O153" s="230"/>
      <c r="P153" s="230"/>
      <c r="Q153" s="230"/>
      <c r="R153" s="256"/>
      <c r="S153" s="257"/>
      <c r="T153" s="228"/>
      <c r="U153" s="228"/>
      <c r="V153" s="245"/>
      <c r="W153" s="254"/>
      <c r="X153" s="254"/>
      <c r="Y153" s="228"/>
      <c r="Z153" s="255"/>
      <c r="AA153" s="248"/>
      <c r="AB153" s="248"/>
      <c r="AC153" s="248"/>
      <c r="AD153" s="247"/>
      <c r="AE153" s="228"/>
      <c r="AF153" s="228"/>
      <c r="AG153" s="248"/>
      <c r="AH153" s="248"/>
      <c r="AI153" s="194"/>
      <c r="AJ153" s="249"/>
      <c r="AK153" s="250"/>
      <c r="AL153" s="251"/>
      <c r="AM153" s="252"/>
      <c r="AN153" s="241"/>
      <c r="AO153" s="241"/>
      <c r="AP153" s="241"/>
      <c r="AQ153" s="194"/>
      <c r="AR153" s="195"/>
      <c r="AS153" s="195"/>
    </row>
    <row r="154" spans="2:45">
      <c r="B154" s="253"/>
      <c r="C154" s="230"/>
      <c r="D154" s="245"/>
      <c r="E154" s="230"/>
      <c r="F154" s="230"/>
      <c r="G154" s="230"/>
      <c r="H154" s="230"/>
      <c r="I154" s="228"/>
      <c r="J154" s="228"/>
      <c r="K154" s="230"/>
      <c r="L154" s="230"/>
      <c r="M154" s="246"/>
      <c r="N154" s="230"/>
      <c r="O154" s="230"/>
      <c r="P154" s="230"/>
      <c r="Q154" s="230"/>
      <c r="R154" s="256"/>
      <c r="S154" s="257"/>
      <c r="T154" s="228"/>
      <c r="U154" s="228"/>
      <c r="V154" s="245"/>
      <c r="W154" s="254"/>
      <c r="X154" s="254"/>
      <c r="Y154" s="228"/>
      <c r="Z154" s="255"/>
      <c r="AA154" s="248"/>
      <c r="AB154" s="248"/>
      <c r="AC154" s="248"/>
      <c r="AD154" s="247"/>
      <c r="AE154" s="228"/>
      <c r="AF154" s="228"/>
      <c r="AG154" s="248"/>
      <c r="AH154" s="248"/>
      <c r="AI154" s="194"/>
      <c r="AJ154" s="249"/>
      <c r="AK154" s="250"/>
      <c r="AL154" s="251"/>
      <c r="AM154" s="252"/>
      <c r="AN154" s="241"/>
      <c r="AO154" s="241"/>
      <c r="AP154" s="241"/>
      <c r="AQ154" s="194"/>
      <c r="AR154" s="195"/>
      <c r="AS154" s="195"/>
    </row>
    <row r="155" spans="2:45">
      <c r="B155" s="253"/>
      <c r="C155" s="230"/>
      <c r="D155" s="245"/>
      <c r="E155" s="230"/>
      <c r="F155" s="230"/>
      <c r="G155" s="230"/>
      <c r="H155" s="230"/>
      <c r="I155" s="228"/>
      <c r="J155" s="228"/>
      <c r="K155" s="230"/>
      <c r="L155" s="230"/>
      <c r="M155" s="246"/>
      <c r="N155" s="230"/>
      <c r="O155" s="230"/>
      <c r="P155" s="230"/>
      <c r="Q155" s="230"/>
      <c r="R155" s="256"/>
      <c r="S155" s="257"/>
      <c r="T155" s="228"/>
      <c r="U155" s="228"/>
      <c r="V155" s="245"/>
      <c r="W155" s="254"/>
      <c r="X155" s="254"/>
      <c r="Y155" s="228"/>
      <c r="Z155" s="255"/>
      <c r="AA155" s="248"/>
      <c r="AB155" s="248"/>
      <c r="AC155" s="248"/>
      <c r="AD155" s="247"/>
      <c r="AE155" s="228"/>
      <c r="AF155" s="228"/>
      <c r="AG155" s="248"/>
      <c r="AH155" s="248"/>
      <c r="AI155" s="194"/>
      <c r="AJ155" s="249"/>
      <c r="AK155" s="250"/>
      <c r="AL155" s="251"/>
      <c r="AM155" s="252"/>
      <c r="AN155" s="241"/>
      <c r="AO155" s="241"/>
      <c r="AP155" s="241"/>
      <c r="AQ155" s="194"/>
      <c r="AR155" s="195"/>
      <c r="AS155" s="195"/>
    </row>
    <row r="156" spans="2:45">
      <c r="B156" s="253"/>
      <c r="C156" s="230"/>
      <c r="D156" s="245"/>
      <c r="E156" s="230"/>
      <c r="F156" s="230"/>
      <c r="G156" s="230"/>
      <c r="H156" s="230"/>
      <c r="I156" s="228"/>
      <c r="J156" s="228"/>
      <c r="K156" s="230"/>
      <c r="L156" s="230"/>
      <c r="M156" s="246"/>
      <c r="N156" s="230"/>
      <c r="O156" s="230"/>
      <c r="P156" s="230"/>
      <c r="Q156" s="230"/>
      <c r="R156" s="256"/>
      <c r="S156" s="257"/>
      <c r="T156" s="228"/>
      <c r="U156" s="228"/>
      <c r="V156" s="245"/>
      <c r="W156" s="254"/>
      <c r="X156" s="254"/>
      <c r="Y156" s="228"/>
      <c r="Z156" s="255"/>
      <c r="AA156" s="248"/>
      <c r="AB156" s="248"/>
      <c r="AC156" s="248"/>
      <c r="AD156" s="247"/>
      <c r="AE156" s="228"/>
      <c r="AF156" s="228"/>
      <c r="AG156" s="248"/>
      <c r="AH156" s="248"/>
      <c r="AI156" s="194"/>
      <c r="AJ156" s="249"/>
      <c r="AK156" s="250"/>
      <c r="AL156" s="251"/>
      <c r="AM156" s="252"/>
      <c r="AN156" s="241"/>
      <c r="AO156" s="241"/>
      <c r="AP156" s="241"/>
      <c r="AQ156" s="194"/>
      <c r="AR156" s="195"/>
      <c r="AS156" s="195"/>
    </row>
    <row r="157" spans="2:45">
      <c r="B157" s="253"/>
      <c r="C157" s="230"/>
      <c r="D157" s="245"/>
      <c r="E157" s="230"/>
      <c r="F157" s="230"/>
      <c r="G157" s="230"/>
      <c r="H157" s="230"/>
      <c r="I157" s="228"/>
      <c r="J157" s="228"/>
      <c r="K157" s="230"/>
      <c r="L157" s="230"/>
      <c r="M157" s="246"/>
      <c r="N157" s="230"/>
      <c r="O157" s="230"/>
      <c r="P157" s="230"/>
      <c r="Q157" s="230"/>
      <c r="R157" s="256"/>
      <c r="S157" s="257"/>
      <c r="T157" s="228"/>
      <c r="U157" s="228"/>
      <c r="V157" s="245"/>
      <c r="W157" s="254"/>
      <c r="X157" s="254"/>
      <c r="Y157" s="228"/>
      <c r="Z157" s="255"/>
      <c r="AA157" s="248"/>
      <c r="AB157" s="248"/>
      <c r="AC157" s="248"/>
      <c r="AD157" s="247"/>
      <c r="AE157" s="228"/>
      <c r="AF157" s="228"/>
      <c r="AG157" s="248"/>
      <c r="AH157" s="248"/>
      <c r="AI157" s="194"/>
      <c r="AJ157" s="249"/>
      <c r="AK157" s="250"/>
      <c r="AL157" s="251"/>
      <c r="AM157" s="252"/>
      <c r="AN157" s="241"/>
      <c r="AO157" s="241"/>
      <c r="AP157" s="241"/>
      <c r="AQ157" s="194"/>
      <c r="AR157" s="195"/>
      <c r="AS157" s="195"/>
    </row>
    <row r="158" spans="2:45">
      <c r="B158" s="253"/>
      <c r="C158" s="230"/>
      <c r="D158" s="245"/>
      <c r="E158" s="230"/>
      <c r="F158" s="230"/>
      <c r="G158" s="230"/>
      <c r="H158" s="230"/>
      <c r="I158" s="228"/>
      <c r="J158" s="228"/>
      <c r="K158" s="230"/>
      <c r="L158" s="230"/>
      <c r="M158" s="246"/>
      <c r="N158" s="230"/>
      <c r="O158" s="230"/>
      <c r="P158" s="230"/>
      <c r="Q158" s="230"/>
      <c r="R158" s="256"/>
      <c r="S158" s="257"/>
      <c r="T158" s="228"/>
      <c r="U158" s="228"/>
      <c r="V158" s="245"/>
      <c r="W158" s="254"/>
      <c r="X158" s="254"/>
      <c r="Y158" s="228"/>
      <c r="Z158" s="255"/>
      <c r="AA158" s="248"/>
      <c r="AB158" s="248"/>
      <c r="AC158" s="248"/>
      <c r="AD158" s="247"/>
      <c r="AE158" s="228"/>
      <c r="AF158" s="228"/>
      <c r="AG158" s="248"/>
      <c r="AH158" s="248"/>
      <c r="AI158" s="194"/>
      <c r="AJ158" s="249"/>
      <c r="AK158" s="250"/>
      <c r="AL158" s="251"/>
      <c r="AM158" s="252"/>
      <c r="AN158" s="241"/>
      <c r="AO158" s="241"/>
      <c r="AP158" s="241"/>
      <c r="AQ158" s="194"/>
      <c r="AR158" s="195"/>
      <c r="AS158" s="195"/>
    </row>
    <row r="159" spans="2:45">
      <c r="B159" s="253"/>
      <c r="C159" s="230"/>
      <c r="D159" s="245"/>
      <c r="E159" s="230"/>
      <c r="F159" s="230"/>
      <c r="G159" s="230"/>
      <c r="H159" s="230"/>
      <c r="I159" s="228"/>
      <c r="J159" s="228"/>
      <c r="K159" s="230"/>
      <c r="L159" s="230"/>
      <c r="M159" s="246"/>
      <c r="N159" s="230"/>
      <c r="O159" s="230"/>
      <c r="P159" s="230"/>
      <c r="Q159" s="230"/>
      <c r="R159" s="256"/>
      <c r="S159" s="257"/>
      <c r="T159" s="228"/>
      <c r="U159" s="228"/>
      <c r="V159" s="245"/>
      <c r="W159" s="254"/>
      <c r="X159" s="254"/>
      <c r="Y159" s="228"/>
      <c r="Z159" s="255"/>
      <c r="AA159" s="248"/>
      <c r="AB159" s="248"/>
      <c r="AC159" s="248"/>
      <c r="AD159" s="247"/>
      <c r="AE159" s="228"/>
      <c r="AF159" s="228"/>
      <c r="AG159" s="248"/>
      <c r="AH159" s="248"/>
      <c r="AI159" s="194"/>
      <c r="AJ159" s="249"/>
      <c r="AK159" s="250"/>
      <c r="AL159" s="251"/>
      <c r="AM159" s="252"/>
      <c r="AN159" s="241"/>
      <c r="AO159" s="241"/>
      <c r="AP159" s="241"/>
      <c r="AQ159" s="194"/>
      <c r="AR159" s="195"/>
      <c r="AS159" s="195"/>
    </row>
    <row r="160" spans="2:45">
      <c r="B160" s="253"/>
      <c r="C160" s="230"/>
      <c r="D160" s="245"/>
      <c r="E160" s="230"/>
      <c r="F160" s="230"/>
      <c r="G160" s="230"/>
      <c r="H160" s="230"/>
      <c r="I160" s="228"/>
      <c r="J160" s="228"/>
      <c r="K160" s="230"/>
      <c r="L160" s="230"/>
      <c r="M160" s="246"/>
      <c r="N160" s="230"/>
      <c r="O160" s="230"/>
      <c r="P160" s="230"/>
      <c r="Q160" s="230"/>
      <c r="R160" s="256"/>
      <c r="S160" s="257"/>
      <c r="T160" s="228"/>
      <c r="U160" s="228"/>
      <c r="V160" s="245"/>
      <c r="W160" s="254"/>
      <c r="X160" s="254"/>
      <c r="Y160" s="228"/>
      <c r="Z160" s="255"/>
      <c r="AA160" s="248"/>
      <c r="AB160" s="248"/>
      <c r="AC160" s="248"/>
      <c r="AD160" s="247"/>
      <c r="AE160" s="228"/>
      <c r="AF160" s="228"/>
      <c r="AG160" s="248"/>
      <c r="AH160" s="248"/>
      <c r="AI160" s="194"/>
      <c r="AJ160" s="249"/>
      <c r="AK160" s="250"/>
      <c r="AL160" s="251"/>
      <c r="AM160" s="252"/>
      <c r="AN160" s="241"/>
      <c r="AO160" s="241"/>
      <c r="AP160" s="241"/>
      <c r="AQ160" s="194"/>
      <c r="AR160" s="195"/>
      <c r="AS160" s="195"/>
    </row>
    <row r="161" spans="2:45">
      <c r="B161" s="253"/>
      <c r="C161" s="230"/>
      <c r="D161" s="245"/>
      <c r="E161" s="230"/>
      <c r="F161" s="230"/>
      <c r="G161" s="230"/>
      <c r="H161" s="230"/>
      <c r="I161" s="228"/>
      <c r="J161" s="228"/>
      <c r="K161" s="230"/>
      <c r="L161" s="230"/>
      <c r="M161" s="246"/>
      <c r="N161" s="230"/>
      <c r="O161" s="230"/>
      <c r="P161" s="230"/>
      <c r="Q161" s="230"/>
      <c r="R161" s="256"/>
      <c r="S161" s="257"/>
      <c r="T161" s="228"/>
      <c r="U161" s="228"/>
      <c r="V161" s="245"/>
      <c r="W161" s="254"/>
      <c r="X161" s="254"/>
      <c r="Y161" s="228"/>
      <c r="Z161" s="255"/>
      <c r="AA161" s="248"/>
      <c r="AB161" s="248"/>
      <c r="AC161" s="248"/>
      <c r="AD161" s="247"/>
      <c r="AE161" s="228"/>
      <c r="AF161" s="228"/>
      <c r="AG161" s="248"/>
      <c r="AH161" s="248"/>
      <c r="AI161" s="194"/>
      <c r="AJ161" s="249"/>
      <c r="AK161" s="250"/>
      <c r="AL161" s="251"/>
      <c r="AM161" s="252"/>
      <c r="AN161" s="241"/>
      <c r="AO161" s="241"/>
      <c r="AP161" s="241"/>
      <c r="AQ161" s="194"/>
      <c r="AR161" s="195"/>
      <c r="AS161" s="195"/>
    </row>
    <row r="162" spans="2:45">
      <c r="B162" s="253"/>
      <c r="C162" s="230"/>
      <c r="D162" s="245"/>
      <c r="E162" s="230"/>
      <c r="F162" s="230"/>
      <c r="G162" s="230"/>
      <c r="H162" s="230"/>
      <c r="I162" s="228"/>
      <c r="J162" s="228"/>
      <c r="K162" s="230"/>
      <c r="L162" s="230"/>
      <c r="M162" s="246"/>
      <c r="N162" s="230"/>
      <c r="O162" s="230"/>
      <c r="P162" s="230"/>
      <c r="Q162" s="230"/>
      <c r="R162" s="256"/>
      <c r="S162" s="257"/>
      <c r="T162" s="228"/>
      <c r="U162" s="228"/>
      <c r="V162" s="245"/>
      <c r="W162" s="254"/>
      <c r="X162" s="254"/>
      <c r="Y162" s="228"/>
      <c r="Z162" s="255"/>
      <c r="AA162" s="248"/>
      <c r="AB162" s="248"/>
      <c r="AC162" s="248"/>
      <c r="AD162" s="247"/>
      <c r="AE162" s="228"/>
      <c r="AF162" s="228"/>
      <c r="AG162" s="248"/>
      <c r="AH162" s="248"/>
      <c r="AI162" s="194"/>
      <c r="AJ162" s="249"/>
      <c r="AK162" s="250"/>
      <c r="AL162" s="251"/>
      <c r="AM162" s="252"/>
      <c r="AN162" s="241"/>
      <c r="AO162" s="241"/>
      <c r="AP162" s="241"/>
      <c r="AQ162" s="194"/>
      <c r="AR162" s="195"/>
      <c r="AS162" s="195"/>
    </row>
    <row r="163" spans="2:45">
      <c r="B163" s="253"/>
      <c r="C163" s="230"/>
      <c r="D163" s="245"/>
      <c r="E163" s="230"/>
      <c r="F163" s="230"/>
      <c r="G163" s="230"/>
      <c r="H163" s="230"/>
      <c r="I163" s="228"/>
      <c r="J163" s="228"/>
      <c r="K163" s="230"/>
      <c r="L163" s="230"/>
      <c r="M163" s="246"/>
      <c r="N163" s="230"/>
      <c r="O163" s="230"/>
      <c r="P163" s="230"/>
      <c r="Q163" s="230"/>
      <c r="R163" s="256"/>
      <c r="S163" s="257"/>
      <c r="T163" s="228"/>
      <c r="U163" s="228"/>
      <c r="V163" s="245"/>
      <c r="W163" s="254"/>
      <c r="X163" s="254"/>
      <c r="Y163" s="228"/>
      <c r="Z163" s="255"/>
      <c r="AA163" s="248"/>
      <c r="AB163" s="248"/>
      <c r="AC163" s="248"/>
      <c r="AD163" s="247"/>
      <c r="AE163" s="228"/>
      <c r="AF163" s="228"/>
      <c r="AG163" s="248"/>
      <c r="AH163" s="248"/>
      <c r="AI163" s="194"/>
      <c r="AJ163" s="249"/>
      <c r="AK163" s="250"/>
      <c r="AL163" s="251"/>
      <c r="AM163" s="252"/>
      <c r="AN163" s="241"/>
      <c r="AO163" s="241"/>
      <c r="AP163" s="241"/>
      <c r="AQ163" s="194"/>
      <c r="AR163" s="195"/>
      <c r="AS163" s="195"/>
    </row>
    <row r="164" spans="2:45">
      <c r="B164" s="253"/>
      <c r="C164" s="230"/>
      <c r="D164" s="245"/>
      <c r="E164" s="230"/>
      <c r="F164" s="230"/>
      <c r="G164" s="230"/>
      <c r="H164" s="230"/>
      <c r="I164" s="228"/>
      <c r="J164" s="228"/>
      <c r="K164" s="230"/>
      <c r="L164" s="230"/>
      <c r="M164" s="246"/>
      <c r="N164" s="230"/>
      <c r="O164" s="230"/>
      <c r="P164" s="230"/>
      <c r="Q164" s="230"/>
      <c r="R164" s="256"/>
      <c r="S164" s="257"/>
      <c r="T164" s="228"/>
      <c r="U164" s="228"/>
      <c r="V164" s="245"/>
      <c r="W164" s="254"/>
      <c r="X164" s="254"/>
      <c r="Y164" s="228"/>
      <c r="Z164" s="255"/>
      <c r="AA164" s="248"/>
      <c r="AB164" s="248"/>
      <c r="AC164" s="248"/>
      <c r="AD164" s="247"/>
      <c r="AE164" s="228"/>
      <c r="AF164" s="228"/>
      <c r="AG164" s="248"/>
      <c r="AH164" s="248"/>
      <c r="AI164" s="194"/>
      <c r="AJ164" s="249"/>
      <c r="AK164" s="250"/>
      <c r="AL164" s="251"/>
      <c r="AM164" s="252"/>
      <c r="AN164" s="241"/>
      <c r="AO164" s="241"/>
      <c r="AP164" s="241"/>
      <c r="AQ164" s="194"/>
      <c r="AR164" s="195"/>
      <c r="AS164" s="195"/>
    </row>
    <row r="165" spans="2:45">
      <c r="B165" s="253"/>
      <c r="C165" s="230"/>
      <c r="D165" s="245"/>
      <c r="E165" s="230"/>
      <c r="F165" s="230"/>
      <c r="G165" s="230"/>
      <c r="H165" s="230"/>
      <c r="I165" s="228"/>
      <c r="J165" s="228"/>
      <c r="K165" s="230"/>
      <c r="L165" s="230"/>
      <c r="M165" s="246"/>
      <c r="N165" s="230"/>
      <c r="O165" s="230"/>
      <c r="P165" s="230"/>
      <c r="Q165" s="230"/>
      <c r="R165" s="256"/>
      <c r="S165" s="257"/>
      <c r="T165" s="228"/>
      <c r="U165" s="228"/>
      <c r="V165" s="245"/>
      <c r="W165" s="254"/>
      <c r="X165" s="254"/>
      <c r="Y165" s="228"/>
      <c r="Z165" s="255"/>
      <c r="AA165" s="248"/>
      <c r="AB165" s="248"/>
      <c r="AC165" s="248"/>
      <c r="AD165" s="247"/>
      <c r="AE165" s="228"/>
      <c r="AF165" s="228"/>
      <c r="AG165" s="248"/>
      <c r="AH165" s="248"/>
      <c r="AI165" s="194"/>
      <c r="AJ165" s="249"/>
      <c r="AK165" s="250"/>
      <c r="AL165" s="251"/>
      <c r="AM165" s="252"/>
      <c r="AN165" s="241"/>
      <c r="AO165" s="241"/>
      <c r="AP165" s="241"/>
      <c r="AQ165" s="194"/>
      <c r="AR165" s="195"/>
      <c r="AS165" s="195"/>
    </row>
    <row r="166" spans="2:45">
      <c r="B166" s="253"/>
      <c r="C166" s="230"/>
      <c r="D166" s="245"/>
      <c r="E166" s="230"/>
      <c r="F166" s="230"/>
      <c r="G166" s="230"/>
      <c r="H166" s="230"/>
      <c r="I166" s="228"/>
      <c r="J166" s="228"/>
      <c r="K166" s="230"/>
      <c r="L166" s="230"/>
      <c r="M166" s="246"/>
      <c r="N166" s="230"/>
      <c r="O166" s="230"/>
      <c r="P166" s="230"/>
      <c r="Q166" s="230"/>
      <c r="R166" s="256"/>
      <c r="S166" s="257"/>
      <c r="T166" s="228"/>
      <c r="U166" s="228"/>
      <c r="V166" s="245"/>
      <c r="W166" s="254"/>
      <c r="X166" s="254"/>
      <c r="Y166" s="228"/>
      <c r="Z166" s="255"/>
      <c r="AA166" s="248"/>
      <c r="AB166" s="248"/>
      <c r="AC166" s="248"/>
      <c r="AD166" s="247"/>
      <c r="AE166" s="228"/>
      <c r="AF166" s="228"/>
      <c r="AG166" s="248"/>
      <c r="AH166" s="248"/>
      <c r="AI166" s="194"/>
      <c r="AJ166" s="249"/>
      <c r="AK166" s="250"/>
      <c r="AL166" s="251"/>
      <c r="AM166" s="252"/>
      <c r="AN166" s="241"/>
      <c r="AO166" s="241"/>
      <c r="AP166" s="241"/>
      <c r="AQ166" s="194"/>
      <c r="AR166" s="195"/>
      <c r="AS166" s="195"/>
    </row>
    <row r="167" spans="2:45">
      <c r="B167" s="253"/>
      <c r="C167" s="230"/>
      <c r="D167" s="245"/>
      <c r="E167" s="230"/>
      <c r="F167" s="230"/>
      <c r="G167" s="230"/>
      <c r="H167" s="230"/>
      <c r="I167" s="228"/>
      <c r="J167" s="228"/>
      <c r="K167" s="230"/>
      <c r="L167" s="230"/>
      <c r="M167" s="246"/>
      <c r="N167" s="230"/>
      <c r="O167" s="230"/>
      <c r="P167" s="230"/>
      <c r="Q167" s="230"/>
      <c r="R167" s="256"/>
      <c r="S167" s="257"/>
      <c r="T167" s="228"/>
      <c r="U167" s="228"/>
      <c r="V167" s="245"/>
      <c r="W167" s="254"/>
      <c r="X167" s="254"/>
      <c r="Y167" s="228"/>
      <c r="Z167" s="255"/>
      <c r="AA167" s="248"/>
      <c r="AB167" s="248"/>
      <c r="AC167" s="248"/>
      <c r="AD167" s="247"/>
      <c r="AE167" s="228"/>
      <c r="AF167" s="228"/>
      <c r="AG167" s="248"/>
      <c r="AH167" s="248"/>
      <c r="AI167" s="194"/>
      <c r="AJ167" s="249"/>
      <c r="AK167" s="250"/>
      <c r="AL167" s="251"/>
      <c r="AM167" s="252"/>
      <c r="AN167" s="241"/>
      <c r="AO167" s="241"/>
      <c r="AP167" s="241"/>
      <c r="AQ167" s="194"/>
      <c r="AR167" s="195"/>
      <c r="AS167" s="195"/>
    </row>
    <row r="168" spans="2:45">
      <c r="B168" s="253"/>
      <c r="C168" s="230"/>
      <c r="D168" s="245"/>
      <c r="E168" s="230"/>
      <c r="F168" s="230"/>
      <c r="G168" s="230"/>
      <c r="H168" s="230"/>
      <c r="I168" s="228"/>
      <c r="J168" s="228"/>
      <c r="K168" s="230"/>
      <c r="L168" s="230"/>
      <c r="M168" s="246"/>
      <c r="N168" s="230"/>
      <c r="O168" s="230"/>
      <c r="P168" s="230"/>
      <c r="Q168" s="230"/>
      <c r="R168" s="256"/>
      <c r="S168" s="257"/>
      <c r="T168" s="228"/>
      <c r="U168" s="228"/>
      <c r="V168" s="245"/>
      <c r="W168" s="254"/>
      <c r="X168" s="254"/>
      <c r="Y168" s="228"/>
      <c r="Z168" s="255"/>
      <c r="AA168" s="248"/>
      <c r="AB168" s="248"/>
      <c r="AC168" s="248"/>
      <c r="AD168" s="247"/>
      <c r="AE168" s="228"/>
      <c r="AF168" s="228"/>
      <c r="AG168" s="248"/>
      <c r="AH168" s="248"/>
      <c r="AI168" s="194"/>
      <c r="AJ168" s="249"/>
      <c r="AK168" s="250"/>
      <c r="AL168" s="251"/>
      <c r="AM168" s="252"/>
      <c r="AN168" s="241"/>
      <c r="AO168" s="241"/>
      <c r="AP168" s="241"/>
      <c r="AQ168" s="194"/>
      <c r="AR168" s="195"/>
      <c r="AS168" s="195"/>
    </row>
    <row r="169" spans="2:45">
      <c r="B169" s="253"/>
      <c r="C169" s="230"/>
      <c r="D169" s="245"/>
      <c r="E169" s="230"/>
      <c r="F169" s="230"/>
      <c r="G169" s="230"/>
      <c r="H169" s="230"/>
      <c r="I169" s="228"/>
      <c r="J169" s="228"/>
      <c r="K169" s="230"/>
      <c r="L169" s="230"/>
      <c r="M169" s="246"/>
      <c r="N169" s="230"/>
      <c r="O169" s="230"/>
      <c r="P169" s="230"/>
      <c r="Q169" s="230"/>
      <c r="R169" s="256"/>
      <c r="S169" s="257"/>
      <c r="T169" s="228"/>
      <c r="U169" s="228"/>
      <c r="V169" s="245"/>
      <c r="W169" s="254"/>
      <c r="X169" s="254"/>
      <c r="Y169" s="228"/>
      <c r="Z169" s="255"/>
      <c r="AA169" s="248"/>
      <c r="AB169" s="248"/>
      <c r="AC169" s="248"/>
      <c r="AD169" s="247"/>
      <c r="AE169" s="228"/>
      <c r="AF169" s="228"/>
      <c r="AG169" s="248"/>
      <c r="AH169" s="248"/>
      <c r="AI169" s="194"/>
      <c r="AJ169" s="249"/>
      <c r="AK169" s="250"/>
      <c r="AL169" s="251"/>
      <c r="AM169" s="252"/>
      <c r="AN169" s="241"/>
      <c r="AO169" s="241"/>
      <c r="AP169" s="241"/>
      <c r="AQ169" s="194"/>
      <c r="AR169" s="195"/>
      <c r="AS169" s="195"/>
    </row>
    <row r="170" spans="2:45">
      <c r="B170" s="253"/>
      <c r="C170" s="230"/>
      <c r="D170" s="245"/>
      <c r="E170" s="230"/>
      <c r="F170" s="230"/>
      <c r="G170" s="230"/>
      <c r="H170" s="230"/>
      <c r="I170" s="228"/>
      <c r="J170" s="228"/>
      <c r="K170" s="230"/>
      <c r="L170" s="230"/>
      <c r="M170" s="246"/>
      <c r="N170" s="230"/>
      <c r="O170" s="230"/>
      <c r="P170" s="230"/>
      <c r="Q170" s="230"/>
      <c r="R170" s="256"/>
      <c r="S170" s="257"/>
      <c r="T170" s="228"/>
      <c r="U170" s="228"/>
      <c r="V170" s="245"/>
      <c r="W170" s="254"/>
      <c r="X170" s="254"/>
      <c r="Y170" s="228"/>
      <c r="Z170" s="255"/>
      <c r="AA170" s="248"/>
      <c r="AB170" s="248"/>
      <c r="AC170" s="248"/>
      <c r="AD170" s="247"/>
      <c r="AE170" s="228"/>
      <c r="AF170" s="228"/>
      <c r="AG170" s="248"/>
      <c r="AH170" s="248"/>
      <c r="AI170" s="194"/>
      <c r="AJ170" s="249"/>
      <c r="AK170" s="250"/>
      <c r="AL170" s="251"/>
      <c r="AM170" s="252"/>
      <c r="AN170" s="241"/>
      <c r="AO170" s="241"/>
      <c r="AP170" s="241"/>
      <c r="AQ170" s="194"/>
      <c r="AR170" s="195"/>
      <c r="AS170" s="195"/>
    </row>
    <row r="171" spans="2:45">
      <c r="B171" s="253"/>
      <c r="C171" s="230"/>
      <c r="D171" s="245"/>
      <c r="E171" s="230"/>
      <c r="F171" s="230"/>
      <c r="G171" s="230"/>
      <c r="H171" s="230"/>
      <c r="I171" s="228"/>
      <c r="J171" s="228"/>
      <c r="K171" s="230"/>
      <c r="L171" s="230"/>
      <c r="M171" s="246"/>
      <c r="N171" s="230"/>
      <c r="O171" s="230"/>
      <c r="P171" s="230"/>
      <c r="Q171" s="230"/>
      <c r="R171" s="256"/>
      <c r="S171" s="257"/>
      <c r="T171" s="228"/>
      <c r="U171" s="228"/>
      <c r="V171" s="245"/>
      <c r="W171" s="254"/>
      <c r="X171" s="254"/>
      <c r="Y171" s="228"/>
      <c r="Z171" s="255"/>
      <c r="AA171" s="248"/>
      <c r="AB171" s="248"/>
      <c r="AC171" s="248"/>
      <c r="AD171" s="247"/>
      <c r="AE171" s="228"/>
      <c r="AF171" s="228"/>
      <c r="AG171" s="248"/>
      <c r="AH171" s="248"/>
      <c r="AI171" s="194"/>
      <c r="AJ171" s="249"/>
      <c r="AK171" s="250"/>
      <c r="AL171" s="251"/>
      <c r="AM171" s="252"/>
      <c r="AN171" s="241"/>
      <c r="AO171" s="241"/>
      <c r="AP171" s="241"/>
      <c r="AQ171" s="194"/>
      <c r="AR171" s="195"/>
      <c r="AS171" s="195"/>
    </row>
    <row r="172" spans="2:45">
      <c r="B172" s="253"/>
      <c r="C172" s="230"/>
      <c r="D172" s="245"/>
      <c r="E172" s="230"/>
      <c r="F172" s="230"/>
      <c r="G172" s="230"/>
      <c r="H172" s="230"/>
      <c r="I172" s="228"/>
      <c r="J172" s="228"/>
      <c r="K172" s="230"/>
      <c r="L172" s="230"/>
      <c r="M172" s="246"/>
      <c r="N172" s="230"/>
      <c r="O172" s="230"/>
      <c r="P172" s="230"/>
      <c r="Q172" s="230"/>
      <c r="R172" s="256"/>
      <c r="S172" s="257"/>
      <c r="T172" s="228"/>
      <c r="U172" s="228"/>
      <c r="V172" s="245"/>
      <c r="W172" s="254"/>
      <c r="X172" s="254"/>
      <c r="Y172" s="228"/>
      <c r="Z172" s="255"/>
      <c r="AA172" s="248"/>
      <c r="AB172" s="248"/>
      <c r="AC172" s="248"/>
      <c r="AD172" s="247"/>
      <c r="AE172" s="228"/>
      <c r="AF172" s="228"/>
      <c r="AG172" s="248"/>
      <c r="AH172" s="248"/>
      <c r="AI172" s="194"/>
      <c r="AJ172" s="249"/>
      <c r="AK172" s="250"/>
      <c r="AL172" s="251"/>
      <c r="AM172" s="252"/>
      <c r="AN172" s="241"/>
      <c r="AO172" s="241"/>
      <c r="AP172" s="241"/>
      <c r="AQ172" s="194"/>
      <c r="AR172" s="195"/>
      <c r="AS172" s="195"/>
    </row>
    <row r="173" spans="2:45">
      <c r="B173" s="253"/>
      <c r="C173" s="230"/>
      <c r="D173" s="245"/>
      <c r="E173" s="230"/>
      <c r="F173" s="230"/>
      <c r="G173" s="230"/>
      <c r="H173" s="230"/>
      <c r="I173" s="228"/>
      <c r="J173" s="228"/>
      <c r="K173" s="230"/>
      <c r="L173" s="230"/>
      <c r="M173" s="246"/>
      <c r="N173" s="230"/>
      <c r="O173" s="230"/>
      <c r="P173" s="230"/>
      <c r="Q173" s="230"/>
      <c r="R173" s="256"/>
      <c r="S173" s="257"/>
      <c r="T173" s="228"/>
      <c r="U173" s="228"/>
      <c r="V173" s="245"/>
      <c r="W173" s="254"/>
      <c r="X173" s="254"/>
      <c r="Y173" s="228"/>
      <c r="Z173" s="255"/>
      <c r="AA173" s="248"/>
      <c r="AB173" s="248"/>
      <c r="AC173" s="248"/>
      <c r="AD173" s="247"/>
      <c r="AE173" s="228"/>
      <c r="AF173" s="228"/>
      <c r="AG173" s="248"/>
      <c r="AH173" s="248"/>
      <c r="AI173" s="194"/>
      <c r="AJ173" s="249"/>
      <c r="AK173" s="250"/>
      <c r="AL173" s="251"/>
      <c r="AM173" s="252"/>
      <c r="AN173" s="241"/>
      <c r="AO173" s="241"/>
      <c r="AP173" s="241"/>
      <c r="AQ173" s="194"/>
      <c r="AR173" s="195"/>
      <c r="AS173" s="195"/>
    </row>
    <row r="174" spans="2:45">
      <c r="B174" s="253"/>
      <c r="C174" s="230"/>
      <c r="D174" s="245"/>
      <c r="E174" s="230"/>
      <c r="F174" s="230"/>
      <c r="G174" s="230"/>
      <c r="H174" s="230"/>
      <c r="I174" s="228"/>
      <c r="J174" s="228"/>
      <c r="K174" s="230"/>
      <c r="L174" s="230"/>
      <c r="M174" s="246"/>
      <c r="N174" s="230"/>
      <c r="O174" s="230"/>
      <c r="P174" s="230"/>
      <c r="Q174" s="230"/>
      <c r="R174" s="256"/>
      <c r="S174" s="257"/>
      <c r="T174" s="228"/>
      <c r="U174" s="228"/>
      <c r="V174" s="245"/>
      <c r="W174" s="254"/>
      <c r="X174" s="254"/>
      <c r="Y174" s="228"/>
      <c r="Z174" s="255"/>
      <c r="AA174" s="248"/>
      <c r="AB174" s="248"/>
      <c r="AC174" s="248"/>
      <c r="AD174" s="247"/>
      <c r="AE174" s="228"/>
      <c r="AF174" s="228"/>
      <c r="AG174" s="248"/>
      <c r="AH174" s="248"/>
      <c r="AI174" s="194"/>
      <c r="AJ174" s="249"/>
      <c r="AK174" s="250"/>
      <c r="AL174" s="251"/>
      <c r="AM174" s="252"/>
      <c r="AN174" s="241"/>
      <c r="AO174" s="241"/>
      <c r="AP174" s="241"/>
      <c r="AQ174" s="194"/>
      <c r="AR174" s="195"/>
      <c r="AS174" s="195"/>
    </row>
    <row r="175" spans="2:45">
      <c r="B175" s="253"/>
      <c r="C175" s="230"/>
      <c r="D175" s="245"/>
      <c r="E175" s="230"/>
      <c r="F175" s="230"/>
      <c r="G175" s="230"/>
      <c r="H175" s="230"/>
      <c r="I175" s="228"/>
      <c r="J175" s="228"/>
      <c r="K175" s="230"/>
      <c r="L175" s="230"/>
      <c r="M175" s="246"/>
      <c r="N175" s="230"/>
      <c r="O175" s="230"/>
      <c r="P175" s="230"/>
      <c r="Q175" s="230"/>
      <c r="R175" s="256"/>
      <c r="S175" s="257"/>
      <c r="T175" s="228"/>
      <c r="U175" s="228"/>
      <c r="V175" s="245"/>
      <c r="W175" s="254"/>
      <c r="X175" s="254"/>
      <c r="Y175" s="228"/>
      <c r="Z175" s="255"/>
      <c r="AA175" s="248"/>
      <c r="AB175" s="248"/>
      <c r="AC175" s="248"/>
      <c r="AD175" s="247"/>
      <c r="AE175" s="228"/>
      <c r="AF175" s="228"/>
      <c r="AG175" s="248"/>
      <c r="AH175" s="248"/>
      <c r="AI175" s="194"/>
      <c r="AJ175" s="249"/>
      <c r="AK175" s="250"/>
      <c r="AL175" s="251"/>
      <c r="AM175" s="252"/>
      <c r="AN175" s="241"/>
      <c r="AO175" s="241"/>
      <c r="AP175" s="241"/>
      <c r="AQ175" s="194"/>
      <c r="AR175" s="195"/>
      <c r="AS175" s="195"/>
    </row>
    <row r="176" spans="2:45">
      <c r="B176" s="253"/>
      <c r="C176" s="230"/>
      <c r="D176" s="245"/>
      <c r="E176" s="230"/>
      <c r="F176" s="230"/>
      <c r="G176" s="230"/>
      <c r="H176" s="230"/>
      <c r="I176" s="228"/>
      <c r="J176" s="228"/>
      <c r="K176" s="230"/>
      <c r="L176" s="230"/>
      <c r="M176" s="246"/>
      <c r="N176" s="230"/>
      <c r="O176" s="230"/>
      <c r="P176" s="230"/>
      <c r="Q176" s="230"/>
      <c r="R176" s="256"/>
      <c r="S176" s="257"/>
      <c r="T176" s="228"/>
      <c r="U176" s="228"/>
      <c r="V176" s="245"/>
      <c r="W176" s="254"/>
      <c r="X176" s="254"/>
      <c r="Y176" s="228"/>
      <c r="Z176" s="255"/>
      <c r="AA176" s="248"/>
      <c r="AB176" s="248"/>
      <c r="AC176" s="248"/>
      <c r="AD176" s="247"/>
      <c r="AE176" s="228"/>
      <c r="AF176" s="228"/>
      <c r="AG176" s="248"/>
      <c r="AH176" s="248"/>
      <c r="AI176" s="194"/>
      <c r="AJ176" s="249"/>
      <c r="AK176" s="250"/>
      <c r="AL176" s="251"/>
      <c r="AM176" s="252"/>
      <c r="AN176" s="241"/>
      <c r="AO176" s="241"/>
      <c r="AP176" s="241"/>
      <c r="AQ176" s="194"/>
      <c r="AR176" s="195"/>
      <c r="AS176" s="195"/>
    </row>
    <row r="177" spans="2:45">
      <c r="B177" s="253"/>
      <c r="C177" s="230"/>
      <c r="D177" s="245"/>
      <c r="E177" s="230"/>
      <c r="F177" s="230"/>
      <c r="G177" s="230"/>
      <c r="H177" s="230"/>
      <c r="I177" s="228"/>
      <c r="J177" s="228"/>
      <c r="K177" s="230"/>
      <c r="L177" s="230"/>
      <c r="M177" s="246"/>
      <c r="N177" s="230"/>
      <c r="O177" s="230"/>
      <c r="P177" s="230"/>
      <c r="Q177" s="230"/>
      <c r="R177" s="256"/>
      <c r="S177" s="257"/>
      <c r="T177" s="228"/>
      <c r="U177" s="228"/>
      <c r="V177" s="245"/>
      <c r="W177" s="254"/>
      <c r="X177" s="254"/>
      <c r="Y177" s="228"/>
      <c r="Z177" s="255"/>
      <c r="AA177" s="248"/>
      <c r="AB177" s="248"/>
      <c r="AC177" s="248"/>
      <c r="AD177" s="247"/>
      <c r="AE177" s="228"/>
      <c r="AF177" s="228"/>
      <c r="AG177" s="248"/>
      <c r="AH177" s="248"/>
      <c r="AI177" s="194"/>
      <c r="AJ177" s="249"/>
      <c r="AK177" s="250"/>
      <c r="AL177" s="251"/>
      <c r="AM177" s="252"/>
      <c r="AN177" s="241"/>
      <c r="AO177" s="241"/>
      <c r="AP177" s="241"/>
      <c r="AQ177" s="194"/>
      <c r="AR177" s="195"/>
      <c r="AS177" s="195"/>
    </row>
    <row r="178" spans="2:45">
      <c r="B178" s="253"/>
      <c r="C178" s="230"/>
      <c r="D178" s="245"/>
      <c r="E178" s="230"/>
      <c r="F178" s="230"/>
      <c r="G178" s="230"/>
      <c r="H178" s="230"/>
      <c r="I178" s="228"/>
      <c r="J178" s="228"/>
      <c r="K178" s="230"/>
      <c r="L178" s="230"/>
      <c r="M178" s="246"/>
      <c r="N178" s="230"/>
      <c r="O178" s="230"/>
      <c r="P178" s="230"/>
      <c r="Q178" s="230"/>
      <c r="R178" s="256"/>
      <c r="S178" s="257"/>
      <c r="T178" s="228"/>
      <c r="U178" s="228"/>
      <c r="V178" s="245"/>
      <c r="W178" s="254"/>
      <c r="X178" s="254"/>
      <c r="Y178" s="228"/>
      <c r="Z178" s="255"/>
      <c r="AA178" s="248"/>
      <c r="AB178" s="248"/>
      <c r="AC178" s="248"/>
      <c r="AD178" s="247"/>
      <c r="AE178" s="228"/>
      <c r="AF178" s="228"/>
      <c r="AG178" s="248"/>
      <c r="AH178" s="248"/>
      <c r="AI178" s="194"/>
      <c r="AJ178" s="249"/>
      <c r="AK178" s="250"/>
      <c r="AL178" s="251"/>
      <c r="AM178" s="252"/>
      <c r="AN178" s="241"/>
      <c r="AO178" s="241"/>
      <c r="AP178" s="241"/>
      <c r="AQ178" s="194"/>
      <c r="AR178" s="195"/>
      <c r="AS178" s="195"/>
    </row>
    <row r="179" spans="2:45">
      <c r="B179" s="253"/>
      <c r="C179" s="230"/>
      <c r="D179" s="245"/>
      <c r="E179" s="230"/>
      <c r="F179" s="230"/>
      <c r="G179" s="230"/>
      <c r="H179" s="230"/>
      <c r="I179" s="228"/>
      <c r="J179" s="228"/>
      <c r="K179" s="230"/>
      <c r="L179" s="230"/>
      <c r="M179" s="246"/>
      <c r="N179" s="230"/>
      <c r="O179" s="230"/>
      <c r="P179" s="230"/>
      <c r="Q179" s="230"/>
      <c r="R179" s="256"/>
      <c r="S179" s="257"/>
      <c r="T179" s="228"/>
      <c r="U179" s="228"/>
      <c r="V179" s="245"/>
      <c r="W179" s="254"/>
      <c r="X179" s="254"/>
      <c r="Y179" s="228"/>
      <c r="Z179" s="255"/>
      <c r="AA179" s="248"/>
      <c r="AB179" s="248"/>
      <c r="AC179" s="248"/>
      <c r="AD179" s="247"/>
      <c r="AE179" s="228"/>
      <c r="AF179" s="228"/>
      <c r="AG179" s="248"/>
      <c r="AH179" s="248"/>
      <c r="AI179" s="194"/>
      <c r="AJ179" s="249"/>
      <c r="AK179" s="250"/>
      <c r="AL179" s="251"/>
      <c r="AM179" s="252"/>
      <c r="AN179" s="241"/>
      <c r="AO179" s="241"/>
      <c r="AP179" s="241"/>
      <c r="AQ179" s="194"/>
      <c r="AR179" s="195"/>
      <c r="AS179" s="195"/>
    </row>
    <row r="180" spans="2:45">
      <c r="B180" s="253"/>
      <c r="C180" s="230"/>
      <c r="D180" s="245"/>
      <c r="E180" s="230"/>
      <c r="F180" s="230"/>
      <c r="G180" s="230"/>
      <c r="H180" s="230"/>
      <c r="I180" s="228"/>
      <c r="J180" s="228"/>
      <c r="K180" s="230"/>
      <c r="L180" s="230"/>
      <c r="M180" s="246"/>
      <c r="N180" s="230"/>
      <c r="O180" s="230"/>
      <c r="P180" s="230"/>
      <c r="Q180" s="230"/>
      <c r="R180" s="256"/>
      <c r="S180" s="257"/>
      <c r="T180" s="228"/>
      <c r="U180" s="228"/>
      <c r="V180" s="245"/>
      <c r="W180" s="254"/>
      <c r="X180" s="254"/>
      <c r="Y180" s="228"/>
      <c r="Z180" s="255"/>
      <c r="AA180" s="248"/>
      <c r="AB180" s="248"/>
      <c r="AC180" s="248"/>
      <c r="AD180" s="247"/>
      <c r="AE180" s="228"/>
      <c r="AF180" s="228"/>
      <c r="AG180" s="248"/>
      <c r="AH180" s="248"/>
      <c r="AI180" s="194"/>
      <c r="AJ180" s="249"/>
      <c r="AK180" s="250"/>
      <c r="AL180" s="251"/>
      <c r="AM180" s="252"/>
      <c r="AN180" s="241"/>
      <c r="AO180" s="241"/>
      <c r="AP180" s="241"/>
      <c r="AQ180" s="194"/>
      <c r="AR180" s="195"/>
      <c r="AS180" s="195"/>
    </row>
    <row r="181" spans="2:45">
      <c r="B181" s="253"/>
      <c r="C181" s="230"/>
      <c r="D181" s="245"/>
      <c r="E181" s="230"/>
      <c r="F181" s="230"/>
      <c r="G181" s="230"/>
      <c r="H181" s="230"/>
      <c r="I181" s="228"/>
      <c r="J181" s="228"/>
      <c r="K181" s="230"/>
      <c r="L181" s="230"/>
      <c r="M181" s="246"/>
      <c r="N181" s="230"/>
      <c r="O181" s="230"/>
      <c r="P181" s="230"/>
      <c r="Q181" s="230"/>
      <c r="R181" s="256"/>
      <c r="S181" s="257"/>
      <c r="T181" s="228"/>
      <c r="U181" s="228"/>
      <c r="V181" s="245"/>
      <c r="W181" s="254"/>
      <c r="X181" s="254"/>
      <c r="Y181" s="228"/>
      <c r="Z181" s="255"/>
      <c r="AA181" s="248"/>
      <c r="AB181" s="248"/>
      <c r="AC181" s="248"/>
      <c r="AD181" s="247"/>
      <c r="AE181" s="228"/>
      <c r="AF181" s="228"/>
      <c r="AG181" s="248"/>
      <c r="AH181" s="248"/>
      <c r="AI181" s="194"/>
      <c r="AJ181" s="249"/>
      <c r="AK181" s="250"/>
      <c r="AL181" s="251"/>
      <c r="AM181" s="252"/>
      <c r="AN181" s="241"/>
      <c r="AO181" s="241"/>
      <c r="AP181" s="241"/>
      <c r="AQ181" s="194"/>
      <c r="AR181" s="195"/>
      <c r="AS181" s="195"/>
    </row>
    <row r="182" spans="2:45">
      <c r="B182" s="253"/>
      <c r="C182" s="230"/>
      <c r="D182" s="245"/>
      <c r="E182" s="230"/>
      <c r="F182" s="230"/>
      <c r="G182" s="230"/>
      <c r="H182" s="230"/>
      <c r="I182" s="228"/>
      <c r="J182" s="228"/>
      <c r="K182" s="230"/>
      <c r="L182" s="230"/>
      <c r="M182" s="246"/>
      <c r="N182" s="230"/>
      <c r="O182" s="230"/>
      <c r="P182" s="230"/>
      <c r="Q182" s="230"/>
      <c r="R182" s="256"/>
      <c r="S182" s="257"/>
      <c r="T182" s="228"/>
      <c r="U182" s="228"/>
      <c r="V182" s="245"/>
      <c r="W182" s="254"/>
      <c r="X182" s="254"/>
      <c r="Y182" s="228"/>
      <c r="Z182" s="255"/>
      <c r="AA182" s="248"/>
      <c r="AB182" s="248"/>
      <c r="AC182" s="248"/>
      <c r="AD182" s="247"/>
      <c r="AE182" s="228"/>
      <c r="AF182" s="228"/>
      <c r="AG182" s="248"/>
      <c r="AH182" s="248"/>
      <c r="AI182" s="194"/>
      <c r="AJ182" s="249"/>
      <c r="AK182" s="250"/>
      <c r="AL182" s="251"/>
      <c r="AM182" s="252"/>
      <c r="AN182" s="241"/>
      <c r="AO182" s="241"/>
      <c r="AP182" s="241"/>
      <c r="AQ182" s="194"/>
      <c r="AR182" s="195"/>
      <c r="AS182" s="195"/>
    </row>
    <row r="183" spans="2:45">
      <c r="B183" s="253"/>
      <c r="C183" s="230"/>
      <c r="D183" s="245"/>
      <c r="E183" s="230"/>
      <c r="F183" s="230"/>
      <c r="G183" s="230"/>
      <c r="H183" s="230"/>
      <c r="I183" s="228"/>
      <c r="J183" s="228"/>
      <c r="K183" s="230"/>
      <c r="L183" s="230"/>
      <c r="M183" s="246"/>
      <c r="N183" s="230"/>
      <c r="O183" s="230"/>
      <c r="P183" s="230"/>
      <c r="Q183" s="230"/>
      <c r="R183" s="256"/>
      <c r="S183" s="257"/>
      <c r="T183" s="228"/>
      <c r="U183" s="228"/>
      <c r="V183" s="245"/>
      <c r="W183" s="254"/>
      <c r="X183" s="254"/>
      <c r="Y183" s="228"/>
      <c r="Z183" s="255"/>
      <c r="AA183" s="248"/>
      <c r="AB183" s="248"/>
      <c r="AC183" s="248"/>
      <c r="AD183" s="247"/>
      <c r="AE183" s="228"/>
      <c r="AF183" s="228"/>
      <c r="AG183" s="248"/>
      <c r="AH183" s="248"/>
      <c r="AI183" s="194"/>
      <c r="AJ183" s="249"/>
      <c r="AK183" s="250"/>
      <c r="AL183" s="251"/>
      <c r="AM183" s="252"/>
      <c r="AN183" s="241"/>
      <c r="AO183" s="241"/>
      <c r="AP183" s="241"/>
      <c r="AQ183" s="194"/>
      <c r="AR183" s="195"/>
      <c r="AS183" s="195"/>
    </row>
    <row r="184" spans="2:45">
      <c r="B184" s="253"/>
      <c r="C184" s="230"/>
      <c r="D184" s="245"/>
      <c r="E184" s="230"/>
      <c r="F184" s="230"/>
      <c r="G184" s="230"/>
      <c r="H184" s="230"/>
      <c r="I184" s="228"/>
      <c r="J184" s="228"/>
      <c r="K184" s="230"/>
      <c r="L184" s="230"/>
      <c r="M184" s="246"/>
      <c r="N184" s="230"/>
      <c r="O184" s="230"/>
      <c r="P184" s="230"/>
      <c r="Q184" s="230"/>
      <c r="R184" s="256"/>
      <c r="S184" s="257"/>
      <c r="T184" s="228"/>
      <c r="U184" s="228"/>
      <c r="V184" s="245"/>
      <c r="W184" s="254"/>
      <c r="X184" s="254"/>
      <c r="Y184" s="228"/>
      <c r="Z184" s="255"/>
      <c r="AA184" s="248"/>
      <c r="AB184" s="248"/>
      <c r="AC184" s="248"/>
      <c r="AD184" s="247"/>
      <c r="AE184" s="228"/>
      <c r="AF184" s="228"/>
      <c r="AG184" s="248"/>
      <c r="AH184" s="248"/>
      <c r="AI184" s="194"/>
      <c r="AJ184" s="249"/>
      <c r="AK184" s="250"/>
      <c r="AL184" s="251"/>
      <c r="AM184" s="252"/>
      <c r="AN184" s="241"/>
      <c r="AO184" s="241"/>
      <c r="AP184" s="241"/>
      <c r="AQ184" s="194"/>
      <c r="AR184" s="195"/>
      <c r="AS184" s="195"/>
    </row>
    <row r="185" spans="2:45">
      <c r="B185" s="253"/>
      <c r="C185" s="230"/>
      <c r="D185" s="245"/>
      <c r="E185" s="230"/>
      <c r="F185" s="230"/>
      <c r="G185" s="230"/>
      <c r="H185" s="230"/>
      <c r="I185" s="228"/>
      <c r="J185" s="228"/>
      <c r="K185" s="230"/>
      <c r="L185" s="230"/>
      <c r="M185" s="246"/>
      <c r="N185" s="230"/>
      <c r="O185" s="230"/>
      <c r="P185" s="230"/>
      <c r="Q185" s="230"/>
      <c r="R185" s="256"/>
      <c r="S185" s="257"/>
      <c r="T185" s="228"/>
      <c r="U185" s="228"/>
      <c r="V185" s="245"/>
      <c r="W185" s="254"/>
      <c r="X185" s="254"/>
      <c r="Y185" s="228"/>
      <c r="Z185" s="255"/>
      <c r="AA185" s="248"/>
      <c r="AB185" s="248"/>
      <c r="AC185" s="248"/>
      <c r="AD185" s="247"/>
      <c r="AE185" s="228"/>
      <c r="AF185" s="228"/>
      <c r="AG185" s="248"/>
      <c r="AH185" s="248"/>
      <c r="AI185" s="194"/>
      <c r="AJ185" s="249"/>
      <c r="AK185" s="250"/>
      <c r="AL185" s="251"/>
      <c r="AM185" s="252"/>
      <c r="AN185" s="241"/>
      <c r="AO185" s="241"/>
      <c r="AP185" s="241"/>
      <c r="AQ185" s="194"/>
      <c r="AR185" s="195"/>
      <c r="AS185" s="195"/>
    </row>
    <row r="186" spans="2:45">
      <c r="B186" s="253"/>
      <c r="C186" s="230"/>
      <c r="D186" s="245"/>
      <c r="E186" s="230"/>
      <c r="F186" s="230"/>
      <c r="G186" s="230"/>
      <c r="H186" s="230"/>
      <c r="I186" s="228"/>
      <c r="J186" s="228"/>
      <c r="K186" s="230"/>
      <c r="L186" s="230"/>
      <c r="M186" s="246"/>
      <c r="N186" s="230"/>
      <c r="O186" s="230"/>
      <c r="P186" s="230"/>
      <c r="Q186" s="230"/>
      <c r="R186" s="256"/>
      <c r="S186" s="257"/>
      <c r="T186" s="228"/>
      <c r="U186" s="228"/>
      <c r="V186" s="245"/>
      <c r="W186" s="254"/>
      <c r="X186" s="254"/>
      <c r="Y186" s="228"/>
      <c r="Z186" s="255"/>
      <c r="AA186" s="248"/>
      <c r="AB186" s="248"/>
      <c r="AC186" s="248"/>
      <c r="AD186" s="247"/>
      <c r="AE186" s="228"/>
      <c r="AF186" s="228"/>
      <c r="AG186" s="248"/>
      <c r="AH186" s="248"/>
      <c r="AI186" s="194"/>
      <c r="AJ186" s="249"/>
      <c r="AK186" s="250"/>
      <c r="AL186" s="251"/>
      <c r="AM186" s="252"/>
      <c r="AN186" s="241"/>
      <c r="AO186" s="241"/>
      <c r="AP186" s="241"/>
      <c r="AQ186" s="194"/>
      <c r="AR186" s="195"/>
      <c r="AS186" s="195"/>
    </row>
    <row r="187" spans="2:45">
      <c r="B187" s="253"/>
      <c r="C187" s="230"/>
      <c r="D187" s="245"/>
      <c r="E187" s="230"/>
      <c r="F187" s="230"/>
      <c r="G187" s="230"/>
      <c r="H187" s="230"/>
      <c r="I187" s="228"/>
      <c r="J187" s="228"/>
      <c r="K187" s="230"/>
      <c r="L187" s="230"/>
      <c r="M187" s="246"/>
      <c r="N187" s="230"/>
      <c r="O187" s="230"/>
      <c r="P187" s="230"/>
      <c r="Q187" s="230"/>
      <c r="R187" s="256"/>
      <c r="S187" s="257"/>
      <c r="T187" s="228"/>
      <c r="U187" s="228"/>
      <c r="V187" s="245"/>
      <c r="W187" s="254"/>
      <c r="X187" s="254"/>
      <c r="Y187" s="228"/>
      <c r="Z187" s="255"/>
      <c r="AA187" s="248"/>
      <c r="AB187" s="248"/>
      <c r="AC187" s="248"/>
      <c r="AD187" s="247"/>
      <c r="AE187" s="228"/>
      <c r="AF187" s="228"/>
      <c r="AG187" s="248"/>
      <c r="AH187" s="248"/>
      <c r="AI187" s="194"/>
      <c r="AJ187" s="249"/>
      <c r="AK187" s="250"/>
      <c r="AL187" s="251"/>
      <c r="AM187" s="252"/>
      <c r="AN187" s="241"/>
      <c r="AO187" s="241"/>
      <c r="AP187" s="241"/>
      <c r="AQ187" s="194"/>
      <c r="AR187" s="195"/>
      <c r="AS187" s="195"/>
    </row>
    <row r="188" spans="2:45">
      <c r="B188" s="253"/>
      <c r="C188" s="230"/>
      <c r="D188" s="245"/>
      <c r="E188" s="230"/>
      <c r="F188" s="230"/>
      <c r="G188" s="230"/>
      <c r="H188" s="230"/>
      <c r="I188" s="228"/>
      <c r="J188" s="228"/>
      <c r="K188" s="230"/>
      <c r="L188" s="230"/>
      <c r="M188" s="246"/>
      <c r="N188" s="230"/>
      <c r="O188" s="230"/>
      <c r="P188" s="230"/>
      <c r="Q188" s="230"/>
      <c r="R188" s="256"/>
      <c r="S188" s="257"/>
      <c r="T188" s="228"/>
      <c r="U188" s="228"/>
      <c r="V188" s="245"/>
      <c r="W188" s="254"/>
      <c r="X188" s="254"/>
      <c r="Y188" s="228"/>
      <c r="Z188" s="255"/>
      <c r="AA188" s="248"/>
      <c r="AB188" s="248"/>
      <c r="AC188" s="248"/>
      <c r="AD188" s="247"/>
      <c r="AE188" s="228"/>
      <c r="AF188" s="228"/>
      <c r="AG188" s="248"/>
      <c r="AH188" s="248"/>
      <c r="AI188" s="194"/>
      <c r="AJ188" s="249"/>
      <c r="AK188" s="250"/>
      <c r="AL188" s="251"/>
      <c r="AM188" s="252"/>
      <c r="AN188" s="241"/>
      <c r="AO188" s="241"/>
      <c r="AP188" s="241"/>
      <c r="AQ188" s="194"/>
      <c r="AR188" s="195"/>
      <c r="AS188" s="195"/>
    </row>
    <row r="189" spans="2:45">
      <c r="B189" s="253"/>
      <c r="C189" s="230"/>
      <c r="D189" s="245"/>
      <c r="E189" s="230"/>
      <c r="F189" s="230"/>
      <c r="G189" s="230"/>
      <c r="H189" s="230"/>
      <c r="I189" s="228"/>
      <c r="J189" s="228"/>
      <c r="K189" s="230"/>
      <c r="L189" s="230"/>
      <c r="M189" s="246"/>
      <c r="N189" s="230"/>
      <c r="O189" s="230"/>
      <c r="P189" s="230"/>
      <c r="Q189" s="230"/>
      <c r="R189" s="256"/>
      <c r="S189" s="257"/>
      <c r="T189" s="228"/>
      <c r="U189" s="228"/>
      <c r="V189" s="245"/>
      <c r="W189" s="254"/>
      <c r="X189" s="254"/>
      <c r="Y189" s="228"/>
      <c r="Z189" s="255"/>
      <c r="AA189" s="248"/>
      <c r="AB189" s="248"/>
      <c r="AC189" s="248"/>
      <c r="AD189" s="247"/>
      <c r="AE189" s="228"/>
      <c r="AF189" s="228"/>
      <c r="AG189" s="248"/>
      <c r="AH189" s="248"/>
      <c r="AI189" s="194"/>
      <c r="AJ189" s="249"/>
      <c r="AK189" s="250"/>
      <c r="AL189" s="251"/>
      <c r="AM189" s="252"/>
      <c r="AN189" s="241"/>
      <c r="AO189" s="241"/>
      <c r="AP189" s="241"/>
      <c r="AQ189" s="194"/>
      <c r="AR189" s="195"/>
      <c r="AS189" s="195"/>
    </row>
    <row r="190" spans="2:45">
      <c r="B190" s="253"/>
      <c r="C190" s="230"/>
      <c r="D190" s="245"/>
      <c r="E190" s="230"/>
      <c r="F190" s="230"/>
      <c r="G190" s="230"/>
      <c r="H190" s="230"/>
      <c r="I190" s="228"/>
      <c r="J190" s="228"/>
      <c r="K190" s="230"/>
      <c r="L190" s="230"/>
      <c r="M190" s="246"/>
      <c r="N190" s="230"/>
      <c r="O190" s="230"/>
      <c r="P190" s="230"/>
      <c r="Q190" s="230"/>
      <c r="R190" s="256"/>
      <c r="S190" s="257"/>
      <c r="T190" s="228"/>
      <c r="U190" s="228"/>
      <c r="V190" s="245"/>
      <c r="W190" s="254"/>
      <c r="X190" s="254"/>
      <c r="Y190" s="228"/>
      <c r="Z190" s="255"/>
      <c r="AA190" s="248"/>
      <c r="AB190" s="248"/>
      <c r="AC190" s="248"/>
      <c r="AD190" s="247"/>
      <c r="AE190" s="228"/>
      <c r="AF190" s="228"/>
      <c r="AG190" s="248"/>
      <c r="AH190" s="248"/>
      <c r="AI190" s="194"/>
      <c r="AJ190" s="249"/>
      <c r="AK190" s="250"/>
      <c r="AL190" s="251"/>
      <c r="AM190" s="252"/>
      <c r="AN190" s="241"/>
      <c r="AO190" s="241"/>
      <c r="AP190" s="241"/>
      <c r="AQ190" s="194"/>
      <c r="AR190" s="195"/>
      <c r="AS190" s="195"/>
    </row>
    <row r="191" spans="2:45">
      <c r="B191" s="253"/>
      <c r="C191" s="230"/>
      <c r="D191" s="245"/>
      <c r="E191" s="230"/>
      <c r="F191" s="230"/>
      <c r="G191" s="230"/>
      <c r="H191" s="230"/>
      <c r="I191" s="228"/>
      <c r="J191" s="228"/>
      <c r="K191" s="230"/>
      <c r="L191" s="230"/>
      <c r="M191" s="246"/>
      <c r="N191" s="230"/>
      <c r="O191" s="230"/>
      <c r="P191" s="230"/>
      <c r="Q191" s="230"/>
      <c r="R191" s="256"/>
      <c r="S191" s="257"/>
      <c r="T191" s="228"/>
      <c r="U191" s="228"/>
      <c r="V191" s="245"/>
      <c r="W191" s="254"/>
      <c r="X191" s="254"/>
      <c r="Y191" s="228"/>
      <c r="Z191" s="255"/>
      <c r="AA191" s="248"/>
      <c r="AB191" s="248"/>
      <c r="AC191" s="248"/>
      <c r="AD191" s="247"/>
      <c r="AE191" s="228"/>
      <c r="AF191" s="228"/>
      <c r="AG191" s="248"/>
      <c r="AH191" s="248"/>
      <c r="AI191" s="194"/>
      <c r="AJ191" s="249"/>
      <c r="AK191" s="250"/>
      <c r="AL191" s="251"/>
      <c r="AM191" s="252"/>
      <c r="AN191" s="241"/>
      <c r="AO191" s="241"/>
      <c r="AP191" s="241"/>
      <c r="AQ191" s="194"/>
      <c r="AR191" s="195"/>
      <c r="AS191" s="195"/>
    </row>
    <row r="192" spans="2:45">
      <c r="B192" s="253"/>
      <c r="C192" s="230"/>
      <c r="D192" s="245"/>
      <c r="E192" s="230"/>
      <c r="F192" s="230"/>
      <c r="G192" s="230"/>
      <c r="H192" s="230"/>
      <c r="I192" s="228"/>
      <c r="J192" s="228"/>
      <c r="K192" s="230"/>
      <c r="L192" s="230"/>
      <c r="M192" s="246"/>
      <c r="N192" s="230"/>
      <c r="O192" s="230"/>
      <c r="P192" s="230"/>
      <c r="Q192" s="230"/>
      <c r="R192" s="256"/>
      <c r="S192" s="257"/>
      <c r="T192" s="228"/>
      <c r="U192" s="228"/>
      <c r="V192" s="245"/>
      <c r="W192" s="254"/>
      <c r="X192" s="254"/>
      <c r="Y192" s="228"/>
      <c r="Z192" s="255"/>
      <c r="AA192" s="248"/>
      <c r="AB192" s="248"/>
      <c r="AC192" s="248"/>
      <c r="AD192" s="247"/>
      <c r="AE192" s="228"/>
      <c r="AF192" s="228"/>
      <c r="AG192" s="248"/>
      <c r="AH192" s="248"/>
      <c r="AI192" s="194"/>
      <c r="AJ192" s="249"/>
      <c r="AK192" s="250"/>
      <c r="AL192" s="251"/>
      <c r="AM192" s="252"/>
      <c r="AN192" s="241"/>
      <c r="AO192" s="241"/>
      <c r="AP192" s="241"/>
      <c r="AQ192" s="194"/>
      <c r="AR192" s="195"/>
      <c r="AS192" s="195"/>
    </row>
    <row r="193" spans="2:45">
      <c r="B193" s="253"/>
      <c r="C193" s="230"/>
      <c r="D193" s="245"/>
      <c r="E193" s="230"/>
      <c r="F193" s="230"/>
      <c r="G193" s="230"/>
      <c r="H193" s="230"/>
      <c r="I193" s="228"/>
      <c r="J193" s="228"/>
      <c r="K193" s="230"/>
      <c r="L193" s="230"/>
      <c r="M193" s="246"/>
      <c r="N193" s="230"/>
      <c r="O193" s="230"/>
      <c r="P193" s="230"/>
      <c r="Q193" s="230"/>
      <c r="R193" s="256"/>
      <c r="S193" s="257"/>
      <c r="T193" s="228"/>
      <c r="U193" s="228"/>
      <c r="V193" s="245"/>
      <c r="W193" s="254"/>
      <c r="X193" s="254"/>
      <c r="Y193" s="228"/>
      <c r="Z193" s="255"/>
      <c r="AA193" s="248"/>
      <c r="AB193" s="248"/>
      <c r="AC193" s="248"/>
      <c r="AD193" s="247"/>
      <c r="AE193" s="228"/>
      <c r="AF193" s="228"/>
      <c r="AG193" s="248"/>
      <c r="AH193" s="248"/>
      <c r="AI193" s="194"/>
      <c r="AJ193" s="249"/>
      <c r="AK193" s="250"/>
      <c r="AL193" s="251"/>
      <c r="AM193" s="252"/>
      <c r="AN193" s="241"/>
      <c r="AO193" s="241"/>
      <c r="AP193" s="241"/>
      <c r="AQ193" s="194"/>
      <c r="AR193" s="195"/>
      <c r="AS193" s="195"/>
    </row>
    <row r="194" spans="2:45">
      <c r="B194" s="253"/>
      <c r="C194" s="230"/>
      <c r="D194" s="245"/>
      <c r="E194" s="230"/>
      <c r="F194" s="230"/>
      <c r="G194" s="230"/>
      <c r="H194" s="230"/>
      <c r="I194" s="228"/>
      <c r="J194" s="228"/>
      <c r="K194" s="230"/>
      <c r="L194" s="230"/>
      <c r="M194" s="246"/>
      <c r="N194" s="230"/>
      <c r="O194" s="230"/>
      <c r="P194" s="230"/>
      <c r="Q194" s="230"/>
      <c r="R194" s="256"/>
      <c r="S194" s="257"/>
      <c r="T194" s="228"/>
      <c r="U194" s="228"/>
      <c r="V194" s="245"/>
      <c r="W194" s="254"/>
      <c r="X194" s="254"/>
      <c r="Y194" s="228"/>
      <c r="Z194" s="255"/>
      <c r="AA194" s="248"/>
      <c r="AB194" s="248"/>
      <c r="AC194" s="248"/>
      <c r="AD194" s="247"/>
      <c r="AE194" s="228"/>
      <c r="AF194" s="228"/>
      <c r="AG194" s="248"/>
      <c r="AH194" s="248"/>
      <c r="AI194" s="194"/>
      <c r="AJ194" s="249"/>
      <c r="AK194" s="250"/>
      <c r="AL194" s="251"/>
      <c r="AM194" s="252"/>
      <c r="AN194" s="241"/>
      <c r="AO194" s="241"/>
      <c r="AP194" s="241"/>
      <c r="AQ194" s="194"/>
      <c r="AR194" s="195"/>
      <c r="AS194" s="195"/>
    </row>
    <row r="195" spans="2:45">
      <c r="B195" s="253"/>
      <c r="C195" s="230"/>
      <c r="D195" s="245"/>
      <c r="E195" s="230"/>
      <c r="F195" s="230"/>
      <c r="G195" s="230"/>
      <c r="H195" s="230"/>
      <c r="I195" s="228"/>
      <c r="J195" s="228"/>
      <c r="K195" s="230"/>
      <c r="L195" s="230"/>
      <c r="M195" s="246"/>
      <c r="N195" s="230"/>
      <c r="O195" s="230"/>
      <c r="P195" s="230"/>
      <c r="Q195" s="230"/>
      <c r="R195" s="256"/>
      <c r="S195" s="257"/>
      <c r="T195" s="228"/>
      <c r="U195" s="228"/>
      <c r="V195" s="245"/>
      <c r="W195" s="254"/>
      <c r="X195" s="254"/>
      <c r="Y195" s="228"/>
      <c r="Z195" s="255"/>
      <c r="AA195" s="248"/>
      <c r="AB195" s="248"/>
      <c r="AC195" s="248"/>
      <c r="AD195" s="247"/>
      <c r="AE195" s="228"/>
      <c r="AF195" s="228"/>
      <c r="AG195" s="248"/>
      <c r="AH195" s="248"/>
      <c r="AI195" s="194"/>
      <c r="AJ195" s="249"/>
      <c r="AK195" s="250"/>
      <c r="AL195" s="251"/>
      <c r="AM195" s="252"/>
      <c r="AN195" s="241"/>
      <c r="AO195" s="241"/>
      <c r="AP195" s="241"/>
      <c r="AQ195" s="194"/>
      <c r="AR195" s="195"/>
      <c r="AS195" s="195"/>
    </row>
    <row r="196" spans="2:45">
      <c r="B196" s="253"/>
      <c r="C196" s="230"/>
      <c r="D196" s="245"/>
      <c r="E196" s="230"/>
      <c r="F196" s="230"/>
      <c r="G196" s="230"/>
      <c r="H196" s="230"/>
      <c r="I196" s="228"/>
      <c r="J196" s="228"/>
      <c r="K196" s="230"/>
      <c r="L196" s="230"/>
      <c r="M196" s="246"/>
      <c r="N196" s="230"/>
      <c r="O196" s="230"/>
      <c r="P196" s="230"/>
      <c r="Q196" s="230"/>
      <c r="R196" s="256"/>
      <c r="S196" s="257"/>
      <c r="T196" s="228"/>
      <c r="U196" s="228"/>
      <c r="V196" s="245"/>
      <c r="W196" s="254"/>
      <c r="X196" s="254"/>
      <c r="Y196" s="228"/>
      <c r="Z196" s="255"/>
      <c r="AA196" s="248"/>
      <c r="AB196" s="248"/>
      <c r="AC196" s="248"/>
      <c r="AD196" s="247"/>
      <c r="AE196" s="228"/>
      <c r="AF196" s="228"/>
      <c r="AG196" s="248"/>
      <c r="AH196" s="248"/>
      <c r="AI196" s="194"/>
      <c r="AJ196" s="249"/>
      <c r="AK196" s="250"/>
      <c r="AL196" s="251"/>
      <c r="AM196" s="252"/>
      <c r="AN196" s="241"/>
      <c r="AO196" s="241"/>
      <c r="AP196" s="241"/>
      <c r="AQ196" s="194"/>
      <c r="AR196" s="195"/>
      <c r="AS196" s="195"/>
    </row>
    <row r="197" spans="2:45">
      <c r="B197" s="253"/>
      <c r="C197" s="230"/>
      <c r="D197" s="245"/>
      <c r="E197" s="230"/>
      <c r="F197" s="230"/>
      <c r="G197" s="230"/>
      <c r="H197" s="230"/>
      <c r="I197" s="228"/>
      <c r="J197" s="228"/>
      <c r="K197" s="230"/>
      <c r="L197" s="230"/>
      <c r="M197" s="246"/>
      <c r="N197" s="230"/>
      <c r="O197" s="230"/>
      <c r="P197" s="230"/>
      <c r="Q197" s="230"/>
      <c r="R197" s="256"/>
      <c r="S197" s="257"/>
      <c r="T197" s="228"/>
      <c r="U197" s="228"/>
      <c r="V197" s="245"/>
      <c r="W197" s="254"/>
      <c r="X197" s="254"/>
      <c r="Y197" s="228"/>
      <c r="Z197" s="255"/>
      <c r="AA197" s="248"/>
      <c r="AB197" s="248"/>
      <c r="AC197" s="248"/>
      <c r="AD197" s="247"/>
      <c r="AE197" s="228"/>
      <c r="AF197" s="228"/>
      <c r="AG197" s="248"/>
      <c r="AH197" s="248"/>
      <c r="AI197" s="194"/>
      <c r="AJ197" s="249"/>
      <c r="AK197" s="250"/>
      <c r="AL197" s="251"/>
      <c r="AM197" s="252"/>
      <c r="AN197" s="241"/>
      <c r="AO197" s="241"/>
      <c r="AP197" s="241"/>
      <c r="AQ197" s="194"/>
      <c r="AR197" s="195"/>
      <c r="AS197" s="195"/>
    </row>
    <row r="198" spans="2:45">
      <c r="B198" s="253"/>
      <c r="C198" s="230"/>
      <c r="D198" s="245"/>
      <c r="E198" s="230"/>
      <c r="F198" s="230"/>
      <c r="G198" s="230"/>
      <c r="H198" s="230"/>
      <c r="I198" s="228"/>
      <c r="J198" s="228"/>
      <c r="K198" s="230"/>
      <c r="L198" s="230"/>
      <c r="M198" s="246"/>
      <c r="N198" s="230"/>
      <c r="O198" s="230"/>
      <c r="P198" s="230"/>
      <c r="Q198" s="230"/>
      <c r="R198" s="256"/>
      <c r="S198" s="257"/>
      <c r="T198" s="228"/>
      <c r="U198" s="228"/>
      <c r="V198" s="245"/>
      <c r="W198" s="254"/>
      <c r="X198" s="254"/>
      <c r="Y198" s="228"/>
      <c r="Z198" s="255"/>
      <c r="AA198" s="248"/>
      <c r="AB198" s="248"/>
      <c r="AC198" s="248"/>
      <c r="AD198" s="247"/>
      <c r="AE198" s="228"/>
      <c r="AF198" s="228"/>
      <c r="AG198" s="248"/>
      <c r="AH198" s="248"/>
      <c r="AI198" s="194"/>
      <c r="AJ198" s="249"/>
      <c r="AK198" s="250"/>
      <c r="AL198" s="251"/>
      <c r="AM198" s="252"/>
      <c r="AN198" s="241"/>
      <c r="AO198" s="241"/>
      <c r="AP198" s="241"/>
      <c r="AQ198" s="194"/>
      <c r="AR198" s="195"/>
      <c r="AS198" s="195"/>
    </row>
    <row r="199" spans="2:45">
      <c r="B199" s="253"/>
      <c r="C199" s="230"/>
      <c r="D199" s="245"/>
      <c r="E199" s="230"/>
      <c r="F199" s="230"/>
      <c r="G199" s="230"/>
      <c r="H199" s="230"/>
      <c r="I199" s="228"/>
      <c r="J199" s="228"/>
      <c r="K199" s="230"/>
      <c r="L199" s="230"/>
      <c r="M199" s="246"/>
      <c r="N199" s="230"/>
      <c r="O199" s="230"/>
      <c r="P199" s="230"/>
      <c r="Q199" s="230"/>
      <c r="R199" s="256"/>
      <c r="S199" s="257"/>
      <c r="T199" s="228"/>
      <c r="U199" s="228"/>
      <c r="V199" s="245"/>
      <c r="W199" s="254"/>
      <c r="X199" s="254"/>
      <c r="Y199" s="228"/>
      <c r="Z199" s="255"/>
      <c r="AA199" s="248"/>
      <c r="AB199" s="248"/>
      <c r="AC199" s="248"/>
      <c r="AD199" s="247"/>
      <c r="AE199" s="228"/>
      <c r="AF199" s="228"/>
      <c r="AG199" s="248"/>
      <c r="AH199" s="248"/>
      <c r="AI199" s="194"/>
      <c r="AJ199" s="249"/>
      <c r="AK199" s="250"/>
      <c r="AL199" s="251"/>
      <c r="AM199" s="252"/>
      <c r="AN199" s="241"/>
      <c r="AO199" s="241"/>
      <c r="AP199" s="241"/>
      <c r="AQ199" s="194"/>
      <c r="AR199" s="195"/>
      <c r="AS199" s="195"/>
    </row>
    <row r="200" spans="2:45">
      <c r="B200" s="253"/>
      <c r="C200" s="230"/>
      <c r="D200" s="245"/>
      <c r="E200" s="230"/>
      <c r="F200" s="230"/>
      <c r="G200" s="230"/>
      <c r="H200" s="230"/>
      <c r="I200" s="228"/>
      <c r="J200" s="228"/>
      <c r="K200" s="230"/>
      <c r="L200" s="230"/>
      <c r="M200" s="246"/>
      <c r="N200" s="230"/>
      <c r="O200" s="230"/>
      <c r="P200" s="230"/>
      <c r="Q200" s="230"/>
      <c r="R200" s="256"/>
      <c r="S200" s="257"/>
      <c r="T200" s="228"/>
      <c r="U200" s="228"/>
      <c r="V200" s="245"/>
      <c r="W200" s="254"/>
      <c r="X200" s="254"/>
      <c r="Y200" s="228"/>
      <c r="Z200" s="255"/>
      <c r="AA200" s="248"/>
      <c r="AB200" s="248"/>
      <c r="AC200" s="248"/>
      <c r="AD200" s="247"/>
      <c r="AE200" s="228"/>
      <c r="AF200" s="228"/>
      <c r="AG200" s="248"/>
      <c r="AH200" s="248"/>
      <c r="AI200" s="194"/>
      <c r="AJ200" s="249"/>
      <c r="AK200" s="250"/>
      <c r="AL200" s="251"/>
      <c r="AM200" s="252"/>
      <c r="AN200" s="241"/>
      <c r="AO200" s="241"/>
      <c r="AP200" s="241"/>
      <c r="AQ200" s="194"/>
      <c r="AR200" s="195"/>
      <c r="AS200" s="195"/>
    </row>
    <row r="201" spans="2:45">
      <c r="B201" s="253"/>
      <c r="C201" s="230"/>
      <c r="D201" s="245"/>
      <c r="E201" s="230"/>
      <c r="F201" s="230"/>
      <c r="G201" s="230"/>
      <c r="H201" s="230"/>
      <c r="I201" s="228"/>
      <c r="J201" s="228"/>
      <c r="K201" s="230"/>
      <c r="L201" s="230"/>
      <c r="M201" s="246"/>
      <c r="N201" s="230"/>
      <c r="O201" s="230"/>
      <c r="P201" s="230"/>
      <c r="Q201" s="230"/>
      <c r="R201" s="256"/>
      <c r="S201" s="257"/>
      <c r="T201" s="228"/>
      <c r="U201" s="228"/>
      <c r="V201" s="245"/>
      <c r="W201" s="254"/>
      <c r="X201" s="254"/>
      <c r="Y201" s="228"/>
      <c r="Z201" s="255"/>
      <c r="AA201" s="248"/>
      <c r="AB201" s="248"/>
      <c r="AC201" s="248"/>
      <c r="AD201" s="247"/>
      <c r="AE201" s="228"/>
      <c r="AF201" s="228"/>
      <c r="AG201" s="248"/>
      <c r="AH201" s="248"/>
      <c r="AI201" s="194"/>
      <c r="AJ201" s="249"/>
      <c r="AK201" s="250"/>
      <c r="AL201" s="251"/>
      <c r="AM201" s="252"/>
      <c r="AN201" s="241"/>
      <c r="AO201" s="241"/>
      <c r="AP201" s="241"/>
      <c r="AQ201" s="194"/>
      <c r="AR201" s="195"/>
      <c r="AS201" s="195"/>
    </row>
    <row r="202" spans="2:45">
      <c r="B202" s="253"/>
      <c r="C202" s="230"/>
      <c r="D202" s="245"/>
      <c r="E202" s="230"/>
      <c r="F202" s="230"/>
      <c r="G202" s="230"/>
      <c r="H202" s="230"/>
      <c r="I202" s="228"/>
      <c r="J202" s="228"/>
      <c r="K202" s="230"/>
      <c r="L202" s="230"/>
      <c r="M202" s="246"/>
      <c r="N202" s="230"/>
      <c r="O202" s="230"/>
      <c r="P202" s="230"/>
      <c r="Q202" s="230"/>
      <c r="R202" s="256"/>
      <c r="S202" s="257"/>
      <c r="T202" s="228"/>
      <c r="U202" s="228"/>
      <c r="V202" s="245"/>
      <c r="W202" s="254"/>
      <c r="X202" s="254"/>
      <c r="Y202" s="228"/>
      <c r="Z202" s="255"/>
      <c r="AA202" s="248"/>
      <c r="AB202" s="248"/>
      <c r="AC202" s="248"/>
      <c r="AD202" s="247"/>
      <c r="AE202" s="228"/>
      <c r="AF202" s="228"/>
      <c r="AG202" s="248"/>
      <c r="AH202" s="248"/>
      <c r="AI202" s="194"/>
      <c r="AJ202" s="249"/>
      <c r="AK202" s="250"/>
      <c r="AL202" s="251"/>
      <c r="AM202" s="252"/>
      <c r="AN202" s="241"/>
      <c r="AO202" s="241"/>
      <c r="AP202" s="241"/>
      <c r="AQ202" s="194"/>
      <c r="AR202" s="195"/>
      <c r="AS202" s="195"/>
    </row>
    <row r="203" spans="2:45">
      <c r="B203" s="253"/>
      <c r="C203" s="230"/>
      <c r="D203" s="245"/>
      <c r="E203" s="230"/>
      <c r="F203" s="230"/>
      <c r="G203" s="230"/>
      <c r="H203" s="230"/>
      <c r="I203" s="228"/>
      <c r="J203" s="228"/>
      <c r="K203" s="230"/>
      <c r="L203" s="230"/>
      <c r="M203" s="246"/>
      <c r="N203" s="230"/>
      <c r="O203" s="230"/>
      <c r="P203" s="230"/>
      <c r="Q203" s="230"/>
      <c r="R203" s="256"/>
      <c r="S203" s="257"/>
      <c r="T203" s="228"/>
      <c r="U203" s="228"/>
      <c r="V203" s="245"/>
      <c r="W203" s="254"/>
      <c r="X203" s="254"/>
      <c r="Y203" s="228"/>
      <c r="Z203" s="255"/>
      <c r="AA203" s="248"/>
      <c r="AB203" s="248"/>
      <c r="AC203" s="248"/>
      <c r="AD203" s="247"/>
      <c r="AE203" s="228"/>
      <c r="AF203" s="228"/>
      <c r="AG203" s="248"/>
      <c r="AH203" s="248"/>
      <c r="AI203" s="194"/>
      <c r="AJ203" s="249"/>
      <c r="AK203" s="250"/>
      <c r="AL203" s="251"/>
      <c r="AM203" s="252"/>
      <c r="AN203" s="241"/>
      <c r="AO203" s="241"/>
      <c r="AP203" s="241"/>
      <c r="AQ203" s="194"/>
      <c r="AR203" s="195"/>
      <c r="AS203" s="195"/>
    </row>
    <row r="204" spans="2:45">
      <c r="B204" s="253"/>
      <c r="C204" s="230"/>
      <c r="D204" s="245"/>
      <c r="E204" s="230"/>
      <c r="F204" s="230"/>
      <c r="G204" s="230"/>
      <c r="H204" s="230"/>
      <c r="I204" s="228"/>
      <c r="J204" s="228"/>
      <c r="K204" s="230"/>
      <c r="L204" s="230"/>
      <c r="M204" s="246"/>
      <c r="N204" s="230"/>
      <c r="O204" s="230"/>
      <c r="P204" s="230"/>
      <c r="Q204" s="230"/>
      <c r="R204" s="256"/>
      <c r="S204" s="257"/>
      <c r="T204" s="228"/>
      <c r="U204" s="228"/>
      <c r="V204" s="245"/>
      <c r="W204" s="254"/>
      <c r="X204" s="254"/>
      <c r="Y204" s="228"/>
      <c r="Z204" s="255"/>
      <c r="AA204" s="248"/>
      <c r="AB204" s="248"/>
      <c r="AC204" s="248"/>
      <c r="AD204" s="247"/>
      <c r="AE204" s="228"/>
      <c r="AF204" s="228"/>
      <c r="AG204" s="248"/>
      <c r="AH204" s="248"/>
      <c r="AI204" s="194"/>
      <c r="AJ204" s="249"/>
      <c r="AK204" s="250"/>
      <c r="AL204" s="251"/>
      <c r="AM204" s="252"/>
      <c r="AN204" s="241"/>
      <c r="AO204" s="241"/>
      <c r="AP204" s="241"/>
      <c r="AQ204" s="194"/>
      <c r="AR204" s="195"/>
      <c r="AS204" s="195"/>
    </row>
    <row r="205" spans="2:45">
      <c r="B205" s="253"/>
      <c r="C205" s="230"/>
      <c r="D205" s="245"/>
      <c r="E205" s="230"/>
      <c r="F205" s="230"/>
      <c r="G205" s="230"/>
      <c r="H205" s="230"/>
      <c r="I205" s="228"/>
      <c r="J205" s="228"/>
      <c r="K205" s="230"/>
      <c r="L205" s="230"/>
      <c r="M205" s="246"/>
      <c r="N205" s="230"/>
      <c r="O205" s="230"/>
      <c r="P205" s="230"/>
      <c r="Q205" s="230"/>
      <c r="R205" s="256"/>
      <c r="S205" s="257"/>
      <c r="T205" s="228"/>
      <c r="U205" s="228"/>
      <c r="V205" s="245"/>
      <c r="W205" s="254"/>
      <c r="X205" s="254"/>
      <c r="Y205" s="228"/>
      <c r="Z205" s="255"/>
      <c r="AA205" s="248"/>
      <c r="AB205" s="248"/>
      <c r="AC205" s="248"/>
      <c r="AD205" s="247"/>
      <c r="AE205" s="228"/>
      <c r="AF205" s="228"/>
      <c r="AG205" s="248"/>
      <c r="AH205" s="248"/>
      <c r="AI205" s="194"/>
      <c r="AJ205" s="249"/>
      <c r="AK205" s="250"/>
      <c r="AL205" s="251"/>
      <c r="AM205" s="252"/>
      <c r="AN205" s="241"/>
      <c r="AO205" s="241"/>
      <c r="AP205" s="241"/>
      <c r="AQ205" s="194"/>
      <c r="AR205" s="195"/>
      <c r="AS205" s="195"/>
    </row>
    <row r="206" spans="2:45">
      <c r="B206" s="253"/>
      <c r="C206" s="230"/>
      <c r="D206" s="245"/>
      <c r="E206" s="230"/>
      <c r="F206" s="230"/>
      <c r="G206" s="230"/>
      <c r="H206" s="230"/>
      <c r="I206" s="228"/>
      <c r="J206" s="228"/>
      <c r="K206" s="230"/>
      <c r="L206" s="230"/>
      <c r="M206" s="246"/>
      <c r="N206" s="230"/>
      <c r="O206" s="230"/>
      <c r="P206" s="230"/>
      <c r="Q206" s="230"/>
      <c r="R206" s="256"/>
      <c r="S206" s="257"/>
      <c r="T206" s="228"/>
      <c r="U206" s="228"/>
      <c r="V206" s="245"/>
      <c r="W206" s="254"/>
      <c r="X206" s="254"/>
      <c r="Y206" s="228"/>
      <c r="Z206" s="255"/>
      <c r="AA206" s="248"/>
      <c r="AB206" s="248"/>
      <c r="AC206" s="248"/>
      <c r="AD206" s="247"/>
      <c r="AE206" s="228"/>
      <c r="AF206" s="228"/>
      <c r="AG206" s="248"/>
      <c r="AH206" s="248"/>
      <c r="AI206" s="194"/>
      <c r="AJ206" s="249"/>
      <c r="AK206" s="250"/>
      <c r="AL206" s="251"/>
      <c r="AM206" s="252"/>
      <c r="AN206" s="241"/>
      <c r="AO206" s="241"/>
      <c r="AP206" s="241"/>
      <c r="AQ206" s="194"/>
      <c r="AR206" s="195"/>
      <c r="AS206" s="195"/>
    </row>
    <row r="207" spans="2:45">
      <c r="B207" s="253"/>
      <c r="C207" s="230"/>
      <c r="D207" s="245"/>
      <c r="E207" s="230"/>
      <c r="F207" s="230"/>
      <c r="G207" s="230"/>
      <c r="H207" s="230"/>
      <c r="I207" s="228"/>
      <c r="J207" s="228"/>
      <c r="K207" s="230"/>
      <c r="L207" s="230"/>
      <c r="M207" s="246"/>
      <c r="N207" s="230"/>
      <c r="O207" s="230"/>
      <c r="P207" s="230"/>
      <c r="Q207" s="230"/>
      <c r="R207" s="256"/>
      <c r="S207" s="257"/>
      <c r="T207" s="228"/>
      <c r="U207" s="228"/>
      <c r="V207" s="245"/>
      <c r="W207" s="254"/>
      <c r="X207" s="254"/>
      <c r="Y207" s="228"/>
      <c r="Z207" s="255"/>
      <c r="AA207" s="248"/>
      <c r="AB207" s="248"/>
      <c r="AC207" s="248"/>
      <c r="AD207" s="247"/>
      <c r="AE207" s="228"/>
      <c r="AF207" s="228"/>
      <c r="AG207" s="248"/>
      <c r="AH207" s="248"/>
      <c r="AI207" s="194"/>
      <c r="AJ207" s="249"/>
      <c r="AK207" s="250"/>
      <c r="AL207" s="251"/>
      <c r="AM207" s="252"/>
      <c r="AN207" s="241"/>
      <c r="AO207" s="241"/>
      <c r="AP207" s="241"/>
      <c r="AQ207" s="194"/>
      <c r="AR207" s="195"/>
      <c r="AS207" s="195"/>
    </row>
    <row r="208" spans="2:45">
      <c r="B208" s="253"/>
      <c r="C208" s="230"/>
      <c r="D208" s="245"/>
      <c r="E208" s="230"/>
      <c r="F208" s="230"/>
      <c r="G208" s="230"/>
      <c r="H208" s="230"/>
      <c r="I208" s="228"/>
      <c r="J208" s="228"/>
      <c r="K208" s="230"/>
      <c r="L208" s="230"/>
      <c r="M208" s="246"/>
      <c r="N208" s="230"/>
      <c r="O208" s="230"/>
      <c r="P208" s="230"/>
      <c r="Q208" s="230"/>
      <c r="R208" s="256"/>
      <c r="S208" s="257"/>
      <c r="T208" s="228"/>
      <c r="U208" s="228"/>
      <c r="V208" s="245"/>
      <c r="W208" s="254"/>
      <c r="X208" s="254"/>
      <c r="Y208" s="228"/>
      <c r="Z208" s="255"/>
      <c r="AA208" s="248"/>
      <c r="AB208" s="248"/>
      <c r="AC208" s="248"/>
      <c r="AD208" s="247"/>
      <c r="AE208" s="228"/>
      <c r="AF208" s="228"/>
      <c r="AG208" s="248"/>
      <c r="AH208" s="248"/>
      <c r="AI208" s="194"/>
      <c r="AJ208" s="249"/>
      <c r="AK208" s="250"/>
      <c r="AL208" s="251"/>
      <c r="AM208" s="252"/>
      <c r="AN208" s="241"/>
      <c r="AO208" s="241"/>
      <c r="AP208" s="241"/>
      <c r="AQ208" s="194"/>
      <c r="AR208" s="195"/>
      <c r="AS208" s="195"/>
    </row>
    <row r="209" spans="2:45">
      <c r="B209" s="253"/>
      <c r="C209" s="230"/>
      <c r="D209" s="245"/>
      <c r="E209" s="230"/>
      <c r="F209" s="230"/>
      <c r="G209" s="230"/>
      <c r="H209" s="230"/>
      <c r="I209" s="228"/>
      <c r="J209" s="228"/>
      <c r="K209" s="230"/>
      <c r="L209" s="230"/>
      <c r="M209" s="246"/>
      <c r="N209" s="230"/>
      <c r="O209" s="230"/>
      <c r="P209" s="230"/>
      <c r="Q209" s="230"/>
      <c r="R209" s="256"/>
      <c r="S209" s="257"/>
      <c r="T209" s="228"/>
      <c r="U209" s="228"/>
      <c r="V209" s="245"/>
      <c r="W209" s="254"/>
      <c r="X209" s="254"/>
      <c r="Y209" s="228"/>
      <c r="Z209" s="255"/>
      <c r="AA209" s="248"/>
      <c r="AB209" s="248"/>
      <c r="AC209" s="248"/>
      <c r="AD209" s="247"/>
      <c r="AE209" s="228"/>
      <c r="AF209" s="228"/>
      <c r="AG209" s="248"/>
      <c r="AH209" s="248"/>
      <c r="AI209" s="194"/>
      <c r="AJ209" s="249"/>
      <c r="AK209" s="250"/>
      <c r="AL209" s="251"/>
      <c r="AM209" s="252"/>
      <c r="AN209" s="241"/>
      <c r="AO209" s="241"/>
      <c r="AP209" s="241"/>
      <c r="AQ209" s="194"/>
      <c r="AR209" s="195"/>
      <c r="AS209" s="195"/>
    </row>
    <row r="210" spans="2:45">
      <c r="B210" s="253"/>
      <c r="C210" s="230"/>
      <c r="D210" s="245"/>
      <c r="E210" s="230"/>
      <c r="F210" s="230"/>
      <c r="G210" s="230"/>
      <c r="H210" s="230"/>
      <c r="I210" s="228"/>
      <c r="J210" s="228"/>
      <c r="K210" s="230"/>
      <c r="L210" s="230"/>
      <c r="M210" s="246"/>
      <c r="N210" s="230"/>
      <c r="O210" s="230"/>
      <c r="P210" s="230"/>
      <c r="Q210" s="230"/>
      <c r="R210" s="256"/>
      <c r="S210" s="257"/>
      <c r="T210" s="228"/>
      <c r="U210" s="228"/>
      <c r="V210" s="245"/>
      <c r="W210" s="254"/>
      <c r="X210" s="254"/>
      <c r="Y210" s="228"/>
      <c r="Z210" s="255"/>
      <c r="AA210" s="248"/>
      <c r="AB210" s="248"/>
      <c r="AC210" s="248"/>
      <c r="AD210" s="247"/>
      <c r="AE210" s="228"/>
      <c r="AF210" s="228"/>
      <c r="AG210" s="248"/>
      <c r="AH210" s="248"/>
      <c r="AI210" s="194"/>
      <c r="AJ210" s="249"/>
      <c r="AK210" s="250"/>
      <c r="AL210" s="251"/>
      <c r="AM210" s="252"/>
      <c r="AN210" s="241"/>
      <c r="AO210" s="241"/>
      <c r="AP210" s="241"/>
      <c r="AQ210" s="194"/>
      <c r="AR210" s="195"/>
      <c r="AS210" s="195"/>
    </row>
    <row r="211" spans="2:45">
      <c r="B211" s="253"/>
      <c r="C211" s="230"/>
      <c r="D211" s="245"/>
      <c r="E211" s="230"/>
      <c r="F211" s="230"/>
      <c r="G211" s="230"/>
      <c r="H211" s="230"/>
      <c r="I211" s="228"/>
      <c r="J211" s="228"/>
      <c r="K211" s="230"/>
      <c r="L211" s="230"/>
      <c r="M211" s="246"/>
      <c r="N211" s="230"/>
      <c r="O211" s="230"/>
      <c r="P211" s="230"/>
      <c r="Q211" s="230"/>
      <c r="R211" s="256"/>
      <c r="S211" s="257"/>
      <c r="T211" s="228"/>
      <c r="U211" s="228"/>
      <c r="V211" s="245"/>
      <c r="W211" s="254"/>
      <c r="X211" s="254"/>
      <c r="Y211" s="228"/>
      <c r="Z211" s="255"/>
      <c r="AA211" s="248"/>
      <c r="AB211" s="248"/>
      <c r="AC211" s="248"/>
      <c r="AD211" s="247"/>
      <c r="AE211" s="228"/>
      <c r="AF211" s="228"/>
      <c r="AG211" s="248"/>
      <c r="AH211" s="248"/>
      <c r="AI211" s="194"/>
      <c r="AJ211" s="249"/>
      <c r="AK211" s="250"/>
      <c r="AL211" s="251"/>
      <c r="AM211" s="252"/>
      <c r="AN211" s="241"/>
      <c r="AO211" s="241"/>
      <c r="AP211" s="241"/>
      <c r="AQ211" s="194"/>
      <c r="AR211" s="195"/>
      <c r="AS211" s="195"/>
    </row>
    <row r="212" spans="2:45">
      <c r="B212" s="253"/>
      <c r="C212" s="230"/>
      <c r="D212" s="245"/>
      <c r="E212" s="230"/>
      <c r="F212" s="230"/>
      <c r="G212" s="230"/>
      <c r="H212" s="230"/>
      <c r="I212" s="228"/>
      <c r="J212" s="228"/>
      <c r="K212" s="230"/>
      <c r="L212" s="230"/>
      <c r="M212" s="246"/>
      <c r="N212" s="230"/>
      <c r="O212" s="230"/>
      <c r="P212" s="230"/>
      <c r="Q212" s="230"/>
      <c r="R212" s="256"/>
      <c r="S212" s="257"/>
      <c r="T212" s="228"/>
      <c r="U212" s="228"/>
      <c r="V212" s="245"/>
      <c r="W212" s="254"/>
      <c r="X212" s="254"/>
      <c r="Y212" s="228"/>
      <c r="Z212" s="255"/>
      <c r="AA212" s="248"/>
      <c r="AB212" s="248"/>
      <c r="AC212" s="248"/>
      <c r="AD212" s="247"/>
      <c r="AE212" s="228"/>
      <c r="AF212" s="228"/>
      <c r="AG212" s="248"/>
      <c r="AH212" s="248"/>
      <c r="AI212" s="194"/>
      <c r="AJ212" s="249"/>
      <c r="AK212" s="250"/>
      <c r="AL212" s="251"/>
      <c r="AM212" s="252"/>
      <c r="AN212" s="241"/>
      <c r="AO212" s="241"/>
      <c r="AP212" s="241"/>
      <c r="AQ212" s="194"/>
      <c r="AR212" s="195"/>
      <c r="AS212" s="195"/>
    </row>
    <row r="213" spans="2:45">
      <c r="B213" s="253"/>
      <c r="C213" s="230"/>
      <c r="D213" s="245"/>
      <c r="E213" s="230"/>
      <c r="F213" s="230"/>
      <c r="G213" s="230"/>
      <c r="H213" s="230"/>
      <c r="I213" s="228"/>
      <c r="J213" s="228"/>
      <c r="K213" s="230"/>
      <c r="L213" s="230"/>
      <c r="M213" s="246"/>
      <c r="N213" s="230"/>
      <c r="O213" s="230"/>
      <c r="P213" s="230"/>
      <c r="Q213" s="230"/>
      <c r="R213" s="256"/>
      <c r="S213" s="257"/>
      <c r="T213" s="228"/>
      <c r="U213" s="228"/>
      <c r="V213" s="245"/>
      <c r="W213" s="254"/>
      <c r="X213" s="254"/>
      <c r="Y213" s="228"/>
      <c r="Z213" s="255"/>
      <c r="AA213" s="248"/>
      <c r="AB213" s="248"/>
      <c r="AC213" s="248"/>
      <c r="AD213" s="247"/>
      <c r="AE213" s="228"/>
      <c r="AF213" s="228"/>
      <c r="AG213" s="248"/>
      <c r="AH213" s="248"/>
      <c r="AI213" s="194"/>
      <c r="AJ213" s="249"/>
      <c r="AK213" s="250"/>
      <c r="AL213" s="251"/>
      <c r="AM213" s="252"/>
      <c r="AN213" s="241"/>
      <c r="AO213" s="241"/>
      <c r="AP213" s="241"/>
      <c r="AQ213" s="194"/>
      <c r="AR213" s="195"/>
      <c r="AS213" s="195"/>
    </row>
    <row r="214" spans="2:45">
      <c r="B214" s="253"/>
      <c r="C214" s="230"/>
      <c r="D214" s="245"/>
      <c r="E214" s="230"/>
      <c r="F214" s="230"/>
      <c r="G214" s="230"/>
      <c r="H214" s="230"/>
      <c r="I214" s="228"/>
      <c r="J214" s="228"/>
      <c r="K214" s="230"/>
      <c r="L214" s="230"/>
      <c r="M214" s="246"/>
      <c r="N214" s="230"/>
      <c r="O214" s="230"/>
      <c r="P214" s="230"/>
      <c r="Q214" s="230"/>
      <c r="R214" s="256"/>
      <c r="S214" s="257"/>
      <c r="T214" s="228"/>
      <c r="U214" s="228"/>
      <c r="V214" s="245"/>
      <c r="W214" s="254"/>
      <c r="X214" s="254"/>
      <c r="Y214" s="228"/>
      <c r="Z214" s="255"/>
      <c r="AA214" s="248"/>
      <c r="AB214" s="248"/>
      <c r="AC214" s="248"/>
      <c r="AD214" s="247"/>
      <c r="AE214" s="228"/>
      <c r="AF214" s="228"/>
      <c r="AG214" s="248"/>
      <c r="AH214" s="248"/>
      <c r="AI214" s="194"/>
      <c r="AJ214" s="249"/>
      <c r="AK214" s="250"/>
      <c r="AL214" s="251"/>
      <c r="AM214" s="252"/>
      <c r="AN214" s="241"/>
      <c r="AO214" s="241"/>
      <c r="AP214" s="241"/>
      <c r="AQ214" s="194"/>
      <c r="AR214" s="195"/>
      <c r="AS214" s="195"/>
    </row>
    <row r="215" spans="2:45">
      <c r="B215" s="253"/>
      <c r="C215" s="230"/>
      <c r="D215" s="245"/>
      <c r="E215" s="230"/>
      <c r="F215" s="230"/>
      <c r="G215" s="230"/>
      <c r="H215" s="230"/>
      <c r="I215" s="228"/>
      <c r="J215" s="228"/>
      <c r="K215" s="230"/>
      <c r="L215" s="230"/>
      <c r="M215" s="246"/>
      <c r="N215" s="230"/>
      <c r="O215" s="230"/>
      <c r="P215" s="230"/>
      <c r="Q215" s="230"/>
      <c r="R215" s="256"/>
      <c r="S215" s="257"/>
      <c r="T215" s="228"/>
      <c r="U215" s="228"/>
      <c r="V215" s="245"/>
      <c r="W215" s="254"/>
      <c r="X215" s="254"/>
      <c r="Y215" s="228"/>
      <c r="Z215" s="255"/>
      <c r="AA215" s="248"/>
      <c r="AB215" s="248"/>
      <c r="AC215" s="248"/>
      <c r="AD215" s="247"/>
      <c r="AE215" s="228"/>
      <c r="AF215" s="228"/>
      <c r="AG215" s="248"/>
      <c r="AH215" s="248"/>
      <c r="AI215" s="194"/>
      <c r="AJ215" s="249"/>
      <c r="AK215" s="250"/>
      <c r="AL215" s="251"/>
      <c r="AM215" s="252"/>
      <c r="AN215" s="241"/>
      <c r="AO215" s="241"/>
      <c r="AP215" s="241"/>
      <c r="AQ215" s="194"/>
      <c r="AR215" s="195"/>
      <c r="AS215" s="195"/>
    </row>
    <row r="216" spans="2:45">
      <c r="B216" s="253"/>
      <c r="C216" s="230"/>
      <c r="D216" s="245"/>
      <c r="E216" s="230"/>
      <c r="F216" s="230"/>
      <c r="G216" s="230"/>
      <c r="H216" s="230"/>
      <c r="I216" s="228"/>
      <c r="J216" s="228"/>
      <c r="K216" s="230"/>
      <c r="L216" s="230"/>
      <c r="M216" s="246"/>
      <c r="N216" s="230"/>
      <c r="O216" s="230"/>
      <c r="P216" s="230"/>
      <c r="Q216" s="230"/>
      <c r="R216" s="256"/>
      <c r="S216" s="257"/>
      <c r="T216" s="228"/>
      <c r="U216" s="228"/>
      <c r="V216" s="245"/>
      <c r="W216" s="254"/>
      <c r="X216" s="254"/>
      <c r="Y216" s="228"/>
      <c r="Z216" s="255"/>
      <c r="AA216" s="248"/>
      <c r="AB216" s="248"/>
      <c r="AC216" s="248"/>
      <c r="AD216" s="247"/>
      <c r="AE216" s="228"/>
      <c r="AF216" s="228"/>
      <c r="AG216" s="248"/>
      <c r="AH216" s="248"/>
      <c r="AI216" s="194"/>
      <c r="AJ216" s="249"/>
      <c r="AK216" s="250"/>
      <c r="AL216" s="251"/>
      <c r="AM216" s="252"/>
      <c r="AN216" s="241"/>
      <c r="AO216" s="241"/>
      <c r="AP216" s="241"/>
      <c r="AQ216" s="194"/>
      <c r="AR216" s="195"/>
      <c r="AS216" s="195"/>
    </row>
    <row r="217" spans="2:45">
      <c r="B217" s="253"/>
      <c r="C217" s="230"/>
      <c r="D217" s="245"/>
      <c r="E217" s="230"/>
      <c r="F217" s="230"/>
      <c r="G217" s="230"/>
      <c r="H217" s="230"/>
      <c r="I217" s="228"/>
      <c r="J217" s="228"/>
      <c r="K217" s="230"/>
      <c r="L217" s="230"/>
      <c r="M217" s="246"/>
      <c r="N217" s="230"/>
      <c r="O217" s="230"/>
      <c r="P217" s="230"/>
      <c r="Q217" s="230"/>
      <c r="R217" s="256"/>
      <c r="S217" s="257"/>
      <c r="T217" s="228"/>
      <c r="U217" s="228"/>
      <c r="V217" s="245"/>
      <c r="W217" s="254"/>
      <c r="X217" s="254"/>
      <c r="Y217" s="228"/>
      <c r="Z217" s="255"/>
      <c r="AA217" s="248"/>
      <c r="AB217" s="248"/>
      <c r="AC217" s="248"/>
      <c r="AD217" s="247"/>
      <c r="AE217" s="228"/>
      <c r="AF217" s="228"/>
      <c r="AG217" s="248"/>
      <c r="AH217" s="248"/>
      <c r="AI217" s="194"/>
      <c r="AJ217" s="249"/>
      <c r="AK217" s="250"/>
      <c r="AL217" s="251"/>
      <c r="AM217" s="252"/>
      <c r="AN217" s="241"/>
      <c r="AO217" s="241"/>
      <c r="AP217" s="241"/>
      <c r="AQ217" s="194"/>
      <c r="AR217" s="195"/>
      <c r="AS217" s="195"/>
    </row>
    <row r="218" spans="2:45">
      <c r="B218" s="253"/>
      <c r="C218" s="230"/>
      <c r="D218" s="245"/>
      <c r="E218" s="230"/>
      <c r="F218" s="230"/>
      <c r="G218" s="230"/>
      <c r="H218" s="230"/>
      <c r="I218" s="228"/>
      <c r="J218" s="228"/>
      <c r="K218" s="230"/>
      <c r="L218" s="230"/>
      <c r="M218" s="246"/>
      <c r="N218" s="230"/>
      <c r="O218" s="230"/>
      <c r="P218" s="230"/>
      <c r="Q218" s="230"/>
      <c r="R218" s="256"/>
      <c r="S218" s="257"/>
      <c r="T218" s="228"/>
      <c r="U218" s="228"/>
      <c r="V218" s="245"/>
      <c r="W218" s="254"/>
      <c r="X218" s="254"/>
      <c r="Y218" s="228"/>
      <c r="Z218" s="255"/>
      <c r="AA218" s="248"/>
      <c r="AB218" s="248"/>
      <c r="AC218" s="248"/>
      <c r="AD218" s="247"/>
      <c r="AE218" s="228"/>
      <c r="AF218" s="228"/>
      <c r="AG218" s="248"/>
      <c r="AH218" s="248"/>
      <c r="AI218" s="194"/>
      <c r="AJ218" s="249"/>
      <c r="AK218" s="250"/>
      <c r="AL218" s="251"/>
      <c r="AM218" s="252"/>
      <c r="AN218" s="241"/>
      <c r="AO218" s="241"/>
      <c r="AP218" s="241"/>
      <c r="AQ218" s="194"/>
      <c r="AR218" s="195"/>
      <c r="AS218" s="195"/>
    </row>
    <row r="219" spans="2:45">
      <c r="B219" s="253"/>
      <c r="C219" s="230"/>
      <c r="D219" s="245"/>
      <c r="E219" s="230"/>
      <c r="F219" s="230"/>
      <c r="G219" s="230"/>
      <c r="H219" s="230"/>
      <c r="I219" s="228"/>
      <c r="J219" s="228"/>
      <c r="K219" s="230"/>
      <c r="L219" s="230"/>
      <c r="M219" s="246"/>
      <c r="N219" s="230"/>
      <c r="O219" s="230"/>
      <c r="P219" s="230"/>
      <c r="Q219" s="230"/>
      <c r="R219" s="256"/>
      <c r="S219" s="257"/>
      <c r="T219" s="228"/>
      <c r="U219" s="228"/>
      <c r="V219" s="245"/>
      <c r="W219" s="254"/>
      <c r="X219" s="254"/>
      <c r="Y219" s="228"/>
      <c r="Z219" s="255"/>
      <c r="AA219" s="248"/>
      <c r="AB219" s="248"/>
      <c r="AC219" s="248"/>
      <c r="AD219" s="247"/>
      <c r="AE219" s="228"/>
      <c r="AF219" s="228"/>
      <c r="AG219" s="248"/>
      <c r="AH219" s="248"/>
      <c r="AI219" s="194"/>
      <c r="AJ219" s="249"/>
      <c r="AK219" s="250"/>
      <c r="AL219" s="251"/>
      <c r="AM219" s="252"/>
      <c r="AN219" s="241"/>
      <c r="AO219" s="241"/>
      <c r="AP219" s="241"/>
      <c r="AQ219" s="194"/>
      <c r="AR219" s="195"/>
      <c r="AS219" s="195"/>
    </row>
    <row r="220" spans="2:45">
      <c r="B220" s="253"/>
      <c r="C220" s="230"/>
      <c r="D220" s="245"/>
      <c r="E220" s="230"/>
      <c r="F220" s="230"/>
      <c r="G220" s="230"/>
      <c r="H220" s="230"/>
      <c r="I220" s="228"/>
      <c r="J220" s="228"/>
      <c r="K220" s="230"/>
      <c r="L220" s="230"/>
      <c r="M220" s="246"/>
      <c r="N220" s="230"/>
      <c r="O220" s="230"/>
      <c r="P220" s="230"/>
      <c r="Q220" s="230"/>
      <c r="R220" s="256"/>
      <c r="S220" s="257"/>
      <c r="T220" s="228"/>
      <c r="U220" s="228"/>
      <c r="V220" s="245"/>
      <c r="W220" s="254"/>
      <c r="X220" s="254"/>
      <c r="Y220" s="228"/>
      <c r="Z220" s="255"/>
      <c r="AA220" s="248"/>
      <c r="AB220" s="248"/>
      <c r="AC220" s="248"/>
      <c r="AD220" s="247"/>
      <c r="AE220" s="228"/>
      <c r="AF220" s="228"/>
      <c r="AG220" s="248"/>
      <c r="AH220" s="248"/>
      <c r="AI220" s="194"/>
      <c r="AJ220" s="249"/>
      <c r="AK220" s="250"/>
      <c r="AL220" s="251"/>
      <c r="AM220" s="252"/>
      <c r="AN220" s="241"/>
      <c r="AO220" s="241"/>
      <c r="AP220" s="241"/>
      <c r="AQ220" s="194"/>
      <c r="AR220" s="195"/>
      <c r="AS220" s="195"/>
    </row>
    <row r="221" spans="2:45">
      <c r="B221" s="253"/>
      <c r="C221" s="230"/>
      <c r="D221" s="245"/>
      <c r="E221" s="230"/>
      <c r="F221" s="230"/>
      <c r="G221" s="230"/>
      <c r="H221" s="230"/>
      <c r="I221" s="228"/>
      <c r="J221" s="228"/>
      <c r="K221" s="230"/>
      <c r="L221" s="230"/>
      <c r="M221" s="246"/>
      <c r="N221" s="230"/>
      <c r="O221" s="230"/>
      <c r="P221" s="230"/>
      <c r="Q221" s="230"/>
      <c r="R221" s="256"/>
      <c r="S221" s="257"/>
      <c r="T221" s="228"/>
      <c r="U221" s="228"/>
      <c r="V221" s="245"/>
      <c r="W221" s="254"/>
      <c r="X221" s="254"/>
      <c r="Y221" s="228"/>
      <c r="Z221" s="255"/>
      <c r="AA221" s="248"/>
      <c r="AB221" s="248"/>
      <c r="AC221" s="248"/>
      <c r="AD221" s="247"/>
      <c r="AE221" s="228"/>
      <c r="AF221" s="228"/>
      <c r="AG221" s="248"/>
      <c r="AH221" s="248"/>
      <c r="AI221" s="194"/>
      <c r="AJ221" s="249"/>
      <c r="AK221" s="250"/>
      <c r="AL221" s="251"/>
      <c r="AM221" s="252"/>
      <c r="AN221" s="241"/>
      <c r="AO221" s="241"/>
      <c r="AP221" s="241"/>
      <c r="AQ221" s="194"/>
      <c r="AR221" s="195"/>
      <c r="AS221" s="195"/>
    </row>
    <row r="222" spans="2:45">
      <c r="B222" s="253"/>
      <c r="C222" s="230"/>
      <c r="D222" s="245"/>
      <c r="E222" s="230"/>
      <c r="F222" s="230"/>
      <c r="G222" s="230"/>
      <c r="H222" s="230"/>
      <c r="I222" s="228"/>
      <c r="J222" s="228"/>
      <c r="K222" s="230"/>
      <c r="L222" s="230"/>
      <c r="M222" s="246"/>
      <c r="N222" s="230"/>
      <c r="O222" s="230"/>
      <c r="P222" s="230"/>
      <c r="Q222" s="230"/>
      <c r="R222" s="256"/>
      <c r="S222" s="257"/>
      <c r="T222" s="228"/>
      <c r="U222" s="228"/>
      <c r="V222" s="245"/>
      <c r="W222" s="254"/>
      <c r="X222" s="254"/>
      <c r="Y222" s="228"/>
      <c r="Z222" s="255"/>
      <c r="AA222" s="248"/>
      <c r="AB222" s="248"/>
      <c r="AC222" s="248"/>
      <c r="AD222" s="247"/>
      <c r="AE222" s="228"/>
      <c r="AF222" s="228"/>
      <c r="AG222" s="248"/>
      <c r="AH222" s="248"/>
      <c r="AI222" s="194"/>
      <c r="AJ222" s="249"/>
      <c r="AK222" s="250"/>
      <c r="AL222" s="251"/>
      <c r="AM222" s="252"/>
      <c r="AN222" s="241"/>
      <c r="AO222" s="241"/>
      <c r="AP222" s="241"/>
      <c r="AQ222" s="194"/>
      <c r="AR222" s="195"/>
      <c r="AS222" s="195"/>
    </row>
    <row r="223" spans="2:45">
      <c r="B223" s="253"/>
      <c r="C223" s="230"/>
      <c r="D223" s="245"/>
      <c r="E223" s="230"/>
      <c r="F223" s="230"/>
      <c r="G223" s="230"/>
      <c r="H223" s="230"/>
      <c r="I223" s="228"/>
      <c r="J223" s="228"/>
      <c r="K223" s="230"/>
      <c r="L223" s="230"/>
      <c r="M223" s="246"/>
      <c r="N223" s="230"/>
      <c r="O223" s="230"/>
      <c r="P223" s="230"/>
      <c r="Q223" s="230"/>
      <c r="R223" s="256"/>
      <c r="S223" s="257"/>
      <c r="T223" s="228"/>
      <c r="U223" s="228"/>
      <c r="V223" s="245"/>
      <c r="W223" s="254"/>
      <c r="X223" s="254"/>
      <c r="Y223" s="228"/>
      <c r="Z223" s="255"/>
      <c r="AA223" s="248"/>
      <c r="AB223" s="248"/>
      <c r="AC223" s="248"/>
      <c r="AD223" s="247"/>
      <c r="AE223" s="228"/>
      <c r="AF223" s="228"/>
      <c r="AG223" s="248"/>
      <c r="AH223" s="248"/>
      <c r="AI223" s="194"/>
      <c r="AJ223" s="249"/>
      <c r="AK223" s="250"/>
      <c r="AL223" s="251"/>
      <c r="AM223" s="252"/>
      <c r="AN223" s="241"/>
      <c r="AO223" s="241"/>
      <c r="AP223" s="241"/>
      <c r="AQ223" s="194"/>
      <c r="AR223" s="195"/>
      <c r="AS223" s="195"/>
    </row>
    <row r="224" spans="2:45">
      <c r="B224" s="253"/>
      <c r="C224" s="230"/>
      <c r="D224" s="245"/>
      <c r="E224" s="230"/>
      <c r="F224" s="230"/>
      <c r="G224" s="230"/>
      <c r="H224" s="230"/>
      <c r="I224" s="228"/>
      <c r="J224" s="228"/>
      <c r="K224" s="230"/>
      <c r="L224" s="230"/>
      <c r="M224" s="246"/>
      <c r="N224" s="230"/>
      <c r="O224" s="230"/>
      <c r="P224" s="230"/>
      <c r="Q224" s="230"/>
      <c r="R224" s="256"/>
      <c r="S224" s="257"/>
      <c r="T224" s="228"/>
      <c r="U224" s="228"/>
      <c r="V224" s="245"/>
      <c r="W224" s="254"/>
      <c r="X224" s="254"/>
      <c r="Y224" s="228"/>
      <c r="Z224" s="255"/>
      <c r="AA224" s="248"/>
      <c r="AB224" s="248"/>
      <c r="AC224" s="248"/>
      <c r="AD224" s="247"/>
      <c r="AE224" s="228"/>
      <c r="AF224" s="228"/>
      <c r="AG224" s="248"/>
      <c r="AH224" s="248"/>
      <c r="AI224" s="194"/>
      <c r="AJ224" s="249"/>
      <c r="AK224" s="250"/>
      <c r="AL224" s="251"/>
      <c r="AM224" s="252"/>
      <c r="AN224" s="241"/>
      <c r="AO224" s="241"/>
      <c r="AP224" s="241"/>
      <c r="AQ224" s="194"/>
      <c r="AR224" s="195"/>
      <c r="AS224" s="195"/>
    </row>
    <row r="225" spans="2:45">
      <c r="B225" s="253"/>
      <c r="C225" s="230"/>
      <c r="D225" s="245"/>
      <c r="E225" s="230"/>
      <c r="F225" s="230"/>
      <c r="G225" s="230"/>
      <c r="H225" s="230"/>
      <c r="I225" s="228"/>
      <c r="J225" s="228"/>
      <c r="K225" s="230"/>
      <c r="L225" s="230"/>
      <c r="M225" s="246"/>
      <c r="N225" s="230"/>
      <c r="O225" s="230"/>
      <c r="P225" s="230"/>
      <c r="Q225" s="230"/>
      <c r="R225" s="256"/>
      <c r="S225" s="257"/>
      <c r="T225" s="228"/>
      <c r="U225" s="228"/>
      <c r="V225" s="245"/>
      <c r="W225" s="254"/>
      <c r="X225" s="254"/>
      <c r="Y225" s="228"/>
      <c r="Z225" s="255"/>
      <c r="AA225" s="248"/>
      <c r="AB225" s="248"/>
      <c r="AC225" s="248"/>
      <c r="AD225" s="247"/>
      <c r="AE225" s="228"/>
      <c r="AF225" s="228"/>
      <c r="AG225" s="248"/>
      <c r="AH225" s="248"/>
      <c r="AI225" s="194"/>
      <c r="AJ225" s="249"/>
      <c r="AK225" s="250"/>
      <c r="AL225" s="251"/>
      <c r="AM225" s="252"/>
      <c r="AN225" s="241"/>
      <c r="AO225" s="241"/>
      <c r="AP225" s="241"/>
      <c r="AQ225" s="194"/>
      <c r="AR225" s="195"/>
      <c r="AS225" s="195"/>
    </row>
    <row r="226" spans="2:45">
      <c r="B226" s="253"/>
      <c r="C226" s="230"/>
      <c r="D226" s="245"/>
      <c r="E226" s="230"/>
      <c r="F226" s="230"/>
      <c r="G226" s="230"/>
      <c r="H226" s="230"/>
      <c r="I226" s="228"/>
      <c r="J226" s="228"/>
      <c r="K226" s="230"/>
      <c r="L226" s="230"/>
      <c r="M226" s="246"/>
      <c r="N226" s="230"/>
      <c r="O226" s="230"/>
      <c r="P226" s="230"/>
      <c r="Q226" s="230"/>
      <c r="R226" s="256"/>
      <c r="S226" s="257"/>
      <c r="T226" s="228"/>
      <c r="U226" s="228"/>
      <c r="V226" s="245"/>
      <c r="W226" s="254"/>
      <c r="X226" s="254"/>
      <c r="Y226" s="228"/>
      <c r="Z226" s="255"/>
      <c r="AA226" s="248"/>
      <c r="AB226" s="248"/>
      <c r="AC226" s="248"/>
      <c r="AD226" s="247"/>
      <c r="AE226" s="228"/>
      <c r="AF226" s="228"/>
      <c r="AG226" s="248"/>
      <c r="AH226" s="248"/>
      <c r="AI226" s="194"/>
      <c r="AJ226" s="249"/>
      <c r="AK226" s="250"/>
      <c r="AL226" s="251"/>
      <c r="AM226" s="252"/>
      <c r="AN226" s="241"/>
      <c r="AO226" s="241"/>
      <c r="AP226" s="241"/>
      <c r="AQ226" s="194"/>
      <c r="AR226" s="195"/>
      <c r="AS226" s="195"/>
    </row>
    <row r="227" spans="2:45">
      <c r="B227" s="253"/>
      <c r="C227" s="230"/>
      <c r="D227" s="245"/>
      <c r="E227" s="230"/>
      <c r="F227" s="230"/>
      <c r="G227" s="230"/>
      <c r="H227" s="230"/>
      <c r="I227" s="228"/>
      <c r="J227" s="228"/>
      <c r="K227" s="230"/>
      <c r="L227" s="230"/>
      <c r="M227" s="246"/>
      <c r="N227" s="230"/>
      <c r="O227" s="230"/>
      <c r="P227" s="230"/>
      <c r="Q227" s="230"/>
      <c r="R227" s="256"/>
      <c r="S227" s="257"/>
      <c r="T227" s="228"/>
      <c r="U227" s="228"/>
      <c r="V227" s="245"/>
      <c r="W227" s="254"/>
      <c r="X227" s="254"/>
      <c r="Y227" s="228"/>
      <c r="Z227" s="255"/>
      <c r="AA227" s="248"/>
      <c r="AB227" s="248"/>
      <c r="AC227" s="248"/>
      <c r="AD227" s="247"/>
      <c r="AE227" s="228"/>
      <c r="AF227" s="228"/>
      <c r="AG227" s="248"/>
      <c r="AH227" s="248"/>
      <c r="AI227" s="194"/>
      <c r="AJ227" s="249"/>
      <c r="AK227" s="250"/>
      <c r="AL227" s="251"/>
      <c r="AM227" s="252"/>
      <c r="AN227" s="241"/>
      <c r="AO227" s="241"/>
      <c r="AP227" s="241"/>
      <c r="AQ227" s="194"/>
      <c r="AR227" s="195"/>
      <c r="AS227" s="195"/>
    </row>
    <row r="228" spans="2:45">
      <c r="B228" s="253"/>
      <c r="C228" s="230"/>
      <c r="D228" s="245"/>
      <c r="E228" s="230"/>
      <c r="F228" s="230"/>
      <c r="G228" s="230"/>
      <c r="H228" s="230"/>
      <c r="I228" s="228"/>
      <c r="J228" s="228"/>
      <c r="K228" s="230"/>
      <c r="L228" s="230"/>
      <c r="M228" s="246"/>
      <c r="N228" s="230"/>
      <c r="O228" s="230"/>
      <c r="P228" s="230"/>
      <c r="Q228" s="230"/>
      <c r="R228" s="256"/>
      <c r="S228" s="257"/>
      <c r="T228" s="228"/>
      <c r="U228" s="228"/>
      <c r="V228" s="245"/>
      <c r="W228" s="254"/>
      <c r="X228" s="254"/>
      <c r="Y228" s="228"/>
      <c r="Z228" s="255"/>
      <c r="AA228" s="248"/>
      <c r="AB228" s="248"/>
      <c r="AC228" s="248"/>
      <c r="AD228" s="247"/>
      <c r="AE228" s="228"/>
      <c r="AF228" s="228"/>
      <c r="AG228" s="248"/>
      <c r="AH228" s="248"/>
      <c r="AI228" s="194"/>
      <c r="AJ228" s="249"/>
      <c r="AK228" s="250"/>
      <c r="AL228" s="251"/>
      <c r="AM228" s="252"/>
      <c r="AN228" s="241"/>
      <c r="AO228" s="241"/>
      <c r="AP228" s="241"/>
      <c r="AQ228" s="194"/>
      <c r="AR228" s="195"/>
      <c r="AS228" s="195"/>
    </row>
    <row r="229" spans="2:45">
      <c r="B229" s="253"/>
      <c r="C229" s="230"/>
      <c r="D229" s="245"/>
      <c r="E229" s="230"/>
      <c r="F229" s="230"/>
      <c r="G229" s="230"/>
      <c r="H229" s="230"/>
      <c r="I229" s="228"/>
      <c r="J229" s="228"/>
      <c r="K229" s="230"/>
      <c r="L229" s="230"/>
      <c r="M229" s="246"/>
      <c r="N229" s="230"/>
      <c r="O229" s="230"/>
      <c r="P229" s="230"/>
      <c r="Q229" s="230"/>
      <c r="R229" s="256"/>
      <c r="S229" s="257"/>
      <c r="T229" s="228"/>
      <c r="U229" s="228"/>
      <c r="V229" s="245"/>
      <c r="W229" s="254"/>
      <c r="X229" s="254"/>
      <c r="Y229" s="228"/>
      <c r="Z229" s="255"/>
      <c r="AA229" s="248"/>
      <c r="AB229" s="248"/>
      <c r="AC229" s="248"/>
      <c r="AD229" s="247"/>
      <c r="AE229" s="228"/>
      <c r="AF229" s="228"/>
      <c r="AG229" s="248"/>
      <c r="AH229" s="248"/>
      <c r="AI229" s="194"/>
      <c r="AJ229" s="249"/>
      <c r="AK229" s="250"/>
      <c r="AL229" s="251"/>
      <c r="AM229" s="252"/>
      <c r="AN229" s="241"/>
      <c r="AO229" s="241"/>
      <c r="AP229" s="241"/>
      <c r="AQ229" s="194"/>
      <c r="AR229" s="195"/>
      <c r="AS229" s="195"/>
    </row>
    <row r="230" spans="2:45">
      <c r="B230" s="253"/>
      <c r="C230" s="230"/>
      <c r="D230" s="245"/>
      <c r="E230" s="230"/>
      <c r="F230" s="230"/>
      <c r="G230" s="230"/>
      <c r="H230" s="230"/>
      <c r="I230" s="228"/>
      <c r="J230" s="228"/>
      <c r="K230" s="230"/>
      <c r="L230" s="230"/>
      <c r="M230" s="246"/>
      <c r="N230" s="230"/>
      <c r="O230" s="230"/>
      <c r="P230" s="230"/>
      <c r="Q230" s="230"/>
      <c r="R230" s="256"/>
      <c r="S230" s="257"/>
      <c r="T230" s="228"/>
      <c r="U230" s="228"/>
      <c r="V230" s="245"/>
      <c r="W230" s="254"/>
      <c r="X230" s="254"/>
      <c r="Y230" s="228"/>
      <c r="Z230" s="255"/>
      <c r="AA230" s="248"/>
      <c r="AB230" s="248"/>
      <c r="AC230" s="248"/>
      <c r="AD230" s="247"/>
      <c r="AE230" s="228"/>
      <c r="AF230" s="228"/>
      <c r="AG230" s="248"/>
      <c r="AH230" s="248"/>
      <c r="AI230" s="194"/>
      <c r="AJ230" s="249"/>
      <c r="AK230" s="250"/>
      <c r="AL230" s="251"/>
      <c r="AM230" s="252"/>
      <c r="AN230" s="241"/>
      <c r="AO230" s="241"/>
      <c r="AP230" s="241"/>
      <c r="AQ230" s="194"/>
      <c r="AR230" s="195"/>
      <c r="AS230" s="195"/>
    </row>
    <row r="231" spans="2:45">
      <c r="B231" s="253"/>
      <c r="C231" s="230"/>
      <c r="D231" s="245"/>
      <c r="E231" s="230"/>
      <c r="F231" s="230"/>
      <c r="G231" s="230"/>
      <c r="H231" s="230"/>
      <c r="I231" s="228"/>
      <c r="J231" s="228"/>
      <c r="K231" s="230"/>
      <c r="L231" s="230"/>
      <c r="M231" s="246"/>
      <c r="N231" s="230"/>
      <c r="O231" s="230"/>
      <c r="P231" s="230"/>
      <c r="Q231" s="230"/>
      <c r="R231" s="256"/>
      <c r="S231" s="257"/>
      <c r="T231" s="228"/>
      <c r="U231" s="228"/>
      <c r="V231" s="245"/>
      <c r="W231" s="254"/>
      <c r="X231" s="254"/>
      <c r="Y231" s="228"/>
      <c r="Z231" s="255"/>
      <c r="AA231" s="248"/>
      <c r="AB231" s="248"/>
      <c r="AC231" s="248"/>
      <c r="AD231" s="247"/>
      <c r="AE231" s="228"/>
      <c r="AF231" s="228"/>
      <c r="AG231" s="248"/>
      <c r="AH231" s="248"/>
      <c r="AI231" s="194"/>
      <c r="AJ231" s="249"/>
      <c r="AK231" s="250"/>
      <c r="AL231" s="251"/>
      <c r="AM231" s="252"/>
      <c r="AN231" s="241"/>
      <c r="AO231" s="241"/>
      <c r="AP231" s="241"/>
      <c r="AQ231" s="194"/>
      <c r="AR231" s="195"/>
      <c r="AS231" s="195"/>
    </row>
    <row r="232" spans="2:45">
      <c r="B232" s="253"/>
      <c r="C232" s="230"/>
      <c r="D232" s="245"/>
      <c r="E232" s="230"/>
      <c r="F232" s="230"/>
      <c r="G232" s="230"/>
      <c r="H232" s="230"/>
      <c r="I232" s="228"/>
      <c r="J232" s="228"/>
      <c r="K232" s="230"/>
      <c r="L232" s="230"/>
      <c r="M232" s="246"/>
      <c r="N232" s="230"/>
      <c r="O232" s="230"/>
      <c r="P232" s="230"/>
      <c r="Q232" s="230"/>
      <c r="R232" s="256"/>
      <c r="S232" s="257"/>
      <c r="T232" s="228"/>
      <c r="U232" s="228"/>
      <c r="V232" s="245"/>
      <c r="W232" s="254"/>
      <c r="X232" s="254"/>
      <c r="Y232" s="228"/>
      <c r="Z232" s="255"/>
      <c r="AA232" s="248"/>
      <c r="AB232" s="248"/>
      <c r="AC232" s="248"/>
      <c r="AD232" s="247"/>
      <c r="AE232" s="228"/>
      <c r="AF232" s="228"/>
      <c r="AG232" s="248"/>
      <c r="AH232" s="248"/>
      <c r="AI232" s="194"/>
      <c r="AJ232" s="249"/>
      <c r="AK232" s="250"/>
      <c r="AL232" s="251"/>
      <c r="AM232" s="252"/>
      <c r="AN232" s="241"/>
      <c r="AO232" s="241"/>
      <c r="AP232" s="241"/>
      <c r="AQ232" s="194"/>
      <c r="AR232" s="195"/>
      <c r="AS232" s="195"/>
    </row>
    <row r="233" spans="2:45">
      <c r="B233" s="253"/>
      <c r="C233" s="230"/>
      <c r="D233" s="245"/>
      <c r="E233" s="230"/>
      <c r="F233" s="230"/>
      <c r="G233" s="230"/>
      <c r="H233" s="230"/>
      <c r="I233" s="228"/>
      <c r="J233" s="228"/>
      <c r="K233" s="230"/>
      <c r="L233" s="230"/>
      <c r="M233" s="246"/>
      <c r="N233" s="230"/>
      <c r="O233" s="230"/>
      <c r="P233" s="230"/>
      <c r="Q233" s="230"/>
      <c r="R233" s="256"/>
      <c r="S233" s="257"/>
      <c r="T233" s="228"/>
      <c r="U233" s="228"/>
      <c r="V233" s="245"/>
      <c r="W233" s="254"/>
      <c r="X233" s="254"/>
      <c r="Y233" s="228"/>
      <c r="Z233" s="255"/>
      <c r="AA233" s="248"/>
      <c r="AB233" s="248"/>
      <c r="AC233" s="248"/>
      <c r="AD233" s="247"/>
      <c r="AE233" s="228"/>
      <c r="AF233" s="228"/>
      <c r="AG233" s="248"/>
      <c r="AH233" s="248"/>
      <c r="AI233" s="194"/>
      <c r="AJ233" s="249"/>
      <c r="AK233" s="250"/>
      <c r="AL233" s="251"/>
      <c r="AM233" s="252"/>
      <c r="AN233" s="241"/>
      <c r="AO233" s="241"/>
      <c r="AP233" s="241"/>
      <c r="AQ233" s="194"/>
      <c r="AR233" s="195"/>
      <c r="AS233" s="195"/>
    </row>
    <row r="234" spans="2:45">
      <c r="B234" s="253"/>
      <c r="C234" s="230"/>
      <c r="D234" s="245"/>
      <c r="E234" s="230"/>
      <c r="F234" s="230"/>
      <c r="G234" s="230"/>
      <c r="H234" s="230"/>
      <c r="I234" s="228"/>
      <c r="J234" s="228"/>
      <c r="K234" s="230"/>
      <c r="L234" s="230"/>
      <c r="M234" s="246"/>
      <c r="N234" s="230"/>
      <c r="O234" s="230"/>
      <c r="P234" s="230"/>
      <c r="Q234" s="230"/>
      <c r="R234" s="256"/>
      <c r="S234" s="257"/>
      <c r="T234" s="228"/>
      <c r="U234" s="228"/>
      <c r="V234" s="245"/>
      <c r="W234" s="254"/>
      <c r="X234" s="254"/>
      <c r="Y234" s="228"/>
      <c r="Z234" s="255"/>
      <c r="AA234" s="248"/>
      <c r="AB234" s="248"/>
      <c r="AC234" s="248"/>
      <c r="AD234" s="247"/>
      <c r="AE234" s="228"/>
      <c r="AF234" s="228"/>
      <c r="AG234" s="248"/>
      <c r="AH234" s="248"/>
      <c r="AI234" s="194"/>
      <c r="AJ234" s="249"/>
      <c r="AK234" s="250"/>
      <c r="AL234" s="251"/>
      <c r="AM234" s="252"/>
      <c r="AN234" s="241"/>
      <c r="AO234" s="241"/>
      <c r="AP234" s="241"/>
      <c r="AQ234" s="194"/>
      <c r="AR234" s="195"/>
      <c r="AS234" s="195"/>
    </row>
    <row r="235" spans="2:45">
      <c r="B235" s="253"/>
      <c r="C235" s="230"/>
      <c r="D235" s="245"/>
      <c r="E235" s="230"/>
      <c r="F235" s="230"/>
      <c r="G235" s="230"/>
      <c r="H235" s="230"/>
      <c r="I235" s="228"/>
      <c r="J235" s="228"/>
      <c r="K235" s="230"/>
      <c r="L235" s="230"/>
      <c r="M235" s="246"/>
      <c r="N235" s="230"/>
      <c r="O235" s="230"/>
      <c r="P235" s="230"/>
      <c r="Q235" s="230"/>
      <c r="R235" s="256"/>
      <c r="S235" s="257"/>
      <c r="T235" s="228"/>
      <c r="U235" s="228"/>
      <c r="V235" s="245"/>
      <c r="W235" s="254"/>
      <c r="X235" s="254"/>
      <c r="Y235" s="228"/>
      <c r="Z235" s="255"/>
      <c r="AA235" s="248"/>
      <c r="AB235" s="248"/>
      <c r="AC235" s="248"/>
      <c r="AD235" s="247"/>
      <c r="AE235" s="228"/>
      <c r="AF235" s="228"/>
      <c r="AG235" s="248"/>
      <c r="AH235" s="248"/>
      <c r="AI235" s="194"/>
      <c r="AJ235" s="249"/>
      <c r="AK235" s="250"/>
      <c r="AL235" s="251"/>
      <c r="AM235" s="252"/>
      <c r="AN235" s="241"/>
      <c r="AO235" s="241"/>
      <c r="AP235" s="241"/>
      <c r="AQ235" s="194"/>
      <c r="AR235" s="195"/>
      <c r="AS235" s="195"/>
    </row>
    <row r="236" spans="2:45">
      <c r="B236" s="253"/>
      <c r="C236" s="230"/>
      <c r="D236" s="245"/>
      <c r="E236" s="230"/>
      <c r="F236" s="230"/>
      <c r="G236" s="230"/>
      <c r="H236" s="230"/>
      <c r="I236" s="228"/>
      <c r="J236" s="228"/>
      <c r="K236" s="230"/>
      <c r="L236" s="230"/>
      <c r="M236" s="246"/>
      <c r="N236" s="230"/>
      <c r="O236" s="230"/>
      <c r="P236" s="230"/>
      <c r="Q236" s="230"/>
      <c r="R236" s="256"/>
      <c r="S236" s="257"/>
      <c r="T236" s="228"/>
      <c r="U236" s="228"/>
      <c r="V236" s="245"/>
      <c r="W236" s="254"/>
      <c r="X236" s="254"/>
      <c r="Y236" s="228"/>
      <c r="Z236" s="255"/>
      <c r="AA236" s="248"/>
      <c r="AB236" s="248"/>
      <c r="AC236" s="248"/>
      <c r="AD236" s="247"/>
      <c r="AE236" s="228"/>
      <c r="AF236" s="228"/>
      <c r="AG236" s="248"/>
      <c r="AH236" s="248"/>
      <c r="AI236" s="194"/>
      <c r="AJ236" s="249"/>
      <c r="AK236" s="250"/>
      <c r="AL236" s="251"/>
      <c r="AM236" s="252"/>
      <c r="AN236" s="241"/>
      <c r="AO236" s="241"/>
      <c r="AP236" s="241"/>
      <c r="AQ236" s="194"/>
      <c r="AR236" s="195"/>
      <c r="AS236" s="195"/>
    </row>
    <row r="237" spans="2:45">
      <c r="B237" s="253"/>
      <c r="C237" s="230"/>
      <c r="D237" s="245"/>
      <c r="E237" s="230"/>
      <c r="F237" s="230"/>
      <c r="G237" s="230"/>
      <c r="H237" s="230"/>
      <c r="I237" s="228"/>
      <c r="J237" s="228"/>
      <c r="K237" s="230"/>
      <c r="L237" s="230"/>
      <c r="M237" s="246"/>
      <c r="N237" s="230"/>
      <c r="O237" s="230"/>
      <c r="P237" s="230"/>
      <c r="Q237" s="230"/>
      <c r="R237" s="256"/>
      <c r="S237" s="257"/>
      <c r="T237" s="228"/>
      <c r="U237" s="228"/>
      <c r="V237" s="245"/>
      <c r="W237" s="254"/>
      <c r="X237" s="254"/>
      <c r="Y237" s="228"/>
      <c r="Z237" s="255"/>
      <c r="AA237" s="248"/>
      <c r="AB237" s="248"/>
      <c r="AC237" s="248"/>
      <c r="AD237" s="247"/>
      <c r="AE237" s="228"/>
      <c r="AF237" s="228"/>
      <c r="AG237" s="248"/>
      <c r="AH237" s="248"/>
      <c r="AI237" s="194"/>
      <c r="AJ237" s="249"/>
      <c r="AK237" s="250"/>
      <c r="AL237" s="251"/>
      <c r="AM237" s="252"/>
      <c r="AN237" s="241"/>
      <c r="AO237" s="241"/>
      <c r="AP237" s="241"/>
      <c r="AQ237" s="194"/>
      <c r="AR237" s="195"/>
      <c r="AS237" s="195"/>
    </row>
    <row r="238" spans="2:45">
      <c r="B238" s="253"/>
      <c r="C238" s="230"/>
      <c r="D238" s="245"/>
      <c r="E238" s="230"/>
      <c r="F238" s="230"/>
      <c r="G238" s="230"/>
      <c r="H238" s="230"/>
      <c r="I238" s="228"/>
      <c r="J238" s="228"/>
      <c r="K238" s="230"/>
      <c r="L238" s="230"/>
      <c r="M238" s="246"/>
      <c r="N238" s="230"/>
      <c r="O238" s="230"/>
      <c r="P238" s="230"/>
      <c r="Q238" s="230"/>
      <c r="R238" s="256"/>
      <c r="S238" s="257"/>
      <c r="T238" s="228"/>
      <c r="U238" s="228"/>
      <c r="V238" s="245"/>
      <c r="W238" s="254"/>
      <c r="X238" s="254"/>
      <c r="Y238" s="228"/>
      <c r="Z238" s="255"/>
      <c r="AA238" s="248"/>
      <c r="AB238" s="248"/>
      <c r="AC238" s="248"/>
      <c r="AD238" s="247"/>
      <c r="AE238" s="228"/>
      <c r="AF238" s="228"/>
      <c r="AG238" s="248"/>
      <c r="AH238" s="248"/>
      <c r="AI238" s="194"/>
      <c r="AJ238" s="249"/>
      <c r="AK238" s="250"/>
      <c r="AL238" s="251"/>
      <c r="AM238" s="252"/>
      <c r="AN238" s="241"/>
      <c r="AO238" s="241"/>
      <c r="AP238" s="241"/>
      <c r="AQ238" s="194"/>
      <c r="AR238" s="195"/>
      <c r="AS238" s="195"/>
    </row>
    <row r="239" spans="2:45">
      <c r="B239" s="253"/>
      <c r="C239" s="230"/>
      <c r="D239" s="245"/>
      <c r="E239" s="230"/>
      <c r="F239" s="230"/>
      <c r="G239" s="230"/>
      <c r="H239" s="230"/>
      <c r="I239" s="228"/>
      <c r="J239" s="228"/>
      <c r="K239" s="230"/>
      <c r="L239" s="230"/>
      <c r="M239" s="246"/>
      <c r="N239" s="230"/>
      <c r="O239" s="230"/>
      <c r="P239" s="230"/>
      <c r="Q239" s="230"/>
      <c r="R239" s="256"/>
      <c r="S239" s="257"/>
      <c r="T239" s="228"/>
      <c r="U239" s="228"/>
      <c r="V239" s="245"/>
      <c r="W239" s="254"/>
      <c r="X239" s="254"/>
      <c r="Y239" s="228"/>
      <c r="Z239" s="255"/>
      <c r="AA239" s="248"/>
      <c r="AB239" s="248"/>
      <c r="AC239" s="248"/>
      <c r="AD239" s="247"/>
      <c r="AE239" s="228"/>
      <c r="AF239" s="228"/>
      <c r="AG239" s="248"/>
      <c r="AH239" s="248"/>
      <c r="AI239" s="194"/>
      <c r="AJ239" s="249"/>
      <c r="AK239" s="250"/>
      <c r="AL239" s="251"/>
      <c r="AM239" s="252"/>
      <c r="AN239" s="241"/>
      <c r="AO239" s="241"/>
      <c r="AP239" s="241"/>
      <c r="AQ239" s="194"/>
      <c r="AR239" s="195"/>
      <c r="AS239" s="195"/>
    </row>
    <row r="240" spans="2:45">
      <c r="B240" s="253"/>
      <c r="C240" s="230"/>
      <c r="D240" s="245"/>
      <c r="E240" s="230"/>
      <c r="F240" s="230"/>
      <c r="G240" s="230"/>
      <c r="H240" s="230"/>
      <c r="I240" s="228"/>
      <c r="J240" s="228"/>
      <c r="K240" s="230"/>
      <c r="L240" s="230"/>
      <c r="M240" s="246"/>
      <c r="N240" s="230"/>
      <c r="O240" s="230"/>
      <c r="P240" s="230"/>
      <c r="Q240" s="230"/>
      <c r="R240" s="256"/>
      <c r="S240" s="257"/>
      <c r="T240" s="228"/>
      <c r="U240" s="228"/>
      <c r="V240" s="245"/>
      <c r="W240" s="254"/>
      <c r="X240" s="254"/>
      <c r="Y240" s="228"/>
      <c r="Z240" s="255"/>
      <c r="AA240" s="248"/>
      <c r="AB240" s="248"/>
      <c r="AC240" s="248"/>
      <c r="AD240" s="247"/>
      <c r="AE240" s="228"/>
      <c r="AF240" s="228"/>
      <c r="AG240" s="248"/>
      <c r="AH240" s="248"/>
      <c r="AI240" s="194"/>
      <c r="AJ240" s="249"/>
      <c r="AK240" s="250"/>
      <c r="AL240" s="251"/>
      <c r="AM240" s="252"/>
      <c r="AN240" s="241"/>
      <c r="AO240" s="241"/>
      <c r="AP240" s="241"/>
      <c r="AQ240" s="194"/>
      <c r="AR240" s="195"/>
      <c r="AS240" s="195"/>
    </row>
    <row r="241" spans="2:45">
      <c r="B241" s="253"/>
      <c r="C241" s="230"/>
      <c r="D241" s="245"/>
      <c r="E241" s="230"/>
      <c r="F241" s="230"/>
      <c r="G241" s="230"/>
      <c r="H241" s="230"/>
      <c r="I241" s="228"/>
      <c r="J241" s="228"/>
      <c r="K241" s="230"/>
      <c r="L241" s="230"/>
      <c r="M241" s="246"/>
      <c r="N241" s="230"/>
      <c r="O241" s="230"/>
      <c r="P241" s="230"/>
      <c r="Q241" s="230"/>
      <c r="R241" s="256"/>
      <c r="S241" s="257"/>
      <c r="T241" s="228"/>
      <c r="U241" s="228"/>
      <c r="V241" s="245"/>
      <c r="W241" s="254"/>
      <c r="X241" s="254"/>
      <c r="Y241" s="228"/>
      <c r="Z241" s="255"/>
      <c r="AA241" s="248"/>
      <c r="AB241" s="248"/>
      <c r="AC241" s="248"/>
      <c r="AD241" s="247"/>
      <c r="AE241" s="228"/>
      <c r="AF241" s="228"/>
      <c r="AG241" s="248"/>
      <c r="AH241" s="248"/>
      <c r="AI241" s="194"/>
      <c r="AJ241" s="249"/>
      <c r="AK241" s="250"/>
      <c r="AL241" s="251"/>
      <c r="AM241" s="252"/>
      <c r="AN241" s="241"/>
      <c r="AO241" s="241"/>
      <c r="AP241" s="241"/>
      <c r="AQ241" s="194"/>
      <c r="AR241" s="195"/>
      <c r="AS241" s="195"/>
    </row>
    <row r="242" spans="2:45">
      <c r="B242" s="253"/>
      <c r="C242" s="230"/>
      <c r="D242" s="245"/>
      <c r="E242" s="230"/>
      <c r="F242" s="230"/>
      <c r="G242" s="230"/>
      <c r="H242" s="230"/>
      <c r="I242" s="228"/>
      <c r="J242" s="228"/>
      <c r="K242" s="230"/>
      <c r="L242" s="230"/>
      <c r="M242" s="246"/>
      <c r="N242" s="230"/>
      <c r="O242" s="230"/>
      <c r="P242" s="230"/>
      <c r="Q242" s="230"/>
      <c r="R242" s="256"/>
      <c r="S242" s="257"/>
      <c r="T242" s="228"/>
      <c r="U242" s="228"/>
      <c r="V242" s="245"/>
      <c r="W242" s="254"/>
      <c r="X242" s="254"/>
      <c r="Y242" s="228"/>
      <c r="Z242" s="255"/>
      <c r="AA242" s="248"/>
      <c r="AB242" s="248"/>
      <c r="AC242" s="248"/>
      <c r="AD242" s="247"/>
      <c r="AE242" s="228"/>
      <c r="AF242" s="228"/>
      <c r="AG242" s="248"/>
      <c r="AH242" s="248"/>
      <c r="AI242" s="194"/>
      <c r="AJ242" s="249"/>
      <c r="AK242" s="250"/>
      <c r="AL242" s="251"/>
      <c r="AM242" s="252"/>
      <c r="AN242" s="241"/>
      <c r="AO242" s="241"/>
      <c r="AP242" s="241"/>
      <c r="AQ242" s="194"/>
      <c r="AR242" s="195"/>
      <c r="AS242" s="195"/>
    </row>
    <row r="243" spans="2:45">
      <c r="B243" s="253"/>
      <c r="C243" s="230"/>
      <c r="D243" s="245"/>
      <c r="E243" s="230"/>
      <c r="F243" s="230"/>
      <c r="G243" s="230"/>
      <c r="H243" s="230"/>
      <c r="I243" s="228"/>
      <c r="J243" s="228"/>
      <c r="K243" s="230"/>
      <c r="L243" s="230"/>
      <c r="M243" s="246"/>
      <c r="N243" s="230"/>
      <c r="O243" s="230"/>
      <c r="P243" s="230"/>
      <c r="Q243" s="230"/>
      <c r="R243" s="256"/>
      <c r="S243" s="257"/>
      <c r="T243" s="228"/>
      <c r="U243" s="228"/>
      <c r="V243" s="245"/>
      <c r="W243" s="254"/>
      <c r="X243" s="254"/>
      <c r="Y243" s="228"/>
      <c r="Z243" s="255"/>
      <c r="AA243" s="248"/>
      <c r="AB243" s="248"/>
      <c r="AC243" s="248"/>
      <c r="AD243" s="247"/>
      <c r="AE243" s="228"/>
      <c r="AF243" s="228"/>
      <c r="AG243" s="248"/>
      <c r="AH243" s="248"/>
      <c r="AI243" s="194"/>
      <c r="AJ243" s="249"/>
      <c r="AK243" s="250"/>
      <c r="AL243" s="251"/>
      <c r="AM243" s="252"/>
      <c r="AN243" s="241"/>
      <c r="AO243" s="241"/>
      <c r="AP243" s="241"/>
      <c r="AQ243" s="194"/>
      <c r="AR243" s="195"/>
      <c r="AS243" s="195"/>
    </row>
    <row r="244" spans="2:45">
      <c r="B244" s="253"/>
      <c r="C244" s="230"/>
      <c r="D244" s="245"/>
      <c r="E244" s="230"/>
      <c r="F244" s="230"/>
      <c r="G244" s="230"/>
      <c r="H244" s="230"/>
      <c r="I244" s="228"/>
      <c r="J244" s="228"/>
      <c r="K244" s="230"/>
      <c r="L244" s="230"/>
      <c r="M244" s="246"/>
      <c r="N244" s="230"/>
      <c r="O244" s="230"/>
      <c r="P244" s="230"/>
      <c r="Q244" s="230"/>
      <c r="R244" s="256"/>
      <c r="S244" s="257"/>
      <c r="T244" s="228"/>
      <c r="U244" s="228"/>
      <c r="V244" s="245"/>
      <c r="W244" s="254"/>
      <c r="X244" s="254"/>
      <c r="Y244" s="228"/>
      <c r="Z244" s="255"/>
      <c r="AA244" s="248"/>
      <c r="AB244" s="248"/>
      <c r="AC244" s="248"/>
      <c r="AD244" s="247"/>
      <c r="AE244" s="228"/>
      <c r="AF244" s="228"/>
      <c r="AG244" s="248"/>
      <c r="AH244" s="248"/>
      <c r="AI244" s="194"/>
      <c r="AJ244" s="249"/>
      <c r="AK244" s="250"/>
      <c r="AL244" s="251"/>
      <c r="AM244" s="252"/>
      <c r="AN244" s="241"/>
      <c r="AO244" s="241"/>
      <c r="AP244" s="241"/>
      <c r="AQ244" s="194"/>
      <c r="AR244" s="195"/>
      <c r="AS244" s="195"/>
    </row>
    <row r="245" spans="2:45">
      <c r="B245" s="253"/>
      <c r="C245" s="230"/>
      <c r="D245" s="245"/>
      <c r="E245" s="230"/>
      <c r="F245" s="230"/>
      <c r="G245" s="230"/>
      <c r="H245" s="230"/>
      <c r="I245" s="228"/>
      <c r="J245" s="228"/>
      <c r="K245" s="230"/>
      <c r="L245" s="230"/>
      <c r="M245" s="246"/>
      <c r="N245" s="230"/>
      <c r="O245" s="230"/>
      <c r="P245" s="230"/>
      <c r="Q245" s="230"/>
      <c r="R245" s="256"/>
      <c r="S245" s="257"/>
      <c r="T245" s="228"/>
      <c r="U245" s="228"/>
      <c r="V245" s="245"/>
      <c r="W245" s="254"/>
      <c r="X245" s="254"/>
      <c r="Y245" s="228"/>
      <c r="Z245" s="255"/>
      <c r="AA245" s="248"/>
      <c r="AB245" s="248"/>
      <c r="AC245" s="248"/>
      <c r="AD245" s="247"/>
      <c r="AE245" s="228"/>
      <c r="AF245" s="228"/>
      <c r="AG245" s="248"/>
      <c r="AH245" s="248"/>
      <c r="AI245" s="194"/>
      <c r="AJ245" s="249"/>
      <c r="AK245" s="250"/>
      <c r="AL245" s="251"/>
      <c r="AM245" s="252"/>
      <c r="AN245" s="241"/>
      <c r="AO245" s="241"/>
      <c r="AP245" s="241"/>
      <c r="AQ245" s="194"/>
      <c r="AR245" s="195"/>
      <c r="AS245" s="195"/>
    </row>
    <row r="246" spans="2:45">
      <c r="B246" s="253"/>
      <c r="C246" s="230"/>
      <c r="D246" s="245"/>
      <c r="E246" s="230"/>
      <c r="F246" s="230"/>
      <c r="G246" s="230"/>
      <c r="H246" s="230"/>
      <c r="I246" s="228"/>
      <c r="J246" s="228"/>
      <c r="K246" s="230"/>
      <c r="L246" s="230"/>
      <c r="M246" s="246"/>
      <c r="N246" s="230"/>
      <c r="O246" s="230"/>
      <c r="P246" s="230"/>
      <c r="Q246" s="230"/>
      <c r="R246" s="256"/>
      <c r="S246" s="257"/>
      <c r="T246" s="228"/>
      <c r="U246" s="228"/>
      <c r="V246" s="245"/>
      <c r="W246" s="254"/>
      <c r="X246" s="254"/>
      <c r="Y246" s="228"/>
      <c r="Z246" s="255"/>
      <c r="AA246" s="248"/>
      <c r="AB246" s="248"/>
      <c r="AC246" s="248"/>
      <c r="AD246" s="247"/>
      <c r="AE246" s="228"/>
      <c r="AF246" s="228"/>
      <c r="AG246" s="248"/>
      <c r="AH246" s="248"/>
      <c r="AI246" s="194"/>
      <c r="AJ246" s="249"/>
      <c r="AK246" s="250"/>
      <c r="AL246" s="251"/>
      <c r="AM246" s="252"/>
      <c r="AN246" s="241"/>
      <c r="AO246" s="241"/>
      <c r="AP246" s="241"/>
      <c r="AQ246" s="194"/>
      <c r="AR246" s="195"/>
      <c r="AS246" s="195"/>
    </row>
    <row r="247" spans="2:45">
      <c r="B247" s="253"/>
      <c r="C247" s="230"/>
      <c r="D247" s="245"/>
      <c r="E247" s="230"/>
      <c r="F247" s="230"/>
      <c r="G247" s="230"/>
      <c r="H247" s="230"/>
      <c r="I247" s="228"/>
      <c r="J247" s="228"/>
      <c r="K247" s="230"/>
      <c r="L247" s="230"/>
      <c r="M247" s="246"/>
      <c r="N247" s="230"/>
      <c r="O247" s="230"/>
      <c r="P247" s="230"/>
      <c r="Q247" s="230"/>
      <c r="R247" s="256"/>
      <c r="S247" s="257"/>
      <c r="T247" s="228"/>
      <c r="U247" s="228"/>
      <c r="V247" s="245"/>
      <c r="W247" s="254"/>
      <c r="X247" s="254"/>
      <c r="Y247" s="228"/>
      <c r="Z247" s="255"/>
      <c r="AA247" s="248"/>
      <c r="AB247" s="248"/>
      <c r="AC247" s="248"/>
      <c r="AD247" s="247"/>
      <c r="AE247" s="228"/>
      <c r="AF247" s="228"/>
      <c r="AG247" s="248"/>
      <c r="AH247" s="248"/>
      <c r="AI247" s="194"/>
      <c r="AJ247" s="249"/>
      <c r="AK247" s="250"/>
      <c r="AL247" s="251"/>
      <c r="AM247" s="252"/>
      <c r="AN247" s="241"/>
      <c r="AO247" s="241"/>
      <c r="AP247" s="241"/>
      <c r="AQ247" s="194"/>
      <c r="AR247" s="195"/>
      <c r="AS247" s="195"/>
    </row>
    <row r="248" spans="2:45">
      <c r="B248" s="253"/>
      <c r="C248" s="230"/>
      <c r="D248" s="245"/>
      <c r="E248" s="230"/>
      <c r="F248" s="230"/>
      <c r="G248" s="230"/>
      <c r="H248" s="230"/>
      <c r="I248" s="228"/>
      <c r="J248" s="228"/>
      <c r="K248" s="230"/>
      <c r="L248" s="230"/>
      <c r="M248" s="246"/>
      <c r="N248" s="230"/>
      <c r="O248" s="230"/>
      <c r="P248" s="230"/>
      <c r="Q248" s="230"/>
      <c r="R248" s="256"/>
      <c r="S248" s="257"/>
      <c r="T248" s="228"/>
      <c r="U248" s="228"/>
      <c r="V248" s="245"/>
      <c r="W248" s="254"/>
      <c r="X248" s="254"/>
      <c r="Y248" s="228"/>
      <c r="Z248" s="255"/>
      <c r="AA248" s="248"/>
      <c r="AB248" s="248"/>
      <c r="AC248" s="248"/>
      <c r="AD248" s="247"/>
      <c r="AE248" s="228"/>
      <c r="AF248" s="228"/>
      <c r="AG248" s="248"/>
      <c r="AH248" s="248"/>
      <c r="AI248" s="194"/>
      <c r="AJ248" s="249"/>
      <c r="AK248" s="250"/>
      <c r="AL248" s="251"/>
      <c r="AM248" s="252"/>
      <c r="AN248" s="241"/>
      <c r="AO248" s="241"/>
      <c r="AP248" s="241"/>
      <c r="AQ248" s="194"/>
      <c r="AR248" s="195"/>
      <c r="AS248" s="195"/>
    </row>
    <row r="249" spans="2:45">
      <c r="B249" s="253"/>
      <c r="C249" s="230"/>
      <c r="D249" s="245"/>
      <c r="E249" s="230"/>
      <c r="F249" s="230"/>
      <c r="G249" s="230"/>
      <c r="H249" s="230"/>
      <c r="I249" s="228"/>
      <c r="J249" s="228"/>
      <c r="K249" s="230"/>
      <c r="L249" s="230"/>
      <c r="M249" s="246"/>
      <c r="N249" s="230"/>
      <c r="O249" s="230"/>
      <c r="P249" s="230"/>
      <c r="Q249" s="230"/>
      <c r="R249" s="256"/>
      <c r="S249" s="257"/>
      <c r="T249" s="228"/>
      <c r="U249" s="228"/>
      <c r="V249" s="245"/>
      <c r="W249" s="254"/>
      <c r="X249" s="254"/>
      <c r="Y249" s="228"/>
      <c r="Z249" s="255"/>
      <c r="AA249" s="248"/>
      <c r="AB249" s="248"/>
      <c r="AC249" s="248"/>
      <c r="AD249" s="247"/>
      <c r="AE249" s="228"/>
      <c r="AF249" s="228"/>
      <c r="AG249" s="248"/>
      <c r="AH249" s="248"/>
      <c r="AI249" s="194"/>
      <c r="AJ249" s="249"/>
      <c r="AK249" s="250"/>
      <c r="AL249" s="251"/>
      <c r="AM249" s="252"/>
      <c r="AN249" s="241"/>
      <c r="AO249" s="241"/>
      <c r="AP249" s="241"/>
      <c r="AQ249" s="194"/>
      <c r="AR249" s="195"/>
      <c r="AS249" s="195"/>
    </row>
    <row r="250" spans="2:45">
      <c r="B250" s="253"/>
      <c r="C250" s="230"/>
      <c r="D250" s="245"/>
      <c r="E250" s="230"/>
      <c r="F250" s="230"/>
      <c r="G250" s="230"/>
      <c r="H250" s="230"/>
      <c r="I250" s="228"/>
      <c r="J250" s="228"/>
      <c r="K250" s="230"/>
      <c r="L250" s="230"/>
      <c r="M250" s="246"/>
      <c r="N250" s="230"/>
      <c r="O250" s="230"/>
      <c r="P250" s="230"/>
      <c r="Q250" s="230"/>
      <c r="R250" s="256"/>
      <c r="S250" s="257"/>
      <c r="T250" s="228"/>
      <c r="U250" s="228"/>
      <c r="V250" s="245"/>
      <c r="W250" s="254"/>
      <c r="X250" s="254"/>
      <c r="Y250" s="228"/>
      <c r="Z250" s="255"/>
      <c r="AA250" s="248"/>
      <c r="AB250" s="248"/>
      <c r="AC250" s="248"/>
      <c r="AD250" s="247"/>
      <c r="AE250" s="228"/>
      <c r="AF250" s="228"/>
      <c r="AG250" s="248"/>
      <c r="AH250" s="248"/>
      <c r="AI250" s="194"/>
      <c r="AJ250" s="249"/>
      <c r="AK250" s="250"/>
      <c r="AL250" s="251"/>
      <c r="AM250" s="252"/>
      <c r="AN250" s="241"/>
      <c r="AO250" s="241"/>
      <c r="AP250" s="241"/>
      <c r="AQ250" s="194"/>
      <c r="AR250" s="195"/>
      <c r="AS250" s="195"/>
    </row>
    <row r="251" spans="2:45">
      <c r="B251" s="253"/>
      <c r="C251" s="230"/>
      <c r="D251" s="245"/>
      <c r="E251" s="230"/>
      <c r="F251" s="230"/>
      <c r="G251" s="230"/>
      <c r="H251" s="230"/>
      <c r="I251" s="228"/>
      <c r="J251" s="228"/>
      <c r="K251" s="230"/>
      <c r="L251" s="230"/>
      <c r="M251" s="246"/>
      <c r="N251" s="230"/>
      <c r="O251" s="230"/>
      <c r="P251" s="230"/>
      <c r="Q251" s="230"/>
      <c r="R251" s="256"/>
      <c r="S251" s="257"/>
      <c r="T251" s="228"/>
      <c r="U251" s="228"/>
      <c r="V251" s="245"/>
      <c r="W251" s="254"/>
      <c r="X251" s="254"/>
      <c r="Y251" s="228"/>
      <c r="Z251" s="255"/>
      <c r="AA251" s="248"/>
      <c r="AB251" s="248"/>
      <c r="AC251" s="248"/>
      <c r="AD251" s="247"/>
      <c r="AE251" s="228"/>
      <c r="AF251" s="228"/>
      <c r="AG251" s="248"/>
      <c r="AH251" s="248"/>
      <c r="AI251" s="194"/>
      <c r="AJ251" s="249"/>
      <c r="AK251" s="250"/>
      <c r="AL251" s="251"/>
      <c r="AM251" s="252"/>
      <c r="AN251" s="241"/>
      <c r="AO251" s="241"/>
      <c r="AP251" s="241"/>
      <c r="AQ251" s="194"/>
      <c r="AR251" s="195"/>
      <c r="AS251" s="195"/>
    </row>
    <row r="252" spans="2:45">
      <c r="B252" s="253"/>
      <c r="C252" s="230"/>
      <c r="D252" s="245"/>
      <c r="E252" s="230"/>
      <c r="F252" s="230"/>
      <c r="G252" s="230"/>
      <c r="H252" s="230"/>
      <c r="I252" s="228"/>
      <c r="J252" s="228"/>
      <c r="K252" s="230"/>
      <c r="L252" s="230"/>
      <c r="M252" s="246"/>
      <c r="N252" s="230"/>
      <c r="O252" s="230"/>
      <c r="P252" s="230"/>
      <c r="Q252" s="230"/>
      <c r="R252" s="256"/>
      <c r="S252" s="257"/>
      <c r="T252" s="228"/>
      <c r="U252" s="228"/>
      <c r="V252" s="245"/>
      <c r="W252" s="254"/>
      <c r="X252" s="254"/>
      <c r="Y252" s="228"/>
      <c r="Z252" s="255"/>
      <c r="AA252" s="248"/>
      <c r="AB252" s="248"/>
      <c r="AC252" s="248"/>
      <c r="AD252" s="247"/>
      <c r="AE252" s="228"/>
      <c r="AF252" s="228"/>
      <c r="AG252" s="248"/>
      <c r="AH252" s="248"/>
      <c r="AI252" s="194"/>
      <c r="AJ252" s="249"/>
      <c r="AK252" s="250"/>
      <c r="AL252" s="251"/>
      <c r="AM252" s="252"/>
      <c r="AN252" s="241"/>
      <c r="AO252" s="241"/>
      <c r="AP252" s="241"/>
      <c r="AQ252" s="194"/>
      <c r="AR252" s="195"/>
      <c r="AS252" s="195"/>
    </row>
    <row r="253" spans="2:45">
      <c r="B253" s="253"/>
      <c r="C253" s="230"/>
      <c r="D253" s="245"/>
      <c r="E253" s="230"/>
      <c r="F253" s="230"/>
      <c r="G253" s="230"/>
      <c r="H253" s="230"/>
      <c r="I253" s="228"/>
      <c r="J253" s="228"/>
      <c r="K253" s="230"/>
      <c r="L253" s="230"/>
      <c r="M253" s="246"/>
      <c r="N253" s="230"/>
      <c r="O253" s="230"/>
      <c r="P253" s="230"/>
      <c r="Q253" s="230"/>
      <c r="R253" s="256"/>
      <c r="S253" s="257"/>
      <c r="T253" s="228"/>
      <c r="U253" s="228"/>
      <c r="V253" s="245"/>
      <c r="W253" s="254"/>
      <c r="X253" s="254"/>
      <c r="Y253" s="228"/>
      <c r="Z253" s="255"/>
      <c r="AA253" s="248"/>
      <c r="AB253" s="248"/>
      <c r="AC253" s="248"/>
      <c r="AD253" s="247"/>
      <c r="AE253" s="228"/>
      <c r="AF253" s="228"/>
      <c r="AG253" s="248"/>
      <c r="AH253" s="248"/>
      <c r="AI253" s="194"/>
      <c r="AJ253" s="249"/>
      <c r="AK253" s="250"/>
      <c r="AL253" s="251"/>
      <c r="AM253" s="252"/>
      <c r="AN253" s="241"/>
      <c r="AO253" s="241"/>
      <c r="AP253" s="241"/>
      <c r="AQ253" s="194"/>
      <c r="AR253" s="195"/>
      <c r="AS253" s="195"/>
    </row>
    <row r="254" spans="2:45">
      <c r="B254" s="253"/>
      <c r="C254" s="230"/>
      <c r="D254" s="245"/>
      <c r="E254" s="230"/>
      <c r="F254" s="230"/>
      <c r="G254" s="230"/>
      <c r="H254" s="230"/>
      <c r="I254" s="228"/>
      <c r="J254" s="228"/>
      <c r="K254" s="230"/>
      <c r="L254" s="230"/>
      <c r="M254" s="246"/>
      <c r="N254" s="230"/>
      <c r="O254" s="230"/>
      <c r="P254" s="230"/>
      <c r="Q254" s="230"/>
      <c r="R254" s="256"/>
      <c r="S254" s="257"/>
      <c r="T254" s="228"/>
      <c r="U254" s="228"/>
      <c r="V254" s="245"/>
      <c r="W254" s="254"/>
      <c r="X254" s="254"/>
      <c r="Y254" s="228"/>
      <c r="Z254" s="255"/>
      <c r="AA254" s="248"/>
      <c r="AB254" s="248"/>
      <c r="AC254" s="248"/>
      <c r="AD254" s="247"/>
      <c r="AE254" s="228"/>
      <c r="AF254" s="228"/>
      <c r="AG254" s="248"/>
      <c r="AH254" s="248"/>
      <c r="AI254" s="194"/>
      <c r="AJ254" s="249"/>
      <c r="AK254" s="250"/>
      <c r="AL254" s="251"/>
      <c r="AM254" s="252"/>
      <c r="AN254" s="241"/>
      <c r="AO254" s="241"/>
      <c r="AP254" s="241"/>
      <c r="AQ254" s="194"/>
      <c r="AR254" s="195"/>
      <c r="AS254" s="195"/>
    </row>
    <row r="255" spans="2:45">
      <c r="B255" s="253"/>
      <c r="C255" s="230"/>
      <c r="D255" s="245"/>
      <c r="E255" s="230"/>
      <c r="F255" s="230"/>
      <c r="G255" s="230"/>
      <c r="H255" s="230"/>
      <c r="I255" s="228"/>
      <c r="J255" s="228"/>
      <c r="K255" s="230"/>
      <c r="L255" s="230"/>
      <c r="M255" s="246"/>
      <c r="N255" s="230"/>
      <c r="O255" s="230"/>
      <c r="P255" s="230"/>
      <c r="Q255" s="230"/>
      <c r="R255" s="256"/>
      <c r="S255" s="257"/>
      <c r="T255" s="228"/>
      <c r="U255" s="228"/>
      <c r="V255" s="245"/>
      <c r="W255" s="254"/>
      <c r="X255" s="254"/>
      <c r="Y255" s="228"/>
      <c r="Z255" s="255"/>
      <c r="AA255" s="248"/>
      <c r="AB255" s="248"/>
      <c r="AC255" s="248"/>
      <c r="AD255" s="247"/>
      <c r="AE255" s="228"/>
      <c r="AF255" s="228"/>
      <c r="AG255" s="248"/>
      <c r="AH255" s="248"/>
      <c r="AI255" s="194"/>
      <c r="AJ255" s="249"/>
      <c r="AK255" s="250"/>
      <c r="AL255" s="251"/>
      <c r="AM255" s="252"/>
      <c r="AN255" s="241"/>
      <c r="AO255" s="241"/>
      <c r="AP255" s="241"/>
      <c r="AQ255" s="194"/>
      <c r="AR255" s="195"/>
      <c r="AS255" s="195"/>
    </row>
    <row r="256" spans="2:45">
      <c r="B256" s="253"/>
      <c r="C256" s="230"/>
      <c r="D256" s="245"/>
      <c r="E256" s="230"/>
      <c r="F256" s="230"/>
      <c r="G256" s="230"/>
      <c r="H256" s="230"/>
      <c r="I256" s="228"/>
      <c r="J256" s="228"/>
      <c r="K256" s="230"/>
      <c r="L256" s="230"/>
      <c r="M256" s="246"/>
      <c r="N256" s="230"/>
      <c r="O256" s="230"/>
      <c r="P256" s="230"/>
      <c r="Q256" s="230"/>
      <c r="R256" s="256"/>
      <c r="S256" s="257"/>
      <c r="T256" s="228"/>
      <c r="U256" s="228"/>
      <c r="V256" s="245"/>
      <c r="W256" s="254"/>
      <c r="X256" s="254"/>
      <c r="Y256" s="228"/>
      <c r="Z256" s="255"/>
      <c r="AA256" s="248"/>
      <c r="AB256" s="248"/>
      <c r="AC256" s="248"/>
      <c r="AD256" s="247"/>
      <c r="AE256" s="228"/>
      <c r="AF256" s="228"/>
      <c r="AG256" s="248"/>
      <c r="AH256" s="248"/>
      <c r="AI256" s="194"/>
      <c r="AJ256" s="249"/>
      <c r="AK256" s="250"/>
      <c r="AL256" s="251"/>
      <c r="AM256" s="252"/>
      <c r="AN256" s="241"/>
      <c r="AO256" s="241"/>
      <c r="AP256" s="241"/>
      <c r="AQ256" s="194"/>
      <c r="AR256" s="195"/>
      <c r="AS256" s="195"/>
    </row>
    <row r="257" spans="2:45">
      <c r="B257" s="253"/>
      <c r="C257" s="230"/>
      <c r="D257" s="245"/>
      <c r="E257" s="230"/>
      <c r="F257" s="230"/>
      <c r="G257" s="230"/>
      <c r="H257" s="230"/>
      <c r="I257" s="228"/>
      <c r="J257" s="228"/>
      <c r="K257" s="230"/>
      <c r="L257" s="230"/>
      <c r="M257" s="246"/>
      <c r="N257" s="230"/>
      <c r="O257" s="230"/>
      <c r="P257" s="230"/>
      <c r="Q257" s="230"/>
      <c r="R257" s="256"/>
      <c r="S257" s="257"/>
      <c r="T257" s="228"/>
      <c r="U257" s="228"/>
      <c r="V257" s="245"/>
      <c r="W257" s="254"/>
      <c r="X257" s="254"/>
      <c r="Y257" s="228"/>
      <c r="Z257" s="255"/>
      <c r="AA257" s="248"/>
      <c r="AB257" s="248"/>
      <c r="AC257" s="248"/>
      <c r="AD257" s="247"/>
      <c r="AE257" s="228"/>
      <c r="AF257" s="228"/>
      <c r="AG257" s="248"/>
      <c r="AH257" s="248"/>
      <c r="AI257" s="194"/>
      <c r="AJ257" s="249"/>
      <c r="AK257" s="250"/>
      <c r="AL257" s="251"/>
      <c r="AM257" s="252"/>
      <c r="AN257" s="241"/>
      <c r="AO257" s="241"/>
      <c r="AP257" s="241"/>
      <c r="AQ257" s="194"/>
      <c r="AR257" s="195"/>
      <c r="AS257" s="195"/>
    </row>
    <row r="258" spans="2:45">
      <c r="B258" s="253"/>
      <c r="C258" s="230"/>
      <c r="D258" s="245"/>
      <c r="E258" s="230"/>
      <c r="F258" s="230"/>
      <c r="G258" s="230"/>
      <c r="H258" s="230"/>
      <c r="I258" s="228"/>
      <c r="J258" s="228"/>
      <c r="K258" s="230"/>
      <c r="L258" s="230"/>
      <c r="M258" s="246"/>
      <c r="N258" s="230"/>
      <c r="O258" s="230"/>
      <c r="P258" s="230"/>
      <c r="Q258" s="230"/>
      <c r="R258" s="256"/>
      <c r="S258" s="257"/>
      <c r="T258" s="228"/>
      <c r="U258" s="228"/>
      <c r="V258" s="245"/>
      <c r="W258" s="254"/>
      <c r="X258" s="254"/>
      <c r="Y258" s="228"/>
      <c r="Z258" s="255"/>
      <c r="AA258" s="248"/>
      <c r="AB258" s="248"/>
      <c r="AC258" s="248"/>
      <c r="AD258" s="247"/>
      <c r="AE258" s="228"/>
      <c r="AF258" s="228"/>
      <c r="AG258" s="248"/>
      <c r="AH258" s="248"/>
      <c r="AI258" s="194"/>
      <c r="AJ258" s="249"/>
      <c r="AK258" s="250"/>
      <c r="AL258" s="251"/>
      <c r="AM258" s="252"/>
      <c r="AN258" s="241"/>
      <c r="AO258" s="241"/>
      <c r="AP258" s="241"/>
      <c r="AQ258" s="194"/>
      <c r="AR258" s="195"/>
      <c r="AS258" s="195"/>
    </row>
    <row r="259" spans="2:45">
      <c r="B259" s="253"/>
      <c r="C259" s="230"/>
      <c r="D259" s="245"/>
      <c r="E259" s="230"/>
      <c r="F259" s="230"/>
      <c r="G259" s="230"/>
      <c r="H259" s="230"/>
      <c r="I259" s="228"/>
      <c r="J259" s="228"/>
      <c r="K259" s="230"/>
      <c r="L259" s="230"/>
      <c r="M259" s="246"/>
      <c r="N259" s="230"/>
      <c r="O259" s="230"/>
      <c r="P259" s="230"/>
      <c r="Q259" s="230"/>
      <c r="R259" s="256"/>
      <c r="S259" s="257"/>
      <c r="T259" s="228"/>
      <c r="U259" s="228"/>
      <c r="V259" s="245"/>
      <c r="W259" s="254"/>
      <c r="X259" s="254"/>
      <c r="Y259" s="228"/>
      <c r="Z259" s="255"/>
      <c r="AA259" s="248"/>
      <c r="AB259" s="248"/>
      <c r="AC259" s="248"/>
      <c r="AD259" s="247"/>
      <c r="AE259" s="228"/>
      <c r="AF259" s="228"/>
      <c r="AG259" s="248"/>
      <c r="AH259" s="248"/>
      <c r="AI259" s="194"/>
      <c r="AJ259" s="249"/>
      <c r="AK259" s="250"/>
      <c r="AL259" s="251"/>
      <c r="AM259" s="252"/>
      <c r="AN259" s="241"/>
      <c r="AO259" s="241"/>
      <c r="AP259" s="241"/>
      <c r="AQ259" s="194"/>
      <c r="AR259" s="195"/>
      <c r="AS259" s="195"/>
    </row>
    <row r="260" spans="2:45">
      <c r="B260" s="253"/>
      <c r="C260" s="230"/>
      <c r="D260" s="245"/>
      <c r="E260" s="230"/>
      <c r="F260" s="230"/>
      <c r="G260" s="230"/>
      <c r="H260" s="230"/>
      <c r="I260" s="228"/>
      <c r="J260" s="228"/>
      <c r="K260" s="230"/>
      <c r="L260" s="230"/>
      <c r="M260" s="246"/>
      <c r="N260" s="230"/>
      <c r="O260" s="230"/>
      <c r="P260" s="230"/>
      <c r="Q260" s="230"/>
      <c r="R260" s="256"/>
      <c r="S260" s="257"/>
      <c r="T260" s="228"/>
      <c r="U260" s="228"/>
      <c r="V260" s="245"/>
      <c r="W260" s="254"/>
      <c r="X260" s="254"/>
      <c r="Y260" s="228"/>
      <c r="Z260" s="255"/>
      <c r="AA260" s="248"/>
      <c r="AB260" s="248"/>
      <c r="AC260" s="248"/>
      <c r="AD260" s="247"/>
      <c r="AE260" s="228"/>
      <c r="AF260" s="228"/>
      <c r="AG260" s="248"/>
      <c r="AH260" s="248"/>
      <c r="AI260" s="194"/>
      <c r="AJ260" s="249"/>
      <c r="AK260" s="250"/>
      <c r="AL260" s="251"/>
      <c r="AM260" s="252"/>
      <c r="AN260" s="241"/>
      <c r="AO260" s="241"/>
      <c r="AP260" s="241"/>
      <c r="AQ260" s="194"/>
      <c r="AR260" s="195"/>
      <c r="AS260" s="195"/>
    </row>
    <row r="261" spans="2:45">
      <c r="B261" s="253"/>
      <c r="C261" s="230"/>
      <c r="D261" s="245"/>
      <c r="E261" s="230"/>
      <c r="F261" s="230"/>
      <c r="G261" s="230"/>
      <c r="H261" s="230"/>
      <c r="I261" s="228"/>
      <c r="J261" s="228"/>
      <c r="K261" s="230"/>
      <c r="L261" s="230"/>
      <c r="M261" s="246"/>
      <c r="N261" s="230"/>
      <c r="O261" s="230"/>
      <c r="P261" s="230"/>
      <c r="Q261" s="230"/>
      <c r="R261" s="256"/>
      <c r="S261" s="257"/>
      <c r="T261" s="228"/>
      <c r="U261" s="228"/>
      <c r="V261" s="245"/>
      <c r="W261" s="254"/>
      <c r="X261" s="254"/>
      <c r="Y261" s="228"/>
      <c r="Z261" s="255"/>
      <c r="AA261" s="248"/>
      <c r="AB261" s="248"/>
      <c r="AC261" s="248"/>
      <c r="AD261" s="247"/>
      <c r="AE261" s="228"/>
      <c r="AF261" s="228"/>
      <c r="AG261" s="248"/>
      <c r="AH261" s="248"/>
      <c r="AI261" s="194"/>
      <c r="AJ261" s="249"/>
      <c r="AK261" s="250"/>
      <c r="AL261" s="251"/>
      <c r="AM261" s="252"/>
      <c r="AN261" s="241"/>
      <c r="AO261" s="241"/>
      <c r="AP261" s="241"/>
      <c r="AQ261" s="194"/>
      <c r="AR261" s="195"/>
      <c r="AS261" s="195"/>
    </row>
    <row r="262" spans="2:45">
      <c r="B262" s="253"/>
      <c r="C262" s="230"/>
      <c r="D262" s="245"/>
      <c r="E262" s="230"/>
      <c r="F262" s="230"/>
      <c r="G262" s="230"/>
      <c r="H262" s="230"/>
      <c r="I262" s="228"/>
      <c r="J262" s="228"/>
      <c r="K262" s="230"/>
      <c r="L262" s="230"/>
      <c r="M262" s="246"/>
      <c r="N262" s="230"/>
      <c r="O262" s="230"/>
      <c r="P262" s="230"/>
      <c r="Q262" s="230"/>
      <c r="R262" s="256"/>
      <c r="S262" s="257"/>
      <c r="T262" s="228"/>
      <c r="U262" s="228"/>
      <c r="V262" s="245"/>
      <c r="W262" s="254"/>
      <c r="X262" s="254"/>
      <c r="Y262" s="228"/>
      <c r="Z262" s="255"/>
      <c r="AA262" s="248"/>
      <c r="AB262" s="248"/>
      <c r="AC262" s="248"/>
      <c r="AD262" s="247"/>
      <c r="AE262" s="228"/>
      <c r="AF262" s="228"/>
      <c r="AG262" s="248"/>
      <c r="AH262" s="248"/>
      <c r="AI262" s="194"/>
      <c r="AJ262" s="249"/>
      <c r="AK262" s="250"/>
      <c r="AL262" s="251"/>
      <c r="AM262" s="252"/>
      <c r="AN262" s="241"/>
      <c r="AO262" s="241"/>
      <c r="AP262" s="241"/>
      <c r="AQ262" s="194"/>
      <c r="AR262" s="195"/>
      <c r="AS262" s="195"/>
    </row>
    <row r="263" spans="2:45">
      <c r="B263" s="253"/>
      <c r="C263" s="230"/>
      <c r="D263" s="245"/>
      <c r="E263" s="230"/>
      <c r="F263" s="230"/>
      <c r="G263" s="230"/>
      <c r="H263" s="230"/>
      <c r="I263" s="228"/>
      <c r="J263" s="228"/>
      <c r="K263" s="230"/>
      <c r="L263" s="230"/>
      <c r="M263" s="246"/>
      <c r="N263" s="230"/>
      <c r="O263" s="230"/>
      <c r="P263" s="230"/>
      <c r="Q263" s="230"/>
      <c r="R263" s="256"/>
      <c r="S263" s="257"/>
      <c r="T263" s="228"/>
      <c r="U263" s="228"/>
      <c r="V263" s="245"/>
      <c r="W263" s="254"/>
      <c r="X263" s="254"/>
      <c r="Y263" s="228"/>
      <c r="Z263" s="255"/>
      <c r="AA263" s="248"/>
      <c r="AB263" s="248"/>
      <c r="AC263" s="248"/>
      <c r="AD263" s="247"/>
      <c r="AE263" s="228"/>
      <c r="AF263" s="228"/>
      <c r="AG263" s="248"/>
      <c r="AH263" s="248"/>
      <c r="AI263" s="194"/>
      <c r="AJ263" s="249"/>
      <c r="AK263" s="250"/>
      <c r="AL263" s="251"/>
      <c r="AM263" s="252"/>
      <c r="AN263" s="241"/>
      <c r="AO263" s="241"/>
      <c r="AP263" s="241"/>
      <c r="AQ263" s="194"/>
      <c r="AR263" s="195"/>
      <c r="AS263" s="195"/>
    </row>
    <row r="264" spans="2:45">
      <c r="B264" s="253"/>
      <c r="C264" s="230"/>
      <c r="D264" s="245"/>
      <c r="E264" s="230"/>
      <c r="F264" s="230"/>
      <c r="G264" s="230"/>
      <c r="H264" s="230"/>
      <c r="I264" s="228"/>
      <c r="J264" s="228"/>
      <c r="K264" s="230"/>
      <c r="L264" s="230"/>
      <c r="M264" s="246"/>
      <c r="N264" s="230"/>
      <c r="O264" s="230"/>
      <c r="P264" s="230"/>
      <c r="Q264" s="230"/>
      <c r="R264" s="256"/>
      <c r="S264" s="257"/>
      <c r="T264" s="228"/>
      <c r="U264" s="228"/>
      <c r="V264" s="245"/>
      <c r="W264" s="254"/>
      <c r="X264" s="254"/>
      <c r="Y264" s="228"/>
      <c r="Z264" s="255"/>
      <c r="AA264" s="248"/>
      <c r="AB264" s="248"/>
      <c r="AC264" s="248"/>
      <c r="AD264" s="247"/>
      <c r="AE264" s="228"/>
      <c r="AF264" s="228"/>
      <c r="AG264" s="248"/>
      <c r="AH264" s="248"/>
      <c r="AI264" s="194"/>
      <c r="AJ264" s="249"/>
      <c r="AK264" s="250"/>
      <c r="AL264" s="251"/>
      <c r="AM264" s="252"/>
      <c r="AN264" s="241"/>
      <c r="AO264" s="241"/>
      <c r="AP264" s="241"/>
      <c r="AQ264" s="194"/>
      <c r="AR264" s="195"/>
      <c r="AS264" s="195"/>
    </row>
    <row r="265" spans="2:45">
      <c r="B265" s="253"/>
      <c r="C265" s="230"/>
      <c r="D265" s="245"/>
      <c r="E265" s="230"/>
      <c r="F265" s="230"/>
      <c r="G265" s="230"/>
      <c r="H265" s="230"/>
      <c r="I265" s="228"/>
      <c r="J265" s="228"/>
      <c r="K265" s="230"/>
      <c r="L265" s="230"/>
      <c r="M265" s="246"/>
      <c r="N265" s="230"/>
      <c r="O265" s="230"/>
      <c r="P265" s="230"/>
      <c r="Q265" s="230"/>
      <c r="R265" s="256"/>
      <c r="S265" s="257"/>
      <c r="T265" s="228"/>
      <c r="U265" s="228"/>
      <c r="V265" s="245"/>
      <c r="W265" s="254"/>
      <c r="X265" s="254"/>
      <c r="Y265" s="228"/>
      <c r="Z265" s="255"/>
      <c r="AA265" s="248"/>
      <c r="AB265" s="248"/>
      <c r="AC265" s="248"/>
      <c r="AD265" s="247"/>
      <c r="AE265" s="228"/>
      <c r="AF265" s="228"/>
      <c r="AG265" s="248"/>
      <c r="AH265" s="248"/>
      <c r="AI265" s="194"/>
      <c r="AJ265" s="249"/>
      <c r="AK265" s="250"/>
      <c r="AL265" s="251"/>
      <c r="AM265" s="252"/>
      <c r="AN265" s="241"/>
      <c r="AO265" s="241"/>
      <c r="AP265" s="241"/>
      <c r="AQ265" s="194"/>
      <c r="AR265" s="195"/>
      <c r="AS265" s="195"/>
    </row>
    <row r="266" spans="2:45">
      <c r="B266" s="253"/>
      <c r="C266" s="230"/>
      <c r="D266" s="245"/>
      <c r="E266" s="230"/>
      <c r="F266" s="230"/>
      <c r="G266" s="230"/>
      <c r="H266" s="230"/>
      <c r="I266" s="228"/>
      <c r="J266" s="228"/>
      <c r="K266" s="230"/>
      <c r="L266" s="230"/>
      <c r="M266" s="246"/>
      <c r="N266" s="230"/>
      <c r="O266" s="230"/>
      <c r="P266" s="230"/>
      <c r="Q266" s="230"/>
      <c r="R266" s="256"/>
      <c r="S266" s="257"/>
      <c r="T266" s="228"/>
      <c r="U266" s="228"/>
      <c r="V266" s="245"/>
      <c r="W266" s="254"/>
      <c r="X266" s="254"/>
      <c r="Y266" s="228"/>
      <c r="Z266" s="255"/>
      <c r="AA266" s="248"/>
      <c r="AB266" s="248"/>
      <c r="AC266" s="248"/>
      <c r="AD266" s="247"/>
      <c r="AE266" s="228"/>
      <c r="AF266" s="228"/>
      <c r="AG266" s="248"/>
      <c r="AH266" s="248"/>
      <c r="AI266" s="194"/>
      <c r="AJ266" s="249"/>
      <c r="AK266" s="250"/>
      <c r="AL266" s="251"/>
      <c r="AM266" s="252"/>
      <c r="AN266" s="241"/>
      <c r="AO266" s="241"/>
      <c r="AP266" s="241"/>
      <c r="AQ266" s="194"/>
      <c r="AR266" s="195"/>
      <c r="AS266" s="195"/>
    </row>
    <row r="267" spans="2:45">
      <c r="B267" s="253"/>
      <c r="C267" s="230"/>
      <c r="D267" s="245"/>
      <c r="E267" s="230"/>
      <c r="F267" s="230"/>
      <c r="G267" s="230"/>
      <c r="H267" s="230"/>
      <c r="I267" s="228"/>
      <c r="J267" s="228"/>
      <c r="K267" s="230"/>
      <c r="L267" s="230"/>
      <c r="M267" s="246"/>
      <c r="N267" s="230"/>
      <c r="O267" s="230"/>
      <c r="P267" s="230"/>
      <c r="Q267" s="230"/>
      <c r="R267" s="256"/>
      <c r="S267" s="257"/>
      <c r="T267" s="228"/>
      <c r="U267" s="228"/>
      <c r="V267" s="245"/>
      <c r="W267" s="254"/>
      <c r="X267" s="254"/>
      <c r="Y267" s="228"/>
      <c r="Z267" s="255"/>
      <c r="AA267" s="248"/>
      <c r="AB267" s="248"/>
      <c r="AC267" s="248"/>
      <c r="AD267" s="247"/>
      <c r="AE267" s="228"/>
      <c r="AF267" s="228"/>
      <c r="AG267" s="248"/>
      <c r="AH267" s="248"/>
      <c r="AI267" s="194"/>
      <c r="AJ267" s="249"/>
      <c r="AK267" s="250"/>
      <c r="AL267" s="251"/>
      <c r="AM267" s="252"/>
      <c r="AN267" s="241"/>
      <c r="AO267" s="241"/>
      <c r="AP267" s="241"/>
      <c r="AQ267" s="194"/>
      <c r="AR267" s="195"/>
      <c r="AS267" s="195"/>
    </row>
    <row r="268" spans="2:45">
      <c r="B268" s="253"/>
      <c r="C268" s="230"/>
      <c r="D268" s="245"/>
      <c r="E268" s="230"/>
      <c r="F268" s="230"/>
      <c r="G268" s="230"/>
      <c r="H268" s="230"/>
      <c r="I268" s="228"/>
      <c r="J268" s="228"/>
      <c r="K268" s="230"/>
      <c r="L268" s="230"/>
      <c r="M268" s="246"/>
      <c r="N268" s="230"/>
      <c r="O268" s="230"/>
      <c r="P268" s="230"/>
      <c r="Q268" s="230"/>
      <c r="R268" s="256"/>
      <c r="S268" s="257"/>
      <c r="T268" s="228"/>
      <c r="U268" s="228"/>
      <c r="V268" s="245"/>
      <c r="W268" s="254"/>
      <c r="X268" s="254"/>
      <c r="Y268" s="228"/>
      <c r="Z268" s="255"/>
      <c r="AA268" s="248"/>
      <c r="AB268" s="248"/>
      <c r="AC268" s="248"/>
      <c r="AD268" s="247"/>
      <c r="AE268" s="228"/>
      <c r="AF268" s="228"/>
      <c r="AG268" s="248"/>
      <c r="AH268" s="248"/>
      <c r="AI268" s="194"/>
      <c r="AJ268" s="249"/>
      <c r="AK268" s="250"/>
      <c r="AL268" s="251"/>
      <c r="AM268" s="252"/>
      <c r="AN268" s="241"/>
      <c r="AO268" s="241"/>
      <c r="AP268" s="241"/>
      <c r="AQ268" s="194"/>
      <c r="AR268" s="195"/>
      <c r="AS268" s="195"/>
    </row>
    <row r="269" spans="2:45">
      <c r="B269" s="253"/>
      <c r="C269" s="230"/>
      <c r="D269" s="245"/>
      <c r="E269" s="230"/>
      <c r="F269" s="230"/>
      <c r="G269" s="230"/>
      <c r="H269" s="230"/>
      <c r="I269" s="228"/>
      <c r="J269" s="228"/>
      <c r="K269" s="230"/>
      <c r="L269" s="230"/>
      <c r="M269" s="246"/>
      <c r="N269" s="230"/>
      <c r="O269" s="230"/>
      <c r="P269" s="230"/>
      <c r="Q269" s="230"/>
      <c r="R269" s="256"/>
      <c r="S269" s="257"/>
      <c r="T269" s="228"/>
      <c r="U269" s="228"/>
      <c r="V269" s="245"/>
      <c r="W269" s="254"/>
      <c r="X269" s="254"/>
      <c r="Y269" s="228"/>
      <c r="Z269" s="255"/>
      <c r="AA269" s="248"/>
      <c r="AB269" s="248"/>
      <c r="AC269" s="248"/>
      <c r="AD269" s="247"/>
      <c r="AE269" s="228"/>
      <c r="AF269" s="228"/>
      <c r="AG269" s="248"/>
      <c r="AH269" s="248"/>
      <c r="AI269" s="194"/>
      <c r="AJ269" s="249"/>
      <c r="AK269" s="250"/>
      <c r="AL269" s="251"/>
      <c r="AM269" s="252"/>
      <c r="AN269" s="241"/>
      <c r="AO269" s="241"/>
      <c r="AP269" s="241"/>
      <c r="AQ269" s="194"/>
      <c r="AR269" s="195"/>
      <c r="AS269" s="195"/>
    </row>
    <row r="270" spans="2:45">
      <c r="B270" s="253"/>
      <c r="C270" s="230"/>
      <c r="D270" s="245"/>
      <c r="E270" s="230"/>
      <c r="F270" s="230"/>
      <c r="G270" s="230"/>
      <c r="H270" s="230"/>
      <c r="I270" s="228"/>
      <c r="J270" s="228"/>
      <c r="K270" s="230"/>
      <c r="L270" s="230"/>
      <c r="M270" s="246"/>
      <c r="N270" s="230"/>
      <c r="O270" s="230"/>
      <c r="P270" s="230"/>
      <c r="Q270" s="230"/>
      <c r="R270" s="256"/>
      <c r="S270" s="257"/>
      <c r="T270" s="228"/>
      <c r="U270" s="228"/>
      <c r="V270" s="245"/>
      <c r="W270" s="254"/>
      <c r="X270" s="254"/>
      <c r="Y270" s="228"/>
      <c r="Z270" s="255"/>
      <c r="AA270" s="248"/>
      <c r="AB270" s="248"/>
      <c r="AC270" s="248"/>
      <c r="AD270" s="247"/>
      <c r="AE270" s="228"/>
      <c r="AF270" s="228"/>
      <c r="AG270" s="248"/>
      <c r="AH270" s="248"/>
      <c r="AI270" s="194"/>
      <c r="AJ270" s="249"/>
      <c r="AK270" s="250"/>
      <c r="AL270" s="251"/>
      <c r="AM270" s="252"/>
      <c r="AN270" s="241"/>
      <c r="AO270" s="241"/>
      <c r="AP270" s="241"/>
      <c r="AQ270" s="194"/>
      <c r="AR270" s="195"/>
      <c r="AS270" s="195"/>
    </row>
    <row r="271" spans="2:45">
      <c r="B271" s="253"/>
      <c r="C271" s="230"/>
      <c r="D271" s="245"/>
      <c r="E271" s="230"/>
      <c r="F271" s="230"/>
      <c r="G271" s="230"/>
      <c r="H271" s="230"/>
      <c r="I271" s="228"/>
      <c r="J271" s="228"/>
      <c r="K271" s="230"/>
      <c r="L271" s="230"/>
      <c r="M271" s="246"/>
      <c r="N271" s="230"/>
      <c r="O271" s="230"/>
      <c r="P271" s="230"/>
      <c r="Q271" s="230"/>
      <c r="R271" s="256"/>
      <c r="S271" s="257"/>
      <c r="T271" s="228"/>
      <c r="U271" s="228"/>
      <c r="V271" s="245"/>
      <c r="W271" s="254"/>
      <c r="X271" s="254"/>
      <c r="Y271" s="228"/>
      <c r="Z271" s="255"/>
      <c r="AA271" s="248"/>
      <c r="AB271" s="248"/>
      <c r="AC271" s="248"/>
      <c r="AD271" s="247"/>
      <c r="AE271" s="228"/>
      <c r="AF271" s="228"/>
      <c r="AG271" s="248"/>
      <c r="AH271" s="248"/>
      <c r="AI271" s="194"/>
      <c r="AJ271" s="249"/>
      <c r="AK271" s="250"/>
      <c r="AL271" s="251"/>
      <c r="AM271" s="252"/>
      <c r="AN271" s="241"/>
      <c r="AO271" s="241"/>
      <c r="AP271" s="241"/>
      <c r="AQ271" s="194"/>
      <c r="AR271" s="195"/>
      <c r="AS271" s="195"/>
    </row>
    <row r="272" spans="2:45">
      <c r="B272" s="253"/>
      <c r="C272" s="230"/>
      <c r="D272" s="245"/>
      <c r="E272" s="230"/>
      <c r="F272" s="230"/>
      <c r="G272" s="230"/>
      <c r="H272" s="230"/>
      <c r="I272" s="228"/>
      <c r="J272" s="228"/>
      <c r="K272" s="230"/>
      <c r="L272" s="230"/>
      <c r="M272" s="246"/>
      <c r="N272" s="230"/>
      <c r="O272" s="230"/>
      <c r="P272" s="230"/>
      <c r="Q272" s="230"/>
      <c r="R272" s="256"/>
      <c r="S272" s="257"/>
      <c r="T272" s="228"/>
      <c r="U272" s="228"/>
      <c r="V272" s="245"/>
      <c r="W272" s="254"/>
      <c r="X272" s="254"/>
      <c r="Y272" s="228"/>
      <c r="Z272" s="255"/>
      <c r="AA272" s="248"/>
      <c r="AB272" s="248"/>
      <c r="AC272" s="248"/>
      <c r="AD272" s="247"/>
      <c r="AE272" s="228"/>
      <c r="AF272" s="228"/>
      <c r="AG272" s="248"/>
      <c r="AH272" s="248"/>
      <c r="AI272" s="194"/>
      <c r="AJ272" s="249"/>
      <c r="AK272" s="250"/>
      <c r="AL272" s="251"/>
      <c r="AM272" s="252"/>
      <c r="AN272" s="241"/>
      <c r="AO272" s="241"/>
      <c r="AP272" s="241"/>
      <c r="AQ272" s="194"/>
      <c r="AR272" s="195"/>
      <c r="AS272" s="195"/>
    </row>
    <row r="273" spans="2:45">
      <c r="B273" s="253"/>
      <c r="C273" s="230"/>
      <c r="D273" s="245"/>
      <c r="E273" s="230"/>
      <c r="F273" s="230"/>
      <c r="G273" s="230"/>
      <c r="H273" s="230"/>
      <c r="I273" s="228"/>
      <c r="J273" s="228"/>
      <c r="K273" s="230"/>
      <c r="L273" s="230"/>
      <c r="M273" s="246"/>
      <c r="N273" s="230"/>
      <c r="O273" s="230"/>
      <c r="P273" s="230"/>
      <c r="Q273" s="230"/>
      <c r="R273" s="256"/>
      <c r="S273" s="257"/>
      <c r="T273" s="228"/>
      <c r="U273" s="228"/>
      <c r="V273" s="245"/>
      <c r="W273" s="254"/>
      <c r="X273" s="254"/>
      <c r="Y273" s="228"/>
      <c r="Z273" s="255"/>
      <c r="AA273" s="248"/>
      <c r="AB273" s="248"/>
      <c r="AC273" s="248"/>
      <c r="AD273" s="247"/>
      <c r="AE273" s="228"/>
      <c r="AF273" s="228"/>
      <c r="AG273" s="248"/>
      <c r="AH273" s="248"/>
      <c r="AI273" s="194"/>
      <c r="AJ273" s="249"/>
      <c r="AK273" s="250"/>
      <c r="AL273" s="251"/>
      <c r="AM273" s="252"/>
      <c r="AN273" s="241"/>
      <c r="AO273" s="241"/>
      <c r="AP273" s="241"/>
      <c r="AQ273" s="194"/>
      <c r="AR273" s="195"/>
      <c r="AS273" s="195"/>
    </row>
    <row r="274" spans="2:45">
      <c r="B274" s="253"/>
      <c r="C274" s="230"/>
      <c r="D274" s="245"/>
      <c r="E274" s="230"/>
      <c r="F274" s="230"/>
      <c r="G274" s="230"/>
      <c r="H274" s="230"/>
      <c r="I274" s="228"/>
      <c r="J274" s="228"/>
      <c r="K274" s="230"/>
      <c r="L274" s="230"/>
      <c r="M274" s="246"/>
      <c r="N274" s="230"/>
      <c r="O274" s="230"/>
      <c r="P274" s="230"/>
      <c r="Q274" s="230"/>
      <c r="R274" s="256"/>
      <c r="S274" s="257"/>
      <c r="T274" s="228"/>
      <c r="U274" s="228"/>
      <c r="V274" s="245"/>
      <c r="W274" s="254"/>
      <c r="X274" s="254"/>
      <c r="Y274" s="228"/>
      <c r="Z274" s="255"/>
      <c r="AA274" s="248"/>
      <c r="AB274" s="248"/>
      <c r="AC274" s="248"/>
      <c r="AD274" s="247"/>
      <c r="AE274" s="228"/>
      <c r="AF274" s="228"/>
      <c r="AG274" s="248"/>
      <c r="AH274" s="248"/>
      <c r="AI274" s="194"/>
      <c r="AJ274" s="249"/>
      <c r="AK274" s="250"/>
      <c r="AL274" s="251"/>
      <c r="AM274" s="252"/>
      <c r="AN274" s="241"/>
      <c r="AO274" s="241"/>
      <c r="AP274" s="241"/>
      <c r="AQ274" s="194"/>
      <c r="AR274" s="195"/>
      <c r="AS274" s="195"/>
    </row>
    <row r="275" spans="2:45">
      <c r="B275" s="253"/>
      <c r="C275" s="230"/>
      <c r="D275" s="245"/>
      <c r="E275" s="230"/>
      <c r="F275" s="230"/>
      <c r="G275" s="230"/>
      <c r="H275" s="230"/>
      <c r="I275" s="228"/>
      <c r="J275" s="228"/>
      <c r="K275" s="230"/>
      <c r="L275" s="230"/>
      <c r="M275" s="246"/>
      <c r="N275" s="230"/>
      <c r="O275" s="230"/>
      <c r="P275" s="230"/>
      <c r="Q275" s="230"/>
      <c r="R275" s="256"/>
      <c r="S275" s="257"/>
      <c r="T275" s="228"/>
      <c r="U275" s="228"/>
      <c r="V275" s="245"/>
      <c r="W275" s="254"/>
      <c r="X275" s="254"/>
      <c r="Y275" s="228"/>
      <c r="Z275" s="255"/>
      <c r="AA275" s="248"/>
      <c r="AB275" s="248"/>
      <c r="AC275" s="248"/>
      <c r="AD275" s="247"/>
      <c r="AE275" s="228"/>
      <c r="AF275" s="228"/>
      <c r="AG275" s="248"/>
      <c r="AH275" s="248"/>
      <c r="AI275" s="194"/>
      <c r="AJ275" s="249"/>
      <c r="AK275" s="250"/>
      <c r="AL275" s="251"/>
      <c r="AM275" s="252"/>
      <c r="AN275" s="241"/>
      <c r="AO275" s="241"/>
      <c r="AP275" s="241"/>
      <c r="AQ275" s="194"/>
      <c r="AR275" s="195"/>
      <c r="AS275" s="195"/>
    </row>
    <row r="276" spans="2:45">
      <c r="B276" s="253"/>
      <c r="C276" s="230"/>
      <c r="D276" s="245"/>
      <c r="E276" s="230"/>
      <c r="F276" s="230"/>
      <c r="G276" s="230"/>
      <c r="H276" s="230"/>
      <c r="I276" s="228"/>
      <c r="J276" s="228"/>
      <c r="K276" s="230"/>
      <c r="L276" s="230"/>
      <c r="M276" s="246"/>
      <c r="N276" s="230"/>
      <c r="O276" s="230"/>
      <c r="P276" s="230"/>
      <c r="Q276" s="230"/>
      <c r="R276" s="256"/>
      <c r="S276" s="257"/>
      <c r="T276" s="228"/>
      <c r="U276" s="228"/>
      <c r="V276" s="245"/>
      <c r="W276" s="254"/>
      <c r="X276" s="254"/>
      <c r="Y276" s="228"/>
      <c r="Z276" s="255"/>
      <c r="AA276" s="248"/>
      <c r="AB276" s="248"/>
      <c r="AC276" s="248"/>
      <c r="AD276" s="247"/>
      <c r="AE276" s="228"/>
      <c r="AF276" s="228"/>
      <c r="AG276" s="248"/>
      <c r="AH276" s="248"/>
      <c r="AI276" s="194"/>
      <c r="AJ276" s="249"/>
      <c r="AK276" s="250"/>
      <c r="AL276" s="251"/>
      <c r="AM276" s="252"/>
      <c r="AN276" s="241"/>
      <c r="AO276" s="241"/>
      <c r="AP276" s="241"/>
      <c r="AQ276" s="194"/>
      <c r="AR276" s="195"/>
      <c r="AS276" s="195"/>
    </row>
    <row r="277" spans="2:45">
      <c r="B277" s="253"/>
      <c r="C277" s="230"/>
      <c r="D277" s="245"/>
      <c r="E277" s="230"/>
      <c r="F277" s="230"/>
      <c r="G277" s="230"/>
      <c r="H277" s="230"/>
      <c r="I277" s="228"/>
      <c r="J277" s="228"/>
      <c r="K277" s="230"/>
      <c r="L277" s="230"/>
      <c r="M277" s="246"/>
      <c r="N277" s="230"/>
      <c r="O277" s="230"/>
      <c r="P277" s="230"/>
      <c r="Q277" s="230"/>
      <c r="R277" s="256"/>
      <c r="S277" s="257"/>
      <c r="T277" s="228"/>
      <c r="U277" s="228"/>
      <c r="V277" s="245"/>
      <c r="W277" s="254"/>
      <c r="X277" s="254"/>
      <c r="Y277" s="228"/>
      <c r="Z277" s="255"/>
      <c r="AA277" s="248"/>
      <c r="AB277" s="248"/>
      <c r="AC277" s="248"/>
      <c r="AD277" s="247"/>
      <c r="AE277" s="228"/>
      <c r="AF277" s="228"/>
      <c r="AG277" s="248"/>
      <c r="AH277" s="248"/>
      <c r="AI277" s="194"/>
      <c r="AJ277" s="249"/>
      <c r="AK277" s="250"/>
      <c r="AL277" s="251"/>
      <c r="AM277" s="252"/>
      <c r="AN277" s="241"/>
      <c r="AO277" s="241"/>
      <c r="AP277" s="241"/>
      <c r="AQ277" s="194"/>
      <c r="AR277" s="195"/>
      <c r="AS277" s="195"/>
    </row>
    <row r="278" spans="2:45">
      <c r="B278" s="253"/>
      <c r="C278" s="230"/>
      <c r="D278" s="245"/>
      <c r="E278" s="230"/>
      <c r="F278" s="230"/>
      <c r="G278" s="230"/>
      <c r="H278" s="230"/>
      <c r="I278" s="228"/>
      <c r="J278" s="228"/>
      <c r="K278" s="230"/>
      <c r="L278" s="230"/>
      <c r="M278" s="246"/>
      <c r="N278" s="230"/>
      <c r="O278" s="230"/>
      <c r="P278" s="230"/>
      <c r="Q278" s="230"/>
      <c r="R278" s="256"/>
      <c r="S278" s="257"/>
      <c r="T278" s="228"/>
      <c r="U278" s="228"/>
      <c r="V278" s="245"/>
      <c r="W278" s="254"/>
      <c r="X278" s="254"/>
      <c r="Y278" s="228"/>
      <c r="Z278" s="255"/>
      <c r="AA278" s="248"/>
      <c r="AB278" s="248"/>
      <c r="AC278" s="248"/>
      <c r="AD278" s="247"/>
      <c r="AE278" s="228"/>
      <c r="AF278" s="228"/>
      <c r="AG278" s="248"/>
      <c r="AH278" s="248"/>
      <c r="AI278" s="194"/>
      <c r="AJ278" s="249"/>
      <c r="AK278" s="250"/>
      <c r="AL278" s="251"/>
      <c r="AM278" s="252"/>
      <c r="AN278" s="241"/>
      <c r="AO278" s="241"/>
      <c r="AP278" s="241"/>
      <c r="AQ278" s="194"/>
      <c r="AR278" s="195"/>
      <c r="AS278" s="195"/>
    </row>
    <row r="279" spans="2:45">
      <c r="B279" s="253"/>
      <c r="C279" s="230"/>
      <c r="D279" s="245"/>
      <c r="E279" s="230"/>
      <c r="F279" s="230"/>
      <c r="G279" s="230"/>
      <c r="H279" s="230"/>
      <c r="I279" s="228"/>
      <c r="J279" s="228"/>
      <c r="K279" s="230"/>
      <c r="L279" s="230"/>
      <c r="M279" s="246"/>
      <c r="N279" s="230"/>
      <c r="O279" s="230"/>
      <c r="P279" s="230"/>
      <c r="Q279" s="230"/>
      <c r="R279" s="256"/>
      <c r="S279" s="257"/>
      <c r="T279" s="228"/>
      <c r="U279" s="228"/>
      <c r="V279" s="245"/>
      <c r="W279" s="254"/>
      <c r="X279" s="254"/>
      <c r="Y279" s="228"/>
      <c r="Z279" s="255"/>
      <c r="AA279" s="248"/>
      <c r="AB279" s="248"/>
      <c r="AC279" s="248"/>
      <c r="AD279" s="247"/>
      <c r="AE279" s="228"/>
      <c r="AF279" s="228"/>
      <c r="AG279" s="248"/>
      <c r="AH279" s="248"/>
      <c r="AI279" s="194"/>
      <c r="AJ279" s="249"/>
      <c r="AK279" s="250"/>
      <c r="AL279" s="251"/>
      <c r="AM279" s="252"/>
      <c r="AN279" s="241"/>
      <c r="AO279" s="241"/>
      <c r="AP279" s="241"/>
      <c r="AQ279" s="194"/>
      <c r="AR279" s="195"/>
      <c r="AS279" s="195"/>
    </row>
    <row r="280" spans="2:45">
      <c r="B280" s="253"/>
      <c r="C280" s="230"/>
      <c r="D280" s="245"/>
      <c r="E280" s="230"/>
      <c r="F280" s="230"/>
      <c r="G280" s="230"/>
      <c r="H280" s="230"/>
      <c r="I280" s="228"/>
      <c r="J280" s="228"/>
      <c r="K280" s="230"/>
      <c r="L280" s="230"/>
      <c r="M280" s="246"/>
      <c r="N280" s="230"/>
      <c r="O280" s="230"/>
      <c r="P280" s="230"/>
      <c r="Q280" s="230"/>
      <c r="R280" s="256"/>
      <c r="S280" s="257"/>
      <c r="T280" s="228"/>
      <c r="U280" s="228"/>
      <c r="V280" s="245"/>
      <c r="W280" s="254"/>
      <c r="X280" s="254"/>
      <c r="Y280" s="228"/>
      <c r="Z280" s="255"/>
      <c r="AA280" s="248"/>
      <c r="AB280" s="248"/>
      <c r="AC280" s="248"/>
      <c r="AD280" s="247"/>
      <c r="AE280" s="228"/>
      <c r="AF280" s="228"/>
      <c r="AG280" s="248"/>
      <c r="AH280" s="248"/>
      <c r="AI280" s="194"/>
      <c r="AJ280" s="249"/>
      <c r="AK280" s="250"/>
      <c r="AL280" s="251"/>
      <c r="AM280" s="252"/>
      <c r="AN280" s="241"/>
      <c r="AO280" s="241"/>
      <c r="AP280" s="241"/>
      <c r="AQ280" s="194"/>
      <c r="AR280" s="195"/>
      <c r="AS280" s="195"/>
    </row>
    <row r="281" spans="2:45">
      <c r="B281" s="253"/>
      <c r="C281" s="230"/>
      <c r="D281" s="245"/>
      <c r="E281" s="230"/>
      <c r="F281" s="230"/>
      <c r="G281" s="230"/>
      <c r="H281" s="230"/>
      <c r="I281" s="228"/>
      <c r="J281" s="228"/>
      <c r="K281" s="230"/>
      <c r="L281" s="230"/>
      <c r="M281" s="246"/>
      <c r="N281" s="230"/>
      <c r="O281" s="230"/>
      <c r="P281" s="230"/>
      <c r="Q281" s="230"/>
      <c r="R281" s="256"/>
      <c r="S281" s="257"/>
      <c r="T281" s="228"/>
      <c r="U281" s="228"/>
      <c r="V281" s="245"/>
      <c r="W281" s="254"/>
      <c r="X281" s="254"/>
      <c r="Y281" s="228"/>
      <c r="Z281" s="255"/>
      <c r="AA281" s="248"/>
      <c r="AB281" s="248"/>
      <c r="AC281" s="248"/>
      <c r="AD281" s="247"/>
      <c r="AE281" s="228"/>
      <c r="AF281" s="228"/>
      <c r="AG281" s="248"/>
      <c r="AH281" s="248"/>
      <c r="AI281" s="194"/>
      <c r="AJ281" s="249"/>
      <c r="AK281" s="250"/>
      <c r="AL281" s="251"/>
      <c r="AM281" s="252"/>
      <c r="AN281" s="241"/>
      <c r="AO281" s="241"/>
      <c r="AP281" s="241"/>
      <c r="AQ281" s="194"/>
      <c r="AR281" s="195"/>
      <c r="AS281" s="195"/>
    </row>
    <row r="282" spans="2:45">
      <c r="B282" s="253"/>
      <c r="C282" s="230"/>
      <c r="D282" s="245"/>
      <c r="E282" s="230"/>
      <c r="F282" s="230"/>
      <c r="G282" s="230"/>
      <c r="H282" s="230"/>
      <c r="I282" s="228"/>
      <c r="J282" s="228"/>
      <c r="K282" s="230"/>
      <c r="L282" s="230"/>
      <c r="M282" s="246"/>
      <c r="N282" s="230"/>
      <c r="O282" s="230"/>
      <c r="P282" s="230"/>
      <c r="Q282" s="230"/>
      <c r="R282" s="256"/>
      <c r="S282" s="257"/>
      <c r="T282" s="228"/>
      <c r="U282" s="228"/>
      <c r="V282" s="245"/>
      <c r="W282" s="254"/>
      <c r="X282" s="254"/>
      <c r="Y282" s="228"/>
      <c r="Z282" s="255"/>
      <c r="AA282" s="248"/>
      <c r="AB282" s="248"/>
      <c r="AC282" s="248"/>
      <c r="AD282" s="247"/>
      <c r="AE282" s="228"/>
      <c r="AF282" s="228"/>
      <c r="AG282" s="248"/>
      <c r="AH282" s="248"/>
      <c r="AI282" s="194"/>
      <c r="AJ282" s="249"/>
      <c r="AK282" s="250"/>
      <c r="AL282" s="251"/>
      <c r="AM282" s="252"/>
      <c r="AN282" s="241"/>
      <c r="AO282" s="241"/>
      <c r="AP282" s="241"/>
      <c r="AQ282" s="194"/>
      <c r="AR282" s="195"/>
      <c r="AS282" s="195"/>
    </row>
    <row r="283" spans="2:45">
      <c r="B283" s="253"/>
      <c r="C283" s="230"/>
      <c r="D283" s="245"/>
      <c r="E283" s="230"/>
      <c r="F283" s="230"/>
      <c r="G283" s="230"/>
      <c r="H283" s="230"/>
      <c r="I283" s="228"/>
      <c r="J283" s="228"/>
      <c r="K283" s="230"/>
      <c r="L283" s="230"/>
      <c r="M283" s="246"/>
      <c r="N283" s="230"/>
      <c r="O283" s="230"/>
      <c r="P283" s="230"/>
      <c r="Q283" s="230"/>
      <c r="R283" s="256"/>
      <c r="S283" s="257"/>
      <c r="T283" s="228"/>
      <c r="U283" s="228"/>
      <c r="V283" s="245"/>
      <c r="W283" s="254"/>
      <c r="X283" s="254"/>
      <c r="Y283" s="228"/>
      <c r="Z283" s="255"/>
      <c r="AA283" s="248"/>
      <c r="AB283" s="248"/>
      <c r="AC283" s="248"/>
      <c r="AD283" s="247"/>
      <c r="AE283" s="228"/>
      <c r="AF283" s="228"/>
      <c r="AG283" s="248"/>
      <c r="AH283" s="248"/>
      <c r="AI283" s="194"/>
      <c r="AJ283" s="249"/>
      <c r="AK283" s="250"/>
      <c r="AL283" s="251"/>
      <c r="AM283" s="252"/>
      <c r="AN283" s="241"/>
      <c r="AO283" s="241"/>
      <c r="AP283" s="241"/>
      <c r="AQ283" s="194"/>
      <c r="AR283" s="195"/>
      <c r="AS283" s="195"/>
    </row>
    <row r="284" spans="2:45">
      <c r="B284" s="253"/>
      <c r="C284" s="230"/>
      <c r="D284" s="245"/>
      <c r="E284" s="230"/>
      <c r="F284" s="230"/>
      <c r="G284" s="230"/>
      <c r="H284" s="230"/>
      <c r="I284" s="228"/>
      <c r="J284" s="228"/>
      <c r="K284" s="230"/>
      <c r="L284" s="230"/>
      <c r="M284" s="246"/>
      <c r="N284" s="230"/>
      <c r="O284" s="230"/>
      <c r="P284" s="230"/>
      <c r="Q284" s="230"/>
      <c r="R284" s="256"/>
      <c r="S284" s="257"/>
      <c r="T284" s="228"/>
      <c r="U284" s="228"/>
      <c r="V284" s="245"/>
      <c r="W284" s="254"/>
      <c r="X284" s="254"/>
      <c r="Y284" s="228"/>
      <c r="Z284" s="255"/>
      <c r="AA284" s="248"/>
      <c r="AB284" s="248"/>
      <c r="AC284" s="248"/>
      <c r="AD284" s="247"/>
      <c r="AE284" s="228"/>
      <c r="AF284" s="228"/>
      <c r="AG284" s="248"/>
      <c r="AH284" s="248"/>
      <c r="AI284" s="194"/>
      <c r="AJ284" s="249"/>
      <c r="AK284" s="250"/>
      <c r="AL284" s="251"/>
      <c r="AM284" s="252"/>
      <c r="AN284" s="241"/>
      <c r="AO284" s="241"/>
      <c r="AP284" s="241"/>
      <c r="AQ284" s="194"/>
      <c r="AR284" s="195"/>
      <c r="AS284" s="195"/>
    </row>
    <row r="285" spans="2:45">
      <c r="B285" s="253"/>
      <c r="C285" s="230"/>
      <c r="D285" s="245"/>
      <c r="E285" s="230"/>
      <c r="F285" s="230"/>
      <c r="G285" s="230"/>
      <c r="H285" s="230"/>
      <c r="I285" s="228"/>
      <c r="J285" s="228"/>
      <c r="K285" s="230"/>
      <c r="L285" s="230"/>
      <c r="M285" s="246"/>
      <c r="N285" s="230"/>
      <c r="O285" s="230"/>
      <c r="P285" s="230"/>
      <c r="Q285" s="230"/>
      <c r="R285" s="256"/>
      <c r="S285" s="257"/>
      <c r="T285" s="228"/>
      <c r="U285" s="228"/>
      <c r="V285" s="245"/>
      <c r="W285" s="254"/>
      <c r="X285" s="254"/>
      <c r="Y285" s="228"/>
      <c r="Z285" s="255"/>
      <c r="AA285" s="248"/>
      <c r="AB285" s="248"/>
      <c r="AC285" s="248"/>
      <c r="AD285" s="247"/>
      <c r="AE285" s="228"/>
      <c r="AF285" s="228"/>
      <c r="AG285" s="248"/>
      <c r="AH285" s="248"/>
      <c r="AI285" s="194"/>
      <c r="AJ285" s="249"/>
      <c r="AK285" s="250"/>
      <c r="AL285" s="251"/>
      <c r="AM285" s="252"/>
      <c r="AN285" s="241"/>
      <c r="AO285" s="241"/>
      <c r="AP285" s="241"/>
      <c r="AQ285" s="194"/>
      <c r="AR285" s="195"/>
      <c r="AS285" s="195"/>
    </row>
    <row r="286" spans="2:45">
      <c r="B286" s="253"/>
      <c r="C286" s="230"/>
      <c r="D286" s="245"/>
      <c r="E286" s="230"/>
      <c r="F286" s="230"/>
      <c r="G286" s="230"/>
      <c r="H286" s="230"/>
      <c r="I286" s="228"/>
      <c r="J286" s="228"/>
      <c r="K286" s="230"/>
      <c r="L286" s="230"/>
      <c r="M286" s="246"/>
      <c r="N286" s="230"/>
      <c r="O286" s="230"/>
      <c r="P286" s="230"/>
      <c r="Q286" s="230"/>
      <c r="R286" s="256"/>
      <c r="S286" s="257"/>
      <c r="T286" s="228"/>
      <c r="U286" s="228"/>
      <c r="V286" s="245"/>
      <c r="W286" s="254"/>
      <c r="X286" s="254"/>
      <c r="Y286" s="228"/>
      <c r="Z286" s="255"/>
      <c r="AA286" s="248"/>
      <c r="AB286" s="248"/>
      <c r="AC286" s="248"/>
      <c r="AD286" s="247"/>
      <c r="AE286" s="228"/>
      <c r="AF286" s="228"/>
      <c r="AG286" s="248"/>
      <c r="AH286" s="248"/>
      <c r="AI286" s="194"/>
      <c r="AJ286" s="249"/>
      <c r="AK286" s="250"/>
      <c r="AL286" s="251"/>
      <c r="AM286" s="252"/>
      <c r="AN286" s="241"/>
      <c r="AO286" s="241"/>
      <c r="AP286" s="241"/>
      <c r="AQ286" s="194"/>
      <c r="AR286" s="195"/>
      <c r="AS286" s="195"/>
    </row>
    <row r="287" spans="2:45">
      <c r="B287" s="253"/>
      <c r="C287" s="230"/>
      <c r="D287" s="245"/>
      <c r="E287" s="230"/>
      <c r="F287" s="230"/>
      <c r="G287" s="230"/>
      <c r="H287" s="230"/>
      <c r="I287" s="228"/>
      <c r="J287" s="228"/>
      <c r="K287" s="230"/>
      <c r="L287" s="230"/>
      <c r="M287" s="246"/>
      <c r="N287" s="230"/>
      <c r="O287" s="230"/>
      <c r="P287" s="230"/>
      <c r="Q287" s="230"/>
      <c r="R287" s="256"/>
      <c r="S287" s="257"/>
      <c r="T287" s="228"/>
      <c r="U287" s="228"/>
      <c r="V287" s="245"/>
      <c r="W287" s="254"/>
      <c r="X287" s="254"/>
      <c r="Y287" s="228"/>
      <c r="Z287" s="255"/>
      <c r="AA287" s="248"/>
      <c r="AB287" s="248"/>
      <c r="AC287" s="248"/>
      <c r="AD287" s="247"/>
      <c r="AE287" s="228"/>
      <c r="AF287" s="228"/>
      <c r="AG287" s="248"/>
      <c r="AH287" s="248"/>
      <c r="AI287" s="194"/>
      <c r="AJ287" s="249"/>
      <c r="AK287" s="250"/>
      <c r="AL287" s="251"/>
      <c r="AM287" s="252"/>
      <c r="AN287" s="241"/>
      <c r="AO287" s="241"/>
      <c r="AP287" s="241"/>
      <c r="AQ287" s="194"/>
      <c r="AR287" s="195"/>
      <c r="AS287" s="195"/>
    </row>
    <row r="288" spans="2:45">
      <c r="B288" s="253"/>
      <c r="C288" s="230"/>
      <c r="D288" s="245"/>
      <c r="E288" s="230"/>
      <c r="F288" s="230"/>
      <c r="G288" s="230"/>
      <c r="H288" s="230"/>
      <c r="I288" s="228"/>
      <c r="J288" s="228"/>
      <c r="K288" s="230"/>
      <c r="L288" s="230"/>
      <c r="M288" s="246"/>
      <c r="N288" s="230"/>
      <c r="O288" s="230"/>
      <c r="P288" s="230"/>
      <c r="Q288" s="230"/>
      <c r="R288" s="256"/>
      <c r="S288" s="257"/>
      <c r="T288" s="228"/>
      <c r="U288" s="228"/>
      <c r="V288" s="245"/>
      <c r="W288" s="254"/>
      <c r="X288" s="254"/>
      <c r="Y288" s="228"/>
      <c r="Z288" s="255"/>
      <c r="AA288" s="248"/>
      <c r="AB288" s="248"/>
      <c r="AC288" s="248"/>
      <c r="AD288" s="247"/>
      <c r="AE288" s="228"/>
      <c r="AF288" s="228"/>
      <c r="AG288" s="248"/>
      <c r="AH288" s="248"/>
      <c r="AI288" s="194"/>
      <c r="AJ288" s="249"/>
      <c r="AK288" s="250"/>
      <c r="AL288" s="251"/>
      <c r="AM288" s="252"/>
      <c r="AN288" s="241"/>
      <c r="AO288" s="241"/>
      <c r="AP288" s="241"/>
      <c r="AQ288" s="194"/>
      <c r="AR288" s="195"/>
      <c r="AS288" s="195"/>
    </row>
    <row r="289" spans="2:45">
      <c r="B289" s="253"/>
      <c r="C289" s="230"/>
      <c r="D289" s="245"/>
      <c r="E289" s="230"/>
      <c r="F289" s="230"/>
      <c r="G289" s="230"/>
      <c r="H289" s="230"/>
      <c r="I289" s="228"/>
      <c r="J289" s="228"/>
      <c r="K289" s="230"/>
      <c r="L289" s="230"/>
      <c r="M289" s="246"/>
      <c r="N289" s="230"/>
      <c r="O289" s="230"/>
      <c r="P289" s="230"/>
      <c r="Q289" s="230"/>
      <c r="R289" s="256"/>
      <c r="S289" s="257"/>
      <c r="T289" s="228"/>
      <c r="U289" s="228"/>
      <c r="V289" s="245"/>
      <c r="W289" s="254"/>
      <c r="X289" s="254"/>
      <c r="Y289" s="228"/>
      <c r="Z289" s="255"/>
      <c r="AA289" s="248"/>
      <c r="AB289" s="248"/>
      <c r="AC289" s="248"/>
      <c r="AD289" s="247"/>
      <c r="AE289" s="228"/>
      <c r="AF289" s="228"/>
      <c r="AG289" s="248"/>
      <c r="AH289" s="248"/>
      <c r="AI289" s="194"/>
      <c r="AJ289" s="249"/>
      <c r="AK289" s="250"/>
      <c r="AL289" s="251"/>
      <c r="AM289" s="252"/>
      <c r="AN289" s="241"/>
      <c r="AO289" s="241"/>
      <c r="AP289" s="241"/>
      <c r="AQ289" s="194"/>
      <c r="AR289" s="195"/>
      <c r="AS289" s="195"/>
    </row>
    <row r="290" spans="2:45">
      <c r="B290" s="253"/>
      <c r="C290" s="230"/>
      <c r="D290" s="245"/>
      <c r="E290" s="230"/>
      <c r="F290" s="230"/>
      <c r="G290" s="230"/>
      <c r="H290" s="230"/>
      <c r="I290" s="228"/>
      <c r="J290" s="228"/>
      <c r="K290" s="230"/>
      <c r="L290" s="230"/>
      <c r="M290" s="246"/>
      <c r="N290" s="230"/>
      <c r="O290" s="230"/>
      <c r="P290" s="230"/>
      <c r="Q290" s="230"/>
      <c r="R290" s="256"/>
      <c r="S290" s="257"/>
      <c r="T290" s="228"/>
      <c r="U290" s="228"/>
      <c r="V290" s="245"/>
      <c r="W290" s="254"/>
      <c r="X290" s="254"/>
      <c r="Y290" s="228"/>
      <c r="Z290" s="255"/>
      <c r="AA290" s="248"/>
      <c r="AB290" s="248"/>
      <c r="AC290" s="248"/>
      <c r="AD290" s="247"/>
      <c r="AE290" s="228"/>
      <c r="AF290" s="228"/>
      <c r="AG290" s="248"/>
      <c r="AH290" s="248"/>
      <c r="AI290" s="194"/>
      <c r="AJ290" s="249"/>
      <c r="AK290" s="250"/>
      <c r="AL290" s="251"/>
      <c r="AM290" s="252"/>
      <c r="AN290" s="241"/>
      <c r="AO290" s="241"/>
      <c r="AP290" s="241"/>
      <c r="AQ290" s="194"/>
      <c r="AR290" s="195"/>
      <c r="AS290" s="195"/>
    </row>
    <row r="291" spans="2:45">
      <c r="B291" s="253"/>
      <c r="C291" s="230"/>
      <c r="D291" s="245"/>
      <c r="E291" s="230"/>
      <c r="F291" s="230"/>
      <c r="G291" s="230"/>
      <c r="H291" s="230"/>
      <c r="I291" s="228"/>
      <c r="J291" s="228"/>
      <c r="K291" s="230"/>
      <c r="L291" s="230"/>
      <c r="M291" s="246"/>
      <c r="N291" s="230"/>
      <c r="O291" s="230"/>
      <c r="P291" s="230"/>
      <c r="Q291" s="230"/>
      <c r="R291" s="256"/>
      <c r="S291" s="257"/>
      <c r="T291" s="228"/>
      <c r="U291" s="228"/>
      <c r="V291" s="245"/>
      <c r="W291" s="254"/>
      <c r="X291" s="254"/>
      <c r="Y291" s="228"/>
      <c r="Z291" s="255"/>
      <c r="AA291" s="248"/>
      <c r="AB291" s="248"/>
      <c r="AC291" s="248"/>
      <c r="AD291" s="247"/>
      <c r="AE291" s="228"/>
      <c r="AF291" s="228"/>
      <c r="AG291" s="248"/>
      <c r="AH291" s="248"/>
      <c r="AI291" s="194"/>
      <c r="AJ291" s="249"/>
      <c r="AK291" s="250"/>
      <c r="AL291" s="251"/>
      <c r="AM291" s="252"/>
      <c r="AN291" s="241"/>
      <c r="AO291" s="241"/>
      <c r="AP291" s="241"/>
      <c r="AQ291" s="194"/>
      <c r="AR291" s="195"/>
      <c r="AS291" s="195"/>
    </row>
    <row r="292" spans="2:45">
      <c r="B292" s="253"/>
      <c r="C292" s="230"/>
      <c r="D292" s="245"/>
      <c r="E292" s="230"/>
      <c r="F292" s="230"/>
      <c r="G292" s="230"/>
      <c r="H292" s="230"/>
      <c r="I292" s="228"/>
      <c r="J292" s="228"/>
      <c r="K292" s="230"/>
      <c r="L292" s="230"/>
      <c r="M292" s="246"/>
      <c r="N292" s="230"/>
      <c r="O292" s="230"/>
      <c r="P292" s="230"/>
      <c r="Q292" s="230"/>
      <c r="R292" s="256"/>
      <c r="S292" s="257"/>
      <c r="T292" s="228"/>
      <c r="U292" s="228"/>
      <c r="V292" s="245"/>
      <c r="W292" s="254"/>
      <c r="X292" s="254"/>
      <c r="Y292" s="228"/>
      <c r="Z292" s="255"/>
      <c r="AA292" s="248"/>
      <c r="AB292" s="248"/>
      <c r="AC292" s="248"/>
      <c r="AD292" s="247"/>
      <c r="AE292" s="228"/>
      <c r="AF292" s="228"/>
      <c r="AG292" s="248"/>
      <c r="AH292" s="248"/>
      <c r="AI292" s="194"/>
      <c r="AJ292" s="249"/>
      <c r="AK292" s="250"/>
      <c r="AL292" s="251"/>
      <c r="AM292" s="252"/>
      <c r="AN292" s="241"/>
      <c r="AO292" s="241"/>
      <c r="AP292" s="241"/>
      <c r="AQ292" s="194"/>
      <c r="AR292" s="195"/>
      <c r="AS292" s="195"/>
    </row>
    <row r="293" spans="2:45">
      <c r="B293" s="253"/>
      <c r="C293" s="230"/>
      <c r="D293" s="245"/>
      <c r="E293" s="230"/>
      <c r="F293" s="230"/>
      <c r="G293" s="230"/>
      <c r="H293" s="230"/>
      <c r="I293" s="228"/>
      <c r="J293" s="228"/>
      <c r="K293" s="230"/>
      <c r="L293" s="230"/>
      <c r="M293" s="246"/>
      <c r="N293" s="230"/>
      <c r="O293" s="230"/>
      <c r="P293" s="230"/>
      <c r="Q293" s="230"/>
      <c r="R293" s="256"/>
      <c r="S293" s="257"/>
      <c r="T293" s="228"/>
      <c r="U293" s="228"/>
      <c r="V293" s="245"/>
      <c r="W293" s="254"/>
      <c r="X293" s="254"/>
      <c r="Y293" s="228"/>
      <c r="Z293" s="255"/>
      <c r="AA293" s="248"/>
      <c r="AB293" s="248"/>
      <c r="AC293" s="248"/>
      <c r="AD293" s="247"/>
      <c r="AE293" s="228"/>
      <c r="AF293" s="228"/>
      <c r="AG293" s="248"/>
      <c r="AH293" s="248"/>
      <c r="AI293" s="194"/>
      <c r="AJ293" s="249"/>
      <c r="AK293" s="250"/>
      <c r="AL293" s="251"/>
      <c r="AM293" s="252"/>
      <c r="AN293" s="241"/>
      <c r="AO293" s="241"/>
      <c r="AP293" s="241"/>
      <c r="AQ293" s="194"/>
      <c r="AR293" s="195"/>
      <c r="AS293" s="195"/>
    </row>
    <row r="294" spans="2:45">
      <c r="B294" s="253"/>
      <c r="C294" s="230"/>
      <c r="D294" s="245"/>
      <c r="E294" s="230"/>
      <c r="F294" s="230"/>
      <c r="G294" s="230"/>
      <c r="H294" s="230"/>
      <c r="I294" s="228"/>
      <c r="J294" s="228"/>
      <c r="K294" s="230"/>
      <c r="L294" s="230"/>
      <c r="M294" s="246"/>
      <c r="N294" s="230"/>
      <c r="O294" s="230"/>
      <c r="P294" s="230"/>
      <c r="Q294" s="230"/>
      <c r="R294" s="256"/>
      <c r="S294" s="257"/>
      <c r="T294" s="228"/>
      <c r="U294" s="228"/>
      <c r="V294" s="245"/>
      <c r="W294" s="254"/>
      <c r="X294" s="254"/>
      <c r="Y294" s="228"/>
      <c r="Z294" s="255"/>
      <c r="AA294" s="248"/>
      <c r="AB294" s="248"/>
      <c r="AC294" s="248"/>
      <c r="AD294" s="247"/>
      <c r="AE294" s="228"/>
      <c r="AF294" s="228"/>
      <c r="AG294" s="248"/>
      <c r="AH294" s="248"/>
      <c r="AI294" s="194"/>
      <c r="AJ294" s="249"/>
      <c r="AK294" s="250"/>
      <c r="AL294" s="251"/>
      <c r="AM294" s="252"/>
      <c r="AN294" s="241"/>
      <c r="AO294" s="241"/>
      <c r="AP294" s="241"/>
      <c r="AQ294" s="194"/>
      <c r="AR294" s="195"/>
      <c r="AS294" s="195"/>
    </row>
    <row r="295" spans="2:45">
      <c r="B295" s="253"/>
      <c r="C295" s="230"/>
      <c r="D295" s="245"/>
      <c r="E295" s="230"/>
      <c r="F295" s="230"/>
      <c r="G295" s="230"/>
      <c r="H295" s="230"/>
      <c r="I295" s="228"/>
      <c r="J295" s="228"/>
      <c r="K295" s="230"/>
      <c r="L295" s="230"/>
      <c r="M295" s="246"/>
      <c r="N295" s="230"/>
      <c r="O295" s="230"/>
      <c r="P295" s="230"/>
      <c r="Q295" s="230"/>
      <c r="R295" s="256"/>
      <c r="S295" s="257"/>
      <c r="T295" s="228"/>
      <c r="U295" s="228"/>
      <c r="V295" s="245"/>
      <c r="W295" s="254"/>
      <c r="X295" s="254"/>
      <c r="Y295" s="228"/>
      <c r="Z295" s="255"/>
      <c r="AA295" s="248"/>
      <c r="AB295" s="248"/>
      <c r="AC295" s="248"/>
      <c r="AD295" s="247"/>
      <c r="AE295" s="228"/>
      <c r="AF295" s="228"/>
      <c r="AG295" s="248"/>
      <c r="AH295" s="248"/>
      <c r="AI295" s="194"/>
      <c r="AJ295" s="249"/>
      <c r="AK295" s="250"/>
      <c r="AL295" s="251"/>
      <c r="AM295" s="252"/>
      <c r="AN295" s="241"/>
      <c r="AO295" s="241"/>
      <c r="AP295" s="241"/>
      <c r="AQ295" s="194"/>
      <c r="AR295" s="195"/>
      <c r="AS295" s="195"/>
    </row>
    <row r="296" spans="2:45">
      <c r="B296" s="253"/>
      <c r="C296" s="230"/>
      <c r="D296" s="245"/>
      <c r="E296" s="230"/>
      <c r="F296" s="230"/>
      <c r="G296" s="230"/>
      <c r="H296" s="230"/>
      <c r="I296" s="228"/>
      <c r="J296" s="228"/>
      <c r="K296" s="230"/>
      <c r="L296" s="230"/>
      <c r="M296" s="246"/>
      <c r="N296" s="230"/>
      <c r="O296" s="230"/>
      <c r="P296" s="230"/>
      <c r="Q296" s="230"/>
      <c r="R296" s="256"/>
      <c r="S296" s="257"/>
      <c r="T296" s="228"/>
      <c r="U296" s="228"/>
      <c r="V296" s="245"/>
      <c r="W296" s="254"/>
      <c r="X296" s="254"/>
      <c r="Y296" s="228"/>
      <c r="Z296" s="255"/>
      <c r="AA296" s="248"/>
      <c r="AB296" s="248"/>
      <c r="AC296" s="248"/>
      <c r="AD296" s="247"/>
      <c r="AE296" s="228"/>
      <c r="AF296" s="228"/>
      <c r="AG296" s="248"/>
      <c r="AH296" s="248"/>
      <c r="AI296" s="194"/>
      <c r="AJ296" s="249"/>
      <c r="AK296" s="250"/>
      <c r="AL296" s="251"/>
      <c r="AM296" s="252"/>
      <c r="AN296" s="241"/>
      <c r="AO296" s="241"/>
      <c r="AP296" s="241"/>
      <c r="AQ296" s="194"/>
      <c r="AR296" s="195"/>
      <c r="AS296" s="195"/>
    </row>
    <row r="297" spans="2:45">
      <c r="B297" s="253"/>
      <c r="C297" s="230"/>
      <c r="D297" s="245"/>
      <c r="E297" s="230"/>
      <c r="F297" s="230"/>
      <c r="G297" s="230"/>
      <c r="H297" s="230"/>
      <c r="I297" s="228"/>
      <c r="J297" s="228"/>
      <c r="K297" s="230"/>
      <c r="L297" s="230"/>
      <c r="M297" s="246"/>
      <c r="N297" s="230"/>
      <c r="O297" s="230"/>
      <c r="P297" s="230"/>
      <c r="Q297" s="230"/>
      <c r="R297" s="256"/>
      <c r="S297" s="257"/>
      <c r="T297" s="228"/>
      <c r="U297" s="228"/>
      <c r="V297" s="245"/>
      <c r="W297" s="254"/>
      <c r="X297" s="254"/>
      <c r="Y297" s="228"/>
      <c r="Z297" s="255"/>
      <c r="AA297" s="248"/>
      <c r="AB297" s="248"/>
      <c r="AC297" s="248"/>
      <c r="AD297" s="247"/>
      <c r="AE297" s="228"/>
      <c r="AF297" s="228"/>
      <c r="AG297" s="248"/>
      <c r="AH297" s="248"/>
      <c r="AI297" s="194"/>
      <c r="AJ297" s="249"/>
      <c r="AK297" s="250"/>
      <c r="AL297" s="251"/>
      <c r="AM297" s="252"/>
      <c r="AN297" s="241"/>
      <c r="AO297" s="241"/>
      <c r="AP297" s="241"/>
      <c r="AQ297" s="194"/>
      <c r="AR297" s="195"/>
      <c r="AS297" s="195"/>
    </row>
    <row r="298" spans="2:45">
      <c r="B298" s="253"/>
      <c r="C298" s="230"/>
      <c r="D298" s="245"/>
      <c r="E298" s="230"/>
      <c r="F298" s="230"/>
      <c r="G298" s="230"/>
      <c r="H298" s="230"/>
      <c r="I298" s="228"/>
      <c r="J298" s="228"/>
      <c r="K298" s="230"/>
      <c r="L298" s="230"/>
      <c r="M298" s="246"/>
      <c r="N298" s="230"/>
      <c r="O298" s="230"/>
      <c r="P298" s="230"/>
      <c r="Q298" s="230"/>
      <c r="R298" s="256"/>
      <c r="S298" s="257"/>
      <c r="T298" s="228"/>
      <c r="U298" s="228"/>
      <c r="V298" s="245"/>
      <c r="W298" s="254"/>
      <c r="X298" s="254"/>
      <c r="Y298" s="228"/>
      <c r="Z298" s="255"/>
      <c r="AA298" s="248"/>
      <c r="AB298" s="248"/>
      <c r="AC298" s="248"/>
      <c r="AD298" s="247"/>
      <c r="AE298" s="228"/>
      <c r="AF298" s="228"/>
      <c r="AG298" s="248"/>
      <c r="AH298" s="248"/>
      <c r="AI298" s="194"/>
      <c r="AJ298" s="249"/>
      <c r="AK298" s="250"/>
      <c r="AL298" s="251"/>
      <c r="AM298" s="252"/>
      <c r="AN298" s="241"/>
      <c r="AO298" s="241"/>
      <c r="AP298" s="241"/>
      <c r="AQ298" s="194"/>
      <c r="AR298" s="195"/>
      <c r="AS298" s="195"/>
    </row>
    <row r="299" spans="2:45">
      <c r="B299" s="253"/>
      <c r="C299" s="230"/>
      <c r="D299" s="245"/>
      <c r="E299" s="230"/>
      <c r="F299" s="230"/>
      <c r="G299" s="230"/>
      <c r="H299" s="230"/>
      <c r="I299" s="228"/>
      <c r="J299" s="228"/>
      <c r="K299" s="230"/>
      <c r="L299" s="230"/>
      <c r="M299" s="246"/>
      <c r="N299" s="230"/>
      <c r="O299" s="230"/>
      <c r="P299" s="230"/>
      <c r="Q299" s="230"/>
      <c r="R299" s="256"/>
      <c r="S299" s="257"/>
      <c r="T299" s="228"/>
      <c r="U299" s="228"/>
      <c r="V299" s="245"/>
      <c r="W299" s="254"/>
      <c r="X299" s="254"/>
      <c r="Y299" s="228"/>
      <c r="Z299" s="255"/>
      <c r="AA299" s="248"/>
      <c r="AB299" s="248"/>
      <c r="AC299" s="248"/>
      <c r="AD299" s="247"/>
      <c r="AE299" s="228"/>
      <c r="AF299" s="228"/>
      <c r="AG299" s="248"/>
      <c r="AH299" s="248"/>
      <c r="AI299" s="194"/>
      <c r="AJ299" s="249"/>
      <c r="AK299" s="250"/>
      <c r="AL299" s="251"/>
      <c r="AM299" s="252"/>
      <c r="AN299" s="241"/>
      <c r="AO299" s="241"/>
      <c r="AP299" s="241"/>
      <c r="AQ299" s="194"/>
      <c r="AR299" s="195"/>
      <c r="AS299" s="195"/>
    </row>
    <row r="300" spans="2:45">
      <c r="B300" s="253"/>
      <c r="C300" s="230"/>
      <c r="D300" s="245"/>
      <c r="E300" s="230"/>
      <c r="F300" s="230"/>
      <c r="G300" s="230"/>
      <c r="H300" s="230"/>
      <c r="I300" s="228"/>
      <c r="J300" s="228"/>
      <c r="K300" s="230"/>
      <c r="L300" s="230"/>
      <c r="M300" s="246"/>
      <c r="N300" s="230"/>
      <c r="O300" s="230"/>
      <c r="P300" s="230"/>
      <c r="Q300" s="230"/>
      <c r="R300" s="256"/>
      <c r="S300" s="257"/>
      <c r="T300" s="228"/>
      <c r="U300" s="228"/>
      <c r="V300" s="245"/>
      <c r="W300" s="254"/>
      <c r="X300" s="254"/>
      <c r="Y300" s="228"/>
      <c r="Z300" s="255"/>
      <c r="AA300" s="248"/>
      <c r="AB300" s="248"/>
      <c r="AC300" s="248"/>
      <c r="AD300" s="247"/>
      <c r="AE300" s="228"/>
      <c r="AF300" s="228"/>
      <c r="AG300" s="248"/>
      <c r="AH300" s="248"/>
      <c r="AI300" s="194"/>
      <c r="AJ300" s="249"/>
      <c r="AK300" s="250"/>
      <c r="AL300" s="251"/>
      <c r="AM300" s="252"/>
      <c r="AN300" s="241"/>
      <c r="AO300" s="241"/>
      <c r="AP300" s="241"/>
      <c r="AQ300" s="194"/>
      <c r="AR300" s="195"/>
      <c r="AS300" s="195"/>
    </row>
    <row r="301" spans="2:45">
      <c r="B301" s="253"/>
      <c r="C301" s="230"/>
      <c r="D301" s="245"/>
      <c r="E301" s="230"/>
      <c r="F301" s="230"/>
      <c r="G301" s="230"/>
      <c r="H301" s="230"/>
      <c r="I301" s="228"/>
      <c r="J301" s="228"/>
      <c r="K301" s="230"/>
      <c r="L301" s="230"/>
      <c r="M301" s="246"/>
      <c r="N301" s="230"/>
      <c r="O301" s="230"/>
      <c r="P301" s="230"/>
      <c r="Q301" s="230"/>
      <c r="R301" s="256"/>
      <c r="S301" s="257"/>
      <c r="T301" s="228"/>
      <c r="U301" s="228"/>
      <c r="V301" s="245"/>
      <c r="W301" s="254"/>
      <c r="X301" s="254"/>
      <c r="Y301" s="228"/>
      <c r="Z301" s="255"/>
      <c r="AA301" s="248"/>
      <c r="AB301" s="248"/>
      <c r="AC301" s="248"/>
      <c r="AD301" s="247"/>
      <c r="AE301" s="228"/>
      <c r="AF301" s="228"/>
      <c r="AG301" s="248"/>
      <c r="AH301" s="248"/>
      <c r="AI301" s="194"/>
      <c r="AJ301" s="249"/>
      <c r="AK301" s="250"/>
      <c r="AL301" s="251"/>
      <c r="AM301" s="252"/>
      <c r="AN301" s="241"/>
      <c r="AO301" s="241"/>
      <c r="AP301" s="241"/>
      <c r="AQ301" s="194"/>
      <c r="AR301" s="195"/>
      <c r="AS301" s="195"/>
    </row>
    <row r="302" spans="2:45">
      <c r="B302" s="253"/>
      <c r="C302" s="230"/>
      <c r="D302" s="245"/>
      <c r="E302" s="230"/>
      <c r="F302" s="230"/>
      <c r="G302" s="230"/>
      <c r="H302" s="230"/>
      <c r="I302" s="228"/>
      <c r="J302" s="228"/>
      <c r="K302" s="230"/>
      <c r="L302" s="230"/>
      <c r="M302" s="246"/>
      <c r="N302" s="230"/>
      <c r="O302" s="230"/>
      <c r="P302" s="230"/>
      <c r="Q302" s="230"/>
      <c r="R302" s="256"/>
      <c r="S302" s="257"/>
      <c r="T302" s="228"/>
      <c r="U302" s="228"/>
      <c r="V302" s="245"/>
      <c r="W302" s="254"/>
      <c r="X302" s="254"/>
      <c r="Y302" s="228"/>
      <c r="Z302" s="255"/>
      <c r="AA302" s="248"/>
      <c r="AB302" s="248"/>
      <c r="AC302" s="248"/>
      <c r="AD302" s="247"/>
      <c r="AE302" s="228"/>
      <c r="AF302" s="228"/>
      <c r="AG302" s="248"/>
      <c r="AH302" s="248"/>
      <c r="AI302" s="194"/>
      <c r="AJ302" s="249"/>
      <c r="AK302" s="250"/>
      <c r="AL302" s="251"/>
      <c r="AM302" s="252"/>
      <c r="AN302" s="241"/>
      <c r="AO302" s="241"/>
      <c r="AP302" s="241"/>
      <c r="AQ302" s="194"/>
      <c r="AR302" s="195"/>
      <c r="AS302" s="195"/>
    </row>
    <row r="303" spans="2:45">
      <c r="B303" s="253"/>
      <c r="C303" s="230"/>
      <c r="D303" s="245"/>
      <c r="E303" s="230"/>
      <c r="F303" s="230"/>
      <c r="G303" s="230"/>
      <c r="H303" s="230"/>
      <c r="I303" s="228"/>
      <c r="J303" s="228"/>
      <c r="K303" s="230"/>
      <c r="L303" s="230"/>
      <c r="M303" s="246"/>
      <c r="N303" s="230"/>
      <c r="O303" s="230"/>
      <c r="P303" s="230"/>
      <c r="Q303" s="230"/>
      <c r="R303" s="256"/>
      <c r="S303" s="257"/>
      <c r="T303" s="228"/>
      <c r="U303" s="228"/>
      <c r="V303" s="245"/>
      <c r="W303" s="254"/>
      <c r="X303" s="254"/>
      <c r="Y303" s="228"/>
      <c r="Z303" s="255"/>
      <c r="AA303" s="248"/>
      <c r="AB303" s="248"/>
      <c r="AC303" s="248"/>
      <c r="AD303" s="247"/>
      <c r="AE303" s="228"/>
      <c r="AF303" s="228"/>
      <c r="AG303" s="248"/>
      <c r="AH303" s="248"/>
      <c r="AI303" s="194"/>
      <c r="AJ303" s="249"/>
      <c r="AK303" s="250"/>
      <c r="AL303" s="251"/>
      <c r="AM303" s="252"/>
      <c r="AN303" s="241"/>
      <c r="AO303" s="241"/>
      <c r="AP303" s="241"/>
      <c r="AQ303" s="194"/>
      <c r="AR303" s="195"/>
      <c r="AS303" s="195"/>
    </row>
    <row r="304" spans="2:45">
      <c r="B304" s="253"/>
      <c r="C304" s="230"/>
      <c r="D304" s="245"/>
      <c r="E304" s="230"/>
      <c r="F304" s="230"/>
      <c r="G304" s="230"/>
      <c r="H304" s="230"/>
      <c r="I304" s="228"/>
      <c r="J304" s="228"/>
      <c r="K304" s="230"/>
      <c r="L304" s="230"/>
      <c r="M304" s="246"/>
      <c r="N304" s="230"/>
      <c r="O304" s="230"/>
      <c r="P304" s="230"/>
      <c r="Q304" s="230"/>
      <c r="R304" s="256"/>
      <c r="S304" s="257"/>
      <c r="T304" s="228"/>
      <c r="U304" s="228"/>
      <c r="V304" s="245"/>
      <c r="W304" s="254"/>
      <c r="X304" s="254"/>
      <c r="Y304" s="228"/>
      <c r="Z304" s="255"/>
      <c r="AA304" s="248"/>
      <c r="AB304" s="248"/>
      <c r="AC304" s="248"/>
      <c r="AD304" s="247"/>
      <c r="AE304" s="228"/>
      <c r="AF304" s="228"/>
      <c r="AG304" s="248"/>
      <c r="AH304" s="248"/>
      <c r="AI304" s="194"/>
      <c r="AJ304" s="249"/>
      <c r="AK304" s="250"/>
      <c r="AL304" s="251"/>
      <c r="AM304" s="252"/>
      <c r="AN304" s="241"/>
      <c r="AO304" s="241"/>
      <c r="AP304" s="241"/>
      <c r="AQ304" s="194"/>
      <c r="AR304" s="195"/>
      <c r="AS304" s="195"/>
    </row>
    <row r="305" spans="2:45">
      <c r="B305" s="253"/>
      <c r="C305" s="230"/>
      <c r="D305" s="245"/>
      <c r="E305" s="230"/>
      <c r="F305" s="230"/>
      <c r="G305" s="230"/>
      <c r="H305" s="230"/>
      <c r="I305" s="228"/>
      <c r="J305" s="228"/>
      <c r="K305" s="230"/>
      <c r="L305" s="230"/>
      <c r="M305" s="246"/>
      <c r="N305" s="230"/>
      <c r="O305" s="230"/>
      <c r="P305" s="230"/>
      <c r="Q305" s="230"/>
      <c r="R305" s="256"/>
      <c r="S305" s="257"/>
      <c r="T305" s="228"/>
      <c r="U305" s="228"/>
      <c r="V305" s="245"/>
      <c r="W305" s="254"/>
      <c r="X305" s="254"/>
      <c r="Y305" s="228"/>
      <c r="Z305" s="255"/>
      <c r="AA305" s="248"/>
      <c r="AB305" s="248"/>
      <c r="AC305" s="248"/>
      <c r="AD305" s="247"/>
      <c r="AE305" s="228"/>
      <c r="AF305" s="228"/>
      <c r="AG305" s="248"/>
      <c r="AH305" s="248"/>
      <c r="AI305" s="194"/>
      <c r="AJ305" s="249"/>
      <c r="AK305" s="250"/>
      <c r="AL305" s="251"/>
      <c r="AM305" s="252"/>
      <c r="AN305" s="241"/>
      <c r="AO305" s="241"/>
      <c r="AP305" s="241"/>
      <c r="AQ305" s="194"/>
      <c r="AR305" s="195"/>
      <c r="AS305" s="195"/>
    </row>
    <row r="306" spans="2:45">
      <c r="B306" s="253"/>
      <c r="C306" s="230"/>
      <c r="D306" s="245"/>
      <c r="E306" s="230"/>
      <c r="F306" s="230"/>
      <c r="G306" s="230"/>
      <c r="H306" s="230"/>
      <c r="I306" s="228"/>
      <c r="J306" s="228"/>
      <c r="K306" s="230"/>
      <c r="L306" s="230"/>
      <c r="M306" s="246"/>
      <c r="N306" s="230"/>
      <c r="O306" s="230"/>
      <c r="P306" s="230"/>
      <c r="Q306" s="230"/>
      <c r="R306" s="256"/>
      <c r="S306" s="257"/>
      <c r="T306" s="228"/>
      <c r="U306" s="228"/>
      <c r="V306" s="245"/>
      <c r="W306" s="254"/>
      <c r="X306" s="254"/>
      <c r="Y306" s="228"/>
      <c r="Z306" s="255"/>
      <c r="AA306" s="248"/>
      <c r="AB306" s="248"/>
      <c r="AC306" s="248"/>
      <c r="AD306" s="247"/>
      <c r="AE306" s="228"/>
      <c r="AF306" s="228"/>
      <c r="AG306" s="248"/>
      <c r="AH306" s="248"/>
      <c r="AI306" s="194"/>
      <c r="AJ306" s="249"/>
      <c r="AK306" s="250"/>
      <c r="AL306" s="251"/>
      <c r="AM306" s="252"/>
      <c r="AN306" s="241"/>
      <c r="AO306" s="241"/>
      <c r="AP306" s="241"/>
      <c r="AQ306" s="194"/>
      <c r="AR306" s="195"/>
      <c r="AS306" s="195"/>
    </row>
    <row r="307" spans="2:45">
      <c r="B307" s="253"/>
      <c r="C307" s="230"/>
      <c r="D307" s="245"/>
      <c r="E307" s="230"/>
      <c r="F307" s="230"/>
      <c r="G307" s="230"/>
      <c r="H307" s="230"/>
      <c r="I307" s="228"/>
      <c r="J307" s="228"/>
      <c r="K307" s="230"/>
      <c r="L307" s="230"/>
      <c r="M307" s="246"/>
      <c r="N307" s="230"/>
      <c r="O307" s="230"/>
      <c r="P307" s="230"/>
      <c r="Q307" s="230"/>
      <c r="R307" s="256"/>
      <c r="S307" s="257"/>
      <c r="T307" s="228"/>
      <c r="U307" s="228"/>
      <c r="V307" s="245"/>
      <c r="W307" s="254"/>
      <c r="X307" s="254"/>
      <c r="Y307" s="228"/>
      <c r="Z307" s="255"/>
      <c r="AA307" s="248"/>
      <c r="AB307" s="248"/>
      <c r="AC307" s="248"/>
      <c r="AD307" s="247"/>
      <c r="AE307" s="228"/>
      <c r="AF307" s="228"/>
      <c r="AG307" s="248"/>
      <c r="AH307" s="248"/>
      <c r="AI307" s="194"/>
      <c r="AJ307" s="249"/>
      <c r="AK307" s="250"/>
      <c r="AL307" s="251"/>
      <c r="AM307" s="252"/>
      <c r="AN307" s="241"/>
      <c r="AO307" s="241"/>
      <c r="AP307" s="241"/>
      <c r="AQ307" s="194"/>
      <c r="AR307" s="195"/>
      <c r="AS307" s="195"/>
    </row>
    <row r="308" spans="2:45">
      <c r="B308" s="253"/>
      <c r="C308" s="230"/>
      <c r="D308" s="245"/>
      <c r="E308" s="230"/>
      <c r="F308" s="230"/>
      <c r="G308" s="230"/>
      <c r="H308" s="230"/>
      <c r="I308" s="228"/>
      <c r="J308" s="228"/>
      <c r="K308" s="230"/>
      <c r="L308" s="230"/>
      <c r="M308" s="246"/>
      <c r="N308" s="230"/>
      <c r="O308" s="230"/>
      <c r="P308" s="230"/>
      <c r="Q308" s="230"/>
      <c r="R308" s="256"/>
      <c r="S308" s="257"/>
      <c r="T308" s="228"/>
      <c r="U308" s="228"/>
      <c r="V308" s="245"/>
      <c r="W308" s="254"/>
      <c r="X308" s="254"/>
      <c r="Y308" s="228"/>
      <c r="Z308" s="255"/>
      <c r="AA308" s="248"/>
      <c r="AB308" s="248"/>
      <c r="AC308" s="248"/>
      <c r="AD308" s="247"/>
      <c r="AE308" s="228"/>
      <c r="AF308" s="228"/>
      <c r="AG308" s="248"/>
      <c r="AH308" s="248"/>
      <c r="AI308" s="194"/>
      <c r="AJ308" s="249"/>
      <c r="AK308" s="250"/>
      <c r="AL308" s="251"/>
      <c r="AM308" s="252"/>
      <c r="AN308" s="241"/>
      <c r="AO308" s="241"/>
      <c r="AP308" s="241"/>
      <c r="AQ308" s="194"/>
      <c r="AR308" s="195"/>
      <c r="AS308" s="195"/>
    </row>
    <row r="309" spans="2:45">
      <c r="B309" s="253"/>
      <c r="C309" s="230"/>
      <c r="D309" s="245"/>
      <c r="E309" s="230"/>
      <c r="F309" s="230"/>
      <c r="G309" s="230"/>
      <c r="H309" s="230"/>
      <c r="I309" s="228"/>
      <c r="J309" s="228"/>
      <c r="K309" s="230"/>
      <c r="L309" s="230"/>
      <c r="M309" s="246"/>
      <c r="N309" s="230"/>
      <c r="O309" s="230"/>
      <c r="P309" s="230"/>
      <c r="Q309" s="230"/>
      <c r="R309" s="256"/>
      <c r="S309" s="257"/>
      <c r="T309" s="228"/>
      <c r="U309" s="228"/>
      <c r="V309" s="245"/>
      <c r="W309" s="254"/>
      <c r="X309" s="254"/>
      <c r="Y309" s="228"/>
      <c r="Z309" s="255"/>
      <c r="AA309" s="248"/>
      <c r="AB309" s="248"/>
      <c r="AC309" s="248"/>
      <c r="AD309" s="247"/>
      <c r="AE309" s="228"/>
      <c r="AF309" s="228"/>
      <c r="AG309" s="248"/>
      <c r="AH309" s="248"/>
      <c r="AI309" s="194"/>
      <c r="AJ309" s="249"/>
      <c r="AK309" s="250"/>
      <c r="AL309" s="251"/>
      <c r="AM309" s="252"/>
      <c r="AN309" s="241"/>
      <c r="AO309" s="241"/>
      <c r="AP309" s="241"/>
      <c r="AQ309" s="194"/>
      <c r="AR309" s="195"/>
      <c r="AS309" s="195"/>
    </row>
    <row r="310" spans="2:45">
      <c r="B310" s="253"/>
      <c r="C310" s="230"/>
      <c r="D310" s="245"/>
      <c r="E310" s="230"/>
      <c r="F310" s="230"/>
      <c r="G310" s="230"/>
      <c r="H310" s="230"/>
      <c r="I310" s="228"/>
      <c r="J310" s="228"/>
      <c r="K310" s="230"/>
      <c r="L310" s="230"/>
      <c r="M310" s="246"/>
      <c r="N310" s="230"/>
      <c r="O310" s="230"/>
      <c r="P310" s="230"/>
      <c r="Q310" s="230"/>
      <c r="R310" s="256"/>
      <c r="S310" s="257"/>
      <c r="T310" s="228"/>
      <c r="U310" s="228"/>
      <c r="V310" s="245"/>
      <c r="W310" s="254"/>
      <c r="X310" s="254"/>
      <c r="Y310" s="228"/>
      <c r="Z310" s="255"/>
      <c r="AA310" s="248"/>
      <c r="AB310" s="248"/>
      <c r="AC310" s="248"/>
      <c r="AD310" s="247"/>
      <c r="AE310" s="228"/>
      <c r="AF310" s="228"/>
      <c r="AG310" s="248"/>
      <c r="AH310" s="248"/>
      <c r="AI310" s="194"/>
      <c r="AJ310" s="249"/>
      <c r="AK310" s="250"/>
      <c r="AL310" s="251"/>
      <c r="AM310" s="252"/>
      <c r="AN310" s="241"/>
      <c r="AO310" s="241"/>
      <c r="AP310" s="241"/>
      <c r="AQ310" s="194"/>
      <c r="AR310" s="195"/>
      <c r="AS310" s="195"/>
    </row>
    <row r="311" spans="2:45">
      <c r="B311" s="253"/>
      <c r="C311" s="230"/>
      <c r="D311" s="245"/>
      <c r="E311" s="230"/>
      <c r="F311" s="230"/>
      <c r="G311" s="230"/>
      <c r="H311" s="230"/>
      <c r="I311" s="228"/>
      <c r="J311" s="228"/>
      <c r="K311" s="230"/>
      <c r="L311" s="230"/>
      <c r="M311" s="246"/>
      <c r="N311" s="230"/>
      <c r="O311" s="230"/>
      <c r="P311" s="230"/>
      <c r="Q311" s="230"/>
      <c r="R311" s="256"/>
      <c r="S311" s="257"/>
      <c r="T311" s="228"/>
      <c r="U311" s="228"/>
      <c r="V311" s="245"/>
      <c r="W311" s="254"/>
      <c r="X311" s="254"/>
      <c r="Y311" s="228"/>
      <c r="Z311" s="255"/>
      <c r="AA311" s="248"/>
      <c r="AB311" s="248"/>
      <c r="AC311" s="248"/>
      <c r="AD311" s="247"/>
      <c r="AE311" s="228"/>
      <c r="AF311" s="228"/>
      <c r="AG311" s="248"/>
      <c r="AH311" s="248"/>
      <c r="AI311" s="194"/>
      <c r="AJ311" s="249"/>
      <c r="AK311" s="250"/>
      <c r="AL311" s="251"/>
      <c r="AM311" s="252"/>
      <c r="AN311" s="241"/>
      <c r="AO311" s="241"/>
      <c r="AP311" s="241"/>
      <c r="AQ311" s="194"/>
      <c r="AR311" s="195"/>
      <c r="AS311" s="195"/>
    </row>
    <row r="312" spans="2:45">
      <c r="B312" s="253"/>
      <c r="C312" s="230"/>
      <c r="D312" s="245"/>
      <c r="E312" s="230"/>
      <c r="F312" s="230"/>
      <c r="G312" s="230"/>
      <c r="H312" s="230"/>
      <c r="I312" s="228"/>
      <c r="J312" s="228"/>
      <c r="K312" s="230"/>
      <c r="L312" s="230"/>
      <c r="M312" s="246"/>
      <c r="N312" s="230"/>
      <c r="O312" s="230"/>
      <c r="P312" s="230"/>
      <c r="Q312" s="230"/>
      <c r="R312" s="256"/>
      <c r="S312" s="257"/>
      <c r="T312" s="228"/>
      <c r="U312" s="228"/>
      <c r="V312" s="245"/>
      <c r="W312" s="254"/>
      <c r="X312" s="254"/>
      <c r="Y312" s="228"/>
      <c r="Z312" s="255"/>
      <c r="AA312" s="248"/>
      <c r="AB312" s="248"/>
      <c r="AC312" s="248"/>
      <c r="AD312" s="247"/>
      <c r="AE312" s="228"/>
      <c r="AF312" s="228"/>
      <c r="AG312" s="248"/>
      <c r="AH312" s="248"/>
      <c r="AI312" s="194"/>
      <c r="AJ312" s="249"/>
      <c r="AK312" s="250"/>
      <c r="AL312" s="251"/>
      <c r="AM312" s="252"/>
      <c r="AN312" s="241"/>
      <c r="AO312" s="241"/>
      <c r="AP312" s="241"/>
      <c r="AQ312" s="194"/>
      <c r="AR312" s="195"/>
      <c r="AS312" s="195"/>
    </row>
    <row r="313" spans="2:45">
      <c r="B313" s="253"/>
      <c r="C313" s="230"/>
      <c r="D313" s="245"/>
      <c r="E313" s="230"/>
      <c r="F313" s="230"/>
      <c r="G313" s="230"/>
      <c r="H313" s="230"/>
      <c r="I313" s="228"/>
      <c r="J313" s="228"/>
      <c r="K313" s="230"/>
      <c r="L313" s="230"/>
      <c r="M313" s="246"/>
      <c r="N313" s="230"/>
      <c r="O313" s="230"/>
      <c r="P313" s="230"/>
      <c r="Q313" s="230"/>
      <c r="R313" s="256"/>
      <c r="S313" s="257"/>
      <c r="T313" s="228"/>
      <c r="U313" s="228"/>
      <c r="V313" s="245"/>
      <c r="W313" s="254"/>
      <c r="X313" s="254"/>
      <c r="Y313" s="228"/>
      <c r="Z313" s="255"/>
      <c r="AA313" s="248"/>
      <c r="AB313" s="248"/>
      <c r="AC313" s="248"/>
      <c r="AD313" s="247"/>
      <c r="AE313" s="228"/>
      <c r="AF313" s="228"/>
      <c r="AG313" s="248"/>
      <c r="AH313" s="248"/>
      <c r="AI313" s="194"/>
      <c r="AJ313" s="249"/>
      <c r="AK313" s="250"/>
      <c r="AL313" s="251"/>
      <c r="AM313" s="252"/>
      <c r="AN313" s="241"/>
      <c r="AO313" s="241"/>
      <c r="AP313" s="241"/>
      <c r="AQ313" s="194"/>
      <c r="AR313" s="195"/>
      <c r="AS313" s="195"/>
    </row>
    <row r="314" spans="2:45">
      <c r="B314" s="253"/>
      <c r="C314" s="230"/>
      <c r="D314" s="245"/>
      <c r="E314" s="230"/>
      <c r="F314" s="230"/>
      <c r="G314" s="230"/>
      <c r="H314" s="230"/>
      <c r="I314" s="228"/>
      <c r="J314" s="228"/>
      <c r="K314" s="230"/>
      <c r="L314" s="230"/>
      <c r="M314" s="246"/>
      <c r="N314" s="230"/>
      <c r="O314" s="230"/>
      <c r="P314" s="230"/>
      <c r="Q314" s="230"/>
      <c r="R314" s="256"/>
      <c r="S314" s="257"/>
      <c r="T314" s="228"/>
      <c r="U314" s="228"/>
      <c r="V314" s="245"/>
      <c r="W314" s="254"/>
      <c r="X314" s="254"/>
      <c r="Y314" s="228"/>
      <c r="Z314" s="255"/>
      <c r="AA314" s="248"/>
      <c r="AB314" s="248"/>
      <c r="AC314" s="248"/>
      <c r="AD314" s="247"/>
      <c r="AE314" s="228"/>
      <c r="AF314" s="228"/>
      <c r="AG314" s="248"/>
      <c r="AH314" s="248"/>
      <c r="AI314" s="194"/>
      <c r="AJ314" s="249"/>
      <c r="AK314" s="250"/>
      <c r="AL314" s="251"/>
      <c r="AM314" s="252"/>
      <c r="AN314" s="241"/>
      <c r="AO314" s="241"/>
      <c r="AP314" s="241"/>
      <c r="AQ314" s="194"/>
      <c r="AR314" s="195"/>
      <c r="AS314" s="195"/>
    </row>
    <row r="315" spans="2:45">
      <c r="B315" s="253"/>
      <c r="C315" s="230"/>
      <c r="D315" s="245"/>
      <c r="E315" s="230"/>
      <c r="F315" s="230"/>
      <c r="G315" s="230"/>
      <c r="H315" s="230"/>
      <c r="I315" s="228"/>
      <c r="J315" s="228"/>
      <c r="K315" s="230"/>
      <c r="L315" s="230"/>
      <c r="M315" s="246"/>
      <c r="N315" s="230"/>
      <c r="O315" s="230"/>
      <c r="P315" s="230"/>
      <c r="Q315" s="230"/>
      <c r="R315" s="256"/>
      <c r="S315" s="257"/>
      <c r="T315" s="228"/>
      <c r="U315" s="228"/>
      <c r="V315" s="245"/>
      <c r="W315" s="254"/>
      <c r="X315" s="254"/>
      <c r="Y315" s="228"/>
      <c r="Z315" s="255"/>
      <c r="AA315" s="248"/>
      <c r="AB315" s="248"/>
      <c r="AC315" s="248"/>
      <c r="AD315" s="247"/>
      <c r="AE315" s="228"/>
      <c r="AF315" s="228"/>
      <c r="AG315" s="248"/>
      <c r="AH315" s="248"/>
      <c r="AI315" s="194"/>
      <c r="AJ315" s="249"/>
      <c r="AK315" s="250"/>
      <c r="AL315" s="251"/>
      <c r="AM315" s="252"/>
      <c r="AN315" s="241"/>
      <c r="AO315" s="241"/>
      <c r="AP315" s="241"/>
      <c r="AQ315" s="194"/>
      <c r="AR315" s="195"/>
      <c r="AS315" s="195"/>
    </row>
    <row r="316" spans="2:45">
      <c r="B316" s="253"/>
      <c r="C316" s="230"/>
      <c r="D316" s="245"/>
      <c r="E316" s="230"/>
      <c r="F316" s="230"/>
      <c r="G316" s="230"/>
      <c r="H316" s="230"/>
      <c r="I316" s="228"/>
      <c r="J316" s="228"/>
      <c r="K316" s="230"/>
      <c r="L316" s="230"/>
      <c r="M316" s="246"/>
      <c r="N316" s="230"/>
      <c r="O316" s="230"/>
      <c r="P316" s="230"/>
      <c r="Q316" s="230"/>
      <c r="R316" s="256"/>
      <c r="S316" s="257"/>
      <c r="T316" s="228"/>
      <c r="U316" s="228"/>
      <c r="V316" s="245"/>
      <c r="W316" s="254"/>
      <c r="X316" s="254"/>
      <c r="Y316" s="228"/>
      <c r="Z316" s="255"/>
      <c r="AA316" s="248"/>
      <c r="AB316" s="248"/>
      <c r="AC316" s="248"/>
      <c r="AD316" s="247"/>
      <c r="AE316" s="228"/>
      <c r="AF316" s="228"/>
      <c r="AG316" s="248"/>
      <c r="AH316" s="248"/>
      <c r="AI316" s="194"/>
      <c r="AJ316" s="249"/>
      <c r="AK316" s="250"/>
      <c r="AL316" s="251"/>
      <c r="AM316" s="252"/>
      <c r="AN316" s="241"/>
      <c r="AO316" s="241"/>
      <c r="AP316" s="241"/>
      <c r="AQ316" s="194"/>
      <c r="AR316" s="195"/>
      <c r="AS316" s="195"/>
    </row>
    <row r="317" spans="2:45">
      <c r="B317" s="253"/>
      <c r="C317" s="230"/>
      <c r="D317" s="245"/>
      <c r="E317" s="230"/>
      <c r="F317" s="230"/>
      <c r="G317" s="230"/>
      <c r="H317" s="230"/>
      <c r="I317" s="228"/>
      <c r="J317" s="228"/>
      <c r="K317" s="230"/>
      <c r="L317" s="230"/>
      <c r="M317" s="246"/>
      <c r="N317" s="230"/>
      <c r="O317" s="230"/>
      <c r="P317" s="230"/>
      <c r="Q317" s="230"/>
      <c r="R317" s="256"/>
      <c r="S317" s="257"/>
      <c r="T317" s="228"/>
      <c r="U317" s="228"/>
      <c r="V317" s="245"/>
      <c r="W317" s="254"/>
      <c r="X317" s="254"/>
      <c r="Y317" s="228"/>
      <c r="Z317" s="255"/>
      <c r="AA317" s="248"/>
      <c r="AB317" s="248"/>
      <c r="AC317" s="248"/>
      <c r="AD317" s="247"/>
      <c r="AE317" s="228"/>
      <c r="AF317" s="228"/>
      <c r="AG317" s="248"/>
      <c r="AH317" s="248"/>
      <c r="AI317" s="194"/>
      <c r="AJ317" s="249"/>
      <c r="AK317" s="250"/>
      <c r="AL317" s="251"/>
      <c r="AM317" s="252"/>
      <c r="AN317" s="241"/>
      <c r="AO317" s="241"/>
      <c r="AP317" s="241"/>
      <c r="AQ317" s="194"/>
      <c r="AR317" s="195"/>
      <c r="AS317" s="195"/>
    </row>
    <row r="318" spans="2:45">
      <c r="B318" s="253"/>
      <c r="C318" s="230"/>
      <c r="D318" s="245"/>
      <c r="E318" s="230"/>
      <c r="F318" s="230"/>
      <c r="G318" s="230"/>
      <c r="H318" s="230"/>
      <c r="I318" s="228"/>
      <c r="J318" s="228"/>
      <c r="K318" s="230"/>
      <c r="L318" s="230"/>
      <c r="M318" s="246"/>
      <c r="N318" s="230"/>
      <c r="O318" s="230"/>
      <c r="P318" s="230"/>
      <c r="Q318" s="230"/>
      <c r="R318" s="256"/>
      <c r="S318" s="257"/>
      <c r="T318" s="228"/>
      <c r="U318" s="228"/>
      <c r="V318" s="245"/>
      <c r="W318" s="254"/>
      <c r="X318" s="254"/>
      <c r="Y318" s="228"/>
      <c r="Z318" s="255"/>
      <c r="AA318" s="248"/>
      <c r="AB318" s="248"/>
      <c r="AC318" s="248"/>
      <c r="AD318" s="247"/>
      <c r="AE318" s="228"/>
      <c r="AF318" s="228"/>
      <c r="AG318" s="248"/>
      <c r="AH318" s="248"/>
      <c r="AI318" s="194"/>
      <c r="AJ318" s="249"/>
      <c r="AK318" s="250"/>
      <c r="AL318" s="251"/>
      <c r="AM318" s="252"/>
      <c r="AN318" s="241"/>
      <c r="AO318" s="241"/>
      <c r="AP318" s="241"/>
      <c r="AQ318" s="194"/>
      <c r="AR318" s="195"/>
      <c r="AS318" s="195"/>
    </row>
    <row r="319" spans="2:45">
      <c r="B319" s="253"/>
      <c r="C319" s="230"/>
      <c r="D319" s="245"/>
      <c r="E319" s="230"/>
      <c r="F319" s="230"/>
      <c r="G319" s="230"/>
      <c r="H319" s="230"/>
      <c r="I319" s="228"/>
      <c r="J319" s="228"/>
      <c r="K319" s="230"/>
      <c r="L319" s="230"/>
      <c r="M319" s="246"/>
      <c r="N319" s="230"/>
      <c r="O319" s="230"/>
      <c r="P319" s="230"/>
      <c r="Q319" s="230"/>
      <c r="R319" s="256"/>
      <c r="S319" s="257"/>
      <c r="T319" s="228"/>
      <c r="U319" s="228"/>
      <c r="V319" s="245"/>
      <c r="W319" s="254"/>
      <c r="X319" s="254"/>
      <c r="Y319" s="228"/>
      <c r="Z319" s="255"/>
      <c r="AA319" s="248"/>
      <c r="AB319" s="248"/>
      <c r="AC319" s="248"/>
      <c r="AD319" s="247"/>
      <c r="AE319" s="228"/>
      <c r="AF319" s="228"/>
      <c r="AG319" s="248"/>
      <c r="AH319" s="248"/>
      <c r="AI319" s="194"/>
      <c r="AJ319" s="249"/>
      <c r="AK319" s="250"/>
      <c r="AL319" s="251"/>
      <c r="AM319" s="252"/>
      <c r="AN319" s="241"/>
      <c r="AO319" s="241"/>
      <c r="AP319" s="241"/>
      <c r="AQ319" s="194"/>
      <c r="AR319" s="195"/>
      <c r="AS319" s="195"/>
    </row>
    <row r="320" spans="2:45">
      <c r="B320" s="253"/>
      <c r="C320" s="230"/>
      <c r="D320" s="245"/>
      <c r="E320" s="230"/>
      <c r="F320" s="230"/>
      <c r="G320" s="230"/>
      <c r="H320" s="230"/>
      <c r="I320" s="228"/>
      <c r="J320" s="228"/>
      <c r="K320" s="230"/>
      <c r="L320" s="230"/>
      <c r="M320" s="246"/>
      <c r="N320" s="230"/>
      <c r="O320" s="230"/>
      <c r="P320" s="230"/>
      <c r="Q320" s="230"/>
      <c r="R320" s="256"/>
      <c r="S320" s="257"/>
      <c r="T320" s="228"/>
      <c r="U320" s="228"/>
      <c r="V320" s="245"/>
      <c r="W320" s="254"/>
      <c r="X320" s="254"/>
      <c r="Y320" s="228"/>
      <c r="Z320" s="255"/>
      <c r="AA320" s="248"/>
      <c r="AB320" s="248"/>
      <c r="AC320" s="248"/>
      <c r="AD320" s="247"/>
      <c r="AE320" s="228"/>
      <c r="AF320" s="228"/>
      <c r="AG320" s="248"/>
      <c r="AH320" s="248"/>
      <c r="AI320" s="194"/>
      <c r="AJ320" s="249"/>
      <c r="AK320" s="250"/>
      <c r="AL320" s="251"/>
      <c r="AM320" s="252"/>
      <c r="AN320" s="241"/>
      <c r="AO320" s="241"/>
      <c r="AP320" s="241"/>
      <c r="AQ320" s="194"/>
      <c r="AR320" s="195"/>
      <c r="AS320" s="195"/>
    </row>
    <row r="321" spans="2:45">
      <c r="B321" s="253"/>
      <c r="C321" s="230"/>
      <c r="D321" s="245"/>
      <c r="E321" s="230"/>
      <c r="F321" s="230"/>
      <c r="G321" s="230"/>
      <c r="H321" s="230"/>
      <c r="I321" s="228"/>
      <c r="J321" s="228"/>
      <c r="K321" s="230"/>
      <c r="L321" s="230"/>
      <c r="M321" s="246"/>
      <c r="N321" s="230"/>
      <c r="O321" s="230"/>
      <c r="P321" s="230"/>
      <c r="Q321" s="230"/>
      <c r="R321" s="256"/>
      <c r="S321" s="257"/>
      <c r="T321" s="228"/>
      <c r="U321" s="228"/>
      <c r="V321" s="245"/>
      <c r="W321" s="254"/>
      <c r="X321" s="254"/>
      <c r="Y321" s="228"/>
      <c r="Z321" s="255"/>
      <c r="AA321" s="248"/>
      <c r="AB321" s="248"/>
      <c r="AC321" s="248"/>
      <c r="AD321" s="247"/>
      <c r="AE321" s="228"/>
      <c r="AF321" s="228"/>
      <c r="AG321" s="248"/>
      <c r="AH321" s="248"/>
      <c r="AI321" s="194"/>
      <c r="AJ321" s="249"/>
      <c r="AK321" s="250"/>
      <c r="AL321" s="251"/>
      <c r="AM321" s="252"/>
      <c r="AN321" s="241"/>
      <c r="AO321" s="241"/>
      <c r="AP321" s="241"/>
      <c r="AQ321" s="194"/>
      <c r="AR321" s="195"/>
      <c r="AS321" s="195"/>
    </row>
    <row r="322" spans="2:45">
      <c r="B322" s="253"/>
      <c r="C322" s="230"/>
      <c r="D322" s="245"/>
      <c r="E322" s="230"/>
      <c r="F322" s="230"/>
      <c r="G322" s="230"/>
      <c r="H322" s="230"/>
      <c r="I322" s="228"/>
      <c r="J322" s="228"/>
      <c r="K322" s="230"/>
      <c r="L322" s="230"/>
      <c r="M322" s="246"/>
      <c r="N322" s="230"/>
      <c r="O322" s="230"/>
      <c r="P322" s="230"/>
      <c r="Q322" s="230"/>
      <c r="R322" s="256"/>
      <c r="S322" s="257"/>
      <c r="T322" s="228"/>
      <c r="U322" s="228"/>
      <c r="V322" s="245"/>
      <c r="W322" s="254"/>
      <c r="X322" s="254"/>
      <c r="Y322" s="228"/>
      <c r="Z322" s="255"/>
      <c r="AA322" s="248"/>
      <c r="AB322" s="248"/>
      <c r="AC322" s="248"/>
      <c r="AD322" s="247"/>
      <c r="AE322" s="228"/>
      <c r="AF322" s="228"/>
      <c r="AG322" s="248"/>
      <c r="AH322" s="248"/>
      <c r="AI322" s="194"/>
      <c r="AJ322" s="249"/>
      <c r="AK322" s="250"/>
      <c r="AL322" s="251"/>
      <c r="AM322" s="252"/>
      <c r="AN322" s="241"/>
      <c r="AO322" s="241"/>
      <c r="AP322" s="241"/>
      <c r="AQ322" s="194"/>
      <c r="AR322" s="195"/>
      <c r="AS322" s="195"/>
    </row>
    <row r="323" spans="2:45">
      <c r="B323" s="253"/>
      <c r="C323" s="230"/>
      <c r="D323" s="245"/>
      <c r="E323" s="230"/>
      <c r="F323" s="230"/>
      <c r="G323" s="230"/>
      <c r="H323" s="230"/>
      <c r="I323" s="228"/>
      <c r="J323" s="228"/>
      <c r="K323" s="230"/>
      <c r="L323" s="230"/>
      <c r="M323" s="246"/>
      <c r="N323" s="230"/>
      <c r="O323" s="230"/>
      <c r="P323" s="230"/>
      <c r="Q323" s="230"/>
      <c r="R323" s="256"/>
      <c r="S323" s="257"/>
      <c r="T323" s="228"/>
      <c r="U323" s="228"/>
      <c r="V323" s="245"/>
      <c r="W323" s="254"/>
      <c r="X323" s="254"/>
      <c r="Y323" s="228"/>
      <c r="Z323" s="255"/>
      <c r="AA323" s="248"/>
      <c r="AB323" s="248"/>
      <c r="AC323" s="248"/>
      <c r="AD323" s="247"/>
      <c r="AE323" s="228"/>
      <c r="AF323" s="228"/>
      <c r="AG323" s="248"/>
      <c r="AH323" s="248"/>
      <c r="AI323" s="194"/>
      <c r="AJ323" s="249"/>
      <c r="AK323" s="250"/>
      <c r="AL323" s="251"/>
      <c r="AM323" s="252"/>
      <c r="AN323" s="241"/>
      <c r="AO323" s="241"/>
      <c r="AP323" s="241"/>
      <c r="AQ323" s="194"/>
      <c r="AR323" s="195"/>
      <c r="AS323" s="195"/>
    </row>
    <row r="324" spans="2:45">
      <c r="B324" s="253"/>
      <c r="C324" s="230"/>
      <c r="D324" s="245"/>
      <c r="E324" s="230"/>
      <c r="F324" s="230"/>
      <c r="G324" s="230"/>
      <c r="H324" s="230"/>
      <c r="I324" s="228"/>
      <c r="J324" s="228"/>
      <c r="K324" s="230"/>
      <c r="L324" s="230"/>
      <c r="M324" s="246"/>
      <c r="N324" s="230"/>
      <c r="O324" s="230"/>
      <c r="P324" s="230"/>
      <c r="Q324" s="230"/>
      <c r="R324" s="256"/>
      <c r="S324" s="257"/>
      <c r="T324" s="228"/>
      <c r="U324" s="228"/>
      <c r="V324" s="245"/>
      <c r="W324" s="254"/>
      <c r="X324" s="254"/>
      <c r="Y324" s="228"/>
      <c r="Z324" s="255"/>
      <c r="AA324" s="248"/>
      <c r="AB324" s="248"/>
      <c r="AC324" s="248"/>
      <c r="AD324" s="247"/>
      <c r="AE324" s="228"/>
      <c r="AF324" s="228"/>
      <c r="AG324" s="248"/>
      <c r="AH324" s="248"/>
      <c r="AI324" s="194"/>
      <c r="AJ324" s="249"/>
      <c r="AK324" s="250"/>
      <c r="AL324" s="251"/>
      <c r="AM324" s="252"/>
      <c r="AN324" s="241"/>
      <c r="AO324" s="241"/>
      <c r="AP324" s="241"/>
      <c r="AQ324" s="194"/>
      <c r="AR324" s="195"/>
      <c r="AS324" s="195"/>
    </row>
    <row r="325" spans="2:45">
      <c r="B325" s="253"/>
      <c r="C325" s="230"/>
      <c r="D325" s="245"/>
      <c r="E325" s="230"/>
      <c r="F325" s="230"/>
      <c r="G325" s="230"/>
      <c r="H325" s="230"/>
      <c r="I325" s="228"/>
      <c r="J325" s="228"/>
      <c r="K325" s="230"/>
      <c r="L325" s="230"/>
      <c r="M325" s="246"/>
      <c r="N325" s="230"/>
      <c r="O325" s="230"/>
      <c r="P325" s="230"/>
      <c r="Q325" s="230"/>
      <c r="R325" s="256"/>
      <c r="S325" s="257"/>
      <c r="T325" s="228"/>
      <c r="U325" s="228"/>
      <c r="V325" s="245"/>
      <c r="W325" s="254"/>
      <c r="X325" s="254"/>
      <c r="Y325" s="228"/>
      <c r="Z325" s="255"/>
      <c r="AA325" s="248"/>
      <c r="AB325" s="248"/>
      <c r="AC325" s="248"/>
      <c r="AD325" s="247"/>
      <c r="AE325" s="228"/>
      <c r="AF325" s="228"/>
      <c r="AG325" s="248"/>
      <c r="AH325" s="248"/>
      <c r="AI325" s="194"/>
      <c r="AJ325" s="249"/>
      <c r="AK325" s="250"/>
      <c r="AL325" s="251"/>
      <c r="AM325" s="252"/>
      <c r="AN325" s="241"/>
      <c r="AO325" s="241"/>
      <c r="AP325" s="241"/>
      <c r="AQ325" s="194"/>
      <c r="AR325" s="195"/>
      <c r="AS325" s="195"/>
    </row>
    <row r="326" spans="2:45">
      <c r="B326" s="253"/>
      <c r="C326" s="230"/>
      <c r="D326" s="245"/>
      <c r="E326" s="230"/>
      <c r="F326" s="230"/>
      <c r="G326" s="230"/>
      <c r="H326" s="230"/>
      <c r="I326" s="228"/>
      <c r="J326" s="228"/>
      <c r="K326" s="230"/>
      <c r="L326" s="230"/>
      <c r="M326" s="246"/>
      <c r="N326" s="230"/>
      <c r="O326" s="230"/>
      <c r="P326" s="230"/>
      <c r="Q326" s="230"/>
      <c r="R326" s="256"/>
      <c r="S326" s="257"/>
      <c r="T326" s="228"/>
      <c r="U326" s="228"/>
      <c r="V326" s="245"/>
      <c r="W326" s="254"/>
      <c r="X326" s="254"/>
      <c r="Y326" s="228"/>
      <c r="Z326" s="255"/>
      <c r="AA326" s="248"/>
      <c r="AB326" s="248"/>
      <c r="AC326" s="248"/>
      <c r="AD326" s="247"/>
      <c r="AE326" s="228"/>
      <c r="AF326" s="228"/>
      <c r="AG326" s="248"/>
      <c r="AH326" s="248"/>
      <c r="AI326" s="194"/>
      <c r="AJ326" s="249"/>
      <c r="AK326" s="250"/>
      <c r="AL326" s="251"/>
      <c r="AM326" s="252"/>
      <c r="AN326" s="241"/>
      <c r="AO326" s="241"/>
      <c r="AP326" s="241"/>
      <c r="AQ326" s="194"/>
      <c r="AR326" s="195"/>
      <c r="AS326" s="195"/>
    </row>
    <row r="327" spans="2:45">
      <c r="B327" s="253"/>
      <c r="C327" s="230"/>
      <c r="D327" s="245"/>
      <c r="E327" s="230"/>
      <c r="F327" s="230"/>
      <c r="G327" s="230"/>
      <c r="H327" s="230"/>
      <c r="I327" s="228"/>
      <c r="J327" s="228"/>
      <c r="K327" s="230"/>
      <c r="L327" s="230"/>
      <c r="M327" s="246"/>
      <c r="N327" s="230"/>
      <c r="O327" s="230"/>
      <c r="P327" s="230"/>
      <c r="Q327" s="230"/>
      <c r="R327" s="256"/>
      <c r="S327" s="257"/>
      <c r="T327" s="228"/>
      <c r="U327" s="228"/>
      <c r="V327" s="245"/>
      <c r="W327" s="254"/>
      <c r="X327" s="254"/>
      <c r="Y327" s="228"/>
      <c r="Z327" s="255"/>
      <c r="AA327" s="248"/>
      <c r="AB327" s="248"/>
      <c r="AC327" s="248"/>
      <c r="AD327" s="247"/>
      <c r="AE327" s="228"/>
      <c r="AF327" s="228"/>
      <c r="AG327" s="248"/>
      <c r="AH327" s="248"/>
      <c r="AI327" s="194"/>
      <c r="AJ327" s="249"/>
      <c r="AK327" s="250"/>
      <c r="AL327" s="251"/>
      <c r="AM327" s="252"/>
      <c r="AN327" s="241"/>
      <c r="AO327" s="241"/>
      <c r="AP327" s="241"/>
      <c r="AQ327" s="194"/>
      <c r="AR327" s="195"/>
      <c r="AS327" s="195"/>
    </row>
    <row r="328" spans="2:45">
      <c r="B328" s="253"/>
      <c r="C328" s="230"/>
      <c r="D328" s="245"/>
      <c r="E328" s="230"/>
      <c r="F328" s="230"/>
      <c r="G328" s="230"/>
      <c r="H328" s="230"/>
      <c r="I328" s="228"/>
      <c r="J328" s="228"/>
      <c r="K328" s="230"/>
      <c r="L328" s="230"/>
      <c r="M328" s="246"/>
      <c r="N328" s="230"/>
      <c r="O328" s="230"/>
      <c r="P328" s="230"/>
      <c r="Q328" s="230"/>
      <c r="R328" s="256"/>
      <c r="S328" s="257"/>
      <c r="T328" s="228"/>
      <c r="U328" s="228"/>
      <c r="V328" s="245"/>
      <c r="W328" s="254"/>
      <c r="X328" s="254"/>
      <c r="Y328" s="228"/>
      <c r="Z328" s="255"/>
      <c r="AA328" s="248"/>
      <c r="AB328" s="248"/>
      <c r="AC328" s="248"/>
      <c r="AD328" s="247"/>
      <c r="AE328" s="228"/>
      <c r="AF328" s="228"/>
      <c r="AG328" s="248"/>
      <c r="AH328" s="248"/>
      <c r="AI328" s="194"/>
      <c r="AJ328" s="249"/>
      <c r="AK328" s="250"/>
      <c r="AL328" s="251"/>
      <c r="AM328" s="252"/>
      <c r="AN328" s="241"/>
      <c r="AO328" s="241"/>
      <c r="AP328" s="241"/>
      <c r="AQ328" s="194"/>
      <c r="AR328" s="195"/>
      <c r="AS328" s="195"/>
    </row>
    <row r="329" spans="2:45">
      <c r="B329" s="253"/>
      <c r="C329" s="230"/>
      <c r="D329" s="245"/>
      <c r="E329" s="230"/>
      <c r="F329" s="230"/>
      <c r="G329" s="230"/>
      <c r="H329" s="230"/>
      <c r="I329" s="228"/>
      <c r="J329" s="228"/>
      <c r="K329" s="230"/>
      <c r="L329" s="230"/>
      <c r="M329" s="246"/>
      <c r="N329" s="230"/>
      <c r="O329" s="230"/>
      <c r="P329" s="230"/>
      <c r="Q329" s="230"/>
      <c r="R329" s="256"/>
      <c r="S329" s="257"/>
      <c r="T329" s="228"/>
      <c r="U329" s="228"/>
      <c r="V329" s="245"/>
      <c r="W329" s="254"/>
      <c r="X329" s="254"/>
      <c r="Y329" s="228"/>
      <c r="Z329" s="255"/>
      <c r="AA329" s="248"/>
      <c r="AB329" s="248"/>
      <c r="AC329" s="248"/>
      <c r="AD329" s="247"/>
      <c r="AE329" s="228"/>
      <c r="AF329" s="228"/>
      <c r="AG329" s="248"/>
      <c r="AH329" s="248"/>
      <c r="AI329" s="194"/>
      <c r="AJ329" s="249"/>
      <c r="AK329" s="250"/>
      <c r="AL329" s="251"/>
      <c r="AM329" s="252"/>
      <c r="AN329" s="241"/>
      <c r="AO329" s="241"/>
      <c r="AP329" s="241"/>
      <c r="AQ329" s="194"/>
      <c r="AR329" s="195"/>
      <c r="AS329" s="195"/>
    </row>
    <row r="330" spans="2:45">
      <c r="B330" s="253"/>
      <c r="C330" s="230"/>
      <c r="D330" s="245"/>
      <c r="E330" s="230"/>
      <c r="F330" s="230"/>
      <c r="G330" s="230"/>
      <c r="H330" s="230"/>
      <c r="I330" s="228"/>
      <c r="J330" s="228"/>
      <c r="K330" s="230"/>
      <c r="L330" s="230"/>
      <c r="M330" s="246"/>
      <c r="N330" s="230"/>
      <c r="O330" s="230"/>
      <c r="P330" s="230"/>
      <c r="Q330" s="230"/>
      <c r="R330" s="256"/>
      <c r="S330" s="257"/>
      <c r="T330" s="228"/>
      <c r="U330" s="228"/>
      <c r="V330" s="245"/>
      <c r="W330" s="254"/>
      <c r="X330" s="254"/>
      <c r="Y330" s="228"/>
      <c r="Z330" s="255"/>
      <c r="AA330" s="248"/>
      <c r="AB330" s="248"/>
      <c r="AC330" s="248"/>
      <c r="AD330" s="247"/>
      <c r="AE330" s="228"/>
      <c r="AF330" s="228"/>
      <c r="AG330" s="248"/>
      <c r="AH330" s="248"/>
      <c r="AI330" s="194"/>
      <c r="AJ330" s="249"/>
      <c r="AK330" s="250"/>
      <c r="AL330" s="251"/>
      <c r="AM330" s="252"/>
      <c r="AN330" s="241"/>
      <c r="AO330" s="241"/>
      <c r="AP330" s="241"/>
      <c r="AQ330" s="194"/>
      <c r="AR330" s="195"/>
      <c r="AS330" s="195"/>
    </row>
    <row r="331" spans="2:45">
      <c r="B331" s="253"/>
      <c r="C331" s="230"/>
      <c r="D331" s="245"/>
      <c r="E331" s="230"/>
      <c r="F331" s="230"/>
      <c r="G331" s="230"/>
      <c r="H331" s="230"/>
      <c r="I331" s="228"/>
      <c r="J331" s="228"/>
      <c r="K331" s="230"/>
      <c r="L331" s="230"/>
      <c r="M331" s="246"/>
      <c r="N331" s="230"/>
      <c r="O331" s="230"/>
      <c r="P331" s="230"/>
      <c r="Q331" s="230"/>
      <c r="R331" s="256"/>
      <c r="S331" s="257"/>
      <c r="T331" s="228"/>
      <c r="U331" s="228"/>
      <c r="V331" s="245"/>
      <c r="W331" s="254"/>
      <c r="X331" s="254"/>
      <c r="Y331" s="228"/>
      <c r="Z331" s="255"/>
      <c r="AA331" s="248"/>
      <c r="AB331" s="248"/>
      <c r="AC331" s="248"/>
      <c r="AD331" s="247"/>
      <c r="AE331" s="228"/>
      <c r="AF331" s="228"/>
      <c r="AG331" s="248"/>
      <c r="AH331" s="248"/>
      <c r="AI331" s="194"/>
      <c r="AJ331" s="249"/>
      <c r="AK331" s="250"/>
      <c r="AL331" s="251"/>
      <c r="AM331" s="252"/>
      <c r="AN331" s="241"/>
      <c r="AO331" s="241"/>
      <c r="AP331" s="241"/>
      <c r="AQ331" s="194"/>
      <c r="AR331" s="195"/>
      <c r="AS331" s="195"/>
    </row>
    <row r="332" spans="2:45">
      <c r="B332" s="253"/>
      <c r="C332" s="230"/>
      <c r="D332" s="245"/>
      <c r="E332" s="230"/>
      <c r="F332" s="230"/>
      <c r="G332" s="230"/>
      <c r="H332" s="230"/>
      <c r="I332" s="228"/>
      <c r="J332" s="228"/>
      <c r="K332" s="230"/>
      <c r="L332" s="230"/>
      <c r="M332" s="246"/>
      <c r="N332" s="230"/>
      <c r="O332" s="230"/>
      <c r="P332" s="230"/>
      <c r="Q332" s="230"/>
      <c r="R332" s="256"/>
      <c r="S332" s="257"/>
      <c r="T332" s="228"/>
      <c r="U332" s="228"/>
      <c r="V332" s="245"/>
      <c r="W332" s="254"/>
      <c r="X332" s="254"/>
      <c r="Y332" s="228"/>
      <c r="Z332" s="255"/>
      <c r="AA332" s="248"/>
      <c r="AB332" s="248"/>
      <c r="AC332" s="248"/>
      <c r="AD332" s="247"/>
      <c r="AE332" s="228"/>
      <c r="AF332" s="228"/>
      <c r="AG332" s="248"/>
      <c r="AH332" s="248"/>
      <c r="AI332" s="194"/>
      <c r="AJ332" s="249"/>
      <c r="AK332" s="250"/>
      <c r="AL332" s="251"/>
      <c r="AM332" s="252"/>
      <c r="AN332" s="241"/>
      <c r="AO332" s="241"/>
      <c r="AP332" s="241"/>
      <c r="AQ332" s="194"/>
      <c r="AR332" s="195"/>
      <c r="AS332" s="195"/>
    </row>
    <row r="333" spans="2:45">
      <c r="B333" s="253"/>
      <c r="C333" s="230"/>
      <c r="D333" s="245"/>
      <c r="E333" s="230"/>
      <c r="F333" s="230"/>
      <c r="G333" s="230"/>
      <c r="H333" s="230"/>
      <c r="I333" s="228"/>
      <c r="J333" s="228"/>
      <c r="K333" s="230"/>
      <c r="L333" s="230"/>
      <c r="M333" s="246"/>
      <c r="N333" s="230"/>
      <c r="O333" s="230"/>
      <c r="P333" s="230"/>
      <c r="Q333" s="230"/>
      <c r="R333" s="256"/>
      <c r="S333" s="257"/>
      <c r="T333" s="228"/>
      <c r="U333" s="228"/>
      <c r="V333" s="245"/>
      <c r="W333" s="254"/>
      <c r="X333" s="254"/>
      <c r="Y333" s="228"/>
      <c r="Z333" s="255"/>
      <c r="AA333" s="248"/>
      <c r="AB333" s="248"/>
      <c r="AC333" s="248"/>
      <c r="AD333" s="247"/>
      <c r="AE333" s="228"/>
      <c r="AF333" s="228"/>
      <c r="AG333" s="248"/>
      <c r="AH333" s="248"/>
      <c r="AI333" s="194"/>
      <c r="AJ333" s="249"/>
      <c r="AK333" s="250"/>
      <c r="AL333" s="251"/>
      <c r="AM333" s="252"/>
      <c r="AN333" s="241"/>
      <c r="AO333" s="241"/>
      <c r="AP333" s="241"/>
      <c r="AQ333" s="194"/>
      <c r="AR333" s="195"/>
      <c r="AS333" s="195"/>
    </row>
    <row r="334" spans="2:45">
      <c r="B334" s="253"/>
      <c r="C334" s="230"/>
      <c r="D334" s="245"/>
      <c r="E334" s="230"/>
      <c r="F334" s="230"/>
      <c r="G334" s="230"/>
      <c r="H334" s="230"/>
      <c r="I334" s="228"/>
      <c r="J334" s="228"/>
      <c r="K334" s="230"/>
      <c r="L334" s="230"/>
      <c r="M334" s="246"/>
      <c r="N334" s="230"/>
      <c r="O334" s="230"/>
      <c r="P334" s="230"/>
      <c r="Q334" s="230"/>
      <c r="R334" s="256"/>
      <c r="S334" s="257"/>
      <c r="T334" s="228"/>
      <c r="U334" s="228"/>
      <c r="V334" s="245"/>
      <c r="W334" s="254"/>
      <c r="X334" s="254"/>
      <c r="Y334" s="228"/>
      <c r="Z334" s="255"/>
      <c r="AA334" s="248"/>
      <c r="AB334" s="248"/>
      <c r="AC334" s="248"/>
      <c r="AD334" s="247"/>
      <c r="AE334" s="228"/>
      <c r="AF334" s="228"/>
      <c r="AG334" s="248"/>
      <c r="AH334" s="248"/>
      <c r="AI334" s="194"/>
      <c r="AJ334" s="249"/>
      <c r="AK334" s="250"/>
      <c r="AL334" s="251"/>
      <c r="AM334" s="252"/>
      <c r="AN334" s="241"/>
      <c r="AO334" s="241"/>
      <c r="AP334" s="241"/>
      <c r="AQ334" s="194"/>
      <c r="AR334" s="195"/>
      <c r="AS334" s="195"/>
    </row>
    <row r="335" spans="2:45">
      <c r="B335" s="253"/>
      <c r="C335" s="230"/>
      <c r="D335" s="245"/>
      <c r="E335" s="230"/>
      <c r="F335" s="230"/>
      <c r="G335" s="230"/>
      <c r="H335" s="230"/>
      <c r="I335" s="228"/>
      <c r="J335" s="228"/>
      <c r="K335" s="230"/>
      <c r="L335" s="230"/>
      <c r="M335" s="246"/>
      <c r="N335" s="230"/>
      <c r="O335" s="230"/>
      <c r="P335" s="230"/>
      <c r="Q335" s="230"/>
      <c r="R335" s="256"/>
      <c r="S335" s="257"/>
      <c r="T335" s="228"/>
      <c r="U335" s="228"/>
      <c r="V335" s="245"/>
      <c r="W335" s="254"/>
      <c r="X335" s="254"/>
      <c r="Y335" s="228"/>
      <c r="Z335" s="255"/>
      <c r="AA335" s="248"/>
      <c r="AB335" s="248"/>
      <c r="AC335" s="248"/>
      <c r="AD335" s="247"/>
      <c r="AE335" s="228"/>
      <c r="AF335" s="228"/>
      <c r="AG335" s="248"/>
      <c r="AH335" s="248"/>
      <c r="AI335" s="194"/>
      <c r="AJ335" s="249"/>
      <c r="AK335" s="250"/>
      <c r="AL335" s="251"/>
      <c r="AM335" s="252"/>
      <c r="AN335" s="241"/>
      <c r="AO335" s="241"/>
      <c r="AP335" s="241"/>
      <c r="AQ335" s="194"/>
      <c r="AR335" s="195"/>
      <c r="AS335" s="195"/>
    </row>
    <row r="336" spans="2:45">
      <c r="B336" s="253"/>
      <c r="C336" s="230"/>
      <c r="D336" s="245"/>
      <c r="E336" s="230"/>
      <c r="F336" s="230"/>
      <c r="G336" s="230"/>
      <c r="H336" s="230"/>
      <c r="I336" s="228"/>
      <c r="J336" s="228"/>
      <c r="K336" s="230"/>
      <c r="L336" s="230"/>
      <c r="M336" s="246"/>
      <c r="N336" s="230"/>
      <c r="O336" s="230"/>
      <c r="P336" s="230"/>
      <c r="Q336" s="230"/>
      <c r="R336" s="256"/>
      <c r="S336" s="257"/>
      <c r="T336" s="228"/>
      <c r="U336" s="228"/>
      <c r="V336" s="245"/>
      <c r="W336" s="254"/>
      <c r="X336" s="254"/>
      <c r="Y336" s="228"/>
      <c r="Z336" s="255"/>
      <c r="AA336" s="248"/>
      <c r="AB336" s="248"/>
      <c r="AC336" s="248"/>
      <c r="AD336" s="247"/>
      <c r="AE336" s="228"/>
      <c r="AF336" s="228"/>
      <c r="AG336" s="248"/>
      <c r="AH336" s="248"/>
      <c r="AI336" s="194"/>
      <c r="AJ336" s="249"/>
      <c r="AK336" s="250"/>
      <c r="AL336" s="251"/>
      <c r="AM336" s="252"/>
      <c r="AN336" s="241"/>
      <c r="AO336" s="241"/>
      <c r="AP336" s="241"/>
      <c r="AQ336" s="194"/>
      <c r="AR336" s="195"/>
      <c r="AS336" s="195"/>
    </row>
    <row r="337" spans="2:45">
      <c r="B337" s="253"/>
      <c r="C337" s="230"/>
      <c r="D337" s="245"/>
      <c r="E337" s="230"/>
      <c r="F337" s="230"/>
      <c r="G337" s="230"/>
      <c r="H337" s="230"/>
      <c r="I337" s="228"/>
      <c r="J337" s="228"/>
      <c r="K337" s="230"/>
      <c r="L337" s="230"/>
      <c r="M337" s="246"/>
      <c r="N337" s="230"/>
      <c r="O337" s="230"/>
      <c r="P337" s="230"/>
      <c r="Q337" s="230"/>
      <c r="R337" s="256"/>
      <c r="S337" s="257"/>
      <c r="T337" s="228"/>
      <c r="U337" s="228"/>
      <c r="V337" s="245"/>
      <c r="W337" s="254"/>
      <c r="X337" s="254"/>
      <c r="Y337" s="228"/>
      <c r="Z337" s="255"/>
      <c r="AA337" s="248"/>
      <c r="AB337" s="248"/>
      <c r="AC337" s="248"/>
      <c r="AD337" s="247"/>
      <c r="AE337" s="228"/>
      <c r="AF337" s="228"/>
      <c r="AG337" s="248"/>
      <c r="AH337" s="248"/>
      <c r="AI337" s="194"/>
      <c r="AJ337" s="249"/>
      <c r="AK337" s="250"/>
      <c r="AL337" s="251"/>
      <c r="AM337" s="252"/>
      <c r="AN337" s="241"/>
      <c r="AO337" s="241"/>
      <c r="AP337" s="241"/>
      <c r="AQ337" s="194"/>
      <c r="AR337" s="195"/>
      <c r="AS337" s="195"/>
    </row>
    <row r="338" spans="2:45">
      <c r="B338" s="253"/>
      <c r="C338" s="230"/>
      <c r="D338" s="245"/>
      <c r="E338" s="230"/>
      <c r="F338" s="230"/>
      <c r="G338" s="230"/>
      <c r="H338" s="230"/>
      <c r="I338" s="228"/>
      <c r="J338" s="228"/>
      <c r="K338" s="230"/>
      <c r="L338" s="230"/>
      <c r="M338" s="246"/>
      <c r="N338" s="230"/>
      <c r="O338" s="230"/>
      <c r="P338" s="230"/>
      <c r="Q338" s="230"/>
      <c r="R338" s="256"/>
      <c r="S338" s="257"/>
      <c r="T338" s="228"/>
      <c r="U338" s="228"/>
      <c r="V338" s="245"/>
      <c r="W338" s="254"/>
      <c r="X338" s="254"/>
      <c r="Y338" s="228"/>
      <c r="Z338" s="255"/>
      <c r="AA338" s="248"/>
      <c r="AB338" s="248"/>
      <c r="AC338" s="248"/>
      <c r="AD338" s="247"/>
      <c r="AE338" s="228"/>
      <c r="AF338" s="228"/>
      <c r="AG338" s="248"/>
      <c r="AH338" s="248"/>
      <c r="AI338" s="194"/>
      <c r="AJ338" s="249"/>
      <c r="AK338" s="250"/>
      <c r="AL338" s="251"/>
      <c r="AM338" s="252"/>
      <c r="AN338" s="241"/>
      <c r="AO338" s="241"/>
      <c r="AP338" s="241"/>
      <c r="AQ338" s="194"/>
      <c r="AR338" s="195"/>
      <c r="AS338" s="195"/>
    </row>
    <row r="339" spans="2:45">
      <c r="B339" s="253"/>
      <c r="C339" s="230"/>
      <c r="D339" s="245"/>
      <c r="E339" s="230"/>
      <c r="F339" s="230"/>
      <c r="G339" s="230"/>
      <c r="H339" s="230"/>
      <c r="I339" s="228"/>
      <c r="J339" s="228"/>
      <c r="K339" s="230"/>
      <c r="L339" s="230"/>
      <c r="M339" s="246"/>
      <c r="N339" s="230"/>
      <c r="O339" s="230"/>
      <c r="P339" s="230"/>
      <c r="Q339" s="230"/>
      <c r="R339" s="256"/>
      <c r="S339" s="257"/>
      <c r="T339" s="228"/>
      <c r="U339" s="228"/>
      <c r="V339" s="245"/>
      <c r="W339" s="254"/>
      <c r="X339" s="254"/>
      <c r="Y339" s="228"/>
      <c r="Z339" s="255"/>
      <c r="AA339" s="248"/>
      <c r="AB339" s="248"/>
      <c r="AC339" s="248"/>
      <c r="AD339" s="247"/>
      <c r="AE339" s="228"/>
      <c r="AF339" s="228"/>
      <c r="AG339" s="248"/>
      <c r="AH339" s="248"/>
      <c r="AI339" s="194"/>
      <c r="AJ339" s="249"/>
      <c r="AK339" s="250"/>
      <c r="AL339" s="251"/>
      <c r="AM339" s="252"/>
      <c r="AN339" s="241"/>
      <c r="AO339" s="241"/>
      <c r="AP339" s="241"/>
      <c r="AQ339" s="194"/>
      <c r="AR339" s="195"/>
      <c r="AS339" s="195"/>
    </row>
    <row r="340" spans="2:45">
      <c r="B340" s="253"/>
      <c r="C340" s="230"/>
      <c r="D340" s="245"/>
      <c r="E340" s="230"/>
      <c r="F340" s="230"/>
      <c r="G340" s="230"/>
      <c r="H340" s="230"/>
      <c r="I340" s="228"/>
      <c r="J340" s="228"/>
      <c r="K340" s="230"/>
      <c r="L340" s="230"/>
      <c r="M340" s="246"/>
      <c r="N340" s="230"/>
      <c r="O340" s="230"/>
      <c r="P340" s="230"/>
      <c r="Q340" s="230"/>
      <c r="R340" s="256"/>
      <c r="S340" s="257"/>
      <c r="T340" s="228"/>
      <c r="U340" s="228"/>
      <c r="V340" s="245"/>
      <c r="W340" s="254"/>
      <c r="X340" s="254"/>
      <c r="Y340" s="228"/>
      <c r="Z340" s="255"/>
      <c r="AA340" s="248"/>
      <c r="AB340" s="248"/>
      <c r="AC340" s="248"/>
      <c r="AD340" s="247"/>
      <c r="AE340" s="228"/>
      <c r="AF340" s="228"/>
      <c r="AG340" s="248"/>
      <c r="AH340" s="248"/>
      <c r="AI340" s="194"/>
      <c r="AJ340" s="249"/>
      <c r="AK340" s="250"/>
      <c r="AL340" s="251"/>
      <c r="AM340" s="252"/>
      <c r="AN340" s="241"/>
      <c r="AO340" s="241"/>
      <c r="AP340" s="241"/>
      <c r="AQ340" s="194"/>
      <c r="AR340" s="195"/>
      <c r="AS340" s="195"/>
    </row>
    <row r="341" spans="2:45">
      <c r="B341" s="253"/>
      <c r="C341" s="230"/>
      <c r="D341" s="245"/>
      <c r="E341" s="230"/>
      <c r="F341" s="230"/>
      <c r="G341" s="230"/>
      <c r="H341" s="230"/>
      <c r="I341" s="228"/>
      <c r="J341" s="228"/>
      <c r="K341" s="230"/>
      <c r="L341" s="230"/>
      <c r="M341" s="246"/>
      <c r="N341" s="230"/>
      <c r="O341" s="230"/>
      <c r="P341" s="230"/>
      <c r="Q341" s="230"/>
      <c r="R341" s="256"/>
      <c r="S341" s="257"/>
      <c r="T341" s="228"/>
      <c r="U341" s="228"/>
      <c r="V341" s="245"/>
      <c r="W341" s="254"/>
      <c r="X341" s="254"/>
      <c r="Y341" s="228"/>
      <c r="Z341" s="255"/>
      <c r="AA341" s="248"/>
      <c r="AB341" s="248"/>
      <c r="AC341" s="248"/>
      <c r="AD341" s="247"/>
      <c r="AE341" s="228"/>
      <c r="AF341" s="228"/>
      <c r="AG341" s="248"/>
      <c r="AH341" s="248"/>
      <c r="AI341" s="194"/>
      <c r="AJ341" s="249"/>
      <c r="AK341" s="250"/>
      <c r="AL341" s="251"/>
      <c r="AM341" s="252"/>
      <c r="AN341" s="241"/>
      <c r="AO341" s="241"/>
      <c r="AP341" s="241"/>
      <c r="AQ341" s="194"/>
      <c r="AR341" s="195"/>
      <c r="AS341" s="195"/>
    </row>
    <row r="342" spans="2:45">
      <c r="B342" s="253"/>
      <c r="C342" s="230"/>
      <c r="D342" s="245"/>
      <c r="E342" s="230"/>
      <c r="F342" s="230"/>
      <c r="G342" s="230"/>
      <c r="H342" s="230"/>
      <c r="I342" s="228"/>
      <c r="J342" s="228"/>
      <c r="K342" s="230"/>
      <c r="L342" s="230"/>
      <c r="M342" s="246"/>
      <c r="N342" s="230"/>
      <c r="O342" s="230"/>
      <c r="P342" s="230"/>
      <c r="Q342" s="230"/>
      <c r="R342" s="256"/>
      <c r="S342" s="257"/>
      <c r="T342" s="228"/>
      <c r="U342" s="228"/>
      <c r="V342" s="245"/>
      <c r="W342" s="254"/>
      <c r="X342" s="254"/>
      <c r="Y342" s="228"/>
      <c r="Z342" s="255"/>
      <c r="AA342" s="248"/>
      <c r="AB342" s="248"/>
      <c r="AC342" s="248"/>
      <c r="AD342" s="247"/>
      <c r="AE342" s="228"/>
      <c r="AF342" s="228"/>
      <c r="AG342" s="248"/>
      <c r="AH342" s="248"/>
      <c r="AI342" s="194"/>
      <c r="AJ342" s="249"/>
      <c r="AK342" s="250"/>
      <c r="AL342" s="251"/>
      <c r="AM342" s="252"/>
      <c r="AN342" s="241"/>
      <c r="AO342" s="241"/>
      <c r="AP342" s="241"/>
      <c r="AQ342" s="194"/>
      <c r="AR342" s="195"/>
      <c r="AS342" s="195"/>
    </row>
    <row r="343" spans="2:45">
      <c r="B343" s="253"/>
      <c r="C343" s="230"/>
      <c r="D343" s="245"/>
      <c r="E343" s="230"/>
      <c r="F343" s="230"/>
      <c r="G343" s="230"/>
      <c r="H343" s="230"/>
      <c r="I343" s="228"/>
      <c r="J343" s="228"/>
      <c r="K343" s="230"/>
      <c r="L343" s="230"/>
      <c r="M343" s="246"/>
      <c r="N343" s="230"/>
      <c r="O343" s="230"/>
      <c r="P343" s="230"/>
      <c r="Q343" s="230"/>
      <c r="R343" s="256"/>
      <c r="S343" s="257"/>
      <c r="T343" s="228"/>
      <c r="U343" s="228"/>
      <c r="V343" s="245"/>
      <c r="W343" s="254"/>
      <c r="X343" s="254"/>
      <c r="Y343" s="228"/>
      <c r="Z343" s="255"/>
      <c r="AA343" s="248"/>
      <c r="AB343" s="248"/>
      <c r="AC343" s="248"/>
      <c r="AD343" s="247"/>
      <c r="AE343" s="228"/>
      <c r="AF343" s="228"/>
      <c r="AG343" s="248"/>
      <c r="AH343" s="248"/>
      <c r="AI343" s="194"/>
      <c r="AJ343" s="249"/>
      <c r="AK343" s="250"/>
      <c r="AL343" s="251"/>
      <c r="AM343" s="252"/>
      <c r="AN343" s="241"/>
      <c r="AO343" s="241"/>
      <c r="AP343" s="241"/>
      <c r="AQ343" s="194"/>
      <c r="AR343" s="195"/>
      <c r="AS343" s="195"/>
    </row>
    <row r="344" spans="2:45">
      <c r="B344" s="253"/>
      <c r="C344" s="230"/>
      <c r="D344" s="245"/>
      <c r="E344" s="230"/>
      <c r="F344" s="230"/>
      <c r="G344" s="230"/>
      <c r="H344" s="230"/>
      <c r="I344" s="228"/>
      <c r="J344" s="228"/>
      <c r="K344" s="230"/>
      <c r="L344" s="230"/>
      <c r="M344" s="246"/>
      <c r="N344" s="230"/>
      <c r="O344" s="230"/>
      <c r="P344" s="230"/>
      <c r="Q344" s="230"/>
      <c r="R344" s="256"/>
      <c r="S344" s="257"/>
      <c r="T344" s="228"/>
      <c r="U344" s="228"/>
      <c r="V344" s="245"/>
      <c r="W344" s="254"/>
      <c r="X344" s="254"/>
      <c r="Y344" s="228"/>
      <c r="Z344" s="255"/>
      <c r="AA344" s="248"/>
      <c r="AB344" s="248"/>
      <c r="AC344" s="248"/>
      <c r="AD344" s="247"/>
      <c r="AE344" s="228"/>
      <c r="AF344" s="228"/>
      <c r="AG344" s="248"/>
      <c r="AH344" s="248"/>
      <c r="AI344" s="194"/>
      <c r="AJ344" s="249"/>
      <c r="AK344" s="250"/>
      <c r="AL344" s="251"/>
      <c r="AM344" s="252"/>
      <c r="AN344" s="241"/>
      <c r="AO344" s="241"/>
      <c r="AP344" s="241"/>
      <c r="AQ344" s="194"/>
      <c r="AR344" s="195"/>
      <c r="AS344" s="195"/>
    </row>
    <row r="345" spans="2:45">
      <c r="B345" s="253"/>
      <c r="C345" s="230"/>
      <c r="D345" s="245"/>
      <c r="E345" s="230"/>
      <c r="F345" s="230"/>
      <c r="G345" s="230"/>
      <c r="H345" s="230"/>
      <c r="I345" s="228"/>
      <c r="J345" s="228"/>
      <c r="K345" s="230"/>
      <c r="L345" s="230"/>
      <c r="M345" s="246"/>
      <c r="N345" s="230"/>
      <c r="O345" s="230"/>
      <c r="P345" s="230"/>
      <c r="Q345" s="230"/>
      <c r="R345" s="256"/>
      <c r="S345" s="257"/>
      <c r="T345" s="228"/>
      <c r="U345" s="228"/>
      <c r="V345" s="245"/>
      <c r="W345" s="254"/>
      <c r="X345" s="254"/>
      <c r="Y345" s="228"/>
      <c r="Z345" s="255"/>
      <c r="AA345" s="248"/>
      <c r="AB345" s="248"/>
      <c r="AC345" s="248"/>
      <c r="AD345" s="247"/>
      <c r="AE345" s="228"/>
      <c r="AF345" s="228"/>
      <c r="AG345" s="248"/>
      <c r="AH345" s="248"/>
      <c r="AI345" s="194"/>
      <c r="AJ345" s="249"/>
      <c r="AK345" s="250"/>
      <c r="AL345" s="251"/>
      <c r="AM345" s="252"/>
      <c r="AN345" s="241"/>
      <c r="AO345" s="241"/>
      <c r="AP345" s="241"/>
      <c r="AQ345" s="194"/>
      <c r="AR345" s="195"/>
      <c r="AS345" s="195"/>
    </row>
    <row r="346" spans="2:45">
      <c r="B346" s="253"/>
      <c r="C346" s="230"/>
      <c r="D346" s="245"/>
      <c r="E346" s="230"/>
      <c r="F346" s="230"/>
      <c r="G346" s="230"/>
      <c r="H346" s="230"/>
      <c r="I346" s="228"/>
      <c r="J346" s="228"/>
      <c r="K346" s="230"/>
      <c r="L346" s="230"/>
      <c r="M346" s="246"/>
      <c r="N346" s="230"/>
      <c r="O346" s="230"/>
      <c r="P346" s="230"/>
      <c r="Q346" s="230"/>
      <c r="R346" s="256"/>
      <c r="S346" s="257"/>
      <c r="T346" s="228"/>
      <c r="U346" s="228"/>
      <c r="V346" s="245"/>
      <c r="W346" s="254"/>
      <c r="X346" s="254"/>
      <c r="Y346" s="228"/>
      <c r="Z346" s="255"/>
      <c r="AA346" s="248"/>
      <c r="AB346" s="248"/>
      <c r="AC346" s="248"/>
      <c r="AD346" s="247"/>
      <c r="AE346" s="228"/>
      <c r="AF346" s="228"/>
      <c r="AG346" s="248"/>
      <c r="AH346" s="248"/>
      <c r="AI346" s="194"/>
      <c r="AJ346" s="249"/>
      <c r="AK346" s="250"/>
      <c r="AL346" s="251"/>
      <c r="AM346" s="252"/>
      <c r="AN346" s="241"/>
      <c r="AO346" s="241"/>
      <c r="AP346" s="241"/>
      <c r="AQ346" s="194"/>
      <c r="AR346" s="195"/>
      <c r="AS346" s="195"/>
    </row>
    <row r="347" spans="2:45">
      <c r="B347" s="253"/>
      <c r="C347" s="230"/>
      <c r="D347" s="245"/>
      <c r="E347" s="230"/>
      <c r="F347" s="230"/>
      <c r="G347" s="230"/>
      <c r="H347" s="230"/>
      <c r="I347" s="228"/>
      <c r="J347" s="228"/>
      <c r="K347" s="230"/>
      <c r="L347" s="230"/>
      <c r="M347" s="246"/>
      <c r="N347" s="230"/>
      <c r="O347" s="230"/>
      <c r="P347" s="230"/>
      <c r="Q347" s="230"/>
      <c r="R347" s="256"/>
      <c r="S347" s="257"/>
      <c r="T347" s="228"/>
      <c r="U347" s="228"/>
      <c r="V347" s="245"/>
      <c r="W347" s="254"/>
      <c r="X347" s="254"/>
      <c r="Y347" s="228"/>
      <c r="Z347" s="255"/>
      <c r="AA347" s="248"/>
      <c r="AB347" s="248"/>
      <c r="AC347" s="248"/>
      <c r="AD347" s="247"/>
      <c r="AE347" s="228"/>
      <c r="AF347" s="228"/>
      <c r="AG347" s="248"/>
      <c r="AH347" s="248"/>
      <c r="AI347" s="194"/>
      <c r="AJ347" s="249"/>
      <c r="AK347" s="250"/>
      <c r="AL347" s="251"/>
      <c r="AM347" s="252"/>
      <c r="AN347" s="241"/>
      <c r="AO347" s="241"/>
      <c r="AP347" s="241"/>
      <c r="AQ347" s="194"/>
      <c r="AR347" s="195"/>
      <c r="AS347" s="195"/>
    </row>
    <row r="348" spans="2:45">
      <c r="B348" s="253"/>
      <c r="C348" s="230"/>
      <c r="D348" s="245"/>
      <c r="E348" s="230"/>
      <c r="F348" s="230"/>
      <c r="G348" s="230"/>
      <c r="H348" s="230"/>
      <c r="I348" s="228"/>
      <c r="J348" s="228"/>
      <c r="K348" s="230"/>
      <c r="L348" s="230"/>
      <c r="M348" s="246"/>
      <c r="N348" s="230"/>
      <c r="O348" s="230"/>
      <c r="P348" s="230"/>
      <c r="Q348" s="230"/>
      <c r="R348" s="256"/>
      <c r="S348" s="257"/>
      <c r="T348" s="228"/>
      <c r="U348" s="228"/>
      <c r="V348" s="245"/>
      <c r="W348" s="254"/>
      <c r="X348" s="254"/>
      <c r="Y348" s="228"/>
      <c r="Z348" s="255"/>
      <c r="AA348" s="248"/>
      <c r="AB348" s="248"/>
      <c r="AC348" s="248"/>
      <c r="AD348" s="247"/>
      <c r="AE348" s="228"/>
      <c r="AF348" s="228"/>
      <c r="AG348" s="248"/>
      <c r="AH348" s="248"/>
      <c r="AI348" s="194"/>
      <c r="AJ348" s="249"/>
      <c r="AK348" s="250"/>
      <c r="AL348" s="251"/>
      <c r="AM348" s="252"/>
      <c r="AN348" s="241"/>
      <c r="AO348" s="241"/>
      <c r="AP348" s="241"/>
      <c r="AQ348" s="194"/>
      <c r="AR348" s="195"/>
      <c r="AS348" s="195"/>
    </row>
    <row r="349" spans="2:45">
      <c r="B349" s="253"/>
      <c r="C349" s="230"/>
      <c r="D349" s="245"/>
      <c r="E349" s="230"/>
      <c r="F349" s="230"/>
      <c r="G349" s="230"/>
      <c r="H349" s="230"/>
      <c r="I349" s="228"/>
      <c r="J349" s="228"/>
      <c r="K349" s="230"/>
      <c r="L349" s="230"/>
      <c r="M349" s="246"/>
      <c r="N349" s="230"/>
      <c r="O349" s="230"/>
      <c r="P349" s="230"/>
      <c r="Q349" s="230"/>
      <c r="R349" s="256"/>
      <c r="S349" s="257"/>
      <c r="T349" s="228"/>
      <c r="U349" s="228"/>
      <c r="V349" s="245"/>
      <c r="W349" s="254"/>
      <c r="X349" s="254"/>
      <c r="Y349" s="228"/>
      <c r="Z349" s="255"/>
      <c r="AA349" s="248"/>
      <c r="AB349" s="248"/>
      <c r="AC349" s="248"/>
      <c r="AD349" s="247"/>
      <c r="AE349" s="228"/>
      <c r="AF349" s="228"/>
      <c r="AG349" s="248"/>
      <c r="AH349" s="248"/>
      <c r="AI349" s="194"/>
      <c r="AJ349" s="249"/>
      <c r="AK349" s="250"/>
      <c r="AL349" s="251"/>
      <c r="AM349" s="252"/>
      <c r="AN349" s="241"/>
      <c r="AO349" s="241"/>
      <c r="AP349" s="241"/>
      <c r="AQ349" s="194"/>
      <c r="AR349" s="195"/>
      <c r="AS349" s="195"/>
    </row>
    <row r="350" spans="2:45">
      <c r="B350" s="253"/>
      <c r="C350" s="230"/>
      <c r="D350" s="245"/>
      <c r="E350" s="230"/>
      <c r="F350" s="230"/>
      <c r="G350" s="230"/>
      <c r="H350" s="230"/>
      <c r="I350" s="228"/>
      <c r="J350" s="228"/>
      <c r="K350" s="230"/>
      <c r="L350" s="230"/>
      <c r="M350" s="246"/>
      <c r="N350" s="230"/>
      <c r="O350" s="230"/>
      <c r="P350" s="230"/>
      <c r="Q350" s="230"/>
      <c r="R350" s="256"/>
      <c r="S350" s="257"/>
      <c r="T350" s="228"/>
      <c r="U350" s="228"/>
      <c r="V350" s="245"/>
      <c r="W350" s="254"/>
      <c r="X350" s="254"/>
      <c r="Y350" s="228"/>
      <c r="Z350" s="255"/>
      <c r="AA350" s="248"/>
      <c r="AB350" s="248"/>
      <c r="AC350" s="248"/>
      <c r="AD350" s="247"/>
      <c r="AE350" s="228"/>
      <c r="AF350" s="228"/>
      <c r="AG350" s="248"/>
      <c r="AH350" s="248"/>
      <c r="AI350" s="194"/>
      <c r="AJ350" s="249"/>
      <c r="AK350" s="250"/>
      <c r="AL350" s="251"/>
      <c r="AM350" s="252"/>
      <c r="AN350" s="241"/>
      <c r="AO350" s="241"/>
      <c r="AP350" s="241"/>
      <c r="AQ350" s="194"/>
      <c r="AR350" s="195"/>
      <c r="AS350" s="195"/>
    </row>
    <row r="351" spans="2:45">
      <c r="B351" s="253"/>
      <c r="C351" s="230"/>
      <c r="D351" s="245"/>
      <c r="E351" s="230"/>
      <c r="F351" s="230"/>
      <c r="G351" s="230"/>
      <c r="H351" s="230"/>
      <c r="I351" s="228"/>
      <c r="J351" s="228"/>
      <c r="K351" s="230"/>
      <c r="L351" s="230"/>
      <c r="M351" s="246"/>
      <c r="N351" s="230"/>
      <c r="O351" s="230"/>
      <c r="P351" s="230"/>
      <c r="Q351" s="230"/>
      <c r="R351" s="256"/>
      <c r="S351" s="257"/>
      <c r="T351" s="228"/>
      <c r="U351" s="228"/>
      <c r="V351" s="245"/>
      <c r="W351" s="254"/>
      <c r="X351" s="254"/>
      <c r="Y351" s="228"/>
      <c r="Z351" s="255"/>
      <c r="AA351" s="248"/>
      <c r="AB351" s="248"/>
      <c r="AC351" s="248"/>
      <c r="AD351" s="247"/>
      <c r="AE351" s="228"/>
      <c r="AF351" s="228"/>
      <c r="AG351" s="248"/>
      <c r="AH351" s="248"/>
      <c r="AI351" s="194"/>
      <c r="AJ351" s="249"/>
      <c r="AK351" s="250"/>
      <c r="AL351" s="251"/>
      <c r="AM351" s="252"/>
      <c r="AN351" s="241"/>
      <c r="AO351" s="241"/>
      <c r="AP351" s="241"/>
      <c r="AQ351" s="194"/>
      <c r="AR351" s="195"/>
      <c r="AS351" s="195"/>
    </row>
    <row r="352" spans="2:45">
      <c r="B352" s="253"/>
      <c r="C352" s="230"/>
      <c r="D352" s="245"/>
      <c r="E352" s="230"/>
      <c r="F352" s="230"/>
      <c r="G352" s="230"/>
      <c r="H352" s="230"/>
      <c r="I352" s="228"/>
      <c r="J352" s="228"/>
      <c r="K352" s="230"/>
      <c r="L352" s="230"/>
      <c r="M352" s="246"/>
      <c r="N352" s="230"/>
      <c r="O352" s="230"/>
      <c r="P352" s="230"/>
      <c r="Q352" s="230"/>
      <c r="R352" s="256"/>
      <c r="S352" s="257"/>
      <c r="T352" s="228"/>
      <c r="U352" s="228"/>
      <c r="V352" s="245"/>
      <c r="W352" s="254"/>
      <c r="X352" s="254"/>
      <c r="Y352" s="228"/>
      <c r="Z352" s="255"/>
      <c r="AA352" s="248"/>
      <c r="AB352" s="248"/>
      <c r="AC352" s="248"/>
      <c r="AD352" s="247"/>
      <c r="AE352" s="228"/>
      <c r="AF352" s="228"/>
      <c r="AG352" s="248"/>
      <c r="AH352" s="248"/>
      <c r="AI352" s="194"/>
      <c r="AJ352" s="249"/>
      <c r="AK352" s="250"/>
      <c r="AL352" s="251"/>
      <c r="AM352" s="252"/>
      <c r="AN352" s="241"/>
      <c r="AO352" s="241"/>
      <c r="AP352" s="241"/>
      <c r="AQ352" s="194"/>
      <c r="AR352" s="195"/>
      <c r="AS352" s="195"/>
    </row>
    <row r="353" spans="2:45">
      <c r="B353" s="253"/>
      <c r="C353" s="230"/>
      <c r="D353" s="245"/>
      <c r="E353" s="230"/>
      <c r="F353" s="230"/>
      <c r="G353" s="230"/>
      <c r="H353" s="230"/>
      <c r="I353" s="228"/>
      <c r="J353" s="228"/>
      <c r="K353" s="230"/>
      <c r="L353" s="230"/>
      <c r="M353" s="246"/>
      <c r="N353" s="230"/>
      <c r="O353" s="230"/>
      <c r="P353" s="230"/>
      <c r="Q353" s="230"/>
      <c r="R353" s="256"/>
      <c r="S353" s="257"/>
      <c r="T353" s="228"/>
      <c r="U353" s="228"/>
      <c r="V353" s="245"/>
      <c r="W353" s="254"/>
      <c r="X353" s="254"/>
      <c r="Y353" s="228"/>
      <c r="Z353" s="255"/>
      <c r="AA353" s="248"/>
      <c r="AB353" s="248"/>
      <c r="AC353" s="248"/>
      <c r="AD353" s="247"/>
      <c r="AE353" s="228"/>
      <c r="AF353" s="228"/>
      <c r="AG353" s="248"/>
      <c r="AH353" s="248"/>
      <c r="AI353" s="194"/>
      <c r="AJ353" s="249"/>
      <c r="AK353" s="250"/>
      <c r="AL353" s="251"/>
      <c r="AM353" s="252"/>
      <c r="AN353" s="241"/>
      <c r="AO353" s="241"/>
      <c r="AP353" s="241"/>
      <c r="AQ353" s="194"/>
      <c r="AR353" s="195"/>
      <c r="AS353" s="195"/>
    </row>
    <row r="354" spans="2:45">
      <c r="B354" s="253"/>
      <c r="C354" s="230"/>
      <c r="D354" s="245"/>
      <c r="E354" s="230"/>
      <c r="F354" s="230"/>
      <c r="G354" s="230"/>
      <c r="H354" s="230"/>
      <c r="I354" s="228"/>
      <c r="J354" s="228"/>
      <c r="K354" s="230"/>
      <c r="L354" s="230"/>
      <c r="M354" s="246"/>
      <c r="N354" s="230"/>
      <c r="O354" s="230"/>
      <c r="P354" s="230"/>
      <c r="Q354" s="230"/>
      <c r="R354" s="256"/>
      <c r="S354" s="257"/>
      <c r="T354" s="228"/>
      <c r="U354" s="228"/>
      <c r="V354" s="245"/>
      <c r="W354" s="254"/>
      <c r="X354" s="254"/>
      <c r="Y354" s="228"/>
      <c r="Z354" s="255"/>
      <c r="AA354" s="248"/>
      <c r="AB354" s="248"/>
      <c r="AC354" s="248"/>
      <c r="AD354" s="247"/>
      <c r="AE354" s="228"/>
      <c r="AF354" s="228"/>
      <c r="AG354" s="248"/>
      <c r="AH354" s="248"/>
      <c r="AI354" s="194"/>
      <c r="AJ354" s="249"/>
      <c r="AK354" s="250"/>
      <c r="AL354" s="251"/>
      <c r="AM354" s="252"/>
      <c r="AN354" s="241"/>
      <c r="AO354" s="241"/>
      <c r="AP354" s="241"/>
      <c r="AQ354" s="194"/>
      <c r="AR354" s="195"/>
      <c r="AS354" s="195"/>
    </row>
    <row r="355" spans="2:45">
      <c r="B355" s="253"/>
      <c r="C355" s="230"/>
      <c r="D355" s="245"/>
      <c r="E355" s="230"/>
      <c r="F355" s="230"/>
      <c r="G355" s="230"/>
      <c r="H355" s="230"/>
      <c r="I355" s="228"/>
      <c r="J355" s="228"/>
      <c r="K355" s="230"/>
      <c r="L355" s="230"/>
      <c r="M355" s="246"/>
      <c r="N355" s="230"/>
      <c r="O355" s="230"/>
      <c r="P355" s="230"/>
      <c r="Q355" s="230"/>
      <c r="R355" s="256"/>
      <c r="S355" s="257"/>
      <c r="T355" s="228"/>
      <c r="U355" s="228"/>
      <c r="V355" s="245"/>
      <c r="W355" s="254"/>
      <c r="X355" s="254"/>
      <c r="Y355" s="228"/>
      <c r="Z355" s="255"/>
      <c r="AA355" s="248"/>
      <c r="AB355" s="248"/>
      <c r="AC355" s="248"/>
      <c r="AD355" s="247"/>
      <c r="AE355" s="228"/>
      <c r="AF355" s="228"/>
      <c r="AG355" s="248"/>
      <c r="AH355" s="248"/>
      <c r="AI355" s="194"/>
      <c r="AJ355" s="249"/>
      <c r="AK355" s="250"/>
      <c r="AL355" s="251"/>
      <c r="AM355" s="252"/>
      <c r="AN355" s="241"/>
      <c r="AO355" s="241"/>
      <c r="AP355" s="241"/>
      <c r="AQ355" s="194"/>
      <c r="AR355" s="195"/>
      <c r="AS355" s="195"/>
    </row>
    <row r="356" spans="2:45">
      <c r="B356" s="253"/>
      <c r="C356" s="230"/>
      <c r="D356" s="245"/>
      <c r="E356" s="230"/>
      <c r="F356" s="230"/>
      <c r="G356" s="230"/>
      <c r="H356" s="230"/>
      <c r="I356" s="228"/>
      <c r="J356" s="228"/>
      <c r="K356" s="230"/>
      <c r="L356" s="230"/>
      <c r="M356" s="246"/>
      <c r="N356" s="230"/>
      <c r="O356" s="230"/>
      <c r="P356" s="230"/>
      <c r="Q356" s="230"/>
      <c r="R356" s="256"/>
      <c r="S356" s="257"/>
      <c r="T356" s="228"/>
      <c r="U356" s="228"/>
      <c r="V356" s="245"/>
      <c r="W356" s="254"/>
      <c r="X356" s="254"/>
      <c r="Y356" s="228"/>
      <c r="Z356" s="255"/>
      <c r="AA356" s="248"/>
      <c r="AB356" s="248"/>
      <c r="AC356" s="248"/>
      <c r="AD356" s="247"/>
      <c r="AE356" s="228"/>
      <c r="AF356" s="228"/>
      <c r="AG356" s="248"/>
      <c r="AH356" s="248"/>
      <c r="AI356" s="194"/>
      <c r="AJ356" s="249"/>
      <c r="AK356" s="250"/>
      <c r="AL356" s="251"/>
      <c r="AM356" s="252"/>
      <c r="AN356" s="241"/>
      <c r="AO356" s="241"/>
      <c r="AP356" s="241"/>
      <c r="AQ356" s="194"/>
      <c r="AR356" s="195"/>
      <c r="AS356" s="195"/>
    </row>
    <row r="357" spans="2:45">
      <c r="B357" s="253"/>
      <c r="C357" s="230"/>
      <c r="D357" s="245"/>
      <c r="E357" s="230"/>
      <c r="F357" s="230"/>
      <c r="G357" s="230"/>
      <c r="H357" s="230"/>
      <c r="I357" s="228"/>
      <c r="J357" s="228"/>
      <c r="K357" s="230"/>
      <c r="L357" s="230"/>
      <c r="M357" s="246"/>
      <c r="N357" s="230"/>
      <c r="O357" s="230"/>
      <c r="P357" s="230"/>
      <c r="Q357" s="230"/>
      <c r="R357" s="256"/>
      <c r="S357" s="257"/>
      <c r="T357" s="228"/>
      <c r="U357" s="228"/>
      <c r="V357" s="245"/>
      <c r="W357" s="254"/>
      <c r="X357" s="254"/>
      <c r="Y357" s="228"/>
      <c r="Z357" s="255"/>
      <c r="AA357" s="248"/>
      <c r="AB357" s="248"/>
      <c r="AC357" s="248"/>
      <c r="AD357" s="247"/>
      <c r="AE357" s="228"/>
      <c r="AF357" s="228"/>
      <c r="AG357" s="248"/>
      <c r="AH357" s="248"/>
      <c r="AI357" s="194"/>
      <c r="AJ357" s="249"/>
      <c r="AK357" s="250"/>
      <c r="AL357" s="251"/>
      <c r="AM357" s="252"/>
      <c r="AN357" s="241"/>
      <c r="AO357" s="241"/>
      <c r="AP357" s="241"/>
      <c r="AQ357" s="194"/>
      <c r="AR357" s="195"/>
      <c r="AS357" s="195"/>
    </row>
    <row r="358" spans="2:45">
      <c r="B358" s="253"/>
      <c r="C358" s="230"/>
      <c r="D358" s="245"/>
      <c r="E358" s="230"/>
      <c r="F358" s="230"/>
      <c r="G358" s="230"/>
      <c r="H358" s="230"/>
      <c r="I358" s="228"/>
      <c r="J358" s="228"/>
      <c r="K358" s="230"/>
      <c r="L358" s="230"/>
      <c r="M358" s="246"/>
      <c r="N358" s="230"/>
      <c r="O358" s="230"/>
      <c r="P358" s="230"/>
      <c r="Q358" s="230"/>
      <c r="R358" s="256"/>
      <c r="S358" s="257"/>
      <c r="T358" s="228"/>
      <c r="U358" s="228"/>
      <c r="V358" s="245"/>
      <c r="W358" s="254"/>
      <c r="X358" s="254"/>
      <c r="Y358" s="228"/>
      <c r="Z358" s="255"/>
      <c r="AA358" s="248"/>
      <c r="AB358" s="248"/>
      <c r="AC358" s="248"/>
      <c r="AD358" s="247"/>
      <c r="AE358" s="228"/>
      <c r="AF358" s="228"/>
      <c r="AG358" s="248"/>
      <c r="AH358" s="248"/>
      <c r="AI358" s="194"/>
      <c r="AJ358" s="249"/>
      <c r="AK358" s="250"/>
      <c r="AL358" s="251"/>
      <c r="AM358" s="252"/>
      <c r="AN358" s="241"/>
      <c r="AO358" s="241"/>
      <c r="AP358" s="241"/>
      <c r="AQ358" s="194"/>
      <c r="AR358" s="195"/>
      <c r="AS358" s="195"/>
    </row>
    <row r="359" spans="2:45">
      <c r="B359" s="253"/>
      <c r="C359" s="230"/>
      <c r="D359" s="245"/>
      <c r="E359" s="230"/>
      <c r="F359" s="230"/>
      <c r="G359" s="230"/>
      <c r="H359" s="230"/>
      <c r="I359" s="228"/>
      <c r="J359" s="228"/>
      <c r="K359" s="230"/>
      <c r="L359" s="230"/>
      <c r="M359" s="246"/>
      <c r="N359" s="230"/>
      <c r="O359" s="230"/>
      <c r="P359" s="230"/>
      <c r="Q359" s="230"/>
      <c r="R359" s="256"/>
      <c r="S359" s="257"/>
      <c r="T359" s="228"/>
      <c r="U359" s="228"/>
      <c r="V359" s="245"/>
      <c r="W359" s="254"/>
      <c r="X359" s="254"/>
      <c r="Y359" s="228"/>
      <c r="Z359" s="255"/>
      <c r="AA359" s="248"/>
      <c r="AB359" s="248"/>
      <c r="AC359" s="248"/>
      <c r="AD359" s="247"/>
      <c r="AE359" s="228"/>
      <c r="AF359" s="228"/>
      <c r="AG359" s="248"/>
      <c r="AH359" s="248"/>
      <c r="AI359" s="194"/>
      <c r="AJ359" s="249"/>
      <c r="AK359" s="250"/>
      <c r="AL359" s="251"/>
      <c r="AM359" s="252"/>
      <c r="AN359" s="241"/>
      <c r="AO359" s="241"/>
      <c r="AP359" s="241"/>
      <c r="AQ359" s="194"/>
      <c r="AR359" s="195"/>
      <c r="AS359" s="195"/>
    </row>
    <row r="360" spans="2:45">
      <c r="B360" s="253"/>
      <c r="C360" s="230"/>
      <c r="D360" s="245"/>
      <c r="E360" s="230"/>
      <c r="F360" s="230"/>
      <c r="G360" s="230"/>
      <c r="H360" s="230"/>
      <c r="I360" s="228"/>
      <c r="J360" s="228"/>
      <c r="K360" s="230"/>
      <c r="L360" s="230"/>
      <c r="M360" s="246"/>
      <c r="N360" s="230"/>
      <c r="O360" s="230"/>
      <c r="P360" s="230"/>
      <c r="Q360" s="230"/>
      <c r="R360" s="256"/>
      <c r="S360" s="257"/>
      <c r="T360" s="228"/>
      <c r="U360" s="228"/>
      <c r="V360" s="245"/>
      <c r="W360" s="254"/>
      <c r="X360" s="254"/>
      <c r="Y360" s="228"/>
      <c r="Z360" s="255"/>
      <c r="AA360" s="248"/>
      <c r="AB360" s="248"/>
      <c r="AC360" s="248"/>
      <c r="AD360" s="247"/>
      <c r="AE360" s="228"/>
      <c r="AF360" s="228"/>
      <c r="AG360" s="248"/>
      <c r="AH360" s="248"/>
      <c r="AI360" s="194"/>
      <c r="AJ360" s="249"/>
      <c r="AK360" s="250"/>
      <c r="AL360" s="251"/>
      <c r="AM360" s="252"/>
      <c r="AN360" s="241"/>
      <c r="AO360" s="241"/>
      <c r="AP360" s="241"/>
      <c r="AQ360" s="194"/>
      <c r="AR360" s="195"/>
      <c r="AS360" s="195"/>
    </row>
    <row r="361" spans="2:45">
      <c r="B361" s="253"/>
      <c r="C361" s="230"/>
      <c r="D361" s="245"/>
      <c r="E361" s="230"/>
      <c r="F361" s="230"/>
      <c r="G361" s="230"/>
      <c r="H361" s="230"/>
      <c r="I361" s="228"/>
      <c r="J361" s="228"/>
      <c r="K361" s="230"/>
      <c r="L361" s="230"/>
      <c r="M361" s="246"/>
      <c r="N361" s="230"/>
      <c r="O361" s="230"/>
      <c r="P361" s="230"/>
      <c r="Q361" s="230"/>
      <c r="R361" s="256"/>
      <c r="S361" s="257"/>
      <c r="T361" s="228"/>
      <c r="U361" s="228"/>
      <c r="V361" s="245"/>
      <c r="W361" s="254"/>
      <c r="X361" s="254"/>
      <c r="Y361" s="228"/>
      <c r="Z361" s="255"/>
      <c r="AA361" s="248"/>
      <c r="AB361" s="248"/>
      <c r="AC361" s="248"/>
      <c r="AD361" s="247"/>
      <c r="AE361" s="228"/>
      <c r="AF361" s="228"/>
      <c r="AG361" s="248"/>
      <c r="AH361" s="248"/>
      <c r="AI361" s="194"/>
      <c r="AJ361" s="249"/>
      <c r="AK361" s="250"/>
      <c r="AL361" s="251"/>
      <c r="AM361" s="252"/>
      <c r="AN361" s="241"/>
      <c r="AO361" s="241"/>
      <c r="AP361" s="241"/>
      <c r="AQ361" s="194"/>
      <c r="AR361" s="195"/>
      <c r="AS361" s="195"/>
    </row>
    <row r="362" spans="2:45">
      <c r="B362" s="253"/>
      <c r="C362" s="230"/>
      <c r="D362" s="245"/>
      <c r="E362" s="230"/>
      <c r="F362" s="230"/>
      <c r="G362" s="230"/>
      <c r="H362" s="230"/>
      <c r="I362" s="228"/>
      <c r="J362" s="228"/>
      <c r="K362" s="230"/>
      <c r="L362" s="230"/>
      <c r="M362" s="246"/>
      <c r="N362" s="230"/>
      <c r="O362" s="230"/>
      <c r="P362" s="230"/>
      <c r="Q362" s="230"/>
      <c r="R362" s="256"/>
      <c r="S362" s="257"/>
      <c r="T362" s="228"/>
      <c r="U362" s="228"/>
      <c r="V362" s="245"/>
      <c r="W362" s="254"/>
      <c r="X362" s="254"/>
      <c r="Y362" s="228"/>
      <c r="Z362" s="255"/>
      <c r="AA362" s="248"/>
      <c r="AB362" s="248"/>
      <c r="AC362" s="248"/>
      <c r="AD362" s="247"/>
      <c r="AE362" s="228"/>
      <c r="AF362" s="228"/>
      <c r="AG362" s="248"/>
      <c r="AH362" s="248"/>
      <c r="AI362" s="194"/>
      <c r="AJ362" s="249"/>
      <c r="AK362" s="250"/>
      <c r="AL362" s="251"/>
      <c r="AM362" s="252"/>
      <c r="AN362" s="241"/>
      <c r="AO362" s="241"/>
      <c r="AP362" s="241"/>
      <c r="AQ362" s="194"/>
      <c r="AR362" s="195"/>
      <c r="AS362" s="195"/>
    </row>
    <row r="363" spans="2:45">
      <c r="B363" s="253"/>
      <c r="C363" s="230"/>
      <c r="D363" s="245"/>
      <c r="E363" s="230"/>
      <c r="F363" s="230"/>
      <c r="G363" s="230"/>
      <c r="H363" s="230"/>
      <c r="I363" s="228"/>
      <c r="J363" s="228"/>
      <c r="K363" s="230"/>
      <c r="L363" s="230"/>
      <c r="M363" s="246"/>
      <c r="N363" s="230"/>
      <c r="O363" s="230"/>
      <c r="P363" s="230"/>
      <c r="Q363" s="230"/>
      <c r="R363" s="256"/>
      <c r="S363" s="257"/>
      <c r="T363" s="228"/>
      <c r="U363" s="228"/>
      <c r="V363" s="245"/>
      <c r="W363" s="254"/>
      <c r="X363" s="254"/>
      <c r="Y363" s="228"/>
      <c r="Z363" s="255"/>
      <c r="AA363" s="248"/>
      <c r="AB363" s="248"/>
      <c r="AC363" s="248"/>
      <c r="AD363" s="247"/>
      <c r="AE363" s="228"/>
      <c r="AF363" s="228"/>
      <c r="AG363" s="248"/>
      <c r="AH363" s="248"/>
      <c r="AI363" s="194"/>
      <c r="AJ363" s="249"/>
      <c r="AK363" s="250"/>
      <c r="AL363" s="251"/>
      <c r="AM363" s="252"/>
      <c r="AN363" s="241"/>
      <c r="AO363" s="241"/>
      <c r="AP363" s="241"/>
      <c r="AQ363" s="194"/>
      <c r="AR363" s="195"/>
      <c r="AS363" s="195"/>
    </row>
    <row r="364" spans="2:45">
      <c r="B364" s="253"/>
      <c r="C364" s="230"/>
      <c r="D364" s="245"/>
      <c r="E364" s="230"/>
      <c r="F364" s="230"/>
      <c r="G364" s="230"/>
      <c r="H364" s="230"/>
      <c r="I364" s="228"/>
      <c r="J364" s="228"/>
      <c r="K364" s="230"/>
      <c r="L364" s="230"/>
      <c r="M364" s="246"/>
      <c r="N364" s="230"/>
      <c r="O364" s="230"/>
      <c r="P364" s="230"/>
      <c r="Q364" s="230"/>
      <c r="R364" s="256"/>
      <c r="S364" s="257"/>
      <c r="T364" s="228"/>
      <c r="U364" s="228"/>
      <c r="V364" s="245"/>
      <c r="W364" s="254"/>
      <c r="X364" s="254"/>
      <c r="Y364" s="228"/>
      <c r="Z364" s="255"/>
      <c r="AA364" s="248"/>
      <c r="AB364" s="248"/>
      <c r="AC364" s="248"/>
      <c r="AD364" s="247"/>
      <c r="AE364" s="228"/>
      <c r="AF364" s="228"/>
      <c r="AG364" s="248"/>
      <c r="AH364" s="248"/>
      <c r="AI364" s="194"/>
      <c r="AJ364" s="249"/>
      <c r="AK364" s="250"/>
      <c r="AL364" s="251"/>
      <c r="AM364" s="252"/>
      <c r="AN364" s="241"/>
      <c r="AO364" s="241"/>
      <c r="AP364" s="241"/>
      <c r="AQ364" s="194"/>
      <c r="AR364" s="195"/>
      <c r="AS364" s="195"/>
    </row>
    <row r="365" spans="2:45">
      <c r="B365" s="253"/>
      <c r="C365" s="230"/>
      <c r="D365" s="245"/>
      <c r="E365" s="230"/>
      <c r="F365" s="230"/>
      <c r="G365" s="230"/>
      <c r="H365" s="230"/>
      <c r="I365" s="228"/>
      <c r="J365" s="228"/>
      <c r="K365" s="230"/>
      <c r="L365" s="230"/>
      <c r="M365" s="246"/>
      <c r="N365" s="230"/>
      <c r="O365" s="230"/>
      <c r="P365" s="230"/>
      <c r="Q365" s="230"/>
      <c r="R365" s="256"/>
      <c r="S365" s="257"/>
      <c r="T365" s="228"/>
      <c r="U365" s="228"/>
      <c r="V365" s="245"/>
      <c r="W365" s="254"/>
      <c r="X365" s="254"/>
      <c r="Y365" s="228"/>
      <c r="Z365" s="255"/>
      <c r="AA365" s="248"/>
      <c r="AB365" s="248"/>
      <c r="AC365" s="248"/>
      <c r="AD365" s="247"/>
      <c r="AE365" s="228"/>
      <c r="AF365" s="228"/>
      <c r="AG365" s="248"/>
      <c r="AH365" s="248"/>
      <c r="AI365" s="194"/>
      <c r="AJ365" s="249"/>
      <c r="AK365" s="250"/>
      <c r="AL365" s="251"/>
      <c r="AM365" s="252"/>
      <c r="AN365" s="241"/>
      <c r="AO365" s="241"/>
      <c r="AP365" s="241"/>
      <c r="AQ365" s="194"/>
      <c r="AR365" s="195"/>
      <c r="AS365" s="195"/>
    </row>
    <row r="366" spans="2:45">
      <c r="B366" s="253"/>
      <c r="C366" s="230"/>
      <c r="D366" s="245"/>
      <c r="E366" s="230"/>
      <c r="F366" s="230"/>
      <c r="G366" s="230"/>
      <c r="H366" s="230"/>
      <c r="I366" s="228"/>
      <c r="J366" s="228"/>
      <c r="K366" s="230"/>
      <c r="L366" s="230"/>
      <c r="M366" s="246"/>
      <c r="N366" s="230"/>
      <c r="O366" s="230"/>
      <c r="P366" s="230"/>
      <c r="Q366" s="230"/>
      <c r="R366" s="256"/>
      <c r="S366" s="257"/>
      <c r="T366" s="228"/>
      <c r="U366" s="228"/>
      <c r="V366" s="245"/>
      <c r="W366" s="254"/>
      <c r="X366" s="254"/>
      <c r="Y366" s="228"/>
      <c r="Z366" s="255"/>
      <c r="AA366" s="248"/>
      <c r="AB366" s="248"/>
      <c r="AC366" s="248"/>
      <c r="AD366" s="247"/>
      <c r="AE366" s="228"/>
      <c r="AF366" s="228"/>
      <c r="AG366" s="248"/>
      <c r="AH366" s="248"/>
      <c r="AI366" s="194"/>
      <c r="AJ366" s="249"/>
      <c r="AK366" s="250"/>
      <c r="AL366" s="251"/>
      <c r="AM366" s="252"/>
      <c r="AN366" s="241"/>
      <c r="AO366" s="241"/>
      <c r="AP366" s="241"/>
      <c r="AQ366" s="194"/>
      <c r="AR366" s="195"/>
      <c r="AS366" s="195"/>
    </row>
    <row r="367" spans="2:45">
      <c r="B367" s="253"/>
      <c r="C367" s="230"/>
      <c r="D367" s="245"/>
      <c r="E367" s="230"/>
      <c r="F367" s="230"/>
      <c r="G367" s="230"/>
      <c r="H367" s="230"/>
      <c r="I367" s="228"/>
      <c r="J367" s="228"/>
      <c r="K367" s="230"/>
      <c r="L367" s="230"/>
      <c r="M367" s="246"/>
      <c r="N367" s="230"/>
      <c r="O367" s="230"/>
      <c r="P367" s="230"/>
      <c r="Q367" s="230"/>
      <c r="R367" s="256"/>
      <c r="S367" s="257"/>
      <c r="T367" s="228"/>
      <c r="U367" s="228"/>
      <c r="V367" s="245"/>
      <c r="W367" s="254"/>
      <c r="X367" s="254"/>
      <c r="Y367" s="228"/>
      <c r="Z367" s="255"/>
      <c r="AA367" s="248"/>
      <c r="AB367" s="248"/>
      <c r="AC367" s="248"/>
      <c r="AD367" s="247"/>
      <c r="AE367" s="228"/>
      <c r="AF367" s="228"/>
      <c r="AG367" s="248"/>
      <c r="AH367" s="248"/>
      <c r="AI367" s="194"/>
      <c r="AJ367" s="249"/>
      <c r="AK367" s="250"/>
      <c r="AL367" s="251"/>
      <c r="AM367" s="252"/>
      <c r="AN367" s="241"/>
      <c r="AO367" s="241"/>
      <c r="AP367" s="241"/>
      <c r="AQ367" s="194"/>
      <c r="AR367" s="195"/>
      <c r="AS367" s="195"/>
    </row>
    <row r="368" spans="2:45">
      <c r="B368" s="253"/>
      <c r="C368" s="230"/>
      <c r="D368" s="245"/>
      <c r="E368" s="230"/>
      <c r="F368" s="230"/>
      <c r="G368" s="230"/>
      <c r="H368" s="230"/>
      <c r="I368" s="228"/>
      <c r="J368" s="228"/>
      <c r="K368" s="230"/>
      <c r="L368" s="230"/>
      <c r="M368" s="246"/>
      <c r="N368" s="230"/>
      <c r="O368" s="230"/>
      <c r="P368" s="230"/>
      <c r="Q368" s="230"/>
      <c r="R368" s="256"/>
      <c r="S368" s="257"/>
      <c r="T368" s="228"/>
      <c r="U368" s="228"/>
      <c r="V368" s="245"/>
      <c r="W368" s="254"/>
      <c r="X368" s="254"/>
      <c r="Y368" s="228"/>
      <c r="Z368" s="255"/>
      <c r="AA368" s="248"/>
      <c r="AB368" s="248"/>
      <c r="AC368" s="248"/>
      <c r="AD368" s="247"/>
      <c r="AE368" s="228"/>
      <c r="AF368" s="228"/>
      <c r="AG368" s="248"/>
      <c r="AH368" s="248"/>
      <c r="AI368" s="194"/>
      <c r="AJ368" s="249"/>
      <c r="AK368" s="250"/>
      <c r="AL368" s="251"/>
      <c r="AM368" s="252"/>
      <c r="AN368" s="241"/>
      <c r="AO368" s="241"/>
      <c r="AP368" s="241"/>
      <c r="AQ368" s="194"/>
      <c r="AR368" s="195"/>
      <c r="AS368" s="195"/>
    </row>
    <row r="369" spans="2:45">
      <c r="B369" s="253"/>
      <c r="C369" s="230"/>
      <c r="D369" s="245"/>
      <c r="E369" s="230"/>
      <c r="F369" s="230"/>
      <c r="G369" s="230"/>
      <c r="H369" s="230"/>
      <c r="I369" s="228"/>
      <c r="J369" s="228"/>
      <c r="K369" s="230"/>
      <c r="L369" s="230"/>
      <c r="M369" s="246"/>
      <c r="N369" s="230"/>
      <c r="O369" s="230"/>
      <c r="P369" s="230"/>
      <c r="Q369" s="230"/>
      <c r="R369" s="256"/>
      <c r="S369" s="257"/>
      <c r="T369" s="228"/>
      <c r="U369" s="228"/>
      <c r="V369" s="258"/>
      <c r="W369" s="254"/>
      <c r="X369" s="254"/>
      <c r="Y369" s="228"/>
      <c r="Z369" s="255"/>
      <c r="AA369" s="248"/>
      <c r="AB369" s="248"/>
      <c r="AC369" s="248"/>
      <c r="AD369" s="247"/>
      <c r="AE369" s="228"/>
      <c r="AF369" s="228"/>
      <c r="AG369" s="248"/>
      <c r="AH369" s="248"/>
      <c r="AI369" s="194"/>
      <c r="AJ369" s="249"/>
      <c r="AK369" s="250"/>
      <c r="AL369" s="251"/>
      <c r="AM369" s="252"/>
      <c r="AN369" s="241"/>
      <c r="AO369" s="241"/>
      <c r="AP369" s="241"/>
      <c r="AQ369" s="194"/>
      <c r="AR369" s="195"/>
      <c r="AS369" s="195"/>
    </row>
    <row r="370" spans="2:45">
      <c r="B370" s="253"/>
      <c r="C370" s="230"/>
      <c r="D370" s="245"/>
      <c r="E370" s="230"/>
      <c r="F370" s="230"/>
      <c r="G370" s="230"/>
      <c r="H370" s="230"/>
      <c r="I370" s="228"/>
      <c r="J370" s="228"/>
      <c r="K370" s="230"/>
      <c r="L370" s="230"/>
      <c r="M370" s="246"/>
      <c r="N370" s="230"/>
      <c r="O370" s="230"/>
      <c r="P370" s="230"/>
      <c r="Q370" s="230"/>
      <c r="R370" s="256"/>
      <c r="S370" s="257"/>
      <c r="T370" s="228"/>
      <c r="U370" s="228"/>
      <c r="V370" s="258"/>
      <c r="W370" s="254"/>
      <c r="X370" s="254"/>
      <c r="Y370" s="228"/>
      <c r="Z370" s="255"/>
      <c r="AA370" s="248"/>
      <c r="AB370" s="248"/>
      <c r="AC370" s="248"/>
      <c r="AD370" s="247"/>
      <c r="AE370" s="228"/>
      <c r="AF370" s="228"/>
      <c r="AG370" s="248"/>
      <c r="AH370" s="248"/>
      <c r="AI370" s="194"/>
      <c r="AJ370" s="249"/>
      <c r="AK370" s="250"/>
      <c r="AL370" s="251"/>
      <c r="AM370" s="252"/>
      <c r="AN370" s="241"/>
      <c r="AO370" s="241"/>
      <c r="AP370" s="241"/>
      <c r="AQ370" s="194"/>
      <c r="AR370" s="195"/>
      <c r="AS370" s="195"/>
    </row>
    <row r="371" spans="2:45">
      <c r="B371" s="253"/>
      <c r="C371" s="230"/>
      <c r="D371" s="245"/>
      <c r="E371" s="230"/>
      <c r="F371" s="230"/>
      <c r="G371" s="230"/>
      <c r="H371" s="230"/>
      <c r="I371" s="228"/>
      <c r="J371" s="228"/>
      <c r="K371" s="230"/>
      <c r="L371" s="230"/>
      <c r="M371" s="246"/>
      <c r="N371" s="230"/>
      <c r="O371" s="230"/>
      <c r="P371" s="230"/>
      <c r="Q371" s="230"/>
      <c r="R371" s="256"/>
      <c r="S371" s="257"/>
      <c r="T371" s="228"/>
      <c r="U371" s="228"/>
      <c r="V371" s="258"/>
      <c r="W371" s="254"/>
      <c r="X371" s="254"/>
      <c r="Y371" s="228"/>
      <c r="Z371" s="255"/>
      <c r="AA371" s="248"/>
      <c r="AB371" s="248"/>
      <c r="AC371" s="248"/>
      <c r="AD371" s="247"/>
      <c r="AE371" s="228"/>
      <c r="AF371" s="228"/>
      <c r="AG371" s="248"/>
      <c r="AH371" s="248"/>
      <c r="AI371" s="194"/>
      <c r="AJ371" s="249"/>
      <c r="AK371" s="250"/>
      <c r="AL371" s="251"/>
      <c r="AM371" s="252"/>
      <c r="AN371" s="241"/>
      <c r="AO371" s="241"/>
      <c r="AP371" s="241"/>
      <c r="AQ371" s="194"/>
      <c r="AR371" s="195"/>
      <c r="AS371" s="195"/>
    </row>
    <row r="372" spans="2:45">
      <c r="B372" s="253"/>
      <c r="C372" s="230"/>
      <c r="D372" s="245"/>
      <c r="E372" s="230"/>
      <c r="F372" s="230"/>
      <c r="G372" s="230"/>
      <c r="H372" s="230"/>
      <c r="I372" s="228"/>
      <c r="J372" s="228"/>
      <c r="K372" s="230"/>
      <c r="L372" s="230"/>
      <c r="M372" s="246"/>
      <c r="N372" s="230"/>
      <c r="O372" s="230"/>
      <c r="P372" s="230"/>
      <c r="Q372" s="230"/>
      <c r="R372" s="256"/>
      <c r="S372" s="257"/>
      <c r="T372" s="228"/>
      <c r="U372" s="228"/>
      <c r="V372" s="258"/>
      <c r="W372" s="254"/>
      <c r="X372" s="254"/>
      <c r="Y372" s="228"/>
      <c r="Z372" s="255"/>
      <c r="AA372" s="248"/>
      <c r="AB372" s="248"/>
      <c r="AC372" s="248"/>
      <c r="AD372" s="247"/>
      <c r="AE372" s="228"/>
      <c r="AF372" s="228"/>
      <c r="AG372" s="248"/>
      <c r="AH372" s="248"/>
      <c r="AI372" s="194"/>
      <c r="AJ372" s="249"/>
      <c r="AK372" s="250"/>
      <c r="AL372" s="251"/>
      <c r="AM372" s="252"/>
      <c r="AN372" s="241"/>
      <c r="AO372" s="241"/>
      <c r="AP372" s="241"/>
      <c r="AQ372" s="194"/>
      <c r="AR372" s="195"/>
      <c r="AS372" s="195"/>
    </row>
    <row r="373" spans="2:45">
      <c r="B373" s="253"/>
      <c r="C373" s="230"/>
      <c r="D373" s="245"/>
      <c r="E373" s="230"/>
      <c r="F373" s="230"/>
      <c r="G373" s="230"/>
      <c r="H373" s="230"/>
      <c r="I373" s="228"/>
      <c r="J373" s="228"/>
      <c r="K373" s="230"/>
      <c r="L373" s="230"/>
      <c r="M373" s="246"/>
      <c r="N373" s="230"/>
      <c r="O373" s="230"/>
      <c r="P373" s="230"/>
      <c r="Q373" s="230"/>
      <c r="R373" s="256"/>
      <c r="S373" s="257"/>
      <c r="T373" s="228"/>
      <c r="U373" s="228"/>
      <c r="V373" s="258"/>
      <c r="W373" s="254"/>
      <c r="X373" s="254"/>
      <c r="Y373" s="228"/>
      <c r="Z373" s="255"/>
      <c r="AA373" s="248"/>
      <c r="AB373" s="248"/>
      <c r="AC373" s="248"/>
      <c r="AD373" s="247"/>
      <c r="AE373" s="228"/>
      <c r="AF373" s="228"/>
      <c r="AG373" s="248"/>
      <c r="AH373" s="248"/>
      <c r="AI373" s="194"/>
      <c r="AJ373" s="249"/>
      <c r="AK373" s="250"/>
      <c r="AL373" s="251"/>
      <c r="AM373" s="252"/>
      <c r="AN373" s="241"/>
      <c r="AO373" s="241"/>
      <c r="AP373" s="241"/>
      <c r="AQ373" s="194"/>
      <c r="AR373" s="195"/>
      <c r="AS373" s="195"/>
    </row>
    <row r="374" spans="2:45">
      <c r="B374" s="253"/>
      <c r="C374" s="230"/>
      <c r="D374" s="245"/>
      <c r="E374" s="230"/>
      <c r="F374" s="230"/>
      <c r="G374" s="230"/>
      <c r="H374" s="230"/>
      <c r="I374" s="228"/>
      <c r="J374" s="228"/>
      <c r="K374" s="230"/>
      <c r="L374" s="230"/>
      <c r="M374" s="246"/>
      <c r="N374" s="230"/>
      <c r="O374" s="230"/>
      <c r="P374" s="230"/>
      <c r="Q374" s="230"/>
      <c r="R374" s="256"/>
      <c r="S374" s="257"/>
      <c r="T374" s="228"/>
      <c r="U374" s="228"/>
      <c r="V374" s="258"/>
      <c r="W374" s="254"/>
      <c r="X374" s="254"/>
      <c r="Y374" s="228"/>
      <c r="Z374" s="255"/>
      <c r="AA374" s="248"/>
      <c r="AB374" s="248"/>
      <c r="AC374" s="248"/>
      <c r="AD374" s="247"/>
      <c r="AE374" s="228"/>
      <c r="AF374" s="228"/>
      <c r="AG374" s="248"/>
      <c r="AH374" s="248"/>
      <c r="AI374" s="194"/>
      <c r="AJ374" s="249"/>
      <c r="AK374" s="250"/>
      <c r="AL374" s="251"/>
      <c r="AM374" s="252"/>
      <c r="AN374" s="241"/>
      <c r="AO374" s="241"/>
      <c r="AP374" s="241"/>
      <c r="AQ374" s="194"/>
      <c r="AR374" s="195"/>
      <c r="AS374" s="195"/>
    </row>
    <row r="375" spans="2:45">
      <c r="B375" s="253"/>
      <c r="C375" s="230"/>
      <c r="D375" s="245"/>
      <c r="E375" s="230"/>
      <c r="F375" s="230"/>
      <c r="G375" s="230"/>
      <c r="H375" s="230"/>
      <c r="I375" s="228"/>
      <c r="J375" s="228"/>
      <c r="K375" s="230"/>
      <c r="L375" s="230"/>
      <c r="M375" s="246"/>
      <c r="N375" s="230"/>
      <c r="O375" s="230"/>
      <c r="P375" s="230"/>
      <c r="Q375" s="230"/>
      <c r="R375" s="256"/>
      <c r="S375" s="257"/>
      <c r="T375" s="228"/>
      <c r="U375" s="228"/>
      <c r="V375" s="258"/>
      <c r="W375" s="254"/>
      <c r="X375" s="254"/>
      <c r="Y375" s="228"/>
      <c r="Z375" s="255"/>
      <c r="AA375" s="248"/>
      <c r="AB375" s="248"/>
      <c r="AC375" s="248"/>
      <c r="AD375" s="247"/>
      <c r="AE375" s="228"/>
      <c r="AF375" s="228"/>
      <c r="AG375" s="248"/>
      <c r="AH375" s="248"/>
      <c r="AI375" s="194"/>
      <c r="AJ375" s="249"/>
      <c r="AK375" s="250"/>
      <c r="AL375" s="251"/>
      <c r="AM375" s="252"/>
      <c r="AN375" s="241"/>
      <c r="AO375" s="241"/>
      <c r="AP375" s="241"/>
      <c r="AQ375" s="194"/>
      <c r="AR375" s="195"/>
      <c r="AS375" s="195"/>
    </row>
    <row r="376" spans="2:45">
      <c r="B376" s="253"/>
      <c r="C376" s="230"/>
      <c r="D376" s="245"/>
      <c r="E376" s="230"/>
      <c r="F376" s="230"/>
      <c r="G376" s="230"/>
      <c r="H376" s="230"/>
      <c r="I376" s="228"/>
      <c r="J376" s="228"/>
      <c r="K376" s="230"/>
      <c r="L376" s="230"/>
      <c r="M376" s="246"/>
      <c r="N376" s="230"/>
      <c r="O376" s="230"/>
      <c r="P376" s="230"/>
      <c r="Q376" s="230"/>
      <c r="R376" s="256"/>
      <c r="S376" s="257"/>
      <c r="T376" s="228"/>
      <c r="U376" s="228"/>
      <c r="V376" s="258"/>
      <c r="W376" s="254"/>
      <c r="X376" s="254"/>
      <c r="Y376" s="228"/>
      <c r="Z376" s="255"/>
      <c r="AA376" s="248"/>
      <c r="AB376" s="248"/>
      <c r="AC376" s="248"/>
      <c r="AD376" s="247"/>
      <c r="AE376" s="228"/>
      <c r="AF376" s="228"/>
      <c r="AG376" s="248"/>
      <c r="AH376" s="248"/>
      <c r="AI376" s="194"/>
      <c r="AJ376" s="249"/>
      <c r="AK376" s="250"/>
      <c r="AL376" s="251"/>
      <c r="AM376" s="252"/>
      <c r="AN376" s="241"/>
      <c r="AO376" s="241"/>
      <c r="AP376" s="241"/>
      <c r="AQ376" s="194"/>
      <c r="AR376" s="195"/>
      <c r="AS376" s="195"/>
    </row>
    <row r="377" spans="2:45">
      <c r="B377" s="253"/>
      <c r="C377" s="230"/>
      <c r="D377" s="245"/>
      <c r="E377" s="230"/>
      <c r="F377" s="230"/>
      <c r="G377" s="230"/>
      <c r="H377" s="230"/>
      <c r="I377" s="228"/>
      <c r="J377" s="228"/>
      <c r="K377" s="230"/>
      <c r="L377" s="230"/>
      <c r="M377" s="246"/>
      <c r="N377" s="230"/>
      <c r="O377" s="230"/>
      <c r="P377" s="230"/>
      <c r="Q377" s="230"/>
      <c r="R377" s="256"/>
      <c r="S377" s="257"/>
      <c r="T377" s="228"/>
      <c r="U377" s="228"/>
      <c r="V377" s="258"/>
      <c r="W377" s="254"/>
      <c r="X377" s="254"/>
      <c r="Y377" s="228"/>
      <c r="Z377" s="255"/>
      <c r="AA377" s="248"/>
      <c r="AB377" s="248"/>
      <c r="AC377" s="248"/>
      <c r="AD377" s="247"/>
      <c r="AE377" s="228"/>
      <c r="AF377" s="228"/>
      <c r="AG377" s="248"/>
      <c r="AH377" s="248"/>
      <c r="AI377" s="194"/>
      <c r="AJ377" s="249"/>
      <c r="AK377" s="250"/>
      <c r="AL377" s="251"/>
      <c r="AM377" s="252"/>
      <c r="AN377" s="241"/>
      <c r="AO377" s="241"/>
      <c r="AP377" s="241"/>
      <c r="AQ377" s="194"/>
      <c r="AR377" s="195"/>
      <c r="AS377" s="195"/>
    </row>
    <row r="378" spans="2:45">
      <c r="B378" s="253"/>
      <c r="C378" s="230"/>
      <c r="D378" s="245"/>
      <c r="E378" s="230"/>
      <c r="F378" s="230"/>
      <c r="G378" s="230"/>
      <c r="H378" s="230"/>
      <c r="I378" s="228"/>
      <c r="J378" s="228"/>
      <c r="K378" s="230"/>
      <c r="L378" s="230"/>
      <c r="M378" s="246"/>
      <c r="N378" s="230"/>
      <c r="O378" s="230"/>
      <c r="P378" s="230"/>
      <c r="Q378" s="230"/>
      <c r="R378" s="256"/>
      <c r="S378" s="257"/>
      <c r="T378" s="228"/>
      <c r="U378" s="228"/>
      <c r="V378" s="258"/>
      <c r="W378" s="254"/>
      <c r="X378" s="254"/>
      <c r="Y378" s="228"/>
      <c r="Z378" s="255"/>
      <c r="AA378" s="248"/>
      <c r="AB378" s="248"/>
      <c r="AC378" s="248"/>
      <c r="AD378" s="247"/>
      <c r="AE378" s="228"/>
      <c r="AF378" s="228"/>
      <c r="AG378" s="248"/>
      <c r="AH378" s="248"/>
      <c r="AI378" s="194"/>
      <c r="AJ378" s="249"/>
      <c r="AK378" s="250"/>
      <c r="AL378" s="251"/>
      <c r="AM378" s="252"/>
      <c r="AN378" s="241"/>
      <c r="AO378" s="241"/>
      <c r="AP378" s="241"/>
      <c r="AQ378" s="194"/>
      <c r="AR378" s="195"/>
      <c r="AS378" s="195"/>
    </row>
    <row r="379" spans="2:45">
      <c r="B379" s="253"/>
      <c r="C379" s="230"/>
      <c r="D379" s="245"/>
      <c r="E379" s="230"/>
      <c r="F379" s="230"/>
      <c r="G379" s="230"/>
      <c r="H379" s="230"/>
      <c r="I379" s="228"/>
      <c r="J379" s="228"/>
      <c r="K379" s="230"/>
      <c r="L379" s="230"/>
      <c r="M379" s="246"/>
      <c r="N379" s="230"/>
      <c r="O379" s="230"/>
      <c r="P379" s="230"/>
      <c r="Q379" s="230"/>
      <c r="R379" s="256"/>
      <c r="S379" s="257"/>
      <c r="T379" s="228"/>
      <c r="U379" s="228"/>
      <c r="V379" s="258"/>
      <c r="W379" s="254"/>
      <c r="X379" s="254"/>
      <c r="Y379" s="228"/>
      <c r="Z379" s="255"/>
      <c r="AA379" s="248"/>
      <c r="AB379" s="248"/>
      <c r="AC379" s="248"/>
      <c r="AD379" s="247"/>
      <c r="AE379" s="228"/>
      <c r="AF379" s="228"/>
      <c r="AG379" s="248"/>
      <c r="AH379" s="248"/>
      <c r="AI379" s="194"/>
      <c r="AJ379" s="249"/>
      <c r="AK379" s="250"/>
      <c r="AL379" s="251"/>
      <c r="AM379" s="252"/>
      <c r="AN379" s="241"/>
      <c r="AO379" s="241"/>
      <c r="AP379" s="241"/>
      <c r="AQ379" s="194"/>
      <c r="AR379" s="195"/>
      <c r="AS379" s="195"/>
    </row>
    <row r="380" spans="2:45">
      <c r="B380" s="253"/>
      <c r="C380" s="230"/>
      <c r="D380" s="245"/>
      <c r="E380" s="230"/>
      <c r="F380" s="230"/>
      <c r="G380" s="230"/>
      <c r="H380" s="230"/>
      <c r="I380" s="228"/>
      <c r="J380" s="228"/>
      <c r="K380" s="230"/>
      <c r="L380" s="230"/>
      <c r="M380" s="246"/>
      <c r="N380" s="230"/>
      <c r="O380" s="230"/>
      <c r="P380" s="230"/>
      <c r="Q380" s="230"/>
      <c r="R380" s="256"/>
      <c r="S380" s="257"/>
      <c r="T380" s="228"/>
      <c r="U380" s="228"/>
      <c r="V380" s="258"/>
      <c r="W380" s="254"/>
      <c r="X380" s="254"/>
      <c r="Y380" s="228"/>
      <c r="Z380" s="255"/>
      <c r="AA380" s="248"/>
      <c r="AB380" s="248"/>
      <c r="AC380" s="248"/>
      <c r="AD380" s="247"/>
      <c r="AE380" s="228"/>
      <c r="AF380" s="228"/>
      <c r="AG380" s="248"/>
      <c r="AH380" s="248"/>
      <c r="AI380" s="194"/>
      <c r="AJ380" s="249"/>
      <c r="AK380" s="250"/>
      <c r="AL380" s="251"/>
      <c r="AM380" s="252"/>
      <c r="AN380" s="241"/>
      <c r="AO380" s="241"/>
      <c r="AP380" s="241"/>
      <c r="AQ380" s="194"/>
      <c r="AR380" s="195"/>
      <c r="AS380" s="195"/>
    </row>
    <row r="381" spans="2:45">
      <c r="B381" s="253"/>
      <c r="C381" s="230"/>
      <c r="D381" s="245"/>
      <c r="E381" s="230"/>
      <c r="F381" s="230"/>
      <c r="G381" s="230"/>
      <c r="H381" s="230"/>
      <c r="I381" s="228"/>
      <c r="J381" s="228"/>
      <c r="K381" s="230"/>
      <c r="L381" s="230"/>
      <c r="M381" s="246"/>
      <c r="N381" s="230"/>
      <c r="O381" s="230"/>
      <c r="P381" s="230"/>
      <c r="Q381" s="230"/>
      <c r="R381" s="256"/>
      <c r="S381" s="257"/>
      <c r="T381" s="228"/>
      <c r="U381" s="228"/>
      <c r="V381" s="258"/>
      <c r="W381" s="254"/>
      <c r="X381" s="254"/>
      <c r="Y381" s="228"/>
      <c r="Z381" s="255"/>
      <c r="AA381" s="248"/>
      <c r="AB381" s="248"/>
      <c r="AC381" s="248"/>
      <c r="AD381" s="247"/>
      <c r="AE381" s="228"/>
      <c r="AF381" s="228"/>
      <c r="AG381" s="248"/>
      <c r="AH381" s="248"/>
      <c r="AI381" s="194"/>
      <c r="AJ381" s="249"/>
      <c r="AK381" s="250"/>
      <c r="AL381" s="251"/>
      <c r="AM381" s="252"/>
      <c r="AN381" s="241"/>
      <c r="AO381" s="241"/>
      <c r="AP381" s="241"/>
      <c r="AQ381" s="194"/>
      <c r="AR381" s="195"/>
      <c r="AS381" s="195"/>
    </row>
    <row r="382" spans="2:45">
      <c r="B382" s="253"/>
      <c r="C382" s="230"/>
      <c r="D382" s="245"/>
      <c r="E382" s="230"/>
      <c r="F382" s="230"/>
      <c r="G382" s="230"/>
      <c r="H382" s="230"/>
      <c r="I382" s="228"/>
      <c r="J382" s="228"/>
      <c r="K382" s="230"/>
      <c r="L382" s="230"/>
      <c r="M382" s="246"/>
      <c r="N382" s="230"/>
      <c r="O382" s="230"/>
      <c r="P382" s="230"/>
      <c r="Q382" s="230"/>
      <c r="R382" s="256"/>
      <c r="S382" s="257"/>
      <c r="T382" s="228"/>
      <c r="U382" s="228"/>
      <c r="V382" s="258"/>
      <c r="W382" s="254"/>
      <c r="X382" s="254"/>
      <c r="Y382" s="228"/>
      <c r="Z382" s="255"/>
      <c r="AA382" s="248"/>
      <c r="AB382" s="248"/>
      <c r="AC382" s="248"/>
      <c r="AD382" s="247"/>
      <c r="AE382" s="228"/>
      <c r="AF382" s="228"/>
      <c r="AG382" s="248"/>
      <c r="AH382" s="248"/>
      <c r="AI382" s="194"/>
      <c r="AJ382" s="249"/>
      <c r="AK382" s="250"/>
      <c r="AL382" s="251"/>
      <c r="AM382" s="252"/>
      <c r="AN382" s="241"/>
      <c r="AO382" s="241"/>
      <c r="AP382" s="241"/>
      <c r="AQ382" s="194"/>
      <c r="AR382" s="195"/>
      <c r="AS382" s="195"/>
    </row>
    <row r="383" spans="2:45">
      <c r="B383" s="253"/>
      <c r="C383" s="230"/>
      <c r="D383" s="245"/>
      <c r="E383" s="230"/>
      <c r="F383" s="230"/>
      <c r="G383" s="230"/>
      <c r="H383" s="230"/>
      <c r="I383" s="228"/>
      <c r="J383" s="228"/>
      <c r="K383" s="230"/>
      <c r="L383" s="230"/>
      <c r="M383" s="246"/>
      <c r="N383" s="230"/>
      <c r="O383" s="230"/>
      <c r="P383" s="230"/>
      <c r="Q383" s="230"/>
      <c r="R383" s="256"/>
      <c r="S383" s="257"/>
      <c r="T383" s="228"/>
      <c r="U383" s="228"/>
      <c r="V383" s="258"/>
      <c r="W383" s="254"/>
      <c r="X383" s="254"/>
      <c r="Y383" s="228"/>
      <c r="Z383" s="255"/>
      <c r="AA383" s="248"/>
      <c r="AB383" s="248"/>
      <c r="AC383" s="248"/>
      <c r="AD383" s="247"/>
      <c r="AE383" s="228"/>
      <c r="AF383" s="228"/>
      <c r="AG383" s="248"/>
      <c r="AH383" s="248"/>
      <c r="AI383" s="194"/>
      <c r="AJ383" s="249"/>
      <c r="AK383" s="250"/>
      <c r="AL383" s="251"/>
      <c r="AM383" s="252"/>
      <c r="AN383" s="241"/>
      <c r="AO383" s="241"/>
      <c r="AP383" s="241"/>
      <c r="AQ383" s="194"/>
      <c r="AR383" s="195"/>
      <c r="AS383" s="195"/>
    </row>
    <row r="384" spans="2:45">
      <c r="B384" s="253"/>
      <c r="C384" s="230"/>
      <c r="D384" s="245"/>
      <c r="E384" s="230"/>
      <c r="F384" s="230"/>
      <c r="G384" s="230"/>
      <c r="H384" s="230"/>
      <c r="I384" s="228"/>
      <c r="J384" s="228"/>
      <c r="K384" s="230"/>
      <c r="L384" s="230"/>
      <c r="M384" s="246"/>
      <c r="N384" s="230"/>
      <c r="O384" s="230"/>
      <c r="P384" s="230"/>
      <c r="Q384" s="230"/>
      <c r="R384" s="256"/>
      <c r="S384" s="257"/>
      <c r="T384" s="228"/>
      <c r="U384" s="228"/>
      <c r="V384" s="258"/>
      <c r="W384" s="254"/>
      <c r="X384" s="254"/>
      <c r="Y384" s="228"/>
      <c r="Z384" s="255"/>
      <c r="AA384" s="248"/>
      <c r="AB384" s="248"/>
      <c r="AC384" s="248"/>
      <c r="AD384" s="247"/>
      <c r="AE384" s="228"/>
      <c r="AF384" s="228"/>
      <c r="AG384" s="248"/>
      <c r="AH384" s="248"/>
      <c r="AI384" s="194"/>
      <c r="AJ384" s="249"/>
      <c r="AK384" s="250"/>
      <c r="AL384" s="251"/>
      <c r="AM384" s="252"/>
      <c r="AN384" s="241"/>
      <c r="AO384" s="241"/>
      <c r="AP384" s="241"/>
      <c r="AQ384" s="194"/>
      <c r="AR384" s="195"/>
      <c r="AS384" s="195"/>
    </row>
    <row r="385" spans="2:45">
      <c r="B385" s="253"/>
      <c r="C385" s="230"/>
      <c r="D385" s="245"/>
      <c r="E385" s="230"/>
      <c r="F385" s="230"/>
      <c r="G385" s="230"/>
      <c r="H385" s="230"/>
      <c r="I385" s="228"/>
      <c r="J385" s="228"/>
      <c r="K385" s="230"/>
      <c r="L385" s="230"/>
      <c r="M385" s="246"/>
      <c r="N385" s="230"/>
      <c r="O385" s="230"/>
      <c r="P385" s="230"/>
      <c r="Q385" s="230"/>
      <c r="R385" s="256"/>
      <c r="S385" s="257"/>
      <c r="T385" s="228"/>
      <c r="U385" s="228"/>
      <c r="V385" s="258"/>
      <c r="W385" s="254"/>
      <c r="X385" s="254"/>
      <c r="Y385" s="228"/>
      <c r="Z385" s="255"/>
      <c r="AA385" s="248"/>
      <c r="AB385" s="248"/>
      <c r="AC385" s="248"/>
      <c r="AD385" s="247"/>
      <c r="AE385" s="228"/>
      <c r="AF385" s="228"/>
      <c r="AG385" s="248"/>
      <c r="AH385" s="248"/>
      <c r="AI385" s="194"/>
      <c r="AJ385" s="249"/>
      <c r="AK385" s="250"/>
      <c r="AL385" s="251"/>
      <c r="AM385" s="252"/>
      <c r="AN385" s="241"/>
      <c r="AO385" s="241"/>
      <c r="AP385" s="241"/>
      <c r="AQ385" s="194"/>
      <c r="AR385" s="195"/>
      <c r="AS385" s="195"/>
    </row>
    <row r="386" spans="2:45">
      <c r="B386" s="253"/>
      <c r="C386" s="230"/>
      <c r="D386" s="245"/>
      <c r="E386" s="230"/>
      <c r="F386" s="230"/>
      <c r="G386" s="230"/>
      <c r="H386" s="230"/>
      <c r="I386" s="228"/>
      <c r="J386" s="228"/>
      <c r="K386" s="230"/>
      <c r="L386" s="230"/>
      <c r="M386" s="246"/>
      <c r="N386" s="230"/>
      <c r="O386" s="230"/>
      <c r="P386" s="230"/>
      <c r="Q386" s="230"/>
      <c r="R386" s="256"/>
      <c r="S386" s="257"/>
      <c r="T386" s="228"/>
      <c r="U386" s="228"/>
      <c r="V386" s="258"/>
      <c r="W386" s="254"/>
      <c r="X386" s="254"/>
      <c r="Y386" s="228"/>
      <c r="Z386" s="255"/>
      <c r="AA386" s="248"/>
      <c r="AB386" s="248"/>
      <c r="AC386" s="248"/>
      <c r="AD386" s="247"/>
      <c r="AE386" s="228"/>
      <c r="AF386" s="228"/>
      <c r="AG386" s="248"/>
      <c r="AH386" s="248"/>
      <c r="AI386" s="194"/>
      <c r="AJ386" s="249"/>
      <c r="AK386" s="250"/>
      <c r="AL386" s="251"/>
      <c r="AM386" s="252"/>
      <c r="AN386" s="241"/>
      <c r="AO386" s="241"/>
      <c r="AP386" s="241"/>
      <c r="AQ386" s="194"/>
      <c r="AR386" s="195"/>
      <c r="AS386" s="195"/>
    </row>
    <row r="387" spans="2:45">
      <c r="B387" s="253"/>
      <c r="C387" s="230"/>
      <c r="D387" s="245"/>
      <c r="E387" s="230"/>
      <c r="F387" s="230"/>
      <c r="G387" s="230"/>
      <c r="H387" s="230"/>
      <c r="I387" s="228"/>
      <c r="J387" s="228"/>
      <c r="K387" s="230"/>
      <c r="L387" s="230"/>
      <c r="M387" s="246"/>
      <c r="N387" s="230"/>
      <c r="O387" s="230"/>
      <c r="P387" s="230"/>
      <c r="Q387" s="230"/>
      <c r="R387" s="256"/>
      <c r="S387" s="257"/>
      <c r="T387" s="228"/>
      <c r="U387" s="228"/>
      <c r="V387" s="258"/>
      <c r="W387" s="254"/>
      <c r="X387" s="254"/>
      <c r="Y387" s="228"/>
      <c r="Z387" s="255"/>
      <c r="AA387" s="248"/>
      <c r="AB387" s="248"/>
      <c r="AC387" s="248"/>
      <c r="AD387" s="247"/>
      <c r="AE387" s="228"/>
      <c r="AF387" s="228"/>
      <c r="AG387" s="248"/>
      <c r="AH387" s="248"/>
      <c r="AI387" s="194"/>
      <c r="AJ387" s="249"/>
      <c r="AK387" s="250"/>
      <c r="AL387" s="251"/>
      <c r="AM387" s="252"/>
      <c r="AN387" s="241"/>
      <c r="AO387" s="241"/>
      <c r="AP387" s="241"/>
      <c r="AQ387" s="194"/>
      <c r="AR387" s="195"/>
      <c r="AS387" s="195"/>
    </row>
    <row r="388" spans="2:45">
      <c r="B388" s="253"/>
      <c r="C388" s="230"/>
      <c r="D388" s="245"/>
      <c r="E388" s="230"/>
      <c r="F388" s="230"/>
      <c r="G388" s="230"/>
      <c r="H388" s="230"/>
      <c r="I388" s="228"/>
      <c r="J388" s="228"/>
      <c r="K388" s="230"/>
      <c r="L388" s="230"/>
      <c r="M388" s="246"/>
      <c r="N388" s="230"/>
      <c r="O388" s="230"/>
      <c r="P388" s="230"/>
      <c r="Q388" s="230"/>
      <c r="R388" s="256"/>
      <c r="S388" s="257"/>
      <c r="T388" s="228"/>
      <c r="U388" s="228"/>
      <c r="V388" s="258"/>
      <c r="W388" s="254"/>
      <c r="X388" s="254"/>
      <c r="Y388" s="228"/>
      <c r="Z388" s="255"/>
      <c r="AA388" s="248"/>
      <c r="AB388" s="248"/>
      <c r="AC388" s="248"/>
      <c r="AD388" s="247"/>
      <c r="AE388" s="228"/>
      <c r="AF388" s="228"/>
      <c r="AG388" s="248"/>
      <c r="AH388" s="248"/>
      <c r="AI388" s="194"/>
      <c r="AJ388" s="249"/>
      <c r="AK388" s="250"/>
      <c r="AL388" s="251"/>
      <c r="AM388" s="252"/>
      <c r="AN388" s="241"/>
      <c r="AO388" s="241"/>
      <c r="AP388" s="241"/>
      <c r="AQ388" s="194"/>
      <c r="AR388" s="195"/>
      <c r="AS388" s="195"/>
    </row>
    <row r="389" spans="2:45">
      <c r="B389" s="253"/>
      <c r="C389" s="230"/>
      <c r="D389" s="245"/>
      <c r="E389" s="230"/>
      <c r="F389" s="230"/>
      <c r="G389" s="230"/>
      <c r="H389" s="230"/>
      <c r="I389" s="228"/>
      <c r="J389" s="228"/>
      <c r="K389" s="230"/>
      <c r="L389" s="230"/>
      <c r="M389" s="246"/>
      <c r="N389" s="230"/>
      <c r="O389" s="230"/>
      <c r="P389" s="230"/>
      <c r="Q389" s="230"/>
      <c r="R389" s="256"/>
      <c r="S389" s="257"/>
      <c r="T389" s="228"/>
      <c r="U389" s="228"/>
      <c r="V389" s="258"/>
      <c r="W389" s="254"/>
      <c r="X389" s="254"/>
      <c r="Y389" s="228"/>
      <c r="Z389" s="255"/>
      <c r="AA389" s="248"/>
      <c r="AB389" s="248"/>
      <c r="AC389" s="248"/>
      <c r="AD389" s="247"/>
      <c r="AE389" s="228"/>
      <c r="AF389" s="228"/>
      <c r="AG389" s="248"/>
      <c r="AH389" s="248"/>
      <c r="AI389" s="194"/>
      <c r="AJ389" s="249"/>
      <c r="AK389" s="250"/>
      <c r="AL389" s="251"/>
      <c r="AM389" s="252"/>
      <c r="AN389" s="241"/>
      <c r="AO389" s="241"/>
      <c r="AP389" s="241"/>
      <c r="AQ389" s="194"/>
      <c r="AR389" s="195"/>
      <c r="AS389" s="195"/>
    </row>
    <row r="390" spans="2:45">
      <c r="B390" s="253"/>
      <c r="C390" s="230"/>
      <c r="D390" s="245"/>
      <c r="E390" s="230"/>
      <c r="F390" s="230"/>
      <c r="G390" s="230"/>
      <c r="H390" s="230"/>
      <c r="I390" s="228"/>
      <c r="J390" s="228"/>
      <c r="K390" s="230"/>
      <c r="L390" s="230"/>
      <c r="M390" s="246"/>
      <c r="N390" s="230"/>
      <c r="O390" s="230"/>
      <c r="P390" s="230"/>
      <c r="Q390" s="230"/>
      <c r="R390" s="256"/>
      <c r="S390" s="257"/>
      <c r="T390" s="228"/>
      <c r="U390" s="228"/>
      <c r="V390" s="258"/>
      <c r="W390" s="254"/>
      <c r="X390" s="254"/>
      <c r="Y390" s="228"/>
      <c r="Z390" s="255"/>
      <c r="AA390" s="248"/>
      <c r="AB390" s="248"/>
      <c r="AC390" s="248"/>
      <c r="AD390" s="247"/>
      <c r="AE390" s="228"/>
      <c r="AF390" s="228"/>
      <c r="AG390" s="248"/>
      <c r="AH390" s="248"/>
      <c r="AI390" s="194"/>
      <c r="AJ390" s="249"/>
      <c r="AK390" s="250"/>
      <c r="AL390" s="251"/>
      <c r="AM390" s="252"/>
      <c r="AN390" s="241"/>
      <c r="AO390" s="241"/>
      <c r="AP390" s="241"/>
      <c r="AQ390" s="194"/>
      <c r="AR390" s="195"/>
      <c r="AS390" s="195"/>
    </row>
    <row r="391" spans="2:45">
      <c r="B391" s="253"/>
      <c r="C391" s="230"/>
      <c r="D391" s="245"/>
      <c r="E391" s="230"/>
      <c r="F391" s="230"/>
      <c r="G391" s="230"/>
      <c r="H391" s="230"/>
      <c r="I391" s="228"/>
      <c r="J391" s="228"/>
      <c r="K391" s="230"/>
      <c r="L391" s="230"/>
      <c r="M391" s="246"/>
      <c r="N391" s="230"/>
      <c r="O391" s="230"/>
      <c r="P391" s="230"/>
      <c r="Q391" s="230"/>
      <c r="R391" s="256"/>
      <c r="S391" s="257"/>
      <c r="T391" s="228"/>
      <c r="U391" s="228"/>
      <c r="V391" s="258"/>
      <c r="W391" s="254"/>
      <c r="X391" s="254"/>
      <c r="Y391" s="228"/>
      <c r="Z391" s="255"/>
      <c r="AA391" s="248"/>
      <c r="AB391" s="248"/>
      <c r="AC391" s="248"/>
      <c r="AD391" s="247"/>
      <c r="AE391" s="228"/>
      <c r="AF391" s="228"/>
      <c r="AG391" s="248"/>
      <c r="AH391" s="248"/>
      <c r="AI391" s="194"/>
      <c r="AJ391" s="249"/>
      <c r="AK391" s="250"/>
      <c r="AL391" s="251"/>
      <c r="AM391" s="252"/>
      <c r="AN391" s="241"/>
      <c r="AO391" s="241"/>
      <c r="AP391" s="241"/>
      <c r="AQ391" s="194"/>
      <c r="AR391" s="195"/>
      <c r="AS391" s="195"/>
    </row>
    <row r="392" spans="2:45">
      <c r="B392" s="253"/>
      <c r="C392" s="230"/>
      <c r="D392" s="245"/>
      <c r="E392" s="230"/>
      <c r="F392" s="230"/>
      <c r="G392" s="230"/>
      <c r="H392" s="230"/>
      <c r="I392" s="228"/>
      <c r="J392" s="228"/>
      <c r="K392" s="230"/>
      <c r="L392" s="230"/>
      <c r="M392" s="246"/>
      <c r="N392" s="230"/>
      <c r="O392" s="230"/>
      <c r="P392" s="230"/>
      <c r="Q392" s="230"/>
      <c r="R392" s="256"/>
      <c r="S392" s="257"/>
      <c r="T392" s="228"/>
      <c r="U392" s="228"/>
      <c r="V392" s="258"/>
      <c r="W392" s="254"/>
      <c r="X392" s="254"/>
      <c r="Y392" s="228"/>
      <c r="Z392" s="255"/>
      <c r="AA392" s="248"/>
      <c r="AB392" s="248"/>
      <c r="AC392" s="248"/>
      <c r="AD392" s="247"/>
      <c r="AE392" s="228"/>
      <c r="AF392" s="228"/>
      <c r="AG392" s="248"/>
      <c r="AH392" s="248"/>
      <c r="AI392" s="194"/>
      <c r="AJ392" s="249"/>
      <c r="AK392" s="250"/>
      <c r="AL392" s="251"/>
      <c r="AM392" s="252"/>
      <c r="AN392" s="241"/>
      <c r="AO392" s="241"/>
      <c r="AP392" s="241"/>
      <c r="AQ392" s="194"/>
      <c r="AR392" s="195"/>
      <c r="AS392" s="195"/>
    </row>
    <row r="393" spans="2:45">
      <c r="B393" s="253"/>
      <c r="C393" s="230"/>
      <c r="D393" s="245"/>
      <c r="E393" s="230"/>
      <c r="F393" s="230"/>
      <c r="G393" s="230"/>
      <c r="H393" s="230"/>
      <c r="I393" s="228"/>
      <c r="J393" s="228"/>
      <c r="K393" s="230"/>
      <c r="L393" s="230"/>
      <c r="M393" s="246"/>
      <c r="N393" s="230"/>
      <c r="O393" s="230"/>
      <c r="P393" s="230"/>
      <c r="Q393" s="230"/>
      <c r="R393" s="256"/>
      <c r="S393" s="257"/>
      <c r="T393" s="228"/>
      <c r="U393" s="228"/>
      <c r="V393" s="258"/>
      <c r="W393" s="254"/>
      <c r="X393" s="254"/>
      <c r="Y393" s="228"/>
      <c r="Z393" s="255"/>
      <c r="AA393" s="248"/>
      <c r="AB393" s="248"/>
      <c r="AC393" s="248"/>
      <c r="AD393" s="247"/>
      <c r="AE393" s="228"/>
      <c r="AF393" s="228"/>
      <c r="AG393" s="248"/>
      <c r="AH393" s="248"/>
      <c r="AI393" s="194"/>
      <c r="AJ393" s="249"/>
      <c r="AK393" s="250"/>
      <c r="AL393" s="251"/>
      <c r="AM393" s="252"/>
      <c r="AN393" s="241"/>
      <c r="AO393" s="241"/>
      <c r="AP393" s="241"/>
      <c r="AQ393" s="194"/>
      <c r="AR393" s="195"/>
      <c r="AS393" s="195"/>
    </row>
    <row r="394" spans="2:45">
      <c r="B394" s="253"/>
      <c r="C394" s="230"/>
      <c r="D394" s="245"/>
      <c r="E394" s="230"/>
      <c r="F394" s="230"/>
      <c r="G394" s="230"/>
      <c r="H394" s="230"/>
      <c r="I394" s="228"/>
      <c r="J394" s="228"/>
      <c r="K394" s="230"/>
      <c r="L394" s="230"/>
      <c r="M394" s="246"/>
      <c r="N394" s="230"/>
      <c r="O394" s="230"/>
      <c r="P394" s="230"/>
      <c r="Q394" s="230"/>
      <c r="R394" s="256"/>
      <c r="S394" s="257"/>
      <c r="T394" s="228"/>
      <c r="U394" s="228"/>
      <c r="V394" s="258"/>
      <c r="W394" s="254"/>
      <c r="X394" s="254"/>
      <c r="Y394" s="228"/>
      <c r="Z394" s="255"/>
      <c r="AA394" s="248"/>
      <c r="AB394" s="248"/>
      <c r="AC394" s="248"/>
      <c r="AD394" s="247"/>
      <c r="AE394" s="228"/>
      <c r="AF394" s="228"/>
      <c r="AG394" s="248"/>
      <c r="AH394" s="248"/>
      <c r="AI394" s="194"/>
      <c r="AJ394" s="249"/>
      <c r="AK394" s="250"/>
      <c r="AL394" s="251"/>
      <c r="AM394" s="252"/>
      <c r="AN394" s="241"/>
      <c r="AO394" s="241"/>
      <c r="AP394" s="241"/>
      <c r="AQ394" s="194"/>
      <c r="AR394" s="195"/>
      <c r="AS394" s="195"/>
    </row>
    <row r="395" spans="2:45">
      <c r="B395" s="253"/>
      <c r="C395" s="230"/>
      <c r="D395" s="245"/>
      <c r="E395" s="230"/>
      <c r="F395" s="230"/>
      <c r="G395" s="230"/>
      <c r="H395" s="230"/>
      <c r="I395" s="228"/>
      <c r="J395" s="228"/>
      <c r="K395" s="230"/>
      <c r="L395" s="230"/>
      <c r="M395" s="246"/>
      <c r="N395" s="230"/>
      <c r="O395" s="230"/>
      <c r="P395" s="230"/>
      <c r="Q395" s="230"/>
      <c r="R395" s="256"/>
      <c r="S395" s="257"/>
      <c r="T395" s="228"/>
      <c r="U395" s="228"/>
      <c r="V395" s="258"/>
      <c r="W395" s="254"/>
      <c r="X395" s="254"/>
      <c r="Y395" s="228"/>
      <c r="Z395" s="255"/>
      <c r="AA395" s="248"/>
      <c r="AB395" s="248"/>
      <c r="AC395" s="248"/>
      <c r="AD395" s="247"/>
      <c r="AE395" s="228"/>
      <c r="AF395" s="228"/>
      <c r="AG395" s="248"/>
      <c r="AH395" s="248"/>
      <c r="AI395" s="194"/>
      <c r="AJ395" s="249"/>
      <c r="AK395" s="250"/>
      <c r="AL395" s="251"/>
      <c r="AM395" s="252"/>
      <c r="AN395" s="241"/>
      <c r="AO395" s="241"/>
      <c r="AP395" s="241"/>
      <c r="AQ395" s="194"/>
      <c r="AR395" s="195"/>
      <c r="AS395" s="195"/>
    </row>
    <row r="396" spans="2:45">
      <c r="B396" s="253"/>
      <c r="C396" s="230"/>
      <c r="D396" s="245"/>
      <c r="E396" s="230"/>
      <c r="F396" s="230"/>
      <c r="G396" s="230"/>
      <c r="H396" s="230"/>
      <c r="I396" s="228"/>
      <c r="J396" s="228"/>
      <c r="K396" s="230"/>
      <c r="L396" s="230"/>
      <c r="M396" s="246"/>
      <c r="N396" s="230"/>
      <c r="O396" s="230"/>
      <c r="P396" s="230"/>
      <c r="Q396" s="230"/>
      <c r="R396" s="256"/>
      <c r="S396" s="257"/>
      <c r="T396" s="228"/>
      <c r="U396" s="228"/>
      <c r="V396" s="258"/>
      <c r="W396" s="254"/>
      <c r="X396" s="254"/>
      <c r="Y396" s="228"/>
      <c r="Z396" s="255"/>
      <c r="AA396" s="248"/>
      <c r="AB396" s="248"/>
      <c r="AC396" s="248"/>
      <c r="AD396" s="247"/>
      <c r="AE396" s="228"/>
      <c r="AF396" s="228"/>
      <c r="AG396" s="248"/>
      <c r="AH396" s="248"/>
      <c r="AI396" s="194"/>
      <c r="AJ396" s="249"/>
      <c r="AK396" s="250"/>
      <c r="AL396" s="251"/>
      <c r="AM396" s="252"/>
      <c r="AN396" s="241"/>
      <c r="AO396" s="241"/>
      <c r="AP396" s="241"/>
      <c r="AQ396" s="194"/>
      <c r="AR396" s="195"/>
      <c r="AS396" s="195"/>
    </row>
    <row r="397" spans="2:45">
      <c r="B397" s="253"/>
      <c r="C397" s="230"/>
      <c r="D397" s="245"/>
      <c r="E397" s="230"/>
      <c r="F397" s="230"/>
      <c r="G397" s="230"/>
      <c r="H397" s="230"/>
      <c r="I397" s="228"/>
      <c r="J397" s="228"/>
      <c r="K397" s="230"/>
      <c r="L397" s="230"/>
      <c r="M397" s="246"/>
      <c r="N397" s="230"/>
      <c r="O397" s="230"/>
      <c r="P397" s="230"/>
      <c r="Q397" s="230"/>
      <c r="R397" s="256"/>
      <c r="S397" s="257"/>
      <c r="T397" s="228"/>
      <c r="U397" s="228"/>
      <c r="V397" s="258"/>
      <c r="W397" s="254"/>
      <c r="X397" s="254"/>
      <c r="Y397" s="228"/>
      <c r="Z397" s="255"/>
      <c r="AA397" s="248"/>
      <c r="AB397" s="248"/>
      <c r="AC397" s="248"/>
      <c r="AD397" s="247"/>
      <c r="AE397" s="228"/>
      <c r="AF397" s="228"/>
      <c r="AG397" s="248"/>
      <c r="AH397" s="248"/>
      <c r="AI397" s="194"/>
      <c r="AJ397" s="249"/>
      <c r="AK397" s="250"/>
      <c r="AL397" s="251"/>
      <c r="AM397" s="252"/>
      <c r="AN397" s="241"/>
      <c r="AO397" s="241"/>
      <c r="AP397" s="241"/>
      <c r="AQ397" s="194"/>
      <c r="AR397" s="195"/>
      <c r="AS397" s="195"/>
    </row>
    <row r="398" spans="2:45">
      <c r="B398" s="253"/>
      <c r="C398" s="230"/>
      <c r="D398" s="245"/>
      <c r="E398" s="230"/>
      <c r="F398" s="230"/>
      <c r="G398" s="230"/>
      <c r="H398" s="230"/>
      <c r="I398" s="228"/>
      <c r="J398" s="228"/>
      <c r="K398" s="230"/>
      <c r="L398" s="230"/>
      <c r="M398" s="246"/>
      <c r="N398" s="230"/>
      <c r="O398" s="230"/>
      <c r="P398" s="230"/>
      <c r="Q398" s="230"/>
      <c r="R398" s="256"/>
      <c r="S398" s="257"/>
      <c r="T398" s="228"/>
      <c r="U398" s="228"/>
      <c r="V398" s="258"/>
      <c r="W398" s="254"/>
      <c r="X398" s="254"/>
      <c r="Y398" s="228"/>
      <c r="Z398" s="255"/>
      <c r="AA398" s="248"/>
      <c r="AB398" s="248"/>
      <c r="AC398" s="248"/>
      <c r="AD398" s="247"/>
      <c r="AE398" s="228"/>
      <c r="AF398" s="228"/>
      <c r="AG398" s="248"/>
      <c r="AH398" s="248"/>
      <c r="AI398" s="194"/>
      <c r="AJ398" s="249"/>
      <c r="AK398" s="250"/>
      <c r="AL398" s="251"/>
      <c r="AM398" s="252"/>
      <c r="AN398" s="241"/>
      <c r="AO398" s="241"/>
      <c r="AP398" s="241"/>
      <c r="AQ398" s="194"/>
      <c r="AR398" s="195"/>
      <c r="AS398" s="195"/>
    </row>
    <row r="399" spans="2:45">
      <c r="B399" s="253"/>
      <c r="C399" s="230"/>
      <c r="D399" s="245"/>
      <c r="E399" s="230"/>
      <c r="F399" s="230"/>
      <c r="G399" s="230"/>
      <c r="H399" s="230"/>
      <c r="I399" s="228"/>
      <c r="J399" s="228"/>
      <c r="K399" s="230"/>
      <c r="L399" s="230"/>
      <c r="M399" s="246"/>
      <c r="N399" s="230"/>
      <c r="O399" s="230"/>
      <c r="P399" s="230"/>
      <c r="Q399" s="230"/>
      <c r="R399" s="256"/>
      <c r="S399" s="257"/>
      <c r="T399" s="228"/>
      <c r="U399" s="228"/>
      <c r="V399" s="258"/>
      <c r="W399" s="254"/>
      <c r="X399" s="254"/>
      <c r="Y399" s="228"/>
      <c r="Z399" s="255"/>
      <c r="AA399" s="248"/>
      <c r="AB399" s="248"/>
      <c r="AC399" s="248"/>
      <c r="AD399" s="247"/>
      <c r="AE399" s="228"/>
      <c r="AF399" s="228"/>
      <c r="AG399" s="248"/>
      <c r="AH399" s="248"/>
      <c r="AI399" s="194"/>
      <c r="AJ399" s="249"/>
      <c r="AK399" s="250"/>
      <c r="AL399" s="251"/>
      <c r="AM399" s="252"/>
      <c r="AN399" s="241"/>
      <c r="AO399" s="241"/>
      <c r="AP399" s="241"/>
      <c r="AQ399" s="194"/>
      <c r="AR399" s="195"/>
      <c r="AS399" s="195"/>
    </row>
    <row r="400" spans="2:45">
      <c r="B400" s="253"/>
      <c r="C400" s="230"/>
      <c r="D400" s="245"/>
      <c r="E400" s="230"/>
      <c r="F400" s="230"/>
      <c r="G400" s="230"/>
      <c r="H400" s="230"/>
      <c r="I400" s="228"/>
      <c r="J400" s="228"/>
      <c r="K400" s="230"/>
      <c r="L400" s="230"/>
      <c r="M400" s="246"/>
      <c r="N400" s="230"/>
      <c r="O400" s="230"/>
      <c r="P400" s="230"/>
      <c r="Q400" s="230"/>
      <c r="R400" s="256"/>
      <c r="S400" s="257"/>
      <c r="T400" s="228"/>
      <c r="U400" s="228"/>
      <c r="V400" s="258"/>
      <c r="W400" s="254"/>
      <c r="X400" s="254"/>
      <c r="Y400" s="228"/>
      <c r="Z400" s="255"/>
      <c r="AA400" s="248"/>
      <c r="AB400" s="248"/>
      <c r="AC400" s="248"/>
      <c r="AD400" s="247"/>
      <c r="AE400" s="228"/>
      <c r="AF400" s="228"/>
      <c r="AG400" s="248"/>
      <c r="AH400" s="248"/>
      <c r="AI400" s="194"/>
      <c r="AJ400" s="249"/>
      <c r="AK400" s="250"/>
      <c r="AL400" s="251"/>
      <c r="AM400" s="252"/>
      <c r="AN400" s="241"/>
      <c r="AO400" s="241"/>
      <c r="AP400" s="241"/>
      <c r="AQ400" s="194"/>
      <c r="AR400" s="195"/>
      <c r="AS400" s="195"/>
    </row>
    <row r="401" spans="2:45">
      <c r="B401" s="253"/>
      <c r="C401" s="230"/>
      <c r="D401" s="245"/>
      <c r="E401" s="230"/>
      <c r="F401" s="230"/>
      <c r="G401" s="230"/>
      <c r="H401" s="230"/>
      <c r="I401" s="228"/>
      <c r="J401" s="228"/>
      <c r="K401" s="230"/>
      <c r="L401" s="230"/>
      <c r="M401" s="246"/>
      <c r="N401" s="230"/>
      <c r="O401" s="230"/>
      <c r="P401" s="230"/>
      <c r="Q401" s="230"/>
      <c r="R401" s="256"/>
      <c r="S401" s="257"/>
      <c r="T401" s="228"/>
      <c r="U401" s="228"/>
      <c r="V401" s="258"/>
      <c r="W401" s="254"/>
      <c r="X401" s="254"/>
      <c r="Y401" s="228"/>
      <c r="Z401" s="255"/>
      <c r="AA401" s="248"/>
      <c r="AB401" s="248"/>
      <c r="AC401" s="248"/>
      <c r="AD401" s="247"/>
      <c r="AE401" s="228"/>
      <c r="AF401" s="228"/>
      <c r="AG401" s="248"/>
      <c r="AH401" s="248"/>
      <c r="AI401" s="194"/>
      <c r="AJ401" s="249"/>
      <c r="AK401" s="250"/>
      <c r="AL401" s="251"/>
      <c r="AM401" s="252"/>
      <c r="AN401" s="241"/>
      <c r="AO401" s="241"/>
      <c r="AP401" s="241"/>
      <c r="AQ401" s="194"/>
      <c r="AR401" s="195"/>
      <c r="AS401" s="195"/>
    </row>
    <row r="402" spans="2:45">
      <c r="B402" s="253"/>
      <c r="C402" s="230"/>
      <c r="D402" s="245"/>
      <c r="E402" s="230"/>
      <c r="F402" s="230"/>
      <c r="G402" s="230"/>
      <c r="H402" s="230"/>
      <c r="I402" s="228"/>
      <c r="J402" s="228"/>
      <c r="K402" s="230"/>
      <c r="L402" s="230"/>
      <c r="M402" s="246"/>
      <c r="N402" s="230"/>
      <c r="O402" s="230"/>
      <c r="P402" s="230"/>
      <c r="Q402" s="230"/>
      <c r="R402" s="256"/>
      <c r="S402" s="257"/>
      <c r="T402" s="228"/>
      <c r="U402" s="228"/>
      <c r="V402" s="258"/>
      <c r="W402" s="254"/>
      <c r="X402" s="254"/>
      <c r="Y402" s="228"/>
      <c r="Z402" s="255"/>
      <c r="AA402" s="248"/>
      <c r="AB402" s="248"/>
      <c r="AC402" s="248"/>
      <c r="AD402" s="247"/>
      <c r="AE402" s="228"/>
      <c r="AF402" s="228"/>
      <c r="AG402" s="248"/>
      <c r="AH402" s="248"/>
      <c r="AI402" s="194"/>
      <c r="AJ402" s="249"/>
      <c r="AK402" s="250"/>
      <c r="AL402" s="251"/>
      <c r="AM402" s="252"/>
      <c r="AN402" s="241"/>
      <c r="AO402" s="241"/>
      <c r="AP402" s="241"/>
      <c r="AQ402" s="194"/>
      <c r="AR402" s="195"/>
      <c r="AS402" s="195"/>
    </row>
    <row r="403" spans="2:45">
      <c r="B403" s="253"/>
      <c r="C403" s="230"/>
      <c r="D403" s="245"/>
      <c r="E403" s="230"/>
      <c r="F403" s="230"/>
      <c r="G403" s="230"/>
      <c r="H403" s="230"/>
      <c r="I403" s="228"/>
      <c r="J403" s="228"/>
      <c r="K403" s="230"/>
      <c r="L403" s="230"/>
      <c r="M403" s="246"/>
      <c r="N403" s="230"/>
      <c r="O403" s="230"/>
      <c r="P403" s="230"/>
      <c r="Q403" s="230"/>
      <c r="R403" s="256"/>
      <c r="S403" s="257"/>
      <c r="T403" s="228"/>
      <c r="U403" s="228"/>
      <c r="V403" s="258"/>
      <c r="W403" s="254"/>
      <c r="X403" s="254"/>
      <c r="Y403" s="228"/>
      <c r="Z403" s="255"/>
      <c r="AA403" s="248"/>
      <c r="AB403" s="248"/>
      <c r="AC403" s="248"/>
      <c r="AD403" s="247"/>
      <c r="AE403" s="228"/>
      <c r="AF403" s="228"/>
      <c r="AG403" s="248"/>
      <c r="AH403" s="248"/>
      <c r="AI403" s="194"/>
      <c r="AJ403" s="249"/>
      <c r="AK403" s="250"/>
      <c r="AL403" s="251"/>
      <c r="AM403" s="252"/>
      <c r="AN403" s="241"/>
      <c r="AO403" s="241"/>
      <c r="AP403" s="241"/>
      <c r="AQ403" s="194"/>
      <c r="AR403" s="195"/>
      <c r="AS403" s="195"/>
    </row>
    <row r="404" spans="2:45">
      <c r="B404" s="253"/>
      <c r="C404" s="230"/>
      <c r="D404" s="245"/>
      <c r="E404" s="230"/>
      <c r="F404" s="230"/>
      <c r="G404" s="230"/>
      <c r="H404" s="230"/>
      <c r="I404" s="228"/>
      <c r="J404" s="228"/>
      <c r="K404" s="230"/>
      <c r="L404" s="230"/>
      <c r="M404" s="246"/>
      <c r="N404" s="230"/>
      <c r="O404" s="230"/>
      <c r="P404" s="230"/>
      <c r="Q404" s="230"/>
      <c r="R404" s="256"/>
      <c r="S404" s="257"/>
      <c r="T404" s="228"/>
      <c r="U404" s="228"/>
      <c r="V404" s="258"/>
      <c r="W404" s="254"/>
      <c r="X404" s="254"/>
      <c r="Y404" s="228"/>
      <c r="Z404" s="255"/>
      <c r="AA404" s="248"/>
      <c r="AB404" s="248"/>
      <c r="AC404" s="248"/>
      <c r="AD404" s="247"/>
      <c r="AE404" s="228"/>
      <c r="AF404" s="228"/>
      <c r="AG404" s="248"/>
      <c r="AH404" s="248"/>
      <c r="AI404" s="194"/>
      <c r="AJ404" s="249"/>
      <c r="AK404" s="250"/>
      <c r="AL404" s="251"/>
      <c r="AM404" s="252"/>
      <c r="AN404" s="241"/>
      <c r="AO404" s="241"/>
      <c r="AP404" s="241"/>
      <c r="AQ404" s="194"/>
      <c r="AR404" s="195"/>
      <c r="AS404" s="195"/>
    </row>
    <row r="405" spans="2:45">
      <c r="B405" s="253"/>
      <c r="C405" s="230"/>
      <c r="D405" s="245"/>
      <c r="E405" s="230"/>
      <c r="F405" s="230"/>
      <c r="G405" s="230"/>
      <c r="H405" s="230"/>
      <c r="I405" s="228"/>
      <c r="J405" s="228"/>
      <c r="K405" s="230"/>
      <c r="L405" s="230"/>
      <c r="M405" s="246"/>
      <c r="N405" s="230"/>
      <c r="O405" s="230"/>
      <c r="P405" s="230"/>
      <c r="Q405" s="230"/>
      <c r="R405" s="256"/>
      <c r="S405" s="257"/>
      <c r="T405" s="228"/>
      <c r="U405" s="228"/>
      <c r="V405" s="258"/>
      <c r="W405" s="254"/>
      <c r="X405" s="254"/>
      <c r="Y405" s="228"/>
      <c r="Z405" s="255"/>
      <c r="AA405" s="248"/>
      <c r="AB405" s="248"/>
      <c r="AC405" s="248"/>
      <c r="AD405" s="247"/>
      <c r="AE405" s="228"/>
      <c r="AF405" s="228"/>
      <c r="AG405" s="248"/>
      <c r="AH405" s="248"/>
      <c r="AI405" s="194"/>
      <c r="AJ405" s="249"/>
      <c r="AK405" s="250"/>
      <c r="AL405" s="251"/>
      <c r="AM405" s="252"/>
      <c r="AN405" s="241"/>
      <c r="AO405" s="241"/>
      <c r="AP405" s="241"/>
      <c r="AQ405" s="194"/>
      <c r="AR405" s="195"/>
      <c r="AS405" s="195"/>
    </row>
    <row r="406" spans="2:45">
      <c r="B406" s="253"/>
      <c r="C406" s="230"/>
      <c r="D406" s="245"/>
      <c r="E406" s="230"/>
      <c r="F406" s="230"/>
      <c r="G406" s="230"/>
      <c r="H406" s="230"/>
      <c r="I406" s="228"/>
      <c r="J406" s="228"/>
      <c r="K406" s="230"/>
      <c r="L406" s="230"/>
      <c r="M406" s="246"/>
      <c r="N406" s="230"/>
      <c r="O406" s="230"/>
      <c r="P406" s="230"/>
      <c r="Q406" s="230"/>
      <c r="R406" s="256"/>
      <c r="S406" s="257"/>
      <c r="T406" s="228"/>
      <c r="U406" s="228"/>
      <c r="V406" s="258"/>
      <c r="W406" s="254"/>
      <c r="X406" s="254"/>
      <c r="Y406" s="228"/>
      <c r="Z406" s="255"/>
      <c r="AA406" s="248"/>
      <c r="AB406" s="248"/>
      <c r="AC406" s="248"/>
      <c r="AD406" s="247"/>
      <c r="AE406" s="228"/>
      <c r="AF406" s="228"/>
      <c r="AG406" s="248"/>
      <c r="AH406" s="248"/>
      <c r="AI406" s="194"/>
      <c r="AJ406" s="249"/>
      <c r="AK406" s="250"/>
      <c r="AL406" s="251"/>
      <c r="AM406" s="252"/>
      <c r="AN406" s="241"/>
      <c r="AO406" s="241"/>
      <c r="AP406" s="241"/>
      <c r="AQ406" s="194"/>
      <c r="AR406" s="195"/>
      <c r="AS406" s="195"/>
    </row>
    <row r="407" spans="2:45">
      <c r="B407" s="253"/>
      <c r="C407" s="230"/>
      <c r="D407" s="245"/>
      <c r="E407" s="230"/>
      <c r="F407" s="230"/>
      <c r="G407" s="230"/>
      <c r="H407" s="230"/>
      <c r="I407" s="228"/>
      <c r="J407" s="228"/>
      <c r="K407" s="230"/>
      <c r="L407" s="230"/>
      <c r="M407" s="246"/>
      <c r="N407" s="230"/>
      <c r="O407" s="230"/>
      <c r="P407" s="230"/>
      <c r="Q407" s="230"/>
      <c r="R407" s="256"/>
      <c r="S407" s="257"/>
      <c r="T407" s="228"/>
      <c r="U407" s="228"/>
      <c r="V407" s="258"/>
      <c r="W407" s="254"/>
      <c r="X407" s="254"/>
      <c r="Y407" s="228"/>
      <c r="Z407" s="255"/>
      <c r="AA407" s="248"/>
      <c r="AB407" s="248"/>
      <c r="AC407" s="248"/>
      <c r="AD407" s="247"/>
      <c r="AE407" s="228"/>
      <c r="AF407" s="228"/>
      <c r="AG407" s="248"/>
      <c r="AH407" s="248"/>
      <c r="AI407" s="194"/>
      <c r="AJ407" s="249"/>
      <c r="AK407" s="250"/>
      <c r="AL407" s="251"/>
      <c r="AM407" s="252"/>
      <c r="AN407" s="241"/>
      <c r="AO407" s="241"/>
      <c r="AP407" s="241"/>
      <c r="AQ407" s="194"/>
      <c r="AR407" s="195"/>
      <c r="AS407" s="195"/>
    </row>
    <row r="408" spans="2:45">
      <c r="B408" s="253"/>
      <c r="C408" s="230"/>
      <c r="D408" s="245"/>
      <c r="E408" s="230"/>
      <c r="F408" s="230"/>
      <c r="G408" s="230"/>
      <c r="H408" s="230"/>
      <c r="I408" s="228"/>
      <c r="J408" s="228"/>
      <c r="K408" s="230"/>
      <c r="L408" s="230"/>
      <c r="M408" s="246"/>
      <c r="N408" s="230"/>
      <c r="O408" s="230"/>
      <c r="P408" s="230"/>
      <c r="Q408" s="230"/>
      <c r="R408" s="256"/>
      <c r="S408" s="257"/>
      <c r="T408" s="228"/>
      <c r="U408" s="228"/>
      <c r="V408" s="258"/>
      <c r="W408" s="254"/>
      <c r="X408" s="254"/>
      <c r="Y408" s="228"/>
      <c r="Z408" s="255"/>
      <c r="AA408" s="248"/>
      <c r="AB408" s="248"/>
      <c r="AC408" s="248"/>
      <c r="AD408" s="247"/>
      <c r="AE408" s="228"/>
      <c r="AF408" s="228"/>
      <c r="AG408" s="248"/>
      <c r="AH408" s="248"/>
      <c r="AI408" s="194"/>
      <c r="AJ408" s="249"/>
      <c r="AK408" s="250"/>
      <c r="AL408" s="251"/>
      <c r="AM408" s="252"/>
      <c r="AN408" s="241"/>
      <c r="AO408" s="241"/>
      <c r="AP408" s="241"/>
      <c r="AQ408" s="194"/>
      <c r="AR408" s="195"/>
      <c r="AS408" s="195"/>
    </row>
    <row r="409" spans="2:45">
      <c r="B409" s="253"/>
      <c r="C409" s="230"/>
      <c r="D409" s="245"/>
      <c r="E409" s="230"/>
      <c r="F409" s="230"/>
      <c r="G409" s="230"/>
      <c r="H409" s="230"/>
      <c r="I409" s="228"/>
      <c r="J409" s="228"/>
      <c r="K409" s="230"/>
      <c r="L409" s="230"/>
      <c r="M409" s="246"/>
      <c r="N409" s="230"/>
      <c r="O409" s="230"/>
      <c r="P409" s="230"/>
      <c r="Q409" s="230"/>
      <c r="R409" s="256"/>
      <c r="S409" s="257"/>
      <c r="T409" s="228"/>
      <c r="U409" s="228"/>
      <c r="V409" s="258"/>
      <c r="W409" s="254"/>
      <c r="X409" s="254"/>
      <c r="Y409" s="228"/>
      <c r="Z409" s="255"/>
      <c r="AA409" s="248"/>
      <c r="AB409" s="248"/>
      <c r="AC409" s="248"/>
      <c r="AD409" s="247"/>
      <c r="AE409" s="228"/>
      <c r="AF409" s="228"/>
      <c r="AG409" s="248"/>
      <c r="AH409" s="248"/>
      <c r="AI409" s="194"/>
      <c r="AJ409" s="249"/>
      <c r="AK409" s="250"/>
      <c r="AL409" s="251"/>
      <c r="AM409" s="252"/>
      <c r="AN409" s="241"/>
      <c r="AO409" s="241"/>
      <c r="AP409" s="241"/>
      <c r="AQ409" s="194"/>
      <c r="AR409" s="195"/>
      <c r="AS409" s="195"/>
    </row>
    <row r="410" spans="2:45">
      <c r="B410" s="253"/>
      <c r="C410" s="230"/>
      <c r="D410" s="245"/>
      <c r="E410" s="230"/>
      <c r="F410" s="230"/>
      <c r="G410" s="230"/>
      <c r="H410" s="230"/>
      <c r="I410" s="228"/>
      <c r="J410" s="228"/>
      <c r="K410" s="230"/>
      <c r="L410" s="230"/>
      <c r="M410" s="246"/>
      <c r="N410" s="230"/>
      <c r="O410" s="230"/>
      <c r="P410" s="230"/>
      <c r="Q410" s="230"/>
      <c r="R410" s="256"/>
      <c r="S410" s="257"/>
      <c r="T410" s="228"/>
      <c r="U410" s="228"/>
      <c r="V410" s="258"/>
      <c r="W410" s="254"/>
      <c r="X410" s="254"/>
      <c r="Y410" s="228"/>
      <c r="Z410" s="255"/>
      <c r="AA410" s="248"/>
      <c r="AB410" s="248"/>
      <c r="AC410" s="248"/>
      <c r="AD410" s="247"/>
      <c r="AE410" s="228"/>
      <c r="AF410" s="228"/>
      <c r="AG410" s="248"/>
      <c r="AH410" s="248"/>
      <c r="AI410" s="194"/>
      <c r="AJ410" s="249"/>
      <c r="AK410" s="250"/>
      <c r="AL410" s="251"/>
      <c r="AM410" s="252"/>
      <c r="AN410" s="241"/>
      <c r="AO410" s="241"/>
      <c r="AP410" s="241"/>
      <c r="AQ410" s="194"/>
      <c r="AR410" s="195"/>
      <c r="AS410" s="195"/>
    </row>
    <row r="411" spans="2:45">
      <c r="B411" s="253"/>
      <c r="C411" s="230"/>
      <c r="D411" s="245"/>
      <c r="E411" s="230"/>
      <c r="F411" s="230"/>
      <c r="G411" s="230"/>
      <c r="H411" s="230"/>
      <c r="I411" s="228"/>
      <c r="J411" s="228"/>
      <c r="K411" s="230"/>
      <c r="L411" s="230"/>
      <c r="M411" s="246"/>
      <c r="N411" s="230"/>
      <c r="O411" s="230"/>
      <c r="P411" s="230"/>
      <c r="Q411" s="230"/>
      <c r="R411" s="256"/>
      <c r="S411" s="257"/>
      <c r="T411" s="228"/>
      <c r="U411" s="228"/>
      <c r="V411" s="258"/>
      <c r="W411" s="254"/>
      <c r="X411" s="254"/>
      <c r="Y411" s="228"/>
      <c r="Z411" s="255"/>
      <c r="AA411" s="248"/>
      <c r="AB411" s="248"/>
      <c r="AC411" s="248"/>
      <c r="AD411" s="247"/>
      <c r="AE411" s="228"/>
      <c r="AF411" s="228"/>
      <c r="AG411" s="248"/>
      <c r="AH411" s="248"/>
      <c r="AI411" s="194"/>
      <c r="AJ411" s="249"/>
      <c r="AK411" s="250"/>
      <c r="AL411" s="251"/>
      <c r="AM411" s="252"/>
      <c r="AN411" s="241"/>
      <c r="AO411" s="241"/>
      <c r="AP411" s="241"/>
      <c r="AQ411" s="194"/>
      <c r="AR411" s="195"/>
      <c r="AS411" s="195"/>
    </row>
    <row r="412" spans="2:45">
      <c r="B412" s="253"/>
      <c r="C412" s="230"/>
      <c r="D412" s="245"/>
      <c r="E412" s="230"/>
      <c r="F412" s="230"/>
      <c r="G412" s="230"/>
      <c r="H412" s="230"/>
      <c r="I412" s="228"/>
      <c r="J412" s="228"/>
      <c r="K412" s="230"/>
      <c r="L412" s="230"/>
      <c r="M412" s="246"/>
      <c r="N412" s="230"/>
      <c r="O412" s="230"/>
      <c r="P412" s="230"/>
      <c r="Q412" s="230"/>
      <c r="R412" s="256"/>
      <c r="S412" s="257"/>
      <c r="T412" s="228"/>
      <c r="U412" s="228"/>
      <c r="V412" s="258"/>
      <c r="W412" s="254"/>
      <c r="X412" s="254"/>
      <c r="Y412" s="228"/>
      <c r="Z412" s="255"/>
      <c r="AA412" s="248"/>
      <c r="AB412" s="248"/>
      <c r="AC412" s="248"/>
      <c r="AD412" s="247"/>
      <c r="AE412" s="228"/>
      <c r="AF412" s="228"/>
      <c r="AG412" s="248"/>
      <c r="AH412" s="248"/>
      <c r="AI412" s="194"/>
      <c r="AJ412" s="249"/>
      <c r="AK412" s="250"/>
      <c r="AL412" s="251"/>
      <c r="AM412" s="252"/>
      <c r="AN412" s="241"/>
      <c r="AO412" s="241"/>
      <c r="AP412" s="241"/>
      <c r="AQ412" s="194"/>
      <c r="AR412" s="195"/>
      <c r="AS412" s="195"/>
    </row>
    <row r="413" spans="2:45">
      <c r="D413" s="245"/>
      <c r="W413" s="254"/>
      <c r="X413" s="292"/>
    </row>
  </sheetData>
  <mergeCells count="4">
    <mergeCell ref="B1:G1"/>
    <mergeCell ref="A8:I8"/>
    <mergeCell ref="A15:I15"/>
    <mergeCell ref="A35:I35"/>
  </mergeCells>
  <hyperlinks>
    <hyperlink ref="E5" r:id="rId1" display="javascript:void(0)"/>
    <hyperlink ref="E4" r:id="rId2" display="javascript:void(0)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412"/>
  <sheetViews>
    <sheetView workbookViewId="0">
      <pane xSplit="15" ySplit="4" topLeftCell="P5" activePane="bottomRight" state="frozen"/>
      <selection activeCell="B1" sqref="B1"/>
      <selection pane="topRight" activeCell="Q1" sqref="Q1"/>
      <selection pane="bottomLeft" activeCell="B5" sqref="B5"/>
      <selection pane="bottomRight" activeCell="I26" sqref="I26"/>
    </sheetView>
  </sheetViews>
  <sheetFormatPr defaultColWidth="9.109375" defaultRowHeight="15.6"/>
  <cols>
    <col min="1" max="1" width="5.33203125" style="259" customWidth="1"/>
    <col min="2" max="2" width="25.88671875" style="261" customWidth="1"/>
    <col min="3" max="3" width="13.5546875" style="262" customWidth="1"/>
    <col min="4" max="4" width="20.6640625" style="261" customWidth="1"/>
    <col min="5" max="5" width="20.6640625" style="261" hidden="1" customWidth="1"/>
    <col min="6" max="6" width="5.5546875" style="261" customWidth="1"/>
    <col min="7" max="7" width="5.5546875" style="263" customWidth="1"/>
    <col min="8" max="9" width="6" style="261" customWidth="1"/>
    <col min="10" max="10" width="16.44140625" style="265" customWidth="1"/>
    <col min="11" max="11" width="20.6640625" style="261" hidden="1" customWidth="1"/>
    <col min="12" max="12" width="15" style="261" hidden="1" customWidth="1"/>
    <col min="13" max="13" width="14.109375" style="261" hidden="1" customWidth="1"/>
    <col min="14" max="14" width="12.33203125" style="261" hidden="1" customWidth="1"/>
    <col min="15" max="15" width="13.5546875" style="261" hidden="1" customWidth="1"/>
    <col min="16" max="16" width="10.6640625" style="264" customWidth="1"/>
    <col min="17" max="17" width="22.44140625" style="265" customWidth="1"/>
    <col min="18" max="18" width="12" style="263" customWidth="1"/>
    <col min="19" max="19" width="21.33203125" style="263" customWidth="1"/>
    <col min="20" max="20" width="16" style="266" hidden="1" customWidth="1"/>
    <col min="21" max="21" width="13.109375" style="263" hidden="1" customWidth="1"/>
    <col min="22" max="22" width="9.5546875" style="263" hidden="1" customWidth="1"/>
    <col min="23" max="23" width="24.44140625" style="263" customWidth="1"/>
    <col min="24" max="24" width="16.88671875" style="267" hidden="1" customWidth="1"/>
    <col min="25" max="25" width="12.5546875" style="268" customWidth="1"/>
    <col min="26" max="26" width="12.6640625" style="268" customWidth="1"/>
    <col min="27" max="27" width="11.88671875" style="263" customWidth="1"/>
    <col min="28" max="28" width="10.33203125" style="263" customWidth="1"/>
    <col min="29" max="29" width="12" style="263" customWidth="1"/>
    <col min="30" max="30" width="10.88671875" style="263" customWidth="1"/>
    <col min="31" max="31" width="13.33203125" style="268" customWidth="1"/>
    <col min="32" max="32" width="15.6640625" style="264" customWidth="1"/>
    <col min="33" max="34" width="10.33203125" style="263" customWidth="1"/>
    <col min="35" max="35" width="14.6640625" style="268" customWidth="1"/>
    <col min="36" max="36" width="19.44140625" style="268" customWidth="1"/>
    <col min="37" max="37" width="15.5546875" style="269" customWidth="1"/>
    <col min="38" max="38" width="35.88671875" style="270" hidden="1" customWidth="1"/>
    <col min="39" max="39" width="18.6640625" style="271" customWidth="1"/>
    <col min="40" max="40" width="16.6640625" style="272" customWidth="1"/>
    <col min="41" max="41" width="15.109375" style="273" customWidth="1"/>
    <col min="42" max="42" width="20.44140625" style="274" hidden="1" customWidth="1"/>
    <col min="43" max="43" width="20.6640625" style="274" hidden="1" customWidth="1"/>
    <col min="44" max="44" width="22" style="274" hidden="1" customWidth="1"/>
    <col min="45" max="45" width="26.109375" style="269" hidden="1" customWidth="1"/>
    <col min="46" max="46" width="34.33203125" style="196" customWidth="1"/>
    <col min="47" max="47" width="18.88671875" style="196" bestFit="1" customWidth="1"/>
    <col min="48" max="16384" width="9.109375" style="196"/>
  </cols>
  <sheetData>
    <row r="1" spans="1:47" ht="15.75" customHeight="1">
      <c r="A1" s="3698" t="s">
        <v>555</v>
      </c>
      <c r="B1" s="3699"/>
      <c r="C1" s="3699"/>
      <c r="D1" s="3699"/>
      <c r="E1" s="3700"/>
      <c r="F1" s="279"/>
      <c r="G1" s="277"/>
      <c r="H1" s="277"/>
      <c r="I1" s="280"/>
      <c r="J1" s="280"/>
      <c r="K1" s="370"/>
      <c r="L1" s="280"/>
      <c r="M1" s="280"/>
      <c r="N1" s="280"/>
      <c r="O1" s="280"/>
      <c r="P1" s="280"/>
      <c r="Q1" s="280"/>
      <c r="R1" s="280"/>
      <c r="S1" s="280"/>
      <c r="T1" s="281"/>
      <c r="U1" s="280"/>
      <c r="V1" s="280"/>
      <c r="W1" s="280"/>
      <c r="X1" s="280"/>
      <c r="Y1" s="277"/>
      <c r="Z1" s="277"/>
      <c r="AA1" s="277"/>
      <c r="AB1" s="277"/>
      <c r="AC1" s="277"/>
      <c r="AD1" s="277"/>
      <c r="AE1" s="277"/>
      <c r="AF1" s="278"/>
      <c r="AG1" s="277"/>
      <c r="AH1" s="277"/>
      <c r="AI1" s="278"/>
      <c r="AJ1" s="278"/>
      <c r="AK1" s="278"/>
      <c r="AL1" s="282"/>
      <c r="AM1" s="278"/>
      <c r="AN1" s="278"/>
      <c r="AO1" s="283"/>
      <c r="AP1" s="284"/>
      <c r="AQ1" s="284"/>
      <c r="AR1" s="284"/>
      <c r="AS1" s="194"/>
      <c r="AT1" s="195"/>
    </row>
    <row r="2" spans="1:47" ht="18">
      <c r="A2" s="197"/>
      <c r="B2" s="2" t="s">
        <v>658</v>
      </c>
      <c r="C2" s="200"/>
      <c r="D2" s="199"/>
      <c r="E2" s="199"/>
      <c r="F2" s="198"/>
      <c r="G2" s="201"/>
      <c r="H2" s="198"/>
      <c r="I2" s="198"/>
      <c r="J2" s="202"/>
      <c r="K2" s="199"/>
      <c r="L2" s="198"/>
      <c r="M2" s="198"/>
      <c r="N2" s="198"/>
      <c r="O2" s="198"/>
      <c r="P2" s="202"/>
      <c r="Q2" s="202"/>
      <c r="R2" s="203"/>
      <c r="S2" s="202"/>
      <c r="T2" s="204"/>
      <c r="U2" s="202"/>
      <c r="V2" s="202"/>
      <c r="W2" s="202"/>
      <c r="X2" s="202"/>
      <c r="Y2" s="198"/>
      <c r="Z2" s="198"/>
      <c r="AA2" s="198"/>
      <c r="AB2" s="198"/>
      <c r="AC2" s="198"/>
      <c r="AD2" s="198"/>
      <c r="AE2" s="198"/>
      <c r="AF2" s="199"/>
      <c r="AG2" s="198"/>
      <c r="AH2" s="198"/>
      <c r="AI2" s="199"/>
      <c r="AJ2" s="199"/>
      <c r="AK2" s="199"/>
      <c r="AL2" s="205"/>
      <c r="AM2" s="199"/>
      <c r="AN2" s="199"/>
      <c r="AO2" s="206"/>
      <c r="AP2" s="207"/>
      <c r="AQ2" s="207"/>
      <c r="AR2" s="207"/>
      <c r="AS2" s="194"/>
      <c r="AT2" s="195"/>
      <c r="AU2" s="195"/>
    </row>
    <row r="3" spans="1:47" s="226" customFormat="1" ht="39.6">
      <c r="A3" s="209" t="s">
        <v>2</v>
      </c>
      <c r="B3" s="211" t="s">
        <v>175</v>
      </c>
      <c r="C3" s="212" t="s">
        <v>176</v>
      </c>
      <c r="D3" s="211" t="s">
        <v>177</v>
      </c>
      <c r="E3" s="210" t="s">
        <v>178</v>
      </c>
      <c r="F3" s="211" t="s">
        <v>179</v>
      </c>
      <c r="G3" s="211" t="s">
        <v>8</v>
      </c>
      <c r="H3" s="211" t="s">
        <v>9</v>
      </c>
      <c r="I3" s="211" t="s">
        <v>102</v>
      </c>
      <c r="J3" s="214" t="s">
        <v>404</v>
      </c>
      <c r="K3" s="212" t="s">
        <v>7</v>
      </c>
      <c r="L3" s="212" t="s">
        <v>11</v>
      </c>
      <c r="M3" s="212" t="s">
        <v>12</v>
      </c>
      <c r="N3" s="212" t="s">
        <v>13</v>
      </c>
      <c r="O3" s="212" t="s">
        <v>182</v>
      </c>
      <c r="P3" s="213" t="s">
        <v>181</v>
      </c>
      <c r="Q3" s="214" t="s">
        <v>183</v>
      </c>
      <c r="R3" s="211" t="s">
        <v>184</v>
      </c>
      <c r="S3" s="211" t="s">
        <v>185</v>
      </c>
      <c r="T3" s="215" t="s">
        <v>186</v>
      </c>
      <c r="U3" s="210" t="s">
        <v>187</v>
      </c>
      <c r="V3" s="210" t="s">
        <v>208</v>
      </c>
      <c r="W3" s="210" t="s">
        <v>188</v>
      </c>
      <c r="X3" s="216" t="s">
        <v>189</v>
      </c>
      <c r="Y3" s="217" t="s">
        <v>190</v>
      </c>
      <c r="Z3" s="217" t="s">
        <v>191</v>
      </c>
      <c r="AA3" s="210" t="s">
        <v>556</v>
      </c>
      <c r="AB3" s="210" t="s">
        <v>650</v>
      </c>
      <c r="AC3" s="210" t="s">
        <v>1277</v>
      </c>
      <c r="AD3" s="210" t="s">
        <v>1278</v>
      </c>
      <c r="AE3" s="218" t="s">
        <v>192</v>
      </c>
      <c r="AF3" s="218" t="s">
        <v>193</v>
      </c>
      <c r="AG3" s="210" t="s">
        <v>395</v>
      </c>
      <c r="AH3" s="210" t="s">
        <v>557</v>
      </c>
      <c r="AI3" s="219" t="s">
        <v>209</v>
      </c>
      <c r="AJ3" s="219" t="s">
        <v>195</v>
      </c>
      <c r="AK3" s="220" t="s">
        <v>196</v>
      </c>
      <c r="AL3" s="221" t="s">
        <v>197</v>
      </c>
      <c r="AM3" s="218" t="s">
        <v>198</v>
      </c>
      <c r="AN3" s="219" t="s">
        <v>199</v>
      </c>
      <c r="AO3" s="222" t="s">
        <v>200</v>
      </c>
      <c r="AP3" s="223" t="s">
        <v>201</v>
      </c>
      <c r="AQ3" s="223" t="s">
        <v>202</v>
      </c>
      <c r="AR3" s="223" t="s">
        <v>203</v>
      </c>
      <c r="AS3" s="224" t="s">
        <v>204</v>
      </c>
      <c r="AT3" s="225" t="s">
        <v>205</v>
      </c>
      <c r="AU3" s="225" t="s">
        <v>1369</v>
      </c>
    </row>
    <row r="4" spans="1:47" s="13" customFormat="1" ht="36" customHeight="1">
      <c r="A4" s="3703" t="s">
        <v>436</v>
      </c>
      <c r="B4" s="3704"/>
      <c r="C4" s="3704"/>
      <c r="D4" s="3704"/>
      <c r="E4" s="3704"/>
      <c r="F4" s="369"/>
      <c r="G4" s="346"/>
      <c r="H4" s="346"/>
      <c r="I4" s="346"/>
      <c r="J4" s="346"/>
      <c r="K4" s="369"/>
      <c r="L4" s="346"/>
      <c r="M4" s="346"/>
      <c r="N4" s="346"/>
      <c r="O4" s="346"/>
      <c r="P4" s="346"/>
      <c r="Q4" s="346"/>
      <c r="R4" s="346"/>
      <c r="S4" s="354"/>
      <c r="T4" s="355"/>
      <c r="U4" s="356"/>
      <c r="V4" s="355"/>
      <c r="W4" s="354"/>
      <c r="X4" s="353"/>
      <c r="Y4" s="346"/>
      <c r="Z4" s="357"/>
      <c r="AA4" s="357"/>
      <c r="AB4" s="357"/>
      <c r="AC4" s="357"/>
      <c r="AD4" s="357"/>
      <c r="AE4" s="357"/>
      <c r="AF4" s="357"/>
      <c r="AG4" s="357"/>
      <c r="AH4" s="357"/>
      <c r="AI4" s="357"/>
      <c r="AJ4" s="358"/>
      <c r="AK4" s="358"/>
      <c r="AL4" s="359"/>
      <c r="AM4" s="358"/>
      <c r="AN4" s="358"/>
      <c r="AO4" s="357"/>
      <c r="AP4" s="357"/>
      <c r="AQ4" s="357"/>
      <c r="AR4" s="357"/>
      <c r="AS4" s="357"/>
      <c r="AT4" s="357"/>
      <c r="AU4" s="357"/>
    </row>
    <row r="5" spans="1:47" ht="17.399999999999999">
      <c r="A5" s="253"/>
      <c r="B5" s="286" t="s">
        <v>664</v>
      </c>
      <c r="C5" s="245">
        <v>44993</v>
      </c>
      <c r="D5" s="47" t="s">
        <v>577</v>
      </c>
      <c r="E5" s="230"/>
      <c r="F5" s="230" t="s">
        <v>210</v>
      </c>
      <c r="G5" s="228"/>
      <c r="H5" s="230">
        <v>1</v>
      </c>
      <c r="I5" s="230"/>
      <c r="J5" s="246" t="s">
        <v>662</v>
      </c>
      <c r="K5" s="381" t="s">
        <v>559</v>
      </c>
      <c r="L5" s="180">
        <v>0</v>
      </c>
      <c r="M5" s="181">
        <f>SUM(G5:I5)*500000</f>
        <v>500000</v>
      </c>
      <c r="N5" s="182">
        <v>300000</v>
      </c>
      <c r="O5" s="183">
        <f>+SUM(L5:N5)</f>
        <v>800000</v>
      </c>
      <c r="P5" s="183"/>
      <c r="Q5" s="257"/>
      <c r="R5" s="228"/>
      <c r="S5" s="228">
        <v>225592668</v>
      </c>
      <c r="T5" s="245"/>
      <c r="U5" s="254"/>
      <c r="V5" s="254"/>
      <c r="W5" s="291" t="s">
        <v>561</v>
      </c>
      <c r="X5" s="255"/>
      <c r="Y5" s="373">
        <v>1350000</v>
      </c>
      <c r="Z5" s="373">
        <v>709500</v>
      </c>
      <c r="AA5" s="324">
        <v>99000</v>
      </c>
      <c r="AB5" s="371">
        <v>500000</v>
      </c>
      <c r="AC5" s="248"/>
      <c r="AD5" s="248"/>
      <c r="AE5" s="248"/>
      <c r="AF5" s="247"/>
      <c r="AG5" s="351">
        <v>4650000</v>
      </c>
      <c r="AH5" s="351">
        <v>600000</v>
      </c>
      <c r="AI5" s="351">
        <v>600000</v>
      </c>
      <c r="AJ5" s="340">
        <f>+Y5+Z5+AA5+AB5+AE5+AC5+AD5</f>
        <v>2658500</v>
      </c>
      <c r="AK5" s="343">
        <f t="shared" ref="AK5:AK19" si="0">+AF5</f>
        <v>0</v>
      </c>
      <c r="AL5" s="249" t="s">
        <v>652</v>
      </c>
      <c r="AM5" s="341">
        <f>(AG5+AH5+AI5)*1.1</f>
        <v>6435000.0000000009</v>
      </c>
      <c r="AN5" s="342">
        <f>+AM5+AK5+AJ5</f>
        <v>9093500</v>
      </c>
      <c r="AO5" s="351">
        <f>+Z5+Y5</f>
        <v>2059500</v>
      </c>
      <c r="AP5" s="241"/>
      <c r="AQ5" s="241"/>
      <c r="AR5" s="241"/>
      <c r="AS5" s="194"/>
      <c r="AT5" s="195"/>
      <c r="AU5" s="195"/>
    </row>
    <row r="6" spans="1:47" ht="17.399999999999999">
      <c r="A6" s="253"/>
      <c r="B6" s="286" t="s">
        <v>665</v>
      </c>
      <c r="C6" s="245" t="s">
        <v>558</v>
      </c>
      <c r="D6" s="47" t="s">
        <v>578</v>
      </c>
      <c r="E6" s="230"/>
      <c r="F6" s="230" t="s">
        <v>210</v>
      </c>
      <c r="G6" s="228"/>
      <c r="H6" s="230">
        <v>1</v>
      </c>
      <c r="I6" s="230"/>
      <c r="J6" s="372" t="s">
        <v>663</v>
      </c>
      <c r="K6" s="381" t="s">
        <v>559</v>
      </c>
      <c r="L6" s="180">
        <v>0</v>
      </c>
      <c r="M6" s="181">
        <f>SUM(G6:I6)*500000</f>
        <v>500000</v>
      </c>
      <c r="N6" s="182">
        <v>300000</v>
      </c>
      <c r="O6" s="183">
        <f>+SUM(L6:N6)</f>
        <v>800000</v>
      </c>
      <c r="P6" s="256"/>
      <c r="Q6" s="257"/>
      <c r="R6" s="228"/>
      <c r="S6" s="228" t="s">
        <v>560</v>
      </c>
      <c r="T6" s="245"/>
      <c r="U6" s="254"/>
      <c r="V6" s="254"/>
      <c r="W6" s="228" t="s">
        <v>562</v>
      </c>
      <c r="X6" s="255"/>
      <c r="Y6" s="373">
        <v>1350000</v>
      </c>
      <c r="Z6" s="373">
        <v>709500</v>
      </c>
      <c r="AA6" s="324">
        <v>99000</v>
      </c>
      <c r="AB6" s="371">
        <v>500000</v>
      </c>
      <c r="AC6" s="248"/>
      <c r="AD6" s="248"/>
      <c r="AE6" s="248"/>
      <c r="AF6" s="247"/>
      <c r="AG6" s="351">
        <v>4650000</v>
      </c>
      <c r="AH6" s="351">
        <v>600000</v>
      </c>
      <c r="AI6" s="351">
        <v>600000</v>
      </c>
      <c r="AJ6" s="340">
        <f>+Y6+Z6+AA6+AB6+AE6+AC6+AD6</f>
        <v>2658500</v>
      </c>
      <c r="AK6" s="343">
        <f t="shared" si="0"/>
        <v>0</v>
      </c>
      <c r="AL6" s="249" t="s">
        <v>651</v>
      </c>
      <c r="AM6" s="341">
        <f>(AG6+AH6+AI6)*1.1</f>
        <v>6435000.0000000009</v>
      </c>
      <c r="AN6" s="342">
        <f t="shared" ref="AN6:AN19" si="1">+AM6+AK6+AJ6</f>
        <v>9093500</v>
      </c>
      <c r="AO6" s="351">
        <f>+Z6+Y6</f>
        <v>2059500</v>
      </c>
      <c r="AP6" s="241"/>
      <c r="AQ6" s="241"/>
      <c r="AR6" s="241"/>
      <c r="AS6" s="194"/>
      <c r="AT6" s="195"/>
      <c r="AU6" s="195"/>
    </row>
    <row r="7" spans="1:47" ht="17.399999999999999">
      <c r="A7" s="253"/>
      <c r="B7" s="286" t="s">
        <v>648</v>
      </c>
      <c r="C7" s="245" t="s">
        <v>559</v>
      </c>
      <c r="D7" s="47" t="s">
        <v>644</v>
      </c>
      <c r="E7" s="230"/>
      <c r="F7" s="230" t="s">
        <v>210</v>
      </c>
      <c r="G7" s="228"/>
      <c r="H7" s="230">
        <v>1</v>
      </c>
      <c r="I7" s="230"/>
      <c r="J7" s="372" t="s">
        <v>663</v>
      </c>
      <c r="K7" s="381" t="s">
        <v>559</v>
      </c>
      <c r="L7" s="180">
        <v>0</v>
      </c>
      <c r="M7" s="181">
        <f>SUM(G7:I7)*500000</f>
        <v>500000</v>
      </c>
      <c r="N7" s="182">
        <v>300000</v>
      </c>
      <c r="O7" s="183">
        <f>+SUM(L7:N7)</f>
        <v>800000</v>
      </c>
      <c r="P7" s="256"/>
      <c r="Q7" s="257"/>
      <c r="R7" s="228"/>
      <c r="S7" s="228">
        <v>226179041</v>
      </c>
      <c r="T7" s="245"/>
      <c r="U7" s="254"/>
      <c r="V7" s="254"/>
      <c r="W7" s="228" t="s">
        <v>649</v>
      </c>
      <c r="X7" s="255"/>
      <c r="Y7" s="373">
        <v>1300000</v>
      </c>
      <c r="Z7" s="373">
        <v>709500</v>
      </c>
      <c r="AA7" s="324">
        <v>99000</v>
      </c>
      <c r="AB7" s="371">
        <v>500000</v>
      </c>
      <c r="AC7" s="248"/>
      <c r="AD7" s="248"/>
      <c r="AE7" s="248"/>
      <c r="AF7" s="247"/>
      <c r="AG7" s="351">
        <v>4650000</v>
      </c>
      <c r="AH7" s="351">
        <v>600000</v>
      </c>
      <c r="AI7" s="351">
        <v>600000</v>
      </c>
      <c r="AJ7" s="340">
        <f>+Y7+Z7+AA7+AB7+AE7+AC7+AD7</f>
        <v>2608500</v>
      </c>
      <c r="AK7" s="343">
        <f t="shared" si="0"/>
        <v>0</v>
      </c>
      <c r="AL7" s="249" t="s">
        <v>653</v>
      </c>
      <c r="AM7" s="341">
        <f>(AG7+AH7+AI7)*1.1</f>
        <v>6435000.0000000009</v>
      </c>
      <c r="AN7" s="342">
        <f t="shared" si="1"/>
        <v>9043500</v>
      </c>
      <c r="AO7" s="351">
        <f>+Z7+Y7</f>
        <v>2009500</v>
      </c>
      <c r="AP7" s="241"/>
      <c r="AQ7" s="241"/>
      <c r="AR7" s="241"/>
      <c r="AS7" s="194"/>
      <c r="AT7" s="195"/>
      <c r="AU7" s="195"/>
    </row>
    <row r="8" spans="1:47" s="13" customFormat="1" ht="36" customHeight="1">
      <c r="A8" s="3703" t="s">
        <v>1239</v>
      </c>
      <c r="B8" s="3704"/>
      <c r="C8" s="3704"/>
      <c r="D8" s="3704"/>
      <c r="E8" s="3704"/>
      <c r="F8" s="369"/>
      <c r="G8" s="346"/>
      <c r="H8" s="346"/>
      <c r="I8" s="346"/>
      <c r="J8" s="346"/>
      <c r="K8" s="369"/>
      <c r="L8" s="346"/>
      <c r="M8" s="346"/>
      <c r="N8" s="346"/>
      <c r="O8" s="346"/>
      <c r="P8" s="346"/>
      <c r="Q8" s="346"/>
      <c r="R8" s="346"/>
      <c r="S8" s="354"/>
      <c r="T8" s="355"/>
      <c r="U8" s="356"/>
      <c r="V8" s="355"/>
      <c r="W8" s="354"/>
      <c r="X8" s="353"/>
      <c r="Y8" s="346"/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358"/>
      <c r="AK8" s="358"/>
      <c r="AL8" s="359"/>
      <c r="AM8" s="358"/>
      <c r="AN8" s="358"/>
      <c r="AO8" s="357"/>
      <c r="AP8" s="357"/>
      <c r="AQ8" s="357"/>
      <c r="AR8" s="357"/>
      <c r="AS8" s="357"/>
      <c r="AT8" s="357"/>
      <c r="AU8" s="357"/>
    </row>
    <row r="9" spans="1:47" ht="17.399999999999999">
      <c r="A9" s="253"/>
      <c r="B9" s="364">
        <v>105551969940</v>
      </c>
      <c r="C9" s="245">
        <v>45117</v>
      </c>
      <c r="D9" s="47" t="s">
        <v>1289</v>
      </c>
      <c r="E9" s="230"/>
      <c r="F9" s="230" t="s">
        <v>206</v>
      </c>
      <c r="G9" s="228"/>
      <c r="H9" s="230"/>
      <c r="I9" s="230">
        <v>1</v>
      </c>
      <c r="J9" s="246" t="s">
        <v>662</v>
      </c>
      <c r="K9" s="290"/>
      <c r="L9" s="230"/>
      <c r="M9" s="230"/>
      <c r="N9" s="230"/>
      <c r="O9" s="230"/>
      <c r="P9" s="475">
        <v>2</v>
      </c>
      <c r="Q9" s="475" t="s">
        <v>1381</v>
      </c>
      <c r="R9" s="228"/>
      <c r="S9" s="228" t="s">
        <v>1273</v>
      </c>
      <c r="T9" s="228"/>
      <c r="U9" s="254"/>
      <c r="V9" s="254"/>
      <c r="W9" s="228" t="s">
        <v>1274</v>
      </c>
      <c r="X9" s="255"/>
      <c r="Y9" s="324">
        <f>152928+27805</f>
        <v>180733</v>
      </c>
      <c r="Z9" s="248"/>
      <c r="AA9" s="349"/>
      <c r="AB9" s="351"/>
      <c r="AC9" s="351"/>
      <c r="AD9" s="351"/>
      <c r="AE9" s="248"/>
      <c r="AF9" s="247"/>
      <c r="AG9" s="351">
        <f>1000000+1350000</f>
        <v>2350000</v>
      </c>
      <c r="AH9" s="351"/>
      <c r="AI9" s="351"/>
      <c r="AJ9" s="340">
        <f>+Y9+Z9+AA9+AB9+AE9+AC9+AD9</f>
        <v>180733</v>
      </c>
      <c r="AK9" s="343">
        <f>+AF9</f>
        <v>0</v>
      </c>
      <c r="AL9" s="249"/>
      <c r="AM9" s="341">
        <f>(AG9+AH9+AI9)*1.08</f>
        <v>2538000</v>
      </c>
      <c r="AN9" s="342">
        <f t="shared" si="1"/>
        <v>2718733</v>
      </c>
      <c r="AO9" s="252"/>
      <c r="AP9" s="241"/>
      <c r="AQ9" s="241"/>
      <c r="AR9" s="241"/>
      <c r="AS9" s="194"/>
      <c r="AT9" s="195"/>
      <c r="AU9" s="3705" t="s">
        <v>1370</v>
      </c>
    </row>
    <row r="10" spans="1:47" ht="17.399999999999999">
      <c r="A10" s="253"/>
      <c r="B10" s="364">
        <v>105570983561</v>
      </c>
      <c r="C10" s="245">
        <v>45117</v>
      </c>
      <c r="D10" s="47" t="s">
        <v>1290</v>
      </c>
      <c r="E10" s="230"/>
      <c r="F10" s="230" t="s">
        <v>206</v>
      </c>
      <c r="G10" s="228"/>
      <c r="H10" s="230">
        <v>1</v>
      </c>
      <c r="I10" s="230"/>
      <c r="J10" s="372" t="s">
        <v>663</v>
      </c>
      <c r="K10" s="230"/>
      <c r="L10" s="230"/>
      <c r="M10" s="230"/>
      <c r="N10" s="230"/>
      <c r="O10" s="230"/>
      <c r="P10" s="475"/>
      <c r="Q10" s="257"/>
      <c r="R10" s="228"/>
      <c r="S10" s="228" t="s">
        <v>1275</v>
      </c>
      <c r="T10" s="228"/>
      <c r="U10" s="254"/>
      <c r="V10" s="254"/>
      <c r="W10" s="228" t="s">
        <v>1276</v>
      </c>
      <c r="X10" s="255"/>
      <c r="Y10" s="324">
        <v>1150200</v>
      </c>
      <c r="Z10" s="373">
        <v>1430000</v>
      </c>
      <c r="AA10" s="349"/>
      <c r="AB10" s="371">
        <v>500000</v>
      </c>
      <c r="AC10" s="324">
        <f>213210+106605+106605</f>
        <v>426420</v>
      </c>
      <c r="AD10" s="228"/>
      <c r="AE10" s="248"/>
      <c r="AF10" s="247"/>
      <c r="AG10" s="351">
        <v>4650000</v>
      </c>
      <c r="AH10" s="351"/>
      <c r="AI10" s="351"/>
      <c r="AJ10" s="340">
        <f t="shared" ref="AJ10:AJ19" si="2">+Y10+Z10+AA10+AB10+AE10+AC10+AD10</f>
        <v>3506620</v>
      </c>
      <c r="AK10" s="343">
        <f t="shared" si="0"/>
        <v>0</v>
      </c>
      <c r="AL10" s="249"/>
      <c r="AM10" s="341">
        <f t="shared" ref="AM10:AM19" si="3">(AG10+AH10+AI10)*1.08</f>
        <v>5022000</v>
      </c>
      <c r="AN10" s="342">
        <f t="shared" si="1"/>
        <v>8528620</v>
      </c>
      <c r="AO10" s="252"/>
      <c r="AP10" s="241"/>
      <c r="AQ10" s="241"/>
      <c r="AR10" s="241"/>
      <c r="AS10" s="194"/>
      <c r="AT10" s="195"/>
      <c r="AU10" s="3706"/>
    </row>
    <row r="11" spans="1:47" ht="17.399999999999999">
      <c r="A11" s="253"/>
      <c r="B11" s="366">
        <v>105588821700</v>
      </c>
      <c r="C11" s="245">
        <v>45125</v>
      </c>
      <c r="D11" s="47" t="s">
        <v>1340</v>
      </c>
      <c r="E11" s="230"/>
      <c r="F11" s="230" t="s">
        <v>206</v>
      </c>
      <c r="G11" s="228"/>
      <c r="H11" s="230"/>
      <c r="I11" s="230">
        <v>1</v>
      </c>
      <c r="J11" s="246" t="s">
        <v>662</v>
      </c>
      <c r="K11" s="230"/>
      <c r="L11" s="230"/>
      <c r="M11" s="230"/>
      <c r="N11" s="230"/>
      <c r="O11" s="230"/>
      <c r="P11" s="475">
        <v>130</v>
      </c>
      <c r="Q11" s="257" t="s">
        <v>1382</v>
      </c>
      <c r="R11" s="228"/>
      <c r="S11" s="228" t="s">
        <v>1338</v>
      </c>
      <c r="T11" s="228"/>
      <c r="U11" s="254"/>
      <c r="V11" s="254"/>
      <c r="W11" s="228" t="s">
        <v>1339</v>
      </c>
      <c r="X11" s="255"/>
      <c r="Y11" s="324">
        <v>189098</v>
      </c>
      <c r="Z11" s="248"/>
      <c r="AA11" s="349"/>
      <c r="AB11" s="228"/>
      <c r="AC11" s="228"/>
      <c r="AD11" s="228"/>
      <c r="AE11" s="248"/>
      <c r="AF11" s="247"/>
      <c r="AG11" s="351">
        <f>1000000+2550000</f>
        <v>3550000</v>
      </c>
      <c r="AH11" s="351"/>
      <c r="AI11" s="351"/>
      <c r="AJ11" s="340">
        <f t="shared" si="2"/>
        <v>189098</v>
      </c>
      <c r="AK11" s="343">
        <f t="shared" si="0"/>
        <v>0</v>
      </c>
      <c r="AL11" s="249"/>
      <c r="AM11" s="341">
        <f t="shared" si="3"/>
        <v>3834000.0000000005</v>
      </c>
      <c r="AN11" s="342">
        <f t="shared" si="1"/>
        <v>4023098.0000000005</v>
      </c>
      <c r="AO11" s="252"/>
      <c r="AP11" s="241"/>
      <c r="AQ11" s="241"/>
      <c r="AR11" s="241"/>
      <c r="AS11" s="194"/>
      <c r="AT11" s="195"/>
      <c r="AU11" s="3706"/>
    </row>
    <row r="12" spans="1:47">
      <c r="A12" s="253"/>
      <c r="B12" s="230" t="s">
        <v>1368</v>
      </c>
      <c r="C12" s="245"/>
      <c r="D12" s="47" t="s">
        <v>1380</v>
      </c>
      <c r="E12" s="230"/>
      <c r="F12" s="230"/>
      <c r="G12" s="228"/>
      <c r="H12" s="230"/>
      <c r="I12" s="230"/>
      <c r="J12" s="246"/>
      <c r="K12" s="230"/>
      <c r="L12" s="230"/>
      <c r="M12" s="230"/>
      <c r="N12" s="230"/>
      <c r="O12" s="230"/>
      <c r="P12" s="256"/>
      <c r="Q12" s="257"/>
      <c r="R12" s="228"/>
      <c r="S12" s="228"/>
      <c r="T12" s="245"/>
      <c r="U12" s="254"/>
      <c r="V12" s="254"/>
      <c r="W12" s="228"/>
      <c r="X12" s="255"/>
      <c r="Y12" s="248"/>
      <c r="Z12" s="248"/>
      <c r="AA12" s="228"/>
      <c r="AB12" s="228"/>
      <c r="AC12" s="228"/>
      <c r="AD12" s="228"/>
      <c r="AE12" s="248"/>
      <c r="AF12" s="247"/>
      <c r="AG12" s="228"/>
      <c r="AH12" s="228"/>
      <c r="AI12" s="248">
        <f>400000*11</f>
        <v>4400000</v>
      </c>
      <c r="AJ12" s="340">
        <f t="shared" si="2"/>
        <v>0</v>
      </c>
      <c r="AK12" s="343">
        <f t="shared" si="0"/>
        <v>0</v>
      </c>
      <c r="AL12" s="249"/>
      <c r="AM12" s="341">
        <f t="shared" si="3"/>
        <v>4752000</v>
      </c>
      <c r="AN12" s="342">
        <f t="shared" si="1"/>
        <v>4752000</v>
      </c>
      <c r="AO12" s="252"/>
      <c r="AP12" s="241"/>
      <c r="AQ12" s="241"/>
      <c r="AR12" s="241"/>
      <c r="AS12" s="194"/>
      <c r="AT12" s="195"/>
      <c r="AU12" s="3707"/>
    </row>
    <row r="13" spans="1:47">
      <c r="A13" s="253"/>
      <c r="B13" s="230"/>
      <c r="C13" s="245"/>
      <c r="D13" s="230"/>
      <c r="E13" s="230"/>
      <c r="F13" s="230"/>
      <c r="G13" s="228"/>
      <c r="H13" s="230"/>
      <c r="I13" s="230"/>
      <c r="J13" s="246"/>
      <c r="K13" s="230"/>
      <c r="L13" s="230"/>
      <c r="M13" s="230"/>
      <c r="N13" s="230"/>
      <c r="O13" s="230"/>
      <c r="P13" s="256"/>
      <c r="Q13" s="257"/>
      <c r="R13" s="228"/>
      <c r="S13" s="228"/>
      <c r="T13" s="245"/>
      <c r="U13" s="254"/>
      <c r="V13" s="254"/>
      <c r="W13" s="228"/>
      <c r="X13" s="255"/>
      <c r="Y13" s="248"/>
      <c r="Z13" s="248"/>
      <c r="AA13" s="228"/>
      <c r="AB13" s="228"/>
      <c r="AC13" s="228"/>
      <c r="AD13" s="228"/>
      <c r="AE13" s="248"/>
      <c r="AF13" s="247"/>
      <c r="AG13" s="228"/>
      <c r="AH13" s="228"/>
      <c r="AI13" s="248"/>
      <c r="AJ13" s="340">
        <f t="shared" si="2"/>
        <v>0</v>
      </c>
      <c r="AK13" s="343">
        <f t="shared" si="0"/>
        <v>0</v>
      </c>
      <c r="AL13" s="249"/>
      <c r="AM13" s="341">
        <f t="shared" si="3"/>
        <v>0</v>
      </c>
      <c r="AN13" s="342">
        <f t="shared" si="1"/>
        <v>0</v>
      </c>
      <c r="AO13" s="252"/>
      <c r="AP13" s="241"/>
      <c r="AQ13" s="241"/>
      <c r="AR13" s="241"/>
      <c r="AS13" s="194"/>
      <c r="AT13" s="195"/>
      <c r="AU13" s="195"/>
    </row>
    <row r="14" spans="1:47">
      <c r="A14" s="253"/>
      <c r="B14" s="230"/>
      <c r="C14" s="245"/>
      <c r="D14" s="230"/>
      <c r="E14" s="230"/>
      <c r="F14" s="230"/>
      <c r="G14" s="228"/>
      <c r="H14" s="230"/>
      <c r="I14" s="230"/>
      <c r="J14" s="246"/>
      <c r="K14" s="230"/>
      <c r="L14" s="230"/>
      <c r="M14" s="230"/>
      <c r="N14" s="230"/>
      <c r="O14" s="230"/>
      <c r="P14" s="256"/>
      <c r="Q14" s="257"/>
      <c r="R14" s="228"/>
      <c r="S14" s="228"/>
      <c r="T14" s="245"/>
      <c r="U14" s="254"/>
      <c r="V14" s="254"/>
      <c r="W14" s="228"/>
      <c r="X14" s="255"/>
      <c r="Y14" s="248"/>
      <c r="Z14" s="248"/>
      <c r="AA14" s="228"/>
      <c r="AB14" s="228"/>
      <c r="AC14" s="228"/>
      <c r="AD14" s="228"/>
      <c r="AE14" s="248"/>
      <c r="AF14" s="247"/>
      <c r="AG14" s="228"/>
      <c r="AH14" s="228"/>
      <c r="AI14" s="248"/>
      <c r="AJ14" s="340">
        <f t="shared" si="2"/>
        <v>0</v>
      </c>
      <c r="AK14" s="343">
        <f t="shared" si="0"/>
        <v>0</v>
      </c>
      <c r="AL14" s="249"/>
      <c r="AM14" s="341">
        <f t="shared" si="3"/>
        <v>0</v>
      </c>
      <c r="AN14" s="342">
        <f t="shared" si="1"/>
        <v>0</v>
      </c>
      <c r="AO14" s="252"/>
      <c r="AP14" s="241"/>
      <c r="AQ14" s="241"/>
      <c r="AR14" s="241"/>
      <c r="AS14" s="194"/>
      <c r="AT14" s="195"/>
      <c r="AU14" s="195"/>
    </row>
    <row r="15" spans="1:47">
      <c r="A15" s="253"/>
      <c r="B15" s="230"/>
      <c r="C15" s="245"/>
      <c r="D15" s="230"/>
      <c r="E15" s="230"/>
      <c r="F15" s="230"/>
      <c r="G15" s="228"/>
      <c r="H15" s="230"/>
      <c r="I15" s="230"/>
      <c r="J15" s="246"/>
      <c r="K15" s="230"/>
      <c r="L15" s="230"/>
      <c r="M15" s="230"/>
      <c r="N15" s="230"/>
      <c r="O15" s="230"/>
      <c r="P15" s="256"/>
      <c r="Q15" s="257"/>
      <c r="R15" s="228"/>
      <c r="S15" s="228"/>
      <c r="T15" s="245"/>
      <c r="U15" s="254"/>
      <c r="V15" s="254"/>
      <c r="W15" s="228"/>
      <c r="X15" s="255"/>
      <c r="Y15" s="248"/>
      <c r="Z15" s="248"/>
      <c r="AA15" s="228"/>
      <c r="AB15" s="228"/>
      <c r="AC15" s="228"/>
      <c r="AD15" s="228"/>
      <c r="AE15" s="248"/>
      <c r="AF15" s="247"/>
      <c r="AG15" s="228"/>
      <c r="AH15" s="228"/>
      <c r="AI15" s="248"/>
      <c r="AJ15" s="340">
        <f t="shared" si="2"/>
        <v>0</v>
      </c>
      <c r="AK15" s="343">
        <f t="shared" si="0"/>
        <v>0</v>
      </c>
      <c r="AL15" s="249"/>
      <c r="AM15" s="341">
        <f t="shared" si="3"/>
        <v>0</v>
      </c>
      <c r="AN15" s="342">
        <f t="shared" si="1"/>
        <v>0</v>
      </c>
      <c r="AO15" s="252"/>
      <c r="AP15" s="241"/>
      <c r="AQ15" s="241"/>
      <c r="AR15" s="241"/>
      <c r="AS15" s="194"/>
      <c r="AT15" s="195"/>
      <c r="AU15" s="195"/>
    </row>
    <row r="16" spans="1:47">
      <c r="A16" s="253"/>
      <c r="B16" s="230"/>
      <c r="C16" s="245"/>
      <c r="D16" s="230"/>
      <c r="E16" s="230"/>
      <c r="F16" s="230"/>
      <c r="G16" s="228"/>
      <c r="H16" s="230"/>
      <c r="I16" s="230"/>
      <c r="J16" s="246"/>
      <c r="K16" s="230"/>
      <c r="L16" s="230"/>
      <c r="M16" s="230"/>
      <c r="N16" s="230"/>
      <c r="O16" s="230"/>
      <c r="P16" s="256"/>
      <c r="Q16" s="257"/>
      <c r="R16" s="228"/>
      <c r="S16" s="228"/>
      <c r="T16" s="245"/>
      <c r="U16" s="254"/>
      <c r="V16" s="254"/>
      <c r="W16" s="228"/>
      <c r="X16" s="255"/>
      <c r="Y16" s="248"/>
      <c r="Z16" s="248"/>
      <c r="AA16" s="228"/>
      <c r="AB16" s="228"/>
      <c r="AC16" s="228"/>
      <c r="AD16" s="228"/>
      <c r="AE16" s="248"/>
      <c r="AF16" s="247"/>
      <c r="AG16" s="228"/>
      <c r="AH16" s="228"/>
      <c r="AI16" s="248"/>
      <c r="AJ16" s="340">
        <f t="shared" si="2"/>
        <v>0</v>
      </c>
      <c r="AK16" s="343">
        <f t="shared" si="0"/>
        <v>0</v>
      </c>
      <c r="AL16" s="249"/>
      <c r="AM16" s="341">
        <f t="shared" si="3"/>
        <v>0</v>
      </c>
      <c r="AN16" s="342">
        <f t="shared" si="1"/>
        <v>0</v>
      </c>
      <c r="AO16" s="252"/>
      <c r="AP16" s="241"/>
      <c r="AQ16" s="241"/>
      <c r="AR16" s="241"/>
      <c r="AS16" s="194"/>
      <c r="AT16" s="195"/>
      <c r="AU16" s="195"/>
    </row>
    <row r="17" spans="1:47">
      <c r="A17" s="253"/>
      <c r="B17" s="230"/>
      <c r="C17" s="245"/>
      <c r="D17" s="230"/>
      <c r="E17" s="230"/>
      <c r="F17" s="230"/>
      <c r="G17" s="228"/>
      <c r="H17" s="230"/>
      <c r="I17" s="230"/>
      <c r="J17" s="246"/>
      <c r="K17" s="230"/>
      <c r="L17" s="230"/>
      <c r="M17" s="230"/>
      <c r="N17" s="230"/>
      <c r="O17" s="230"/>
      <c r="P17" s="256"/>
      <c r="Q17" s="257"/>
      <c r="R17" s="228"/>
      <c r="S17" s="228"/>
      <c r="T17" s="245"/>
      <c r="U17" s="254"/>
      <c r="V17" s="254"/>
      <c r="W17" s="228"/>
      <c r="X17" s="255"/>
      <c r="Y17" s="248"/>
      <c r="Z17" s="248"/>
      <c r="AA17" s="228"/>
      <c r="AB17" s="228"/>
      <c r="AC17" s="228"/>
      <c r="AD17" s="228"/>
      <c r="AE17" s="248"/>
      <c r="AF17" s="247"/>
      <c r="AG17" s="228"/>
      <c r="AH17" s="228"/>
      <c r="AI17" s="248"/>
      <c r="AJ17" s="340">
        <f t="shared" si="2"/>
        <v>0</v>
      </c>
      <c r="AK17" s="343">
        <f t="shared" si="0"/>
        <v>0</v>
      </c>
      <c r="AL17" s="249"/>
      <c r="AM17" s="341">
        <f t="shared" si="3"/>
        <v>0</v>
      </c>
      <c r="AN17" s="342">
        <f t="shared" si="1"/>
        <v>0</v>
      </c>
      <c r="AO17" s="252"/>
      <c r="AP17" s="241"/>
      <c r="AQ17" s="241"/>
      <c r="AR17" s="241"/>
      <c r="AS17" s="194"/>
      <c r="AT17" s="195"/>
      <c r="AU17" s="195"/>
    </row>
    <row r="18" spans="1:47">
      <c r="A18" s="253"/>
      <c r="B18" s="230"/>
      <c r="C18" s="245"/>
      <c r="D18" s="230"/>
      <c r="E18" s="230"/>
      <c r="F18" s="230"/>
      <c r="G18" s="228"/>
      <c r="H18" s="230"/>
      <c r="I18" s="230"/>
      <c r="J18" s="246"/>
      <c r="K18" s="230"/>
      <c r="L18" s="230"/>
      <c r="M18" s="230"/>
      <c r="N18" s="230"/>
      <c r="O18" s="230"/>
      <c r="P18" s="256"/>
      <c r="Q18" s="257"/>
      <c r="R18" s="228"/>
      <c r="S18" s="228"/>
      <c r="T18" s="245"/>
      <c r="U18" s="254"/>
      <c r="V18" s="254"/>
      <c r="W18" s="228"/>
      <c r="X18" s="255"/>
      <c r="Y18" s="248"/>
      <c r="Z18" s="248"/>
      <c r="AA18" s="228"/>
      <c r="AB18" s="228"/>
      <c r="AC18" s="228"/>
      <c r="AD18" s="228"/>
      <c r="AE18" s="248"/>
      <c r="AF18" s="247"/>
      <c r="AG18" s="228"/>
      <c r="AH18" s="228"/>
      <c r="AI18" s="248"/>
      <c r="AJ18" s="340">
        <f t="shared" si="2"/>
        <v>0</v>
      </c>
      <c r="AK18" s="343">
        <f t="shared" si="0"/>
        <v>0</v>
      </c>
      <c r="AL18" s="249"/>
      <c r="AM18" s="341">
        <f t="shared" si="3"/>
        <v>0</v>
      </c>
      <c r="AN18" s="342">
        <f t="shared" si="1"/>
        <v>0</v>
      </c>
      <c r="AO18" s="252"/>
      <c r="AP18" s="241"/>
      <c r="AQ18" s="241"/>
      <c r="AR18" s="241"/>
      <c r="AS18" s="194"/>
      <c r="AT18" s="195"/>
      <c r="AU18" s="195"/>
    </row>
    <row r="19" spans="1:47">
      <c r="A19" s="253"/>
      <c r="B19" s="230"/>
      <c r="C19" s="245"/>
      <c r="D19" s="230"/>
      <c r="E19" s="230"/>
      <c r="F19" s="230"/>
      <c r="G19" s="228"/>
      <c r="H19" s="230"/>
      <c r="I19" s="230"/>
      <c r="J19" s="246"/>
      <c r="K19" s="230"/>
      <c r="L19" s="230"/>
      <c r="M19" s="230"/>
      <c r="N19" s="230"/>
      <c r="O19" s="230"/>
      <c r="P19" s="256"/>
      <c r="Q19" s="257"/>
      <c r="R19" s="228"/>
      <c r="S19" s="228"/>
      <c r="T19" s="245"/>
      <c r="U19" s="254"/>
      <c r="V19" s="254"/>
      <c r="W19" s="228"/>
      <c r="X19" s="255"/>
      <c r="Y19" s="248"/>
      <c r="Z19" s="248"/>
      <c r="AA19" s="228"/>
      <c r="AB19" s="228"/>
      <c r="AC19" s="228"/>
      <c r="AD19" s="228"/>
      <c r="AE19" s="248"/>
      <c r="AF19" s="247"/>
      <c r="AG19" s="228"/>
      <c r="AH19" s="228"/>
      <c r="AI19" s="248"/>
      <c r="AJ19" s="340">
        <f t="shared" si="2"/>
        <v>0</v>
      </c>
      <c r="AK19" s="343">
        <f t="shared" si="0"/>
        <v>0</v>
      </c>
      <c r="AL19" s="249"/>
      <c r="AM19" s="341">
        <f t="shared" si="3"/>
        <v>0</v>
      </c>
      <c r="AN19" s="342">
        <f t="shared" si="1"/>
        <v>0</v>
      </c>
      <c r="AO19" s="252"/>
      <c r="AP19" s="241"/>
      <c r="AQ19" s="241"/>
      <c r="AR19" s="241"/>
      <c r="AS19" s="194"/>
      <c r="AT19" s="195"/>
      <c r="AU19" s="195"/>
    </row>
    <row r="20" spans="1:47">
      <c r="A20" s="253"/>
      <c r="B20" s="230"/>
      <c r="C20" s="245"/>
      <c r="D20" s="230"/>
      <c r="E20" s="230"/>
      <c r="F20" s="230"/>
      <c r="G20" s="228"/>
      <c r="H20" s="230"/>
      <c r="I20" s="230"/>
      <c r="J20" s="246"/>
      <c r="K20" s="230"/>
      <c r="L20" s="230"/>
      <c r="M20" s="230"/>
      <c r="N20" s="230"/>
      <c r="O20" s="230"/>
      <c r="P20" s="256"/>
      <c r="Q20" s="257"/>
      <c r="R20" s="228"/>
      <c r="S20" s="228"/>
      <c r="T20" s="245"/>
      <c r="U20" s="254"/>
      <c r="V20" s="254"/>
      <c r="W20" s="228"/>
      <c r="X20" s="255"/>
      <c r="Y20" s="248"/>
      <c r="Z20" s="248"/>
      <c r="AA20" s="228"/>
      <c r="AB20" s="228"/>
      <c r="AC20" s="228"/>
      <c r="AD20" s="228"/>
      <c r="AE20" s="248"/>
      <c r="AF20" s="247"/>
      <c r="AG20" s="228"/>
      <c r="AH20" s="228"/>
      <c r="AI20" s="248"/>
      <c r="AJ20" s="248"/>
      <c r="AK20" s="194"/>
      <c r="AL20" s="249"/>
      <c r="AM20" s="250"/>
      <c r="AN20" s="251"/>
      <c r="AO20" s="252"/>
      <c r="AP20" s="241"/>
      <c r="AQ20" s="241"/>
      <c r="AR20" s="241"/>
      <c r="AS20" s="194"/>
      <c r="AT20" s="195"/>
      <c r="AU20" s="195"/>
    </row>
    <row r="21" spans="1:47">
      <c r="A21" s="253"/>
      <c r="B21" s="230"/>
      <c r="C21" s="245"/>
      <c r="D21" s="230"/>
      <c r="E21" s="230"/>
      <c r="F21" s="230"/>
      <c r="G21" s="228"/>
      <c r="H21" s="230"/>
      <c r="I21" s="230"/>
      <c r="J21" s="246"/>
      <c r="K21" s="230"/>
      <c r="L21" s="230"/>
      <c r="M21" s="230"/>
      <c r="N21" s="230"/>
      <c r="O21" s="230"/>
      <c r="P21" s="256"/>
      <c r="Q21" s="257"/>
      <c r="R21" s="228"/>
      <c r="S21" s="228"/>
      <c r="T21" s="245"/>
      <c r="U21" s="254"/>
      <c r="V21" s="254"/>
      <c r="W21" s="228"/>
      <c r="X21" s="255"/>
      <c r="Y21" s="248"/>
      <c r="Z21" s="248"/>
      <c r="AA21" s="228"/>
      <c r="AB21" s="228"/>
      <c r="AC21" s="228"/>
      <c r="AD21" s="228"/>
      <c r="AE21" s="248"/>
      <c r="AF21" s="247"/>
      <c r="AG21" s="228"/>
      <c r="AH21" s="228"/>
      <c r="AI21" s="248"/>
      <c r="AJ21" s="248"/>
      <c r="AK21" s="194"/>
      <c r="AL21" s="249"/>
      <c r="AM21" s="250"/>
      <c r="AN21" s="251"/>
      <c r="AO21" s="252"/>
      <c r="AP21" s="241"/>
      <c r="AQ21" s="241"/>
      <c r="AR21" s="241"/>
      <c r="AS21" s="194"/>
      <c r="AT21" s="195"/>
      <c r="AU21" s="195"/>
    </row>
    <row r="22" spans="1:47">
      <c r="A22" s="253"/>
      <c r="B22" s="230"/>
      <c r="C22" s="245"/>
      <c r="D22" s="230"/>
      <c r="E22" s="230"/>
      <c r="F22" s="230"/>
      <c r="G22" s="228"/>
      <c r="H22" s="230"/>
      <c r="I22" s="230"/>
      <c r="J22" s="246"/>
      <c r="K22" s="230"/>
      <c r="L22" s="230"/>
      <c r="M22" s="230"/>
      <c r="N22" s="230"/>
      <c r="O22" s="230"/>
      <c r="P22" s="256"/>
      <c r="Q22" s="257"/>
      <c r="R22" s="228"/>
      <c r="S22" s="228"/>
      <c r="T22" s="245"/>
      <c r="U22" s="254"/>
      <c r="V22" s="254"/>
      <c r="W22" s="228"/>
      <c r="X22" s="255"/>
      <c r="Y22" s="248"/>
      <c r="Z22" s="248"/>
      <c r="AA22" s="228"/>
      <c r="AB22" s="228"/>
      <c r="AC22" s="228"/>
      <c r="AD22" s="228"/>
      <c r="AE22" s="248"/>
      <c r="AF22" s="247"/>
      <c r="AG22" s="228"/>
      <c r="AH22" s="228"/>
      <c r="AI22" s="248"/>
      <c r="AJ22" s="248"/>
      <c r="AK22" s="194"/>
      <c r="AL22" s="249"/>
      <c r="AM22" s="250"/>
      <c r="AN22" s="251"/>
      <c r="AO22" s="252"/>
      <c r="AP22" s="241"/>
      <c r="AQ22" s="241"/>
      <c r="AR22" s="241"/>
      <c r="AS22" s="194"/>
      <c r="AT22" s="195"/>
      <c r="AU22" s="195"/>
    </row>
    <row r="23" spans="1:47">
      <c r="A23" s="253"/>
      <c r="B23" s="230"/>
      <c r="C23" s="245"/>
      <c r="D23" s="230"/>
      <c r="E23" s="230"/>
      <c r="F23" s="230"/>
      <c r="G23" s="228"/>
      <c r="H23" s="230"/>
      <c r="I23" s="230"/>
      <c r="J23" s="246"/>
      <c r="K23" s="230"/>
      <c r="L23" s="230"/>
      <c r="M23" s="230"/>
      <c r="N23" s="230"/>
      <c r="O23" s="230"/>
      <c r="P23" s="256"/>
      <c r="Q23" s="257"/>
      <c r="R23" s="228"/>
      <c r="S23" s="228"/>
      <c r="T23" s="245"/>
      <c r="U23" s="254"/>
      <c r="V23" s="254"/>
      <c r="W23" s="228"/>
      <c r="X23" s="255"/>
      <c r="Y23" s="248"/>
      <c r="Z23" s="248"/>
      <c r="AA23" s="228"/>
      <c r="AB23" s="228"/>
      <c r="AC23" s="228"/>
      <c r="AD23" s="228"/>
      <c r="AE23" s="248"/>
      <c r="AF23" s="247"/>
      <c r="AG23" s="228"/>
      <c r="AH23" s="228"/>
      <c r="AI23" s="248"/>
      <c r="AJ23" s="248"/>
      <c r="AK23" s="194"/>
      <c r="AL23" s="249"/>
      <c r="AM23" s="250"/>
      <c r="AN23" s="251"/>
      <c r="AO23" s="252"/>
      <c r="AP23" s="241"/>
      <c r="AQ23" s="241"/>
      <c r="AR23" s="241"/>
      <c r="AS23" s="194"/>
      <c r="AT23" s="195"/>
      <c r="AU23" s="195"/>
    </row>
    <row r="24" spans="1:47">
      <c r="A24" s="253"/>
      <c r="B24" s="230"/>
      <c r="C24" s="245"/>
      <c r="D24" s="230"/>
      <c r="E24" s="230"/>
      <c r="F24" s="230"/>
      <c r="G24" s="228"/>
      <c r="H24" s="230"/>
      <c r="I24" s="230"/>
      <c r="J24" s="246"/>
      <c r="K24" s="230"/>
      <c r="L24" s="230"/>
      <c r="M24" s="230"/>
      <c r="N24" s="230"/>
      <c r="O24" s="230"/>
      <c r="P24" s="256"/>
      <c r="Q24" s="257"/>
      <c r="R24" s="228"/>
      <c r="S24" s="228"/>
      <c r="T24" s="245"/>
      <c r="U24" s="254"/>
      <c r="V24" s="254"/>
      <c r="W24" s="228"/>
      <c r="X24" s="255"/>
      <c r="Y24" s="248"/>
      <c r="Z24" s="248"/>
      <c r="AA24" s="228"/>
      <c r="AB24" s="228"/>
      <c r="AC24" s="228"/>
      <c r="AD24" s="228"/>
      <c r="AE24" s="248"/>
      <c r="AF24" s="247"/>
      <c r="AG24" s="228"/>
      <c r="AH24" s="228"/>
      <c r="AI24" s="248"/>
      <c r="AJ24" s="248"/>
      <c r="AK24" s="194"/>
      <c r="AL24" s="249"/>
      <c r="AM24" s="250"/>
      <c r="AN24" s="251"/>
      <c r="AO24" s="252"/>
      <c r="AP24" s="241"/>
      <c r="AQ24" s="241"/>
      <c r="AR24" s="241"/>
      <c r="AS24" s="194"/>
      <c r="AT24" s="195"/>
      <c r="AU24" s="195"/>
    </row>
    <row r="25" spans="1:47">
      <c r="A25" s="253"/>
      <c r="B25" s="230"/>
      <c r="C25" s="245"/>
      <c r="D25" s="230"/>
      <c r="E25" s="230"/>
      <c r="F25" s="230"/>
      <c r="G25" s="228"/>
      <c r="H25" s="230"/>
      <c r="I25" s="230"/>
      <c r="J25" s="246"/>
      <c r="K25" s="230"/>
      <c r="L25" s="230"/>
      <c r="M25" s="230"/>
      <c r="N25" s="230"/>
      <c r="O25" s="230"/>
      <c r="P25" s="256"/>
      <c r="Q25" s="257"/>
      <c r="R25" s="228"/>
      <c r="S25" s="228"/>
      <c r="T25" s="245"/>
      <c r="U25" s="254"/>
      <c r="V25" s="254"/>
      <c r="W25" s="228"/>
      <c r="X25" s="255"/>
      <c r="Y25" s="248"/>
      <c r="Z25" s="248"/>
      <c r="AA25" s="228"/>
      <c r="AB25" s="228"/>
      <c r="AC25" s="228"/>
      <c r="AD25" s="228"/>
      <c r="AE25" s="248"/>
      <c r="AF25" s="247"/>
      <c r="AG25" s="228"/>
      <c r="AH25" s="228"/>
      <c r="AI25" s="248"/>
      <c r="AJ25" s="248"/>
      <c r="AK25" s="194"/>
      <c r="AL25" s="249"/>
      <c r="AM25" s="250"/>
      <c r="AN25" s="251"/>
      <c r="AO25" s="252"/>
      <c r="AP25" s="241"/>
      <c r="AQ25" s="241"/>
      <c r="AR25" s="241"/>
      <c r="AS25" s="194"/>
      <c r="AT25" s="195"/>
      <c r="AU25" s="195"/>
    </row>
    <row r="26" spans="1:47">
      <c r="A26" s="253"/>
      <c r="B26" s="230"/>
      <c r="C26" s="245"/>
      <c r="D26" s="230"/>
      <c r="E26" s="230"/>
      <c r="F26" s="230"/>
      <c r="G26" s="228"/>
      <c r="H26" s="230"/>
      <c r="I26" s="230"/>
      <c r="J26" s="246"/>
      <c r="K26" s="230"/>
      <c r="L26" s="230"/>
      <c r="M26" s="230"/>
      <c r="N26" s="230"/>
      <c r="O26" s="230"/>
      <c r="P26" s="256"/>
      <c r="Q26" s="257"/>
      <c r="R26" s="228"/>
      <c r="S26" s="228"/>
      <c r="T26" s="245"/>
      <c r="U26" s="254"/>
      <c r="V26" s="254"/>
      <c r="W26" s="228"/>
      <c r="X26" s="255"/>
      <c r="Y26" s="248"/>
      <c r="Z26" s="248"/>
      <c r="AA26" s="228"/>
      <c r="AB26" s="228"/>
      <c r="AC26" s="228"/>
      <c r="AD26" s="228"/>
      <c r="AE26" s="248"/>
      <c r="AF26" s="247"/>
      <c r="AG26" s="228"/>
      <c r="AH26" s="228"/>
      <c r="AI26" s="248"/>
      <c r="AJ26" s="248"/>
      <c r="AK26" s="194"/>
      <c r="AL26" s="249"/>
      <c r="AM26" s="250"/>
      <c r="AN26" s="251"/>
      <c r="AO26" s="252"/>
      <c r="AP26" s="241"/>
      <c r="AQ26" s="241"/>
      <c r="AR26" s="241"/>
      <c r="AS26" s="194"/>
      <c r="AT26" s="195"/>
      <c r="AU26" s="195"/>
    </row>
    <row r="27" spans="1:47">
      <c r="A27" s="253"/>
      <c r="B27" s="230"/>
      <c r="C27" s="245"/>
      <c r="D27" s="230"/>
      <c r="E27" s="230"/>
      <c r="F27" s="230"/>
      <c r="G27" s="228"/>
      <c r="H27" s="230"/>
      <c r="I27" s="230"/>
      <c r="J27" s="246"/>
      <c r="K27" s="230"/>
      <c r="L27" s="230"/>
      <c r="M27" s="230"/>
      <c r="N27" s="230"/>
      <c r="O27" s="230"/>
      <c r="P27" s="256"/>
      <c r="Q27" s="257"/>
      <c r="R27" s="228"/>
      <c r="S27" s="228"/>
      <c r="T27" s="245"/>
      <c r="U27" s="254"/>
      <c r="V27" s="254"/>
      <c r="W27" s="228"/>
      <c r="X27" s="255"/>
      <c r="Y27" s="248"/>
      <c r="Z27" s="248"/>
      <c r="AA27" s="228"/>
      <c r="AB27" s="228"/>
      <c r="AC27" s="228"/>
      <c r="AD27" s="228"/>
      <c r="AE27" s="248"/>
      <c r="AF27" s="247"/>
      <c r="AG27" s="228"/>
      <c r="AH27" s="228"/>
      <c r="AI27" s="248"/>
      <c r="AJ27" s="248"/>
      <c r="AK27" s="194"/>
      <c r="AL27" s="249"/>
      <c r="AM27" s="250"/>
      <c r="AN27" s="251"/>
      <c r="AO27" s="252"/>
      <c r="AP27" s="241"/>
      <c r="AQ27" s="241"/>
      <c r="AR27" s="241"/>
      <c r="AS27" s="194"/>
      <c r="AT27" s="195"/>
      <c r="AU27" s="195"/>
    </row>
    <row r="28" spans="1:47">
      <c r="A28" s="253"/>
      <c r="B28" s="230"/>
      <c r="C28" s="245"/>
      <c r="D28" s="230"/>
      <c r="E28" s="230"/>
      <c r="F28" s="230"/>
      <c r="G28" s="228"/>
      <c r="H28" s="230"/>
      <c r="I28" s="230"/>
      <c r="J28" s="246"/>
      <c r="K28" s="230"/>
      <c r="L28" s="230"/>
      <c r="M28" s="230"/>
      <c r="N28" s="230"/>
      <c r="O28" s="230"/>
      <c r="P28" s="256"/>
      <c r="Q28" s="257"/>
      <c r="R28" s="228"/>
      <c r="S28" s="228"/>
      <c r="T28" s="245"/>
      <c r="U28" s="254"/>
      <c r="V28" s="254"/>
      <c r="W28" s="228"/>
      <c r="X28" s="255"/>
      <c r="Y28" s="248"/>
      <c r="Z28" s="248"/>
      <c r="AA28" s="228"/>
      <c r="AB28" s="228"/>
      <c r="AC28" s="228"/>
      <c r="AD28" s="228"/>
      <c r="AE28" s="248"/>
      <c r="AF28" s="247"/>
      <c r="AG28" s="228"/>
      <c r="AH28" s="228"/>
      <c r="AI28" s="248"/>
      <c r="AJ28" s="248"/>
      <c r="AK28" s="194"/>
      <c r="AL28" s="249"/>
      <c r="AM28" s="250"/>
      <c r="AN28" s="251"/>
      <c r="AO28" s="252"/>
      <c r="AP28" s="241"/>
      <c r="AQ28" s="241"/>
      <c r="AR28" s="241"/>
      <c r="AS28" s="194"/>
      <c r="AT28" s="195"/>
      <c r="AU28" s="195"/>
    </row>
    <row r="29" spans="1:47">
      <c r="A29" s="253"/>
      <c r="B29" s="230"/>
      <c r="C29" s="245"/>
      <c r="D29" s="230"/>
      <c r="E29" s="230"/>
      <c r="F29" s="230"/>
      <c r="G29" s="228"/>
      <c r="H29" s="230"/>
      <c r="I29" s="230"/>
      <c r="J29" s="246"/>
      <c r="K29" s="230"/>
      <c r="L29" s="230"/>
      <c r="M29" s="230"/>
      <c r="N29" s="230"/>
      <c r="O29" s="230"/>
      <c r="P29" s="256"/>
      <c r="Q29" s="257"/>
      <c r="R29" s="228"/>
      <c r="S29" s="228"/>
      <c r="T29" s="245"/>
      <c r="U29" s="254"/>
      <c r="V29" s="254"/>
      <c r="W29" s="228"/>
      <c r="X29" s="255"/>
      <c r="Y29" s="248"/>
      <c r="Z29" s="248"/>
      <c r="AA29" s="228"/>
      <c r="AB29" s="228"/>
      <c r="AC29" s="228"/>
      <c r="AD29" s="228"/>
      <c r="AE29" s="248"/>
      <c r="AF29" s="247"/>
      <c r="AG29" s="228"/>
      <c r="AH29" s="228"/>
      <c r="AI29" s="248"/>
      <c r="AJ29" s="248"/>
      <c r="AK29" s="194"/>
      <c r="AL29" s="249"/>
      <c r="AM29" s="250"/>
      <c r="AN29" s="251"/>
      <c r="AO29" s="252"/>
      <c r="AP29" s="241"/>
      <c r="AQ29" s="241"/>
      <c r="AR29" s="241"/>
      <c r="AS29" s="194"/>
      <c r="AT29" s="195"/>
      <c r="AU29" s="195"/>
    </row>
    <row r="30" spans="1:47">
      <c r="A30" s="253"/>
      <c r="B30" s="230"/>
      <c r="C30" s="245"/>
      <c r="D30" s="230"/>
      <c r="E30" s="230"/>
      <c r="F30" s="230"/>
      <c r="G30" s="228"/>
      <c r="H30" s="230"/>
      <c r="I30" s="230"/>
      <c r="J30" s="246"/>
      <c r="K30" s="230"/>
      <c r="L30" s="230"/>
      <c r="M30" s="230"/>
      <c r="N30" s="230"/>
      <c r="O30" s="230"/>
      <c r="P30" s="256"/>
      <c r="Q30" s="257"/>
      <c r="R30" s="228"/>
      <c r="S30" s="228"/>
      <c r="T30" s="245"/>
      <c r="U30" s="254"/>
      <c r="V30" s="254"/>
      <c r="W30" s="228"/>
      <c r="X30" s="255"/>
      <c r="Y30" s="248"/>
      <c r="Z30" s="248"/>
      <c r="AA30" s="228"/>
      <c r="AB30" s="228"/>
      <c r="AC30" s="228"/>
      <c r="AD30" s="228"/>
      <c r="AE30" s="248"/>
      <c r="AF30" s="247"/>
      <c r="AG30" s="228"/>
      <c r="AH30" s="228"/>
      <c r="AI30" s="248"/>
      <c r="AJ30" s="248"/>
      <c r="AK30" s="194"/>
      <c r="AL30" s="249"/>
      <c r="AM30" s="250"/>
      <c r="AN30" s="251"/>
      <c r="AO30" s="252"/>
      <c r="AP30" s="241"/>
      <c r="AQ30" s="241"/>
      <c r="AR30" s="241"/>
      <c r="AS30" s="194"/>
      <c r="AT30" s="195"/>
      <c r="AU30" s="195"/>
    </row>
    <row r="31" spans="1:47">
      <c r="A31" s="253"/>
      <c r="B31" s="230"/>
      <c r="C31" s="245"/>
      <c r="D31" s="230"/>
      <c r="E31" s="230"/>
      <c r="F31" s="230"/>
      <c r="G31" s="228"/>
      <c r="H31" s="230"/>
      <c r="I31" s="230"/>
      <c r="J31" s="246"/>
      <c r="K31" s="230"/>
      <c r="L31" s="230"/>
      <c r="M31" s="230"/>
      <c r="N31" s="230"/>
      <c r="O31" s="230"/>
      <c r="P31" s="256"/>
      <c r="Q31" s="257"/>
      <c r="R31" s="228"/>
      <c r="S31" s="228"/>
      <c r="T31" s="245"/>
      <c r="U31" s="254"/>
      <c r="V31" s="254"/>
      <c r="W31" s="228"/>
      <c r="X31" s="255"/>
      <c r="Y31" s="248"/>
      <c r="Z31" s="248"/>
      <c r="AA31" s="228"/>
      <c r="AB31" s="228"/>
      <c r="AC31" s="228"/>
      <c r="AD31" s="228"/>
      <c r="AE31" s="248"/>
      <c r="AF31" s="247"/>
      <c r="AG31" s="228"/>
      <c r="AH31" s="228"/>
      <c r="AI31" s="248"/>
      <c r="AJ31" s="248"/>
      <c r="AK31" s="194"/>
      <c r="AL31" s="249"/>
      <c r="AM31" s="250"/>
      <c r="AN31" s="251"/>
      <c r="AO31" s="252"/>
      <c r="AP31" s="241"/>
      <c r="AQ31" s="241"/>
      <c r="AR31" s="241"/>
      <c r="AS31" s="194"/>
      <c r="AT31" s="195"/>
      <c r="AU31" s="195"/>
    </row>
    <row r="32" spans="1:47">
      <c r="A32" s="253"/>
      <c r="B32" s="230"/>
      <c r="C32" s="245"/>
      <c r="D32" s="230"/>
      <c r="E32" s="230"/>
      <c r="F32" s="230"/>
      <c r="G32" s="228"/>
      <c r="H32" s="230"/>
      <c r="I32" s="230"/>
      <c r="J32" s="246"/>
      <c r="K32" s="230"/>
      <c r="L32" s="230"/>
      <c r="M32" s="230"/>
      <c r="N32" s="230"/>
      <c r="O32" s="230"/>
      <c r="P32" s="256"/>
      <c r="Q32" s="257"/>
      <c r="R32" s="228"/>
      <c r="S32" s="228"/>
      <c r="T32" s="245"/>
      <c r="U32" s="254"/>
      <c r="V32" s="254"/>
      <c r="W32" s="228"/>
      <c r="X32" s="255"/>
      <c r="Y32" s="248"/>
      <c r="Z32" s="248"/>
      <c r="AA32" s="228"/>
      <c r="AB32" s="228"/>
      <c r="AC32" s="228"/>
      <c r="AD32" s="228"/>
      <c r="AE32" s="248"/>
      <c r="AF32" s="247"/>
      <c r="AG32" s="228"/>
      <c r="AH32" s="228"/>
      <c r="AI32" s="248"/>
      <c r="AJ32" s="248"/>
      <c r="AK32" s="194"/>
      <c r="AL32" s="249"/>
      <c r="AM32" s="250"/>
      <c r="AN32" s="251"/>
      <c r="AO32" s="252"/>
      <c r="AP32" s="241"/>
      <c r="AQ32" s="241"/>
      <c r="AR32" s="241"/>
      <c r="AS32" s="194"/>
      <c r="AT32" s="195"/>
      <c r="AU32" s="195"/>
    </row>
    <row r="33" spans="1:47">
      <c r="A33" s="253"/>
      <c r="B33" s="230"/>
      <c r="C33" s="245"/>
      <c r="D33" s="230"/>
      <c r="E33" s="230"/>
      <c r="F33" s="230"/>
      <c r="G33" s="228"/>
      <c r="H33" s="230"/>
      <c r="I33" s="230"/>
      <c r="J33" s="246"/>
      <c r="K33" s="230"/>
      <c r="L33" s="230"/>
      <c r="M33" s="230"/>
      <c r="N33" s="230"/>
      <c r="O33" s="230"/>
      <c r="P33" s="256"/>
      <c r="Q33" s="257"/>
      <c r="R33" s="228"/>
      <c r="S33" s="228"/>
      <c r="T33" s="245"/>
      <c r="U33" s="254"/>
      <c r="V33" s="254"/>
      <c r="W33" s="228"/>
      <c r="X33" s="255"/>
      <c r="Y33" s="248"/>
      <c r="Z33" s="248"/>
      <c r="AA33" s="228"/>
      <c r="AB33" s="228"/>
      <c r="AC33" s="228"/>
      <c r="AD33" s="228"/>
      <c r="AE33" s="248"/>
      <c r="AF33" s="247"/>
      <c r="AG33" s="228"/>
      <c r="AH33" s="228"/>
      <c r="AI33" s="248"/>
      <c r="AJ33" s="248"/>
      <c r="AK33" s="194"/>
      <c r="AL33" s="249"/>
      <c r="AM33" s="250"/>
      <c r="AN33" s="251"/>
      <c r="AO33" s="252"/>
      <c r="AP33" s="241"/>
      <c r="AQ33" s="241"/>
      <c r="AR33" s="241"/>
      <c r="AS33" s="194"/>
      <c r="AT33" s="195"/>
      <c r="AU33" s="195"/>
    </row>
    <row r="34" spans="1:47">
      <c r="A34" s="253"/>
      <c r="B34" s="230"/>
      <c r="C34" s="245"/>
      <c r="D34" s="230"/>
      <c r="E34" s="230"/>
      <c r="F34" s="230"/>
      <c r="G34" s="228"/>
      <c r="H34" s="230"/>
      <c r="I34" s="230"/>
      <c r="J34" s="246"/>
      <c r="K34" s="230"/>
      <c r="L34" s="230"/>
      <c r="M34" s="230"/>
      <c r="N34" s="230"/>
      <c r="O34" s="230"/>
      <c r="P34" s="256"/>
      <c r="Q34" s="257"/>
      <c r="R34" s="228"/>
      <c r="S34" s="228"/>
      <c r="T34" s="245"/>
      <c r="U34" s="254"/>
      <c r="V34" s="254"/>
      <c r="W34" s="228"/>
      <c r="X34" s="255"/>
      <c r="Y34" s="248"/>
      <c r="Z34" s="248"/>
      <c r="AA34" s="228"/>
      <c r="AB34" s="228"/>
      <c r="AC34" s="228"/>
      <c r="AD34" s="228"/>
      <c r="AE34" s="248"/>
      <c r="AF34" s="247"/>
      <c r="AG34" s="228"/>
      <c r="AH34" s="228"/>
      <c r="AI34" s="248"/>
      <c r="AJ34" s="248"/>
      <c r="AK34" s="194"/>
      <c r="AL34" s="249"/>
      <c r="AM34" s="250"/>
      <c r="AN34" s="251"/>
      <c r="AO34" s="252"/>
      <c r="AP34" s="241"/>
      <c r="AQ34" s="241"/>
      <c r="AR34" s="241"/>
      <c r="AS34" s="194"/>
      <c r="AT34" s="195"/>
      <c r="AU34" s="195"/>
    </row>
    <row r="35" spans="1:47">
      <c r="A35" s="253"/>
      <c r="B35" s="230"/>
      <c r="C35" s="245"/>
      <c r="D35" s="230"/>
      <c r="E35" s="230"/>
      <c r="F35" s="230"/>
      <c r="G35" s="228"/>
      <c r="H35" s="230"/>
      <c r="I35" s="230"/>
      <c r="J35" s="246"/>
      <c r="K35" s="230"/>
      <c r="L35" s="230"/>
      <c r="M35" s="230"/>
      <c r="N35" s="230"/>
      <c r="O35" s="230"/>
      <c r="P35" s="256"/>
      <c r="Q35" s="257"/>
      <c r="R35" s="228"/>
      <c r="S35" s="228"/>
      <c r="T35" s="245"/>
      <c r="U35" s="254"/>
      <c r="V35" s="254"/>
      <c r="W35" s="228"/>
      <c r="X35" s="255"/>
      <c r="Y35" s="248"/>
      <c r="Z35" s="248"/>
      <c r="AA35" s="228"/>
      <c r="AB35" s="228"/>
      <c r="AC35" s="228"/>
      <c r="AD35" s="228"/>
      <c r="AE35" s="248"/>
      <c r="AF35" s="247"/>
      <c r="AG35" s="228"/>
      <c r="AH35" s="228"/>
      <c r="AI35" s="248"/>
      <c r="AJ35" s="248"/>
      <c r="AK35" s="194"/>
      <c r="AL35" s="249"/>
      <c r="AM35" s="250"/>
      <c r="AN35" s="251"/>
      <c r="AO35" s="252"/>
      <c r="AP35" s="241"/>
      <c r="AQ35" s="241"/>
      <c r="AR35" s="241"/>
      <c r="AS35" s="194"/>
      <c r="AT35" s="195"/>
      <c r="AU35" s="195"/>
    </row>
    <row r="36" spans="1:47">
      <c r="A36" s="253"/>
      <c r="B36" s="230"/>
      <c r="C36" s="245"/>
      <c r="D36" s="230"/>
      <c r="E36" s="230"/>
      <c r="F36" s="230"/>
      <c r="G36" s="228"/>
      <c r="H36" s="230"/>
      <c r="I36" s="230"/>
      <c r="J36" s="246"/>
      <c r="K36" s="230"/>
      <c r="L36" s="230"/>
      <c r="M36" s="230"/>
      <c r="N36" s="230"/>
      <c r="O36" s="230"/>
      <c r="P36" s="256"/>
      <c r="Q36" s="257"/>
      <c r="R36" s="228"/>
      <c r="S36" s="228"/>
      <c r="T36" s="245"/>
      <c r="U36" s="254"/>
      <c r="V36" s="254"/>
      <c r="W36" s="228"/>
      <c r="X36" s="255"/>
      <c r="Y36" s="248"/>
      <c r="Z36" s="248"/>
      <c r="AA36" s="228"/>
      <c r="AB36" s="228"/>
      <c r="AC36" s="228"/>
      <c r="AD36" s="228"/>
      <c r="AE36" s="248"/>
      <c r="AF36" s="247"/>
      <c r="AG36" s="228"/>
      <c r="AH36" s="228"/>
      <c r="AI36" s="248"/>
      <c r="AJ36" s="248"/>
      <c r="AK36" s="194"/>
      <c r="AL36" s="249"/>
      <c r="AM36" s="250"/>
      <c r="AN36" s="251"/>
      <c r="AO36" s="252"/>
      <c r="AP36" s="241"/>
      <c r="AQ36" s="241"/>
      <c r="AR36" s="241"/>
      <c r="AS36" s="194"/>
      <c r="AT36" s="195"/>
      <c r="AU36" s="195"/>
    </row>
    <row r="37" spans="1:47">
      <c r="A37" s="253"/>
      <c r="B37" s="230"/>
      <c r="C37" s="245"/>
      <c r="D37" s="230"/>
      <c r="E37" s="230"/>
      <c r="F37" s="230"/>
      <c r="G37" s="228"/>
      <c r="H37" s="230"/>
      <c r="I37" s="230"/>
      <c r="J37" s="246"/>
      <c r="K37" s="230"/>
      <c r="L37" s="230"/>
      <c r="M37" s="230"/>
      <c r="N37" s="230"/>
      <c r="O37" s="230"/>
      <c r="P37" s="256"/>
      <c r="Q37" s="257"/>
      <c r="R37" s="228"/>
      <c r="S37" s="228"/>
      <c r="T37" s="245"/>
      <c r="U37" s="254"/>
      <c r="V37" s="254"/>
      <c r="W37" s="228"/>
      <c r="X37" s="255"/>
      <c r="Y37" s="248"/>
      <c r="Z37" s="248"/>
      <c r="AA37" s="228"/>
      <c r="AB37" s="228"/>
      <c r="AC37" s="228"/>
      <c r="AD37" s="228"/>
      <c r="AE37" s="248"/>
      <c r="AF37" s="247"/>
      <c r="AG37" s="228"/>
      <c r="AH37" s="228"/>
      <c r="AI37" s="248"/>
      <c r="AJ37" s="248"/>
      <c r="AK37" s="194"/>
      <c r="AL37" s="249"/>
      <c r="AM37" s="250"/>
      <c r="AN37" s="251"/>
      <c r="AO37" s="252"/>
      <c r="AP37" s="241"/>
      <c r="AQ37" s="241"/>
      <c r="AR37" s="241"/>
      <c r="AS37" s="194"/>
      <c r="AT37" s="195"/>
      <c r="AU37" s="195"/>
    </row>
    <row r="38" spans="1:47">
      <c r="A38" s="253"/>
      <c r="B38" s="230"/>
      <c r="C38" s="245"/>
      <c r="D38" s="230"/>
      <c r="E38" s="230"/>
      <c r="F38" s="230"/>
      <c r="G38" s="228"/>
      <c r="H38" s="230"/>
      <c r="I38" s="230"/>
      <c r="J38" s="246"/>
      <c r="K38" s="230"/>
      <c r="L38" s="230"/>
      <c r="M38" s="230"/>
      <c r="N38" s="230"/>
      <c r="O38" s="230"/>
      <c r="P38" s="256"/>
      <c r="Q38" s="257"/>
      <c r="R38" s="228"/>
      <c r="S38" s="228"/>
      <c r="T38" s="245"/>
      <c r="U38" s="254"/>
      <c r="V38" s="254"/>
      <c r="W38" s="228"/>
      <c r="X38" s="255"/>
      <c r="Y38" s="248"/>
      <c r="Z38" s="248"/>
      <c r="AA38" s="228"/>
      <c r="AB38" s="228"/>
      <c r="AC38" s="228"/>
      <c r="AD38" s="228"/>
      <c r="AE38" s="248"/>
      <c r="AF38" s="247"/>
      <c r="AG38" s="228"/>
      <c r="AH38" s="228"/>
      <c r="AI38" s="248"/>
      <c r="AJ38" s="248"/>
      <c r="AK38" s="194"/>
      <c r="AL38" s="249"/>
      <c r="AM38" s="250"/>
      <c r="AN38" s="251"/>
      <c r="AO38" s="252"/>
      <c r="AP38" s="241"/>
      <c r="AQ38" s="241"/>
      <c r="AR38" s="241"/>
      <c r="AS38" s="194"/>
      <c r="AT38" s="195"/>
      <c r="AU38" s="195"/>
    </row>
    <row r="39" spans="1:47">
      <c r="A39" s="253"/>
      <c r="B39" s="230"/>
      <c r="C39" s="245"/>
      <c r="D39" s="230"/>
      <c r="E39" s="230"/>
      <c r="F39" s="230"/>
      <c r="G39" s="228"/>
      <c r="H39" s="230"/>
      <c r="I39" s="230"/>
      <c r="J39" s="246"/>
      <c r="K39" s="230"/>
      <c r="L39" s="230"/>
      <c r="M39" s="230"/>
      <c r="N39" s="230"/>
      <c r="O39" s="230"/>
      <c r="P39" s="256"/>
      <c r="Q39" s="257"/>
      <c r="R39" s="228"/>
      <c r="S39" s="228"/>
      <c r="T39" s="245"/>
      <c r="U39" s="254"/>
      <c r="V39" s="254"/>
      <c r="W39" s="228"/>
      <c r="X39" s="255"/>
      <c r="Y39" s="248"/>
      <c r="Z39" s="248"/>
      <c r="AA39" s="228"/>
      <c r="AB39" s="228"/>
      <c r="AC39" s="228"/>
      <c r="AD39" s="228"/>
      <c r="AE39" s="248"/>
      <c r="AF39" s="247"/>
      <c r="AG39" s="228"/>
      <c r="AH39" s="228"/>
      <c r="AI39" s="248"/>
      <c r="AJ39" s="248"/>
      <c r="AK39" s="194"/>
      <c r="AL39" s="249"/>
      <c r="AM39" s="250"/>
      <c r="AN39" s="251"/>
      <c r="AO39" s="252"/>
      <c r="AP39" s="241"/>
      <c r="AQ39" s="241"/>
      <c r="AR39" s="241"/>
      <c r="AS39" s="194"/>
      <c r="AT39" s="195"/>
      <c r="AU39" s="195"/>
    </row>
    <row r="40" spans="1:47">
      <c r="A40" s="253"/>
      <c r="B40" s="230"/>
      <c r="C40" s="245"/>
      <c r="D40" s="230"/>
      <c r="E40" s="230"/>
      <c r="F40" s="230"/>
      <c r="G40" s="228"/>
      <c r="H40" s="230"/>
      <c r="I40" s="230"/>
      <c r="J40" s="246"/>
      <c r="K40" s="230"/>
      <c r="L40" s="230"/>
      <c r="M40" s="230"/>
      <c r="N40" s="230"/>
      <c r="O40" s="230"/>
      <c r="P40" s="256"/>
      <c r="Q40" s="257"/>
      <c r="R40" s="228"/>
      <c r="S40" s="228"/>
      <c r="T40" s="245"/>
      <c r="U40" s="254"/>
      <c r="V40" s="254"/>
      <c r="W40" s="228"/>
      <c r="X40" s="255"/>
      <c r="Y40" s="248"/>
      <c r="Z40" s="248"/>
      <c r="AA40" s="228"/>
      <c r="AB40" s="228"/>
      <c r="AC40" s="228"/>
      <c r="AD40" s="228"/>
      <c r="AE40" s="248"/>
      <c r="AF40" s="247"/>
      <c r="AG40" s="228"/>
      <c r="AH40" s="228"/>
      <c r="AI40" s="248"/>
      <c r="AJ40" s="248"/>
      <c r="AK40" s="194"/>
      <c r="AL40" s="249"/>
      <c r="AM40" s="250"/>
      <c r="AN40" s="251"/>
      <c r="AO40" s="252"/>
      <c r="AP40" s="241"/>
      <c r="AQ40" s="241"/>
      <c r="AR40" s="241"/>
      <c r="AS40" s="194"/>
      <c r="AT40" s="195"/>
      <c r="AU40" s="195"/>
    </row>
    <row r="41" spans="1:47">
      <c r="A41" s="253"/>
      <c r="B41" s="230"/>
      <c r="C41" s="245"/>
      <c r="D41" s="230"/>
      <c r="E41" s="230"/>
      <c r="F41" s="230"/>
      <c r="G41" s="228"/>
      <c r="H41" s="230"/>
      <c r="I41" s="230"/>
      <c r="J41" s="246"/>
      <c r="K41" s="230"/>
      <c r="L41" s="230"/>
      <c r="M41" s="230"/>
      <c r="N41" s="230"/>
      <c r="O41" s="230"/>
      <c r="P41" s="256"/>
      <c r="Q41" s="257"/>
      <c r="R41" s="228"/>
      <c r="S41" s="228"/>
      <c r="T41" s="245"/>
      <c r="U41" s="254"/>
      <c r="V41" s="254"/>
      <c r="W41" s="228"/>
      <c r="X41" s="255"/>
      <c r="Y41" s="248"/>
      <c r="Z41" s="248"/>
      <c r="AA41" s="228"/>
      <c r="AB41" s="228"/>
      <c r="AC41" s="228"/>
      <c r="AD41" s="228"/>
      <c r="AE41" s="248"/>
      <c r="AF41" s="247"/>
      <c r="AG41" s="228"/>
      <c r="AH41" s="228"/>
      <c r="AI41" s="248"/>
      <c r="AJ41" s="248"/>
      <c r="AK41" s="194"/>
      <c r="AL41" s="249"/>
      <c r="AM41" s="250"/>
      <c r="AN41" s="251"/>
      <c r="AO41" s="252"/>
      <c r="AP41" s="241"/>
      <c r="AQ41" s="241"/>
      <c r="AR41" s="241"/>
      <c r="AS41" s="194"/>
      <c r="AT41" s="195"/>
      <c r="AU41" s="195"/>
    </row>
    <row r="42" spans="1:47">
      <c r="A42" s="253"/>
      <c r="B42" s="230"/>
      <c r="C42" s="245"/>
      <c r="D42" s="230"/>
      <c r="E42" s="230"/>
      <c r="F42" s="230"/>
      <c r="G42" s="228"/>
      <c r="H42" s="230"/>
      <c r="I42" s="230"/>
      <c r="J42" s="246"/>
      <c r="K42" s="230"/>
      <c r="L42" s="230"/>
      <c r="M42" s="230"/>
      <c r="N42" s="230"/>
      <c r="O42" s="230"/>
      <c r="P42" s="256"/>
      <c r="Q42" s="257"/>
      <c r="R42" s="228"/>
      <c r="S42" s="228"/>
      <c r="T42" s="245"/>
      <c r="U42" s="254"/>
      <c r="V42" s="254"/>
      <c r="W42" s="228"/>
      <c r="X42" s="255"/>
      <c r="Y42" s="248"/>
      <c r="Z42" s="248"/>
      <c r="AA42" s="228"/>
      <c r="AB42" s="228"/>
      <c r="AC42" s="228"/>
      <c r="AD42" s="228"/>
      <c r="AE42" s="248"/>
      <c r="AF42" s="247"/>
      <c r="AG42" s="228"/>
      <c r="AH42" s="228"/>
      <c r="AI42" s="248"/>
      <c r="AJ42" s="248"/>
      <c r="AK42" s="194"/>
      <c r="AL42" s="249"/>
      <c r="AM42" s="250"/>
      <c r="AN42" s="251"/>
      <c r="AO42" s="252"/>
      <c r="AP42" s="241"/>
      <c r="AQ42" s="241"/>
      <c r="AR42" s="241"/>
      <c r="AS42" s="194"/>
      <c r="AT42" s="195"/>
      <c r="AU42" s="195"/>
    </row>
    <row r="43" spans="1:47">
      <c r="A43" s="253"/>
      <c r="B43" s="230"/>
      <c r="C43" s="245"/>
      <c r="D43" s="230"/>
      <c r="E43" s="230"/>
      <c r="F43" s="230"/>
      <c r="G43" s="228"/>
      <c r="H43" s="230"/>
      <c r="I43" s="230"/>
      <c r="J43" s="246"/>
      <c r="K43" s="230"/>
      <c r="L43" s="230"/>
      <c r="M43" s="230"/>
      <c r="N43" s="230"/>
      <c r="O43" s="230"/>
      <c r="P43" s="256"/>
      <c r="Q43" s="257"/>
      <c r="R43" s="228"/>
      <c r="S43" s="228"/>
      <c r="T43" s="245"/>
      <c r="U43" s="254"/>
      <c r="V43" s="254"/>
      <c r="W43" s="228"/>
      <c r="X43" s="255"/>
      <c r="Y43" s="248"/>
      <c r="Z43" s="248"/>
      <c r="AA43" s="228"/>
      <c r="AB43" s="228"/>
      <c r="AC43" s="228"/>
      <c r="AD43" s="228"/>
      <c r="AE43" s="248"/>
      <c r="AF43" s="247"/>
      <c r="AG43" s="228"/>
      <c r="AH43" s="228"/>
      <c r="AI43" s="248"/>
      <c r="AJ43" s="248"/>
      <c r="AK43" s="194"/>
      <c r="AL43" s="249"/>
      <c r="AM43" s="250"/>
      <c r="AN43" s="251"/>
      <c r="AO43" s="252"/>
      <c r="AP43" s="241"/>
      <c r="AQ43" s="241"/>
      <c r="AR43" s="241"/>
      <c r="AS43" s="194"/>
      <c r="AT43" s="195"/>
      <c r="AU43" s="195"/>
    </row>
    <row r="44" spans="1:47">
      <c r="A44" s="253"/>
      <c r="B44" s="230"/>
      <c r="C44" s="245"/>
      <c r="D44" s="230"/>
      <c r="E44" s="230"/>
      <c r="F44" s="230"/>
      <c r="G44" s="228"/>
      <c r="H44" s="230"/>
      <c r="I44" s="230"/>
      <c r="J44" s="246"/>
      <c r="K44" s="230"/>
      <c r="L44" s="230"/>
      <c r="M44" s="230"/>
      <c r="N44" s="230"/>
      <c r="O44" s="230"/>
      <c r="P44" s="256"/>
      <c r="Q44" s="257"/>
      <c r="R44" s="228"/>
      <c r="S44" s="228"/>
      <c r="T44" s="245"/>
      <c r="U44" s="254"/>
      <c r="V44" s="254"/>
      <c r="W44" s="228"/>
      <c r="X44" s="255"/>
      <c r="Y44" s="248"/>
      <c r="Z44" s="248"/>
      <c r="AA44" s="228"/>
      <c r="AB44" s="228"/>
      <c r="AC44" s="228"/>
      <c r="AD44" s="228"/>
      <c r="AE44" s="248"/>
      <c r="AF44" s="247"/>
      <c r="AG44" s="228"/>
      <c r="AH44" s="228"/>
      <c r="AI44" s="248"/>
      <c r="AJ44" s="248"/>
      <c r="AK44" s="194"/>
      <c r="AL44" s="249"/>
      <c r="AM44" s="250"/>
      <c r="AN44" s="251"/>
      <c r="AO44" s="252"/>
      <c r="AP44" s="241"/>
      <c r="AQ44" s="241"/>
      <c r="AR44" s="241"/>
      <c r="AS44" s="194"/>
      <c r="AT44" s="195"/>
      <c r="AU44" s="195"/>
    </row>
    <row r="45" spans="1:47">
      <c r="A45" s="253"/>
      <c r="B45" s="230"/>
      <c r="C45" s="245"/>
      <c r="D45" s="230"/>
      <c r="E45" s="230"/>
      <c r="F45" s="230"/>
      <c r="G45" s="228"/>
      <c r="H45" s="230"/>
      <c r="I45" s="230"/>
      <c r="J45" s="246"/>
      <c r="K45" s="230"/>
      <c r="L45" s="230"/>
      <c r="M45" s="230"/>
      <c r="N45" s="230"/>
      <c r="O45" s="230"/>
      <c r="P45" s="256"/>
      <c r="Q45" s="257"/>
      <c r="R45" s="228"/>
      <c r="S45" s="228"/>
      <c r="T45" s="245"/>
      <c r="U45" s="254"/>
      <c r="V45" s="254"/>
      <c r="W45" s="228"/>
      <c r="X45" s="255"/>
      <c r="Y45" s="248"/>
      <c r="Z45" s="248"/>
      <c r="AA45" s="228"/>
      <c r="AB45" s="228"/>
      <c r="AC45" s="228"/>
      <c r="AD45" s="228"/>
      <c r="AE45" s="248"/>
      <c r="AF45" s="247"/>
      <c r="AG45" s="228"/>
      <c r="AH45" s="228"/>
      <c r="AI45" s="248"/>
      <c r="AJ45" s="248"/>
      <c r="AK45" s="194"/>
      <c r="AL45" s="249"/>
      <c r="AM45" s="250"/>
      <c r="AN45" s="251"/>
      <c r="AO45" s="252"/>
      <c r="AP45" s="241"/>
      <c r="AQ45" s="241"/>
      <c r="AR45" s="241"/>
      <c r="AS45" s="194"/>
      <c r="AT45" s="195"/>
      <c r="AU45" s="195"/>
    </row>
    <row r="46" spans="1:47">
      <c r="A46" s="253"/>
      <c r="B46" s="230"/>
      <c r="C46" s="245"/>
      <c r="D46" s="230"/>
      <c r="E46" s="230"/>
      <c r="F46" s="230"/>
      <c r="G46" s="228"/>
      <c r="H46" s="230"/>
      <c r="I46" s="230"/>
      <c r="J46" s="246"/>
      <c r="K46" s="230"/>
      <c r="L46" s="230"/>
      <c r="M46" s="230"/>
      <c r="N46" s="230"/>
      <c r="O46" s="230"/>
      <c r="P46" s="256"/>
      <c r="Q46" s="257"/>
      <c r="R46" s="228"/>
      <c r="S46" s="228"/>
      <c r="T46" s="245"/>
      <c r="U46" s="254"/>
      <c r="V46" s="254"/>
      <c r="W46" s="228"/>
      <c r="X46" s="255"/>
      <c r="Y46" s="248"/>
      <c r="Z46" s="248"/>
      <c r="AA46" s="228"/>
      <c r="AB46" s="228"/>
      <c r="AC46" s="228"/>
      <c r="AD46" s="228"/>
      <c r="AE46" s="248"/>
      <c r="AF46" s="247"/>
      <c r="AG46" s="228"/>
      <c r="AH46" s="228"/>
      <c r="AI46" s="248"/>
      <c r="AJ46" s="248"/>
      <c r="AK46" s="194"/>
      <c r="AL46" s="249"/>
      <c r="AM46" s="250"/>
      <c r="AN46" s="251"/>
      <c r="AO46" s="252"/>
      <c r="AP46" s="241"/>
      <c r="AQ46" s="241"/>
      <c r="AR46" s="241"/>
      <c r="AS46" s="194"/>
      <c r="AT46" s="195"/>
      <c r="AU46" s="195"/>
    </row>
    <row r="47" spans="1:47">
      <c r="A47" s="253"/>
      <c r="B47" s="230"/>
      <c r="C47" s="245"/>
      <c r="D47" s="230"/>
      <c r="E47" s="230"/>
      <c r="F47" s="230"/>
      <c r="G47" s="228"/>
      <c r="H47" s="230"/>
      <c r="I47" s="230"/>
      <c r="J47" s="246"/>
      <c r="K47" s="230"/>
      <c r="L47" s="230"/>
      <c r="M47" s="230"/>
      <c r="N47" s="230"/>
      <c r="O47" s="230"/>
      <c r="P47" s="256"/>
      <c r="Q47" s="257"/>
      <c r="R47" s="228"/>
      <c r="S47" s="228"/>
      <c r="T47" s="245"/>
      <c r="U47" s="254"/>
      <c r="V47" s="254"/>
      <c r="W47" s="228"/>
      <c r="X47" s="255"/>
      <c r="Y47" s="248"/>
      <c r="Z47" s="248"/>
      <c r="AA47" s="228"/>
      <c r="AB47" s="228"/>
      <c r="AC47" s="228"/>
      <c r="AD47" s="228"/>
      <c r="AE47" s="248"/>
      <c r="AF47" s="247"/>
      <c r="AG47" s="228"/>
      <c r="AH47" s="228"/>
      <c r="AI47" s="248"/>
      <c r="AJ47" s="248"/>
      <c r="AK47" s="194"/>
      <c r="AL47" s="249"/>
      <c r="AM47" s="250"/>
      <c r="AN47" s="251"/>
      <c r="AO47" s="252"/>
      <c r="AP47" s="241"/>
      <c r="AQ47" s="241"/>
      <c r="AR47" s="241"/>
      <c r="AS47" s="194"/>
      <c r="AT47" s="195"/>
      <c r="AU47" s="195"/>
    </row>
    <row r="48" spans="1:47">
      <c r="A48" s="253"/>
      <c r="B48" s="230"/>
      <c r="C48" s="245"/>
      <c r="D48" s="230"/>
      <c r="E48" s="230"/>
      <c r="F48" s="230"/>
      <c r="G48" s="228"/>
      <c r="H48" s="230"/>
      <c r="I48" s="230"/>
      <c r="J48" s="246"/>
      <c r="K48" s="230"/>
      <c r="L48" s="230"/>
      <c r="M48" s="230"/>
      <c r="N48" s="230"/>
      <c r="O48" s="230"/>
      <c r="P48" s="256"/>
      <c r="Q48" s="257"/>
      <c r="R48" s="228"/>
      <c r="S48" s="228"/>
      <c r="T48" s="245"/>
      <c r="U48" s="254"/>
      <c r="V48" s="254"/>
      <c r="W48" s="228"/>
      <c r="X48" s="255"/>
      <c r="Y48" s="248"/>
      <c r="Z48" s="248"/>
      <c r="AA48" s="228"/>
      <c r="AB48" s="228"/>
      <c r="AC48" s="228"/>
      <c r="AD48" s="228"/>
      <c r="AE48" s="248"/>
      <c r="AF48" s="247"/>
      <c r="AG48" s="228"/>
      <c r="AH48" s="228"/>
      <c r="AI48" s="248"/>
      <c r="AJ48" s="248"/>
      <c r="AK48" s="194"/>
      <c r="AL48" s="249"/>
      <c r="AM48" s="250"/>
      <c r="AN48" s="251"/>
      <c r="AO48" s="252"/>
      <c r="AP48" s="241"/>
      <c r="AQ48" s="241"/>
      <c r="AR48" s="241"/>
      <c r="AS48" s="194"/>
      <c r="AT48" s="195"/>
      <c r="AU48" s="195"/>
    </row>
    <row r="49" spans="1:47">
      <c r="A49" s="253"/>
      <c r="B49" s="230"/>
      <c r="C49" s="245"/>
      <c r="D49" s="230"/>
      <c r="E49" s="230"/>
      <c r="F49" s="230"/>
      <c r="G49" s="228"/>
      <c r="H49" s="230"/>
      <c r="I49" s="230"/>
      <c r="J49" s="246"/>
      <c r="K49" s="230"/>
      <c r="L49" s="230"/>
      <c r="M49" s="230"/>
      <c r="N49" s="230"/>
      <c r="O49" s="230"/>
      <c r="P49" s="256"/>
      <c r="Q49" s="257"/>
      <c r="R49" s="228"/>
      <c r="S49" s="228"/>
      <c r="T49" s="245"/>
      <c r="U49" s="254"/>
      <c r="V49" s="254"/>
      <c r="W49" s="228"/>
      <c r="X49" s="255"/>
      <c r="Y49" s="248"/>
      <c r="Z49" s="248"/>
      <c r="AA49" s="228"/>
      <c r="AB49" s="228"/>
      <c r="AC49" s="228"/>
      <c r="AD49" s="228"/>
      <c r="AE49" s="248"/>
      <c r="AF49" s="247"/>
      <c r="AG49" s="228"/>
      <c r="AH49" s="228"/>
      <c r="AI49" s="248"/>
      <c r="AJ49" s="248"/>
      <c r="AK49" s="194"/>
      <c r="AL49" s="249"/>
      <c r="AM49" s="250"/>
      <c r="AN49" s="251"/>
      <c r="AO49" s="252"/>
      <c r="AP49" s="241"/>
      <c r="AQ49" s="241"/>
      <c r="AR49" s="241"/>
      <c r="AS49" s="194"/>
      <c r="AT49" s="195"/>
      <c r="AU49" s="195"/>
    </row>
    <row r="50" spans="1:47">
      <c r="A50" s="253"/>
      <c r="B50" s="230"/>
      <c r="C50" s="245"/>
      <c r="D50" s="230"/>
      <c r="E50" s="230"/>
      <c r="F50" s="230"/>
      <c r="G50" s="228"/>
      <c r="H50" s="230"/>
      <c r="I50" s="230"/>
      <c r="J50" s="246"/>
      <c r="K50" s="230"/>
      <c r="L50" s="230"/>
      <c r="M50" s="230"/>
      <c r="N50" s="230"/>
      <c r="O50" s="230"/>
      <c r="P50" s="256"/>
      <c r="Q50" s="257"/>
      <c r="R50" s="228"/>
      <c r="S50" s="228"/>
      <c r="T50" s="245"/>
      <c r="U50" s="254"/>
      <c r="V50" s="254"/>
      <c r="W50" s="228"/>
      <c r="X50" s="255"/>
      <c r="Y50" s="248"/>
      <c r="Z50" s="248"/>
      <c r="AA50" s="228"/>
      <c r="AB50" s="228"/>
      <c r="AC50" s="228"/>
      <c r="AD50" s="228"/>
      <c r="AE50" s="248"/>
      <c r="AF50" s="247"/>
      <c r="AG50" s="228"/>
      <c r="AH50" s="228"/>
      <c r="AI50" s="248"/>
      <c r="AJ50" s="248"/>
      <c r="AK50" s="194"/>
      <c r="AL50" s="249"/>
      <c r="AM50" s="250"/>
      <c r="AN50" s="251"/>
      <c r="AO50" s="252"/>
      <c r="AP50" s="241"/>
      <c r="AQ50" s="241"/>
      <c r="AR50" s="241"/>
      <c r="AS50" s="194"/>
      <c r="AT50" s="195"/>
      <c r="AU50" s="195"/>
    </row>
    <row r="51" spans="1:47">
      <c r="A51" s="253"/>
      <c r="B51" s="230"/>
      <c r="C51" s="245"/>
      <c r="D51" s="230"/>
      <c r="E51" s="230"/>
      <c r="F51" s="230"/>
      <c r="G51" s="228"/>
      <c r="H51" s="230"/>
      <c r="I51" s="230"/>
      <c r="J51" s="246"/>
      <c r="K51" s="230"/>
      <c r="L51" s="230"/>
      <c r="M51" s="230"/>
      <c r="N51" s="230"/>
      <c r="O51" s="230"/>
      <c r="P51" s="256"/>
      <c r="Q51" s="257"/>
      <c r="R51" s="228"/>
      <c r="S51" s="228"/>
      <c r="T51" s="245"/>
      <c r="U51" s="254"/>
      <c r="V51" s="254"/>
      <c r="W51" s="228"/>
      <c r="X51" s="255"/>
      <c r="Y51" s="248"/>
      <c r="Z51" s="248"/>
      <c r="AA51" s="228"/>
      <c r="AB51" s="228"/>
      <c r="AC51" s="228"/>
      <c r="AD51" s="228"/>
      <c r="AE51" s="248"/>
      <c r="AF51" s="247"/>
      <c r="AG51" s="228"/>
      <c r="AH51" s="228"/>
      <c r="AI51" s="248"/>
      <c r="AJ51" s="248"/>
      <c r="AK51" s="194"/>
      <c r="AL51" s="249"/>
      <c r="AM51" s="250"/>
      <c r="AN51" s="251"/>
      <c r="AO51" s="252"/>
      <c r="AP51" s="241"/>
      <c r="AQ51" s="241"/>
      <c r="AR51" s="241"/>
      <c r="AS51" s="194"/>
      <c r="AT51" s="195"/>
      <c r="AU51" s="195"/>
    </row>
    <row r="52" spans="1:47">
      <c r="A52" s="253"/>
      <c r="B52" s="230"/>
      <c r="C52" s="245"/>
      <c r="D52" s="230"/>
      <c r="E52" s="230"/>
      <c r="F52" s="230"/>
      <c r="G52" s="228"/>
      <c r="H52" s="230"/>
      <c r="I52" s="230"/>
      <c r="J52" s="246"/>
      <c r="K52" s="230"/>
      <c r="L52" s="230"/>
      <c r="M52" s="230"/>
      <c r="N52" s="230"/>
      <c r="O52" s="230"/>
      <c r="P52" s="256"/>
      <c r="Q52" s="257"/>
      <c r="R52" s="228"/>
      <c r="S52" s="228"/>
      <c r="T52" s="245"/>
      <c r="U52" s="254"/>
      <c r="V52" s="254"/>
      <c r="W52" s="228"/>
      <c r="X52" s="255"/>
      <c r="Y52" s="248"/>
      <c r="Z52" s="248"/>
      <c r="AA52" s="228"/>
      <c r="AB52" s="228"/>
      <c r="AC52" s="228"/>
      <c r="AD52" s="228"/>
      <c r="AE52" s="248"/>
      <c r="AF52" s="247"/>
      <c r="AG52" s="228"/>
      <c r="AH52" s="228"/>
      <c r="AI52" s="248"/>
      <c r="AJ52" s="248"/>
      <c r="AK52" s="194"/>
      <c r="AL52" s="249"/>
      <c r="AM52" s="250"/>
      <c r="AN52" s="251"/>
      <c r="AO52" s="252"/>
      <c r="AP52" s="241"/>
      <c r="AQ52" s="241"/>
      <c r="AR52" s="241"/>
      <c r="AS52" s="194"/>
      <c r="AT52" s="195"/>
      <c r="AU52" s="195"/>
    </row>
    <row r="53" spans="1:47">
      <c r="A53" s="253"/>
      <c r="B53" s="230"/>
      <c r="C53" s="245"/>
      <c r="D53" s="230"/>
      <c r="E53" s="230"/>
      <c r="F53" s="230"/>
      <c r="G53" s="228"/>
      <c r="H53" s="230"/>
      <c r="I53" s="230"/>
      <c r="J53" s="246"/>
      <c r="K53" s="230"/>
      <c r="L53" s="230"/>
      <c r="M53" s="230"/>
      <c r="N53" s="230"/>
      <c r="O53" s="230"/>
      <c r="P53" s="256"/>
      <c r="Q53" s="257"/>
      <c r="R53" s="228"/>
      <c r="S53" s="228"/>
      <c r="T53" s="245"/>
      <c r="U53" s="254"/>
      <c r="V53" s="254"/>
      <c r="W53" s="228"/>
      <c r="X53" s="255"/>
      <c r="Y53" s="248"/>
      <c r="Z53" s="248"/>
      <c r="AA53" s="228"/>
      <c r="AB53" s="228"/>
      <c r="AC53" s="228"/>
      <c r="AD53" s="228"/>
      <c r="AE53" s="248"/>
      <c r="AF53" s="247"/>
      <c r="AG53" s="228"/>
      <c r="AH53" s="228"/>
      <c r="AI53" s="248"/>
      <c r="AJ53" s="248"/>
      <c r="AK53" s="194"/>
      <c r="AL53" s="249"/>
      <c r="AM53" s="250"/>
      <c r="AN53" s="251"/>
      <c r="AO53" s="252"/>
      <c r="AP53" s="241"/>
      <c r="AQ53" s="241"/>
      <c r="AR53" s="241"/>
      <c r="AS53" s="194"/>
      <c r="AT53" s="195"/>
      <c r="AU53" s="195"/>
    </row>
    <row r="54" spans="1:47">
      <c r="A54" s="253"/>
      <c r="B54" s="230"/>
      <c r="C54" s="245"/>
      <c r="D54" s="230"/>
      <c r="E54" s="230"/>
      <c r="F54" s="230"/>
      <c r="G54" s="228"/>
      <c r="H54" s="230"/>
      <c r="I54" s="230"/>
      <c r="J54" s="246"/>
      <c r="K54" s="230"/>
      <c r="L54" s="230"/>
      <c r="M54" s="230"/>
      <c r="N54" s="230"/>
      <c r="O54" s="230"/>
      <c r="P54" s="256"/>
      <c r="Q54" s="257"/>
      <c r="R54" s="228"/>
      <c r="S54" s="228"/>
      <c r="T54" s="245"/>
      <c r="U54" s="254"/>
      <c r="V54" s="254"/>
      <c r="W54" s="228"/>
      <c r="X54" s="255"/>
      <c r="Y54" s="248"/>
      <c r="Z54" s="248"/>
      <c r="AA54" s="228"/>
      <c r="AB54" s="228"/>
      <c r="AC54" s="228"/>
      <c r="AD54" s="228"/>
      <c r="AE54" s="248"/>
      <c r="AF54" s="247"/>
      <c r="AG54" s="228"/>
      <c r="AH54" s="228"/>
      <c r="AI54" s="248"/>
      <c r="AJ54" s="248"/>
      <c r="AK54" s="194"/>
      <c r="AL54" s="249"/>
      <c r="AM54" s="250"/>
      <c r="AN54" s="251"/>
      <c r="AO54" s="252"/>
      <c r="AP54" s="241"/>
      <c r="AQ54" s="241"/>
      <c r="AR54" s="241"/>
      <c r="AS54" s="194"/>
      <c r="AT54" s="195"/>
      <c r="AU54" s="195"/>
    </row>
    <row r="55" spans="1:47">
      <c r="A55" s="253"/>
      <c r="B55" s="230"/>
      <c r="C55" s="245"/>
      <c r="D55" s="230"/>
      <c r="E55" s="230"/>
      <c r="F55" s="230"/>
      <c r="G55" s="228"/>
      <c r="H55" s="230"/>
      <c r="I55" s="230"/>
      <c r="J55" s="246"/>
      <c r="K55" s="230"/>
      <c r="L55" s="230"/>
      <c r="M55" s="230"/>
      <c r="N55" s="230"/>
      <c r="O55" s="230"/>
      <c r="P55" s="256"/>
      <c r="Q55" s="257"/>
      <c r="R55" s="228"/>
      <c r="S55" s="228"/>
      <c r="T55" s="245"/>
      <c r="U55" s="254"/>
      <c r="V55" s="254"/>
      <c r="W55" s="228"/>
      <c r="X55" s="255"/>
      <c r="Y55" s="248"/>
      <c r="Z55" s="248"/>
      <c r="AA55" s="228"/>
      <c r="AB55" s="228"/>
      <c r="AC55" s="228"/>
      <c r="AD55" s="228"/>
      <c r="AE55" s="248"/>
      <c r="AF55" s="247"/>
      <c r="AG55" s="228"/>
      <c r="AH55" s="228"/>
      <c r="AI55" s="248"/>
      <c r="AJ55" s="248"/>
      <c r="AK55" s="194"/>
      <c r="AL55" s="249"/>
      <c r="AM55" s="250"/>
      <c r="AN55" s="251"/>
      <c r="AO55" s="252"/>
      <c r="AP55" s="241"/>
      <c r="AQ55" s="241"/>
      <c r="AR55" s="241"/>
      <c r="AS55" s="194"/>
      <c r="AT55" s="195"/>
      <c r="AU55" s="195"/>
    </row>
    <row r="56" spans="1:47">
      <c r="A56" s="253"/>
      <c r="B56" s="230"/>
      <c r="C56" s="245"/>
      <c r="D56" s="230"/>
      <c r="E56" s="230"/>
      <c r="F56" s="230"/>
      <c r="G56" s="228"/>
      <c r="H56" s="230"/>
      <c r="I56" s="230"/>
      <c r="J56" s="246"/>
      <c r="K56" s="230"/>
      <c r="L56" s="230"/>
      <c r="M56" s="230"/>
      <c r="N56" s="230"/>
      <c r="O56" s="230"/>
      <c r="P56" s="256"/>
      <c r="Q56" s="257"/>
      <c r="R56" s="228"/>
      <c r="S56" s="228"/>
      <c r="T56" s="245"/>
      <c r="U56" s="254"/>
      <c r="V56" s="254"/>
      <c r="W56" s="228"/>
      <c r="X56" s="255"/>
      <c r="Y56" s="248"/>
      <c r="Z56" s="248"/>
      <c r="AA56" s="228"/>
      <c r="AB56" s="228"/>
      <c r="AC56" s="228"/>
      <c r="AD56" s="228"/>
      <c r="AE56" s="248"/>
      <c r="AF56" s="247"/>
      <c r="AG56" s="228"/>
      <c r="AH56" s="228"/>
      <c r="AI56" s="248"/>
      <c r="AJ56" s="248"/>
      <c r="AK56" s="194"/>
      <c r="AL56" s="249"/>
      <c r="AM56" s="250"/>
      <c r="AN56" s="251"/>
      <c r="AO56" s="252"/>
      <c r="AP56" s="241"/>
      <c r="AQ56" s="241"/>
      <c r="AR56" s="241"/>
      <c r="AS56" s="194"/>
      <c r="AT56" s="195"/>
      <c r="AU56" s="195"/>
    </row>
    <row r="57" spans="1:47">
      <c r="A57" s="253"/>
      <c r="B57" s="230"/>
      <c r="C57" s="245"/>
      <c r="D57" s="230"/>
      <c r="E57" s="230"/>
      <c r="F57" s="230"/>
      <c r="G57" s="228"/>
      <c r="H57" s="230"/>
      <c r="I57" s="230"/>
      <c r="J57" s="246"/>
      <c r="K57" s="230"/>
      <c r="L57" s="230"/>
      <c r="M57" s="230"/>
      <c r="N57" s="230"/>
      <c r="O57" s="230"/>
      <c r="P57" s="256"/>
      <c r="Q57" s="257"/>
      <c r="R57" s="228"/>
      <c r="S57" s="228"/>
      <c r="T57" s="245"/>
      <c r="U57" s="254"/>
      <c r="V57" s="254"/>
      <c r="W57" s="228"/>
      <c r="X57" s="255"/>
      <c r="Y57" s="248"/>
      <c r="Z57" s="248"/>
      <c r="AA57" s="228"/>
      <c r="AB57" s="228"/>
      <c r="AC57" s="228"/>
      <c r="AD57" s="228"/>
      <c r="AE57" s="248"/>
      <c r="AF57" s="247"/>
      <c r="AG57" s="228"/>
      <c r="AH57" s="228"/>
      <c r="AI57" s="248"/>
      <c r="AJ57" s="248"/>
      <c r="AK57" s="194"/>
      <c r="AL57" s="249"/>
      <c r="AM57" s="250"/>
      <c r="AN57" s="251"/>
      <c r="AO57" s="252"/>
      <c r="AP57" s="241"/>
      <c r="AQ57" s="241"/>
      <c r="AR57" s="241"/>
      <c r="AS57" s="194"/>
      <c r="AT57" s="195"/>
      <c r="AU57" s="195"/>
    </row>
    <row r="58" spans="1:47">
      <c r="A58" s="253"/>
      <c r="B58" s="230"/>
      <c r="C58" s="245"/>
      <c r="D58" s="230"/>
      <c r="E58" s="230"/>
      <c r="F58" s="230"/>
      <c r="G58" s="228"/>
      <c r="H58" s="230"/>
      <c r="I58" s="230"/>
      <c r="J58" s="246"/>
      <c r="K58" s="230"/>
      <c r="L58" s="230"/>
      <c r="M58" s="230"/>
      <c r="N58" s="230"/>
      <c r="O58" s="230"/>
      <c r="P58" s="256"/>
      <c r="Q58" s="257"/>
      <c r="R58" s="228"/>
      <c r="S58" s="228"/>
      <c r="T58" s="245"/>
      <c r="U58" s="254"/>
      <c r="V58" s="254"/>
      <c r="W58" s="228"/>
      <c r="X58" s="255"/>
      <c r="Y58" s="248"/>
      <c r="Z58" s="248"/>
      <c r="AA58" s="228"/>
      <c r="AB58" s="228"/>
      <c r="AC58" s="228"/>
      <c r="AD58" s="228"/>
      <c r="AE58" s="248"/>
      <c r="AF58" s="247"/>
      <c r="AG58" s="228"/>
      <c r="AH58" s="228"/>
      <c r="AI58" s="248"/>
      <c r="AJ58" s="248"/>
      <c r="AK58" s="194"/>
      <c r="AL58" s="249"/>
      <c r="AM58" s="250"/>
      <c r="AN58" s="251"/>
      <c r="AO58" s="252"/>
      <c r="AP58" s="241"/>
      <c r="AQ58" s="241"/>
      <c r="AR58" s="241"/>
      <c r="AS58" s="194"/>
      <c r="AT58" s="195"/>
      <c r="AU58" s="195"/>
    </row>
    <row r="59" spans="1:47">
      <c r="A59" s="253"/>
      <c r="B59" s="230"/>
      <c r="C59" s="245"/>
      <c r="D59" s="230"/>
      <c r="E59" s="230"/>
      <c r="F59" s="230"/>
      <c r="G59" s="228"/>
      <c r="H59" s="230"/>
      <c r="I59" s="230"/>
      <c r="J59" s="246"/>
      <c r="K59" s="230"/>
      <c r="L59" s="230"/>
      <c r="M59" s="230"/>
      <c r="N59" s="230"/>
      <c r="O59" s="230"/>
      <c r="P59" s="256"/>
      <c r="Q59" s="257"/>
      <c r="R59" s="228"/>
      <c r="S59" s="228"/>
      <c r="T59" s="245"/>
      <c r="U59" s="254"/>
      <c r="V59" s="254"/>
      <c r="W59" s="228"/>
      <c r="X59" s="255"/>
      <c r="Y59" s="248"/>
      <c r="Z59" s="248"/>
      <c r="AA59" s="228"/>
      <c r="AB59" s="228"/>
      <c r="AC59" s="228"/>
      <c r="AD59" s="228"/>
      <c r="AE59" s="248"/>
      <c r="AF59" s="247"/>
      <c r="AG59" s="228"/>
      <c r="AH59" s="228"/>
      <c r="AI59" s="248"/>
      <c r="AJ59" s="248"/>
      <c r="AK59" s="194"/>
      <c r="AL59" s="249"/>
      <c r="AM59" s="250"/>
      <c r="AN59" s="251"/>
      <c r="AO59" s="252"/>
      <c r="AP59" s="241"/>
      <c r="AQ59" s="241"/>
      <c r="AR59" s="241"/>
      <c r="AS59" s="194"/>
      <c r="AT59" s="195"/>
      <c r="AU59" s="195"/>
    </row>
    <row r="60" spans="1:47">
      <c r="A60" s="253"/>
      <c r="B60" s="230"/>
      <c r="C60" s="245"/>
      <c r="D60" s="230"/>
      <c r="E60" s="230"/>
      <c r="F60" s="230"/>
      <c r="G60" s="228"/>
      <c r="H60" s="230"/>
      <c r="I60" s="230"/>
      <c r="J60" s="246"/>
      <c r="K60" s="230"/>
      <c r="L60" s="230"/>
      <c r="M60" s="230"/>
      <c r="N60" s="230"/>
      <c r="O60" s="230"/>
      <c r="P60" s="256"/>
      <c r="Q60" s="257"/>
      <c r="R60" s="228"/>
      <c r="S60" s="228"/>
      <c r="T60" s="245"/>
      <c r="U60" s="254"/>
      <c r="V60" s="254"/>
      <c r="W60" s="228"/>
      <c r="X60" s="255"/>
      <c r="Y60" s="248"/>
      <c r="Z60" s="248"/>
      <c r="AA60" s="228"/>
      <c r="AB60" s="228"/>
      <c r="AC60" s="228"/>
      <c r="AD60" s="228"/>
      <c r="AE60" s="248"/>
      <c r="AF60" s="247"/>
      <c r="AG60" s="228"/>
      <c r="AH60" s="228"/>
      <c r="AI60" s="248"/>
      <c r="AJ60" s="248"/>
      <c r="AK60" s="194"/>
      <c r="AL60" s="249"/>
      <c r="AM60" s="250"/>
      <c r="AN60" s="251"/>
      <c r="AO60" s="252"/>
      <c r="AP60" s="241"/>
      <c r="AQ60" s="241"/>
      <c r="AR60" s="241"/>
      <c r="AS60" s="194"/>
      <c r="AT60" s="195"/>
      <c r="AU60" s="195"/>
    </row>
    <row r="61" spans="1:47">
      <c r="A61" s="253"/>
      <c r="B61" s="230"/>
      <c r="C61" s="245"/>
      <c r="D61" s="230"/>
      <c r="E61" s="230"/>
      <c r="F61" s="230"/>
      <c r="G61" s="228"/>
      <c r="H61" s="230"/>
      <c r="I61" s="230"/>
      <c r="J61" s="246"/>
      <c r="K61" s="230"/>
      <c r="L61" s="230"/>
      <c r="M61" s="230"/>
      <c r="N61" s="230"/>
      <c r="O61" s="230"/>
      <c r="P61" s="256"/>
      <c r="Q61" s="257"/>
      <c r="R61" s="228"/>
      <c r="S61" s="228"/>
      <c r="T61" s="245"/>
      <c r="U61" s="254"/>
      <c r="V61" s="254"/>
      <c r="W61" s="228"/>
      <c r="X61" s="255"/>
      <c r="Y61" s="248"/>
      <c r="Z61" s="248"/>
      <c r="AA61" s="228"/>
      <c r="AB61" s="228"/>
      <c r="AC61" s="228"/>
      <c r="AD61" s="228"/>
      <c r="AE61" s="248"/>
      <c r="AF61" s="247"/>
      <c r="AG61" s="228"/>
      <c r="AH61" s="228"/>
      <c r="AI61" s="248"/>
      <c r="AJ61" s="248"/>
      <c r="AK61" s="194"/>
      <c r="AL61" s="249"/>
      <c r="AM61" s="250"/>
      <c r="AN61" s="251"/>
      <c r="AO61" s="252"/>
      <c r="AP61" s="241"/>
      <c r="AQ61" s="241"/>
      <c r="AR61" s="241"/>
      <c r="AS61" s="194"/>
      <c r="AT61" s="195"/>
      <c r="AU61" s="195"/>
    </row>
    <row r="62" spans="1:47">
      <c r="A62" s="253"/>
      <c r="B62" s="230"/>
      <c r="C62" s="245"/>
      <c r="D62" s="230"/>
      <c r="E62" s="230"/>
      <c r="F62" s="230"/>
      <c r="G62" s="228"/>
      <c r="H62" s="230"/>
      <c r="I62" s="230"/>
      <c r="J62" s="246"/>
      <c r="K62" s="230"/>
      <c r="L62" s="230"/>
      <c r="M62" s="230"/>
      <c r="N62" s="230"/>
      <c r="O62" s="230"/>
      <c r="P62" s="256"/>
      <c r="Q62" s="257"/>
      <c r="R62" s="228"/>
      <c r="S62" s="228"/>
      <c r="T62" s="245"/>
      <c r="U62" s="254"/>
      <c r="V62" s="254"/>
      <c r="W62" s="228"/>
      <c r="X62" s="255"/>
      <c r="Y62" s="248"/>
      <c r="Z62" s="248"/>
      <c r="AA62" s="228"/>
      <c r="AB62" s="228"/>
      <c r="AC62" s="228"/>
      <c r="AD62" s="228"/>
      <c r="AE62" s="248"/>
      <c r="AF62" s="247"/>
      <c r="AG62" s="228"/>
      <c r="AH62" s="228"/>
      <c r="AI62" s="248"/>
      <c r="AJ62" s="248"/>
      <c r="AK62" s="194"/>
      <c r="AL62" s="249"/>
      <c r="AM62" s="250"/>
      <c r="AN62" s="251"/>
      <c r="AO62" s="252"/>
      <c r="AP62" s="241"/>
      <c r="AQ62" s="241"/>
      <c r="AR62" s="241"/>
      <c r="AS62" s="194"/>
      <c r="AT62" s="195"/>
      <c r="AU62" s="195"/>
    </row>
    <row r="63" spans="1:47">
      <c r="A63" s="253"/>
      <c r="B63" s="230"/>
      <c r="C63" s="245"/>
      <c r="D63" s="230"/>
      <c r="E63" s="230"/>
      <c r="F63" s="230"/>
      <c r="G63" s="228"/>
      <c r="H63" s="230"/>
      <c r="I63" s="230"/>
      <c r="J63" s="246"/>
      <c r="K63" s="230"/>
      <c r="L63" s="230"/>
      <c r="M63" s="230"/>
      <c r="N63" s="230"/>
      <c r="O63" s="230"/>
      <c r="P63" s="256"/>
      <c r="Q63" s="257"/>
      <c r="R63" s="228"/>
      <c r="S63" s="228"/>
      <c r="T63" s="245"/>
      <c r="U63" s="254"/>
      <c r="V63" s="254"/>
      <c r="W63" s="228"/>
      <c r="X63" s="255"/>
      <c r="Y63" s="248"/>
      <c r="Z63" s="248"/>
      <c r="AA63" s="228"/>
      <c r="AB63" s="228"/>
      <c r="AC63" s="228"/>
      <c r="AD63" s="228"/>
      <c r="AE63" s="248"/>
      <c r="AF63" s="247"/>
      <c r="AG63" s="228"/>
      <c r="AH63" s="228"/>
      <c r="AI63" s="248"/>
      <c r="AJ63" s="248"/>
      <c r="AK63" s="194"/>
      <c r="AL63" s="249"/>
      <c r="AM63" s="250"/>
      <c r="AN63" s="251"/>
      <c r="AO63" s="252"/>
      <c r="AP63" s="241"/>
      <c r="AQ63" s="241"/>
      <c r="AR63" s="241"/>
      <c r="AS63" s="194"/>
      <c r="AT63" s="195"/>
      <c r="AU63" s="195"/>
    </row>
    <row r="64" spans="1:47">
      <c r="A64" s="253"/>
      <c r="B64" s="230"/>
      <c r="C64" s="245"/>
      <c r="D64" s="230"/>
      <c r="E64" s="230"/>
      <c r="F64" s="230"/>
      <c r="G64" s="228"/>
      <c r="H64" s="230"/>
      <c r="I64" s="230"/>
      <c r="J64" s="246"/>
      <c r="K64" s="230"/>
      <c r="L64" s="230"/>
      <c r="M64" s="230"/>
      <c r="N64" s="230"/>
      <c r="O64" s="230"/>
      <c r="P64" s="256"/>
      <c r="Q64" s="257"/>
      <c r="R64" s="228"/>
      <c r="S64" s="228"/>
      <c r="T64" s="245"/>
      <c r="U64" s="254"/>
      <c r="V64" s="254"/>
      <c r="W64" s="228"/>
      <c r="X64" s="255"/>
      <c r="Y64" s="248"/>
      <c r="Z64" s="248"/>
      <c r="AA64" s="228"/>
      <c r="AB64" s="228"/>
      <c r="AC64" s="228"/>
      <c r="AD64" s="228"/>
      <c r="AE64" s="248"/>
      <c r="AF64" s="247"/>
      <c r="AG64" s="228"/>
      <c r="AH64" s="228"/>
      <c r="AI64" s="248"/>
      <c r="AJ64" s="248"/>
      <c r="AK64" s="194"/>
      <c r="AL64" s="249"/>
      <c r="AM64" s="250"/>
      <c r="AN64" s="251"/>
      <c r="AO64" s="252"/>
      <c r="AP64" s="241"/>
      <c r="AQ64" s="241"/>
      <c r="AR64" s="241"/>
      <c r="AS64" s="194"/>
      <c r="AT64" s="195"/>
      <c r="AU64" s="195"/>
    </row>
    <row r="65" spans="1:47">
      <c r="A65" s="253"/>
      <c r="B65" s="230"/>
      <c r="C65" s="245"/>
      <c r="D65" s="230"/>
      <c r="E65" s="230"/>
      <c r="F65" s="230"/>
      <c r="G65" s="228"/>
      <c r="H65" s="230"/>
      <c r="I65" s="230"/>
      <c r="J65" s="246"/>
      <c r="K65" s="230"/>
      <c r="L65" s="230"/>
      <c r="M65" s="230"/>
      <c r="N65" s="230"/>
      <c r="O65" s="230"/>
      <c r="P65" s="256"/>
      <c r="Q65" s="257"/>
      <c r="R65" s="228"/>
      <c r="S65" s="228"/>
      <c r="T65" s="245"/>
      <c r="U65" s="254"/>
      <c r="V65" s="254"/>
      <c r="W65" s="228"/>
      <c r="X65" s="255"/>
      <c r="Y65" s="248"/>
      <c r="Z65" s="248"/>
      <c r="AA65" s="228"/>
      <c r="AB65" s="228"/>
      <c r="AC65" s="228"/>
      <c r="AD65" s="228"/>
      <c r="AE65" s="248"/>
      <c r="AF65" s="247"/>
      <c r="AG65" s="228"/>
      <c r="AH65" s="228"/>
      <c r="AI65" s="248"/>
      <c r="AJ65" s="248"/>
      <c r="AK65" s="194"/>
      <c r="AL65" s="249"/>
      <c r="AM65" s="250"/>
      <c r="AN65" s="251"/>
      <c r="AO65" s="252"/>
      <c r="AP65" s="241"/>
      <c r="AQ65" s="241"/>
      <c r="AR65" s="241"/>
      <c r="AS65" s="194"/>
      <c r="AT65" s="195"/>
      <c r="AU65" s="195"/>
    </row>
    <row r="66" spans="1:47">
      <c r="A66" s="253"/>
      <c r="B66" s="230"/>
      <c r="C66" s="245"/>
      <c r="D66" s="230"/>
      <c r="E66" s="230"/>
      <c r="F66" s="230"/>
      <c r="G66" s="228"/>
      <c r="H66" s="230"/>
      <c r="I66" s="230"/>
      <c r="J66" s="246"/>
      <c r="K66" s="230"/>
      <c r="L66" s="230"/>
      <c r="M66" s="230"/>
      <c r="N66" s="230"/>
      <c r="O66" s="230"/>
      <c r="P66" s="256"/>
      <c r="Q66" s="257"/>
      <c r="R66" s="228"/>
      <c r="S66" s="228"/>
      <c r="T66" s="245"/>
      <c r="U66" s="254"/>
      <c r="V66" s="254"/>
      <c r="W66" s="228"/>
      <c r="X66" s="255"/>
      <c r="Y66" s="248"/>
      <c r="Z66" s="248"/>
      <c r="AA66" s="228"/>
      <c r="AB66" s="228"/>
      <c r="AC66" s="228"/>
      <c r="AD66" s="228"/>
      <c r="AE66" s="248"/>
      <c r="AF66" s="247"/>
      <c r="AG66" s="228"/>
      <c r="AH66" s="228"/>
      <c r="AI66" s="248"/>
      <c r="AJ66" s="248"/>
      <c r="AK66" s="194"/>
      <c r="AL66" s="249"/>
      <c r="AM66" s="250"/>
      <c r="AN66" s="251"/>
      <c r="AO66" s="252"/>
      <c r="AP66" s="241"/>
      <c r="AQ66" s="241"/>
      <c r="AR66" s="241"/>
      <c r="AS66" s="194"/>
      <c r="AT66" s="195"/>
      <c r="AU66" s="195"/>
    </row>
    <row r="67" spans="1:47">
      <c r="A67" s="253"/>
      <c r="B67" s="230"/>
      <c r="C67" s="245"/>
      <c r="D67" s="230"/>
      <c r="E67" s="230"/>
      <c r="F67" s="230"/>
      <c r="G67" s="228"/>
      <c r="H67" s="230"/>
      <c r="I67" s="230"/>
      <c r="J67" s="246"/>
      <c r="K67" s="230"/>
      <c r="L67" s="230"/>
      <c r="M67" s="230"/>
      <c r="N67" s="230"/>
      <c r="O67" s="230"/>
      <c r="P67" s="256"/>
      <c r="Q67" s="257"/>
      <c r="R67" s="228"/>
      <c r="S67" s="228"/>
      <c r="T67" s="245"/>
      <c r="U67" s="254"/>
      <c r="V67" s="254"/>
      <c r="W67" s="228"/>
      <c r="X67" s="255"/>
      <c r="Y67" s="248"/>
      <c r="Z67" s="248"/>
      <c r="AA67" s="228"/>
      <c r="AB67" s="228"/>
      <c r="AC67" s="228"/>
      <c r="AD67" s="228"/>
      <c r="AE67" s="248"/>
      <c r="AF67" s="247"/>
      <c r="AG67" s="228"/>
      <c r="AH67" s="228"/>
      <c r="AI67" s="248"/>
      <c r="AJ67" s="248"/>
      <c r="AK67" s="194"/>
      <c r="AL67" s="249"/>
      <c r="AM67" s="250"/>
      <c r="AN67" s="251"/>
      <c r="AO67" s="252"/>
      <c r="AP67" s="241"/>
      <c r="AQ67" s="241"/>
      <c r="AR67" s="241"/>
      <c r="AS67" s="194"/>
      <c r="AT67" s="195"/>
      <c r="AU67" s="195"/>
    </row>
    <row r="68" spans="1:47">
      <c r="A68" s="253"/>
      <c r="B68" s="230"/>
      <c r="C68" s="245"/>
      <c r="D68" s="230"/>
      <c r="E68" s="230"/>
      <c r="F68" s="230"/>
      <c r="G68" s="228"/>
      <c r="H68" s="230"/>
      <c r="I68" s="230"/>
      <c r="J68" s="246"/>
      <c r="K68" s="230"/>
      <c r="L68" s="230"/>
      <c r="M68" s="230"/>
      <c r="N68" s="230"/>
      <c r="O68" s="230"/>
      <c r="P68" s="256"/>
      <c r="Q68" s="257"/>
      <c r="R68" s="228"/>
      <c r="S68" s="228"/>
      <c r="T68" s="245"/>
      <c r="U68" s="254"/>
      <c r="V68" s="254"/>
      <c r="W68" s="228"/>
      <c r="X68" s="255"/>
      <c r="Y68" s="248"/>
      <c r="Z68" s="248"/>
      <c r="AA68" s="228"/>
      <c r="AB68" s="228"/>
      <c r="AC68" s="228"/>
      <c r="AD68" s="228"/>
      <c r="AE68" s="248"/>
      <c r="AF68" s="247"/>
      <c r="AG68" s="228"/>
      <c r="AH68" s="228"/>
      <c r="AI68" s="248"/>
      <c r="AJ68" s="248"/>
      <c r="AK68" s="194"/>
      <c r="AL68" s="249"/>
      <c r="AM68" s="250"/>
      <c r="AN68" s="251"/>
      <c r="AO68" s="252"/>
      <c r="AP68" s="241"/>
      <c r="AQ68" s="241"/>
      <c r="AR68" s="241"/>
      <c r="AS68" s="194"/>
      <c r="AT68" s="195"/>
      <c r="AU68" s="195"/>
    </row>
    <row r="69" spans="1:47">
      <c r="A69" s="253"/>
      <c r="B69" s="230"/>
      <c r="C69" s="245"/>
      <c r="D69" s="230"/>
      <c r="E69" s="230"/>
      <c r="F69" s="230"/>
      <c r="G69" s="228"/>
      <c r="H69" s="230"/>
      <c r="I69" s="230"/>
      <c r="J69" s="246"/>
      <c r="K69" s="230"/>
      <c r="L69" s="230"/>
      <c r="M69" s="230"/>
      <c r="N69" s="230"/>
      <c r="O69" s="230"/>
      <c r="P69" s="256"/>
      <c r="Q69" s="257"/>
      <c r="R69" s="228"/>
      <c r="S69" s="228"/>
      <c r="T69" s="245"/>
      <c r="U69" s="254"/>
      <c r="V69" s="254"/>
      <c r="W69" s="228"/>
      <c r="X69" s="255"/>
      <c r="Y69" s="248"/>
      <c r="Z69" s="248"/>
      <c r="AA69" s="228"/>
      <c r="AB69" s="228"/>
      <c r="AC69" s="228"/>
      <c r="AD69" s="228"/>
      <c r="AE69" s="248"/>
      <c r="AF69" s="247"/>
      <c r="AG69" s="228"/>
      <c r="AH69" s="228"/>
      <c r="AI69" s="248"/>
      <c r="AJ69" s="248"/>
      <c r="AK69" s="194"/>
      <c r="AL69" s="249"/>
      <c r="AM69" s="250"/>
      <c r="AN69" s="251"/>
      <c r="AO69" s="252"/>
      <c r="AP69" s="241"/>
      <c r="AQ69" s="241"/>
      <c r="AR69" s="241"/>
      <c r="AS69" s="194"/>
      <c r="AT69" s="195"/>
      <c r="AU69" s="195"/>
    </row>
    <row r="70" spans="1:47">
      <c r="A70" s="253"/>
      <c r="B70" s="230"/>
      <c r="C70" s="245"/>
      <c r="D70" s="230"/>
      <c r="E70" s="230"/>
      <c r="F70" s="230"/>
      <c r="G70" s="228"/>
      <c r="H70" s="230"/>
      <c r="I70" s="230"/>
      <c r="J70" s="246"/>
      <c r="K70" s="230"/>
      <c r="L70" s="230"/>
      <c r="M70" s="230"/>
      <c r="N70" s="230"/>
      <c r="O70" s="230"/>
      <c r="P70" s="256"/>
      <c r="Q70" s="257"/>
      <c r="R70" s="228"/>
      <c r="S70" s="228"/>
      <c r="T70" s="245"/>
      <c r="U70" s="254"/>
      <c r="V70" s="254"/>
      <c r="W70" s="228"/>
      <c r="X70" s="255"/>
      <c r="Y70" s="248"/>
      <c r="Z70" s="248"/>
      <c r="AA70" s="228"/>
      <c r="AB70" s="228"/>
      <c r="AC70" s="228"/>
      <c r="AD70" s="228"/>
      <c r="AE70" s="248"/>
      <c r="AF70" s="247"/>
      <c r="AG70" s="228"/>
      <c r="AH70" s="228"/>
      <c r="AI70" s="248"/>
      <c r="AJ70" s="248"/>
      <c r="AK70" s="194"/>
      <c r="AL70" s="249"/>
      <c r="AM70" s="250"/>
      <c r="AN70" s="251"/>
      <c r="AO70" s="252"/>
      <c r="AP70" s="241"/>
      <c r="AQ70" s="241"/>
      <c r="AR70" s="241"/>
      <c r="AS70" s="194"/>
      <c r="AT70" s="195"/>
      <c r="AU70" s="195"/>
    </row>
    <row r="71" spans="1:47">
      <c r="A71" s="253"/>
      <c r="B71" s="230"/>
      <c r="C71" s="245"/>
      <c r="D71" s="230"/>
      <c r="E71" s="230"/>
      <c r="F71" s="230"/>
      <c r="G71" s="228"/>
      <c r="H71" s="230"/>
      <c r="I71" s="230"/>
      <c r="J71" s="246"/>
      <c r="K71" s="230"/>
      <c r="L71" s="230"/>
      <c r="M71" s="230"/>
      <c r="N71" s="230"/>
      <c r="O71" s="230"/>
      <c r="P71" s="256"/>
      <c r="Q71" s="257"/>
      <c r="R71" s="228"/>
      <c r="S71" s="228"/>
      <c r="T71" s="245"/>
      <c r="U71" s="254"/>
      <c r="V71" s="254"/>
      <c r="W71" s="228"/>
      <c r="X71" s="255"/>
      <c r="Y71" s="248"/>
      <c r="Z71" s="248"/>
      <c r="AA71" s="228"/>
      <c r="AB71" s="228"/>
      <c r="AC71" s="228"/>
      <c r="AD71" s="228"/>
      <c r="AE71" s="248"/>
      <c r="AF71" s="247"/>
      <c r="AG71" s="228"/>
      <c r="AH71" s="228"/>
      <c r="AI71" s="248"/>
      <c r="AJ71" s="248"/>
      <c r="AK71" s="194"/>
      <c r="AL71" s="249"/>
      <c r="AM71" s="250"/>
      <c r="AN71" s="251"/>
      <c r="AO71" s="252"/>
      <c r="AP71" s="241"/>
      <c r="AQ71" s="241"/>
      <c r="AR71" s="241"/>
      <c r="AS71" s="194"/>
      <c r="AT71" s="195"/>
      <c r="AU71" s="195"/>
    </row>
    <row r="72" spans="1:47">
      <c r="A72" s="253"/>
      <c r="B72" s="230"/>
      <c r="C72" s="245"/>
      <c r="D72" s="230"/>
      <c r="E72" s="230"/>
      <c r="F72" s="230"/>
      <c r="G72" s="228"/>
      <c r="H72" s="230"/>
      <c r="I72" s="230"/>
      <c r="J72" s="246"/>
      <c r="K72" s="230"/>
      <c r="L72" s="230"/>
      <c r="M72" s="230"/>
      <c r="N72" s="230"/>
      <c r="O72" s="230"/>
      <c r="P72" s="256"/>
      <c r="Q72" s="257"/>
      <c r="R72" s="228"/>
      <c r="S72" s="228"/>
      <c r="T72" s="245"/>
      <c r="U72" s="254"/>
      <c r="V72" s="254"/>
      <c r="W72" s="228"/>
      <c r="X72" s="255"/>
      <c r="Y72" s="248"/>
      <c r="Z72" s="248"/>
      <c r="AA72" s="228"/>
      <c r="AB72" s="228"/>
      <c r="AC72" s="228"/>
      <c r="AD72" s="228"/>
      <c r="AE72" s="248"/>
      <c r="AF72" s="247"/>
      <c r="AG72" s="228"/>
      <c r="AH72" s="228"/>
      <c r="AI72" s="248"/>
      <c r="AJ72" s="248"/>
      <c r="AK72" s="194"/>
      <c r="AL72" s="249"/>
      <c r="AM72" s="250"/>
      <c r="AN72" s="251"/>
      <c r="AO72" s="252"/>
      <c r="AP72" s="241"/>
      <c r="AQ72" s="241"/>
      <c r="AR72" s="241"/>
      <c r="AS72" s="194"/>
      <c r="AT72" s="195"/>
      <c r="AU72" s="195"/>
    </row>
    <row r="73" spans="1:47">
      <c r="A73" s="253"/>
      <c r="B73" s="230"/>
      <c r="C73" s="245"/>
      <c r="D73" s="230"/>
      <c r="E73" s="230"/>
      <c r="F73" s="230"/>
      <c r="G73" s="228"/>
      <c r="H73" s="230"/>
      <c r="I73" s="230"/>
      <c r="J73" s="246"/>
      <c r="K73" s="230"/>
      <c r="L73" s="230"/>
      <c r="M73" s="230"/>
      <c r="N73" s="230"/>
      <c r="O73" s="230"/>
      <c r="P73" s="256"/>
      <c r="Q73" s="257"/>
      <c r="R73" s="228"/>
      <c r="S73" s="228"/>
      <c r="T73" s="245"/>
      <c r="U73" s="254"/>
      <c r="V73" s="254"/>
      <c r="W73" s="228"/>
      <c r="X73" s="255"/>
      <c r="Y73" s="248"/>
      <c r="Z73" s="248"/>
      <c r="AA73" s="228"/>
      <c r="AB73" s="228"/>
      <c r="AC73" s="228"/>
      <c r="AD73" s="228"/>
      <c r="AE73" s="248"/>
      <c r="AF73" s="247"/>
      <c r="AG73" s="228"/>
      <c r="AH73" s="228"/>
      <c r="AI73" s="248"/>
      <c r="AJ73" s="248"/>
      <c r="AK73" s="194"/>
      <c r="AL73" s="249"/>
      <c r="AM73" s="250"/>
      <c r="AN73" s="251"/>
      <c r="AO73" s="252"/>
      <c r="AP73" s="241"/>
      <c r="AQ73" s="241"/>
      <c r="AR73" s="241"/>
      <c r="AS73" s="194"/>
      <c r="AT73" s="195"/>
      <c r="AU73" s="195"/>
    </row>
    <row r="74" spans="1:47">
      <c r="A74" s="253"/>
      <c r="B74" s="230"/>
      <c r="C74" s="245"/>
      <c r="D74" s="230"/>
      <c r="E74" s="230"/>
      <c r="F74" s="230"/>
      <c r="G74" s="228"/>
      <c r="H74" s="230"/>
      <c r="I74" s="230"/>
      <c r="J74" s="246"/>
      <c r="K74" s="230"/>
      <c r="L74" s="230"/>
      <c r="M74" s="230"/>
      <c r="N74" s="230"/>
      <c r="O74" s="230"/>
      <c r="P74" s="256"/>
      <c r="Q74" s="257"/>
      <c r="R74" s="228"/>
      <c r="S74" s="228"/>
      <c r="T74" s="245"/>
      <c r="U74" s="254"/>
      <c r="V74" s="254"/>
      <c r="W74" s="228"/>
      <c r="X74" s="255"/>
      <c r="Y74" s="248"/>
      <c r="Z74" s="248"/>
      <c r="AA74" s="228"/>
      <c r="AB74" s="228"/>
      <c r="AC74" s="228"/>
      <c r="AD74" s="228"/>
      <c r="AE74" s="248"/>
      <c r="AF74" s="247"/>
      <c r="AG74" s="228"/>
      <c r="AH74" s="228"/>
      <c r="AI74" s="248"/>
      <c r="AJ74" s="248"/>
      <c r="AK74" s="194"/>
      <c r="AL74" s="249"/>
      <c r="AM74" s="250"/>
      <c r="AN74" s="251"/>
      <c r="AO74" s="252"/>
      <c r="AP74" s="241"/>
      <c r="AQ74" s="241"/>
      <c r="AR74" s="241"/>
      <c r="AS74" s="194"/>
      <c r="AT74" s="195"/>
      <c r="AU74" s="195"/>
    </row>
    <row r="75" spans="1:47">
      <c r="A75" s="253"/>
      <c r="B75" s="230"/>
      <c r="C75" s="245"/>
      <c r="D75" s="230"/>
      <c r="E75" s="230"/>
      <c r="F75" s="230"/>
      <c r="G75" s="228"/>
      <c r="H75" s="230"/>
      <c r="I75" s="230"/>
      <c r="J75" s="246"/>
      <c r="K75" s="230"/>
      <c r="L75" s="230"/>
      <c r="M75" s="230"/>
      <c r="N75" s="230"/>
      <c r="O75" s="230"/>
      <c r="P75" s="256"/>
      <c r="Q75" s="257"/>
      <c r="R75" s="228"/>
      <c r="S75" s="228"/>
      <c r="T75" s="245"/>
      <c r="U75" s="254"/>
      <c r="V75" s="254"/>
      <c r="W75" s="228"/>
      <c r="X75" s="255"/>
      <c r="Y75" s="248"/>
      <c r="Z75" s="248"/>
      <c r="AA75" s="228"/>
      <c r="AB75" s="228"/>
      <c r="AC75" s="228"/>
      <c r="AD75" s="228"/>
      <c r="AE75" s="248"/>
      <c r="AF75" s="247"/>
      <c r="AG75" s="228"/>
      <c r="AH75" s="228"/>
      <c r="AI75" s="248"/>
      <c r="AJ75" s="248"/>
      <c r="AK75" s="194"/>
      <c r="AL75" s="249"/>
      <c r="AM75" s="250"/>
      <c r="AN75" s="251"/>
      <c r="AO75" s="252"/>
      <c r="AP75" s="241"/>
      <c r="AQ75" s="241"/>
      <c r="AR75" s="241"/>
      <c r="AS75" s="194"/>
      <c r="AT75" s="195"/>
      <c r="AU75" s="195"/>
    </row>
    <row r="76" spans="1:47">
      <c r="A76" s="253"/>
      <c r="B76" s="230"/>
      <c r="C76" s="245"/>
      <c r="D76" s="230"/>
      <c r="E76" s="230"/>
      <c r="F76" s="230"/>
      <c r="G76" s="228"/>
      <c r="H76" s="230"/>
      <c r="I76" s="230"/>
      <c r="J76" s="246"/>
      <c r="K76" s="230"/>
      <c r="L76" s="230"/>
      <c r="M76" s="230"/>
      <c r="N76" s="230"/>
      <c r="O76" s="230"/>
      <c r="P76" s="256"/>
      <c r="Q76" s="257"/>
      <c r="R76" s="228"/>
      <c r="S76" s="228"/>
      <c r="T76" s="245"/>
      <c r="U76" s="254"/>
      <c r="V76" s="254"/>
      <c r="W76" s="228"/>
      <c r="X76" s="255"/>
      <c r="Y76" s="248"/>
      <c r="Z76" s="248"/>
      <c r="AA76" s="228"/>
      <c r="AB76" s="228"/>
      <c r="AC76" s="228"/>
      <c r="AD76" s="228"/>
      <c r="AE76" s="248"/>
      <c r="AF76" s="247"/>
      <c r="AG76" s="228"/>
      <c r="AH76" s="228"/>
      <c r="AI76" s="248"/>
      <c r="AJ76" s="248"/>
      <c r="AK76" s="194"/>
      <c r="AL76" s="249"/>
      <c r="AM76" s="250"/>
      <c r="AN76" s="251"/>
      <c r="AO76" s="252"/>
      <c r="AP76" s="241"/>
      <c r="AQ76" s="241"/>
      <c r="AR76" s="241"/>
      <c r="AS76" s="194"/>
      <c r="AT76" s="195"/>
      <c r="AU76" s="195"/>
    </row>
    <row r="77" spans="1:47">
      <c r="A77" s="253"/>
      <c r="B77" s="230"/>
      <c r="C77" s="245"/>
      <c r="D77" s="230"/>
      <c r="E77" s="230"/>
      <c r="F77" s="230"/>
      <c r="G77" s="228"/>
      <c r="H77" s="230"/>
      <c r="I77" s="230"/>
      <c r="J77" s="246"/>
      <c r="K77" s="230"/>
      <c r="L77" s="230"/>
      <c r="M77" s="230"/>
      <c r="N77" s="230"/>
      <c r="O77" s="230"/>
      <c r="P77" s="256"/>
      <c r="Q77" s="257"/>
      <c r="R77" s="228"/>
      <c r="S77" s="228"/>
      <c r="T77" s="245"/>
      <c r="U77" s="254"/>
      <c r="V77" s="254"/>
      <c r="W77" s="228"/>
      <c r="X77" s="255"/>
      <c r="Y77" s="248"/>
      <c r="Z77" s="248"/>
      <c r="AA77" s="228"/>
      <c r="AB77" s="228"/>
      <c r="AC77" s="228"/>
      <c r="AD77" s="228"/>
      <c r="AE77" s="248"/>
      <c r="AF77" s="247"/>
      <c r="AG77" s="228"/>
      <c r="AH77" s="228"/>
      <c r="AI77" s="248"/>
      <c r="AJ77" s="248"/>
      <c r="AK77" s="194"/>
      <c r="AL77" s="249"/>
      <c r="AM77" s="250"/>
      <c r="AN77" s="251"/>
      <c r="AO77" s="252"/>
      <c r="AP77" s="241"/>
      <c r="AQ77" s="241"/>
      <c r="AR77" s="241"/>
      <c r="AS77" s="194"/>
      <c r="AT77" s="195"/>
      <c r="AU77" s="195"/>
    </row>
    <row r="78" spans="1:47">
      <c r="A78" s="253"/>
      <c r="B78" s="230"/>
      <c r="C78" s="245"/>
      <c r="D78" s="230"/>
      <c r="E78" s="230"/>
      <c r="F78" s="230"/>
      <c r="G78" s="228"/>
      <c r="H78" s="230"/>
      <c r="I78" s="230"/>
      <c r="J78" s="246"/>
      <c r="K78" s="230"/>
      <c r="L78" s="230"/>
      <c r="M78" s="230"/>
      <c r="N78" s="230"/>
      <c r="O78" s="230"/>
      <c r="P78" s="256"/>
      <c r="Q78" s="257"/>
      <c r="R78" s="228"/>
      <c r="S78" s="228"/>
      <c r="T78" s="245"/>
      <c r="U78" s="254"/>
      <c r="V78" s="254"/>
      <c r="W78" s="228"/>
      <c r="X78" s="255"/>
      <c r="Y78" s="248"/>
      <c r="Z78" s="248"/>
      <c r="AA78" s="228"/>
      <c r="AB78" s="228"/>
      <c r="AC78" s="228"/>
      <c r="AD78" s="228"/>
      <c r="AE78" s="248"/>
      <c r="AF78" s="247"/>
      <c r="AG78" s="228"/>
      <c r="AH78" s="228"/>
      <c r="AI78" s="248"/>
      <c r="AJ78" s="248"/>
      <c r="AK78" s="194"/>
      <c r="AL78" s="249"/>
      <c r="AM78" s="250"/>
      <c r="AN78" s="251"/>
      <c r="AO78" s="252"/>
      <c r="AP78" s="241"/>
      <c r="AQ78" s="241"/>
      <c r="AR78" s="241"/>
      <c r="AS78" s="194"/>
      <c r="AT78" s="195"/>
      <c r="AU78" s="195"/>
    </row>
    <row r="79" spans="1:47">
      <c r="A79" s="253"/>
      <c r="B79" s="230"/>
      <c r="C79" s="245"/>
      <c r="D79" s="230"/>
      <c r="E79" s="230"/>
      <c r="F79" s="230"/>
      <c r="G79" s="228"/>
      <c r="H79" s="230"/>
      <c r="I79" s="230"/>
      <c r="J79" s="246"/>
      <c r="K79" s="230"/>
      <c r="L79" s="230"/>
      <c r="M79" s="230"/>
      <c r="N79" s="230"/>
      <c r="O79" s="230"/>
      <c r="P79" s="256"/>
      <c r="Q79" s="257"/>
      <c r="R79" s="228"/>
      <c r="S79" s="228"/>
      <c r="T79" s="245"/>
      <c r="U79" s="254"/>
      <c r="V79" s="254"/>
      <c r="W79" s="228"/>
      <c r="X79" s="255"/>
      <c r="Y79" s="248"/>
      <c r="Z79" s="248"/>
      <c r="AA79" s="228"/>
      <c r="AB79" s="228"/>
      <c r="AC79" s="228"/>
      <c r="AD79" s="228"/>
      <c r="AE79" s="248"/>
      <c r="AF79" s="247"/>
      <c r="AG79" s="228"/>
      <c r="AH79" s="228"/>
      <c r="AI79" s="248"/>
      <c r="AJ79" s="248"/>
      <c r="AK79" s="194"/>
      <c r="AL79" s="249"/>
      <c r="AM79" s="250"/>
      <c r="AN79" s="251"/>
      <c r="AO79" s="252"/>
      <c r="AP79" s="241"/>
      <c r="AQ79" s="241"/>
      <c r="AR79" s="241"/>
      <c r="AS79" s="194"/>
      <c r="AT79" s="195"/>
      <c r="AU79" s="195"/>
    </row>
    <row r="80" spans="1:47">
      <c r="A80" s="253"/>
      <c r="B80" s="230"/>
      <c r="C80" s="245"/>
      <c r="D80" s="230"/>
      <c r="E80" s="230"/>
      <c r="F80" s="230"/>
      <c r="G80" s="228"/>
      <c r="H80" s="230"/>
      <c r="I80" s="230"/>
      <c r="J80" s="246"/>
      <c r="K80" s="230"/>
      <c r="L80" s="230"/>
      <c r="M80" s="230"/>
      <c r="N80" s="230"/>
      <c r="O80" s="230"/>
      <c r="P80" s="256"/>
      <c r="Q80" s="257"/>
      <c r="R80" s="228"/>
      <c r="S80" s="228"/>
      <c r="T80" s="245"/>
      <c r="U80" s="254"/>
      <c r="V80" s="254"/>
      <c r="W80" s="228"/>
      <c r="X80" s="255"/>
      <c r="Y80" s="248"/>
      <c r="Z80" s="248"/>
      <c r="AA80" s="228"/>
      <c r="AB80" s="228"/>
      <c r="AC80" s="228"/>
      <c r="AD80" s="228"/>
      <c r="AE80" s="248"/>
      <c r="AF80" s="247"/>
      <c r="AG80" s="228"/>
      <c r="AH80" s="228"/>
      <c r="AI80" s="248"/>
      <c r="AJ80" s="248"/>
      <c r="AK80" s="194"/>
      <c r="AL80" s="249"/>
      <c r="AM80" s="250"/>
      <c r="AN80" s="251"/>
      <c r="AO80" s="252"/>
      <c r="AP80" s="241"/>
      <c r="AQ80" s="241"/>
      <c r="AR80" s="241"/>
      <c r="AS80" s="194"/>
      <c r="AT80" s="195"/>
      <c r="AU80" s="195"/>
    </row>
    <row r="81" spans="1:47">
      <c r="A81" s="253"/>
      <c r="B81" s="230"/>
      <c r="C81" s="245"/>
      <c r="D81" s="230"/>
      <c r="E81" s="230"/>
      <c r="F81" s="230"/>
      <c r="G81" s="228"/>
      <c r="H81" s="230"/>
      <c r="I81" s="230"/>
      <c r="J81" s="246"/>
      <c r="K81" s="230"/>
      <c r="L81" s="230"/>
      <c r="M81" s="230"/>
      <c r="N81" s="230"/>
      <c r="O81" s="230"/>
      <c r="P81" s="256"/>
      <c r="Q81" s="257"/>
      <c r="R81" s="228"/>
      <c r="S81" s="228"/>
      <c r="T81" s="245"/>
      <c r="U81" s="254"/>
      <c r="V81" s="254"/>
      <c r="W81" s="228"/>
      <c r="X81" s="255"/>
      <c r="Y81" s="248"/>
      <c r="Z81" s="248"/>
      <c r="AA81" s="228"/>
      <c r="AB81" s="228"/>
      <c r="AC81" s="228"/>
      <c r="AD81" s="228"/>
      <c r="AE81" s="248"/>
      <c r="AF81" s="247"/>
      <c r="AG81" s="228"/>
      <c r="AH81" s="228"/>
      <c r="AI81" s="248"/>
      <c r="AJ81" s="248"/>
      <c r="AK81" s="194"/>
      <c r="AL81" s="249"/>
      <c r="AM81" s="250"/>
      <c r="AN81" s="251"/>
      <c r="AO81" s="252"/>
      <c r="AP81" s="241"/>
      <c r="AQ81" s="241"/>
      <c r="AR81" s="241"/>
      <c r="AS81" s="194"/>
      <c r="AT81" s="195"/>
      <c r="AU81" s="195"/>
    </row>
    <row r="82" spans="1:47">
      <c r="A82" s="253"/>
      <c r="B82" s="230"/>
      <c r="C82" s="245"/>
      <c r="D82" s="230"/>
      <c r="E82" s="230"/>
      <c r="F82" s="230"/>
      <c r="G82" s="228"/>
      <c r="H82" s="230"/>
      <c r="I82" s="230"/>
      <c r="J82" s="246"/>
      <c r="K82" s="230"/>
      <c r="L82" s="230"/>
      <c r="M82" s="230"/>
      <c r="N82" s="230"/>
      <c r="O82" s="230"/>
      <c r="P82" s="256"/>
      <c r="Q82" s="257"/>
      <c r="R82" s="228"/>
      <c r="S82" s="228"/>
      <c r="T82" s="245"/>
      <c r="U82" s="254"/>
      <c r="V82" s="254"/>
      <c r="W82" s="228"/>
      <c r="X82" s="255"/>
      <c r="Y82" s="248"/>
      <c r="Z82" s="248"/>
      <c r="AA82" s="228"/>
      <c r="AB82" s="228"/>
      <c r="AC82" s="228"/>
      <c r="AD82" s="228"/>
      <c r="AE82" s="248"/>
      <c r="AF82" s="247"/>
      <c r="AG82" s="228"/>
      <c r="AH82" s="228"/>
      <c r="AI82" s="248"/>
      <c r="AJ82" s="248"/>
      <c r="AK82" s="194"/>
      <c r="AL82" s="249"/>
      <c r="AM82" s="250"/>
      <c r="AN82" s="251"/>
      <c r="AO82" s="252"/>
      <c r="AP82" s="241"/>
      <c r="AQ82" s="241"/>
      <c r="AR82" s="241"/>
      <c r="AS82" s="194"/>
      <c r="AT82" s="195"/>
      <c r="AU82" s="195"/>
    </row>
    <row r="83" spans="1:47">
      <c r="A83" s="253"/>
      <c r="B83" s="230"/>
      <c r="C83" s="245"/>
      <c r="D83" s="230"/>
      <c r="E83" s="230"/>
      <c r="F83" s="230"/>
      <c r="G83" s="228"/>
      <c r="H83" s="230"/>
      <c r="I83" s="230"/>
      <c r="J83" s="246"/>
      <c r="K83" s="230"/>
      <c r="L83" s="230"/>
      <c r="M83" s="230"/>
      <c r="N83" s="230"/>
      <c r="O83" s="230"/>
      <c r="P83" s="256"/>
      <c r="Q83" s="257"/>
      <c r="R83" s="228"/>
      <c r="S83" s="228"/>
      <c r="T83" s="245"/>
      <c r="U83" s="254"/>
      <c r="V83" s="254"/>
      <c r="W83" s="228"/>
      <c r="X83" s="255"/>
      <c r="Y83" s="248"/>
      <c r="Z83" s="248"/>
      <c r="AA83" s="228"/>
      <c r="AB83" s="228"/>
      <c r="AC83" s="228"/>
      <c r="AD83" s="228"/>
      <c r="AE83" s="248"/>
      <c r="AF83" s="247"/>
      <c r="AG83" s="228"/>
      <c r="AH83" s="228"/>
      <c r="AI83" s="248"/>
      <c r="AJ83" s="248"/>
      <c r="AK83" s="194"/>
      <c r="AL83" s="249"/>
      <c r="AM83" s="250"/>
      <c r="AN83" s="251"/>
      <c r="AO83" s="252"/>
      <c r="AP83" s="241"/>
      <c r="AQ83" s="241"/>
      <c r="AR83" s="241"/>
      <c r="AS83" s="194"/>
      <c r="AT83" s="195"/>
      <c r="AU83" s="195"/>
    </row>
    <row r="84" spans="1:47">
      <c r="A84" s="253"/>
      <c r="B84" s="230"/>
      <c r="C84" s="245"/>
      <c r="D84" s="230"/>
      <c r="E84" s="230"/>
      <c r="F84" s="230"/>
      <c r="G84" s="228"/>
      <c r="H84" s="230"/>
      <c r="I84" s="230"/>
      <c r="J84" s="246"/>
      <c r="K84" s="230"/>
      <c r="L84" s="230"/>
      <c r="M84" s="230"/>
      <c r="N84" s="230"/>
      <c r="O84" s="230"/>
      <c r="P84" s="256"/>
      <c r="Q84" s="257"/>
      <c r="R84" s="228"/>
      <c r="S84" s="228"/>
      <c r="T84" s="245"/>
      <c r="U84" s="254"/>
      <c r="V84" s="254"/>
      <c r="W84" s="228"/>
      <c r="X84" s="255"/>
      <c r="Y84" s="248"/>
      <c r="Z84" s="248"/>
      <c r="AA84" s="228"/>
      <c r="AB84" s="228"/>
      <c r="AC84" s="228"/>
      <c r="AD84" s="228"/>
      <c r="AE84" s="248"/>
      <c r="AF84" s="247"/>
      <c r="AG84" s="228"/>
      <c r="AH84" s="228"/>
      <c r="AI84" s="248"/>
      <c r="AJ84" s="248"/>
      <c r="AK84" s="194"/>
      <c r="AL84" s="249"/>
      <c r="AM84" s="250"/>
      <c r="AN84" s="251"/>
      <c r="AO84" s="252"/>
      <c r="AP84" s="241"/>
      <c r="AQ84" s="241"/>
      <c r="AR84" s="241"/>
      <c r="AS84" s="194"/>
      <c r="AT84" s="195"/>
      <c r="AU84" s="195"/>
    </row>
    <row r="85" spans="1:47">
      <c r="A85" s="253"/>
      <c r="B85" s="230"/>
      <c r="C85" s="245"/>
      <c r="D85" s="230"/>
      <c r="E85" s="230"/>
      <c r="F85" s="230"/>
      <c r="G85" s="228"/>
      <c r="H85" s="230"/>
      <c r="I85" s="230"/>
      <c r="J85" s="246"/>
      <c r="K85" s="230"/>
      <c r="L85" s="230"/>
      <c r="M85" s="230"/>
      <c r="N85" s="230"/>
      <c r="O85" s="230"/>
      <c r="P85" s="256"/>
      <c r="Q85" s="257"/>
      <c r="R85" s="228"/>
      <c r="S85" s="228"/>
      <c r="T85" s="245"/>
      <c r="U85" s="254"/>
      <c r="V85" s="254"/>
      <c r="W85" s="228"/>
      <c r="X85" s="255"/>
      <c r="Y85" s="248"/>
      <c r="Z85" s="248"/>
      <c r="AA85" s="228"/>
      <c r="AB85" s="228"/>
      <c r="AC85" s="228"/>
      <c r="AD85" s="228"/>
      <c r="AE85" s="248"/>
      <c r="AF85" s="247"/>
      <c r="AG85" s="228"/>
      <c r="AH85" s="228"/>
      <c r="AI85" s="248"/>
      <c r="AJ85" s="248"/>
      <c r="AK85" s="194"/>
      <c r="AL85" s="249"/>
      <c r="AM85" s="250"/>
      <c r="AN85" s="251"/>
      <c r="AO85" s="252"/>
      <c r="AP85" s="241"/>
      <c r="AQ85" s="241"/>
      <c r="AR85" s="241"/>
      <c r="AS85" s="194"/>
      <c r="AT85" s="195"/>
      <c r="AU85" s="195"/>
    </row>
    <row r="86" spans="1:47">
      <c r="A86" s="253"/>
      <c r="B86" s="230"/>
      <c r="C86" s="245"/>
      <c r="D86" s="230"/>
      <c r="E86" s="230"/>
      <c r="F86" s="230"/>
      <c r="G86" s="228"/>
      <c r="H86" s="230"/>
      <c r="I86" s="230"/>
      <c r="J86" s="246"/>
      <c r="K86" s="230"/>
      <c r="L86" s="230"/>
      <c r="M86" s="230"/>
      <c r="N86" s="230"/>
      <c r="O86" s="230"/>
      <c r="P86" s="256"/>
      <c r="Q86" s="257"/>
      <c r="R86" s="228"/>
      <c r="S86" s="228"/>
      <c r="T86" s="245"/>
      <c r="U86" s="254"/>
      <c r="V86" s="254"/>
      <c r="W86" s="228"/>
      <c r="X86" s="255"/>
      <c r="Y86" s="248"/>
      <c r="Z86" s="248"/>
      <c r="AA86" s="228"/>
      <c r="AB86" s="228"/>
      <c r="AC86" s="228"/>
      <c r="AD86" s="228"/>
      <c r="AE86" s="248"/>
      <c r="AF86" s="247"/>
      <c r="AG86" s="228"/>
      <c r="AH86" s="228"/>
      <c r="AI86" s="248"/>
      <c r="AJ86" s="248"/>
      <c r="AK86" s="194"/>
      <c r="AL86" s="249"/>
      <c r="AM86" s="250"/>
      <c r="AN86" s="251"/>
      <c r="AO86" s="252"/>
      <c r="AP86" s="241"/>
      <c r="AQ86" s="241"/>
      <c r="AR86" s="241"/>
      <c r="AS86" s="194"/>
      <c r="AT86" s="195"/>
      <c r="AU86" s="195"/>
    </row>
    <row r="87" spans="1:47">
      <c r="A87" s="253"/>
      <c r="B87" s="230"/>
      <c r="C87" s="245"/>
      <c r="D87" s="230"/>
      <c r="E87" s="230"/>
      <c r="F87" s="230"/>
      <c r="G87" s="228"/>
      <c r="H87" s="230"/>
      <c r="I87" s="230"/>
      <c r="J87" s="246"/>
      <c r="K87" s="230"/>
      <c r="L87" s="230"/>
      <c r="M87" s="230"/>
      <c r="N87" s="230"/>
      <c r="O87" s="230"/>
      <c r="P87" s="256"/>
      <c r="Q87" s="257"/>
      <c r="R87" s="228"/>
      <c r="S87" s="228"/>
      <c r="T87" s="245"/>
      <c r="U87" s="254"/>
      <c r="V87" s="254"/>
      <c r="W87" s="228"/>
      <c r="X87" s="255"/>
      <c r="Y87" s="248"/>
      <c r="Z87" s="248"/>
      <c r="AA87" s="228"/>
      <c r="AB87" s="228"/>
      <c r="AC87" s="228"/>
      <c r="AD87" s="228"/>
      <c r="AE87" s="248"/>
      <c r="AF87" s="247"/>
      <c r="AG87" s="228"/>
      <c r="AH87" s="228"/>
      <c r="AI87" s="248"/>
      <c r="AJ87" s="248"/>
      <c r="AK87" s="194"/>
      <c r="AL87" s="249"/>
      <c r="AM87" s="250"/>
      <c r="AN87" s="251"/>
      <c r="AO87" s="252"/>
      <c r="AP87" s="241"/>
      <c r="AQ87" s="241"/>
      <c r="AR87" s="241"/>
      <c r="AS87" s="194"/>
      <c r="AT87" s="195"/>
      <c r="AU87" s="195"/>
    </row>
    <row r="88" spans="1:47">
      <c r="A88" s="253"/>
      <c r="B88" s="230"/>
      <c r="C88" s="245"/>
      <c r="D88" s="230"/>
      <c r="E88" s="230"/>
      <c r="F88" s="230"/>
      <c r="G88" s="228"/>
      <c r="H88" s="230"/>
      <c r="I88" s="230"/>
      <c r="J88" s="246"/>
      <c r="K88" s="230"/>
      <c r="L88" s="230"/>
      <c r="M88" s="230"/>
      <c r="N88" s="230"/>
      <c r="O88" s="230"/>
      <c r="P88" s="256"/>
      <c r="Q88" s="257"/>
      <c r="R88" s="228"/>
      <c r="S88" s="228"/>
      <c r="T88" s="245"/>
      <c r="U88" s="254"/>
      <c r="V88" s="254"/>
      <c r="W88" s="228"/>
      <c r="X88" s="255"/>
      <c r="Y88" s="248"/>
      <c r="Z88" s="248"/>
      <c r="AA88" s="228"/>
      <c r="AB88" s="228"/>
      <c r="AC88" s="228"/>
      <c r="AD88" s="228"/>
      <c r="AE88" s="248"/>
      <c r="AF88" s="247"/>
      <c r="AG88" s="228"/>
      <c r="AH88" s="228"/>
      <c r="AI88" s="248"/>
      <c r="AJ88" s="248"/>
      <c r="AK88" s="194"/>
      <c r="AL88" s="249"/>
      <c r="AM88" s="250"/>
      <c r="AN88" s="251"/>
      <c r="AO88" s="252"/>
      <c r="AP88" s="241"/>
      <c r="AQ88" s="241"/>
      <c r="AR88" s="241"/>
      <c r="AS88" s="194"/>
      <c r="AT88" s="195"/>
      <c r="AU88" s="195"/>
    </row>
    <row r="89" spans="1:47">
      <c r="A89" s="253"/>
      <c r="B89" s="230"/>
      <c r="C89" s="245"/>
      <c r="D89" s="230"/>
      <c r="E89" s="230"/>
      <c r="F89" s="230"/>
      <c r="G89" s="228"/>
      <c r="H89" s="230"/>
      <c r="I89" s="230"/>
      <c r="J89" s="246"/>
      <c r="K89" s="230"/>
      <c r="L89" s="230"/>
      <c r="M89" s="230"/>
      <c r="N89" s="230"/>
      <c r="O89" s="230"/>
      <c r="P89" s="256"/>
      <c r="Q89" s="257"/>
      <c r="R89" s="228"/>
      <c r="S89" s="228"/>
      <c r="T89" s="245"/>
      <c r="U89" s="254"/>
      <c r="V89" s="254"/>
      <c r="W89" s="228"/>
      <c r="X89" s="255"/>
      <c r="Y89" s="248"/>
      <c r="Z89" s="248"/>
      <c r="AA89" s="228"/>
      <c r="AB89" s="228"/>
      <c r="AC89" s="228"/>
      <c r="AD89" s="228"/>
      <c r="AE89" s="248"/>
      <c r="AF89" s="247"/>
      <c r="AG89" s="228"/>
      <c r="AH89" s="228"/>
      <c r="AI89" s="248"/>
      <c r="AJ89" s="248"/>
      <c r="AK89" s="194"/>
      <c r="AL89" s="249"/>
      <c r="AM89" s="250"/>
      <c r="AN89" s="251"/>
      <c r="AO89" s="252"/>
      <c r="AP89" s="241"/>
      <c r="AQ89" s="241"/>
      <c r="AR89" s="241"/>
      <c r="AS89" s="194"/>
      <c r="AT89" s="195"/>
      <c r="AU89" s="195"/>
    </row>
    <row r="90" spans="1:47">
      <c r="A90" s="253"/>
      <c r="B90" s="230"/>
      <c r="C90" s="245"/>
      <c r="D90" s="230"/>
      <c r="E90" s="230"/>
      <c r="F90" s="230"/>
      <c r="G90" s="228"/>
      <c r="H90" s="230"/>
      <c r="I90" s="230"/>
      <c r="J90" s="246"/>
      <c r="K90" s="230"/>
      <c r="L90" s="230"/>
      <c r="M90" s="230"/>
      <c r="N90" s="230"/>
      <c r="O90" s="230"/>
      <c r="P90" s="256"/>
      <c r="Q90" s="257"/>
      <c r="R90" s="228"/>
      <c r="S90" s="228"/>
      <c r="T90" s="245"/>
      <c r="U90" s="254"/>
      <c r="V90" s="254"/>
      <c r="W90" s="228"/>
      <c r="X90" s="255"/>
      <c r="Y90" s="248"/>
      <c r="Z90" s="248"/>
      <c r="AA90" s="228"/>
      <c r="AB90" s="228"/>
      <c r="AC90" s="228"/>
      <c r="AD90" s="228"/>
      <c r="AE90" s="248"/>
      <c r="AF90" s="247"/>
      <c r="AG90" s="228"/>
      <c r="AH90" s="228"/>
      <c r="AI90" s="248"/>
      <c r="AJ90" s="248"/>
      <c r="AK90" s="194"/>
      <c r="AL90" s="249"/>
      <c r="AM90" s="250"/>
      <c r="AN90" s="251"/>
      <c r="AO90" s="252"/>
      <c r="AP90" s="241"/>
      <c r="AQ90" s="241"/>
      <c r="AR90" s="241"/>
      <c r="AS90" s="194"/>
      <c r="AT90" s="195"/>
      <c r="AU90" s="195"/>
    </row>
    <row r="91" spans="1:47">
      <c r="A91" s="253"/>
      <c r="B91" s="230"/>
      <c r="C91" s="245"/>
      <c r="D91" s="230"/>
      <c r="E91" s="230"/>
      <c r="F91" s="230"/>
      <c r="G91" s="228"/>
      <c r="H91" s="230"/>
      <c r="I91" s="230"/>
      <c r="J91" s="246"/>
      <c r="K91" s="230"/>
      <c r="L91" s="230"/>
      <c r="M91" s="230"/>
      <c r="N91" s="230"/>
      <c r="O91" s="230"/>
      <c r="P91" s="256"/>
      <c r="Q91" s="257"/>
      <c r="R91" s="228"/>
      <c r="S91" s="228"/>
      <c r="T91" s="245"/>
      <c r="U91" s="254"/>
      <c r="V91" s="254"/>
      <c r="W91" s="228"/>
      <c r="X91" s="255"/>
      <c r="Y91" s="248"/>
      <c r="Z91" s="248"/>
      <c r="AA91" s="228"/>
      <c r="AB91" s="228"/>
      <c r="AC91" s="228"/>
      <c r="AD91" s="228"/>
      <c r="AE91" s="248"/>
      <c r="AF91" s="247"/>
      <c r="AG91" s="228"/>
      <c r="AH91" s="228"/>
      <c r="AI91" s="248"/>
      <c r="AJ91" s="248"/>
      <c r="AK91" s="194"/>
      <c r="AL91" s="249"/>
      <c r="AM91" s="250"/>
      <c r="AN91" s="251"/>
      <c r="AO91" s="252"/>
      <c r="AP91" s="241"/>
      <c r="AQ91" s="241"/>
      <c r="AR91" s="241"/>
      <c r="AS91" s="194"/>
      <c r="AT91" s="195"/>
      <c r="AU91" s="195"/>
    </row>
    <row r="92" spans="1:47">
      <c r="A92" s="253"/>
      <c r="B92" s="230"/>
      <c r="C92" s="245"/>
      <c r="D92" s="230"/>
      <c r="E92" s="230"/>
      <c r="F92" s="230"/>
      <c r="G92" s="228"/>
      <c r="H92" s="230"/>
      <c r="I92" s="230"/>
      <c r="J92" s="246"/>
      <c r="K92" s="230"/>
      <c r="L92" s="230"/>
      <c r="M92" s="230"/>
      <c r="N92" s="230"/>
      <c r="O92" s="230"/>
      <c r="P92" s="256"/>
      <c r="Q92" s="257"/>
      <c r="R92" s="228"/>
      <c r="S92" s="228"/>
      <c r="T92" s="245"/>
      <c r="U92" s="254"/>
      <c r="V92" s="254"/>
      <c r="W92" s="228"/>
      <c r="X92" s="255"/>
      <c r="Y92" s="248"/>
      <c r="Z92" s="248"/>
      <c r="AA92" s="228"/>
      <c r="AB92" s="228"/>
      <c r="AC92" s="228"/>
      <c r="AD92" s="228"/>
      <c r="AE92" s="248"/>
      <c r="AF92" s="247"/>
      <c r="AG92" s="228"/>
      <c r="AH92" s="228"/>
      <c r="AI92" s="248"/>
      <c r="AJ92" s="248"/>
      <c r="AK92" s="194"/>
      <c r="AL92" s="249"/>
      <c r="AM92" s="250"/>
      <c r="AN92" s="251"/>
      <c r="AO92" s="252"/>
      <c r="AP92" s="241"/>
      <c r="AQ92" s="241"/>
      <c r="AR92" s="241"/>
      <c r="AS92" s="194"/>
      <c r="AT92" s="195"/>
      <c r="AU92" s="195"/>
    </row>
    <row r="93" spans="1:47">
      <c r="A93" s="253"/>
      <c r="B93" s="230"/>
      <c r="C93" s="245"/>
      <c r="D93" s="230"/>
      <c r="E93" s="230"/>
      <c r="F93" s="230"/>
      <c r="G93" s="228"/>
      <c r="H93" s="230"/>
      <c r="I93" s="230"/>
      <c r="J93" s="246"/>
      <c r="K93" s="230"/>
      <c r="L93" s="230"/>
      <c r="M93" s="230"/>
      <c r="N93" s="230"/>
      <c r="O93" s="230"/>
      <c r="P93" s="256"/>
      <c r="Q93" s="257"/>
      <c r="R93" s="228"/>
      <c r="S93" s="228"/>
      <c r="T93" s="245"/>
      <c r="U93" s="254"/>
      <c r="V93" s="254"/>
      <c r="W93" s="228"/>
      <c r="X93" s="255"/>
      <c r="Y93" s="248"/>
      <c r="Z93" s="248"/>
      <c r="AA93" s="228"/>
      <c r="AB93" s="228"/>
      <c r="AC93" s="228"/>
      <c r="AD93" s="228"/>
      <c r="AE93" s="248"/>
      <c r="AF93" s="247"/>
      <c r="AG93" s="228"/>
      <c r="AH93" s="228"/>
      <c r="AI93" s="248"/>
      <c r="AJ93" s="248"/>
      <c r="AK93" s="194"/>
      <c r="AL93" s="249"/>
      <c r="AM93" s="250"/>
      <c r="AN93" s="251"/>
      <c r="AO93" s="252"/>
      <c r="AP93" s="241"/>
      <c r="AQ93" s="241"/>
      <c r="AR93" s="241"/>
      <c r="AS93" s="194"/>
      <c r="AT93" s="195"/>
      <c r="AU93" s="195"/>
    </row>
    <row r="94" spans="1:47">
      <c r="A94" s="253"/>
      <c r="B94" s="230"/>
      <c r="C94" s="245"/>
      <c r="D94" s="230"/>
      <c r="E94" s="230"/>
      <c r="F94" s="230"/>
      <c r="G94" s="228"/>
      <c r="H94" s="230"/>
      <c r="I94" s="230"/>
      <c r="J94" s="246"/>
      <c r="K94" s="230"/>
      <c r="L94" s="230"/>
      <c r="M94" s="230"/>
      <c r="N94" s="230"/>
      <c r="O94" s="230"/>
      <c r="P94" s="256"/>
      <c r="Q94" s="257"/>
      <c r="R94" s="228"/>
      <c r="S94" s="228"/>
      <c r="T94" s="245"/>
      <c r="U94" s="254"/>
      <c r="V94" s="254"/>
      <c r="W94" s="228"/>
      <c r="X94" s="255"/>
      <c r="Y94" s="248"/>
      <c r="Z94" s="248"/>
      <c r="AA94" s="228"/>
      <c r="AB94" s="228"/>
      <c r="AC94" s="228"/>
      <c r="AD94" s="228"/>
      <c r="AE94" s="248"/>
      <c r="AF94" s="247"/>
      <c r="AG94" s="228"/>
      <c r="AH94" s="228"/>
      <c r="AI94" s="248"/>
      <c r="AJ94" s="248"/>
      <c r="AK94" s="194"/>
      <c r="AL94" s="249"/>
      <c r="AM94" s="250"/>
      <c r="AN94" s="251"/>
      <c r="AO94" s="252"/>
      <c r="AP94" s="241"/>
      <c r="AQ94" s="241"/>
      <c r="AR94" s="241"/>
      <c r="AS94" s="194"/>
      <c r="AT94" s="195"/>
      <c r="AU94" s="195"/>
    </row>
    <row r="95" spans="1:47">
      <c r="A95" s="253"/>
      <c r="B95" s="230"/>
      <c r="C95" s="245"/>
      <c r="D95" s="230"/>
      <c r="E95" s="230"/>
      <c r="F95" s="230"/>
      <c r="G95" s="228"/>
      <c r="H95" s="230"/>
      <c r="I95" s="230"/>
      <c r="J95" s="246"/>
      <c r="K95" s="230"/>
      <c r="L95" s="230"/>
      <c r="M95" s="230"/>
      <c r="N95" s="230"/>
      <c r="O95" s="230"/>
      <c r="P95" s="256"/>
      <c r="Q95" s="257"/>
      <c r="R95" s="228"/>
      <c r="S95" s="228"/>
      <c r="T95" s="245"/>
      <c r="U95" s="254"/>
      <c r="V95" s="254"/>
      <c r="W95" s="228"/>
      <c r="X95" s="255"/>
      <c r="Y95" s="248"/>
      <c r="Z95" s="248"/>
      <c r="AA95" s="228"/>
      <c r="AB95" s="228"/>
      <c r="AC95" s="228"/>
      <c r="AD95" s="228"/>
      <c r="AE95" s="248"/>
      <c r="AF95" s="247"/>
      <c r="AG95" s="228"/>
      <c r="AH95" s="228"/>
      <c r="AI95" s="248"/>
      <c r="AJ95" s="248"/>
      <c r="AK95" s="194"/>
      <c r="AL95" s="249"/>
      <c r="AM95" s="250"/>
      <c r="AN95" s="251"/>
      <c r="AO95" s="252"/>
      <c r="AP95" s="241"/>
      <c r="AQ95" s="241"/>
      <c r="AR95" s="241"/>
      <c r="AS95" s="194"/>
      <c r="AT95" s="195"/>
      <c r="AU95" s="195"/>
    </row>
    <row r="96" spans="1:47">
      <c r="A96" s="253"/>
      <c r="B96" s="230"/>
      <c r="C96" s="245"/>
      <c r="D96" s="230"/>
      <c r="E96" s="230"/>
      <c r="F96" s="230"/>
      <c r="G96" s="228"/>
      <c r="H96" s="230"/>
      <c r="I96" s="230"/>
      <c r="J96" s="246"/>
      <c r="K96" s="230"/>
      <c r="L96" s="230"/>
      <c r="M96" s="230"/>
      <c r="N96" s="230"/>
      <c r="O96" s="230"/>
      <c r="P96" s="256"/>
      <c r="Q96" s="257"/>
      <c r="R96" s="228"/>
      <c r="S96" s="228"/>
      <c r="T96" s="245"/>
      <c r="U96" s="254"/>
      <c r="V96" s="254"/>
      <c r="W96" s="228"/>
      <c r="X96" s="255"/>
      <c r="Y96" s="248"/>
      <c r="Z96" s="248"/>
      <c r="AA96" s="228"/>
      <c r="AB96" s="228"/>
      <c r="AC96" s="228"/>
      <c r="AD96" s="228"/>
      <c r="AE96" s="248"/>
      <c r="AF96" s="247"/>
      <c r="AG96" s="228"/>
      <c r="AH96" s="228"/>
      <c r="AI96" s="248"/>
      <c r="AJ96" s="248"/>
      <c r="AK96" s="194"/>
      <c r="AL96" s="249"/>
      <c r="AM96" s="250"/>
      <c r="AN96" s="251"/>
      <c r="AO96" s="252"/>
      <c r="AP96" s="241"/>
      <c r="AQ96" s="241"/>
      <c r="AR96" s="241"/>
      <c r="AS96" s="194"/>
      <c r="AT96" s="195"/>
      <c r="AU96" s="195"/>
    </row>
    <row r="97" spans="1:47">
      <c r="A97" s="253"/>
      <c r="B97" s="230"/>
      <c r="C97" s="245"/>
      <c r="D97" s="230"/>
      <c r="E97" s="230"/>
      <c r="F97" s="230"/>
      <c r="G97" s="228"/>
      <c r="H97" s="230"/>
      <c r="I97" s="230"/>
      <c r="J97" s="246"/>
      <c r="K97" s="230"/>
      <c r="L97" s="230"/>
      <c r="M97" s="230"/>
      <c r="N97" s="230"/>
      <c r="O97" s="230"/>
      <c r="P97" s="256"/>
      <c r="Q97" s="257"/>
      <c r="R97" s="228"/>
      <c r="S97" s="228"/>
      <c r="T97" s="245"/>
      <c r="U97" s="254"/>
      <c r="V97" s="254"/>
      <c r="W97" s="228"/>
      <c r="X97" s="255"/>
      <c r="Y97" s="248"/>
      <c r="Z97" s="248"/>
      <c r="AA97" s="228"/>
      <c r="AB97" s="228"/>
      <c r="AC97" s="228"/>
      <c r="AD97" s="228"/>
      <c r="AE97" s="248"/>
      <c r="AF97" s="247"/>
      <c r="AG97" s="228"/>
      <c r="AH97" s="228"/>
      <c r="AI97" s="248"/>
      <c r="AJ97" s="248"/>
      <c r="AK97" s="194"/>
      <c r="AL97" s="249"/>
      <c r="AM97" s="250"/>
      <c r="AN97" s="251"/>
      <c r="AO97" s="252"/>
      <c r="AP97" s="241"/>
      <c r="AQ97" s="241"/>
      <c r="AR97" s="241"/>
      <c r="AS97" s="194"/>
      <c r="AT97" s="195"/>
      <c r="AU97" s="195"/>
    </row>
    <row r="98" spans="1:47">
      <c r="A98" s="253"/>
      <c r="B98" s="230"/>
      <c r="C98" s="245"/>
      <c r="D98" s="230"/>
      <c r="E98" s="230"/>
      <c r="F98" s="230"/>
      <c r="G98" s="228"/>
      <c r="H98" s="230"/>
      <c r="I98" s="230"/>
      <c r="J98" s="246"/>
      <c r="K98" s="230"/>
      <c r="L98" s="230"/>
      <c r="M98" s="230"/>
      <c r="N98" s="230"/>
      <c r="O98" s="230"/>
      <c r="P98" s="256"/>
      <c r="Q98" s="257"/>
      <c r="R98" s="228"/>
      <c r="S98" s="228"/>
      <c r="T98" s="245"/>
      <c r="U98" s="254"/>
      <c r="V98" s="254"/>
      <c r="W98" s="228"/>
      <c r="X98" s="255"/>
      <c r="Y98" s="248"/>
      <c r="Z98" s="248"/>
      <c r="AA98" s="228"/>
      <c r="AB98" s="228"/>
      <c r="AC98" s="228"/>
      <c r="AD98" s="228"/>
      <c r="AE98" s="248"/>
      <c r="AF98" s="247"/>
      <c r="AG98" s="228"/>
      <c r="AH98" s="228"/>
      <c r="AI98" s="248"/>
      <c r="AJ98" s="248"/>
      <c r="AK98" s="194"/>
      <c r="AL98" s="249"/>
      <c r="AM98" s="250"/>
      <c r="AN98" s="251"/>
      <c r="AO98" s="252"/>
      <c r="AP98" s="241"/>
      <c r="AQ98" s="241"/>
      <c r="AR98" s="241"/>
      <c r="AS98" s="194"/>
      <c r="AT98" s="195"/>
      <c r="AU98" s="195"/>
    </row>
    <row r="99" spans="1:47">
      <c r="A99" s="253"/>
      <c r="B99" s="230"/>
      <c r="C99" s="245"/>
      <c r="D99" s="230"/>
      <c r="E99" s="230"/>
      <c r="F99" s="230"/>
      <c r="G99" s="228"/>
      <c r="H99" s="230"/>
      <c r="I99" s="230"/>
      <c r="J99" s="246"/>
      <c r="K99" s="230"/>
      <c r="L99" s="230"/>
      <c r="M99" s="230"/>
      <c r="N99" s="230"/>
      <c r="O99" s="230"/>
      <c r="P99" s="256"/>
      <c r="Q99" s="257"/>
      <c r="R99" s="228"/>
      <c r="S99" s="228"/>
      <c r="T99" s="245"/>
      <c r="U99" s="254"/>
      <c r="V99" s="254"/>
      <c r="W99" s="228"/>
      <c r="X99" s="255"/>
      <c r="Y99" s="248"/>
      <c r="Z99" s="248"/>
      <c r="AA99" s="228"/>
      <c r="AB99" s="228"/>
      <c r="AC99" s="228"/>
      <c r="AD99" s="228"/>
      <c r="AE99" s="248"/>
      <c r="AF99" s="247"/>
      <c r="AG99" s="228"/>
      <c r="AH99" s="228"/>
      <c r="AI99" s="248"/>
      <c r="AJ99" s="248"/>
      <c r="AK99" s="194"/>
      <c r="AL99" s="249"/>
      <c r="AM99" s="250"/>
      <c r="AN99" s="251"/>
      <c r="AO99" s="252"/>
      <c r="AP99" s="241"/>
      <c r="AQ99" s="241"/>
      <c r="AR99" s="241"/>
      <c r="AS99" s="194"/>
      <c r="AT99" s="195"/>
      <c r="AU99" s="195"/>
    </row>
    <row r="100" spans="1:47">
      <c r="A100" s="253"/>
      <c r="B100" s="230"/>
      <c r="C100" s="245"/>
      <c r="D100" s="230"/>
      <c r="E100" s="230"/>
      <c r="F100" s="230"/>
      <c r="G100" s="228"/>
      <c r="H100" s="230"/>
      <c r="I100" s="230"/>
      <c r="J100" s="246"/>
      <c r="K100" s="230"/>
      <c r="L100" s="230"/>
      <c r="M100" s="230"/>
      <c r="N100" s="230"/>
      <c r="O100" s="230"/>
      <c r="P100" s="256"/>
      <c r="Q100" s="257"/>
      <c r="R100" s="228"/>
      <c r="S100" s="228"/>
      <c r="T100" s="245"/>
      <c r="U100" s="254"/>
      <c r="V100" s="254"/>
      <c r="W100" s="228"/>
      <c r="X100" s="255"/>
      <c r="Y100" s="248"/>
      <c r="Z100" s="248"/>
      <c r="AA100" s="228"/>
      <c r="AB100" s="228"/>
      <c r="AC100" s="228"/>
      <c r="AD100" s="228"/>
      <c r="AE100" s="248"/>
      <c r="AF100" s="247"/>
      <c r="AG100" s="228"/>
      <c r="AH100" s="228"/>
      <c r="AI100" s="248"/>
      <c r="AJ100" s="248"/>
      <c r="AK100" s="194"/>
      <c r="AL100" s="249"/>
      <c r="AM100" s="250"/>
      <c r="AN100" s="251"/>
      <c r="AO100" s="252"/>
      <c r="AP100" s="241"/>
      <c r="AQ100" s="241"/>
      <c r="AR100" s="241"/>
      <c r="AS100" s="194"/>
      <c r="AT100" s="195"/>
      <c r="AU100" s="195"/>
    </row>
    <row r="101" spans="1:47">
      <c r="A101" s="253"/>
      <c r="B101" s="230"/>
      <c r="C101" s="245"/>
      <c r="D101" s="230"/>
      <c r="E101" s="230"/>
      <c r="F101" s="230"/>
      <c r="G101" s="228"/>
      <c r="H101" s="230"/>
      <c r="I101" s="230"/>
      <c r="J101" s="246"/>
      <c r="K101" s="230"/>
      <c r="L101" s="230"/>
      <c r="M101" s="230"/>
      <c r="N101" s="230"/>
      <c r="O101" s="230"/>
      <c r="P101" s="256"/>
      <c r="Q101" s="257"/>
      <c r="R101" s="228"/>
      <c r="S101" s="228"/>
      <c r="T101" s="245"/>
      <c r="U101" s="254"/>
      <c r="V101" s="254"/>
      <c r="W101" s="228"/>
      <c r="X101" s="255"/>
      <c r="Y101" s="248"/>
      <c r="Z101" s="248"/>
      <c r="AA101" s="228"/>
      <c r="AB101" s="228"/>
      <c r="AC101" s="228"/>
      <c r="AD101" s="228"/>
      <c r="AE101" s="248"/>
      <c r="AF101" s="247"/>
      <c r="AG101" s="228"/>
      <c r="AH101" s="228"/>
      <c r="AI101" s="248"/>
      <c r="AJ101" s="248"/>
      <c r="AK101" s="194"/>
      <c r="AL101" s="249"/>
      <c r="AM101" s="250"/>
      <c r="AN101" s="251"/>
      <c r="AO101" s="252"/>
      <c r="AP101" s="241"/>
      <c r="AQ101" s="241"/>
      <c r="AR101" s="241"/>
      <c r="AS101" s="194"/>
      <c r="AT101" s="195"/>
      <c r="AU101" s="195"/>
    </row>
    <row r="102" spans="1:47">
      <c r="A102" s="253"/>
      <c r="B102" s="230"/>
      <c r="C102" s="245"/>
      <c r="D102" s="230"/>
      <c r="E102" s="230"/>
      <c r="F102" s="230"/>
      <c r="G102" s="228"/>
      <c r="H102" s="230"/>
      <c r="I102" s="230"/>
      <c r="J102" s="246"/>
      <c r="K102" s="230"/>
      <c r="L102" s="230"/>
      <c r="M102" s="230"/>
      <c r="N102" s="230"/>
      <c r="O102" s="230"/>
      <c r="P102" s="256"/>
      <c r="Q102" s="257"/>
      <c r="R102" s="228"/>
      <c r="S102" s="228"/>
      <c r="T102" s="245"/>
      <c r="U102" s="254"/>
      <c r="V102" s="254"/>
      <c r="W102" s="228"/>
      <c r="X102" s="255"/>
      <c r="Y102" s="248"/>
      <c r="Z102" s="248"/>
      <c r="AA102" s="228"/>
      <c r="AB102" s="228"/>
      <c r="AC102" s="228"/>
      <c r="AD102" s="228"/>
      <c r="AE102" s="248"/>
      <c r="AF102" s="247"/>
      <c r="AG102" s="228"/>
      <c r="AH102" s="228"/>
      <c r="AI102" s="248"/>
      <c r="AJ102" s="248"/>
      <c r="AK102" s="194"/>
      <c r="AL102" s="249"/>
      <c r="AM102" s="250"/>
      <c r="AN102" s="251"/>
      <c r="AO102" s="252"/>
      <c r="AP102" s="241"/>
      <c r="AQ102" s="241"/>
      <c r="AR102" s="241"/>
      <c r="AS102" s="194"/>
      <c r="AT102" s="195"/>
      <c r="AU102" s="195"/>
    </row>
    <row r="103" spans="1:47">
      <c r="A103" s="253"/>
      <c r="B103" s="230"/>
      <c r="C103" s="245"/>
      <c r="D103" s="230"/>
      <c r="E103" s="230"/>
      <c r="F103" s="230"/>
      <c r="G103" s="228"/>
      <c r="H103" s="230"/>
      <c r="I103" s="230"/>
      <c r="J103" s="246"/>
      <c r="K103" s="230"/>
      <c r="L103" s="230"/>
      <c r="M103" s="230"/>
      <c r="N103" s="230"/>
      <c r="O103" s="230"/>
      <c r="P103" s="256"/>
      <c r="Q103" s="257"/>
      <c r="R103" s="228"/>
      <c r="S103" s="228"/>
      <c r="T103" s="245"/>
      <c r="U103" s="254"/>
      <c r="V103" s="254"/>
      <c r="W103" s="228"/>
      <c r="X103" s="255"/>
      <c r="Y103" s="248"/>
      <c r="Z103" s="248"/>
      <c r="AA103" s="228"/>
      <c r="AB103" s="228"/>
      <c r="AC103" s="228"/>
      <c r="AD103" s="228"/>
      <c r="AE103" s="248"/>
      <c r="AF103" s="247"/>
      <c r="AG103" s="228"/>
      <c r="AH103" s="228"/>
      <c r="AI103" s="248"/>
      <c r="AJ103" s="248"/>
      <c r="AK103" s="194"/>
      <c r="AL103" s="249"/>
      <c r="AM103" s="250"/>
      <c r="AN103" s="251"/>
      <c r="AO103" s="252"/>
      <c r="AP103" s="241"/>
      <c r="AQ103" s="241"/>
      <c r="AR103" s="241"/>
      <c r="AS103" s="194"/>
      <c r="AT103" s="195"/>
      <c r="AU103" s="195"/>
    </row>
    <row r="104" spans="1:47">
      <c r="A104" s="253"/>
      <c r="B104" s="230"/>
      <c r="C104" s="245"/>
      <c r="D104" s="230"/>
      <c r="E104" s="230"/>
      <c r="F104" s="230"/>
      <c r="G104" s="228"/>
      <c r="H104" s="230"/>
      <c r="I104" s="230"/>
      <c r="J104" s="246"/>
      <c r="K104" s="230"/>
      <c r="L104" s="230"/>
      <c r="M104" s="230"/>
      <c r="N104" s="230"/>
      <c r="O104" s="230"/>
      <c r="P104" s="256"/>
      <c r="Q104" s="257"/>
      <c r="R104" s="228"/>
      <c r="S104" s="228"/>
      <c r="T104" s="245"/>
      <c r="U104" s="254"/>
      <c r="V104" s="254"/>
      <c r="W104" s="228"/>
      <c r="X104" s="255"/>
      <c r="Y104" s="248"/>
      <c r="Z104" s="248"/>
      <c r="AA104" s="228"/>
      <c r="AB104" s="228"/>
      <c r="AC104" s="228"/>
      <c r="AD104" s="228"/>
      <c r="AE104" s="248"/>
      <c r="AF104" s="247"/>
      <c r="AG104" s="228"/>
      <c r="AH104" s="228"/>
      <c r="AI104" s="248"/>
      <c r="AJ104" s="248"/>
      <c r="AK104" s="194"/>
      <c r="AL104" s="249"/>
      <c r="AM104" s="250"/>
      <c r="AN104" s="251"/>
      <c r="AO104" s="252"/>
      <c r="AP104" s="241"/>
      <c r="AQ104" s="241"/>
      <c r="AR104" s="241"/>
      <c r="AS104" s="194"/>
      <c r="AT104" s="195"/>
      <c r="AU104" s="195"/>
    </row>
    <row r="105" spans="1:47">
      <c r="A105" s="253"/>
      <c r="B105" s="230"/>
      <c r="C105" s="245"/>
      <c r="D105" s="230"/>
      <c r="E105" s="230"/>
      <c r="F105" s="230"/>
      <c r="G105" s="228"/>
      <c r="H105" s="230"/>
      <c r="I105" s="230"/>
      <c r="J105" s="246"/>
      <c r="K105" s="230"/>
      <c r="L105" s="230"/>
      <c r="M105" s="230"/>
      <c r="N105" s="230"/>
      <c r="O105" s="230"/>
      <c r="P105" s="256"/>
      <c r="Q105" s="257"/>
      <c r="R105" s="228"/>
      <c r="S105" s="228"/>
      <c r="T105" s="245"/>
      <c r="U105" s="254"/>
      <c r="V105" s="254"/>
      <c r="W105" s="228"/>
      <c r="X105" s="255"/>
      <c r="Y105" s="248"/>
      <c r="Z105" s="248"/>
      <c r="AA105" s="228"/>
      <c r="AB105" s="228"/>
      <c r="AC105" s="228"/>
      <c r="AD105" s="228"/>
      <c r="AE105" s="248"/>
      <c r="AF105" s="247"/>
      <c r="AG105" s="228"/>
      <c r="AH105" s="228"/>
      <c r="AI105" s="248"/>
      <c r="AJ105" s="248"/>
      <c r="AK105" s="194"/>
      <c r="AL105" s="249"/>
      <c r="AM105" s="250"/>
      <c r="AN105" s="251"/>
      <c r="AO105" s="252"/>
      <c r="AP105" s="241"/>
      <c r="AQ105" s="241"/>
      <c r="AR105" s="241"/>
      <c r="AS105" s="194"/>
      <c r="AT105" s="195"/>
      <c r="AU105" s="195"/>
    </row>
    <row r="106" spans="1:47">
      <c r="A106" s="253"/>
      <c r="B106" s="230"/>
      <c r="C106" s="245"/>
      <c r="D106" s="230"/>
      <c r="E106" s="230"/>
      <c r="F106" s="230"/>
      <c r="G106" s="228"/>
      <c r="H106" s="230"/>
      <c r="I106" s="230"/>
      <c r="J106" s="246"/>
      <c r="K106" s="230"/>
      <c r="L106" s="230"/>
      <c r="M106" s="230"/>
      <c r="N106" s="230"/>
      <c r="O106" s="230"/>
      <c r="P106" s="256"/>
      <c r="Q106" s="257"/>
      <c r="R106" s="228"/>
      <c r="S106" s="228"/>
      <c r="T106" s="245"/>
      <c r="U106" s="254"/>
      <c r="V106" s="254"/>
      <c r="W106" s="228"/>
      <c r="X106" s="255"/>
      <c r="Y106" s="248"/>
      <c r="Z106" s="248"/>
      <c r="AA106" s="228"/>
      <c r="AB106" s="228"/>
      <c r="AC106" s="228"/>
      <c r="AD106" s="228"/>
      <c r="AE106" s="248"/>
      <c r="AF106" s="247"/>
      <c r="AG106" s="228"/>
      <c r="AH106" s="228"/>
      <c r="AI106" s="248"/>
      <c r="AJ106" s="248"/>
      <c r="AK106" s="194"/>
      <c r="AL106" s="249"/>
      <c r="AM106" s="250"/>
      <c r="AN106" s="251"/>
      <c r="AO106" s="252"/>
      <c r="AP106" s="241"/>
      <c r="AQ106" s="241"/>
      <c r="AR106" s="241"/>
      <c r="AS106" s="194"/>
      <c r="AT106" s="195"/>
      <c r="AU106" s="195"/>
    </row>
    <row r="107" spans="1:47">
      <c r="A107" s="253"/>
      <c r="B107" s="230"/>
      <c r="C107" s="245"/>
      <c r="D107" s="230"/>
      <c r="E107" s="230"/>
      <c r="F107" s="230"/>
      <c r="G107" s="228"/>
      <c r="H107" s="230"/>
      <c r="I107" s="230"/>
      <c r="J107" s="246"/>
      <c r="K107" s="230"/>
      <c r="L107" s="230"/>
      <c r="M107" s="230"/>
      <c r="N107" s="230"/>
      <c r="O107" s="230"/>
      <c r="P107" s="256"/>
      <c r="Q107" s="257"/>
      <c r="R107" s="228"/>
      <c r="S107" s="228"/>
      <c r="T107" s="245"/>
      <c r="U107" s="254"/>
      <c r="V107" s="254"/>
      <c r="W107" s="228"/>
      <c r="X107" s="255"/>
      <c r="Y107" s="248"/>
      <c r="Z107" s="248"/>
      <c r="AA107" s="228"/>
      <c r="AB107" s="228"/>
      <c r="AC107" s="228"/>
      <c r="AD107" s="228"/>
      <c r="AE107" s="248"/>
      <c r="AF107" s="247"/>
      <c r="AG107" s="228"/>
      <c r="AH107" s="228"/>
      <c r="AI107" s="248"/>
      <c r="AJ107" s="248"/>
      <c r="AK107" s="194"/>
      <c r="AL107" s="249"/>
      <c r="AM107" s="250"/>
      <c r="AN107" s="251"/>
      <c r="AO107" s="252"/>
      <c r="AP107" s="241"/>
      <c r="AQ107" s="241"/>
      <c r="AR107" s="241"/>
      <c r="AS107" s="194"/>
      <c r="AT107" s="195"/>
      <c r="AU107" s="195"/>
    </row>
    <row r="108" spans="1:47">
      <c r="A108" s="253"/>
      <c r="B108" s="230"/>
      <c r="C108" s="245"/>
      <c r="D108" s="230"/>
      <c r="E108" s="230"/>
      <c r="F108" s="230"/>
      <c r="G108" s="228"/>
      <c r="H108" s="230"/>
      <c r="I108" s="230"/>
      <c r="J108" s="246"/>
      <c r="K108" s="230"/>
      <c r="L108" s="230"/>
      <c r="M108" s="230"/>
      <c r="N108" s="230"/>
      <c r="O108" s="230"/>
      <c r="P108" s="256"/>
      <c r="Q108" s="257"/>
      <c r="R108" s="228"/>
      <c r="S108" s="228"/>
      <c r="T108" s="245"/>
      <c r="U108" s="254"/>
      <c r="V108" s="254"/>
      <c r="W108" s="228"/>
      <c r="X108" s="255"/>
      <c r="Y108" s="248"/>
      <c r="Z108" s="248"/>
      <c r="AA108" s="228"/>
      <c r="AB108" s="228"/>
      <c r="AC108" s="228"/>
      <c r="AD108" s="228"/>
      <c r="AE108" s="248"/>
      <c r="AF108" s="247"/>
      <c r="AG108" s="228"/>
      <c r="AH108" s="228"/>
      <c r="AI108" s="248"/>
      <c r="AJ108" s="248"/>
      <c r="AK108" s="194"/>
      <c r="AL108" s="249"/>
      <c r="AM108" s="250"/>
      <c r="AN108" s="251"/>
      <c r="AO108" s="252"/>
      <c r="AP108" s="241"/>
      <c r="AQ108" s="241"/>
      <c r="AR108" s="241"/>
      <c r="AS108" s="194"/>
      <c r="AT108" s="195"/>
      <c r="AU108" s="195"/>
    </row>
    <row r="109" spans="1:47">
      <c r="A109" s="253"/>
      <c r="B109" s="230"/>
      <c r="C109" s="245"/>
      <c r="D109" s="230"/>
      <c r="E109" s="230"/>
      <c r="F109" s="230"/>
      <c r="G109" s="228"/>
      <c r="H109" s="230"/>
      <c r="I109" s="230"/>
      <c r="J109" s="246"/>
      <c r="K109" s="230"/>
      <c r="L109" s="230"/>
      <c r="M109" s="230"/>
      <c r="N109" s="230"/>
      <c r="O109" s="230"/>
      <c r="P109" s="256"/>
      <c r="Q109" s="257"/>
      <c r="R109" s="228"/>
      <c r="S109" s="228"/>
      <c r="T109" s="245"/>
      <c r="U109" s="254"/>
      <c r="V109" s="254"/>
      <c r="W109" s="228"/>
      <c r="X109" s="255"/>
      <c r="Y109" s="248"/>
      <c r="Z109" s="248"/>
      <c r="AA109" s="228"/>
      <c r="AB109" s="228"/>
      <c r="AC109" s="228"/>
      <c r="AD109" s="228"/>
      <c r="AE109" s="248"/>
      <c r="AF109" s="247"/>
      <c r="AG109" s="228"/>
      <c r="AH109" s="228"/>
      <c r="AI109" s="248"/>
      <c r="AJ109" s="248"/>
      <c r="AK109" s="194"/>
      <c r="AL109" s="249"/>
      <c r="AM109" s="250"/>
      <c r="AN109" s="251"/>
      <c r="AO109" s="252"/>
      <c r="AP109" s="241"/>
      <c r="AQ109" s="241"/>
      <c r="AR109" s="241"/>
      <c r="AS109" s="194"/>
      <c r="AT109" s="195"/>
      <c r="AU109" s="195"/>
    </row>
    <row r="110" spans="1:47">
      <c r="A110" s="253"/>
      <c r="B110" s="230"/>
      <c r="C110" s="245"/>
      <c r="D110" s="230"/>
      <c r="E110" s="230"/>
      <c r="F110" s="230"/>
      <c r="G110" s="228"/>
      <c r="H110" s="230"/>
      <c r="I110" s="230"/>
      <c r="J110" s="246"/>
      <c r="K110" s="230"/>
      <c r="L110" s="230"/>
      <c r="M110" s="230"/>
      <c r="N110" s="230"/>
      <c r="O110" s="230"/>
      <c r="P110" s="256"/>
      <c r="Q110" s="257"/>
      <c r="R110" s="228"/>
      <c r="S110" s="228"/>
      <c r="T110" s="245"/>
      <c r="U110" s="254"/>
      <c r="V110" s="254"/>
      <c r="W110" s="228"/>
      <c r="X110" s="255"/>
      <c r="Y110" s="248"/>
      <c r="Z110" s="248"/>
      <c r="AA110" s="228"/>
      <c r="AB110" s="228"/>
      <c r="AC110" s="228"/>
      <c r="AD110" s="228"/>
      <c r="AE110" s="248"/>
      <c r="AF110" s="247"/>
      <c r="AG110" s="228"/>
      <c r="AH110" s="228"/>
      <c r="AI110" s="248"/>
      <c r="AJ110" s="248"/>
      <c r="AK110" s="194"/>
      <c r="AL110" s="249"/>
      <c r="AM110" s="250"/>
      <c r="AN110" s="251"/>
      <c r="AO110" s="252"/>
      <c r="AP110" s="241"/>
      <c r="AQ110" s="241"/>
      <c r="AR110" s="241"/>
      <c r="AS110" s="194"/>
      <c r="AT110" s="195"/>
      <c r="AU110" s="195"/>
    </row>
    <row r="111" spans="1:47">
      <c r="A111" s="253"/>
      <c r="B111" s="230"/>
      <c r="C111" s="245"/>
      <c r="D111" s="230"/>
      <c r="E111" s="230"/>
      <c r="F111" s="230"/>
      <c r="G111" s="228"/>
      <c r="H111" s="230"/>
      <c r="I111" s="230"/>
      <c r="J111" s="246"/>
      <c r="K111" s="230"/>
      <c r="L111" s="230"/>
      <c r="M111" s="230"/>
      <c r="N111" s="230"/>
      <c r="O111" s="230"/>
      <c r="P111" s="256"/>
      <c r="Q111" s="257"/>
      <c r="R111" s="228"/>
      <c r="S111" s="228"/>
      <c r="T111" s="245"/>
      <c r="U111" s="254"/>
      <c r="V111" s="254"/>
      <c r="W111" s="228"/>
      <c r="X111" s="255"/>
      <c r="Y111" s="248"/>
      <c r="Z111" s="248"/>
      <c r="AA111" s="228"/>
      <c r="AB111" s="228"/>
      <c r="AC111" s="228"/>
      <c r="AD111" s="228"/>
      <c r="AE111" s="248"/>
      <c r="AF111" s="247"/>
      <c r="AG111" s="228"/>
      <c r="AH111" s="228"/>
      <c r="AI111" s="248"/>
      <c r="AJ111" s="248"/>
      <c r="AK111" s="194"/>
      <c r="AL111" s="249"/>
      <c r="AM111" s="250"/>
      <c r="AN111" s="251"/>
      <c r="AO111" s="252"/>
      <c r="AP111" s="241"/>
      <c r="AQ111" s="241"/>
      <c r="AR111" s="241"/>
      <c r="AS111" s="194"/>
      <c r="AT111" s="195"/>
      <c r="AU111" s="195"/>
    </row>
    <row r="112" spans="1:47">
      <c r="A112" s="253"/>
      <c r="B112" s="230"/>
      <c r="C112" s="245"/>
      <c r="D112" s="230"/>
      <c r="E112" s="230"/>
      <c r="F112" s="230"/>
      <c r="G112" s="228"/>
      <c r="H112" s="230"/>
      <c r="I112" s="230"/>
      <c r="J112" s="246"/>
      <c r="K112" s="230"/>
      <c r="L112" s="230"/>
      <c r="M112" s="230"/>
      <c r="N112" s="230"/>
      <c r="O112" s="230"/>
      <c r="P112" s="256"/>
      <c r="Q112" s="257"/>
      <c r="R112" s="228"/>
      <c r="S112" s="228"/>
      <c r="T112" s="245"/>
      <c r="U112" s="254"/>
      <c r="V112" s="254"/>
      <c r="W112" s="228"/>
      <c r="X112" s="255"/>
      <c r="Y112" s="248"/>
      <c r="Z112" s="248"/>
      <c r="AA112" s="228"/>
      <c r="AB112" s="228"/>
      <c r="AC112" s="228"/>
      <c r="AD112" s="228"/>
      <c r="AE112" s="248"/>
      <c r="AF112" s="247"/>
      <c r="AG112" s="228"/>
      <c r="AH112" s="228"/>
      <c r="AI112" s="248"/>
      <c r="AJ112" s="248"/>
      <c r="AK112" s="194"/>
      <c r="AL112" s="249"/>
      <c r="AM112" s="250"/>
      <c r="AN112" s="251"/>
      <c r="AO112" s="252"/>
      <c r="AP112" s="241"/>
      <c r="AQ112" s="241"/>
      <c r="AR112" s="241"/>
      <c r="AS112" s="194"/>
      <c r="AT112" s="195"/>
      <c r="AU112" s="195"/>
    </row>
    <row r="113" spans="1:47">
      <c r="A113" s="253"/>
      <c r="B113" s="230"/>
      <c r="C113" s="245"/>
      <c r="D113" s="230"/>
      <c r="E113" s="230"/>
      <c r="F113" s="230"/>
      <c r="G113" s="228"/>
      <c r="H113" s="230"/>
      <c r="I113" s="230"/>
      <c r="J113" s="246"/>
      <c r="K113" s="230"/>
      <c r="L113" s="230"/>
      <c r="M113" s="230"/>
      <c r="N113" s="230"/>
      <c r="O113" s="230"/>
      <c r="P113" s="256"/>
      <c r="Q113" s="257"/>
      <c r="R113" s="228"/>
      <c r="S113" s="228"/>
      <c r="T113" s="245"/>
      <c r="U113" s="254"/>
      <c r="V113" s="254"/>
      <c r="W113" s="228"/>
      <c r="X113" s="255"/>
      <c r="Y113" s="248"/>
      <c r="Z113" s="248"/>
      <c r="AA113" s="228"/>
      <c r="AB113" s="228"/>
      <c r="AC113" s="228"/>
      <c r="AD113" s="228"/>
      <c r="AE113" s="248"/>
      <c r="AF113" s="247"/>
      <c r="AG113" s="228"/>
      <c r="AH113" s="228"/>
      <c r="AI113" s="248"/>
      <c r="AJ113" s="248"/>
      <c r="AK113" s="194"/>
      <c r="AL113" s="249"/>
      <c r="AM113" s="250"/>
      <c r="AN113" s="251"/>
      <c r="AO113" s="252"/>
      <c r="AP113" s="241"/>
      <c r="AQ113" s="241"/>
      <c r="AR113" s="241"/>
      <c r="AS113" s="194"/>
      <c r="AT113" s="195"/>
      <c r="AU113" s="195"/>
    </row>
    <row r="114" spans="1:47">
      <c r="A114" s="253"/>
      <c r="B114" s="230"/>
      <c r="C114" s="245"/>
      <c r="D114" s="230"/>
      <c r="E114" s="230"/>
      <c r="F114" s="230"/>
      <c r="G114" s="228"/>
      <c r="H114" s="230"/>
      <c r="I114" s="230"/>
      <c r="J114" s="246"/>
      <c r="K114" s="230"/>
      <c r="L114" s="230"/>
      <c r="M114" s="230"/>
      <c r="N114" s="230"/>
      <c r="O114" s="230"/>
      <c r="P114" s="256"/>
      <c r="Q114" s="257"/>
      <c r="R114" s="228"/>
      <c r="S114" s="228"/>
      <c r="T114" s="245"/>
      <c r="U114" s="254"/>
      <c r="V114" s="254"/>
      <c r="W114" s="228"/>
      <c r="X114" s="255"/>
      <c r="Y114" s="248"/>
      <c r="Z114" s="248"/>
      <c r="AA114" s="228"/>
      <c r="AB114" s="228"/>
      <c r="AC114" s="228"/>
      <c r="AD114" s="228"/>
      <c r="AE114" s="248"/>
      <c r="AF114" s="247"/>
      <c r="AG114" s="228"/>
      <c r="AH114" s="228"/>
      <c r="AI114" s="248"/>
      <c r="AJ114" s="248"/>
      <c r="AK114" s="194"/>
      <c r="AL114" s="249"/>
      <c r="AM114" s="250"/>
      <c r="AN114" s="251"/>
      <c r="AO114" s="252"/>
      <c r="AP114" s="241"/>
      <c r="AQ114" s="241"/>
      <c r="AR114" s="241"/>
      <c r="AS114" s="194"/>
      <c r="AT114" s="195"/>
      <c r="AU114" s="195"/>
    </row>
    <row r="115" spans="1:47">
      <c r="A115" s="253"/>
      <c r="B115" s="230"/>
      <c r="C115" s="245"/>
      <c r="D115" s="230"/>
      <c r="E115" s="230"/>
      <c r="F115" s="230"/>
      <c r="G115" s="228"/>
      <c r="H115" s="230"/>
      <c r="I115" s="230"/>
      <c r="J115" s="246"/>
      <c r="K115" s="230"/>
      <c r="L115" s="230"/>
      <c r="M115" s="230"/>
      <c r="N115" s="230"/>
      <c r="O115" s="230"/>
      <c r="P115" s="256"/>
      <c r="Q115" s="257"/>
      <c r="R115" s="228"/>
      <c r="S115" s="228"/>
      <c r="T115" s="245"/>
      <c r="U115" s="254"/>
      <c r="V115" s="254"/>
      <c r="W115" s="228"/>
      <c r="X115" s="255"/>
      <c r="Y115" s="248"/>
      <c r="Z115" s="248"/>
      <c r="AA115" s="228"/>
      <c r="AB115" s="228"/>
      <c r="AC115" s="228"/>
      <c r="AD115" s="228"/>
      <c r="AE115" s="248"/>
      <c r="AF115" s="247"/>
      <c r="AG115" s="228"/>
      <c r="AH115" s="228"/>
      <c r="AI115" s="248"/>
      <c r="AJ115" s="248"/>
      <c r="AK115" s="194"/>
      <c r="AL115" s="249"/>
      <c r="AM115" s="250"/>
      <c r="AN115" s="251"/>
      <c r="AO115" s="252"/>
      <c r="AP115" s="241"/>
      <c r="AQ115" s="241"/>
      <c r="AR115" s="241"/>
      <c r="AS115" s="194"/>
      <c r="AT115" s="195"/>
      <c r="AU115" s="195"/>
    </row>
    <row r="116" spans="1:47">
      <c r="A116" s="253"/>
      <c r="B116" s="230"/>
      <c r="C116" s="245"/>
      <c r="D116" s="230"/>
      <c r="E116" s="230"/>
      <c r="F116" s="230"/>
      <c r="G116" s="228"/>
      <c r="H116" s="230"/>
      <c r="I116" s="230"/>
      <c r="J116" s="246"/>
      <c r="K116" s="230"/>
      <c r="L116" s="230"/>
      <c r="M116" s="230"/>
      <c r="N116" s="230"/>
      <c r="O116" s="230"/>
      <c r="P116" s="256"/>
      <c r="Q116" s="257"/>
      <c r="R116" s="228"/>
      <c r="S116" s="228"/>
      <c r="T116" s="245"/>
      <c r="U116" s="254"/>
      <c r="V116" s="254"/>
      <c r="W116" s="228"/>
      <c r="X116" s="255"/>
      <c r="Y116" s="248"/>
      <c r="Z116" s="248"/>
      <c r="AA116" s="228"/>
      <c r="AB116" s="228"/>
      <c r="AC116" s="228"/>
      <c r="AD116" s="228"/>
      <c r="AE116" s="248"/>
      <c r="AF116" s="247"/>
      <c r="AG116" s="228"/>
      <c r="AH116" s="228"/>
      <c r="AI116" s="248"/>
      <c r="AJ116" s="248"/>
      <c r="AK116" s="194"/>
      <c r="AL116" s="249"/>
      <c r="AM116" s="250"/>
      <c r="AN116" s="251"/>
      <c r="AO116" s="252"/>
      <c r="AP116" s="241"/>
      <c r="AQ116" s="241"/>
      <c r="AR116" s="241"/>
      <c r="AS116" s="194"/>
      <c r="AT116" s="195"/>
      <c r="AU116" s="195"/>
    </row>
    <row r="117" spans="1:47">
      <c r="A117" s="253"/>
      <c r="B117" s="230"/>
      <c r="C117" s="245"/>
      <c r="D117" s="230"/>
      <c r="E117" s="230"/>
      <c r="F117" s="230"/>
      <c r="G117" s="228"/>
      <c r="H117" s="230"/>
      <c r="I117" s="230"/>
      <c r="J117" s="246"/>
      <c r="K117" s="230"/>
      <c r="L117" s="230"/>
      <c r="M117" s="230"/>
      <c r="N117" s="230"/>
      <c r="O117" s="230"/>
      <c r="P117" s="256"/>
      <c r="Q117" s="257"/>
      <c r="R117" s="228"/>
      <c r="S117" s="228"/>
      <c r="T117" s="245"/>
      <c r="U117" s="254"/>
      <c r="V117" s="254"/>
      <c r="W117" s="228"/>
      <c r="X117" s="255"/>
      <c r="Y117" s="248"/>
      <c r="Z117" s="248"/>
      <c r="AA117" s="228"/>
      <c r="AB117" s="228"/>
      <c r="AC117" s="228"/>
      <c r="AD117" s="228"/>
      <c r="AE117" s="248"/>
      <c r="AF117" s="247"/>
      <c r="AG117" s="228"/>
      <c r="AH117" s="228"/>
      <c r="AI117" s="248"/>
      <c r="AJ117" s="248"/>
      <c r="AK117" s="194"/>
      <c r="AL117" s="249"/>
      <c r="AM117" s="250"/>
      <c r="AN117" s="251"/>
      <c r="AO117" s="252"/>
      <c r="AP117" s="241"/>
      <c r="AQ117" s="241"/>
      <c r="AR117" s="241"/>
      <c r="AS117" s="194"/>
      <c r="AT117" s="195"/>
      <c r="AU117" s="195"/>
    </row>
    <row r="118" spans="1:47">
      <c r="A118" s="253"/>
      <c r="B118" s="230"/>
      <c r="C118" s="245"/>
      <c r="D118" s="230"/>
      <c r="E118" s="230"/>
      <c r="F118" s="230"/>
      <c r="G118" s="228"/>
      <c r="H118" s="230"/>
      <c r="I118" s="230"/>
      <c r="J118" s="246"/>
      <c r="K118" s="230"/>
      <c r="L118" s="230"/>
      <c r="M118" s="230"/>
      <c r="N118" s="230"/>
      <c r="O118" s="230"/>
      <c r="P118" s="256"/>
      <c r="Q118" s="257"/>
      <c r="R118" s="228"/>
      <c r="S118" s="228"/>
      <c r="T118" s="245"/>
      <c r="U118" s="254"/>
      <c r="V118" s="254"/>
      <c r="W118" s="228"/>
      <c r="X118" s="255"/>
      <c r="Y118" s="248"/>
      <c r="Z118" s="248"/>
      <c r="AA118" s="228"/>
      <c r="AB118" s="228"/>
      <c r="AC118" s="228"/>
      <c r="AD118" s="228"/>
      <c r="AE118" s="248"/>
      <c r="AF118" s="247"/>
      <c r="AG118" s="228"/>
      <c r="AH118" s="228"/>
      <c r="AI118" s="248"/>
      <c r="AJ118" s="248"/>
      <c r="AK118" s="194"/>
      <c r="AL118" s="249"/>
      <c r="AM118" s="250"/>
      <c r="AN118" s="251"/>
      <c r="AO118" s="252"/>
      <c r="AP118" s="241"/>
      <c r="AQ118" s="241"/>
      <c r="AR118" s="241"/>
      <c r="AS118" s="194"/>
      <c r="AT118" s="195"/>
      <c r="AU118" s="195"/>
    </row>
    <row r="119" spans="1:47">
      <c r="A119" s="253"/>
      <c r="B119" s="230"/>
      <c r="C119" s="245"/>
      <c r="D119" s="230"/>
      <c r="E119" s="230"/>
      <c r="F119" s="230"/>
      <c r="G119" s="228"/>
      <c r="H119" s="230"/>
      <c r="I119" s="230"/>
      <c r="J119" s="246"/>
      <c r="K119" s="230"/>
      <c r="L119" s="230"/>
      <c r="M119" s="230"/>
      <c r="N119" s="230"/>
      <c r="O119" s="230"/>
      <c r="P119" s="256"/>
      <c r="Q119" s="257"/>
      <c r="R119" s="228"/>
      <c r="S119" s="228"/>
      <c r="T119" s="245"/>
      <c r="U119" s="254"/>
      <c r="V119" s="254"/>
      <c r="W119" s="228"/>
      <c r="X119" s="255"/>
      <c r="Y119" s="248"/>
      <c r="Z119" s="248"/>
      <c r="AA119" s="228"/>
      <c r="AB119" s="228"/>
      <c r="AC119" s="228"/>
      <c r="AD119" s="228"/>
      <c r="AE119" s="248"/>
      <c r="AF119" s="247"/>
      <c r="AG119" s="228"/>
      <c r="AH119" s="228"/>
      <c r="AI119" s="248"/>
      <c r="AJ119" s="248"/>
      <c r="AK119" s="194"/>
      <c r="AL119" s="249"/>
      <c r="AM119" s="250"/>
      <c r="AN119" s="251"/>
      <c r="AO119" s="252"/>
      <c r="AP119" s="241"/>
      <c r="AQ119" s="241"/>
      <c r="AR119" s="241"/>
      <c r="AS119" s="194"/>
      <c r="AT119" s="195"/>
      <c r="AU119" s="195"/>
    </row>
    <row r="120" spans="1:47">
      <c r="A120" s="253"/>
      <c r="B120" s="230"/>
      <c r="C120" s="245"/>
      <c r="D120" s="230"/>
      <c r="E120" s="230"/>
      <c r="F120" s="230"/>
      <c r="G120" s="228"/>
      <c r="H120" s="230"/>
      <c r="I120" s="230"/>
      <c r="J120" s="246"/>
      <c r="K120" s="230"/>
      <c r="L120" s="230"/>
      <c r="M120" s="230"/>
      <c r="N120" s="230"/>
      <c r="O120" s="230"/>
      <c r="P120" s="256"/>
      <c r="Q120" s="257"/>
      <c r="R120" s="228"/>
      <c r="S120" s="228"/>
      <c r="T120" s="245"/>
      <c r="U120" s="254"/>
      <c r="V120" s="254"/>
      <c r="W120" s="228"/>
      <c r="X120" s="255"/>
      <c r="Y120" s="248"/>
      <c r="Z120" s="248"/>
      <c r="AA120" s="228"/>
      <c r="AB120" s="228"/>
      <c r="AC120" s="228"/>
      <c r="AD120" s="228"/>
      <c r="AE120" s="248"/>
      <c r="AF120" s="247"/>
      <c r="AG120" s="228"/>
      <c r="AH120" s="228"/>
      <c r="AI120" s="248"/>
      <c r="AJ120" s="248"/>
      <c r="AK120" s="194"/>
      <c r="AL120" s="249"/>
      <c r="AM120" s="250"/>
      <c r="AN120" s="251"/>
      <c r="AO120" s="252"/>
      <c r="AP120" s="241"/>
      <c r="AQ120" s="241"/>
      <c r="AR120" s="241"/>
      <c r="AS120" s="194"/>
      <c r="AT120" s="195"/>
      <c r="AU120" s="195"/>
    </row>
    <row r="121" spans="1:47">
      <c r="A121" s="253"/>
      <c r="B121" s="230"/>
      <c r="C121" s="245"/>
      <c r="D121" s="230"/>
      <c r="E121" s="230"/>
      <c r="F121" s="230"/>
      <c r="G121" s="228"/>
      <c r="H121" s="230"/>
      <c r="I121" s="230"/>
      <c r="J121" s="246"/>
      <c r="K121" s="230"/>
      <c r="L121" s="230"/>
      <c r="M121" s="230"/>
      <c r="N121" s="230"/>
      <c r="O121" s="230"/>
      <c r="P121" s="256"/>
      <c r="Q121" s="257"/>
      <c r="R121" s="228"/>
      <c r="S121" s="228"/>
      <c r="T121" s="245"/>
      <c r="U121" s="254"/>
      <c r="V121" s="254"/>
      <c r="W121" s="228"/>
      <c r="X121" s="255"/>
      <c r="Y121" s="248"/>
      <c r="Z121" s="248"/>
      <c r="AA121" s="228"/>
      <c r="AB121" s="228"/>
      <c r="AC121" s="228"/>
      <c r="AD121" s="228"/>
      <c r="AE121" s="248"/>
      <c r="AF121" s="247"/>
      <c r="AG121" s="228"/>
      <c r="AH121" s="228"/>
      <c r="AI121" s="248"/>
      <c r="AJ121" s="248"/>
      <c r="AK121" s="194"/>
      <c r="AL121" s="249"/>
      <c r="AM121" s="250"/>
      <c r="AN121" s="251"/>
      <c r="AO121" s="252"/>
      <c r="AP121" s="241"/>
      <c r="AQ121" s="241"/>
      <c r="AR121" s="241"/>
      <c r="AS121" s="194"/>
      <c r="AT121" s="195"/>
      <c r="AU121" s="195"/>
    </row>
    <row r="122" spans="1:47">
      <c r="A122" s="253"/>
      <c r="B122" s="230"/>
      <c r="C122" s="245"/>
      <c r="D122" s="230"/>
      <c r="E122" s="230"/>
      <c r="F122" s="230"/>
      <c r="G122" s="228"/>
      <c r="H122" s="230"/>
      <c r="I122" s="230"/>
      <c r="J122" s="246"/>
      <c r="K122" s="230"/>
      <c r="L122" s="230"/>
      <c r="M122" s="230"/>
      <c r="N122" s="230"/>
      <c r="O122" s="230"/>
      <c r="P122" s="256"/>
      <c r="Q122" s="257"/>
      <c r="R122" s="228"/>
      <c r="S122" s="228"/>
      <c r="T122" s="245"/>
      <c r="U122" s="254"/>
      <c r="V122" s="254"/>
      <c r="W122" s="228"/>
      <c r="X122" s="255"/>
      <c r="Y122" s="248"/>
      <c r="Z122" s="248"/>
      <c r="AA122" s="228"/>
      <c r="AB122" s="228"/>
      <c r="AC122" s="228"/>
      <c r="AD122" s="228"/>
      <c r="AE122" s="248"/>
      <c r="AF122" s="247"/>
      <c r="AG122" s="228"/>
      <c r="AH122" s="228"/>
      <c r="AI122" s="248"/>
      <c r="AJ122" s="248"/>
      <c r="AK122" s="194"/>
      <c r="AL122" s="249"/>
      <c r="AM122" s="250"/>
      <c r="AN122" s="251"/>
      <c r="AO122" s="252"/>
      <c r="AP122" s="241"/>
      <c r="AQ122" s="241"/>
      <c r="AR122" s="241"/>
      <c r="AS122" s="194"/>
      <c r="AT122" s="195"/>
      <c r="AU122" s="195"/>
    </row>
    <row r="123" spans="1:47">
      <c r="A123" s="253"/>
      <c r="B123" s="230"/>
      <c r="C123" s="245"/>
      <c r="D123" s="230"/>
      <c r="E123" s="230"/>
      <c r="F123" s="230"/>
      <c r="G123" s="228"/>
      <c r="H123" s="230"/>
      <c r="I123" s="230"/>
      <c r="J123" s="246"/>
      <c r="K123" s="230"/>
      <c r="L123" s="230"/>
      <c r="M123" s="230"/>
      <c r="N123" s="230"/>
      <c r="O123" s="230"/>
      <c r="P123" s="256"/>
      <c r="Q123" s="257"/>
      <c r="R123" s="228"/>
      <c r="S123" s="228"/>
      <c r="T123" s="245"/>
      <c r="U123" s="254"/>
      <c r="V123" s="254"/>
      <c r="W123" s="228"/>
      <c r="X123" s="255"/>
      <c r="Y123" s="248"/>
      <c r="Z123" s="248"/>
      <c r="AA123" s="228"/>
      <c r="AB123" s="228"/>
      <c r="AC123" s="228"/>
      <c r="AD123" s="228"/>
      <c r="AE123" s="248"/>
      <c r="AF123" s="247"/>
      <c r="AG123" s="228"/>
      <c r="AH123" s="228"/>
      <c r="AI123" s="248"/>
      <c r="AJ123" s="248"/>
      <c r="AK123" s="194"/>
      <c r="AL123" s="249"/>
      <c r="AM123" s="250"/>
      <c r="AN123" s="251"/>
      <c r="AO123" s="252"/>
      <c r="AP123" s="241"/>
      <c r="AQ123" s="241"/>
      <c r="AR123" s="241"/>
      <c r="AS123" s="194"/>
      <c r="AT123" s="195"/>
      <c r="AU123" s="195"/>
    </row>
    <row r="124" spans="1:47">
      <c r="A124" s="253"/>
      <c r="B124" s="230"/>
      <c r="C124" s="245"/>
      <c r="D124" s="230"/>
      <c r="E124" s="230"/>
      <c r="F124" s="230"/>
      <c r="G124" s="228"/>
      <c r="H124" s="230"/>
      <c r="I124" s="230"/>
      <c r="J124" s="246"/>
      <c r="K124" s="230"/>
      <c r="L124" s="230"/>
      <c r="M124" s="230"/>
      <c r="N124" s="230"/>
      <c r="O124" s="230"/>
      <c r="P124" s="256"/>
      <c r="Q124" s="257"/>
      <c r="R124" s="228"/>
      <c r="S124" s="228"/>
      <c r="T124" s="245"/>
      <c r="U124" s="254"/>
      <c r="V124" s="254"/>
      <c r="W124" s="228"/>
      <c r="X124" s="255"/>
      <c r="Y124" s="248"/>
      <c r="Z124" s="248"/>
      <c r="AA124" s="228"/>
      <c r="AB124" s="228"/>
      <c r="AC124" s="228"/>
      <c r="AD124" s="228"/>
      <c r="AE124" s="248"/>
      <c r="AF124" s="247"/>
      <c r="AG124" s="228"/>
      <c r="AH124" s="228"/>
      <c r="AI124" s="248"/>
      <c r="AJ124" s="248"/>
      <c r="AK124" s="194"/>
      <c r="AL124" s="249"/>
      <c r="AM124" s="250"/>
      <c r="AN124" s="251"/>
      <c r="AO124" s="252"/>
      <c r="AP124" s="241"/>
      <c r="AQ124" s="241"/>
      <c r="AR124" s="241"/>
      <c r="AS124" s="194"/>
      <c r="AT124" s="195"/>
      <c r="AU124" s="195"/>
    </row>
    <row r="125" spans="1:47">
      <c r="A125" s="253"/>
      <c r="B125" s="230"/>
      <c r="C125" s="245"/>
      <c r="D125" s="230"/>
      <c r="E125" s="230"/>
      <c r="F125" s="230"/>
      <c r="G125" s="228"/>
      <c r="H125" s="230"/>
      <c r="I125" s="230"/>
      <c r="J125" s="246"/>
      <c r="K125" s="230"/>
      <c r="L125" s="230"/>
      <c r="M125" s="230"/>
      <c r="N125" s="230"/>
      <c r="O125" s="230"/>
      <c r="P125" s="256"/>
      <c r="Q125" s="257"/>
      <c r="R125" s="228"/>
      <c r="S125" s="228"/>
      <c r="T125" s="245"/>
      <c r="U125" s="254"/>
      <c r="V125" s="254"/>
      <c r="W125" s="228"/>
      <c r="X125" s="255"/>
      <c r="Y125" s="248"/>
      <c r="Z125" s="248"/>
      <c r="AA125" s="228"/>
      <c r="AB125" s="228"/>
      <c r="AC125" s="228"/>
      <c r="AD125" s="228"/>
      <c r="AE125" s="248"/>
      <c r="AF125" s="247"/>
      <c r="AG125" s="228"/>
      <c r="AH125" s="228"/>
      <c r="AI125" s="248"/>
      <c r="AJ125" s="248"/>
      <c r="AK125" s="194"/>
      <c r="AL125" s="249"/>
      <c r="AM125" s="250"/>
      <c r="AN125" s="251"/>
      <c r="AO125" s="252"/>
      <c r="AP125" s="241"/>
      <c r="AQ125" s="241"/>
      <c r="AR125" s="241"/>
      <c r="AS125" s="194"/>
      <c r="AT125" s="195"/>
      <c r="AU125" s="195"/>
    </row>
    <row r="126" spans="1:47">
      <c r="A126" s="253"/>
      <c r="B126" s="230"/>
      <c r="C126" s="245"/>
      <c r="D126" s="230"/>
      <c r="E126" s="230"/>
      <c r="F126" s="230"/>
      <c r="G126" s="228"/>
      <c r="H126" s="230"/>
      <c r="I126" s="230"/>
      <c r="J126" s="246"/>
      <c r="K126" s="230"/>
      <c r="L126" s="230"/>
      <c r="M126" s="230"/>
      <c r="N126" s="230"/>
      <c r="O126" s="230"/>
      <c r="P126" s="256"/>
      <c r="Q126" s="257"/>
      <c r="R126" s="228"/>
      <c r="S126" s="228"/>
      <c r="T126" s="245"/>
      <c r="U126" s="254"/>
      <c r="V126" s="254"/>
      <c r="W126" s="228"/>
      <c r="X126" s="255"/>
      <c r="Y126" s="248"/>
      <c r="Z126" s="248"/>
      <c r="AA126" s="228"/>
      <c r="AB126" s="228"/>
      <c r="AC126" s="228"/>
      <c r="AD126" s="228"/>
      <c r="AE126" s="248"/>
      <c r="AF126" s="247"/>
      <c r="AG126" s="228"/>
      <c r="AH126" s="228"/>
      <c r="AI126" s="248"/>
      <c r="AJ126" s="248"/>
      <c r="AK126" s="194"/>
      <c r="AL126" s="249"/>
      <c r="AM126" s="250"/>
      <c r="AN126" s="251"/>
      <c r="AO126" s="252"/>
      <c r="AP126" s="241"/>
      <c r="AQ126" s="241"/>
      <c r="AR126" s="241"/>
      <c r="AS126" s="194"/>
      <c r="AT126" s="195"/>
      <c r="AU126" s="195"/>
    </row>
    <row r="127" spans="1:47">
      <c r="A127" s="253"/>
      <c r="B127" s="230"/>
      <c r="C127" s="245"/>
      <c r="D127" s="230"/>
      <c r="E127" s="230"/>
      <c r="F127" s="230"/>
      <c r="G127" s="228"/>
      <c r="H127" s="230"/>
      <c r="I127" s="230"/>
      <c r="J127" s="246"/>
      <c r="K127" s="230"/>
      <c r="L127" s="230"/>
      <c r="M127" s="230"/>
      <c r="N127" s="230"/>
      <c r="O127" s="230"/>
      <c r="P127" s="256"/>
      <c r="Q127" s="257"/>
      <c r="R127" s="228"/>
      <c r="S127" s="228"/>
      <c r="T127" s="245"/>
      <c r="U127" s="254"/>
      <c r="V127" s="254"/>
      <c r="W127" s="228"/>
      <c r="X127" s="255"/>
      <c r="Y127" s="248"/>
      <c r="Z127" s="248"/>
      <c r="AA127" s="228"/>
      <c r="AB127" s="228"/>
      <c r="AC127" s="228"/>
      <c r="AD127" s="228"/>
      <c r="AE127" s="248"/>
      <c r="AF127" s="247"/>
      <c r="AG127" s="228"/>
      <c r="AH127" s="228"/>
      <c r="AI127" s="248"/>
      <c r="AJ127" s="248"/>
      <c r="AK127" s="194"/>
      <c r="AL127" s="249"/>
      <c r="AM127" s="250"/>
      <c r="AN127" s="251"/>
      <c r="AO127" s="252"/>
      <c r="AP127" s="241"/>
      <c r="AQ127" s="241"/>
      <c r="AR127" s="241"/>
      <c r="AS127" s="194"/>
      <c r="AT127" s="195"/>
      <c r="AU127" s="195"/>
    </row>
    <row r="128" spans="1:47">
      <c r="A128" s="253"/>
      <c r="B128" s="230"/>
      <c r="C128" s="245"/>
      <c r="D128" s="230"/>
      <c r="E128" s="230"/>
      <c r="F128" s="230"/>
      <c r="G128" s="228"/>
      <c r="H128" s="230"/>
      <c r="I128" s="230"/>
      <c r="J128" s="246"/>
      <c r="K128" s="230"/>
      <c r="L128" s="230"/>
      <c r="M128" s="230"/>
      <c r="N128" s="230"/>
      <c r="O128" s="230"/>
      <c r="P128" s="256"/>
      <c r="Q128" s="257"/>
      <c r="R128" s="228"/>
      <c r="S128" s="228"/>
      <c r="T128" s="245"/>
      <c r="U128" s="254"/>
      <c r="V128" s="254"/>
      <c r="W128" s="228"/>
      <c r="X128" s="255"/>
      <c r="Y128" s="248"/>
      <c r="Z128" s="248"/>
      <c r="AA128" s="228"/>
      <c r="AB128" s="228"/>
      <c r="AC128" s="228"/>
      <c r="AD128" s="228"/>
      <c r="AE128" s="248"/>
      <c r="AF128" s="247"/>
      <c r="AG128" s="228"/>
      <c r="AH128" s="228"/>
      <c r="AI128" s="248"/>
      <c r="AJ128" s="248"/>
      <c r="AK128" s="194"/>
      <c r="AL128" s="249"/>
      <c r="AM128" s="250"/>
      <c r="AN128" s="251"/>
      <c r="AO128" s="252"/>
      <c r="AP128" s="241"/>
      <c r="AQ128" s="241"/>
      <c r="AR128" s="241"/>
      <c r="AS128" s="194"/>
      <c r="AT128" s="195"/>
      <c r="AU128" s="195"/>
    </row>
    <row r="129" spans="1:47">
      <c r="A129" s="253"/>
      <c r="B129" s="230"/>
      <c r="C129" s="245"/>
      <c r="D129" s="230"/>
      <c r="E129" s="230"/>
      <c r="F129" s="230"/>
      <c r="G129" s="228"/>
      <c r="H129" s="230"/>
      <c r="I129" s="230"/>
      <c r="J129" s="246"/>
      <c r="K129" s="230"/>
      <c r="L129" s="230"/>
      <c r="M129" s="230"/>
      <c r="N129" s="230"/>
      <c r="O129" s="230"/>
      <c r="P129" s="256"/>
      <c r="Q129" s="257"/>
      <c r="R129" s="228"/>
      <c r="S129" s="228"/>
      <c r="T129" s="245"/>
      <c r="U129" s="254"/>
      <c r="V129" s="254"/>
      <c r="W129" s="228"/>
      <c r="X129" s="255"/>
      <c r="Y129" s="248"/>
      <c r="Z129" s="248"/>
      <c r="AA129" s="228"/>
      <c r="AB129" s="228"/>
      <c r="AC129" s="228"/>
      <c r="AD129" s="228"/>
      <c r="AE129" s="248"/>
      <c r="AF129" s="247"/>
      <c r="AG129" s="228"/>
      <c r="AH129" s="228"/>
      <c r="AI129" s="248"/>
      <c r="AJ129" s="248"/>
      <c r="AK129" s="194"/>
      <c r="AL129" s="249"/>
      <c r="AM129" s="250"/>
      <c r="AN129" s="251"/>
      <c r="AO129" s="252"/>
      <c r="AP129" s="241"/>
      <c r="AQ129" s="241"/>
      <c r="AR129" s="241"/>
      <c r="AS129" s="194"/>
      <c r="AT129" s="195"/>
      <c r="AU129" s="195"/>
    </row>
    <row r="130" spans="1:47">
      <c r="A130" s="253"/>
      <c r="B130" s="230"/>
      <c r="C130" s="245"/>
      <c r="D130" s="230"/>
      <c r="E130" s="230"/>
      <c r="F130" s="230"/>
      <c r="G130" s="228"/>
      <c r="H130" s="230"/>
      <c r="I130" s="230"/>
      <c r="J130" s="246"/>
      <c r="K130" s="230"/>
      <c r="L130" s="230"/>
      <c r="M130" s="230"/>
      <c r="N130" s="230"/>
      <c r="O130" s="230"/>
      <c r="P130" s="256"/>
      <c r="Q130" s="257"/>
      <c r="R130" s="228"/>
      <c r="S130" s="228"/>
      <c r="T130" s="245"/>
      <c r="U130" s="254"/>
      <c r="V130" s="254"/>
      <c r="W130" s="228"/>
      <c r="X130" s="255"/>
      <c r="Y130" s="248"/>
      <c r="Z130" s="248"/>
      <c r="AA130" s="228"/>
      <c r="AB130" s="228"/>
      <c r="AC130" s="228"/>
      <c r="AD130" s="228"/>
      <c r="AE130" s="248"/>
      <c r="AF130" s="247"/>
      <c r="AG130" s="228"/>
      <c r="AH130" s="228"/>
      <c r="AI130" s="248"/>
      <c r="AJ130" s="248"/>
      <c r="AK130" s="194"/>
      <c r="AL130" s="249"/>
      <c r="AM130" s="250"/>
      <c r="AN130" s="251"/>
      <c r="AO130" s="252"/>
      <c r="AP130" s="241"/>
      <c r="AQ130" s="241"/>
      <c r="AR130" s="241"/>
      <c r="AS130" s="194"/>
      <c r="AT130" s="195"/>
      <c r="AU130" s="195"/>
    </row>
    <row r="131" spans="1:47">
      <c r="A131" s="253"/>
      <c r="B131" s="230"/>
      <c r="C131" s="245"/>
      <c r="D131" s="230"/>
      <c r="E131" s="230"/>
      <c r="F131" s="230"/>
      <c r="G131" s="228"/>
      <c r="H131" s="230"/>
      <c r="I131" s="230"/>
      <c r="J131" s="246"/>
      <c r="K131" s="230"/>
      <c r="L131" s="230"/>
      <c r="M131" s="230"/>
      <c r="N131" s="230"/>
      <c r="O131" s="230"/>
      <c r="P131" s="256"/>
      <c r="Q131" s="257"/>
      <c r="R131" s="228"/>
      <c r="S131" s="228"/>
      <c r="T131" s="245"/>
      <c r="U131" s="254"/>
      <c r="V131" s="254"/>
      <c r="W131" s="228"/>
      <c r="X131" s="255"/>
      <c r="Y131" s="248"/>
      <c r="Z131" s="248"/>
      <c r="AA131" s="228"/>
      <c r="AB131" s="228"/>
      <c r="AC131" s="228"/>
      <c r="AD131" s="228"/>
      <c r="AE131" s="248"/>
      <c r="AF131" s="247"/>
      <c r="AG131" s="228"/>
      <c r="AH131" s="228"/>
      <c r="AI131" s="248"/>
      <c r="AJ131" s="248"/>
      <c r="AK131" s="194"/>
      <c r="AL131" s="249"/>
      <c r="AM131" s="250"/>
      <c r="AN131" s="251"/>
      <c r="AO131" s="252"/>
      <c r="AP131" s="241"/>
      <c r="AQ131" s="241"/>
      <c r="AR131" s="241"/>
      <c r="AS131" s="194"/>
      <c r="AT131" s="195"/>
      <c r="AU131" s="195"/>
    </row>
    <row r="132" spans="1:47">
      <c r="A132" s="253"/>
      <c r="B132" s="230"/>
      <c r="C132" s="245"/>
      <c r="D132" s="230"/>
      <c r="E132" s="230"/>
      <c r="F132" s="230"/>
      <c r="G132" s="228"/>
      <c r="H132" s="230"/>
      <c r="I132" s="230"/>
      <c r="J132" s="246"/>
      <c r="K132" s="230"/>
      <c r="L132" s="230"/>
      <c r="M132" s="230"/>
      <c r="N132" s="230"/>
      <c r="O132" s="230"/>
      <c r="P132" s="256"/>
      <c r="Q132" s="257"/>
      <c r="R132" s="228"/>
      <c r="S132" s="228"/>
      <c r="T132" s="245"/>
      <c r="U132" s="254"/>
      <c r="V132" s="254"/>
      <c r="W132" s="228"/>
      <c r="X132" s="255"/>
      <c r="Y132" s="248"/>
      <c r="Z132" s="248"/>
      <c r="AA132" s="228"/>
      <c r="AB132" s="228"/>
      <c r="AC132" s="228"/>
      <c r="AD132" s="228"/>
      <c r="AE132" s="248"/>
      <c r="AF132" s="247"/>
      <c r="AG132" s="228"/>
      <c r="AH132" s="228"/>
      <c r="AI132" s="248"/>
      <c r="AJ132" s="248"/>
      <c r="AK132" s="194"/>
      <c r="AL132" s="249"/>
      <c r="AM132" s="250"/>
      <c r="AN132" s="251"/>
      <c r="AO132" s="252"/>
      <c r="AP132" s="241"/>
      <c r="AQ132" s="241"/>
      <c r="AR132" s="241"/>
      <c r="AS132" s="194"/>
      <c r="AT132" s="195"/>
      <c r="AU132" s="195"/>
    </row>
    <row r="133" spans="1:47">
      <c r="A133" s="253"/>
      <c r="B133" s="230"/>
      <c r="C133" s="245"/>
      <c r="D133" s="230"/>
      <c r="E133" s="230"/>
      <c r="F133" s="230"/>
      <c r="G133" s="228"/>
      <c r="H133" s="230"/>
      <c r="I133" s="230"/>
      <c r="J133" s="246"/>
      <c r="K133" s="230"/>
      <c r="L133" s="230"/>
      <c r="M133" s="230"/>
      <c r="N133" s="230"/>
      <c r="O133" s="230"/>
      <c r="P133" s="256"/>
      <c r="Q133" s="257"/>
      <c r="R133" s="228"/>
      <c r="S133" s="228"/>
      <c r="T133" s="245"/>
      <c r="U133" s="254"/>
      <c r="V133" s="254"/>
      <c r="W133" s="228"/>
      <c r="X133" s="255"/>
      <c r="Y133" s="248"/>
      <c r="Z133" s="248"/>
      <c r="AA133" s="228"/>
      <c r="AB133" s="228"/>
      <c r="AC133" s="228"/>
      <c r="AD133" s="228"/>
      <c r="AE133" s="248"/>
      <c r="AF133" s="247"/>
      <c r="AG133" s="228"/>
      <c r="AH133" s="228"/>
      <c r="AI133" s="248"/>
      <c r="AJ133" s="248"/>
      <c r="AK133" s="194"/>
      <c r="AL133" s="249"/>
      <c r="AM133" s="250"/>
      <c r="AN133" s="251"/>
      <c r="AO133" s="252"/>
      <c r="AP133" s="241"/>
      <c r="AQ133" s="241"/>
      <c r="AR133" s="241"/>
      <c r="AS133" s="194"/>
      <c r="AT133" s="195"/>
      <c r="AU133" s="195"/>
    </row>
    <row r="134" spans="1:47">
      <c r="A134" s="253"/>
      <c r="B134" s="230"/>
      <c r="C134" s="245"/>
      <c r="D134" s="230"/>
      <c r="E134" s="230"/>
      <c r="F134" s="230"/>
      <c r="G134" s="228"/>
      <c r="H134" s="230"/>
      <c r="I134" s="230"/>
      <c r="J134" s="246"/>
      <c r="K134" s="230"/>
      <c r="L134" s="230"/>
      <c r="M134" s="230"/>
      <c r="N134" s="230"/>
      <c r="O134" s="230"/>
      <c r="P134" s="256"/>
      <c r="Q134" s="257"/>
      <c r="R134" s="228"/>
      <c r="S134" s="228"/>
      <c r="T134" s="245"/>
      <c r="U134" s="254"/>
      <c r="V134" s="254"/>
      <c r="W134" s="228"/>
      <c r="X134" s="255"/>
      <c r="Y134" s="248"/>
      <c r="Z134" s="248"/>
      <c r="AA134" s="228"/>
      <c r="AB134" s="228"/>
      <c r="AC134" s="228"/>
      <c r="AD134" s="228"/>
      <c r="AE134" s="248"/>
      <c r="AF134" s="247"/>
      <c r="AG134" s="228"/>
      <c r="AH134" s="228"/>
      <c r="AI134" s="248"/>
      <c r="AJ134" s="248"/>
      <c r="AK134" s="194"/>
      <c r="AL134" s="249"/>
      <c r="AM134" s="250"/>
      <c r="AN134" s="251"/>
      <c r="AO134" s="252"/>
      <c r="AP134" s="241"/>
      <c r="AQ134" s="241"/>
      <c r="AR134" s="241"/>
      <c r="AS134" s="194"/>
      <c r="AT134" s="195"/>
      <c r="AU134" s="195"/>
    </row>
    <row r="135" spans="1:47">
      <c r="A135" s="253"/>
      <c r="B135" s="230"/>
      <c r="C135" s="245"/>
      <c r="D135" s="230"/>
      <c r="E135" s="230"/>
      <c r="F135" s="230"/>
      <c r="G135" s="228"/>
      <c r="H135" s="230"/>
      <c r="I135" s="230"/>
      <c r="J135" s="246"/>
      <c r="K135" s="230"/>
      <c r="L135" s="230"/>
      <c r="M135" s="230"/>
      <c r="N135" s="230"/>
      <c r="O135" s="230"/>
      <c r="P135" s="256"/>
      <c r="Q135" s="257"/>
      <c r="R135" s="228"/>
      <c r="S135" s="228"/>
      <c r="T135" s="245"/>
      <c r="U135" s="254"/>
      <c r="V135" s="254"/>
      <c r="W135" s="228"/>
      <c r="X135" s="255"/>
      <c r="Y135" s="248"/>
      <c r="Z135" s="248"/>
      <c r="AA135" s="228"/>
      <c r="AB135" s="228"/>
      <c r="AC135" s="228"/>
      <c r="AD135" s="228"/>
      <c r="AE135" s="248"/>
      <c r="AF135" s="247"/>
      <c r="AG135" s="228"/>
      <c r="AH135" s="228"/>
      <c r="AI135" s="248"/>
      <c r="AJ135" s="248"/>
      <c r="AK135" s="194"/>
      <c r="AL135" s="249"/>
      <c r="AM135" s="250"/>
      <c r="AN135" s="251"/>
      <c r="AO135" s="252"/>
      <c r="AP135" s="241"/>
      <c r="AQ135" s="241"/>
      <c r="AR135" s="241"/>
      <c r="AS135" s="194"/>
      <c r="AT135" s="195"/>
      <c r="AU135" s="195"/>
    </row>
    <row r="136" spans="1:47">
      <c r="A136" s="253"/>
      <c r="B136" s="230"/>
      <c r="C136" s="245"/>
      <c r="D136" s="230"/>
      <c r="E136" s="230"/>
      <c r="F136" s="230"/>
      <c r="G136" s="228"/>
      <c r="H136" s="230"/>
      <c r="I136" s="230"/>
      <c r="J136" s="246"/>
      <c r="K136" s="230"/>
      <c r="L136" s="230"/>
      <c r="M136" s="230"/>
      <c r="N136" s="230"/>
      <c r="O136" s="230"/>
      <c r="P136" s="256"/>
      <c r="Q136" s="257"/>
      <c r="R136" s="228"/>
      <c r="S136" s="228"/>
      <c r="T136" s="245"/>
      <c r="U136" s="254"/>
      <c r="V136" s="254"/>
      <c r="W136" s="228"/>
      <c r="X136" s="255"/>
      <c r="Y136" s="248"/>
      <c r="Z136" s="248"/>
      <c r="AA136" s="228"/>
      <c r="AB136" s="228"/>
      <c r="AC136" s="228"/>
      <c r="AD136" s="228"/>
      <c r="AE136" s="248"/>
      <c r="AF136" s="247"/>
      <c r="AG136" s="228"/>
      <c r="AH136" s="228"/>
      <c r="AI136" s="248"/>
      <c r="AJ136" s="248"/>
      <c r="AK136" s="194"/>
      <c r="AL136" s="249"/>
      <c r="AM136" s="250"/>
      <c r="AN136" s="251"/>
      <c r="AO136" s="252"/>
      <c r="AP136" s="241"/>
      <c r="AQ136" s="241"/>
      <c r="AR136" s="241"/>
      <c r="AS136" s="194"/>
      <c r="AT136" s="195"/>
      <c r="AU136" s="195"/>
    </row>
    <row r="137" spans="1:47">
      <c r="A137" s="253"/>
      <c r="B137" s="230"/>
      <c r="C137" s="245"/>
      <c r="D137" s="230"/>
      <c r="E137" s="230"/>
      <c r="F137" s="230"/>
      <c r="G137" s="228"/>
      <c r="H137" s="230"/>
      <c r="I137" s="230"/>
      <c r="J137" s="246"/>
      <c r="K137" s="230"/>
      <c r="L137" s="230"/>
      <c r="M137" s="230"/>
      <c r="N137" s="230"/>
      <c r="O137" s="230"/>
      <c r="P137" s="256"/>
      <c r="Q137" s="257"/>
      <c r="R137" s="228"/>
      <c r="S137" s="228"/>
      <c r="T137" s="245"/>
      <c r="U137" s="254"/>
      <c r="V137" s="254"/>
      <c r="W137" s="228"/>
      <c r="X137" s="255"/>
      <c r="Y137" s="248"/>
      <c r="Z137" s="248"/>
      <c r="AA137" s="228"/>
      <c r="AB137" s="228"/>
      <c r="AC137" s="228"/>
      <c r="AD137" s="228"/>
      <c r="AE137" s="248"/>
      <c r="AF137" s="247"/>
      <c r="AG137" s="228"/>
      <c r="AH137" s="228"/>
      <c r="AI137" s="248"/>
      <c r="AJ137" s="248"/>
      <c r="AK137" s="194"/>
      <c r="AL137" s="249"/>
      <c r="AM137" s="250"/>
      <c r="AN137" s="251"/>
      <c r="AO137" s="252"/>
      <c r="AP137" s="241"/>
      <c r="AQ137" s="241"/>
      <c r="AR137" s="241"/>
      <c r="AS137" s="194"/>
      <c r="AT137" s="195"/>
      <c r="AU137" s="195"/>
    </row>
    <row r="138" spans="1:47">
      <c r="A138" s="253"/>
      <c r="B138" s="230"/>
      <c r="C138" s="245"/>
      <c r="D138" s="230"/>
      <c r="E138" s="230"/>
      <c r="F138" s="230"/>
      <c r="G138" s="228"/>
      <c r="H138" s="230"/>
      <c r="I138" s="230"/>
      <c r="J138" s="246"/>
      <c r="K138" s="230"/>
      <c r="L138" s="230"/>
      <c r="M138" s="230"/>
      <c r="N138" s="230"/>
      <c r="O138" s="230"/>
      <c r="P138" s="256"/>
      <c r="Q138" s="257"/>
      <c r="R138" s="228"/>
      <c r="S138" s="228"/>
      <c r="T138" s="245"/>
      <c r="U138" s="254"/>
      <c r="V138" s="254"/>
      <c r="W138" s="228"/>
      <c r="X138" s="255"/>
      <c r="Y138" s="248"/>
      <c r="Z138" s="248"/>
      <c r="AA138" s="228"/>
      <c r="AB138" s="228"/>
      <c r="AC138" s="228"/>
      <c r="AD138" s="228"/>
      <c r="AE138" s="248"/>
      <c r="AF138" s="247"/>
      <c r="AG138" s="228"/>
      <c r="AH138" s="228"/>
      <c r="AI138" s="248"/>
      <c r="AJ138" s="248"/>
      <c r="AK138" s="194"/>
      <c r="AL138" s="249"/>
      <c r="AM138" s="250"/>
      <c r="AN138" s="251"/>
      <c r="AO138" s="252"/>
      <c r="AP138" s="241"/>
      <c r="AQ138" s="241"/>
      <c r="AR138" s="241"/>
      <c r="AS138" s="194"/>
      <c r="AT138" s="195"/>
      <c r="AU138" s="195"/>
    </row>
    <row r="139" spans="1:47">
      <c r="A139" s="253"/>
      <c r="B139" s="230"/>
      <c r="C139" s="245"/>
      <c r="D139" s="230"/>
      <c r="E139" s="230"/>
      <c r="F139" s="230"/>
      <c r="G139" s="228"/>
      <c r="H139" s="230"/>
      <c r="I139" s="230"/>
      <c r="J139" s="246"/>
      <c r="K139" s="230"/>
      <c r="L139" s="230"/>
      <c r="M139" s="230"/>
      <c r="N139" s="230"/>
      <c r="O139" s="230"/>
      <c r="P139" s="256"/>
      <c r="Q139" s="257"/>
      <c r="R139" s="228"/>
      <c r="S139" s="228"/>
      <c r="T139" s="245"/>
      <c r="U139" s="254"/>
      <c r="V139" s="254"/>
      <c r="W139" s="228"/>
      <c r="X139" s="255"/>
      <c r="Y139" s="248"/>
      <c r="Z139" s="248"/>
      <c r="AA139" s="228"/>
      <c r="AB139" s="228"/>
      <c r="AC139" s="228"/>
      <c r="AD139" s="228"/>
      <c r="AE139" s="248"/>
      <c r="AF139" s="247"/>
      <c r="AG139" s="228"/>
      <c r="AH139" s="228"/>
      <c r="AI139" s="248"/>
      <c r="AJ139" s="248"/>
      <c r="AK139" s="194"/>
      <c r="AL139" s="249"/>
      <c r="AM139" s="250"/>
      <c r="AN139" s="251"/>
      <c r="AO139" s="252"/>
      <c r="AP139" s="241"/>
      <c r="AQ139" s="241"/>
      <c r="AR139" s="241"/>
      <c r="AS139" s="194"/>
      <c r="AT139" s="195"/>
      <c r="AU139" s="195"/>
    </row>
    <row r="140" spans="1:47">
      <c r="A140" s="253"/>
      <c r="B140" s="230"/>
      <c r="C140" s="245"/>
      <c r="D140" s="230"/>
      <c r="E140" s="230"/>
      <c r="F140" s="230"/>
      <c r="G140" s="228"/>
      <c r="H140" s="230"/>
      <c r="I140" s="230"/>
      <c r="J140" s="246"/>
      <c r="K140" s="230"/>
      <c r="L140" s="230"/>
      <c r="M140" s="230"/>
      <c r="N140" s="230"/>
      <c r="O140" s="230"/>
      <c r="P140" s="256"/>
      <c r="Q140" s="257"/>
      <c r="R140" s="228"/>
      <c r="S140" s="228"/>
      <c r="T140" s="245"/>
      <c r="U140" s="254"/>
      <c r="V140" s="254"/>
      <c r="W140" s="228"/>
      <c r="X140" s="255"/>
      <c r="Y140" s="248"/>
      <c r="Z140" s="248"/>
      <c r="AA140" s="228"/>
      <c r="AB140" s="228"/>
      <c r="AC140" s="228"/>
      <c r="AD140" s="228"/>
      <c r="AE140" s="248"/>
      <c r="AF140" s="247"/>
      <c r="AG140" s="228"/>
      <c r="AH140" s="228"/>
      <c r="AI140" s="248"/>
      <c r="AJ140" s="248"/>
      <c r="AK140" s="194"/>
      <c r="AL140" s="249"/>
      <c r="AM140" s="250"/>
      <c r="AN140" s="251"/>
      <c r="AO140" s="252"/>
      <c r="AP140" s="241"/>
      <c r="AQ140" s="241"/>
      <c r="AR140" s="241"/>
      <c r="AS140" s="194"/>
      <c r="AT140" s="195"/>
      <c r="AU140" s="195"/>
    </row>
    <row r="141" spans="1:47">
      <c r="A141" s="253"/>
      <c r="B141" s="230"/>
      <c r="C141" s="245"/>
      <c r="D141" s="230"/>
      <c r="E141" s="230"/>
      <c r="F141" s="230"/>
      <c r="G141" s="228"/>
      <c r="H141" s="230"/>
      <c r="I141" s="230"/>
      <c r="J141" s="246"/>
      <c r="K141" s="230"/>
      <c r="L141" s="230"/>
      <c r="M141" s="230"/>
      <c r="N141" s="230"/>
      <c r="O141" s="230"/>
      <c r="P141" s="256"/>
      <c r="Q141" s="257"/>
      <c r="R141" s="228"/>
      <c r="S141" s="228"/>
      <c r="T141" s="245"/>
      <c r="U141" s="254"/>
      <c r="V141" s="254"/>
      <c r="W141" s="228"/>
      <c r="X141" s="255"/>
      <c r="Y141" s="248"/>
      <c r="Z141" s="248"/>
      <c r="AA141" s="228"/>
      <c r="AB141" s="228"/>
      <c r="AC141" s="228"/>
      <c r="AD141" s="228"/>
      <c r="AE141" s="248"/>
      <c r="AF141" s="247"/>
      <c r="AG141" s="228"/>
      <c r="AH141" s="228"/>
      <c r="AI141" s="248"/>
      <c r="AJ141" s="248"/>
      <c r="AK141" s="194"/>
      <c r="AL141" s="249"/>
      <c r="AM141" s="250"/>
      <c r="AN141" s="251"/>
      <c r="AO141" s="252"/>
      <c r="AP141" s="241"/>
      <c r="AQ141" s="241"/>
      <c r="AR141" s="241"/>
      <c r="AS141" s="194"/>
      <c r="AT141" s="195"/>
      <c r="AU141" s="195"/>
    </row>
    <row r="142" spans="1:47">
      <c r="A142" s="253"/>
      <c r="B142" s="230"/>
      <c r="C142" s="245"/>
      <c r="D142" s="230"/>
      <c r="E142" s="230"/>
      <c r="F142" s="230"/>
      <c r="G142" s="228"/>
      <c r="H142" s="230"/>
      <c r="I142" s="230"/>
      <c r="J142" s="246"/>
      <c r="K142" s="230"/>
      <c r="L142" s="230"/>
      <c r="M142" s="230"/>
      <c r="N142" s="230"/>
      <c r="O142" s="230"/>
      <c r="P142" s="256"/>
      <c r="Q142" s="257"/>
      <c r="R142" s="228"/>
      <c r="S142" s="228"/>
      <c r="T142" s="245"/>
      <c r="U142" s="254"/>
      <c r="V142" s="254"/>
      <c r="W142" s="228"/>
      <c r="X142" s="255"/>
      <c r="Y142" s="248"/>
      <c r="Z142" s="248"/>
      <c r="AA142" s="228"/>
      <c r="AB142" s="228"/>
      <c r="AC142" s="228"/>
      <c r="AD142" s="228"/>
      <c r="AE142" s="248"/>
      <c r="AF142" s="247"/>
      <c r="AG142" s="228"/>
      <c r="AH142" s="228"/>
      <c r="AI142" s="248"/>
      <c r="AJ142" s="248"/>
      <c r="AK142" s="194"/>
      <c r="AL142" s="249"/>
      <c r="AM142" s="250"/>
      <c r="AN142" s="251"/>
      <c r="AO142" s="252"/>
      <c r="AP142" s="241"/>
      <c r="AQ142" s="241"/>
      <c r="AR142" s="241"/>
      <c r="AS142" s="194"/>
      <c r="AT142" s="195"/>
      <c r="AU142" s="195"/>
    </row>
    <row r="143" spans="1:47">
      <c r="A143" s="253"/>
      <c r="B143" s="230"/>
      <c r="C143" s="245"/>
      <c r="D143" s="230"/>
      <c r="E143" s="230"/>
      <c r="F143" s="230"/>
      <c r="G143" s="228"/>
      <c r="H143" s="230"/>
      <c r="I143" s="230"/>
      <c r="J143" s="246"/>
      <c r="K143" s="230"/>
      <c r="L143" s="230"/>
      <c r="M143" s="230"/>
      <c r="N143" s="230"/>
      <c r="O143" s="230"/>
      <c r="P143" s="256"/>
      <c r="Q143" s="257"/>
      <c r="R143" s="228"/>
      <c r="S143" s="228"/>
      <c r="T143" s="245"/>
      <c r="U143" s="254"/>
      <c r="V143" s="254"/>
      <c r="W143" s="228"/>
      <c r="X143" s="255"/>
      <c r="Y143" s="248"/>
      <c r="Z143" s="248"/>
      <c r="AA143" s="228"/>
      <c r="AB143" s="228"/>
      <c r="AC143" s="228"/>
      <c r="AD143" s="228"/>
      <c r="AE143" s="248"/>
      <c r="AF143" s="247"/>
      <c r="AG143" s="228"/>
      <c r="AH143" s="228"/>
      <c r="AI143" s="248"/>
      <c r="AJ143" s="248"/>
      <c r="AK143" s="194"/>
      <c r="AL143" s="249"/>
      <c r="AM143" s="250"/>
      <c r="AN143" s="251"/>
      <c r="AO143" s="252"/>
      <c r="AP143" s="241"/>
      <c r="AQ143" s="241"/>
      <c r="AR143" s="241"/>
      <c r="AS143" s="194"/>
      <c r="AT143" s="195"/>
      <c r="AU143" s="195"/>
    </row>
    <row r="144" spans="1:47">
      <c r="A144" s="253"/>
      <c r="B144" s="230"/>
      <c r="C144" s="245"/>
      <c r="D144" s="230"/>
      <c r="E144" s="230"/>
      <c r="F144" s="230"/>
      <c r="G144" s="228"/>
      <c r="H144" s="230"/>
      <c r="I144" s="230"/>
      <c r="J144" s="246"/>
      <c r="K144" s="230"/>
      <c r="L144" s="230"/>
      <c r="M144" s="230"/>
      <c r="N144" s="230"/>
      <c r="O144" s="230"/>
      <c r="P144" s="256"/>
      <c r="Q144" s="257"/>
      <c r="R144" s="228"/>
      <c r="S144" s="228"/>
      <c r="T144" s="245"/>
      <c r="U144" s="254"/>
      <c r="V144" s="254"/>
      <c r="W144" s="228"/>
      <c r="X144" s="255"/>
      <c r="Y144" s="248"/>
      <c r="Z144" s="248"/>
      <c r="AA144" s="228"/>
      <c r="AB144" s="228"/>
      <c r="AC144" s="228"/>
      <c r="AD144" s="228"/>
      <c r="AE144" s="248"/>
      <c r="AF144" s="247"/>
      <c r="AG144" s="228"/>
      <c r="AH144" s="228"/>
      <c r="AI144" s="248"/>
      <c r="AJ144" s="248"/>
      <c r="AK144" s="194"/>
      <c r="AL144" s="249"/>
      <c r="AM144" s="250"/>
      <c r="AN144" s="251"/>
      <c r="AO144" s="252"/>
      <c r="AP144" s="241"/>
      <c r="AQ144" s="241"/>
      <c r="AR144" s="241"/>
      <c r="AS144" s="194"/>
      <c r="AT144" s="195"/>
      <c r="AU144" s="195"/>
    </row>
    <row r="145" spans="1:47">
      <c r="A145" s="253"/>
      <c r="B145" s="230"/>
      <c r="C145" s="245"/>
      <c r="D145" s="230"/>
      <c r="E145" s="230"/>
      <c r="F145" s="230"/>
      <c r="G145" s="228"/>
      <c r="H145" s="230"/>
      <c r="I145" s="230"/>
      <c r="J145" s="246"/>
      <c r="K145" s="230"/>
      <c r="L145" s="230"/>
      <c r="M145" s="230"/>
      <c r="N145" s="230"/>
      <c r="O145" s="230"/>
      <c r="P145" s="256"/>
      <c r="Q145" s="257"/>
      <c r="R145" s="228"/>
      <c r="S145" s="228"/>
      <c r="T145" s="245"/>
      <c r="U145" s="254"/>
      <c r="V145" s="254"/>
      <c r="W145" s="228"/>
      <c r="X145" s="255"/>
      <c r="Y145" s="248"/>
      <c r="Z145" s="248"/>
      <c r="AA145" s="228"/>
      <c r="AB145" s="228"/>
      <c r="AC145" s="228"/>
      <c r="AD145" s="228"/>
      <c r="AE145" s="248"/>
      <c r="AF145" s="247"/>
      <c r="AG145" s="228"/>
      <c r="AH145" s="228"/>
      <c r="AI145" s="248"/>
      <c r="AJ145" s="248"/>
      <c r="AK145" s="194"/>
      <c r="AL145" s="249"/>
      <c r="AM145" s="250"/>
      <c r="AN145" s="251"/>
      <c r="AO145" s="252"/>
      <c r="AP145" s="241"/>
      <c r="AQ145" s="241"/>
      <c r="AR145" s="241"/>
      <c r="AS145" s="194"/>
      <c r="AT145" s="195"/>
      <c r="AU145" s="195"/>
    </row>
    <row r="146" spans="1:47">
      <c r="A146" s="253"/>
      <c r="B146" s="230"/>
      <c r="C146" s="245"/>
      <c r="D146" s="230"/>
      <c r="E146" s="230"/>
      <c r="F146" s="230"/>
      <c r="G146" s="228"/>
      <c r="H146" s="230"/>
      <c r="I146" s="230"/>
      <c r="J146" s="246"/>
      <c r="K146" s="230"/>
      <c r="L146" s="230"/>
      <c r="M146" s="230"/>
      <c r="N146" s="230"/>
      <c r="O146" s="230"/>
      <c r="P146" s="256"/>
      <c r="Q146" s="257"/>
      <c r="R146" s="228"/>
      <c r="S146" s="228"/>
      <c r="T146" s="245"/>
      <c r="U146" s="254"/>
      <c r="V146" s="254"/>
      <c r="W146" s="228"/>
      <c r="X146" s="255"/>
      <c r="Y146" s="248"/>
      <c r="Z146" s="248"/>
      <c r="AA146" s="228"/>
      <c r="AB146" s="228"/>
      <c r="AC146" s="228"/>
      <c r="AD146" s="228"/>
      <c r="AE146" s="248"/>
      <c r="AF146" s="247"/>
      <c r="AG146" s="228"/>
      <c r="AH146" s="228"/>
      <c r="AI146" s="248"/>
      <c r="AJ146" s="248"/>
      <c r="AK146" s="194"/>
      <c r="AL146" s="249"/>
      <c r="AM146" s="250"/>
      <c r="AN146" s="251"/>
      <c r="AO146" s="252"/>
      <c r="AP146" s="241"/>
      <c r="AQ146" s="241"/>
      <c r="AR146" s="241"/>
      <c r="AS146" s="194"/>
      <c r="AT146" s="195"/>
      <c r="AU146" s="195"/>
    </row>
    <row r="147" spans="1:47">
      <c r="A147" s="253"/>
      <c r="B147" s="230"/>
      <c r="C147" s="245"/>
      <c r="D147" s="230"/>
      <c r="E147" s="230"/>
      <c r="F147" s="230"/>
      <c r="G147" s="228"/>
      <c r="H147" s="230"/>
      <c r="I147" s="230"/>
      <c r="J147" s="246"/>
      <c r="K147" s="230"/>
      <c r="L147" s="230"/>
      <c r="M147" s="230"/>
      <c r="N147" s="230"/>
      <c r="O147" s="230"/>
      <c r="P147" s="256"/>
      <c r="Q147" s="257"/>
      <c r="R147" s="228"/>
      <c r="S147" s="228"/>
      <c r="T147" s="245"/>
      <c r="U147" s="254"/>
      <c r="V147" s="254"/>
      <c r="W147" s="228"/>
      <c r="X147" s="255"/>
      <c r="Y147" s="248"/>
      <c r="Z147" s="248"/>
      <c r="AA147" s="228"/>
      <c r="AB147" s="228"/>
      <c r="AC147" s="228"/>
      <c r="AD147" s="228"/>
      <c r="AE147" s="248"/>
      <c r="AF147" s="247"/>
      <c r="AG147" s="228"/>
      <c r="AH147" s="228"/>
      <c r="AI147" s="248"/>
      <c r="AJ147" s="248"/>
      <c r="AK147" s="194"/>
      <c r="AL147" s="249"/>
      <c r="AM147" s="250"/>
      <c r="AN147" s="251"/>
      <c r="AO147" s="252"/>
      <c r="AP147" s="241"/>
      <c r="AQ147" s="241"/>
      <c r="AR147" s="241"/>
      <c r="AS147" s="194"/>
      <c r="AT147" s="195"/>
      <c r="AU147" s="195"/>
    </row>
    <row r="148" spans="1:47">
      <c r="A148" s="253"/>
      <c r="B148" s="230"/>
      <c r="C148" s="245"/>
      <c r="D148" s="230"/>
      <c r="E148" s="230"/>
      <c r="F148" s="230"/>
      <c r="G148" s="228"/>
      <c r="H148" s="230"/>
      <c r="I148" s="230"/>
      <c r="J148" s="246"/>
      <c r="K148" s="230"/>
      <c r="L148" s="230"/>
      <c r="M148" s="230"/>
      <c r="N148" s="230"/>
      <c r="O148" s="230"/>
      <c r="P148" s="256"/>
      <c r="Q148" s="257"/>
      <c r="R148" s="228"/>
      <c r="S148" s="228"/>
      <c r="T148" s="245"/>
      <c r="U148" s="254"/>
      <c r="V148" s="254"/>
      <c r="W148" s="228"/>
      <c r="X148" s="255"/>
      <c r="Y148" s="248"/>
      <c r="Z148" s="248"/>
      <c r="AA148" s="228"/>
      <c r="AB148" s="228"/>
      <c r="AC148" s="228"/>
      <c r="AD148" s="228"/>
      <c r="AE148" s="248"/>
      <c r="AF148" s="247"/>
      <c r="AG148" s="228"/>
      <c r="AH148" s="228"/>
      <c r="AI148" s="248"/>
      <c r="AJ148" s="248"/>
      <c r="AK148" s="194"/>
      <c r="AL148" s="249"/>
      <c r="AM148" s="250"/>
      <c r="AN148" s="251"/>
      <c r="AO148" s="252"/>
      <c r="AP148" s="241"/>
      <c r="AQ148" s="241"/>
      <c r="AR148" s="241"/>
      <c r="AS148" s="194"/>
      <c r="AT148" s="195"/>
      <c r="AU148" s="195"/>
    </row>
    <row r="149" spans="1:47">
      <c r="A149" s="253"/>
      <c r="B149" s="230"/>
      <c r="C149" s="245"/>
      <c r="D149" s="230"/>
      <c r="E149" s="230"/>
      <c r="F149" s="230"/>
      <c r="G149" s="228"/>
      <c r="H149" s="230"/>
      <c r="I149" s="230"/>
      <c r="J149" s="246"/>
      <c r="K149" s="230"/>
      <c r="L149" s="230"/>
      <c r="M149" s="230"/>
      <c r="N149" s="230"/>
      <c r="O149" s="230"/>
      <c r="P149" s="256"/>
      <c r="Q149" s="257"/>
      <c r="R149" s="228"/>
      <c r="S149" s="228"/>
      <c r="T149" s="245"/>
      <c r="U149" s="254"/>
      <c r="V149" s="254"/>
      <c r="W149" s="228"/>
      <c r="X149" s="255"/>
      <c r="Y149" s="248"/>
      <c r="Z149" s="248"/>
      <c r="AA149" s="228"/>
      <c r="AB149" s="228"/>
      <c r="AC149" s="228"/>
      <c r="AD149" s="228"/>
      <c r="AE149" s="248"/>
      <c r="AF149" s="247"/>
      <c r="AG149" s="228"/>
      <c r="AH149" s="228"/>
      <c r="AI149" s="248"/>
      <c r="AJ149" s="248"/>
      <c r="AK149" s="194"/>
      <c r="AL149" s="249"/>
      <c r="AM149" s="250"/>
      <c r="AN149" s="251"/>
      <c r="AO149" s="252"/>
      <c r="AP149" s="241"/>
      <c r="AQ149" s="241"/>
      <c r="AR149" s="241"/>
      <c r="AS149" s="194"/>
      <c r="AT149" s="195"/>
      <c r="AU149" s="195"/>
    </row>
    <row r="150" spans="1:47">
      <c r="A150" s="253"/>
      <c r="B150" s="230"/>
      <c r="C150" s="245"/>
      <c r="D150" s="230"/>
      <c r="E150" s="230"/>
      <c r="F150" s="230"/>
      <c r="G150" s="228"/>
      <c r="H150" s="230"/>
      <c r="I150" s="230"/>
      <c r="J150" s="246"/>
      <c r="K150" s="230"/>
      <c r="L150" s="230"/>
      <c r="M150" s="230"/>
      <c r="N150" s="230"/>
      <c r="O150" s="230"/>
      <c r="P150" s="256"/>
      <c r="Q150" s="257"/>
      <c r="R150" s="228"/>
      <c r="S150" s="228"/>
      <c r="T150" s="245"/>
      <c r="U150" s="254"/>
      <c r="V150" s="254"/>
      <c r="W150" s="228"/>
      <c r="X150" s="255"/>
      <c r="Y150" s="248"/>
      <c r="Z150" s="248"/>
      <c r="AA150" s="228"/>
      <c r="AB150" s="228"/>
      <c r="AC150" s="228"/>
      <c r="AD150" s="228"/>
      <c r="AE150" s="248"/>
      <c r="AF150" s="247"/>
      <c r="AG150" s="228"/>
      <c r="AH150" s="228"/>
      <c r="AI150" s="248"/>
      <c r="AJ150" s="248"/>
      <c r="AK150" s="194"/>
      <c r="AL150" s="249"/>
      <c r="AM150" s="250"/>
      <c r="AN150" s="251"/>
      <c r="AO150" s="252"/>
      <c r="AP150" s="241"/>
      <c r="AQ150" s="241"/>
      <c r="AR150" s="241"/>
      <c r="AS150" s="194"/>
      <c r="AT150" s="195"/>
      <c r="AU150" s="195"/>
    </row>
    <row r="151" spans="1:47">
      <c r="A151" s="253"/>
      <c r="B151" s="230"/>
      <c r="C151" s="245"/>
      <c r="D151" s="230"/>
      <c r="E151" s="230"/>
      <c r="F151" s="230"/>
      <c r="G151" s="228"/>
      <c r="H151" s="230"/>
      <c r="I151" s="230"/>
      <c r="J151" s="246"/>
      <c r="K151" s="230"/>
      <c r="L151" s="230"/>
      <c r="M151" s="230"/>
      <c r="N151" s="230"/>
      <c r="O151" s="230"/>
      <c r="P151" s="256"/>
      <c r="Q151" s="257"/>
      <c r="R151" s="228"/>
      <c r="S151" s="228"/>
      <c r="T151" s="245"/>
      <c r="U151" s="254"/>
      <c r="V151" s="254"/>
      <c r="W151" s="228"/>
      <c r="X151" s="255"/>
      <c r="Y151" s="248"/>
      <c r="Z151" s="248"/>
      <c r="AA151" s="228"/>
      <c r="AB151" s="228"/>
      <c r="AC151" s="228"/>
      <c r="AD151" s="228"/>
      <c r="AE151" s="248"/>
      <c r="AF151" s="247"/>
      <c r="AG151" s="228"/>
      <c r="AH151" s="228"/>
      <c r="AI151" s="248"/>
      <c r="AJ151" s="248"/>
      <c r="AK151" s="194"/>
      <c r="AL151" s="249"/>
      <c r="AM151" s="250"/>
      <c r="AN151" s="251"/>
      <c r="AO151" s="252"/>
      <c r="AP151" s="241"/>
      <c r="AQ151" s="241"/>
      <c r="AR151" s="241"/>
      <c r="AS151" s="194"/>
      <c r="AT151" s="195"/>
      <c r="AU151" s="195"/>
    </row>
    <row r="152" spans="1:47">
      <c r="A152" s="253"/>
      <c r="B152" s="230"/>
      <c r="C152" s="245"/>
      <c r="D152" s="230"/>
      <c r="E152" s="230"/>
      <c r="F152" s="230"/>
      <c r="G152" s="228"/>
      <c r="H152" s="230"/>
      <c r="I152" s="230"/>
      <c r="J152" s="246"/>
      <c r="K152" s="230"/>
      <c r="L152" s="230"/>
      <c r="M152" s="230"/>
      <c r="N152" s="230"/>
      <c r="O152" s="230"/>
      <c r="P152" s="256"/>
      <c r="Q152" s="257"/>
      <c r="R152" s="228"/>
      <c r="S152" s="228"/>
      <c r="T152" s="245"/>
      <c r="U152" s="254"/>
      <c r="V152" s="254"/>
      <c r="W152" s="228"/>
      <c r="X152" s="255"/>
      <c r="Y152" s="248"/>
      <c r="Z152" s="248"/>
      <c r="AA152" s="228"/>
      <c r="AB152" s="228"/>
      <c r="AC152" s="228"/>
      <c r="AD152" s="228"/>
      <c r="AE152" s="248"/>
      <c r="AF152" s="247"/>
      <c r="AG152" s="228"/>
      <c r="AH152" s="228"/>
      <c r="AI152" s="248"/>
      <c r="AJ152" s="248"/>
      <c r="AK152" s="194"/>
      <c r="AL152" s="249"/>
      <c r="AM152" s="250"/>
      <c r="AN152" s="251"/>
      <c r="AO152" s="252"/>
      <c r="AP152" s="241"/>
      <c r="AQ152" s="241"/>
      <c r="AR152" s="241"/>
      <c r="AS152" s="194"/>
      <c r="AT152" s="195"/>
      <c r="AU152" s="195"/>
    </row>
    <row r="153" spans="1:47">
      <c r="A153" s="253"/>
      <c r="B153" s="230"/>
      <c r="C153" s="245"/>
      <c r="D153" s="230"/>
      <c r="E153" s="230"/>
      <c r="F153" s="230"/>
      <c r="G153" s="228"/>
      <c r="H153" s="230"/>
      <c r="I153" s="230"/>
      <c r="J153" s="246"/>
      <c r="K153" s="230"/>
      <c r="L153" s="230"/>
      <c r="M153" s="230"/>
      <c r="N153" s="230"/>
      <c r="O153" s="230"/>
      <c r="P153" s="256"/>
      <c r="Q153" s="257"/>
      <c r="R153" s="228"/>
      <c r="S153" s="228"/>
      <c r="T153" s="245"/>
      <c r="U153" s="254"/>
      <c r="V153" s="254"/>
      <c r="W153" s="228"/>
      <c r="X153" s="255"/>
      <c r="Y153" s="248"/>
      <c r="Z153" s="248"/>
      <c r="AA153" s="228"/>
      <c r="AB153" s="228"/>
      <c r="AC153" s="228"/>
      <c r="AD153" s="228"/>
      <c r="AE153" s="248"/>
      <c r="AF153" s="247"/>
      <c r="AG153" s="228"/>
      <c r="AH153" s="228"/>
      <c r="AI153" s="248"/>
      <c r="AJ153" s="248"/>
      <c r="AK153" s="194"/>
      <c r="AL153" s="249"/>
      <c r="AM153" s="250"/>
      <c r="AN153" s="251"/>
      <c r="AO153" s="252"/>
      <c r="AP153" s="241"/>
      <c r="AQ153" s="241"/>
      <c r="AR153" s="241"/>
      <c r="AS153" s="194"/>
      <c r="AT153" s="195"/>
      <c r="AU153" s="195"/>
    </row>
    <row r="154" spans="1:47">
      <c r="A154" s="253"/>
      <c r="B154" s="230"/>
      <c r="C154" s="245"/>
      <c r="D154" s="230"/>
      <c r="E154" s="230"/>
      <c r="F154" s="230"/>
      <c r="G154" s="228"/>
      <c r="H154" s="230"/>
      <c r="I154" s="230"/>
      <c r="J154" s="246"/>
      <c r="K154" s="230"/>
      <c r="L154" s="230"/>
      <c r="M154" s="230"/>
      <c r="N154" s="230"/>
      <c r="O154" s="230"/>
      <c r="P154" s="256"/>
      <c r="Q154" s="257"/>
      <c r="R154" s="228"/>
      <c r="S154" s="228"/>
      <c r="T154" s="245"/>
      <c r="U154" s="254"/>
      <c r="V154" s="254"/>
      <c r="W154" s="228"/>
      <c r="X154" s="255"/>
      <c r="Y154" s="248"/>
      <c r="Z154" s="248"/>
      <c r="AA154" s="228"/>
      <c r="AB154" s="228"/>
      <c r="AC154" s="228"/>
      <c r="AD154" s="228"/>
      <c r="AE154" s="248"/>
      <c r="AF154" s="247"/>
      <c r="AG154" s="228"/>
      <c r="AH154" s="228"/>
      <c r="AI154" s="248"/>
      <c r="AJ154" s="248"/>
      <c r="AK154" s="194"/>
      <c r="AL154" s="249"/>
      <c r="AM154" s="250"/>
      <c r="AN154" s="251"/>
      <c r="AO154" s="252"/>
      <c r="AP154" s="241"/>
      <c r="AQ154" s="241"/>
      <c r="AR154" s="241"/>
      <c r="AS154" s="194"/>
      <c r="AT154" s="195"/>
      <c r="AU154" s="195"/>
    </row>
    <row r="155" spans="1:47">
      <c r="A155" s="253"/>
      <c r="B155" s="230"/>
      <c r="C155" s="245"/>
      <c r="D155" s="230"/>
      <c r="E155" s="230"/>
      <c r="F155" s="230"/>
      <c r="G155" s="228"/>
      <c r="H155" s="230"/>
      <c r="I155" s="230"/>
      <c r="J155" s="246"/>
      <c r="K155" s="230"/>
      <c r="L155" s="230"/>
      <c r="M155" s="230"/>
      <c r="N155" s="230"/>
      <c r="O155" s="230"/>
      <c r="P155" s="256"/>
      <c r="Q155" s="257"/>
      <c r="R155" s="228"/>
      <c r="S155" s="228"/>
      <c r="T155" s="245"/>
      <c r="U155" s="254"/>
      <c r="V155" s="254"/>
      <c r="W155" s="228"/>
      <c r="X155" s="255"/>
      <c r="Y155" s="248"/>
      <c r="Z155" s="248"/>
      <c r="AA155" s="228"/>
      <c r="AB155" s="228"/>
      <c r="AC155" s="228"/>
      <c r="AD155" s="228"/>
      <c r="AE155" s="248"/>
      <c r="AF155" s="247"/>
      <c r="AG155" s="228"/>
      <c r="AH155" s="228"/>
      <c r="AI155" s="248"/>
      <c r="AJ155" s="248"/>
      <c r="AK155" s="194"/>
      <c r="AL155" s="249"/>
      <c r="AM155" s="250"/>
      <c r="AN155" s="251"/>
      <c r="AO155" s="252"/>
      <c r="AP155" s="241"/>
      <c r="AQ155" s="241"/>
      <c r="AR155" s="241"/>
      <c r="AS155" s="194"/>
      <c r="AT155" s="195"/>
      <c r="AU155" s="195"/>
    </row>
    <row r="156" spans="1:47">
      <c r="A156" s="253"/>
      <c r="B156" s="230"/>
      <c r="C156" s="245"/>
      <c r="D156" s="230"/>
      <c r="E156" s="230"/>
      <c r="F156" s="230"/>
      <c r="G156" s="228"/>
      <c r="H156" s="230"/>
      <c r="I156" s="230"/>
      <c r="J156" s="246"/>
      <c r="K156" s="230"/>
      <c r="L156" s="230"/>
      <c r="M156" s="230"/>
      <c r="N156" s="230"/>
      <c r="O156" s="230"/>
      <c r="P156" s="256"/>
      <c r="Q156" s="257"/>
      <c r="R156" s="228"/>
      <c r="S156" s="228"/>
      <c r="T156" s="245"/>
      <c r="U156" s="254"/>
      <c r="V156" s="254"/>
      <c r="W156" s="228"/>
      <c r="X156" s="255"/>
      <c r="Y156" s="248"/>
      <c r="Z156" s="248"/>
      <c r="AA156" s="228"/>
      <c r="AB156" s="228"/>
      <c r="AC156" s="228"/>
      <c r="AD156" s="228"/>
      <c r="AE156" s="248"/>
      <c r="AF156" s="247"/>
      <c r="AG156" s="228"/>
      <c r="AH156" s="228"/>
      <c r="AI156" s="248"/>
      <c r="AJ156" s="248"/>
      <c r="AK156" s="194"/>
      <c r="AL156" s="249"/>
      <c r="AM156" s="250"/>
      <c r="AN156" s="251"/>
      <c r="AO156" s="252"/>
      <c r="AP156" s="241"/>
      <c r="AQ156" s="241"/>
      <c r="AR156" s="241"/>
      <c r="AS156" s="194"/>
      <c r="AT156" s="195"/>
      <c r="AU156" s="195"/>
    </row>
    <row r="157" spans="1:47">
      <c r="A157" s="253"/>
      <c r="B157" s="230"/>
      <c r="C157" s="245"/>
      <c r="D157" s="230"/>
      <c r="E157" s="230"/>
      <c r="F157" s="230"/>
      <c r="G157" s="228"/>
      <c r="H157" s="230"/>
      <c r="I157" s="230"/>
      <c r="J157" s="246"/>
      <c r="K157" s="230"/>
      <c r="L157" s="230"/>
      <c r="M157" s="230"/>
      <c r="N157" s="230"/>
      <c r="O157" s="230"/>
      <c r="P157" s="256"/>
      <c r="Q157" s="257"/>
      <c r="R157" s="228"/>
      <c r="S157" s="228"/>
      <c r="T157" s="245"/>
      <c r="U157" s="254"/>
      <c r="V157" s="254"/>
      <c r="W157" s="228"/>
      <c r="X157" s="255"/>
      <c r="Y157" s="248"/>
      <c r="Z157" s="248"/>
      <c r="AA157" s="228"/>
      <c r="AB157" s="228"/>
      <c r="AC157" s="228"/>
      <c r="AD157" s="228"/>
      <c r="AE157" s="248"/>
      <c r="AF157" s="247"/>
      <c r="AG157" s="228"/>
      <c r="AH157" s="228"/>
      <c r="AI157" s="248"/>
      <c r="AJ157" s="248"/>
      <c r="AK157" s="194"/>
      <c r="AL157" s="249"/>
      <c r="AM157" s="250"/>
      <c r="AN157" s="251"/>
      <c r="AO157" s="252"/>
      <c r="AP157" s="241"/>
      <c r="AQ157" s="241"/>
      <c r="AR157" s="241"/>
      <c r="AS157" s="194"/>
      <c r="AT157" s="195"/>
      <c r="AU157" s="195"/>
    </row>
    <row r="158" spans="1:47">
      <c r="A158" s="253"/>
      <c r="B158" s="230"/>
      <c r="C158" s="245"/>
      <c r="D158" s="230"/>
      <c r="E158" s="230"/>
      <c r="F158" s="230"/>
      <c r="G158" s="228"/>
      <c r="H158" s="230"/>
      <c r="I158" s="230"/>
      <c r="J158" s="246"/>
      <c r="K158" s="230"/>
      <c r="L158" s="230"/>
      <c r="M158" s="230"/>
      <c r="N158" s="230"/>
      <c r="O158" s="230"/>
      <c r="P158" s="256"/>
      <c r="Q158" s="257"/>
      <c r="R158" s="228"/>
      <c r="S158" s="228"/>
      <c r="T158" s="245"/>
      <c r="U158" s="254"/>
      <c r="V158" s="254"/>
      <c r="W158" s="228"/>
      <c r="X158" s="255"/>
      <c r="Y158" s="248"/>
      <c r="Z158" s="248"/>
      <c r="AA158" s="228"/>
      <c r="AB158" s="228"/>
      <c r="AC158" s="228"/>
      <c r="AD158" s="228"/>
      <c r="AE158" s="248"/>
      <c r="AF158" s="247"/>
      <c r="AG158" s="228"/>
      <c r="AH158" s="228"/>
      <c r="AI158" s="248"/>
      <c r="AJ158" s="248"/>
      <c r="AK158" s="194"/>
      <c r="AL158" s="249"/>
      <c r="AM158" s="250"/>
      <c r="AN158" s="251"/>
      <c r="AO158" s="252"/>
      <c r="AP158" s="241"/>
      <c r="AQ158" s="241"/>
      <c r="AR158" s="241"/>
      <c r="AS158" s="194"/>
      <c r="AT158" s="195"/>
      <c r="AU158" s="195"/>
    </row>
    <row r="159" spans="1:47">
      <c r="A159" s="253"/>
      <c r="B159" s="230"/>
      <c r="C159" s="245"/>
      <c r="D159" s="230"/>
      <c r="E159" s="230"/>
      <c r="F159" s="230"/>
      <c r="G159" s="228"/>
      <c r="H159" s="230"/>
      <c r="I159" s="230"/>
      <c r="J159" s="246"/>
      <c r="K159" s="230"/>
      <c r="L159" s="230"/>
      <c r="M159" s="230"/>
      <c r="N159" s="230"/>
      <c r="O159" s="230"/>
      <c r="P159" s="256"/>
      <c r="Q159" s="257"/>
      <c r="R159" s="228"/>
      <c r="S159" s="228"/>
      <c r="T159" s="245"/>
      <c r="U159" s="254"/>
      <c r="V159" s="254"/>
      <c r="W159" s="228"/>
      <c r="X159" s="255"/>
      <c r="Y159" s="248"/>
      <c r="Z159" s="248"/>
      <c r="AA159" s="228"/>
      <c r="AB159" s="228"/>
      <c r="AC159" s="228"/>
      <c r="AD159" s="228"/>
      <c r="AE159" s="248"/>
      <c r="AF159" s="247"/>
      <c r="AG159" s="228"/>
      <c r="AH159" s="228"/>
      <c r="AI159" s="248"/>
      <c r="AJ159" s="248"/>
      <c r="AK159" s="194"/>
      <c r="AL159" s="249"/>
      <c r="AM159" s="250"/>
      <c r="AN159" s="251"/>
      <c r="AO159" s="252"/>
      <c r="AP159" s="241"/>
      <c r="AQ159" s="241"/>
      <c r="AR159" s="241"/>
      <c r="AS159" s="194"/>
      <c r="AT159" s="195"/>
      <c r="AU159" s="195"/>
    </row>
    <row r="160" spans="1:47">
      <c r="A160" s="253"/>
      <c r="B160" s="230"/>
      <c r="C160" s="245"/>
      <c r="D160" s="230"/>
      <c r="E160" s="230"/>
      <c r="F160" s="230"/>
      <c r="G160" s="228"/>
      <c r="H160" s="230"/>
      <c r="I160" s="230"/>
      <c r="J160" s="246"/>
      <c r="K160" s="230"/>
      <c r="L160" s="230"/>
      <c r="M160" s="230"/>
      <c r="N160" s="230"/>
      <c r="O160" s="230"/>
      <c r="P160" s="256"/>
      <c r="Q160" s="257"/>
      <c r="R160" s="228"/>
      <c r="S160" s="228"/>
      <c r="T160" s="245"/>
      <c r="U160" s="254"/>
      <c r="V160" s="254"/>
      <c r="W160" s="228"/>
      <c r="X160" s="255"/>
      <c r="Y160" s="248"/>
      <c r="Z160" s="248"/>
      <c r="AA160" s="228"/>
      <c r="AB160" s="228"/>
      <c r="AC160" s="228"/>
      <c r="AD160" s="228"/>
      <c r="AE160" s="248"/>
      <c r="AF160" s="247"/>
      <c r="AG160" s="228"/>
      <c r="AH160" s="228"/>
      <c r="AI160" s="248"/>
      <c r="AJ160" s="248"/>
      <c r="AK160" s="194"/>
      <c r="AL160" s="249"/>
      <c r="AM160" s="250"/>
      <c r="AN160" s="251"/>
      <c r="AO160" s="252"/>
      <c r="AP160" s="241"/>
      <c r="AQ160" s="241"/>
      <c r="AR160" s="241"/>
      <c r="AS160" s="194"/>
      <c r="AT160" s="195"/>
      <c r="AU160" s="195"/>
    </row>
    <row r="161" spans="1:47">
      <c r="A161" s="253"/>
      <c r="B161" s="230"/>
      <c r="C161" s="245"/>
      <c r="D161" s="230"/>
      <c r="E161" s="230"/>
      <c r="F161" s="230"/>
      <c r="G161" s="228"/>
      <c r="H161" s="230"/>
      <c r="I161" s="230"/>
      <c r="J161" s="246"/>
      <c r="K161" s="230"/>
      <c r="L161" s="230"/>
      <c r="M161" s="230"/>
      <c r="N161" s="230"/>
      <c r="O161" s="230"/>
      <c r="P161" s="256"/>
      <c r="Q161" s="257"/>
      <c r="R161" s="228"/>
      <c r="S161" s="228"/>
      <c r="T161" s="245"/>
      <c r="U161" s="254"/>
      <c r="V161" s="254"/>
      <c r="W161" s="228"/>
      <c r="X161" s="255"/>
      <c r="Y161" s="248"/>
      <c r="Z161" s="248"/>
      <c r="AA161" s="228"/>
      <c r="AB161" s="228"/>
      <c r="AC161" s="228"/>
      <c r="AD161" s="228"/>
      <c r="AE161" s="248"/>
      <c r="AF161" s="247"/>
      <c r="AG161" s="228"/>
      <c r="AH161" s="228"/>
      <c r="AI161" s="248"/>
      <c r="AJ161" s="248"/>
      <c r="AK161" s="194"/>
      <c r="AL161" s="249"/>
      <c r="AM161" s="250"/>
      <c r="AN161" s="251"/>
      <c r="AO161" s="252"/>
      <c r="AP161" s="241"/>
      <c r="AQ161" s="241"/>
      <c r="AR161" s="241"/>
      <c r="AS161" s="194"/>
      <c r="AT161" s="195"/>
      <c r="AU161" s="195"/>
    </row>
    <row r="162" spans="1:47">
      <c r="A162" s="253"/>
      <c r="B162" s="230"/>
      <c r="C162" s="245"/>
      <c r="D162" s="230"/>
      <c r="E162" s="230"/>
      <c r="F162" s="230"/>
      <c r="G162" s="228"/>
      <c r="H162" s="230"/>
      <c r="I162" s="230"/>
      <c r="J162" s="246"/>
      <c r="K162" s="230"/>
      <c r="L162" s="230"/>
      <c r="M162" s="230"/>
      <c r="N162" s="230"/>
      <c r="O162" s="230"/>
      <c r="P162" s="256"/>
      <c r="Q162" s="257"/>
      <c r="R162" s="228"/>
      <c r="S162" s="228"/>
      <c r="T162" s="245"/>
      <c r="U162" s="254"/>
      <c r="V162" s="254"/>
      <c r="W162" s="228"/>
      <c r="X162" s="255"/>
      <c r="Y162" s="248"/>
      <c r="Z162" s="248"/>
      <c r="AA162" s="228"/>
      <c r="AB162" s="228"/>
      <c r="AC162" s="228"/>
      <c r="AD162" s="228"/>
      <c r="AE162" s="248"/>
      <c r="AF162" s="247"/>
      <c r="AG162" s="228"/>
      <c r="AH162" s="228"/>
      <c r="AI162" s="248"/>
      <c r="AJ162" s="248"/>
      <c r="AK162" s="194"/>
      <c r="AL162" s="249"/>
      <c r="AM162" s="250"/>
      <c r="AN162" s="251"/>
      <c r="AO162" s="252"/>
      <c r="AP162" s="241"/>
      <c r="AQ162" s="241"/>
      <c r="AR162" s="241"/>
      <c r="AS162" s="194"/>
      <c r="AT162" s="195"/>
      <c r="AU162" s="195"/>
    </row>
    <row r="163" spans="1:47">
      <c r="A163" s="253"/>
      <c r="B163" s="230"/>
      <c r="C163" s="245"/>
      <c r="D163" s="230"/>
      <c r="E163" s="230"/>
      <c r="F163" s="230"/>
      <c r="G163" s="228"/>
      <c r="H163" s="230"/>
      <c r="I163" s="230"/>
      <c r="J163" s="246"/>
      <c r="K163" s="230"/>
      <c r="L163" s="230"/>
      <c r="M163" s="230"/>
      <c r="N163" s="230"/>
      <c r="O163" s="230"/>
      <c r="P163" s="256"/>
      <c r="Q163" s="257"/>
      <c r="R163" s="228"/>
      <c r="S163" s="228"/>
      <c r="T163" s="245"/>
      <c r="U163" s="254"/>
      <c r="V163" s="254"/>
      <c r="W163" s="228"/>
      <c r="X163" s="255"/>
      <c r="Y163" s="248"/>
      <c r="Z163" s="248"/>
      <c r="AA163" s="228"/>
      <c r="AB163" s="228"/>
      <c r="AC163" s="228"/>
      <c r="AD163" s="228"/>
      <c r="AE163" s="248"/>
      <c r="AF163" s="247"/>
      <c r="AG163" s="228"/>
      <c r="AH163" s="228"/>
      <c r="AI163" s="248"/>
      <c r="AJ163" s="248"/>
      <c r="AK163" s="194"/>
      <c r="AL163" s="249"/>
      <c r="AM163" s="250"/>
      <c r="AN163" s="251"/>
      <c r="AO163" s="252"/>
      <c r="AP163" s="241"/>
      <c r="AQ163" s="241"/>
      <c r="AR163" s="241"/>
      <c r="AS163" s="194"/>
      <c r="AT163" s="195"/>
      <c r="AU163" s="195"/>
    </row>
    <row r="164" spans="1:47">
      <c r="A164" s="253"/>
      <c r="B164" s="230"/>
      <c r="C164" s="245"/>
      <c r="D164" s="230"/>
      <c r="E164" s="230"/>
      <c r="F164" s="230"/>
      <c r="G164" s="228"/>
      <c r="H164" s="230"/>
      <c r="I164" s="230"/>
      <c r="J164" s="246"/>
      <c r="K164" s="230"/>
      <c r="L164" s="230"/>
      <c r="M164" s="230"/>
      <c r="N164" s="230"/>
      <c r="O164" s="230"/>
      <c r="P164" s="256"/>
      <c r="Q164" s="257"/>
      <c r="R164" s="228"/>
      <c r="S164" s="228"/>
      <c r="T164" s="245"/>
      <c r="U164" s="254"/>
      <c r="V164" s="254"/>
      <c r="W164" s="228"/>
      <c r="X164" s="255"/>
      <c r="Y164" s="248"/>
      <c r="Z164" s="248"/>
      <c r="AA164" s="228"/>
      <c r="AB164" s="228"/>
      <c r="AC164" s="228"/>
      <c r="AD164" s="228"/>
      <c r="AE164" s="248"/>
      <c r="AF164" s="247"/>
      <c r="AG164" s="228"/>
      <c r="AH164" s="228"/>
      <c r="AI164" s="248"/>
      <c r="AJ164" s="248"/>
      <c r="AK164" s="194"/>
      <c r="AL164" s="249"/>
      <c r="AM164" s="250"/>
      <c r="AN164" s="251"/>
      <c r="AO164" s="252"/>
      <c r="AP164" s="241"/>
      <c r="AQ164" s="241"/>
      <c r="AR164" s="241"/>
      <c r="AS164" s="194"/>
      <c r="AT164" s="195"/>
      <c r="AU164" s="195"/>
    </row>
    <row r="165" spans="1:47">
      <c r="A165" s="253"/>
      <c r="B165" s="230"/>
      <c r="C165" s="245"/>
      <c r="D165" s="230"/>
      <c r="E165" s="230"/>
      <c r="F165" s="230"/>
      <c r="G165" s="228"/>
      <c r="H165" s="230"/>
      <c r="I165" s="230"/>
      <c r="J165" s="246"/>
      <c r="K165" s="230"/>
      <c r="L165" s="230"/>
      <c r="M165" s="230"/>
      <c r="N165" s="230"/>
      <c r="O165" s="230"/>
      <c r="P165" s="256"/>
      <c r="Q165" s="257"/>
      <c r="R165" s="228"/>
      <c r="S165" s="228"/>
      <c r="T165" s="245"/>
      <c r="U165" s="254"/>
      <c r="V165" s="254"/>
      <c r="W165" s="228"/>
      <c r="X165" s="255"/>
      <c r="Y165" s="248"/>
      <c r="Z165" s="248"/>
      <c r="AA165" s="228"/>
      <c r="AB165" s="228"/>
      <c r="AC165" s="228"/>
      <c r="AD165" s="228"/>
      <c r="AE165" s="248"/>
      <c r="AF165" s="247"/>
      <c r="AG165" s="228"/>
      <c r="AH165" s="228"/>
      <c r="AI165" s="248"/>
      <c r="AJ165" s="248"/>
      <c r="AK165" s="194"/>
      <c r="AL165" s="249"/>
      <c r="AM165" s="250"/>
      <c r="AN165" s="251"/>
      <c r="AO165" s="252"/>
      <c r="AP165" s="241"/>
      <c r="AQ165" s="241"/>
      <c r="AR165" s="241"/>
      <c r="AS165" s="194"/>
      <c r="AT165" s="195"/>
      <c r="AU165" s="195"/>
    </row>
    <row r="166" spans="1:47">
      <c r="A166" s="253"/>
      <c r="B166" s="230"/>
      <c r="C166" s="245"/>
      <c r="D166" s="230"/>
      <c r="E166" s="230"/>
      <c r="F166" s="230"/>
      <c r="G166" s="228"/>
      <c r="H166" s="230"/>
      <c r="I166" s="230"/>
      <c r="J166" s="246"/>
      <c r="K166" s="230"/>
      <c r="L166" s="230"/>
      <c r="M166" s="230"/>
      <c r="N166" s="230"/>
      <c r="O166" s="230"/>
      <c r="P166" s="256"/>
      <c r="Q166" s="257"/>
      <c r="R166" s="228"/>
      <c r="S166" s="228"/>
      <c r="T166" s="245"/>
      <c r="U166" s="254"/>
      <c r="V166" s="254"/>
      <c r="W166" s="228"/>
      <c r="X166" s="255"/>
      <c r="Y166" s="248"/>
      <c r="Z166" s="248"/>
      <c r="AA166" s="228"/>
      <c r="AB166" s="228"/>
      <c r="AC166" s="228"/>
      <c r="AD166" s="228"/>
      <c r="AE166" s="248"/>
      <c r="AF166" s="247"/>
      <c r="AG166" s="228"/>
      <c r="AH166" s="228"/>
      <c r="AI166" s="248"/>
      <c r="AJ166" s="248"/>
      <c r="AK166" s="194"/>
      <c r="AL166" s="249"/>
      <c r="AM166" s="250"/>
      <c r="AN166" s="251"/>
      <c r="AO166" s="252"/>
      <c r="AP166" s="241"/>
      <c r="AQ166" s="241"/>
      <c r="AR166" s="241"/>
      <c r="AS166" s="194"/>
      <c r="AT166" s="195"/>
      <c r="AU166" s="195"/>
    </row>
    <row r="167" spans="1:47">
      <c r="A167" s="253"/>
      <c r="B167" s="230"/>
      <c r="C167" s="245"/>
      <c r="D167" s="230"/>
      <c r="E167" s="230"/>
      <c r="F167" s="230"/>
      <c r="G167" s="228"/>
      <c r="H167" s="230"/>
      <c r="I167" s="230"/>
      <c r="J167" s="246"/>
      <c r="K167" s="230"/>
      <c r="L167" s="230"/>
      <c r="M167" s="230"/>
      <c r="N167" s="230"/>
      <c r="O167" s="230"/>
      <c r="P167" s="256"/>
      <c r="Q167" s="257"/>
      <c r="R167" s="228"/>
      <c r="S167" s="228"/>
      <c r="T167" s="245"/>
      <c r="U167" s="254"/>
      <c r="V167" s="254"/>
      <c r="W167" s="228"/>
      <c r="X167" s="255"/>
      <c r="Y167" s="248"/>
      <c r="Z167" s="248"/>
      <c r="AA167" s="228"/>
      <c r="AB167" s="228"/>
      <c r="AC167" s="228"/>
      <c r="AD167" s="228"/>
      <c r="AE167" s="248"/>
      <c r="AF167" s="247"/>
      <c r="AG167" s="228"/>
      <c r="AH167" s="228"/>
      <c r="AI167" s="248"/>
      <c r="AJ167" s="248"/>
      <c r="AK167" s="194"/>
      <c r="AL167" s="249"/>
      <c r="AM167" s="250"/>
      <c r="AN167" s="251"/>
      <c r="AO167" s="252"/>
      <c r="AP167" s="241"/>
      <c r="AQ167" s="241"/>
      <c r="AR167" s="241"/>
      <c r="AS167" s="194"/>
      <c r="AT167" s="195"/>
      <c r="AU167" s="195"/>
    </row>
    <row r="168" spans="1:47">
      <c r="A168" s="253"/>
      <c r="B168" s="230"/>
      <c r="C168" s="245"/>
      <c r="D168" s="230"/>
      <c r="E168" s="230"/>
      <c r="F168" s="230"/>
      <c r="G168" s="228"/>
      <c r="H168" s="230"/>
      <c r="I168" s="230"/>
      <c r="J168" s="246"/>
      <c r="K168" s="230"/>
      <c r="L168" s="230"/>
      <c r="M168" s="230"/>
      <c r="N168" s="230"/>
      <c r="O168" s="230"/>
      <c r="P168" s="256"/>
      <c r="Q168" s="257"/>
      <c r="R168" s="228"/>
      <c r="S168" s="228"/>
      <c r="T168" s="245"/>
      <c r="U168" s="254"/>
      <c r="V168" s="254"/>
      <c r="W168" s="228"/>
      <c r="X168" s="255"/>
      <c r="Y168" s="248"/>
      <c r="Z168" s="248"/>
      <c r="AA168" s="228"/>
      <c r="AB168" s="228"/>
      <c r="AC168" s="228"/>
      <c r="AD168" s="228"/>
      <c r="AE168" s="248"/>
      <c r="AF168" s="247"/>
      <c r="AG168" s="228"/>
      <c r="AH168" s="228"/>
      <c r="AI168" s="248"/>
      <c r="AJ168" s="248"/>
      <c r="AK168" s="194"/>
      <c r="AL168" s="249"/>
      <c r="AM168" s="250"/>
      <c r="AN168" s="251"/>
      <c r="AO168" s="252"/>
      <c r="AP168" s="241"/>
      <c r="AQ168" s="241"/>
      <c r="AR168" s="241"/>
      <c r="AS168" s="194"/>
      <c r="AT168" s="195"/>
      <c r="AU168" s="195"/>
    </row>
    <row r="169" spans="1:47">
      <c r="A169" s="253"/>
      <c r="B169" s="230"/>
      <c r="C169" s="245"/>
      <c r="D169" s="230"/>
      <c r="E169" s="230"/>
      <c r="F169" s="230"/>
      <c r="G169" s="228"/>
      <c r="H169" s="230"/>
      <c r="I169" s="230"/>
      <c r="J169" s="246"/>
      <c r="K169" s="230"/>
      <c r="L169" s="230"/>
      <c r="M169" s="230"/>
      <c r="N169" s="230"/>
      <c r="O169" s="230"/>
      <c r="P169" s="256"/>
      <c r="Q169" s="257"/>
      <c r="R169" s="228"/>
      <c r="S169" s="228"/>
      <c r="T169" s="245"/>
      <c r="U169" s="254"/>
      <c r="V169" s="254"/>
      <c r="W169" s="228"/>
      <c r="X169" s="255"/>
      <c r="Y169" s="248"/>
      <c r="Z169" s="248"/>
      <c r="AA169" s="228"/>
      <c r="AB169" s="228"/>
      <c r="AC169" s="228"/>
      <c r="AD169" s="228"/>
      <c r="AE169" s="248"/>
      <c r="AF169" s="247"/>
      <c r="AG169" s="228"/>
      <c r="AH169" s="228"/>
      <c r="AI169" s="248"/>
      <c r="AJ169" s="248"/>
      <c r="AK169" s="194"/>
      <c r="AL169" s="249"/>
      <c r="AM169" s="250"/>
      <c r="AN169" s="251"/>
      <c r="AO169" s="252"/>
      <c r="AP169" s="241"/>
      <c r="AQ169" s="241"/>
      <c r="AR169" s="241"/>
      <c r="AS169" s="194"/>
      <c r="AT169" s="195"/>
      <c r="AU169" s="195"/>
    </row>
    <row r="170" spans="1:47">
      <c r="A170" s="253"/>
      <c r="B170" s="230"/>
      <c r="C170" s="245"/>
      <c r="D170" s="230"/>
      <c r="E170" s="230"/>
      <c r="F170" s="230"/>
      <c r="G170" s="228"/>
      <c r="H170" s="230"/>
      <c r="I170" s="230"/>
      <c r="J170" s="246"/>
      <c r="K170" s="230"/>
      <c r="L170" s="230"/>
      <c r="M170" s="230"/>
      <c r="N170" s="230"/>
      <c r="O170" s="230"/>
      <c r="P170" s="256"/>
      <c r="Q170" s="257"/>
      <c r="R170" s="228"/>
      <c r="S170" s="228"/>
      <c r="T170" s="245"/>
      <c r="U170" s="254"/>
      <c r="V170" s="254"/>
      <c r="W170" s="228"/>
      <c r="X170" s="255"/>
      <c r="Y170" s="248"/>
      <c r="Z170" s="248"/>
      <c r="AA170" s="228"/>
      <c r="AB170" s="228"/>
      <c r="AC170" s="228"/>
      <c r="AD170" s="228"/>
      <c r="AE170" s="248"/>
      <c r="AF170" s="247"/>
      <c r="AG170" s="228"/>
      <c r="AH170" s="228"/>
      <c r="AI170" s="248"/>
      <c r="AJ170" s="248"/>
      <c r="AK170" s="194"/>
      <c r="AL170" s="249"/>
      <c r="AM170" s="250"/>
      <c r="AN170" s="251"/>
      <c r="AO170" s="252"/>
      <c r="AP170" s="241"/>
      <c r="AQ170" s="241"/>
      <c r="AR170" s="241"/>
      <c r="AS170" s="194"/>
      <c r="AT170" s="195"/>
      <c r="AU170" s="195"/>
    </row>
    <row r="171" spans="1:47">
      <c r="A171" s="253"/>
      <c r="B171" s="230"/>
      <c r="C171" s="245"/>
      <c r="D171" s="230"/>
      <c r="E171" s="230"/>
      <c r="F171" s="230"/>
      <c r="G171" s="228"/>
      <c r="H171" s="230"/>
      <c r="I171" s="230"/>
      <c r="J171" s="246"/>
      <c r="K171" s="230"/>
      <c r="L171" s="230"/>
      <c r="M171" s="230"/>
      <c r="N171" s="230"/>
      <c r="O171" s="230"/>
      <c r="P171" s="256"/>
      <c r="Q171" s="257"/>
      <c r="R171" s="228"/>
      <c r="S171" s="228"/>
      <c r="T171" s="245"/>
      <c r="U171" s="254"/>
      <c r="V171" s="254"/>
      <c r="W171" s="228"/>
      <c r="X171" s="255"/>
      <c r="Y171" s="248"/>
      <c r="Z171" s="248"/>
      <c r="AA171" s="228"/>
      <c r="AB171" s="228"/>
      <c r="AC171" s="228"/>
      <c r="AD171" s="228"/>
      <c r="AE171" s="248"/>
      <c r="AF171" s="247"/>
      <c r="AG171" s="228"/>
      <c r="AH171" s="228"/>
      <c r="AI171" s="248"/>
      <c r="AJ171" s="248"/>
      <c r="AK171" s="194"/>
      <c r="AL171" s="249"/>
      <c r="AM171" s="250"/>
      <c r="AN171" s="251"/>
      <c r="AO171" s="252"/>
      <c r="AP171" s="241"/>
      <c r="AQ171" s="241"/>
      <c r="AR171" s="241"/>
      <c r="AS171" s="194"/>
      <c r="AT171" s="195"/>
      <c r="AU171" s="195"/>
    </row>
    <row r="172" spans="1:47">
      <c r="A172" s="253"/>
      <c r="B172" s="230"/>
      <c r="C172" s="245"/>
      <c r="D172" s="230"/>
      <c r="E172" s="230"/>
      <c r="F172" s="230"/>
      <c r="G172" s="228"/>
      <c r="H172" s="230"/>
      <c r="I172" s="230"/>
      <c r="J172" s="246"/>
      <c r="K172" s="230"/>
      <c r="L172" s="230"/>
      <c r="M172" s="230"/>
      <c r="N172" s="230"/>
      <c r="O172" s="230"/>
      <c r="P172" s="256"/>
      <c r="Q172" s="257"/>
      <c r="R172" s="228"/>
      <c r="S172" s="228"/>
      <c r="T172" s="245"/>
      <c r="U172" s="254"/>
      <c r="V172" s="254"/>
      <c r="W172" s="228"/>
      <c r="X172" s="255"/>
      <c r="Y172" s="248"/>
      <c r="Z172" s="248"/>
      <c r="AA172" s="228"/>
      <c r="AB172" s="228"/>
      <c r="AC172" s="228"/>
      <c r="AD172" s="228"/>
      <c r="AE172" s="248"/>
      <c r="AF172" s="247"/>
      <c r="AG172" s="228"/>
      <c r="AH172" s="228"/>
      <c r="AI172" s="248"/>
      <c r="AJ172" s="248"/>
      <c r="AK172" s="194"/>
      <c r="AL172" s="249"/>
      <c r="AM172" s="250"/>
      <c r="AN172" s="251"/>
      <c r="AO172" s="252"/>
      <c r="AP172" s="241"/>
      <c r="AQ172" s="241"/>
      <c r="AR172" s="241"/>
      <c r="AS172" s="194"/>
      <c r="AT172" s="195"/>
      <c r="AU172" s="195"/>
    </row>
    <row r="173" spans="1:47">
      <c r="A173" s="253"/>
      <c r="B173" s="230"/>
      <c r="C173" s="245"/>
      <c r="D173" s="230"/>
      <c r="E173" s="230"/>
      <c r="F173" s="230"/>
      <c r="G173" s="228"/>
      <c r="H173" s="230"/>
      <c r="I173" s="230"/>
      <c r="J173" s="246"/>
      <c r="K173" s="230"/>
      <c r="L173" s="230"/>
      <c r="M173" s="230"/>
      <c r="N173" s="230"/>
      <c r="O173" s="230"/>
      <c r="P173" s="256"/>
      <c r="Q173" s="257"/>
      <c r="R173" s="228"/>
      <c r="S173" s="228"/>
      <c r="T173" s="245"/>
      <c r="U173" s="254"/>
      <c r="V173" s="254"/>
      <c r="W173" s="228"/>
      <c r="X173" s="255"/>
      <c r="Y173" s="248"/>
      <c r="Z173" s="248"/>
      <c r="AA173" s="228"/>
      <c r="AB173" s="228"/>
      <c r="AC173" s="228"/>
      <c r="AD173" s="228"/>
      <c r="AE173" s="248"/>
      <c r="AF173" s="247"/>
      <c r="AG173" s="228"/>
      <c r="AH173" s="228"/>
      <c r="AI173" s="248"/>
      <c r="AJ173" s="248"/>
      <c r="AK173" s="194"/>
      <c r="AL173" s="249"/>
      <c r="AM173" s="250"/>
      <c r="AN173" s="251"/>
      <c r="AO173" s="252"/>
      <c r="AP173" s="241"/>
      <c r="AQ173" s="241"/>
      <c r="AR173" s="241"/>
      <c r="AS173" s="194"/>
      <c r="AT173" s="195"/>
      <c r="AU173" s="195"/>
    </row>
    <row r="174" spans="1:47">
      <c r="A174" s="253"/>
      <c r="B174" s="230"/>
      <c r="C174" s="245"/>
      <c r="D174" s="230"/>
      <c r="E174" s="230"/>
      <c r="F174" s="230"/>
      <c r="G174" s="228"/>
      <c r="H174" s="230"/>
      <c r="I174" s="230"/>
      <c r="J174" s="246"/>
      <c r="K174" s="230"/>
      <c r="L174" s="230"/>
      <c r="M174" s="230"/>
      <c r="N174" s="230"/>
      <c r="O174" s="230"/>
      <c r="P174" s="256"/>
      <c r="Q174" s="257"/>
      <c r="R174" s="228"/>
      <c r="S174" s="228"/>
      <c r="T174" s="245"/>
      <c r="U174" s="254"/>
      <c r="V174" s="254"/>
      <c r="W174" s="228"/>
      <c r="X174" s="255"/>
      <c r="Y174" s="248"/>
      <c r="Z174" s="248"/>
      <c r="AA174" s="228"/>
      <c r="AB174" s="228"/>
      <c r="AC174" s="228"/>
      <c r="AD174" s="228"/>
      <c r="AE174" s="248"/>
      <c r="AF174" s="247"/>
      <c r="AG174" s="228"/>
      <c r="AH174" s="228"/>
      <c r="AI174" s="248"/>
      <c r="AJ174" s="248"/>
      <c r="AK174" s="194"/>
      <c r="AL174" s="249"/>
      <c r="AM174" s="250"/>
      <c r="AN174" s="251"/>
      <c r="AO174" s="252"/>
      <c r="AP174" s="241"/>
      <c r="AQ174" s="241"/>
      <c r="AR174" s="241"/>
      <c r="AS174" s="194"/>
      <c r="AT174" s="195"/>
      <c r="AU174" s="195"/>
    </row>
    <row r="175" spans="1:47">
      <c r="A175" s="253"/>
      <c r="B175" s="230"/>
      <c r="C175" s="245"/>
      <c r="D175" s="230"/>
      <c r="E175" s="230"/>
      <c r="F175" s="230"/>
      <c r="G175" s="228"/>
      <c r="H175" s="230"/>
      <c r="I175" s="230"/>
      <c r="J175" s="246"/>
      <c r="K175" s="230"/>
      <c r="L175" s="230"/>
      <c r="M175" s="230"/>
      <c r="N175" s="230"/>
      <c r="O175" s="230"/>
      <c r="P175" s="256"/>
      <c r="Q175" s="257"/>
      <c r="R175" s="228"/>
      <c r="S175" s="228"/>
      <c r="T175" s="245"/>
      <c r="U175" s="254"/>
      <c r="V175" s="254"/>
      <c r="W175" s="228"/>
      <c r="X175" s="255"/>
      <c r="Y175" s="248"/>
      <c r="Z175" s="248"/>
      <c r="AA175" s="228"/>
      <c r="AB175" s="228"/>
      <c r="AC175" s="228"/>
      <c r="AD175" s="228"/>
      <c r="AE175" s="248"/>
      <c r="AF175" s="247"/>
      <c r="AG175" s="228"/>
      <c r="AH175" s="228"/>
      <c r="AI175" s="248"/>
      <c r="AJ175" s="248"/>
      <c r="AK175" s="194"/>
      <c r="AL175" s="249"/>
      <c r="AM175" s="250"/>
      <c r="AN175" s="251"/>
      <c r="AO175" s="252"/>
      <c r="AP175" s="241"/>
      <c r="AQ175" s="241"/>
      <c r="AR175" s="241"/>
      <c r="AS175" s="194"/>
      <c r="AT175" s="195"/>
      <c r="AU175" s="195"/>
    </row>
    <row r="176" spans="1:47">
      <c r="A176" s="253"/>
      <c r="B176" s="230"/>
      <c r="C176" s="245"/>
      <c r="D176" s="230"/>
      <c r="E176" s="230"/>
      <c r="F176" s="230"/>
      <c r="G176" s="228"/>
      <c r="H176" s="230"/>
      <c r="I176" s="230"/>
      <c r="J176" s="246"/>
      <c r="K176" s="230"/>
      <c r="L176" s="230"/>
      <c r="M176" s="230"/>
      <c r="N176" s="230"/>
      <c r="O176" s="230"/>
      <c r="P176" s="256"/>
      <c r="Q176" s="257"/>
      <c r="R176" s="228"/>
      <c r="S176" s="228"/>
      <c r="T176" s="245"/>
      <c r="U176" s="254"/>
      <c r="V176" s="254"/>
      <c r="W176" s="228"/>
      <c r="X176" s="255"/>
      <c r="Y176" s="248"/>
      <c r="Z176" s="248"/>
      <c r="AA176" s="228"/>
      <c r="AB176" s="228"/>
      <c r="AC176" s="228"/>
      <c r="AD176" s="228"/>
      <c r="AE176" s="248"/>
      <c r="AF176" s="247"/>
      <c r="AG176" s="228"/>
      <c r="AH176" s="228"/>
      <c r="AI176" s="248"/>
      <c r="AJ176" s="248"/>
      <c r="AK176" s="194"/>
      <c r="AL176" s="249"/>
      <c r="AM176" s="250"/>
      <c r="AN176" s="251"/>
      <c r="AO176" s="252"/>
      <c r="AP176" s="241"/>
      <c r="AQ176" s="241"/>
      <c r="AR176" s="241"/>
      <c r="AS176" s="194"/>
      <c r="AT176" s="195"/>
      <c r="AU176" s="195"/>
    </row>
    <row r="177" spans="1:47">
      <c r="A177" s="253"/>
      <c r="B177" s="230"/>
      <c r="C177" s="245"/>
      <c r="D177" s="230"/>
      <c r="E177" s="230"/>
      <c r="F177" s="230"/>
      <c r="G177" s="228"/>
      <c r="H177" s="230"/>
      <c r="I177" s="230"/>
      <c r="J177" s="246"/>
      <c r="K177" s="230"/>
      <c r="L177" s="230"/>
      <c r="M177" s="230"/>
      <c r="N177" s="230"/>
      <c r="O177" s="230"/>
      <c r="P177" s="256"/>
      <c r="Q177" s="257"/>
      <c r="R177" s="228"/>
      <c r="S177" s="228"/>
      <c r="T177" s="245"/>
      <c r="U177" s="254"/>
      <c r="V177" s="254"/>
      <c r="W177" s="228"/>
      <c r="X177" s="255"/>
      <c r="Y177" s="248"/>
      <c r="Z177" s="248"/>
      <c r="AA177" s="228"/>
      <c r="AB177" s="228"/>
      <c r="AC177" s="228"/>
      <c r="AD177" s="228"/>
      <c r="AE177" s="248"/>
      <c r="AF177" s="247"/>
      <c r="AG177" s="228"/>
      <c r="AH177" s="228"/>
      <c r="AI177" s="248"/>
      <c r="AJ177" s="248"/>
      <c r="AK177" s="194"/>
      <c r="AL177" s="249"/>
      <c r="AM177" s="250"/>
      <c r="AN177" s="251"/>
      <c r="AO177" s="252"/>
      <c r="AP177" s="241"/>
      <c r="AQ177" s="241"/>
      <c r="AR177" s="241"/>
      <c r="AS177" s="194"/>
      <c r="AT177" s="195"/>
      <c r="AU177" s="195"/>
    </row>
    <row r="178" spans="1:47">
      <c r="A178" s="253"/>
      <c r="B178" s="230"/>
      <c r="C178" s="245"/>
      <c r="D178" s="230"/>
      <c r="E178" s="230"/>
      <c r="F178" s="230"/>
      <c r="G178" s="228"/>
      <c r="H178" s="230"/>
      <c r="I178" s="230"/>
      <c r="J178" s="246"/>
      <c r="K178" s="230"/>
      <c r="L178" s="230"/>
      <c r="M178" s="230"/>
      <c r="N178" s="230"/>
      <c r="O178" s="230"/>
      <c r="P178" s="256"/>
      <c r="Q178" s="257"/>
      <c r="R178" s="228"/>
      <c r="S178" s="228"/>
      <c r="T178" s="245"/>
      <c r="U178" s="254"/>
      <c r="V178" s="254"/>
      <c r="W178" s="228"/>
      <c r="X178" s="255"/>
      <c r="Y178" s="248"/>
      <c r="Z178" s="248"/>
      <c r="AA178" s="228"/>
      <c r="AB178" s="228"/>
      <c r="AC178" s="228"/>
      <c r="AD178" s="228"/>
      <c r="AE178" s="248"/>
      <c r="AF178" s="247"/>
      <c r="AG178" s="228"/>
      <c r="AH178" s="228"/>
      <c r="AI178" s="248"/>
      <c r="AJ178" s="248"/>
      <c r="AK178" s="194"/>
      <c r="AL178" s="249"/>
      <c r="AM178" s="250"/>
      <c r="AN178" s="251"/>
      <c r="AO178" s="252"/>
      <c r="AP178" s="241"/>
      <c r="AQ178" s="241"/>
      <c r="AR178" s="241"/>
      <c r="AS178" s="194"/>
      <c r="AT178" s="195"/>
      <c r="AU178" s="195"/>
    </row>
    <row r="179" spans="1:47">
      <c r="A179" s="253"/>
      <c r="B179" s="230"/>
      <c r="C179" s="245"/>
      <c r="D179" s="230"/>
      <c r="E179" s="230"/>
      <c r="F179" s="230"/>
      <c r="G179" s="228"/>
      <c r="H179" s="230"/>
      <c r="I179" s="230"/>
      <c r="J179" s="246"/>
      <c r="K179" s="230"/>
      <c r="L179" s="230"/>
      <c r="M179" s="230"/>
      <c r="N179" s="230"/>
      <c r="O179" s="230"/>
      <c r="P179" s="256"/>
      <c r="Q179" s="257"/>
      <c r="R179" s="228"/>
      <c r="S179" s="228"/>
      <c r="T179" s="245"/>
      <c r="U179" s="254"/>
      <c r="V179" s="254"/>
      <c r="W179" s="228"/>
      <c r="X179" s="255"/>
      <c r="Y179" s="248"/>
      <c r="Z179" s="248"/>
      <c r="AA179" s="228"/>
      <c r="AB179" s="228"/>
      <c r="AC179" s="228"/>
      <c r="AD179" s="228"/>
      <c r="AE179" s="248"/>
      <c r="AF179" s="247"/>
      <c r="AG179" s="228"/>
      <c r="AH179" s="228"/>
      <c r="AI179" s="248"/>
      <c r="AJ179" s="248"/>
      <c r="AK179" s="194"/>
      <c r="AL179" s="249"/>
      <c r="AM179" s="250"/>
      <c r="AN179" s="251"/>
      <c r="AO179" s="252"/>
      <c r="AP179" s="241"/>
      <c r="AQ179" s="241"/>
      <c r="AR179" s="241"/>
      <c r="AS179" s="194"/>
      <c r="AT179" s="195"/>
      <c r="AU179" s="195"/>
    </row>
    <row r="180" spans="1:47">
      <c r="A180" s="253"/>
      <c r="B180" s="230"/>
      <c r="C180" s="245"/>
      <c r="D180" s="230"/>
      <c r="E180" s="230"/>
      <c r="F180" s="230"/>
      <c r="G180" s="228"/>
      <c r="H180" s="230"/>
      <c r="I180" s="230"/>
      <c r="J180" s="246"/>
      <c r="K180" s="230"/>
      <c r="L180" s="230"/>
      <c r="M180" s="230"/>
      <c r="N180" s="230"/>
      <c r="O180" s="230"/>
      <c r="P180" s="256"/>
      <c r="Q180" s="257"/>
      <c r="R180" s="228"/>
      <c r="S180" s="228"/>
      <c r="T180" s="245"/>
      <c r="U180" s="254"/>
      <c r="V180" s="254"/>
      <c r="W180" s="228"/>
      <c r="X180" s="255"/>
      <c r="Y180" s="248"/>
      <c r="Z180" s="248"/>
      <c r="AA180" s="228"/>
      <c r="AB180" s="228"/>
      <c r="AC180" s="228"/>
      <c r="AD180" s="228"/>
      <c r="AE180" s="248"/>
      <c r="AF180" s="247"/>
      <c r="AG180" s="228"/>
      <c r="AH180" s="228"/>
      <c r="AI180" s="248"/>
      <c r="AJ180" s="248"/>
      <c r="AK180" s="194"/>
      <c r="AL180" s="249"/>
      <c r="AM180" s="250"/>
      <c r="AN180" s="251"/>
      <c r="AO180" s="252"/>
      <c r="AP180" s="241"/>
      <c r="AQ180" s="241"/>
      <c r="AR180" s="241"/>
      <c r="AS180" s="194"/>
      <c r="AT180" s="195"/>
      <c r="AU180" s="195"/>
    </row>
    <row r="181" spans="1:47">
      <c r="A181" s="253"/>
      <c r="B181" s="230"/>
      <c r="C181" s="245"/>
      <c r="D181" s="230"/>
      <c r="E181" s="230"/>
      <c r="F181" s="230"/>
      <c r="G181" s="228"/>
      <c r="H181" s="230"/>
      <c r="I181" s="230"/>
      <c r="J181" s="246"/>
      <c r="K181" s="230"/>
      <c r="L181" s="230"/>
      <c r="M181" s="230"/>
      <c r="N181" s="230"/>
      <c r="O181" s="230"/>
      <c r="P181" s="256"/>
      <c r="Q181" s="257"/>
      <c r="R181" s="228"/>
      <c r="S181" s="228"/>
      <c r="T181" s="245"/>
      <c r="U181" s="254"/>
      <c r="V181" s="254"/>
      <c r="W181" s="228"/>
      <c r="X181" s="255"/>
      <c r="Y181" s="248"/>
      <c r="Z181" s="248"/>
      <c r="AA181" s="228"/>
      <c r="AB181" s="228"/>
      <c r="AC181" s="228"/>
      <c r="AD181" s="228"/>
      <c r="AE181" s="248"/>
      <c r="AF181" s="247"/>
      <c r="AG181" s="228"/>
      <c r="AH181" s="228"/>
      <c r="AI181" s="248"/>
      <c r="AJ181" s="248"/>
      <c r="AK181" s="194"/>
      <c r="AL181" s="249"/>
      <c r="AM181" s="250"/>
      <c r="AN181" s="251"/>
      <c r="AO181" s="252"/>
      <c r="AP181" s="241"/>
      <c r="AQ181" s="241"/>
      <c r="AR181" s="241"/>
      <c r="AS181" s="194"/>
      <c r="AT181" s="195"/>
      <c r="AU181" s="195"/>
    </row>
    <row r="182" spans="1:47">
      <c r="A182" s="253"/>
      <c r="B182" s="230"/>
      <c r="C182" s="245"/>
      <c r="D182" s="230"/>
      <c r="E182" s="230"/>
      <c r="F182" s="230"/>
      <c r="G182" s="228"/>
      <c r="H182" s="230"/>
      <c r="I182" s="230"/>
      <c r="J182" s="246"/>
      <c r="K182" s="230"/>
      <c r="L182" s="230"/>
      <c r="M182" s="230"/>
      <c r="N182" s="230"/>
      <c r="O182" s="230"/>
      <c r="P182" s="256"/>
      <c r="Q182" s="257"/>
      <c r="R182" s="228"/>
      <c r="S182" s="228"/>
      <c r="T182" s="245"/>
      <c r="U182" s="254"/>
      <c r="V182" s="254"/>
      <c r="W182" s="228"/>
      <c r="X182" s="255"/>
      <c r="Y182" s="248"/>
      <c r="Z182" s="248"/>
      <c r="AA182" s="228"/>
      <c r="AB182" s="228"/>
      <c r="AC182" s="228"/>
      <c r="AD182" s="228"/>
      <c r="AE182" s="248"/>
      <c r="AF182" s="247"/>
      <c r="AG182" s="228"/>
      <c r="AH182" s="228"/>
      <c r="AI182" s="248"/>
      <c r="AJ182" s="248"/>
      <c r="AK182" s="194"/>
      <c r="AL182" s="249"/>
      <c r="AM182" s="250"/>
      <c r="AN182" s="251"/>
      <c r="AO182" s="252"/>
      <c r="AP182" s="241"/>
      <c r="AQ182" s="241"/>
      <c r="AR182" s="241"/>
      <c r="AS182" s="194"/>
      <c r="AT182" s="195"/>
      <c r="AU182" s="195"/>
    </row>
    <row r="183" spans="1:47">
      <c r="A183" s="253"/>
      <c r="B183" s="230"/>
      <c r="C183" s="245"/>
      <c r="D183" s="230"/>
      <c r="E183" s="230"/>
      <c r="F183" s="230"/>
      <c r="G183" s="228"/>
      <c r="H183" s="230"/>
      <c r="I183" s="230"/>
      <c r="J183" s="246"/>
      <c r="K183" s="230"/>
      <c r="L183" s="230"/>
      <c r="M183" s="230"/>
      <c r="N183" s="230"/>
      <c r="O183" s="230"/>
      <c r="P183" s="256"/>
      <c r="Q183" s="257"/>
      <c r="R183" s="228"/>
      <c r="S183" s="228"/>
      <c r="T183" s="245"/>
      <c r="U183" s="254"/>
      <c r="V183" s="254"/>
      <c r="W183" s="228"/>
      <c r="X183" s="255"/>
      <c r="Y183" s="248"/>
      <c r="Z183" s="248"/>
      <c r="AA183" s="228"/>
      <c r="AB183" s="228"/>
      <c r="AC183" s="228"/>
      <c r="AD183" s="228"/>
      <c r="AE183" s="248"/>
      <c r="AF183" s="247"/>
      <c r="AG183" s="228"/>
      <c r="AH183" s="228"/>
      <c r="AI183" s="248"/>
      <c r="AJ183" s="248"/>
      <c r="AK183" s="194"/>
      <c r="AL183" s="249"/>
      <c r="AM183" s="250"/>
      <c r="AN183" s="251"/>
      <c r="AO183" s="252"/>
      <c r="AP183" s="241"/>
      <c r="AQ183" s="241"/>
      <c r="AR183" s="241"/>
      <c r="AS183" s="194"/>
      <c r="AT183" s="195"/>
      <c r="AU183" s="195"/>
    </row>
    <row r="184" spans="1:47">
      <c r="A184" s="253"/>
      <c r="B184" s="230"/>
      <c r="C184" s="245"/>
      <c r="D184" s="230"/>
      <c r="E184" s="230"/>
      <c r="F184" s="230"/>
      <c r="G184" s="228"/>
      <c r="H184" s="230"/>
      <c r="I184" s="230"/>
      <c r="J184" s="246"/>
      <c r="K184" s="230"/>
      <c r="L184" s="230"/>
      <c r="M184" s="230"/>
      <c r="N184" s="230"/>
      <c r="O184" s="230"/>
      <c r="P184" s="256"/>
      <c r="Q184" s="257"/>
      <c r="R184" s="228"/>
      <c r="S184" s="228"/>
      <c r="T184" s="245"/>
      <c r="U184" s="254"/>
      <c r="V184" s="254"/>
      <c r="W184" s="228"/>
      <c r="X184" s="255"/>
      <c r="Y184" s="248"/>
      <c r="Z184" s="248"/>
      <c r="AA184" s="228"/>
      <c r="AB184" s="228"/>
      <c r="AC184" s="228"/>
      <c r="AD184" s="228"/>
      <c r="AE184" s="248"/>
      <c r="AF184" s="247"/>
      <c r="AG184" s="228"/>
      <c r="AH184" s="228"/>
      <c r="AI184" s="248"/>
      <c r="AJ184" s="248"/>
      <c r="AK184" s="194"/>
      <c r="AL184" s="249"/>
      <c r="AM184" s="250"/>
      <c r="AN184" s="251"/>
      <c r="AO184" s="252"/>
      <c r="AP184" s="241"/>
      <c r="AQ184" s="241"/>
      <c r="AR184" s="241"/>
      <c r="AS184" s="194"/>
      <c r="AT184" s="195"/>
      <c r="AU184" s="195"/>
    </row>
    <row r="185" spans="1:47">
      <c r="A185" s="253"/>
      <c r="B185" s="230"/>
      <c r="C185" s="245"/>
      <c r="D185" s="230"/>
      <c r="E185" s="230"/>
      <c r="F185" s="230"/>
      <c r="G185" s="228"/>
      <c r="H185" s="230"/>
      <c r="I185" s="230"/>
      <c r="J185" s="246"/>
      <c r="K185" s="230"/>
      <c r="L185" s="230"/>
      <c r="M185" s="230"/>
      <c r="N185" s="230"/>
      <c r="O185" s="230"/>
      <c r="P185" s="256"/>
      <c r="Q185" s="257"/>
      <c r="R185" s="228"/>
      <c r="S185" s="228"/>
      <c r="T185" s="245"/>
      <c r="U185" s="254"/>
      <c r="V185" s="254"/>
      <c r="W185" s="228"/>
      <c r="X185" s="255"/>
      <c r="Y185" s="248"/>
      <c r="Z185" s="248"/>
      <c r="AA185" s="228"/>
      <c r="AB185" s="228"/>
      <c r="AC185" s="228"/>
      <c r="AD185" s="228"/>
      <c r="AE185" s="248"/>
      <c r="AF185" s="247"/>
      <c r="AG185" s="228"/>
      <c r="AH185" s="228"/>
      <c r="AI185" s="248"/>
      <c r="AJ185" s="248"/>
      <c r="AK185" s="194"/>
      <c r="AL185" s="249"/>
      <c r="AM185" s="250"/>
      <c r="AN185" s="251"/>
      <c r="AO185" s="252"/>
      <c r="AP185" s="241"/>
      <c r="AQ185" s="241"/>
      <c r="AR185" s="241"/>
      <c r="AS185" s="194"/>
      <c r="AT185" s="195"/>
      <c r="AU185" s="195"/>
    </row>
    <row r="186" spans="1:47">
      <c r="A186" s="253"/>
      <c r="B186" s="230"/>
      <c r="C186" s="245"/>
      <c r="D186" s="230"/>
      <c r="E186" s="230"/>
      <c r="F186" s="230"/>
      <c r="G186" s="228"/>
      <c r="H186" s="230"/>
      <c r="I186" s="230"/>
      <c r="J186" s="246"/>
      <c r="K186" s="230"/>
      <c r="L186" s="230"/>
      <c r="M186" s="230"/>
      <c r="N186" s="230"/>
      <c r="O186" s="230"/>
      <c r="P186" s="256"/>
      <c r="Q186" s="257"/>
      <c r="R186" s="228"/>
      <c r="S186" s="228"/>
      <c r="T186" s="245"/>
      <c r="U186" s="254"/>
      <c r="V186" s="254"/>
      <c r="W186" s="228"/>
      <c r="X186" s="255"/>
      <c r="Y186" s="248"/>
      <c r="Z186" s="248"/>
      <c r="AA186" s="228"/>
      <c r="AB186" s="228"/>
      <c r="AC186" s="228"/>
      <c r="AD186" s="228"/>
      <c r="AE186" s="248"/>
      <c r="AF186" s="247"/>
      <c r="AG186" s="228"/>
      <c r="AH186" s="228"/>
      <c r="AI186" s="248"/>
      <c r="AJ186" s="248"/>
      <c r="AK186" s="194"/>
      <c r="AL186" s="249"/>
      <c r="AM186" s="250"/>
      <c r="AN186" s="251"/>
      <c r="AO186" s="252"/>
      <c r="AP186" s="241"/>
      <c r="AQ186" s="241"/>
      <c r="AR186" s="241"/>
      <c r="AS186" s="194"/>
      <c r="AT186" s="195"/>
      <c r="AU186" s="195"/>
    </row>
    <row r="187" spans="1:47">
      <c r="A187" s="253"/>
      <c r="B187" s="230"/>
      <c r="C187" s="245"/>
      <c r="D187" s="230"/>
      <c r="E187" s="230"/>
      <c r="F187" s="230"/>
      <c r="G187" s="228"/>
      <c r="H187" s="230"/>
      <c r="I187" s="230"/>
      <c r="J187" s="246"/>
      <c r="K187" s="230"/>
      <c r="L187" s="230"/>
      <c r="M187" s="230"/>
      <c r="N187" s="230"/>
      <c r="O187" s="230"/>
      <c r="P187" s="256"/>
      <c r="Q187" s="257"/>
      <c r="R187" s="228"/>
      <c r="S187" s="228"/>
      <c r="T187" s="245"/>
      <c r="U187" s="254"/>
      <c r="V187" s="254"/>
      <c r="W187" s="228"/>
      <c r="X187" s="255"/>
      <c r="Y187" s="248"/>
      <c r="Z187" s="248"/>
      <c r="AA187" s="228"/>
      <c r="AB187" s="228"/>
      <c r="AC187" s="228"/>
      <c r="AD187" s="228"/>
      <c r="AE187" s="248"/>
      <c r="AF187" s="247"/>
      <c r="AG187" s="228"/>
      <c r="AH187" s="228"/>
      <c r="AI187" s="248"/>
      <c r="AJ187" s="248"/>
      <c r="AK187" s="194"/>
      <c r="AL187" s="249"/>
      <c r="AM187" s="250"/>
      <c r="AN187" s="251"/>
      <c r="AO187" s="252"/>
      <c r="AP187" s="241"/>
      <c r="AQ187" s="241"/>
      <c r="AR187" s="241"/>
      <c r="AS187" s="194"/>
      <c r="AT187" s="195"/>
      <c r="AU187" s="195"/>
    </row>
    <row r="188" spans="1:47">
      <c r="A188" s="253"/>
      <c r="B188" s="230"/>
      <c r="C188" s="245"/>
      <c r="D188" s="230"/>
      <c r="E188" s="230"/>
      <c r="F188" s="230"/>
      <c r="G188" s="228"/>
      <c r="H188" s="230"/>
      <c r="I188" s="230"/>
      <c r="J188" s="246"/>
      <c r="K188" s="230"/>
      <c r="L188" s="230"/>
      <c r="M188" s="230"/>
      <c r="N188" s="230"/>
      <c r="O188" s="230"/>
      <c r="P188" s="256"/>
      <c r="Q188" s="257"/>
      <c r="R188" s="228"/>
      <c r="S188" s="228"/>
      <c r="T188" s="245"/>
      <c r="U188" s="254"/>
      <c r="V188" s="254"/>
      <c r="W188" s="228"/>
      <c r="X188" s="255"/>
      <c r="Y188" s="248"/>
      <c r="Z188" s="248"/>
      <c r="AA188" s="228"/>
      <c r="AB188" s="228"/>
      <c r="AC188" s="228"/>
      <c r="AD188" s="228"/>
      <c r="AE188" s="248"/>
      <c r="AF188" s="247"/>
      <c r="AG188" s="228"/>
      <c r="AH188" s="228"/>
      <c r="AI188" s="248"/>
      <c r="AJ188" s="248"/>
      <c r="AK188" s="194"/>
      <c r="AL188" s="249"/>
      <c r="AM188" s="250"/>
      <c r="AN188" s="251"/>
      <c r="AO188" s="252"/>
      <c r="AP188" s="241"/>
      <c r="AQ188" s="241"/>
      <c r="AR188" s="241"/>
      <c r="AS188" s="194"/>
      <c r="AT188" s="195"/>
      <c r="AU188" s="195"/>
    </row>
    <row r="189" spans="1:47">
      <c r="A189" s="253"/>
      <c r="B189" s="230"/>
      <c r="C189" s="245"/>
      <c r="D189" s="230"/>
      <c r="E189" s="230"/>
      <c r="F189" s="230"/>
      <c r="G189" s="228"/>
      <c r="H189" s="230"/>
      <c r="I189" s="230"/>
      <c r="J189" s="246"/>
      <c r="K189" s="230"/>
      <c r="L189" s="230"/>
      <c r="M189" s="230"/>
      <c r="N189" s="230"/>
      <c r="O189" s="230"/>
      <c r="P189" s="256"/>
      <c r="Q189" s="257"/>
      <c r="R189" s="228"/>
      <c r="S189" s="228"/>
      <c r="T189" s="245"/>
      <c r="U189" s="254"/>
      <c r="V189" s="254"/>
      <c r="W189" s="228"/>
      <c r="X189" s="255"/>
      <c r="Y189" s="248"/>
      <c r="Z189" s="248"/>
      <c r="AA189" s="228"/>
      <c r="AB189" s="228"/>
      <c r="AC189" s="228"/>
      <c r="AD189" s="228"/>
      <c r="AE189" s="248"/>
      <c r="AF189" s="247"/>
      <c r="AG189" s="228"/>
      <c r="AH189" s="228"/>
      <c r="AI189" s="248"/>
      <c r="AJ189" s="248"/>
      <c r="AK189" s="194"/>
      <c r="AL189" s="249"/>
      <c r="AM189" s="250"/>
      <c r="AN189" s="251"/>
      <c r="AO189" s="252"/>
      <c r="AP189" s="241"/>
      <c r="AQ189" s="241"/>
      <c r="AR189" s="241"/>
      <c r="AS189" s="194"/>
      <c r="AT189" s="195"/>
      <c r="AU189" s="195"/>
    </row>
    <row r="190" spans="1:47">
      <c r="A190" s="253"/>
      <c r="B190" s="230"/>
      <c r="C190" s="245"/>
      <c r="D190" s="230"/>
      <c r="E190" s="230"/>
      <c r="F190" s="230"/>
      <c r="G190" s="228"/>
      <c r="H190" s="230"/>
      <c r="I190" s="230"/>
      <c r="J190" s="246"/>
      <c r="K190" s="230"/>
      <c r="L190" s="230"/>
      <c r="M190" s="230"/>
      <c r="N190" s="230"/>
      <c r="O190" s="230"/>
      <c r="P190" s="256"/>
      <c r="Q190" s="257"/>
      <c r="R190" s="228"/>
      <c r="S190" s="228"/>
      <c r="T190" s="245"/>
      <c r="U190" s="254"/>
      <c r="V190" s="254"/>
      <c r="W190" s="228"/>
      <c r="X190" s="255"/>
      <c r="Y190" s="248"/>
      <c r="Z190" s="248"/>
      <c r="AA190" s="228"/>
      <c r="AB190" s="228"/>
      <c r="AC190" s="228"/>
      <c r="AD190" s="228"/>
      <c r="AE190" s="248"/>
      <c r="AF190" s="247"/>
      <c r="AG190" s="228"/>
      <c r="AH190" s="228"/>
      <c r="AI190" s="248"/>
      <c r="AJ190" s="248"/>
      <c r="AK190" s="194"/>
      <c r="AL190" s="249"/>
      <c r="AM190" s="250"/>
      <c r="AN190" s="251"/>
      <c r="AO190" s="252"/>
      <c r="AP190" s="241"/>
      <c r="AQ190" s="241"/>
      <c r="AR190" s="241"/>
      <c r="AS190" s="194"/>
      <c r="AT190" s="195"/>
      <c r="AU190" s="195"/>
    </row>
    <row r="191" spans="1:47">
      <c r="A191" s="253"/>
      <c r="B191" s="230"/>
      <c r="C191" s="245"/>
      <c r="D191" s="230"/>
      <c r="E191" s="230"/>
      <c r="F191" s="230"/>
      <c r="G191" s="228"/>
      <c r="H191" s="230"/>
      <c r="I191" s="230"/>
      <c r="J191" s="246"/>
      <c r="K191" s="230"/>
      <c r="L191" s="230"/>
      <c r="M191" s="230"/>
      <c r="N191" s="230"/>
      <c r="O191" s="230"/>
      <c r="P191" s="256"/>
      <c r="Q191" s="257"/>
      <c r="R191" s="228"/>
      <c r="S191" s="228"/>
      <c r="T191" s="245"/>
      <c r="U191" s="254"/>
      <c r="V191" s="254"/>
      <c r="W191" s="228"/>
      <c r="X191" s="255"/>
      <c r="Y191" s="248"/>
      <c r="Z191" s="248"/>
      <c r="AA191" s="228"/>
      <c r="AB191" s="228"/>
      <c r="AC191" s="228"/>
      <c r="AD191" s="228"/>
      <c r="AE191" s="248"/>
      <c r="AF191" s="247"/>
      <c r="AG191" s="228"/>
      <c r="AH191" s="228"/>
      <c r="AI191" s="248"/>
      <c r="AJ191" s="248"/>
      <c r="AK191" s="194"/>
      <c r="AL191" s="249"/>
      <c r="AM191" s="250"/>
      <c r="AN191" s="251"/>
      <c r="AO191" s="252"/>
      <c r="AP191" s="241"/>
      <c r="AQ191" s="241"/>
      <c r="AR191" s="241"/>
      <c r="AS191" s="194"/>
      <c r="AT191" s="195"/>
      <c r="AU191" s="195"/>
    </row>
    <row r="192" spans="1:47">
      <c r="A192" s="253"/>
      <c r="B192" s="230"/>
      <c r="C192" s="245"/>
      <c r="D192" s="230"/>
      <c r="E192" s="230"/>
      <c r="F192" s="230"/>
      <c r="G192" s="228"/>
      <c r="H192" s="230"/>
      <c r="I192" s="230"/>
      <c r="J192" s="246"/>
      <c r="K192" s="230"/>
      <c r="L192" s="230"/>
      <c r="M192" s="230"/>
      <c r="N192" s="230"/>
      <c r="O192" s="230"/>
      <c r="P192" s="256"/>
      <c r="Q192" s="257"/>
      <c r="R192" s="228"/>
      <c r="S192" s="228"/>
      <c r="T192" s="245"/>
      <c r="U192" s="254"/>
      <c r="V192" s="254"/>
      <c r="W192" s="228"/>
      <c r="X192" s="255"/>
      <c r="Y192" s="248"/>
      <c r="Z192" s="248"/>
      <c r="AA192" s="228"/>
      <c r="AB192" s="228"/>
      <c r="AC192" s="228"/>
      <c r="AD192" s="228"/>
      <c r="AE192" s="248"/>
      <c r="AF192" s="247"/>
      <c r="AG192" s="228"/>
      <c r="AH192" s="228"/>
      <c r="AI192" s="248"/>
      <c r="AJ192" s="248"/>
      <c r="AK192" s="194"/>
      <c r="AL192" s="249"/>
      <c r="AM192" s="250"/>
      <c r="AN192" s="251"/>
      <c r="AO192" s="252"/>
      <c r="AP192" s="241"/>
      <c r="AQ192" s="241"/>
      <c r="AR192" s="241"/>
      <c r="AS192" s="194"/>
      <c r="AT192" s="195"/>
      <c r="AU192" s="195"/>
    </row>
    <row r="193" spans="1:47">
      <c r="A193" s="253"/>
      <c r="B193" s="230"/>
      <c r="C193" s="245"/>
      <c r="D193" s="230"/>
      <c r="E193" s="230"/>
      <c r="F193" s="230"/>
      <c r="G193" s="228"/>
      <c r="H193" s="230"/>
      <c r="I193" s="230"/>
      <c r="J193" s="246"/>
      <c r="K193" s="230"/>
      <c r="L193" s="230"/>
      <c r="M193" s="230"/>
      <c r="N193" s="230"/>
      <c r="O193" s="230"/>
      <c r="P193" s="256"/>
      <c r="Q193" s="257"/>
      <c r="R193" s="228"/>
      <c r="S193" s="228"/>
      <c r="T193" s="245"/>
      <c r="U193" s="254"/>
      <c r="V193" s="254"/>
      <c r="W193" s="228"/>
      <c r="X193" s="255"/>
      <c r="Y193" s="248"/>
      <c r="Z193" s="248"/>
      <c r="AA193" s="228"/>
      <c r="AB193" s="228"/>
      <c r="AC193" s="228"/>
      <c r="AD193" s="228"/>
      <c r="AE193" s="248"/>
      <c r="AF193" s="247"/>
      <c r="AG193" s="228"/>
      <c r="AH193" s="228"/>
      <c r="AI193" s="248"/>
      <c r="AJ193" s="248"/>
      <c r="AK193" s="194"/>
      <c r="AL193" s="249"/>
      <c r="AM193" s="250"/>
      <c r="AN193" s="251"/>
      <c r="AO193" s="252"/>
      <c r="AP193" s="241"/>
      <c r="AQ193" s="241"/>
      <c r="AR193" s="241"/>
      <c r="AS193" s="194"/>
      <c r="AT193" s="195"/>
      <c r="AU193" s="195"/>
    </row>
    <row r="194" spans="1:47">
      <c r="A194" s="253"/>
      <c r="B194" s="230"/>
      <c r="C194" s="245"/>
      <c r="D194" s="230"/>
      <c r="E194" s="230"/>
      <c r="F194" s="230"/>
      <c r="G194" s="228"/>
      <c r="H194" s="230"/>
      <c r="I194" s="230"/>
      <c r="J194" s="246"/>
      <c r="K194" s="230"/>
      <c r="L194" s="230"/>
      <c r="M194" s="230"/>
      <c r="N194" s="230"/>
      <c r="O194" s="230"/>
      <c r="P194" s="256"/>
      <c r="Q194" s="257"/>
      <c r="R194" s="228"/>
      <c r="S194" s="228"/>
      <c r="T194" s="245"/>
      <c r="U194" s="254"/>
      <c r="V194" s="254"/>
      <c r="W194" s="228"/>
      <c r="X194" s="255"/>
      <c r="Y194" s="248"/>
      <c r="Z194" s="248"/>
      <c r="AA194" s="228"/>
      <c r="AB194" s="228"/>
      <c r="AC194" s="228"/>
      <c r="AD194" s="228"/>
      <c r="AE194" s="248"/>
      <c r="AF194" s="247"/>
      <c r="AG194" s="228"/>
      <c r="AH194" s="228"/>
      <c r="AI194" s="248"/>
      <c r="AJ194" s="248"/>
      <c r="AK194" s="194"/>
      <c r="AL194" s="249"/>
      <c r="AM194" s="250"/>
      <c r="AN194" s="251"/>
      <c r="AO194" s="252"/>
      <c r="AP194" s="241"/>
      <c r="AQ194" s="241"/>
      <c r="AR194" s="241"/>
      <c r="AS194" s="194"/>
      <c r="AT194" s="195"/>
      <c r="AU194" s="195"/>
    </row>
    <row r="195" spans="1:47">
      <c r="A195" s="253"/>
      <c r="B195" s="230"/>
      <c r="C195" s="245"/>
      <c r="D195" s="230"/>
      <c r="E195" s="230"/>
      <c r="F195" s="230"/>
      <c r="G195" s="228"/>
      <c r="H195" s="230"/>
      <c r="I195" s="230"/>
      <c r="J195" s="246"/>
      <c r="K195" s="230"/>
      <c r="L195" s="230"/>
      <c r="M195" s="230"/>
      <c r="N195" s="230"/>
      <c r="O195" s="230"/>
      <c r="P195" s="256"/>
      <c r="Q195" s="257"/>
      <c r="R195" s="228"/>
      <c r="S195" s="228"/>
      <c r="T195" s="245"/>
      <c r="U195" s="254"/>
      <c r="V195" s="254"/>
      <c r="W195" s="228"/>
      <c r="X195" s="255"/>
      <c r="Y195" s="248"/>
      <c r="Z195" s="248"/>
      <c r="AA195" s="228"/>
      <c r="AB195" s="228"/>
      <c r="AC195" s="228"/>
      <c r="AD195" s="228"/>
      <c r="AE195" s="248"/>
      <c r="AF195" s="247"/>
      <c r="AG195" s="228"/>
      <c r="AH195" s="228"/>
      <c r="AI195" s="248"/>
      <c r="AJ195" s="248"/>
      <c r="AK195" s="194"/>
      <c r="AL195" s="249"/>
      <c r="AM195" s="250"/>
      <c r="AN195" s="251"/>
      <c r="AO195" s="252"/>
      <c r="AP195" s="241"/>
      <c r="AQ195" s="241"/>
      <c r="AR195" s="241"/>
      <c r="AS195" s="194"/>
      <c r="AT195" s="195"/>
      <c r="AU195" s="195"/>
    </row>
    <row r="196" spans="1:47">
      <c r="A196" s="253"/>
      <c r="B196" s="230"/>
      <c r="C196" s="245"/>
      <c r="D196" s="230"/>
      <c r="E196" s="230"/>
      <c r="F196" s="230"/>
      <c r="G196" s="228"/>
      <c r="H196" s="230"/>
      <c r="I196" s="230"/>
      <c r="J196" s="246"/>
      <c r="K196" s="230"/>
      <c r="L196" s="230"/>
      <c r="M196" s="230"/>
      <c r="N196" s="230"/>
      <c r="O196" s="230"/>
      <c r="P196" s="256"/>
      <c r="Q196" s="257"/>
      <c r="R196" s="228"/>
      <c r="S196" s="228"/>
      <c r="T196" s="245"/>
      <c r="U196" s="254"/>
      <c r="V196" s="254"/>
      <c r="W196" s="228"/>
      <c r="X196" s="255"/>
      <c r="Y196" s="248"/>
      <c r="Z196" s="248"/>
      <c r="AA196" s="228"/>
      <c r="AB196" s="228"/>
      <c r="AC196" s="228"/>
      <c r="AD196" s="228"/>
      <c r="AE196" s="248"/>
      <c r="AF196" s="247"/>
      <c r="AG196" s="228"/>
      <c r="AH196" s="228"/>
      <c r="AI196" s="248"/>
      <c r="AJ196" s="248"/>
      <c r="AK196" s="194"/>
      <c r="AL196" s="249"/>
      <c r="AM196" s="250"/>
      <c r="AN196" s="251"/>
      <c r="AO196" s="252"/>
      <c r="AP196" s="241"/>
      <c r="AQ196" s="241"/>
      <c r="AR196" s="241"/>
      <c r="AS196" s="194"/>
      <c r="AT196" s="195"/>
      <c r="AU196" s="195"/>
    </row>
    <row r="197" spans="1:47">
      <c r="A197" s="253"/>
      <c r="B197" s="230"/>
      <c r="C197" s="245"/>
      <c r="D197" s="230"/>
      <c r="E197" s="230"/>
      <c r="F197" s="230"/>
      <c r="G197" s="228"/>
      <c r="H197" s="230"/>
      <c r="I197" s="230"/>
      <c r="J197" s="246"/>
      <c r="K197" s="230"/>
      <c r="L197" s="230"/>
      <c r="M197" s="230"/>
      <c r="N197" s="230"/>
      <c r="O197" s="230"/>
      <c r="P197" s="256"/>
      <c r="Q197" s="257"/>
      <c r="R197" s="228"/>
      <c r="S197" s="228"/>
      <c r="T197" s="245"/>
      <c r="U197" s="254"/>
      <c r="V197" s="254"/>
      <c r="W197" s="228"/>
      <c r="X197" s="255"/>
      <c r="Y197" s="248"/>
      <c r="Z197" s="248"/>
      <c r="AA197" s="228"/>
      <c r="AB197" s="228"/>
      <c r="AC197" s="228"/>
      <c r="AD197" s="228"/>
      <c r="AE197" s="248"/>
      <c r="AF197" s="247"/>
      <c r="AG197" s="228"/>
      <c r="AH197" s="228"/>
      <c r="AI197" s="248"/>
      <c r="AJ197" s="248"/>
      <c r="AK197" s="194"/>
      <c r="AL197" s="249"/>
      <c r="AM197" s="250"/>
      <c r="AN197" s="251"/>
      <c r="AO197" s="252"/>
      <c r="AP197" s="241"/>
      <c r="AQ197" s="241"/>
      <c r="AR197" s="241"/>
      <c r="AS197" s="194"/>
      <c r="AT197" s="195"/>
      <c r="AU197" s="195"/>
    </row>
    <row r="198" spans="1:47">
      <c r="A198" s="253"/>
      <c r="B198" s="230"/>
      <c r="C198" s="245"/>
      <c r="D198" s="230"/>
      <c r="E198" s="230"/>
      <c r="F198" s="230"/>
      <c r="G198" s="228"/>
      <c r="H198" s="230"/>
      <c r="I198" s="230"/>
      <c r="J198" s="246"/>
      <c r="K198" s="230"/>
      <c r="L198" s="230"/>
      <c r="M198" s="230"/>
      <c r="N198" s="230"/>
      <c r="O198" s="230"/>
      <c r="P198" s="256"/>
      <c r="Q198" s="257"/>
      <c r="R198" s="228"/>
      <c r="S198" s="228"/>
      <c r="T198" s="245"/>
      <c r="U198" s="254"/>
      <c r="V198" s="254"/>
      <c r="W198" s="228"/>
      <c r="X198" s="255"/>
      <c r="Y198" s="248"/>
      <c r="Z198" s="248"/>
      <c r="AA198" s="228"/>
      <c r="AB198" s="228"/>
      <c r="AC198" s="228"/>
      <c r="AD198" s="228"/>
      <c r="AE198" s="248"/>
      <c r="AF198" s="247"/>
      <c r="AG198" s="228"/>
      <c r="AH198" s="228"/>
      <c r="AI198" s="248"/>
      <c r="AJ198" s="248"/>
      <c r="AK198" s="194"/>
      <c r="AL198" s="249"/>
      <c r="AM198" s="250"/>
      <c r="AN198" s="251"/>
      <c r="AO198" s="252"/>
      <c r="AP198" s="241"/>
      <c r="AQ198" s="241"/>
      <c r="AR198" s="241"/>
      <c r="AS198" s="194"/>
      <c r="AT198" s="195"/>
      <c r="AU198" s="195"/>
    </row>
    <row r="199" spans="1:47">
      <c r="A199" s="253"/>
      <c r="B199" s="230"/>
      <c r="C199" s="245"/>
      <c r="D199" s="230"/>
      <c r="E199" s="230"/>
      <c r="F199" s="230"/>
      <c r="G199" s="228"/>
      <c r="H199" s="230"/>
      <c r="I199" s="230"/>
      <c r="J199" s="246"/>
      <c r="K199" s="230"/>
      <c r="L199" s="230"/>
      <c r="M199" s="230"/>
      <c r="N199" s="230"/>
      <c r="O199" s="230"/>
      <c r="P199" s="256"/>
      <c r="Q199" s="257"/>
      <c r="R199" s="228"/>
      <c r="S199" s="228"/>
      <c r="T199" s="245"/>
      <c r="U199" s="254"/>
      <c r="V199" s="254"/>
      <c r="W199" s="228"/>
      <c r="X199" s="255"/>
      <c r="Y199" s="248"/>
      <c r="Z199" s="248"/>
      <c r="AA199" s="228"/>
      <c r="AB199" s="228"/>
      <c r="AC199" s="228"/>
      <c r="AD199" s="228"/>
      <c r="AE199" s="248"/>
      <c r="AF199" s="247"/>
      <c r="AG199" s="228"/>
      <c r="AH199" s="228"/>
      <c r="AI199" s="248"/>
      <c r="AJ199" s="248"/>
      <c r="AK199" s="194"/>
      <c r="AL199" s="249"/>
      <c r="AM199" s="250"/>
      <c r="AN199" s="251"/>
      <c r="AO199" s="252"/>
      <c r="AP199" s="241"/>
      <c r="AQ199" s="241"/>
      <c r="AR199" s="241"/>
      <c r="AS199" s="194"/>
      <c r="AT199" s="195"/>
      <c r="AU199" s="195"/>
    </row>
    <row r="200" spans="1:47">
      <c r="A200" s="253"/>
      <c r="B200" s="230"/>
      <c r="C200" s="245"/>
      <c r="D200" s="230"/>
      <c r="E200" s="230"/>
      <c r="F200" s="230"/>
      <c r="G200" s="228"/>
      <c r="H200" s="230"/>
      <c r="I200" s="230"/>
      <c r="J200" s="246"/>
      <c r="K200" s="230"/>
      <c r="L200" s="230"/>
      <c r="M200" s="230"/>
      <c r="N200" s="230"/>
      <c r="O200" s="230"/>
      <c r="P200" s="256"/>
      <c r="Q200" s="257"/>
      <c r="R200" s="228"/>
      <c r="S200" s="228"/>
      <c r="T200" s="245"/>
      <c r="U200" s="254"/>
      <c r="V200" s="254"/>
      <c r="W200" s="228"/>
      <c r="X200" s="255"/>
      <c r="Y200" s="248"/>
      <c r="Z200" s="248"/>
      <c r="AA200" s="228"/>
      <c r="AB200" s="228"/>
      <c r="AC200" s="228"/>
      <c r="AD200" s="228"/>
      <c r="AE200" s="248"/>
      <c r="AF200" s="247"/>
      <c r="AG200" s="228"/>
      <c r="AH200" s="228"/>
      <c r="AI200" s="248"/>
      <c r="AJ200" s="248"/>
      <c r="AK200" s="194"/>
      <c r="AL200" s="249"/>
      <c r="AM200" s="250"/>
      <c r="AN200" s="251"/>
      <c r="AO200" s="252"/>
      <c r="AP200" s="241"/>
      <c r="AQ200" s="241"/>
      <c r="AR200" s="241"/>
      <c r="AS200" s="194"/>
      <c r="AT200" s="195"/>
      <c r="AU200" s="195"/>
    </row>
    <row r="201" spans="1:47">
      <c r="A201" s="253"/>
      <c r="B201" s="230"/>
      <c r="C201" s="245"/>
      <c r="D201" s="230"/>
      <c r="E201" s="230"/>
      <c r="F201" s="230"/>
      <c r="G201" s="228"/>
      <c r="H201" s="230"/>
      <c r="I201" s="230"/>
      <c r="J201" s="246"/>
      <c r="K201" s="230"/>
      <c r="L201" s="230"/>
      <c r="M201" s="230"/>
      <c r="N201" s="230"/>
      <c r="O201" s="230"/>
      <c r="P201" s="256"/>
      <c r="Q201" s="257"/>
      <c r="R201" s="228"/>
      <c r="S201" s="228"/>
      <c r="T201" s="245"/>
      <c r="U201" s="254"/>
      <c r="V201" s="254"/>
      <c r="W201" s="228"/>
      <c r="X201" s="255"/>
      <c r="Y201" s="248"/>
      <c r="Z201" s="248"/>
      <c r="AA201" s="228"/>
      <c r="AB201" s="228"/>
      <c r="AC201" s="228"/>
      <c r="AD201" s="228"/>
      <c r="AE201" s="248"/>
      <c r="AF201" s="247"/>
      <c r="AG201" s="228"/>
      <c r="AH201" s="228"/>
      <c r="AI201" s="248"/>
      <c r="AJ201" s="248"/>
      <c r="AK201" s="194"/>
      <c r="AL201" s="249"/>
      <c r="AM201" s="250"/>
      <c r="AN201" s="251"/>
      <c r="AO201" s="252"/>
      <c r="AP201" s="241"/>
      <c r="AQ201" s="241"/>
      <c r="AR201" s="241"/>
      <c r="AS201" s="194"/>
      <c r="AT201" s="195"/>
      <c r="AU201" s="195"/>
    </row>
    <row r="202" spans="1:47">
      <c r="A202" s="253"/>
      <c r="B202" s="230"/>
      <c r="C202" s="245"/>
      <c r="D202" s="230"/>
      <c r="E202" s="230"/>
      <c r="F202" s="230"/>
      <c r="G202" s="228"/>
      <c r="H202" s="230"/>
      <c r="I202" s="230"/>
      <c r="J202" s="246"/>
      <c r="K202" s="230"/>
      <c r="L202" s="230"/>
      <c r="M202" s="230"/>
      <c r="N202" s="230"/>
      <c r="O202" s="230"/>
      <c r="P202" s="256"/>
      <c r="Q202" s="257"/>
      <c r="R202" s="228"/>
      <c r="S202" s="228"/>
      <c r="T202" s="245"/>
      <c r="U202" s="254"/>
      <c r="V202" s="254"/>
      <c r="W202" s="228"/>
      <c r="X202" s="255"/>
      <c r="Y202" s="248"/>
      <c r="Z202" s="248"/>
      <c r="AA202" s="228"/>
      <c r="AB202" s="228"/>
      <c r="AC202" s="228"/>
      <c r="AD202" s="228"/>
      <c r="AE202" s="248"/>
      <c r="AF202" s="247"/>
      <c r="AG202" s="228"/>
      <c r="AH202" s="228"/>
      <c r="AI202" s="248"/>
      <c r="AJ202" s="248"/>
      <c r="AK202" s="194"/>
      <c r="AL202" s="249"/>
      <c r="AM202" s="250"/>
      <c r="AN202" s="251"/>
      <c r="AO202" s="252"/>
      <c r="AP202" s="241"/>
      <c r="AQ202" s="241"/>
      <c r="AR202" s="241"/>
      <c r="AS202" s="194"/>
      <c r="AT202" s="195"/>
      <c r="AU202" s="195"/>
    </row>
    <row r="203" spans="1:47">
      <c r="A203" s="253"/>
      <c r="B203" s="230"/>
      <c r="C203" s="245"/>
      <c r="D203" s="230"/>
      <c r="E203" s="230"/>
      <c r="F203" s="230"/>
      <c r="G203" s="228"/>
      <c r="H203" s="230"/>
      <c r="I203" s="230"/>
      <c r="J203" s="246"/>
      <c r="K203" s="230"/>
      <c r="L203" s="230"/>
      <c r="M203" s="230"/>
      <c r="N203" s="230"/>
      <c r="O203" s="230"/>
      <c r="P203" s="256"/>
      <c r="Q203" s="257"/>
      <c r="R203" s="228"/>
      <c r="S203" s="228"/>
      <c r="T203" s="245"/>
      <c r="U203" s="254"/>
      <c r="V203" s="254"/>
      <c r="W203" s="228"/>
      <c r="X203" s="255"/>
      <c r="Y203" s="248"/>
      <c r="Z203" s="248"/>
      <c r="AA203" s="228"/>
      <c r="AB203" s="228"/>
      <c r="AC203" s="228"/>
      <c r="AD203" s="228"/>
      <c r="AE203" s="248"/>
      <c r="AF203" s="247"/>
      <c r="AG203" s="228"/>
      <c r="AH203" s="228"/>
      <c r="AI203" s="248"/>
      <c r="AJ203" s="248"/>
      <c r="AK203" s="194"/>
      <c r="AL203" s="249"/>
      <c r="AM203" s="250"/>
      <c r="AN203" s="251"/>
      <c r="AO203" s="252"/>
      <c r="AP203" s="241"/>
      <c r="AQ203" s="241"/>
      <c r="AR203" s="241"/>
      <c r="AS203" s="194"/>
      <c r="AT203" s="195"/>
      <c r="AU203" s="195"/>
    </row>
    <row r="204" spans="1:47">
      <c r="A204" s="253"/>
      <c r="B204" s="230"/>
      <c r="C204" s="245"/>
      <c r="D204" s="230"/>
      <c r="E204" s="230"/>
      <c r="F204" s="230"/>
      <c r="G204" s="228"/>
      <c r="H204" s="230"/>
      <c r="I204" s="230"/>
      <c r="J204" s="246"/>
      <c r="K204" s="230"/>
      <c r="L204" s="230"/>
      <c r="M204" s="230"/>
      <c r="N204" s="230"/>
      <c r="O204" s="230"/>
      <c r="P204" s="256"/>
      <c r="Q204" s="257"/>
      <c r="R204" s="228"/>
      <c r="S204" s="228"/>
      <c r="T204" s="245"/>
      <c r="U204" s="254"/>
      <c r="V204" s="254"/>
      <c r="W204" s="228"/>
      <c r="X204" s="255"/>
      <c r="Y204" s="248"/>
      <c r="Z204" s="248"/>
      <c r="AA204" s="228"/>
      <c r="AB204" s="228"/>
      <c r="AC204" s="228"/>
      <c r="AD204" s="228"/>
      <c r="AE204" s="248"/>
      <c r="AF204" s="247"/>
      <c r="AG204" s="228"/>
      <c r="AH204" s="228"/>
      <c r="AI204" s="248"/>
      <c r="AJ204" s="248"/>
      <c r="AK204" s="194"/>
      <c r="AL204" s="249"/>
      <c r="AM204" s="250"/>
      <c r="AN204" s="251"/>
      <c r="AO204" s="252"/>
      <c r="AP204" s="241"/>
      <c r="AQ204" s="241"/>
      <c r="AR204" s="241"/>
      <c r="AS204" s="194"/>
      <c r="AT204" s="195"/>
      <c r="AU204" s="195"/>
    </row>
    <row r="205" spans="1:47">
      <c r="A205" s="253"/>
      <c r="B205" s="230"/>
      <c r="C205" s="245"/>
      <c r="D205" s="230"/>
      <c r="E205" s="230"/>
      <c r="F205" s="230"/>
      <c r="G205" s="228"/>
      <c r="H205" s="230"/>
      <c r="I205" s="230"/>
      <c r="J205" s="246"/>
      <c r="K205" s="230"/>
      <c r="L205" s="230"/>
      <c r="M205" s="230"/>
      <c r="N205" s="230"/>
      <c r="O205" s="230"/>
      <c r="P205" s="256"/>
      <c r="Q205" s="257"/>
      <c r="R205" s="228"/>
      <c r="S205" s="228"/>
      <c r="T205" s="245"/>
      <c r="U205" s="254"/>
      <c r="V205" s="254"/>
      <c r="W205" s="228"/>
      <c r="X205" s="255"/>
      <c r="Y205" s="248"/>
      <c r="Z205" s="248"/>
      <c r="AA205" s="228"/>
      <c r="AB205" s="228"/>
      <c r="AC205" s="228"/>
      <c r="AD205" s="228"/>
      <c r="AE205" s="248"/>
      <c r="AF205" s="247"/>
      <c r="AG205" s="228"/>
      <c r="AH205" s="228"/>
      <c r="AI205" s="248"/>
      <c r="AJ205" s="248"/>
      <c r="AK205" s="194"/>
      <c r="AL205" s="249"/>
      <c r="AM205" s="250"/>
      <c r="AN205" s="251"/>
      <c r="AO205" s="252"/>
      <c r="AP205" s="241"/>
      <c r="AQ205" s="241"/>
      <c r="AR205" s="241"/>
      <c r="AS205" s="194"/>
      <c r="AT205" s="195"/>
      <c r="AU205" s="195"/>
    </row>
    <row r="206" spans="1:47">
      <c r="A206" s="253"/>
      <c r="B206" s="230"/>
      <c r="C206" s="245"/>
      <c r="D206" s="230"/>
      <c r="E206" s="230"/>
      <c r="F206" s="230"/>
      <c r="G206" s="228"/>
      <c r="H206" s="230"/>
      <c r="I206" s="230"/>
      <c r="J206" s="246"/>
      <c r="K206" s="230"/>
      <c r="L206" s="230"/>
      <c r="M206" s="230"/>
      <c r="N206" s="230"/>
      <c r="O206" s="230"/>
      <c r="P206" s="256"/>
      <c r="Q206" s="257"/>
      <c r="R206" s="228"/>
      <c r="S206" s="228"/>
      <c r="T206" s="245"/>
      <c r="U206" s="254"/>
      <c r="V206" s="254"/>
      <c r="W206" s="228"/>
      <c r="X206" s="255"/>
      <c r="Y206" s="248"/>
      <c r="Z206" s="248"/>
      <c r="AA206" s="228"/>
      <c r="AB206" s="228"/>
      <c r="AC206" s="228"/>
      <c r="AD206" s="228"/>
      <c r="AE206" s="248"/>
      <c r="AF206" s="247"/>
      <c r="AG206" s="228"/>
      <c r="AH206" s="228"/>
      <c r="AI206" s="248"/>
      <c r="AJ206" s="248"/>
      <c r="AK206" s="194"/>
      <c r="AL206" s="249"/>
      <c r="AM206" s="250"/>
      <c r="AN206" s="251"/>
      <c r="AO206" s="252"/>
      <c r="AP206" s="241"/>
      <c r="AQ206" s="241"/>
      <c r="AR206" s="241"/>
      <c r="AS206" s="194"/>
      <c r="AT206" s="195"/>
      <c r="AU206" s="195"/>
    </row>
    <row r="207" spans="1:47">
      <c r="A207" s="253"/>
      <c r="B207" s="230"/>
      <c r="C207" s="245"/>
      <c r="D207" s="230"/>
      <c r="E207" s="230"/>
      <c r="F207" s="230"/>
      <c r="G207" s="228"/>
      <c r="H207" s="230"/>
      <c r="I207" s="230"/>
      <c r="J207" s="246"/>
      <c r="K207" s="230"/>
      <c r="L207" s="230"/>
      <c r="M207" s="230"/>
      <c r="N207" s="230"/>
      <c r="O207" s="230"/>
      <c r="P207" s="256"/>
      <c r="Q207" s="257"/>
      <c r="R207" s="228"/>
      <c r="S207" s="228"/>
      <c r="T207" s="245"/>
      <c r="U207" s="254"/>
      <c r="V207" s="254"/>
      <c r="W207" s="228"/>
      <c r="X207" s="255"/>
      <c r="Y207" s="248"/>
      <c r="Z207" s="248"/>
      <c r="AA207" s="228"/>
      <c r="AB207" s="228"/>
      <c r="AC207" s="228"/>
      <c r="AD207" s="228"/>
      <c r="AE207" s="248"/>
      <c r="AF207" s="247"/>
      <c r="AG207" s="228"/>
      <c r="AH207" s="228"/>
      <c r="AI207" s="248"/>
      <c r="AJ207" s="248"/>
      <c r="AK207" s="194"/>
      <c r="AL207" s="249"/>
      <c r="AM207" s="250"/>
      <c r="AN207" s="251"/>
      <c r="AO207" s="252"/>
      <c r="AP207" s="241"/>
      <c r="AQ207" s="241"/>
      <c r="AR207" s="241"/>
      <c r="AS207" s="194"/>
      <c r="AT207" s="195"/>
      <c r="AU207" s="195"/>
    </row>
    <row r="208" spans="1:47">
      <c r="A208" s="253"/>
      <c r="B208" s="230"/>
      <c r="C208" s="245"/>
      <c r="D208" s="230"/>
      <c r="E208" s="230"/>
      <c r="F208" s="230"/>
      <c r="G208" s="228"/>
      <c r="H208" s="230"/>
      <c r="I208" s="230"/>
      <c r="J208" s="246"/>
      <c r="K208" s="230"/>
      <c r="L208" s="230"/>
      <c r="M208" s="230"/>
      <c r="N208" s="230"/>
      <c r="O208" s="230"/>
      <c r="P208" s="256"/>
      <c r="Q208" s="257"/>
      <c r="R208" s="228"/>
      <c r="S208" s="228"/>
      <c r="T208" s="245"/>
      <c r="U208" s="254"/>
      <c r="V208" s="254"/>
      <c r="W208" s="228"/>
      <c r="X208" s="255"/>
      <c r="Y208" s="248"/>
      <c r="Z208" s="248"/>
      <c r="AA208" s="228"/>
      <c r="AB208" s="228"/>
      <c r="AC208" s="228"/>
      <c r="AD208" s="228"/>
      <c r="AE208" s="248"/>
      <c r="AF208" s="247"/>
      <c r="AG208" s="228"/>
      <c r="AH208" s="228"/>
      <c r="AI208" s="248"/>
      <c r="AJ208" s="248"/>
      <c r="AK208" s="194"/>
      <c r="AL208" s="249"/>
      <c r="AM208" s="250"/>
      <c r="AN208" s="251"/>
      <c r="AO208" s="252"/>
      <c r="AP208" s="241"/>
      <c r="AQ208" s="241"/>
      <c r="AR208" s="241"/>
      <c r="AS208" s="194"/>
      <c r="AT208" s="195"/>
      <c r="AU208" s="195"/>
    </row>
    <row r="209" spans="1:47">
      <c r="A209" s="253"/>
      <c r="B209" s="230"/>
      <c r="C209" s="245"/>
      <c r="D209" s="230"/>
      <c r="E209" s="230"/>
      <c r="F209" s="230"/>
      <c r="G209" s="228"/>
      <c r="H209" s="230"/>
      <c r="I209" s="230"/>
      <c r="J209" s="246"/>
      <c r="K209" s="230"/>
      <c r="L209" s="230"/>
      <c r="M209" s="230"/>
      <c r="N209" s="230"/>
      <c r="O209" s="230"/>
      <c r="P209" s="256"/>
      <c r="Q209" s="257"/>
      <c r="R209" s="228"/>
      <c r="S209" s="228"/>
      <c r="T209" s="245"/>
      <c r="U209" s="254"/>
      <c r="V209" s="254"/>
      <c r="W209" s="228"/>
      <c r="X209" s="255"/>
      <c r="Y209" s="248"/>
      <c r="Z209" s="248"/>
      <c r="AA209" s="228"/>
      <c r="AB209" s="228"/>
      <c r="AC209" s="228"/>
      <c r="AD209" s="228"/>
      <c r="AE209" s="248"/>
      <c r="AF209" s="247"/>
      <c r="AG209" s="228"/>
      <c r="AH209" s="228"/>
      <c r="AI209" s="248"/>
      <c r="AJ209" s="248"/>
      <c r="AK209" s="194"/>
      <c r="AL209" s="249"/>
      <c r="AM209" s="250"/>
      <c r="AN209" s="251"/>
      <c r="AO209" s="252"/>
      <c r="AP209" s="241"/>
      <c r="AQ209" s="241"/>
      <c r="AR209" s="241"/>
      <c r="AS209" s="194"/>
      <c r="AT209" s="195"/>
      <c r="AU209" s="195"/>
    </row>
    <row r="210" spans="1:47">
      <c r="A210" s="253"/>
      <c r="B210" s="230"/>
      <c r="C210" s="245"/>
      <c r="D210" s="230"/>
      <c r="E210" s="230"/>
      <c r="F210" s="230"/>
      <c r="G210" s="228"/>
      <c r="H210" s="230"/>
      <c r="I210" s="230"/>
      <c r="J210" s="246"/>
      <c r="K210" s="230"/>
      <c r="L210" s="230"/>
      <c r="M210" s="230"/>
      <c r="N210" s="230"/>
      <c r="O210" s="230"/>
      <c r="P210" s="256"/>
      <c r="Q210" s="257"/>
      <c r="R210" s="228"/>
      <c r="S210" s="228"/>
      <c r="T210" s="245"/>
      <c r="U210" s="254"/>
      <c r="V210" s="254"/>
      <c r="W210" s="228"/>
      <c r="X210" s="255"/>
      <c r="Y210" s="248"/>
      <c r="Z210" s="248"/>
      <c r="AA210" s="228"/>
      <c r="AB210" s="228"/>
      <c r="AC210" s="228"/>
      <c r="AD210" s="228"/>
      <c r="AE210" s="248"/>
      <c r="AF210" s="247"/>
      <c r="AG210" s="228"/>
      <c r="AH210" s="228"/>
      <c r="AI210" s="248"/>
      <c r="AJ210" s="248"/>
      <c r="AK210" s="194"/>
      <c r="AL210" s="249"/>
      <c r="AM210" s="250"/>
      <c r="AN210" s="251"/>
      <c r="AO210" s="252"/>
      <c r="AP210" s="241"/>
      <c r="AQ210" s="241"/>
      <c r="AR210" s="241"/>
      <c r="AS210" s="194"/>
      <c r="AT210" s="195"/>
      <c r="AU210" s="195"/>
    </row>
    <row r="211" spans="1:47">
      <c r="A211" s="253"/>
      <c r="B211" s="230"/>
      <c r="C211" s="245"/>
      <c r="D211" s="230"/>
      <c r="E211" s="230"/>
      <c r="F211" s="230"/>
      <c r="G211" s="228"/>
      <c r="H211" s="230"/>
      <c r="I211" s="230"/>
      <c r="J211" s="246"/>
      <c r="K211" s="230"/>
      <c r="L211" s="230"/>
      <c r="M211" s="230"/>
      <c r="N211" s="230"/>
      <c r="O211" s="230"/>
      <c r="P211" s="256"/>
      <c r="Q211" s="257"/>
      <c r="R211" s="228"/>
      <c r="S211" s="228"/>
      <c r="T211" s="245"/>
      <c r="U211" s="254"/>
      <c r="V211" s="254"/>
      <c r="W211" s="228"/>
      <c r="X211" s="255"/>
      <c r="Y211" s="248"/>
      <c r="Z211" s="248"/>
      <c r="AA211" s="228"/>
      <c r="AB211" s="228"/>
      <c r="AC211" s="228"/>
      <c r="AD211" s="228"/>
      <c r="AE211" s="248"/>
      <c r="AF211" s="247"/>
      <c r="AG211" s="228"/>
      <c r="AH211" s="228"/>
      <c r="AI211" s="248"/>
      <c r="AJ211" s="248"/>
      <c r="AK211" s="194"/>
      <c r="AL211" s="249"/>
      <c r="AM211" s="250"/>
      <c r="AN211" s="251"/>
      <c r="AO211" s="252"/>
      <c r="AP211" s="241"/>
      <c r="AQ211" s="241"/>
      <c r="AR211" s="241"/>
      <c r="AS211" s="194"/>
      <c r="AT211" s="195"/>
      <c r="AU211" s="195"/>
    </row>
    <row r="212" spans="1:47">
      <c r="A212" s="253"/>
      <c r="B212" s="230"/>
      <c r="C212" s="245"/>
      <c r="D212" s="230"/>
      <c r="E212" s="230"/>
      <c r="F212" s="230"/>
      <c r="G212" s="228"/>
      <c r="H212" s="230"/>
      <c r="I212" s="230"/>
      <c r="J212" s="246"/>
      <c r="K212" s="230"/>
      <c r="L212" s="230"/>
      <c r="M212" s="230"/>
      <c r="N212" s="230"/>
      <c r="O212" s="230"/>
      <c r="P212" s="256"/>
      <c r="Q212" s="257"/>
      <c r="R212" s="228"/>
      <c r="S212" s="228"/>
      <c r="T212" s="245"/>
      <c r="U212" s="254"/>
      <c r="V212" s="254"/>
      <c r="W212" s="228"/>
      <c r="X212" s="255"/>
      <c r="Y212" s="248"/>
      <c r="Z212" s="248"/>
      <c r="AA212" s="228"/>
      <c r="AB212" s="228"/>
      <c r="AC212" s="228"/>
      <c r="AD212" s="228"/>
      <c r="AE212" s="248"/>
      <c r="AF212" s="247"/>
      <c r="AG212" s="228"/>
      <c r="AH212" s="228"/>
      <c r="AI212" s="248"/>
      <c r="AJ212" s="248"/>
      <c r="AK212" s="194"/>
      <c r="AL212" s="249"/>
      <c r="AM212" s="250"/>
      <c r="AN212" s="251"/>
      <c r="AO212" s="252"/>
      <c r="AP212" s="241"/>
      <c r="AQ212" s="241"/>
      <c r="AR212" s="241"/>
      <c r="AS212" s="194"/>
      <c r="AT212" s="195"/>
      <c r="AU212" s="195"/>
    </row>
    <row r="213" spans="1:47">
      <c r="A213" s="253"/>
      <c r="B213" s="230"/>
      <c r="C213" s="245"/>
      <c r="D213" s="230"/>
      <c r="E213" s="230"/>
      <c r="F213" s="230"/>
      <c r="G213" s="228"/>
      <c r="H213" s="230"/>
      <c r="I213" s="230"/>
      <c r="J213" s="246"/>
      <c r="K213" s="230"/>
      <c r="L213" s="230"/>
      <c r="M213" s="230"/>
      <c r="N213" s="230"/>
      <c r="O213" s="230"/>
      <c r="P213" s="256"/>
      <c r="Q213" s="257"/>
      <c r="R213" s="228"/>
      <c r="S213" s="228"/>
      <c r="T213" s="245"/>
      <c r="U213" s="254"/>
      <c r="V213" s="254"/>
      <c r="W213" s="228"/>
      <c r="X213" s="255"/>
      <c r="Y213" s="248"/>
      <c r="Z213" s="248"/>
      <c r="AA213" s="228"/>
      <c r="AB213" s="228"/>
      <c r="AC213" s="228"/>
      <c r="AD213" s="228"/>
      <c r="AE213" s="248"/>
      <c r="AF213" s="247"/>
      <c r="AG213" s="228"/>
      <c r="AH213" s="228"/>
      <c r="AI213" s="248"/>
      <c r="AJ213" s="248"/>
      <c r="AK213" s="194"/>
      <c r="AL213" s="249"/>
      <c r="AM213" s="250"/>
      <c r="AN213" s="251"/>
      <c r="AO213" s="252"/>
      <c r="AP213" s="241"/>
      <c r="AQ213" s="241"/>
      <c r="AR213" s="241"/>
      <c r="AS213" s="194"/>
      <c r="AT213" s="195"/>
      <c r="AU213" s="195"/>
    </row>
    <row r="214" spans="1:47">
      <c r="A214" s="253"/>
      <c r="B214" s="230"/>
      <c r="C214" s="245"/>
      <c r="D214" s="230"/>
      <c r="E214" s="230"/>
      <c r="F214" s="230"/>
      <c r="G214" s="228"/>
      <c r="H214" s="230"/>
      <c r="I214" s="230"/>
      <c r="J214" s="246"/>
      <c r="K214" s="230"/>
      <c r="L214" s="230"/>
      <c r="M214" s="230"/>
      <c r="N214" s="230"/>
      <c r="O214" s="230"/>
      <c r="P214" s="256"/>
      <c r="Q214" s="257"/>
      <c r="R214" s="228"/>
      <c r="S214" s="228"/>
      <c r="T214" s="245"/>
      <c r="U214" s="254"/>
      <c r="V214" s="254"/>
      <c r="W214" s="228"/>
      <c r="X214" s="255"/>
      <c r="Y214" s="248"/>
      <c r="Z214" s="248"/>
      <c r="AA214" s="228"/>
      <c r="AB214" s="228"/>
      <c r="AC214" s="228"/>
      <c r="AD214" s="228"/>
      <c r="AE214" s="248"/>
      <c r="AF214" s="247"/>
      <c r="AG214" s="228"/>
      <c r="AH214" s="228"/>
      <c r="AI214" s="248"/>
      <c r="AJ214" s="248"/>
      <c r="AK214" s="194"/>
      <c r="AL214" s="249"/>
      <c r="AM214" s="250"/>
      <c r="AN214" s="251"/>
      <c r="AO214" s="252"/>
      <c r="AP214" s="241"/>
      <c r="AQ214" s="241"/>
      <c r="AR214" s="241"/>
      <c r="AS214" s="194"/>
      <c r="AT214" s="195"/>
      <c r="AU214" s="195"/>
    </row>
    <row r="215" spans="1:47">
      <c r="A215" s="253"/>
      <c r="B215" s="230"/>
      <c r="C215" s="245"/>
      <c r="D215" s="230"/>
      <c r="E215" s="230"/>
      <c r="F215" s="230"/>
      <c r="G215" s="228"/>
      <c r="H215" s="230"/>
      <c r="I215" s="230"/>
      <c r="J215" s="246"/>
      <c r="K215" s="230"/>
      <c r="L215" s="230"/>
      <c r="M215" s="230"/>
      <c r="N215" s="230"/>
      <c r="O215" s="230"/>
      <c r="P215" s="256"/>
      <c r="Q215" s="257"/>
      <c r="R215" s="228"/>
      <c r="S215" s="228"/>
      <c r="T215" s="245"/>
      <c r="U215" s="254"/>
      <c r="V215" s="254"/>
      <c r="W215" s="228"/>
      <c r="X215" s="255"/>
      <c r="Y215" s="248"/>
      <c r="Z215" s="248"/>
      <c r="AA215" s="228"/>
      <c r="AB215" s="228"/>
      <c r="AC215" s="228"/>
      <c r="AD215" s="228"/>
      <c r="AE215" s="248"/>
      <c r="AF215" s="247"/>
      <c r="AG215" s="228"/>
      <c r="AH215" s="228"/>
      <c r="AI215" s="248"/>
      <c r="AJ215" s="248"/>
      <c r="AK215" s="194"/>
      <c r="AL215" s="249"/>
      <c r="AM215" s="250"/>
      <c r="AN215" s="251"/>
      <c r="AO215" s="252"/>
      <c r="AP215" s="241"/>
      <c r="AQ215" s="241"/>
      <c r="AR215" s="241"/>
      <c r="AS215" s="194"/>
      <c r="AT215" s="195"/>
      <c r="AU215" s="195"/>
    </row>
    <row r="216" spans="1:47">
      <c r="A216" s="253"/>
      <c r="B216" s="230"/>
      <c r="C216" s="245"/>
      <c r="D216" s="230"/>
      <c r="E216" s="230"/>
      <c r="F216" s="230"/>
      <c r="G216" s="228"/>
      <c r="H216" s="230"/>
      <c r="I216" s="230"/>
      <c r="J216" s="246"/>
      <c r="K216" s="230"/>
      <c r="L216" s="230"/>
      <c r="M216" s="230"/>
      <c r="N216" s="230"/>
      <c r="O216" s="230"/>
      <c r="P216" s="256"/>
      <c r="Q216" s="257"/>
      <c r="R216" s="228"/>
      <c r="S216" s="228"/>
      <c r="T216" s="245"/>
      <c r="U216" s="254"/>
      <c r="V216" s="254"/>
      <c r="W216" s="228"/>
      <c r="X216" s="255"/>
      <c r="Y216" s="248"/>
      <c r="Z216" s="248"/>
      <c r="AA216" s="228"/>
      <c r="AB216" s="228"/>
      <c r="AC216" s="228"/>
      <c r="AD216" s="228"/>
      <c r="AE216" s="248"/>
      <c r="AF216" s="247"/>
      <c r="AG216" s="228"/>
      <c r="AH216" s="228"/>
      <c r="AI216" s="248"/>
      <c r="AJ216" s="248"/>
      <c r="AK216" s="194"/>
      <c r="AL216" s="249"/>
      <c r="AM216" s="250"/>
      <c r="AN216" s="251"/>
      <c r="AO216" s="252"/>
      <c r="AP216" s="241"/>
      <c r="AQ216" s="241"/>
      <c r="AR216" s="241"/>
      <c r="AS216" s="194"/>
      <c r="AT216" s="195"/>
      <c r="AU216" s="195"/>
    </row>
    <row r="217" spans="1:47">
      <c r="A217" s="253"/>
      <c r="B217" s="230"/>
      <c r="C217" s="245"/>
      <c r="D217" s="230"/>
      <c r="E217" s="230"/>
      <c r="F217" s="230"/>
      <c r="G217" s="228"/>
      <c r="H217" s="230"/>
      <c r="I217" s="230"/>
      <c r="J217" s="246"/>
      <c r="K217" s="230"/>
      <c r="L217" s="230"/>
      <c r="M217" s="230"/>
      <c r="N217" s="230"/>
      <c r="O217" s="230"/>
      <c r="P217" s="256"/>
      <c r="Q217" s="257"/>
      <c r="R217" s="228"/>
      <c r="S217" s="228"/>
      <c r="T217" s="245"/>
      <c r="U217" s="254"/>
      <c r="V217" s="254"/>
      <c r="W217" s="228"/>
      <c r="X217" s="255"/>
      <c r="Y217" s="248"/>
      <c r="Z217" s="248"/>
      <c r="AA217" s="228"/>
      <c r="AB217" s="228"/>
      <c r="AC217" s="228"/>
      <c r="AD217" s="228"/>
      <c r="AE217" s="248"/>
      <c r="AF217" s="247"/>
      <c r="AG217" s="228"/>
      <c r="AH217" s="228"/>
      <c r="AI217" s="248"/>
      <c r="AJ217" s="248"/>
      <c r="AK217" s="194"/>
      <c r="AL217" s="249"/>
      <c r="AM217" s="250"/>
      <c r="AN217" s="251"/>
      <c r="AO217" s="252"/>
      <c r="AP217" s="241"/>
      <c r="AQ217" s="241"/>
      <c r="AR217" s="241"/>
      <c r="AS217" s="194"/>
      <c r="AT217" s="195"/>
      <c r="AU217" s="195"/>
    </row>
    <row r="218" spans="1:47">
      <c r="A218" s="253"/>
      <c r="B218" s="230"/>
      <c r="C218" s="245"/>
      <c r="D218" s="230"/>
      <c r="E218" s="230"/>
      <c r="F218" s="230"/>
      <c r="G218" s="228"/>
      <c r="H218" s="230"/>
      <c r="I218" s="230"/>
      <c r="J218" s="246"/>
      <c r="K218" s="230"/>
      <c r="L218" s="230"/>
      <c r="M218" s="230"/>
      <c r="N218" s="230"/>
      <c r="O218" s="230"/>
      <c r="P218" s="256"/>
      <c r="Q218" s="257"/>
      <c r="R218" s="228"/>
      <c r="S218" s="228"/>
      <c r="T218" s="245"/>
      <c r="U218" s="254"/>
      <c r="V218" s="254"/>
      <c r="W218" s="228"/>
      <c r="X218" s="255"/>
      <c r="Y218" s="248"/>
      <c r="Z218" s="248"/>
      <c r="AA218" s="228"/>
      <c r="AB218" s="228"/>
      <c r="AC218" s="228"/>
      <c r="AD218" s="228"/>
      <c r="AE218" s="248"/>
      <c r="AF218" s="247"/>
      <c r="AG218" s="228"/>
      <c r="AH218" s="228"/>
      <c r="AI218" s="248"/>
      <c r="AJ218" s="248"/>
      <c r="AK218" s="194"/>
      <c r="AL218" s="249"/>
      <c r="AM218" s="250"/>
      <c r="AN218" s="251"/>
      <c r="AO218" s="252"/>
      <c r="AP218" s="241"/>
      <c r="AQ218" s="241"/>
      <c r="AR218" s="241"/>
      <c r="AS218" s="194"/>
      <c r="AT218" s="195"/>
      <c r="AU218" s="195"/>
    </row>
    <row r="219" spans="1:47">
      <c r="A219" s="253"/>
      <c r="B219" s="230"/>
      <c r="C219" s="245"/>
      <c r="D219" s="230"/>
      <c r="E219" s="230"/>
      <c r="F219" s="230"/>
      <c r="G219" s="228"/>
      <c r="H219" s="230"/>
      <c r="I219" s="230"/>
      <c r="J219" s="246"/>
      <c r="K219" s="230"/>
      <c r="L219" s="230"/>
      <c r="M219" s="230"/>
      <c r="N219" s="230"/>
      <c r="O219" s="230"/>
      <c r="P219" s="256"/>
      <c r="Q219" s="257"/>
      <c r="R219" s="228"/>
      <c r="S219" s="228"/>
      <c r="T219" s="245"/>
      <c r="U219" s="254"/>
      <c r="V219" s="254"/>
      <c r="W219" s="228"/>
      <c r="X219" s="255"/>
      <c r="Y219" s="248"/>
      <c r="Z219" s="248"/>
      <c r="AA219" s="228"/>
      <c r="AB219" s="228"/>
      <c r="AC219" s="228"/>
      <c r="AD219" s="228"/>
      <c r="AE219" s="248"/>
      <c r="AF219" s="247"/>
      <c r="AG219" s="228"/>
      <c r="AH219" s="228"/>
      <c r="AI219" s="248"/>
      <c r="AJ219" s="248"/>
      <c r="AK219" s="194"/>
      <c r="AL219" s="249"/>
      <c r="AM219" s="250"/>
      <c r="AN219" s="251"/>
      <c r="AO219" s="252"/>
      <c r="AP219" s="241"/>
      <c r="AQ219" s="241"/>
      <c r="AR219" s="241"/>
      <c r="AS219" s="194"/>
      <c r="AT219" s="195"/>
      <c r="AU219" s="195"/>
    </row>
    <row r="220" spans="1:47">
      <c r="A220" s="253"/>
      <c r="B220" s="230"/>
      <c r="C220" s="245"/>
      <c r="D220" s="230"/>
      <c r="E220" s="230"/>
      <c r="F220" s="230"/>
      <c r="G220" s="228"/>
      <c r="H220" s="230"/>
      <c r="I220" s="230"/>
      <c r="J220" s="246"/>
      <c r="K220" s="230"/>
      <c r="L220" s="230"/>
      <c r="M220" s="230"/>
      <c r="N220" s="230"/>
      <c r="O220" s="230"/>
      <c r="P220" s="256"/>
      <c r="Q220" s="257"/>
      <c r="R220" s="228"/>
      <c r="S220" s="228"/>
      <c r="T220" s="245"/>
      <c r="U220" s="254"/>
      <c r="V220" s="254"/>
      <c r="W220" s="228"/>
      <c r="X220" s="255"/>
      <c r="Y220" s="248"/>
      <c r="Z220" s="248"/>
      <c r="AA220" s="228"/>
      <c r="AB220" s="228"/>
      <c r="AC220" s="228"/>
      <c r="AD220" s="228"/>
      <c r="AE220" s="248"/>
      <c r="AF220" s="247"/>
      <c r="AG220" s="228"/>
      <c r="AH220" s="228"/>
      <c r="AI220" s="248"/>
      <c r="AJ220" s="248"/>
      <c r="AK220" s="194"/>
      <c r="AL220" s="249"/>
      <c r="AM220" s="250"/>
      <c r="AN220" s="251"/>
      <c r="AO220" s="252"/>
      <c r="AP220" s="241"/>
      <c r="AQ220" s="241"/>
      <c r="AR220" s="241"/>
      <c r="AS220" s="194"/>
      <c r="AT220" s="195"/>
      <c r="AU220" s="195"/>
    </row>
    <row r="221" spans="1:47">
      <c r="A221" s="253"/>
      <c r="B221" s="230"/>
      <c r="C221" s="245"/>
      <c r="D221" s="230"/>
      <c r="E221" s="230"/>
      <c r="F221" s="230"/>
      <c r="G221" s="228"/>
      <c r="H221" s="230"/>
      <c r="I221" s="230"/>
      <c r="J221" s="246"/>
      <c r="K221" s="230"/>
      <c r="L221" s="230"/>
      <c r="M221" s="230"/>
      <c r="N221" s="230"/>
      <c r="O221" s="230"/>
      <c r="P221" s="256"/>
      <c r="Q221" s="257"/>
      <c r="R221" s="228"/>
      <c r="S221" s="228"/>
      <c r="T221" s="245"/>
      <c r="U221" s="254"/>
      <c r="V221" s="254"/>
      <c r="W221" s="228"/>
      <c r="X221" s="255"/>
      <c r="Y221" s="248"/>
      <c r="Z221" s="248"/>
      <c r="AA221" s="228"/>
      <c r="AB221" s="228"/>
      <c r="AC221" s="228"/>
      <c r="AD221" s="228"/>
      <c r="AE221" s="248"/>
      <c r="AF221" s="247"/>
      <c r="AG221" s="228"/>
      <c r="AH221" s="228"/>
      <c r="AI221" s="248"/>
      <c r="AJ221" s="248"/>
      <c r="AK221" s="194"/>
      <c r="AL221" s="249"/>
      <c r="AM221" s="250"/>
      <c r="AN221" s="251"/>
      <c r="AO221" s="252"/>
      <c r="AP221" s="241"/>
      <c r="AQ221" s="241"/>
      <c r="AR221" s="241"/>
      <c r="AS221" s="194"/>
      <c r="AT221" s="195"/>
      <c r="AU221" s="195"/>
    </row>
    <row r="222" spans="1:47">
      <c r="A222" s="253"/>
      <c r="B222" s="230"/>
      <c r="C222" s="245"/>
      <c r="D222" s="230"/>
      <c r="E222" s="230"/>
      <c r="F222" s="230"/>
      <c r="G222" s="228"/>
      <c r="H222" s="230"/>
      <c r="I222" s="230"/>
      <c r="J222" s="246"/>
      <c r="K222" s="230"/>
      <c r="L222" s="230"/>
      <c r="M222" s="230"/>
      <c r="N222" s="230"/>
      <c r="O222" s="230"/>
      <c r="P222" s="256"/>
      <c r="Q222" s="257"/>
      <c r="R222" s="228"/>
      <c r="S222" s="228"/>
      <c r="T222" s="245"/>
      <c r="U222" s="254"/>
      <c r="V222" s="254"/>
      <c r="W222" s="228"/>
      <c r="X222" s="255"/>
      <c r="Y222" s="248"/>
      <c r="Z222" s="248"/>
      <c r="AA222" s="228"/>
      <c r="AB222" s="228"/>
      <c r="AC222" s="228"/>
      <c r="AD222" s="228"/>
      <c r="AE222" s="248"/>
      <c r="AF222" s="247"/>
      <c r="AG222" s="228"/>
      <c r="AH222" s="228"/>
      <c r="AI222" s="248"/>
      <c r="AJ222" s="248"/>
      <c r="AK222" s="194"/>
      <c r="AL222" s="249"/>
      <c r="AM222" s="250"/>
      <c r="AN222" s="251"/>
      <c r="AO222" s="252"/>
      <c r="AP222" s="241"/>
      <c r="AQ222" s="241"/>
      <c r="AR222" s="241"/>
      <c r="AS222" s="194"/>
      <c r="AT222" s="195"/>
      <c r="AU222" s="195"/>
    </row>
    <row r="223" spans="1:47">
      <c r="A223" s="253"/>
      <c r="B223" s="230"/>
      <c r="C223" s="245"/>
      <c r="D223" s="230"/>
      <c r="E223" s="230"/>
      <c r="F223" s="230"/>
      <c r="G223" s="228"/>
      <c r="H223" s="230"/>
      <c r="I223" s="230"/>
      <c r="J223" s="246"/>
      <c r="K223" s="230"/>
      <c r="L223" s="230"/>
      <c r="M223" s="230"/>
      <c r="N223" s="230"/>
      <c r="O223" s="230"/>
      <c r="P223" s="256"/>
      <c r="Q223" s="257"/>
      <c r="R223" s="228"/>
      <c r="S223" s="228"/>
      <c r="T223" s="245"/>
      <c r="U223" s="254"/>
      <c r="V223" s="254"/>
      <c r="W223" s="228"/>
      <c r="X223" s="255"/>
      <c r="Y223" s="248"/>
      <c r="Z223" s="248"/>
      <c r="AA223" s="228"/>
      <c r="AB223" s="228"/>
      <c r="AC223" s="228"/>
      <c r="AD223" s="228"/>
      <c r="AE223" s="248"/>
      <c r="AF223" s="247"/>
      <c r="AG223" s="228"/>
      <c r="AH223" s="228"/>
      <c r="AI223" s="248"/>
      <c r="AJ223" s="248"/>
      <c r="AK223" s="194"/>
      <c r="AL223" s="249"/>
      <c r="AM223" s="250"/>
      <c r="AN223" s="251"/>
      <c r="AO223" s="252"/>
      <c r="AP223" s="241"/>
      <c r="AQ223" s="241"/>
      <c r="AR223" s="241"/>
      <c r="AS223" s="194"/>
      <c r="AT223" s="195"/>
      <c r="AU223" s="195"/>
    </row>
    <row r="224" spans="1:47">
      <c r="A224" s="253"/>
      <c r="B224" s="230"/>
      <c r="C224" s="245"/>
      <c r="D224" s="230"/>
      <c r="E224" s="230"/>
      <c r="F224" s="230"/>
      <c r="G224" s="228"/>
      <c r="H224" s="230"/>
      <c r="I224" s="230"/>
      <c r="J224" s="246"/>
      <c r="K224" s="230"/>
      <c r="L224" s="230"/>
      <c r="M224" s="230"/>
      <c r="N224" s="230"/>
      <c r="O224" s="230"/>
      <c r="P224" s="256"/>
      <c r="Q224" s="257"/>
      <c r="R224" s="228"/>
      <c r="S224" s="228"/>
      <c r="T224" s="245"/>
      <c r="U224" s="254"/>
      <c r="V224" s="254"/>
      <c r="W224" s="228"/>
      <c r="X224" s="255"/>
      <c r="Y224" s="248"/>
      <c r="Z224" s="248"/>
      <c r="AA224" s="228"/>
      <c r="AB224" s="228"/>
      <c r="AC224" s="228"/>
      <c r="AD224" s="228"/>
      <c r="AE224" s="248"/>
      <c r="AF224" s="247"/>
      <c r="AG224" s="228"/>
      <c r="AH224" s="228"/>
      <c r="AI224" s="248"/>
      <c r="AJ224" s="248"/>
      <c r="AK224" s="194"/>
      <c r="AL224" s="249"/>
      <c r="AM224" s="250"/>
      <c r="AN224" s="251"/>
      <c r="AO224" s="252"/>
      <c r="AP224" s="241"/>
      <c r="AQ224" s="241"/>
      <c r="AR224" s="241"/>
      <c r="AS224" s="194"/>
      <c r="AT224" s="195"/>
      <c r="AU224" s="195"/>
    </row>
    <row r="225" spans="1:47">
      <c r="A225" s="253"/>
      <c r="B225" s="230"/>
      <c r="C225" s="245"/>
      <c r="D225" s="230"/>
      <c r="E225" s="230"/>
      <c r="F225" s="230"/>
      <c r="G225" s="228"/>
      <c r="H225" s="230"/>
      <c r="I225" s="230"/>
      <c r="J225" s="246"/>
      <c r="K225" s="230"/>
      <c r="L225" s="230"/>
      <c r="M225" s="230"/>
      <c r="N225" s="230"/>
      <c r="O225" s="230"/>
      <c r="P225" s="256"/>
      <c r="Q225" s="257"/>
      <c r="R225" s="228"/>
      <c r="S225" s="228"/>
      <c r="T225" s="245"/>
      <c r="U225" s="254"/>
      <c r="V225" s="254"/>
      <c r="W225" s="228"/>
      <c r="X225" s="255"/>
      <c r="Y225" s="248"/>
      <c r="Z225" s="248"/>
      <c r="AA225" s="228"/>
      <c r="AB225" s="228"/>
      <c r="AC225" s="228"/>
      <c r="AD225" s="228"/>
      <c r="AE225" s="248"/>
      <c r="AF225" s="247"/>
      <c r="AG225" s="228"/>
      <c r="AH225" s="228"/>
      <c r="AI225" s="248"/>
      <c r="AJ225" s="248"/>
      <c r="AK225" s="194"/>
      <c r="AL225" s="249"/>
      <c r="AM225" s="250"/>
      <c r="AN225" s="251"/>
      <c r="AO225" s="252"/>
      <c r="AP225" s="241"/>
      <c r="AQ225" s="241"/>
      <c r="AR225" s="241"/>
      <c r="AS225" s="194"/>
      <c r="AT225" s="195"/>
      <c r="AU225" s="195"/>
    </row>
    <row r="226" spans="1:47">
      <c r="A226" s="253"/>
      <c r="B226" s="230"/>
      <c r="C226" s="245"/>
      <c r="D226" s="230"/>
      <c r="E226" s="230"/>
      <c r="F226" s="230"/>
      <c r="G226" s="228"/>
      <c r="H226" s="230"/>
      <c r="I226" s="230"/>
      <c r="J226" s="246"/>
      <c r="K226" s="230"/>
      <c r="L226" s="230"/>
      <c r="M226" s="230"/>
      <c r="N226" s="230"/>
      <c r="O226" s="230"/>
      <c r="P226" s="256"/>
      <c r="Q226" s="257"/>
      <c r="R226" s="228"/>
      <c r="S226" s="228"/>
      <c r="T226" s="245"/>
      <c r="U226" s="254"/>
      <c r="V226" s="254"/>
      <c r="W226" s="228"/>
      <c r="X226" s="255"/>
      <c r="Y226" s="248"/>
      <c r="Z226" s="248"/>
      <c r="AA226" s="228"/>
      <c r="AB226" s="228"/>
      <c r="AC226" s="228"/>
      <c r="AD226" s="228"/>
      <c r="AE226" s="248"/>
      <c r="AF226" s="247"/>
      <c r="AG226" s="228"/>
      <c r="AH226" s="228"/>
      <c r="AI226" s="248"/>
      <c r="AJ226" s="248"/>
      <c r="AK226" s="194"/>
      <c r="AL226" s="249"/>
      <c r="AM226" s="250"/>
      <c r="AN226" s="251"/>
      <c r="AO226" s="252"/>
      <c r="AP226" s="241"/>
      <c r="AQ226" s="241"/>
      <c r="AR226" s="241"/>
      <c r="AS226" s="194"/>
      <c r="AT226" s="195"/>
      <c r="AU226" s="195"/>
    </row>
    <row r="227" spans="1:47">
      <c r="A227" s="253"/>
      <c r="B227" s="230"/>
      <c r="C227" s="245"/>
      <c r="D227" s="230"/>
      <c r="E227" s="230"/>
      <c r="F227" s="230"/>
      <c r="G227" s="228"/>
      <c r="H227" s="230"/>
      <c r="I227" s="230"/>
      <c r="J227" s="246"/>
      <c r="K227" s="230"/>
      <c r="L227" s="230"/>
      <c r="M227" s="230"/>
      <c r="N227" s="230"/>
      <c r="O227" s="230"/>
      <c r="P227" s="256"/>
      <c r="Q227" s="257"/>
      <c r="R227" s="228"/>
      <c r="S227" s="228"/>
      <c r="T227" s="245"/>
      <c r="U227" s="254"/>
      <c r="V227" s="254"/>
      <c r="W227" s="228"/>
      <c r="X227" s="255"/>
      <c r="Y227" s="248"/>
      <c r="Z227" s="248"/>
      <c r="AA227" s="228"/>
      <c r="AB227" s="228"/>
      <c r="AC227" s="228"/>
      <c r="AD227" s="228"/>
      <c r="AE227" s="248"/>
      <c r="AF227" s="247"/>
      <c r="AG227" s="228"/>
      <c r="AH227" s="228"/>
      <c r="AI227" s="248"/>
      <c r="AJ227" s="248"/>
      <c r="AK227" s="194"/>
      <c r="AL227" s="249"/>
      <c r="AM227" s="250"/>
      <c r="AN227" s="251"/>
      <c r="AO227" s="252"/>
      <c r="AP227" s="241"/>
      <c r="AQ227" s="241"/>
      <c r="AR227" s="241"/>
      <c r="AS227" s="194"/>
      <c r="AT227" s="195"/>
      <c r="AU227" s="195"/>
    </row>
    <row r="228" spans="1:47">
      <c r="A228" s="253"/>
      <c r="B228" s="230"/>
      <c r="C228" s="245"/>
      <c r="D228" s="230"/>
      <c r="E228" s="230"/>
      <c r="F228" s="230"/>
      <c r="G228" s="228"/>
      <c r="H228" s="230"/>
      <c r="I228" s="230"/>
      <c r="J228" s="246"/>
      <c r="K228" s="230"/>
      <c r="L228" s="230"/>
      <c r="M228" s="230"/>
      <c r="N228" s="230"/>
      <c r="O228" s="230"/>
      <c r="P228" s="256"/>
      <c r="Q228" s="257"/>
      <c r="R228" s="228"/>
      <c r="S228" s="228"/>
      <c r="T228" s="245"/>
      <c r="U228" s="254"/>
      <c r="V228" s="254"/>
      <c r="W228" s="228"/>
      <c r="X228" s="255"/>
      <c r="Y228" s="248"/>
      <c r="Z228" s="248"/>
      <c r="AA228" s="228"/>
      <c r="AB228" s="228"/>
      <c r="AC228" s="228"/>
      <c r="AD228" s="228"/>
      <c r="AE228" s="248"/>
      <c r="AF228" s="247"/>
      <c r="AG228" s="228"/>
      <c r="AH228" s="228"/>
      <c r="AI228" s="248"/>
      <c r="AJ228" s="248"/>
      <c r="AK228" s="194"/>
      <c r="AL228" s="249"/>
      <c r="AM228" s="250"/>
      <c r="AN228" s="251"/>
      <c r="AO228" s="252"/>
      <c r="AP228" s="241"/>
      <c r="AQ228" s="241"/>
      <c r="AR228" s="241"/>
      <c r="AS228" s="194"/>
      <c r="AT228" s="195"/>
      <c r="AU228" s="195"/>
    </row>
    <row r="229" spans="1:47">
      <c r="A229" s="253"/>
      <c r="B229" s="230"/>
      <c r="C229" s="245"/>
      <c r="D229" s="230"/>
      <c r="E229" s="230"/>
      <c r="F229" s="230"/>
      <c r="G229" s="228"/>
      <c r="H229" s="230"/>
      <c r="I229" s="230"/>
      <c r="J229" s="246"/>
      <c r="K229" s="230"/>
      <c r="L229" s="230"/>
      <c r="M229" s="230"/>
      <c r="N229" s="230"/>
      <c r="O229" s="230"/>
      <c r="P229" s="256"/>
      <c r="Q229" s="257"/>
      <c r="R229" s="228"/>
      <c r="S229" s="228"/>
      <c r="T229" s="245"/>
      <c r="U229" s="254"/>
      <c r="V229" s="254"/>
      <c r="W229" s="228"/>
      <c r="X229" s="255"/>
      <c r="Y229" s="248"/>
      <c r="Z229" s="248"/>
      <c r="AA229" s="228"/>
      <c r="AB229" s="228"/>
      <c r="AC229" s="228"/>
      <c r="AD229" s="228"/>
      <c r="AE229" s="248"/>
      <c r="AF229" s="247"/>
      <c r="AG229" s="228"/>
      <c r="AH229" s="228"/>
      <c r="AI229" s="248"/>
      <c r="AJ229" s="248"/>
      <c r="AK229" s="194"/>
      <c r="AL229" s="249"/>
      <c r="AM229" s="250"/>
      <c r="AN229" s="251"/>
      <c r="AO229" s="252"/>
      <c r="AP229" s="241"/>
      <c r="AQ229" s="241"/>
      <c r="AR229" s="241"/>
      <c r="AS229" s="194"/>
      <c r="AT229" s="195"/>
      <c r="AU229" s="195"/>
    </row>
    <row r="230" spans="1:47">
      <c r="A230" s="253"/>
      <c r="B230" s="230"/>
      <c r="C230" s="245"/>
      <c r="D230" s="230"/>
      <c r="E230" s="230"/>
      <c r="F230" s="230"/>
      <c r="G230" s="228"/>
      <c r="H230" s="230"/>
      <c r="I230" s="230"/>
      <c r="J230" s="246"/>
      <c r="K230" s="230"/>
      <c r="L230" s="230"/>
      <c r="M230" s="230"/>
      <c r="N230" s="230"/>
      <c r="O230" s="230"/>
      <c r="P230" s="256"/>
      <c r="Q230" s="257"/>
      <c r="R230" s="228"/>
      <c r="S230" s="228"/>
      <c r="T230" s="245"/>
      <c r="U230" s="254"/>
      <c r="V230" s="254"/>
      <c r="W230" s="228"/>
      <c r="X230" s="255"/>
      <c r="Y230" s="248"/>
      <c r="Z230" s="248"/>
      <c r="AA230" s="228"/>
      <c r="AB230" s="228"/>
      <c r="AC230" s="228"/>
      <c r="AD230" s="228"/>
      <c r="AE230" s="248"/>
      <c r="AF230" s="247"/>
      <c r="AG230" s="228"/>
      <c r="AH230" s="228"/>
      <c r="AI230" s="248"/>
      <c r="AJ230" s="248"/>
      <c r="AK230" s="194"/>
      <c r="AL230" s="249"/>
      <c r="AM230" s="250"/>
      <c r="AN230" s="251"/>
      <c r="AO230" s="252"/>
      <c r="AP230" s="241"/>
      <c r="AQ230" s="241"/>
      <c r="AR230" s="241"/>
      <c r="AS230" s="194"/>
      <c r="AT230" s="195"/>
      <c r="AU230" s="195"/>
    </row>
    <row r="231" spans="1:47">
      <c r="A231" s="253"/>
      <c r="B231" s="230"/>
      <c r="C231" s="245"/>
      <c r="D231" s="230"/>
      <c r="E231" s="230"/>
      <c r="F231" s="230"/>
      <c r="G231" s="228"/>
      <c r="H231" s="230"/>
      <c r="I231" s="230"/>
      <c r="J231" s="246"/>
      <c r="K231" s="230"/>
      <c r="L231" s="230"/>
      <c r="M231" s="230"/>
      <c r="N231" s="230"/>
      <c r="O231" s="230"/>
      <c r="P231" s="256"/>
      <c r="Q231" s="257"/>
      <c r="R231" s="228"/>
      <c r="S231" s="228"/>
      <c r="T231" s="245"/>
      <c r="U231" s="254"/>
      <c r="V231" s="254"/>
      <c r="W231" s="228"/>
      <c r="X231" s="255"/>
      <c r="Y231" s="248"/>
      <c r="Z231" s="248"/>
      <c r="AA231" s="228"/>
      <c r="AB231" s="228"/>
      <c r="AC231" s="228"/>
      <c r="AD231" s="228"/>
      <c r="AE231" s="248"/>
      <c r="AF231" s="247"/>
      <c r="AG231" s="228"/>
      <c r="AH231" s="228"/>
      <c r="AI231" s="248"/>
      <c r="AJ231" s="248"/>
      <c r="AK231" s="194"/>
      <c r="AL231" s="249"/>
      <c r="AM231" s="250"/>
      <c r="AN231" s="251"/>
      <c r="AO231" s="252"/>
      <c r="AP231" s="241"/>
      <c r="AQ231" s="241"/>
      <c r="AR231" s="241"/>
      <c r="AS231" s="194"/>
      <c r="AT231" s="195"/>
      <c r="AU231" s="195"/>
    </row>
    <row r="232" spans="1:47">
      <c r="A232" s="253"/>
      <c r="B232" s="230"/>
      <c r="C232" s="245"/>
      <c r="D232" s="230"/>
      <c r="E232" s="230"/>
      <c r="F232" s="230"/>
      <c r="G232" s="228"/>
      <c r="H232" s="230"/>
      <c r="I232" s="230"/>
      <c r="J232" s="246"/>
      <c r="K232" s="230"/>
      <c r="L232" s="230"/>
      <c r="M232" s="230"/>
      <c r="N232" s="230"/>
      <c r="O232" s="230"/>
      <c r="P232" s="256"/>
      <c r="Q232" s="257"/>
      <c r="R232" s="228"/>
      <c r="S232" s="228"/>
      <c r="T232" s="245"/>
      <c r="U232" s="254"/>
      <c r="V232" s="254"/>
      <c r="W232" s="228"/>
      <c r="X232" s="255"/>
      <c r="Y232" s="248"/>
      <c r="Z232" s="248"/>
      <c r="AA232" s="228"/>
      <c r="AB232" s="228"/>
      <c r="AC232" s="228"/>
      <c r="AD232" s="228"/>
      <c r="AE232" s="248"/>
      <c r="AF232" s="247"/>
      <c r="AG232" s="228"/>
      <c r="AH232" s="228"/>
      <c r="AI232" s="248"/>
      <c r="AJ232" s="248"/>
      <c r="AK232" s="194"/>
      <c r="AL232" s="249"/>
      <c r="AM232" s="250"/>
      <c r="AN232" s="251"/>
      <c r="AO232" s="252"/>
      <c r="AP232" s="241"/>
      <c r="AQ232" s="241"/>
      <c r="AR232" s="241"/>
      <c r="AS232" s="194"/>
      <c r="AT232" s="195"/>
      <c r="AU232" s="195"/>
    </row>
    <row r="233" spans="1:47">
      <c r="A233" s="253"/>
      <c r="B233" s="230"/>
      <c r="C233" s="245"/>
      <c r="D233" s="230"/>
      <c r="E233" s="230"/>
      <c r="F233" s="230"/>
      <c r="G233" s="228"/>
      <c r="H233" s="230"/>
      <c r="I233" s="230"/>
      <c r="J233" s="246"/>
      <c r="K233" s="230"/>
      <c r="L233" s="230"/>
      <c r="M233" s="230"/>
      <c r="N233" s="230"/>
      <c r="O233" s="230"/>
      <c r="P233" s="256"/>
      <c r="Q233" s="257"/>
      <c r="R233" s="228"/>
      <c r="S233" s="228"/>
      <c r="T233" s="245"/>
      <c r="U233" s="254"/>
      <c r="V233" s="254"/>
      <c r="W233" s="228"/>
      <c r="X233" s="255"/>
      <c r="Y233" s="248"/>
      <c r="Z233" s="248"/>
      <c r="AA233" s="228"/>
      <c r="AB233" s="228"/>
      <c r="AC233" s="228"/>
      <c r="AD233" s="228"/>
      <c r="AE233" s="248"/>
      <c r="AF233" s="247"/>
      <c r="AG233" s="228"/>
      <c r="AH233" s="228"/>
      <c r="AI233" s="248"/>
      <c r="AJ233" s="248"/>
      <c r="AK233" s="194"/>
      <c r="AL233" s="249"/>
      <c r="AM233" s="250"/>
      <c r="AN233" s="251"/>
      <c r="AO233" s="252"/>
      <c r="AP233" s="241"/>
      <c r="AQ233" s="241"/>
      <c r="AR233" s="241"/>
      <c r="AS233" s="194"/>
      <c r="AT233" s="195"/>
      <c r="AU233" s="195"/>
    </row>
    <row r="234" spans="1:47">
      <c r="A234" s="253"/>
      <c r="B234" s="230"/>
      <c r="C234" s="245"/>
      <c r="D234" s="230"/>
      <c r="E234" s="230"/>
      <c r="F234" s="230"/>
      <c r="G234" s="228"/>
      <c r="H234" s="230"/>
      <c r="I234" s="230"/>
      <c r="J234" s="246"/>
      <c r="K234" s="230"/>
      <c r="L234" s="230"/>
      <c r="M234" s="230"/>
      <c r="N234" s="230"/>
      <c r="O234" s="230"/>
      <c r="P234" s="256"/>
      <c r="Q234" s="257"/>
      <c r="R234" s="228"/>
      <c r="S234" s="228"/>
      <c r="T234" s="245"/>
      <c r="U234" s="254"/>
      <c r="V234" s="254"/>
      <c r="W234" s="228"/>
      <c r="X234" s="255"/>
      <c r="Y234" s="248"/>
      <c r="Z234" s="248"/>
      <c r="AA234" s="228"/>
      <c r="AB234" s="228"/>
      <c r="AC234" s="228"/>
      <c r="AD234" s="228"/>
      <c r="AE234" s="248"/>
      <c r="AF234" s="247"/>
      <c r="AG234" s="228"/>
      <c r="AH234" s="228"/>
      <c r="AI234" s="248"/>
      <c r="AJ234" s="248"/>
      <c r="AK234" s="194"/>
      <c r="AL234" s="249"/>
      <c r="AM234" s="250"/>
      <c r="AN234" s="251"/>
      <c r="AO234" s="252"/>
      <c r="AP234" s="241"/>
      <c r="AQ234" s="241"/>
      <c r="AR234" s="241"/>
      <c r="AS234" s="194"/>
      <c r="AT234" s="195"/>
      <c r="AU234" s="195"/>
    </row>
    <row r="235" spans="1:47">
      <c r="A235" s="253"/>
      <c r="B235" s="230"/>
      <c r="C235" s="245"/>
      <c r="D235" s="230"/>
      <c r="E235" s="230"/>
      <c r="F235" s="230"/>
      <c r="G235" s="228"/>
      <c r="H235" s="230"/>
      <c r="I235" s="230"/>
      <c r="J235" s="246"/>
      <c r="K235" s="230"/>
      <c r="L235" s="230"/>
      <c r="M235" s="230"/>
      <c r="N235" s="230"/>
      <c r="O235" s="230"/>
      <c r="P235" s="256"/>
      <c r="Q235" s="257"/>
      <c r="R235" s="228"/>
      <c r="S235" s="228"/>
      <c r="T235" s="245"/>
      <c r="U235" s="254"/>
      <c r="V235" s="254"/>
      <c r="W235" s="228"/>
      <c r="X235" s="255"/>
      <c r="Y235" s="248"/>
      <c r="Z235" s="248"/>
      <c r="AA235" s="228"/>
      <c r="AB235" s="228"/>
      <c r="AC235" s="228"/>
      <c r="AD235" s="228"/>
      <c r="AE235" s="248"/>
      <c r="AF235" s="247"/>
      <c r="AG235" s="228"/>
      <c r="AH235" s="228"/>
      <c r="AI235" s="248"/>
      <c r="AJ235" s="248"/>
      <c r="AK235" s="194"/>
      <c r="AL235" s="249"/>
      <c r="AM235" s="250"/>
      <c r="AN235" s="251"/>
      <c r="AO235" s="252"/>
      <c r="AP235" s="241"/>
      <c r="AQ235" s="241"/>
      <c r="AR235" s="241"/>
      <c r="AS235" s="194"/>
      <c r="AT235" s="195"/>
      <c r="AU235" s="195"/>
    </row>
    <row r="236" spans="1:47">
      <c r="A236" s="253"/>
      <c r="B236" s="230"/>
      <c r="C236" s="245"/>
      <c r="D236" s="230"/>
      <c r="E236" s="230"/>
      <c r="F236" s="230"/>
      <c r="G236" s="228"/>
      <c r="H236" s="230"/>
      <c r="I236" s="230"/>
      <c r="J236" s="246"/>
      <c r="K236" s="230"/>
      <c r="L236" s="230"/>
      <c r="M236" s="230"/>
      <c r="N236" s="230"/>
      <c r="O236" s="230"/>
      <c r="P236" s="256"/>
      <c r="Q236" s="257"/>
      <c r="R236" s="228"/>
      <c r="S236" s="228"/>
      <c r="T236" s="245"/>
      <c r="U236" s="254"/>
      <c r="V236" s="254"/>
      <c r="W236" s="228"/>
      <c r="X236" s="255"/>
      <c r="Y236" s="248"/>
      <c r="Z236" s="248"/>
      <c r="AA236" s="228"/>
      <c r="AB236" s="228"/>
      <c r="AC236" s="228"/>
      <c r="AD236" s="228"/>
      <c r="AE236" s="248"/>
      <c r="AF236" s="247"/>
      <c r="AG236" s="228"/>
      <c r="AH236" s="228"/>
      <c r="AI236" s="248"/>
      <c r="AJ236" s="248"/>
      <c r="AK236" s="194"/>
      <c r="AL236" s="249"/>
      <c r="AM236" s="250"/>
      <c r="AN236" s="251"/>
      <c r="AO236" s="252"/>
      <c r="AP236" s="241"/>
      <c r="AQ236" s="241"/>
      <c r="AR236" s="241"/>
      <c r="AS236" s="194"/>
      <c r="AT236" s="195"/>
      <c r="AU236" s="195"/>
    </row>
    <row r="237" spans="1:47">
      <c r="A237" s="253"/>
      <c r="B237" s="230"/>
      <c r="C237" s="245"/>
      <c r="D237" s="230"/>
      <c r="E237" s="230"/>
      <c r="F237" s="230"/>
      <c r="G237" s="228"/>
      <c r="H237" s="230"/>
      <c r="I237" s="230"/>
      <c r="J237" s="246"/>
      <c r="K237" s="230"/>
      <c r="L237" s="230"/>
      <c r="M237" s="230"/>
      <c r="N237" s="230"/>
      <c r="O237" s="230"/>
      <c r="P237" s="256"/>
      <c r="Q237" s="257"/>
      <c r="R237" s="228"/>
      <c r="S237" s="228"/>
      <c r="T237" s="245"/>
      <c r="U237" s="254"/>
      <c r="V237" s="254"/>
      <c r="W237" s="228"/>
      <c r="X237" s="255"/>
      <c r="Y237" s="248"/>
      <c r="Z237" s="248"/>
      <c r="AA237" s="228"/>
      <c r="AB237" s="228"/>
      <c r="AC237" s="228"/>
      <c r="AD237" s="228"/>
      <c r="AE237" s="248"/>
      <c r="AF237" s="247"/>
      <c r="AG237" s="228"/>
      <c r="AH237" s="228"/>
      <c r="AI237" s="248"/>
      <c r="AJ237" s="248"/>
      <c r="AK237" s="194"/>
      <c r="AL237" s="249"/>
      <c r="AM237" s="250"/>
      <c r="AN237" s="251"/>
      <c r="AO237" s="252"/>
      <c r="AP237" s="241"/>
      <c r="AQ237" s="241"/>
      <c r="AR237" s="241"/>
      <c r="AS237" s="194"/>
      <c r="AT237" s="195"/>
      <c r="AU237" s="195"/>
    </row>
    <row r="238" spans="1:47">
      <c r="A238" s="253"/>
      <c r="B238" s="230"/>
      <c r="C238" s="245"/>
      <c r="D238" s="230"/>
      <c r="E238" s="230"/>
      <c r="F238" s="230"/>
      <c r="G238" s="228"/>
      <c r="H238" s="230"/>
      <c r="I238" s="230"/>
      <c r="J238" s="246"/>
      <c r="K238" s="230"/>
      <c r="L238" s="230"/>
      <c r="M238" s="230"/>
      <c r="N238" s="230"/>
      <c r="O238" s="230"/>
      <c r="P238" s="256"/>
      <c r="Q238" s="257"/>
      <c r="R238" s="228"/>
      <c r="S238" s="228"/>
      <c r="T238" s="245"/>
      <c r="U238" s="254"/>
      <c r="V238" s="254"/>
      <c r="W238" s="228"/>
      <c r="X238" s="255"/>
      <c r="Y238" s="248"/>
      <c r="Z238" s="248"/>
      <c r="AA238" s="228"/>
      <c r="AB238" s="228"/>
      <c r="AC238" s="228"/>
      <c r="AD238" s="228"/>
      <c r="AE238" s="248"/>
      <c r="AF238" s="247"/>
      <c r="AG238" s="228"/>
      <c r="AH238" s="228"/>
      <c r="AI238" s="248"/>
      <c r="AJ238" s="248"/>
      <c r="AK238" s="194"/>
      <c r="AL238" s="249"/>
      <c r="AM238" s="250"/>
      <c r="AN238" s="251"/>
      <c r="AO238" s="252"/>
      <c r="AP238" s="241"/>
      <c r="AQ238" s="241"/>
      <c r="AR238" s="241"/>
      <c r="AS238" s="194"/>
      <c r="AT238" s="195"/>
      <c r="AU238" s="195"/>
    </row>
    <row r="239" spans="1:47">
      <c r="A239" s="253"/>
      <c r="B239" s="230"/>
      <c r="C239" s="245"/>
      <c r="D239" s="230"/>
      <c r="E239" s="230"/>
      <c r="F239" s="230"/>
      <c r="G239" s="228"/>
      <c r="H239" s="230"/>
      <c r="I239" s="230"/>
      <c r="J239" s="246"/>
      <c r="K239" s="230"/>
      <c r="L239" s="230"/>
      <c r="M239" s="230"/>
      <c r="N239" s="230"/>
      <c r="O239" s="230"/>
      <c r="P239" s="256"/>
      <c r="Q239" s="257"/>
      <c r="R239" s="228"/>
      <c r="S239" s="228"/>
      <c r="T239" s="245"/>
      <c r="U239" s="254"/>
      <c r="V239" s="254"/>
      <c r="W239" s="228"/>
      <c r="X239" s="255"/>
      <c r="Y239" s="248"/>
      <c r="Z239" s="248"/>
      <c r="AA239" s="228"/>
      <c r="AB239" s="228"/>
      <c r="AC239" s="228"/>
      <c r="AD239" s="228"/>
      <c r="AE239" s="248"/>
      <c r="AF239" s="247"/>
      <c r="AG239" s="228"/>
      <c r="AH239" s="228"/>
      <c r="AI239" s="248"/>
      <c r="AJ239" s="248"/>
      <c r="AK239" s="194"/>
      <c r="AL239" s="249"/>
      <c r="AM239" s="250"/>
      <c r="AN239" s="251"/>
      <c r="AO239" s="252"/>
      <c r="AP239" s="241"/>
      <c r="AQ239" s="241"/>
      <c r="AR239" s="241"/>
      <c r="AS239" s="194"/>
      <c r="AT239" s="195"/>
      <c r="AU239" s="195"/>
    </row>
    <row r="240" spans="1:47">
      <c r="A240" s="253"/>
      <c r="B240" s="230"/>
      <c r="C240" s="245"/>
      <c r="D240" s="230"/>
      <c r="E240" s="230"/>
      <c r="F240" s="230"/>
      <c r="G240" s="228"/>
      <c r="H240" s="230"/>
      <c r="I240" s="230"/>
      <c r="J240" s="246"/>
      <c r="K240" s="230"/>
      <c r="L240" s="230"/>
      <c r="M240" s="230"/>
      <c r="N240" s="230"/>
      <c r="O240" s="230"/>
      <c r="P240" s="256"/>
      <c r="Q240" s="257"/>
      <c r="R240" s="228"/>
      <c r="S240" s="228"/>
      <c r="T240" s="245"/>
      <c r="U240" s="254"/>
      <c r="V240" s="254"/>
      <c r="W240" s="228"/>
      <c r="X240" s="255"/>
      <c r="Y240" s="248"/>
      <c r="Z240" s="248"/>
      <c r="AA240" s="228"/>
      <c r="AB240" s="228"/>
      <c r="AC240" s="228"/>
      <c r="AD240" s="228"/>
      <c r="AE240" s="248"/>
      <c r="AF240" s="247"/>
      <c r="AG240" s="228"/>
      <c r="AH240" s="228"/>
      <c r="AI240" s="248"/>
      <c r="AJ240" s="248"/>
      <c r="AK240" s="194"/>
      <c r="AL240" s="249"/>
      <c r="AM240" s="250"/>
      <c r="AN240" s="251"/>
      <c r="AO240" s="252"/>
      <c r="AP240" s="241"/>
      <c r="AQ240" s="241"/>
      <c r="AR240" s="241"/>
      <c r="AS240" s="194"/>
      <c r="AT240" s="195"/>
      <c r="AU240" s="195"/>
    </row>
    <row r="241" spans="1:47">
      <c r="A241" s="253"/>
      <c r="B241" s="230"/>
      <c r="C241" s="245"/>
      <c r="D241" s="230"/>
      <c r="E241" s="230"/>
      <c r="F241" s="230"/>
      <c r="G241" s="228"/>
      <c r="H241" s="230"/>
      <c r="I241" s="230"/>
      <c r="J241" s="246"/>
      <c r="K241" s="230"/>
      <c r="L241" s="230"/>
      <c r="M241" s="230"/>
      <c r="N241" s="230"/>
      <c r="O241" s="230"/>
      <c r="P241" s="256"/>
      <c r="Q241" s="257"/>
      <c r="R241" s="228"/>
      <c r="S241" s="228"/>
      <c r="T241" s="245"/>
      <c r="U241" s="254"/>
      <c r="V241" s="254"/>
      <c r="W241" s="228"/>
      <c r="X241" s="255"/>
      <c r="Y241" s="248"/>
      <c r="Z241" s="248"/>
      <c r="AA241" s="228"/>
      <c r="AB241" s="228"/>
      <c r="AC241" s="228"/>
      <c r="AD241" s="228"/>
      <c r="AE241" s="248"/>
      <c r="AF241" s="247"/>
      <c r="AG241" s="228"/>
      <c r="AH241" s="228"/>
      <c r="AI241" s="248"/>
      <c r="AJ241" s="248"/>
      <c r="AK241" s="194"/>
      <c r="AL241" s="249"/>
      <c r="AM241" s="250"/>
      <c r="AN241" s="251"/>
      <c r="AO241" s="252"/>
      <c r="AP241" s="241"/>
      <c r="AQ241" s="241"/>
      <c r="AR241" s="241"/>
      <c r="AS241" s="194"/>
      <c r="AT241" s="195"/>
      <c r="AU241" s="195"/>
    </row>
    <row r="242" spans="1:47">
      <c r="A242" s="253"/>
      <c r="B242" s="230"/>
      <c r="C242" s="245"/>
      <c r="D242" s="230"/>
      <c r="E242" s="230"/>
      <c r="F242" s="230"/>
      <c r="G242" s="228"/>
      <c r="H242" s="230"/>
      <c r="I242" s="230"/>
      <c r="J242" s="246"/>
      <c r="K242" s="230"/>
      <c r="L242" s="230"/>
      <c r="M242" s="230"/>
      <c r="N242" s="230"/>
      <c r="O242" s="230"/>
      <c r="P242" s="256"/>
      <c r="Q242" s="257"/>
      <c r="R242" s="228"/>
      <c r="S242" s="228"/>
      <c r="T242" s="245"/>
      <c r="U242" s="254"/>
      <c r="V242" s="254"/>
      <c r="W242" s="228"/>
      <c r="X242" s="255"/>
      <c r="Y242" s="248"/>
      <c r="Z242" s="248"/>
      <c r="AA242" s="228"/>
      <c r="AB242" s="228"/>
      <c r="AC242" s="228"/>
      <c r="AD242" s="228"/>
      <c r="AE242" s="248"/>
      <c r="AF242" s="247"/>
      <c r="AG242" s="228"/>
      <c r="AH242" s="228"/>
      <c r="AI242" s="248"/>
      <c r="AJ242" s="248"/>
      <c r="AK242" s="194"/>
      <c r="AL242" s="249"/>
      <c r="AM242" s="250"/>
      <c r="AN242" s="251"/>
      <c r="AO242" s="252"/>
      <c r="AP242" s="241"/>
      <c r="AQ242" s="241"/>
      <c r="AR242" s="241"/>
      <c r="AS242" s="194"/>
      <c r="AT242" s="195"/>
      <c r="AU242" s="195"/>
    </row>
    <row r="243" spans="1:47">
      <c r="A243" s="253"/>
      <c r="B243" s="230"/>
      <c r="C243" s="245"/>
      <c r="D243" s="230"/>
      <c r="E243" s="230"/>
      <c r="F243" s="230"/>
      <c r="G243" s="228"/>
      <c r="H243" s="230"/>
      <c r="I243" s="230"/>
      <c r="J243" s="246"/>
      <c r="K243" s="230"/>
      <c r="L243" s="230"/>
      <c r="M243" s="230"/>
      <c r="N243" s="230"/>
      <c r="O243" s="230"/>
      <c r="P243" s="256"/>
      <c r="Q243" s="257"/>
      <c r="R243" s="228"/>
      <c r="S243" s="228"/>
      <c r="T243" s="245"/>
      <c r="U243" s="254"/>
      <c r="V243" s="254"/>
      <c r="W243" s="228"/>
      <c r="X243" s="255"/>
      <c r="Y243" s="248"/>
      <c r="Z243" s="248"/>
      <c r="AA243" s="228"/>
      <c r="AB243" s="228"/>
      <c r="AC243" s="228"/>
      <c r="AD243" s="228"/>
      <c r="AE243" s="248"/>
      <c r="AF243" s="247"/>
      <c r="AG243" s="228"/>
      <c r="AH243" s="228"/>
      <c r="AI243" s="248"/>
      <c r="AJ243" s="248"/>
      <c r="AK243" s="194"/>
      <c r="AL243" s="249"/>
      <c r="AM243" s="250"/>
      <c r="AN243" s="251"/>
      <c r="AO243" s="252"/>
      <c r="AP243" s="241"/>
      <c r="AQ243" s="241"/>
      <c r="AR243" s="241"/>
      <c r="AS243" s="194"/>
      <c r="AT243" s="195"/>
      <c r="AU243" s="195"/>
    </row>
    <row r="244" spans="1:47">
      <c r="A244" s="253"/>
      <c r="B244" s="230"/>
      <c r="C244" s="245"/>
      <c r="D244" s="230"/>
      <c r="E244" s="230"/>
      <c r="F244" s="230"/>
      <c r="G244" s="228"/>
      <c r="H244" s="230"/>
      <c r="I244" s="230"/>
      <c r="J244" s="246"/>
      <c r="K244" s="230"/>
      <c r="L244" s="230"/>
      <c r="M244" s="230"/>
      <c r="N244" s="230"/>
      <c r="O244" s="230"/>
      <c r="P244" s="256"/>
      <c r="Q244" s="257"/>
      <c r="R244" s="228"/>
      <c r="S244" s="228"/>
      <c r="T244" s="245"/>
      <c r="U244" s="254"/>
      <c r="V244" s="254"/>
      <c r="W244" s="228"/>
      <c r="X244" s="255"/>
      <c r="Y244" s="248"/>
      <c r="Z244" s="248"/>
      <c r="AA244" s="228"/>
      <c r="AB244" s="228"/>
      <c r="AC244" s="228"/>
      <c r="AD244" s="228"/>
      <c r="AE244" s="248"/>
      <c r="AF244" s="247"/>
      <c r="AG244" s="228"/>
      <c r="AH244" s="228"/>
      <c r="AI244" s="248"/>
      <c r="AJ244" s="248"/>
      <c r="AK244" s="194"/>
      <c r="AL244" s="249"/>
      <c r="AM244" s="250"/>
      <c r="AN244" s="251"/>
      <c r="AO244" s="252"/>
      <c r="AP244" s="241"/>
      <c r="AQ244" s="241"/>
      <c r="AR244" s="241"/>
      <c r="AS244" s="194"/>
      <c r="AT244" s="195"/>
      <c r="AU244" s="195"/>
    </row>
    <row r="245" spans="1:47">
      <c r="A245" s="253"/>
      <c r="B245" s="230"/>
      <c r="C245" s="245"/>
      <c r="D245" s="230"/>
      <c r="E245" s="230"/>
      <c r="F245" s="230"/>
      <c r="G245" s="228"/>
      <c r="H245" s="230"/>
      <c r="I245" s="230"/>
      <c r="J245" s="246"/>
      <c r="K245" s="230"/>
      <c r="L245" s="230"/>
      <c r="M245" s="230"/>
      <c r="N245" s="230"/>
      <c r="O245" s="230"/>
      <c r="P245" s="256"/>
      <c r="Q245" s="257"/>
      <c r="R245" s="228"/>
      <c r="S245" s="228"/>
      <c r="T245" s="245"/>
      <c r="U245" s="254"/>
      <c r="V245" s="254"/>
      <c r="W245" s="228"/>
      <c r="X245" s="255"/>
      <c r="Y245" s="248"/>
      <c r="Z245" s="248"/>
      <c r="AA245" s="228"/>
      <c r="AB245" s="228"/>
      <c r="AC245" s="228"/>
      <c r="AD245" s="228"/>
      <c r="AE245" s="248"/>
      <c r="AF245" s="247"/>
      <c r="AG245" s="228"/>
      <c r="AH245" s="228"/>
      <c r="AI245" s="248"/>
      <c r="AJ245" s="248"/>
      <c r="AK245" s="194"/>
      <c r="AL245" s="249"/>
      <c r="AM245" s="250"/>
      <c r="AN245" s="251"/>
      <c r="AO245" s="252"/>
      <c r="AP245" s="241"/>
      <c r="AQ245" s="241"/>
      <c r="AR245" s="241"/>
      <c r="AS245" s="194"/>
      <c r="AT245" s="195"/>
      <c r="AU245" s="195"/>
    </row>
    <row r="246" spans="1:47">
      <c r="A246" s="253"/>
      <c r="B246" s="230"/>
      <c r="C246" s="245"/>
      <c r="D246" s="230"/>
      <c r="E246" s="230"/>
      <c r="F246" s="230"/>
      <c r="G246" s="228"/>
      <c r="H246" s="230"/>
      <c r="I246" s="230"/>
      <c r="J246" s="246"/>
      <c r="K246" s="230"/>
      <c r="L246" s="230"/>
      <c r="M246" s="230"/>
      <c r="N246" s="230"/>
      <c r="O246" s="230"/>
      <c r="P246" s="256"/>
      <c r="Q246" s="257"/>
      <c r="R246" s="228"/>
      <c r="S246" s="228"/>
      <c r="T246" s="245"/>
      <c r="U246" s="254"/>
      <c r="V246" s="254"/>
      <c r="W246" s="228"/>
      <c r="X246" s="255"/>
      <c r="Y246" s="248"/>
      <c r="Z246" s="248"/>
      <c r="AA246" s="228"/>
      <c r="AB246" s="228"/>
      <c r="AC246" s="228"/>
      <c r="AD246" s="228"/>
      <c r="AE246" s="248"/>
      <c r="AF246" s="247"/>
      <c r="AG246" s="228"/>
      <c r="AH246" s="228"/>
      <c r="AI246" s="248"/>
      <c r="AJ246" s="248"/>
      <c r="AK246" s="194"/>
      <c r="AL246" s="249"/>
      <c r="AM246" s="250"/>
      <c r="AN246" s="251"/>
      <c r="AO246" s="252"/>
      <c r="AP246" s="241"/>
      <c r="AQ246" s="241"/>
      <c r="AR246" s="241"/>
      <c r="AS246" s="194"/>
      <c r="AT246" s="195"/>
      <c r="AU246" s="195"/>
    </row>
    <row r="247" spans="1:47">
      <c r="A247" s="253"/>
      <c r="B247" s="230"/>
      <c r="C247" s="245"/>
      <c r="D247" s="230"/>
      <c r="E247" s="230"/>
      <c r="F247" s="230"/>
      <c r="G247" s="228"/>
      <c r="H247" s="230"/>
      <c r="I247" s="230"/>
      <c r="J247" s="246"/>
      <c r="K247" s="230"/>
      <c r="L247" s="230"/>
      <c r="M247" s="230"/>
      <c r="N247" s="230"/>
      <c r="O247" s="230"/>
      <c r="P247" s="256"/>
      <c r="Q247" s="257"/>
      <c r="R247" s="228"/>
      <c r="S247" s="228"/>
      <c r="T247" s="245"/>
      <c r="U247" s="254"/>
      <c r="V247" s="254"/>
      <c r="W247" s="228"/>
      <c r="X247" s="255"/>
      <c r="Y247" s="248"/>
      <c r="Z247" s="248"/>
      <c r="AA247" s="228"/>
      <c r="AB247" s="228"/>
      <c r="AC247" s="228"/>
      <c r="AD247" s="228"/>
      <c r="AE247" s="248"/>
      <c r="AF247" s="247"/>
      <c r="AG247" s="228"/>
      <c r="AH247" s="228"/>
      <c r="AI247" s="248"/>
      <c r="AJ247" s="248"/>
      <c r="AK247" s="194"/>
      <c r="AL247" s="249"/>
      <c r="AM247" s="250"/>
      <c r="AN247" s="251"/>
      <c r="AO247" s="252"/>
      <c r="AP247" s="241"/>
      <c r="AQ247" s="241"/>
      <c r="AR247" s="241"/>
      <c r="AS247" s="194"/>
      <c r="AT247" s="195"/>
      <c r="AU247" s="195"/>
    </row>
    <row r="248" spans="1:47">
      <c r="A248" s="253"/>
      <c r="B248" s="230"/>
      <c r="C248" s="245"/>
      <c r="D248" s="230"/>
      <c r="E248" s="230"/>
      <c r="F248" s="230"/>
      <c r="G248" s="228"/>
      <c r="H248" s="230"/>
      <c r="I248" s="230"/>
      <c r="J248" s="246"/>
      <c r="K248" s="230"/>
      <c r="L248" s="230"/>
      <c r="M248" s="230"/>
      <c r="N248" s="230"/>
      <c r="O248" s="230"/>
      <c r="P248" s="256"/>
      <c r="Q248" s="257"/>
      <c r="R248" s="228"/>
      <c r="S248" s="228"/>
      <c r="T248" s="245"/>
      <c r="U248" s="254"/>
      <c r="V248" s="254"/>
      <c r="W248" s="228"/>
      <c r="X248" s="255"/>
      <c r="Y248" s="248"/>
      <c r="Z248" s="248"/>
      <c r="AA248" s="228"/>
      <c r="AB248" s="228"/>
      <c r="AC248" s="228"/>
      <c r="AD248" s="228"/>
      <c r="AE248" s="248"/>
      <c r="AF248" s="247"/>
      <c r="AG248" s="228"/>
      <c r="AH248" s="228"/>
      <c r="AI248" s="248"/>
      <c r="AJ248" s="248"/>
      <c r="AK248" s="194"/>
      <c r="AL248" s="249"/>
      <c r="AM248" s="250"/>
      <c r="AN248" s="251"/>
      <c r="AO248" s="252"/>
      <c r="AP248" s="241"/>
      <c r="AQ248" s="241"/>
      <c r="AR248" s="241"/>
      <c r="AS248" s="194"/>
      <c r="AT248" s="195"/>
      <c r="AU248" s="195"/>
    </row>
    <row r="249" spans="1:47">
      <c r="A249" s="253"/>
      <c r="B249" s="230"/>
      <c r="C249" s="245"/>
      <c r="D249" s="230"/>
      <c r="E249" s="230"/>
      <c r="F249" s="230"/>
      <c r="G249" s="228"/>
      <c r="H249" s="230"/>
      <c r="I249" s="230"/>
      <c r="J249" s="246"/>
      <c r="K249" s="230"/>
      <c r="L249" s="230"/>
      <c r="M249" s="230"/>
      <c r="N249" s="230"/>
      <c r="O249" s="230"/>
      <c r="P249" s="256"/>
      <c r="Q249" s="257"/>
      <c r="R249" s="228"/>
      <c r="S249" s="228"/>
      <c r="T249" s="245"/>
      <c r="U249" s="254"/>
      <c r="V249" s="254"/>
      <c r="W249" s="228"/>
      <c r="X249" s="255"/>
      <c r="Y249" s="248"/>
      <c r="Z249" s="248"/>
      <c r="AA249" s="228"/>
      <c r="AB249" s="228"/>
      <c r="AC249" s="228"/>
      <c r="AD249" s="228"/>
      <c r="AE249" s="248"/>
      <c r="AF249" s="247"/>
      <c r="AG249" s="228"/>
      <c r="AH249" s="228"/>
      <c r="AI249" s="248"/>
      <c r="AJ249" s="248"/>
      <c r="AK249" s="194"/>
      <c r="AL249" s="249"/>
      <c r="AM249" s="250"/>
      <c r="AN249" s="251"/>
      <c r="AO249" s="252"/>
      <c r="AP249" s="241"/>
      <c r="AQ249" s="241"/>
      <c r="AR249" s="241"/>
      <c r="AS249" s="194"/>
      <c r="AT249" s="195"/>
      <c r="AU249" s="195"/>
    </row>
    <row r="250" spans="1:47">
      <c r="A250" s="253"/>
      <c r="B250" s="230"/>
      <c r="C250" s="245"/>
      <c r="D250" s="230"/>
      <c r="E250" s="230"/>
      <c r="F250" s="230"/>
      <c r="G250" s="228"/>
      <c r="H250" s="230"/>
      <c r="I250" s="230"/>
      <c r="J250" s="246"/>
      <c r="K250" s="230"/>
      <c r="L250" s="230"/>
      <c r="M250" s="230"/>
      <c r="N250" s="230"/>
      <c r="O250" s="230"/>
      <c r="P250" s="256"/>
      <c r="Q250" s="257"/>
      <c r="R250" s="228"/>
      <c r="S250" s="228"/>
      <c r="T250" s="245"/>
      <c r="U250" s="254"/>
      <c r="V250" s="254"/>
      <c r="W250" s="228"/>
      <c r="X250" s="255"/>
      <c r="Y250" s="248"/>
      <c r="Z250" s="248"/>
      <c r="AA250" s="228"/>
      <c r="AB250" s="228"/>
      <c r="AC250" s="228"/>
      <c r="AD250" s="228"/>
      <c r="AE250" s="248"/>
      <c r="AF250" s="247"/>
      <c r="AG250" s="228"/>
      <c r="AH250" s="228"/>
      <c r="AI250" s="248"/>
      <c r="AJ250" s="248"/>
      <c r="AK250" s="194"/>
      <c r="AL250" s="249"/>
      <c r="AM250" s="250"/>
      <c r="AN250" s="251"/>
      <c r="AO250" s="252"/>
      <c r="AP250" s="241"/>
      <c r="AQ250" s="241"/>
      <c r="AR250" s="241"/>
      <c r="AS250" s="194"/>
      <c r="AT250" s="195"/>
      <c r="AU250" s="195"/>
    </row>
    <row r="251" spans="1:47">
      <c r="A251" s="253"/>
      <c r="B251" s="230"/>
      <c r="C251" s="245"/>
      <c r="D251" s="230"/>
      <c r="E251" s="230"/>
      <c r="F251" s="230"/>
      <c r="G251" s="228"/>
      <c r="H251" s="230"/>
      <c r="I251" s="230"/>
      <c r="J251" s="246"/>
      <c r="K251" s="230"/>
      <c r="L251" s="230"/>
      <c r="M251" s="230"/>
      <c r="N251" s="230"/>
      <c r="O251" s="230"/>
      <c r="P251" s="256"/>
      <c r="Q251" s="257"/>
      <c r="R251" s="228"/>
      <c r="S251" s="228"/>
      <c r="T251" s="245"/>
      <c r="U251" s="254"/>
      <c r="V251" s="254"/>
      <c r="W251" s="228"/>
      <c r="X251" s="255"/>
      <c r="Y251" s="248"/>
      <c r="Z251" s="248"/>
      <c r="AA251" s="228"/>
      <c r="AB251" s="228"/>
      <c r="AC251" s="228"/>
      <c r="AD251" s="228"/>
      <c r="AE251" s="248"/>
      <c r="AF251" s="247"/>
      <c r="AG251" s="228"/>
      <c r="AH251" s="228"/>
      <c r="AI251" s="248"/>
      <c r="AJ251" s="248"/>
      <c r="AK251" s="194"/>
      <c r="AL251" s="249"/>
      <c r="AM251" s="250"/>
      <c r="AN251" s="251"/>
      <c r="AO251" s="252"/>
      <c r="AP251" s="241"/>
      <c r="AQ251" s="241"/>
      <c r="AR251" s="241"/>
      <c r="AS251" s="194"/>
      <c r="AT251" s="195"/>
      <c r="AU251" s="195"/>
    </row>
    <row r="252" spans="1:47">
      <c r="A252" s="253"/>
      <c r="B252" s="230"/>
      <c r="C252" s="245"/>
      <c r="D252" s="230"/>
      <c r="E252" s="230"/>
      <c r="F252" s="230"/>
      <c r="G252" s="228"/>
      <c r="H252" s="230"/>
      <c r="I252" s="230"/>
      <c r="J252" s="246"/>
      <c r="K252" s="230"/>
      <c r="L252" s="230"/>
      <c r="M252" s="230"/>
      <c r="N252" s="230"/>
      <c r="O252" s="230"/>
      <c r="P252" s="256"/>
      <c r="Q252" s="257"/>
      <c r="R252" s="228"/>
      <c r="S252" s="228"/>
      <c r="T252" s="245"/>
      <c r="U252" s="254"/>
      <c r="V252" s="254"/>
      <c r="W252" s="228"/>
      <c r="X252" s="255"/>
      <c r="Y252" s="248"/>
      <c r="Z252" s="248"/>
      <c r="AA252" s="228"/>
      <c r="AB252" s="228"/>
      <c r="AC252" s="228"/>
      <c r="AD252" s="228"/>
      <c r="AE252" s="248"/>
      <c r="AF252" s="247"/>
      <c r="AG252" s="228"/>
      <c r="AH252" s="228"/>
      <c r="AI252" s="248"/>
      <c r="AJ252" s="248"/>
      <c r="AK252" s="194"/>
      <c r="AL252" s="249"/>
      <c r="AM252" s="250"/>
      <c r="AN252" s="251"/>
      <c r="AO252" s="252"/>
      <c r="AP252" s="241"/>
      <c r="AQ252" s="241"/>
      <c r="AR252" s="241"/>
      <c r="AS252" s="194"/>
      <c r="AT252" s="195"/>
      <c r="AU252" s="195"/>
    </row>
    <row r="253" spans="1:47">
      <c r="A253" s="253"/>
      <c r="B253" s="230"/>
      <c r="C253" s="245"/>
      <c r="D253" s="230"/>
      <c r="E253" s="230"/>
      <c r="F253" s="230"/>
      <c r="G253" s="228"/>
      <c r="H253" s="230"/>
      <c r="I253" s="230"/>
      <c r="J253" s="246"/>
      <c r="K253" s="230"/>
      <c r="L253" s="230"/>
      <c r="M253" s="230"/>
      <c r="N253" s="230"/>
      <c r="O253" s="230"/>
      <c r="P253" s="256"/>
      <c r="Q253" s="257"/>
      <c r="R253" s="228"/>
      <c r="S253" s="228"/>
      <c r="T253" s="245"/>
      <c r="U253" s="254"/>
      <c r="V253" s="254"/>
      <c r="W253" s="228"/>
      <c r="X253" s="255"/>
      <c r="Y253" s="248"/>
      <c r="Z253" s="248"/>
      <c r="AA253" s="228"/>
      <c r="AB253" s="228"/>
      <c r="AC253" s="228"/>
      <c r="AD253" s="228"/>
      <c r="AE253" s="248"/>
      <c r="AF253" s="247"/>
      <c r="AG253" s="228"/>
      <c r="AH253" s="228"/>
      <c r="AI253" s="248"/>
      <c r="AJ253" s="248"/>
      <c r="AK253" s="194"/>
      <c r="AL253" s="249"/>
      <c r="AM253" s="250"/>
      <c r="AN253" s="251"/>
      <c r="AO253" s="252"/>
      <c r="AP253" s="241"/>
      <c r="AQ253" s="241"/>
      <c r="AR253" s="241"/>
      <c r="AS253" s="194"/>
      <c r="AT253" s="195"/>
      <c r="AU253" s="195"/>
    </row>
    <row r="254" spans="1:47">
      <c r="A254" s="253"/>
      <c r="B254" s="230"/>
      <c r="C254" s="245"/>
      <c r="D254" s="230"/>
      <c r="E254" s="230"/>
      <c r="F254" s="230"/>
      <c r="G254" s="228"/>
      <c r="H254" s="230"/>
      <c r="I254" s="230"/>
      <c r="J254" s="246"/>
      <c r="K254" s="230"/>
      <c r="L254" s="230"/>
      <c r="M254" s="230"/>
      <c r="N254" s="230"/>
      <c r="O254" s="230"/>
      <c r="P254" s="256"/>
      <c r="Q254" s="257"/>
      <c r="R254" s="228"/>
      <c r="S254" s="228"/>
      <c r="T254" s="245"/>
      <c r="U254" s="254"/>
      <c r="V254" s="254"/>
      <c r="W254" s="228"/>
      <c r="X254" s="255"/>
      <c r="Y254" s="248"/>
      <c r="Z254" s="248"/>
      <c r="AA254" s="228"/>
      <c r="AB254" s="228"/>
      <c r="AC254" s="228"/>
      <c r="AD254" s="228"/>
      <c r="AE254" s="248"/>
      <c r="AF254" s="247"/>
      <c r="AG254" s="228"/>
      <c r="AH254" s="228"/>
      <c r="AI254" s="248"/>
      <c r="AJ254" s="248"/>
      <c r="AK254" s="194"/>
      <c r="AL254" s="249"/>
      <c r="AM254" s="250"/>
      <c r="AN254" s="251"/>
      <c r="AO254" s="252"/>
      <c r="AP254" s="241"/>
      <c r="AQ254" s="241"/>
      <c r="AR254" s="241"/>
      <c r="AS254" s="194"/>
      <c r="AT254" s="195"/>
      <c r="AU254" s="195"/>
    </row>
    <row r="255" spans="1:47">
      <c r="A255" s="253"/>
      <c r="B255" s="230"/>
      <c r="C255" s="245"/>
      <c r="D255" s="230"/>
      <c r="E255" s="230"/>
      <c r="F255" s="230"/>
      <c r="G255" s="228"/>
      <c r="H255" s="230"/>
      <c r="I255" s="230"/>
      <c r="J255" s="246"/>
      <c r="K255" s="230"/>
      <c r="L255" s="230"/>
      <c r="M255" s="230"/>
      <c r="N255" s="230"/>
      <c r="O255" s="230"/>
      <c r="P255" s="256"/>
      <c r="Q255" s="257"/>
      <c r="R255" s="228"/>
      <c r="S255" s="228"/>
      <c r="T255" s="245"/>
      <c r="U255" s="254"/>
      <c r="V255" s="254"/>
      <c r="W255" s="228"/>
      <c r="X255" s="255"/>
      <c r="Y255" s="248"/>
      <c r="Z255" s="248"/>
      <c r="AA255" s="228"/>
      <c r="AB255" s="228"/>
      <c r="AC255" s="228"/>
      <c r="AD255" s="228"/>
      <c r="AE255" s="248"/>
      <c r="AF255" s="247"/>
      <c r="AG255" s="228"/>
      <c r="AH255" s="228"/>
      <c r="AI255" s="248"/>
      <c r="AJ255" s="248"/>
      <c r="AK255" s="194"/>
      <c r="AL255" s="249"/>
      <c r="AM255" s="250"/>
      <c r="AN255" s="251"/>
      <c r="AO255" s="252"/>
      <c r="AP255" s="241"/>
      <c r="AQ255" s="241"/>
      <c r="AR255" s="241"/>
      <c r="AS255" s="194"/>
      <c r="AT255" s="195"/>
      <c r="AU255" s="195"/>
    </row>
    <row r="256" spans="1:47">
      <c r="A256" s="253"/>
      <c r="B256" s="230"/>
      <c r="C256" s="245"/>
      <c r="D256" s="230"/>
      <c r="E256" s="230"/>
      <c r="F256" s="230"/>
      <c r="G256" s="228"/>
      <c r="H256" s="230"/>
      <c r="I256" s="230"/>
      <c r="J256" s="246"/>
      <c r="K256" s="230"/>
      <c r="L256" s="230"/>
      <c r="M256" s="230"/>
      <c r="N256" s="230"/>
      <c r="O256" s="230"/>
      <c r="P256" s="256"/>
      <c r="Q256" s="257"/>
      <c r="R256" s="228"/>
      <c r="S256" s="228"/>
      <c r="T256" s="245"/>
      <c r="U256" s="254"/>
      <c r="V256" s="254"/>
      <c r="W256" s="228"/>
      <c r="X256" s="255"/>
      <c r="Y256" s="248"/>
      <c r="Z256" s="248"/>
      <c r="AA256" s="228"/>
      <c r="AB256" s="228"/>
      <c r="AC256" s="228"/>
      <c r="AD256" s="228"/>
      <c r="AE256" s="248"/>
      <c r="AF256" s="247"/>
      <c r="AG256" s="228"/>
      <c r="AH256" s="228"/>
      <c r="AI256" s="248"/>
      <c r="AJ256" s="248"/>
      <c r="AK256" s="194"/>
      <c r="AL256" s="249"/>
      <c r="AM256" s="250"/>
      <c r="AN256" s="251"/>
      <c r="AO256" s="252"/>
      <c r="AP256" s="241"/>
      <c r="AQ256" s="241"/>
      <c r="AR256" s="241"/>
      <c r="AS256" s="194"/>
      <c r="AT256" s="195"/>
      <c r="AU256" s="195"/>
    </row>
    <row r="257" spans="1:47">
      <c r="A257" s="253"/>
      <c r="B257" s="230"/>
      <c r="C257" s="245"/>
      <c r="D257" s="230"/>
      <c r="E257" s="230"/>
      <c r="F257" s="230"/>
      <c r="G257" s="228"/>
      <c r="H257" s="230"/>
      <c r="I257" s="230"/>
      <c r="J257" s="246"/>
      <c r="K257" s="230"/>
      <c r="L257" s="230"/>
      <c r="M257" s="230"/>
      <c r="N257" s="230"/>
      <c r="O257" s="230"/>
      <c r="P257" s="256"/>
      <c r="Q257" s="257"/>
      <c r="R257" s="228"/>
      <c r="S257" s="228"/>
      <c r="T257" s="245"/>
      <c r="U257" s="254"/>
      <c r="V257" s="254"/>
      <c r="W257" s="228"/>
      <c r="X257" s="255"/>
      <c r="Y257" s="248"/>
      <c r="Z257" s="248"/>
      <c r="AA257" s="228"/>
      <c r="AB257" s="228"/>
      <c r="AC257" s="228"/>
      <c r="AD257" s="228"/>
      <c r="AE257" s="248"/>
      <c r="AF257" s="247"/>
      <c r="AG257" s="228"/>
      <c r="AH257" s="228"/>
      <c r="AI257" s="248"/>
      <c r="AJ257" s="248"/>
      <c r="AK257" s="194"/>
      <c r="AL257" s="249"/>
      <c r="AM257" s="250"/>
      <c r="AN257" s="251"/>
      <c r="AO257" s="252"/>
      <c r="AP257" s="241"/>
      <c r="AQ257" s="241"/>
      <c r="AR257" s="241"/>
      <c r="AS257" s="194"/>
      <c r="AT257" s="195"/>
      <c r="AU257" s="195"/>
    </row>
    <row r="258" spans="1:47">
      <c r="A258" s="253"/>
      <c r="B258" s="230"/>
      <c r="C258" s="245"/>
      <c r="D258" s="230"/>
      <c r="E258" s="230"/>
      <c r="F258" s="230"/>
      <c r="G258" s="228"/>
      <c r="H258" s="230"/>
      <c r="I258" s="230"/>
      <c r="J258" s="246"/>
      <c r="K258" s="230"/>
      <c r="L258" s="230"/>
      <c r="M258" s="230"/>
      <c r="N258" s="230"/>
      <c r="O258" s="230"/>
      <c r="P258" s="256"/>
      <c r="Q258" s="257"/>
      <c r="R258" s="228"/>
      <c r="S258" s="228"/>
      <c r="T258" s="245"/>
      <c r="U258" s="254"/>
      <c r="V258" s="254"/>
      <c r="W258" s="228"/>
      <c r="X258" s="255"/>
      <c r="Y258" s="248"/>
      <c r="Z258" s="248"/>
      <c r="AA258" s="228"/>
      <c r="AB258" s="228"/>
      <c r="AC258" s="228"/>
      <c r="AD258" s="228"/>
      <c r="AE258" s="248"/>
      <c r="AF258" s="247"/>
      <c r="AG258" s="228"/>
      <c r="AH258" s="228"/>
      <c r="AI258" s="248"/>
      <c r="AJ258" s="248"/>
      <c r="AK258" s="194"/>
      <c r="AL258" s="249"/>
      <c r="AM258" s="250"/>
      <c r="AN258" s="251"/>
      <c r="AO258" s="252"/>
      <c r="AP258" s="241"/>
      <c r="AQ258" s="241"/>
      <c r="AR258" s="241"/>
      <c r="AS258" s="194"/>
      <c r="AT258" s="195"/>
      <c r="AU258" s="195"/>
    </row>
    <row r="259" spans="1:47">
      <c r="A259" s="253"/>
      <c r="B259" s="230"/>
      <c r="C259" s="245"/>
      <c r="D259" s="230"/>
      <c r="E259" s="230"/>
      <c r="F259" s="230"/>
      <c r="G259" s="228"/>
      <c r="H259" s="230"/>
      <c r="I259" s="230"/>
      <c r="J259" s="246"/>
      <c r="K259" s="230"/>
      <c r="L259" s="230"/>
      <c r="M259" s="230"/>
      <c r="N259" s="230"/>
      <c r="O259" s="230"/>
      <c r="P259" s="256"/>
      <c r="Q259" s="257"/>
      <c r="R259" s="228"/>
      <c r="S259" s="228"/>
      <c r="T259" s="245"/>
      <c r="U259" s="254"/>
      <c r="V259" s="254"/>
      <c r="W259" s="228"/>
      <c r="X259" s="255"/>
      <c r="Y259" s="248"/>
      <c r="Z259" s="248"/>
      <c r="AA259" s="228"/>
      <c r="AB259" s="228"/>
      <c r="AC259" s="228"/>
      <c r="AD259" s="228"/>
      <c r="AE259" s="248"/>
      <c r="AF259" s="247"/>
      <c r="AG259" s="228"/>
      <c r="AH259" s="228"/>
      <c r="AI259" s="248"/>
      <c r="AJ259" s="248"/>
      <c r="AK259" s="194"/>
      <c r="AL259" s="249"/>
      <c r="AM259" s="250"/>
      <c r="AN259" s="251"/>
      <c r="AO259" s="252"/>
      <c r="AP259" s="241"/>
      <c r="AQ259" s="241"/>
      <c r="AR259" s="241"/>
      <c r="AS259" s="194"/>
      <c r="AT259" s="195"/>
      <c r="AU259" s="195"/>
    </row>
    <row r="260" spans="1:47">
      <c r="A260" s="253"/>
      <c r="B260" s="230"/>
      <c r="C260" s="245"/>
      <c r="D260" s="230"/>
      <c r="E260" s="230"/>
      <c r="F260" s="230"/>
      <c r="G260" s="228"/>
      <c r="H260" s="230"/>
      <c r="I260" s="230"/>
      <c r="J260" s="246"/>
      <c r="K260" s="230"/>
      <c r="L260" s="230"/>
      <c r="M260" s="230"/>
      <c r="N260" s="230"/>
      <c r="O260" s="230"/>
      <c r="P260" s="256"/>
      <c r="Q260" s="257"/>
      <c r="R260" s="228"/>
      <c r="S260" s="228"/>
      <c r="T260" s="245"/>
      <c r="U260" s="254"/>
      <c r="V260" s="254"/>
      <c r="W260" s="228"/>
      <c r="X260" s="255"/>
      <c r="Y260" s="248"/>
      <c r="Z260" s="248"/>
      <c r="AA260" s="228"/>
      <c r="AB260" s="228"/>
      <c r="AC260" s="228"/>
      <c r="AD260" s="228"/>
      <c r="AE260" s="248"/>
      <c r="AF260" s="247"/>
      <c r="AG260" s="228"/>
      <c r="AH260" s="228"/>
      <c r="AI260" s="248"/>
      <c r="AJ260" s="248"/>
      <c r="AK260" s="194"/>
      <c r="AL260" s="249"/>
      <c r="AM260" s="250"/>
      <c r="AN260" s="251"/>
      <c r="AO260" s="252"/>
      <c r="AP260" s="241"/>
      <c r="AQ260" s="241"/>
      <c r="AR260" s="241"/>
      <c r="AS260" s="194"/>
      <c r="AT260" s="195"/>
      <c r="AU260" s="195"/>
    </row>
    <row r="261" spans="1:47">
      <c r="A261" s="253"/>
      <c r="B261" s="230"/>
      <c r="C261" s="245"/>
      <c r="D261" s="230"/>
      <c r="E261" s="230"/>
      <c r="F261" s="230"/>
      <c r="G261" s="228"/>
      <c r="H261" s="230"/>
      <c r="I261" s="230"/>
      <c r="J261" s="246"/>
      <c r="K261" s="230"/>
      <c r="L261" s="230"/>
      <c r="M261" s="230"/>
      <c r="N261" s="230"/>
      <c r="O261" s="230"/>
      <c r="P261" s="256"/>
      <c r="Q261" s="257"/>
      <c r="R261" s="228"/>
      <c r="S261" s="228"/>
      <c r="T261" s="245"/>
      <c r="U261" s="254"/>
      <c r="V261" s="254"/>
      <c r="W261" s="228"/>
      <c r="X261" s="255"/>
      <c r="Y261" s="248"/>
      <c r="Z261" s="248"/>
      <c r="AA261" s="228"/>
      <c r="AB261" s="228"/>
      <c r="AC261" s="228"/>
      <c r="AD261" s="228"/>
      <c r="AE261" s="248"/>
      <c r="AF261" s="247"/>
      <c r="AG261" s="228"/>
      <c r="AH261" s="228"/>
      <c r="AI261" s="248"/>
      <c r="AJ261" s="248"/>
      <c r="AK261" s="194"/>
      <c r="AL261" s="249"/>
      <c r="AM261" s="250"/>
      <c r="AN261" s="251"/>
      <c r="AO261" s="252"/>
      <c r="AP261" s="241"/>
      <c r="AQ261" s="241"/>
      <c r="AR261" s="241"/>
      <c r="AS261" s="194"/>
      <c r="AT261" s="195"/>
      <c r="AU261" s="195"/>
    </row>
    <row r="262" spans="1:47">
      <c r="A262" s="253"/>
      <c r="B262" s="230"/>
      <c r="C262" s="245"/>
      <c r="D262" s="230"/>
      <c r="E262" s="230"/>
      <c r="F262" s="230"/>
      <c r="G262" s="228"/>
      <c r="H262" s="230"/>
      <c r="I262" s="230"/>
      <c r="J262" s="246"/>
      <c r="K262" s="230"/>
      <c r="L262" s="230"/>
      <c r="M262" s="230"/>
      <c r="N262" s="230"/>
      <c r="O262" s="230"/>
      <c r="P262" s="256"/>
      <c r="Q262" s="257"/>
      <c r="R262" s="228"/>
      <c r="S262" s="228"/>
      <c r="T262" s="245"/>
      <c r="U262" s="254"/>
      <c r="V262" s="254"/>
      <c r="W262" s="228"/>
      <c r="X262" s="255"/>
      <c r="Y262" s="248"/>
      <c r="Z262" s="248"/>
      <c r="AA262" s="228"/>
      <c r="AB262" s="228"/>
      <c r="AC262" s="228"/>
      <c r="AD262" s="228"/>
      <c r="AE262" s="248"/>
      <c r="AF262" s="247"/>
      <c r="AG262" s="228"/>
      <c r="AH262" s="228"/>
      <c r="AI262" s="248"/>
      <c r="AJ262" s="248"/>
      <c r="AK262" s="194"/>
      <c r="AL262" s="249"/>
      <c r="AM262" s="250"/>
      <c r="AN262" s="251"/>
      <c r="AO262" s="252"/>
      <c r="AP262" s="241"/>
      <c r="AQ262" s="241"/>
      <c r="AR262" s="241"/>
      <c r="AS262" s="194"/>
      <c r="AT262" s="195"/>
      <c r="AU262" s="195"/>
    </row>
    <row r="263" spans="1:47">
      <c r="A263" s="253"/>
      <c r="B263" s="230"/>
      <c r="C263" s="245"/>
      <c r="D263" s="230"/>
      <c r="E263" s="230"/>
      <c r="F263" s="230"/>
      <c r="G263" s="228"/>
      <c r="H263" s="230"/>
      <c r="I263" s="230"/>
      <c r="J263" s="246"/>
      <c r="K263" s="230"/>
      <c r="L263" s="230"/>
      <c r="M263" s="230"/>
      <c r="N263" s="230"/>
      <c r="O263" s="230"/>
      <c r="P263" s="256"/>
      <c r="Q263" s="257"/>
      <c r="R263" s="228"/>
      <c r="S263" s="228"/>
      <c r="T263" s="245"/>
      <c r="U263" s="254"/>
      <c r="V263" s="254"/>
      <c r="W263" s="228"/>
      <c r="X263" s="255"/>
      <c r="Y263" s="248"/>
      <c r="Z263" s="248"/>
      <c r="AA263" s="228"/>
      <c r="AB263" s="228"/>
      <c r="AC263" s="228"/>
      <c r="AD263" s="228"/>
      <c r="AE263" s="248"/>
      <c r="AF263" s="247"/>
      <c r="AG263" s="228"/>
      <c r="AH263" s="228"/>
      <c r="AI263" s="248"/>
      <c r="AJ263" s="248"/>
      <c r="AK263" s="194"/>
      <c r="AL263" s="249"/>
      <c r="AM263" s="250"/>
      <c r="AN263" s="251"/>
      <c r="AO263" s="252"/>
      <c r="AP263" s="241"/>
      <c r="AQ263" s="241"/>
      <c r="AR263" s="241"/>
      <c r="AS263" s="194"/>
      <c r="AT263" s="195"/>
      <c r="AU263" s="195"/>
    </row>
    <row r="264" spans="1:47">
      <c r="A264" s="253"/>
      <c r="B264" s="230"/>
      <c r="C264" s="245"/>
      <c r="D264" s="230"/>
      <c r="E264" s="230"/>
      <c r="F264" s="230"/>
      <c r="G264" s="228"/>
      <c r="H264" s="230"/>
      <c r="I264" s="230"/>
      <c r="J264" s="246"/>
      <c r="K264" s="230"/>
      <c r="L264" s="230"/>
      <c r="M264" s="230"/>
      <c r="N264" s="230"/>
      <c r="O264" s="230"/>
      <c r="P264" s="256"/>
      <c r="Q264" s="257"/>
      <c r="R264" s="228"/>
      <c r="S264" s="228"/>
      <c r="T264" s="245"/>
      <c r="U264" s="254"/>
      <c r="V264" s="254"/>
      <c r="W264" s="228"/>
      <c r="X264" s="255"/>
      <c r="Y264" s="248"/>
      <c r="Z264" s="248"/>
      <c r="AA264" s="228"/>
      <c r="AB264" s="228"/>
      <c r="AC264" s="228"/>
      <c r="AD264" s="228"/>
      <c r="AE264" s="248"/>
      <c r="AF264" s="247"/>
      <c r="AG264" s="228"/>
      <c r="AH264" s="228"/>
      <c r="AI264" s="248"/>
      <c r="AJ264" s="248"/>
      <c r="AK264" s="194"/>
      <c r="AL264" s="249"/>
      <c r="AM264" s="250"/>
      <c r="AN264" s="251"/>
      <c r="AO264" s="252"/>
      <c r="AP264" s="241"/>
      <c r="AQ264" s="241"/>
      <c r="AR264" s="241"/>
      <c r="AS264" s="194"/>
      <c r="AT264" s="195"/>
      <c r="AU264" s="195"/>
    </row>
    <row r="265" spans="1:47">
      <c r="A265" s="253"/>
      <c r="B265" s="230"/>
      <c r="C265" s="245"/>
      <c r="D265" s="230"/>
      <c r="E265" s="230"/>
      <c r="F265" s="230"/>
      <c r="G265" s="228"/>
      <c r="H265" s="230"/>
      <c r="I265" s="230"/>
      <c r="J265" s="246"/>
      <c r="K265" s="230"/>
      <c r="L265" s="230"/>
      <c r="M265" s="230"/>
      <c r="N265" s="230"/>
      <c r="O265" s="230"/>
      <c r="P265" s="256"/>
      <c r="Q265" s="257"/>
      <c r="R265" s="228"/>
      <c r="S265" s="228"/>
      <c r="T265" s="245"/>
      <c r="U265" s="254"/>
      <c r="V265" s="254"/>
      <c r="W265" s="228"/>
      <c r="X265" s="255"/>
      <c r="Y265" s="248"/>
      <c r="Z265" s="248"/>
      <c r="AA265" s="228"/>
      <c r="AB265" s="228"/>
      <c r="AC265" s="228"/>
      <c r="AD265" s="228"/>
      <c r="AE265" s="248"/>
      <c r="AF265" s="247"/>
      <c r="AG265" s="228"/>
      <c r="AH265" s="228"/>
      <c r="AI265" s="248"/>
      <c r="AJ265" s="248"/>
      <c r="AK265" s="194"/>
      <c r="AL265" s="249"/>
      <c r="AM265" s="250"/>
      <c r="AN265" s="251"/>
      <c r="AO265" s="252"/>
      <c r="AP265" s="241"/>
      <c r="AQ265" s="241"/>
      <c r="AR265" s="241"/>
      <c r="AS265" s="194"/>
      <c r="AT265" s="195"/>
      <c r="AU265" s="195"/>
    </row>
    <row r="266" spans="1:47">
      <c r="A266" s="253"/>
      <c r="B266" s="230"/>
      <c r="C266" s="245"/>
      <c r="D266" s="230"/>
      <c r="E266" s="230"/>
      <c r="F266" s="230"/>
      <c r="G266" s="228"/>
      <c r="H266" s="230"/>
      <c r="I266" s="230"/>
      <c r="J266" s="246"/>
      <c r="K266" s="230"/>
      <c r="L266" s="230"/>
      <c r="M266" s="230"/>
      <c r="N266" s="230"/>
      <c r="O266" s="230"/>
      <c r="P266" s="256"/>
      <c r="Q266" s="257"/>
      <c r="R266" s="228"/>
      <c r="S266" s="228"/>
      <c r="T266" s="245"/>
      <c r="U266" s="254"/>
      <c r="V266" s="254"/>
      <c r="W266" s="228"/>
      <c r="X266" s="255"/>
      <c r="Y266" s="248"/>
      <c r="Z266" s="248"/>
      <c r="AA266" s="228"/>
      <c r="AB266" s="228"/>
      <c r="AC266" s="228"/>
      <c r="AD266" s="228"/>
      <c r="AE266" s="248"/>
      <c r="AF266" s="247"/>
      <c r="AG266" s="228"/>
      <c r="AH266" s="228"/>
      <c r="AI266" s="248"/>
      <c r="AJ266" s="248"/>
      <c r="AK266" s="194"/>
      <c r="AL266" s="249"/>
      <c r="AM266" s="250"/>
      <c r="AN266" s="251"/>
      <c r="AO266" s="252"/>
      <c r="AP266" s="241"/>
      <c r="AQ266" s="241"/>
      <c r="AR266" s="241"/>
      <c r="AS266" s="194"/>
      <c r="AT266" s="195"/>
      <c r="AU266" s="195"/>
    </row>
    <row r="267" spans="1:47">
      <c r="A267" s="253"/>
      <c r="B267" s="230"/>
      <c r="C267" s="245"/>
      <c r="D267" s="230"/>
      <c r="E267" s="230"/>
      <c r="F267" s="230"/>
      <c r="G267" s="228"/>
      <c r="H267" s="230"/>
      <c r="I267" s="230"/>
      <c r="J267" s="246"/>
      <c r="K267" s="230"/>
      <c r="L267" s="230"/>
      <c r="M267" s="230"/>
      <c r="N267" s="230"/>
      <c r="O267" s="230"/>
      <c r="P267" s="256"/>
      <c r="Q267" s="257"/>
      <c r="R267" s="228"/>
      <c r="S267" s="228"/>
      <c r="T267" s="245"/>
      <c r="U267" s="254"/>
      <c r="V267" s="254"/>
      <c r="W267" s="228"/>
      <c r="X267" s="255"/>
      <c r="Y267" s="248"/>
      <c r="Z267" s="248"/>
      <c r="AA267" s="228"/>
      <c r="AB267" s="228"/>
      <c r="AC267" s="228"/>
      <c r="AD267" s="228"/>
      <c r="AE267" s="248"/>
      <c r="AF267" s="247"/>
      <c r="AG267" s="228"/>
      <c r="AH267" s="228"/>
      <c r="AI267" s="248"/>
      <c r="AJ267" s="248"/>
      <c r="AK267" s="194"/>
      <c r="AL267" s="249"/>
      <c r="AM267" s="250"/>
      <c r="AN267" s="251"/>
      <c r="AO267" s="252"/>
      <c r="AP267" s="241"/>
      <c r="AQ267" s="241"/>
      <c r="AR267" s="241"/>
      <c r="AS267" s="194"/>
      <c r="AT267" s="195"/>
      <c r="AU267" s="195"/>
    </row>
    <row r="268" spans="1:47">
      <c r="A268" s="253"/>
      <c r="B268" s="230"/>
      <c r="C268" s="245"/>
      <c r="D268" s="230"/>
      <c r="E268" s="230"/>
      <c r="F268" s="230"/>
      <c r="G268" s="228"/>
      <c r="H268" s="230"/>
      <c r="I268" s="230"/>
      <c r="J268" s="246"/>
      <c r="K268" s="230"/>
      <c r="L268" s="230"/>
      <c r="M268" s="230"/>
      <c r="N268" s="230"/>
      <c r="O268" s="230"/>
      <c r="P268" s="256"/>
      <c r="Q268" s="257"/>
      <c r="R268" s="228"/>
      <c r="S268" s="228"/>
      <c r="T268" s="245"/>
      <c r="U268" s="254"/>
      <c r="V268" s="254"/>
      <c r="W268" s="228"/>
      <c r="X268" s="255"/>
      <c r="Y268" s="248"/>
      <c r="Z268" s="248"/>
      <c r="AA268" s="228"/>
      <c r="AB268" s="228"/>
      <c r="AC268" s="228"/>
      <c r="AD268" s="228"/>
      <c r="AE268" s="248"/>
      <c r="AF268" s="247"/>
      <c r="AG268" s="228"/>
      <c r="AH268" s="228"/>
      <c r="AI268" s="248"/>
      <c r="AJ268" s="248"/>
      <c r="AK268" s="194"/>
      <c r="AL268" s="249"/>
      <c r="AM268" s="250"/>
      <c r="AN268" s="251"/>
      <c r="AO268" s="252"/>
      <c r="AP268" s="241"/>
      <c r="AQ268" s="241"/>
      <c r="AR268" s="241"/>
      <c r="AS268" s="194"/>
      <c r="AT268" s="195"/>
      <c r="AU268" s="195"/>
    </row>
    <row r="269" spans="1:47">
      <c r="A269" s="253"/>
      <c r="B269" s="230"/>
      <c r="C269" s="245"/>
      <c r="D269" s="230"/>
      <c r="E269" s="230"/>
      <c r="F269" s="230"/>
      <c r="G269" s="228"/>
      <c r="H269" s="230"/>
      <c r="I269" s="230"/>
      <c r="J269" s="246"/>
      <c r="K269" s="230"/>
      <c r="L269" s="230"/>
      <c r="M269" s="230"/>
      <c r="N269" s="230"/>
      <c r="O269" s="230"/>
      <c r="P269" s="256"/>
      <c r="Q269" s="257"/>
      <c r="R269" s="228"/>
      <c r="S269" s="228"/>
      <c r="T269" s="245"/>
      <c r="U269" s="254"/>
      <c r="V269" s="254"/>
      <c r="W269" s="228"/>
      <c r="X269" s="255"/>
      <c r="Y269" s="248"/>
      <c r="Z269" s="248"/>
      <c r="AA269" s="228"/>
      <c r="AB269" s="228"/>
      <c r="AC269" s="228"/>
      <c r="AD269" s="228"/>
      <c r="AE269" s="248"/>
      <c r="AF269" s="247"/>
      <c r="AG269" s="228"/>
      <c r="AH269" s="228"/>
      <c r="AI269" s="248"/>
      <c r="AJ269" s="248"/>
      <c r="AK269" s="194"/>
      <c r="AL269" s="249"/>
      <c r="AM269" s="250"/>
      <c r="AN269" s="251"/>
      <c r="AO269" s="252"/>
      <c r="AP269" s="241"/>
      <c r="AQ269" s="241"/>
      <c r="AR269" s="241"/>
      <c r="AS269" s="194"/>
      <c r="AT269" s="195"/>
      <c r="AU269" s="195"/>
    </row>
    <row r="270" spans="1:47">
      <c r="A270" s="253"/>
      <c r="B270" s="230"/>
      <c r="C270" s="245"/>
      <c r="D270" s="230"/>
      <c r="E270" s="230"/>
      <c r="F270" s="230"/>
      <c r="G270" s="228"/>
      <c r="H270" s="230"/>
      <c r="I270" s="230"/>
      <c r="J270" s="246"/>
      <c r="K270" s="230"/>
      <c r="L270" s="230"/>
      <c r="M270" s="230"/>
      <c r="N270" s="230"/>
      <c r="O270" s="230"/>
      <c r="P270" s="256"/>
      <c r="Q270" s="257"/>
      <c r="R270" s="228"/>
      <c r="S270" s="228"/>
      <c r="T270" s="245"/>
      <c r="U270" s="254"/>
      <c r="V270" s="254"/>
      <c r="W270" s="228"/>
      <c r="X270" s="255"/>
      <c r="Y270" s="248"/>
      <c r="Z270" s="248"/>
      <c r="AA270" s="228"/>
      <c r="AB270" s="228"/>
      <c r="AC270" s="228"/>
      <c r="AD270" s="228"/>
      <c r="AE270" s="248"/>
      <c r="AF270" s="247"/>
      <c r="AG270" s="228"/>
      <c r="AH270" s="228"/>
      <c r="AI270" s="248"/>
      <c r="AJ270" s="248"/>
      <c r="AK270" s="194"/>
      <c r="AL270" s="249"/>
      <c r="AM270" s="250"/>
      <c r="AN270" s="251"/>
      <c r="AO270" s="252"/>
      <c r="AP270" s="241"/>
      <c r="AQ270" s="241"/>
      <c r="AR270" s="241"/>
      <c r="AS270" s="194"/>
      <c r="AT270" s="195"/>
      <c r="AU270" s="195"/>
    </row>
    <row r="271" spans="1:47">
      <c r="A271" s="253"/>
      <c r="B271" s="230"/>
      <c r="C271" s="245"/>
      <c r="D271" s="230"/>
      <c r="E271" s="230"/>
      <c r="F271" s="230"/>
      <c r="G271" s="228"/>
      <c r="H271" s="230"/>
      <c r="I271" s="230"/>
      <c r="J271" s="246"/>
      <c r="K271" s="230"/>
      <c r="L271" s="230"/>
      <c r="M271" s="230"/>
      <c r="N271" s="230"/>
      <c r="O271" s="230"/>
      <c r="P271" s="256"/>
      <c r="Q271" s="257"/>
      <c r="R271" s="228"/>
      <c r="S271" s="228"/>
      <c r="T271" s="245"/>
      <c r="U271" s="254"/>
      <c r="V271" s="254"/>
      <c r="W271" s="228"/>
      <c r="X271" s="255"/>
      <c r="Y271" s="248"/>
      <c r="Z271" s="248"/>
      <c r="AA271" s="228"/>
      <c r="AB271" s="228"/>
      <c r="AC271" s="228"/>
      <c r="AD271" s="228"/>
      <c r="AE271" s="248"/>
      <c r="AF271" s="247"/>
      <c r="AG271" s="228"/>
      <c r="AH271" s="228"/>
      <c r="AI271" s="248"/>
      <c r="AJ271" s="248"/>
      <c r="AK271" s="194"/>
      <c r="AL271" s="249"/>
      <c r="AM271" s="250"/>
      <c r="AN271" s="251"/>
      <c r="AO271" s="252"/>
      <c r="AP271" s="241"/>
      <c r="AQ271" s="241"/>
      <c r="AR271" s="241"/>
      <c r="AS271" s="194"/>
      <c r="AT271" s="195"/>
      <c r="AU271" s="195"/>
    </row>
    <row r="272" spans="1:47">
      <c r="A272" s="253"/>
      <c r="B272" s="230"/>
      <c r="C272" s="245"/>
      <c r="D272" s="230"/>
      <c r="E272" s="230"/>
      <c r="F272" s="230"/>
      <c r="G272" s="228"/>
      <c r="H272" s="230"/>
      <c r="I272" s="230"/>
      <c r="J272" s="246"/>
      <c r="K272" s="230"/>
      <c r="L272" s="230"/>
      <c r="M272" s="230"/>
      <c r="N272" s="230"/>
      <c r="O272" s="230"/>
      <c r="P272" s="256"/>
      <c r="Q272" s="257"/>
      <c r="R272" s="228"/>
      <c r="S272" s="228"/>
      <c r="T272" s="245"/>
      <c r="U272" s="254"/>
      <c r="V272" s="254"/>
      <c r="W272" s="228"/>
      <c r="X272" s="255"/>
      <c r="Y272" s="248"/>
      <c r="Z272" s="248"/>
      <c r="AA272" s="228"/>
      <c r="AB272" s="228"/>
      <c r="AC272" s="228"/>
      <c r="AD272" s="228"/>
      <c r="AE272" s="248"/>
      <c r="AF272" s="247"/>
      <c r="AG272" s="228"/>
      <c r="AH272" s="228"/>
      <c r="AI272" s="248"/>
      <c r="AJ272" s="248"/>
      <c r="AK272" s="194"/>
      <c r="AL272" s="249"/>
      <c r="AM272" s="250"/>
      <c r="AN272" s="251"/>
      <c r="AO272" s="252"/>
      <c r="AP272" s="241"/>
      <c r="AQ272" s="241"/>
      <c r="AR272" s="241"/>
      <c r="AS272" s="194"/>
      <c r="AT272" s="195"/>
      <c r="AU272" s="195"/>
    </row>
    <row r="273" spans="1:47">
      <c r="A273" s="253"/>
      <c r="B273" s="230"/>
      <c r="C273" s="245"/>
      <c r="D273" s="230"/>
      <c r="E273" s="230"/>
      <c r="F273" s="230"/>
      <c r="G273" s="228"/>
      <c r="H273" s="230"/>
      <c r="I273" s="230"/>
      <c r="J273" s="246"/>
      <c r="K273" s="230"/>
      <c r="L273" s="230"/>
      <c r="M273" s="230"/>
      <c r="N273" s="230"/>
      <c r="O273" s="230"/>
      <c r="P273" s="256"/>
      <c r="Q273" s="257"/>
      <c r="R273" s="228"/>
      <c r="S273" s="228"/>
      <c r="T273" s="245"/>
      <c r="U273" s="254"/>
      <c r="V273" s="254"/>
      <c r="W273" s="228"/>
      <c r="X273" s="255"/>
      <c r="Y273" s="248"/>
      <c r="Z273" s="248"/>
      <c r="AA273" s="228"/>
      <c r="AB273" s="228"/>
      <c r="AC273" s="228"/>
      <c r="AD273" s="228"/>
      <c r="AE273" s="248"/>
      <c r="AF273" s="247"/>
      <c r="AG273" s="228"/>
      <c r="AH273" s="228"/>
      <c r="AI273" s="248"/>
      <c r="AJ273" s="248"/>
      <c r="AK273" s="194"/>
      <c r="AL273" s="249"/>
      <c r="AM273" s="250"/>
      <c r="AN273" s="251"/>
      <c r="AO273" s="252"/>
      <c r="AP273" s="241"/>
      <c r="AQ273" s="241"/>
      <c r="AR273" s="241"/>
      <c r="AS273" s="194"/>
      <c r="AT273" s="195"/>
      <c r="AU273" s="195"/>
    </row>
    <row r="274" spans="1:47">
      <c r="A274" s="253"/>
      <c r="B274" s="230"/>
      <c r="C274" s="245"/>
      <c r="D274" s="230"/>
      <c r="E274" s="230"/>
      <c r="F274" s="230"/>
      <c r="G274" s="228"/>
      <c r="H274" s="230"/>
      <c r="I274" s="230"/>
      <c r="J274" s="246"/>
      <c r="K274" s="230"/>
      <c r="L274" s="230"/>
      <c r="M274" s="230"/>
      <c r="N274" s="230"/>
      <c r="O274" s="230"/>
      <c r="P274" s="256"/>
      <c r="Q274" s="257"/>
      <c r="R274" s="228"/>
      <c r="S274" s="228"/>
      <c r="T274" s="245"/>
      <c r="U274" s="254"/>
      <c r="V274" s="254"/>
      <c r="W274" s="228"/>
      <c r="X274" s="255"/>
      <c r="Y274" s="248"/>
      <c r="Z274" s="248"/>
      <c r="AA274" s="228"/>
      <c r="AB274" s="228"/>
      <c r="AC274" s="228"/>
      <c r="AD274" s="228"/>
      <c r="AE274" s="248"/>
      <c r="AF274" s="247"/>
      <c r="AG274" s="228"/>
      <c r="AH274" s="228"/>
      <c r="AI274" s="248"/>
      <c r="AJ274" s="248"/>
      <c r="AK274" s="194"/>
      <c r="AL274" s="249"/>
      <c r="AM274" s="250"/>
      <c r="AN274" s="251"/>
      <c r="AO274" s="252"/>
      <c r="AP274" s="241"/>
      <c r="AQ274" s="241"/>
      <c r="AR274" s="241"/>
      <c r="AS274" s="194"/>
      <c r="AT274" s="195"/>
      <c r="AU274" s="195"/>
    </row>
    <row r="275" spans="1:47">
      <c r="A275" s="253"/>
      <c r="B275" s="230"/>
      <c r="C275" s="245"/>
      <c r="D275" s="230"/>
      <c r="E275" s="230"/>
      <c r="F275" s="230"/>
      <c r="G275" s="228"/>
      <c r="H275" s="230"/>
      <c r="I275" s="230"/>
      <c r="J275" s="246"/>
      <c r="K275" s="230"/>
      <c r="L275" s="230"/>
      <c r="M275" s="230"/>
      <c r="N275" s="230"/>
      <c r="O275" s="230"/>
      <c r="P275" s="256"/>
      <c r="Q275" s="257"/>
      <c r="R275" s="228"/>
      <c r="S275" s="228"/>
      <c r="T275" s="245"/>
      <c r="U275" s="254"/>
      <c r="V275" s="254"/>
      <c r="W275" s="228"/>
      <c r="X275" s="255"/>
      <c r="Y275" s="248"/>
      <c r="Z275" s="248"/>
      <c r="AA275" s="228"/>
      <c r="AB275" s="228"/>
      <c r="AC275" s="228"/>
      <c r="AD275" s="228"/>
      <c r="AE275" s="248"/>
      <c r="AF275" s="247"/>
      <c r="AG275" s="228"/>
      <c r="AH275" s="228"/>
      <c r="AI275" s="248"/>
      <c r="AJ275" s="248"/>
      <c r="AK275" s="194"/>
      <c r="AL275" s="249"/>
      <c r="AM275" s="250"/>
      <c r="AN275" s="251"/>
      <c r="AO275" s="252"/>
      <c r="AP275" s="241"/>
      <c r="AQ275" s="241"/>
      <c r="AR275" s="241"/>
      <c r="AS275" s="194"/>
      <c r="AT275" s="195"/>
      <c r="AU275" s="195"/>
    </row>
    <row r="276" spans="1:47">
      <c r="A276" s="253"/>
      <c r="B276" s="230"/>
      <c r="C276" s="245"/>
      <c r="D276" s="230"/>
      <c r="E276" s="230"/>
      <c r="F276" s="230"/>
      <c r="G276" s="228"/>
      <c r="H276" s="230"/>
      <c r="I276" s="230"/>
      <c r="J276" s="246"/>
      <c r="K276" s="230"/>
      <c r="L276" s="230"/>
      <c r="M276" s="230"/>
      <c r="N276" s="230"/>
      <c r="O276" s="230"/>
      <c r="P276" s="256"/>
      <c r="Q276" s="257"/>
      <c r="R276" s="228"/>
      <c r="S276" s="228"/>
      <c r="T276" s="245"/>
      <c r="U276" s="254"/>
      <c r="V276" s="254"/>
      <c r="W276" s="228"/>
      <c r="X276" s="255"/>
      <c r="Y276" s="248"/>
      <c r="Z276" s="248"/>
      <c r="AA276" s="228"/>
      <c r="AB276" s="228"/>
      <c r="AC276" s="228"/>
      <c r="AD276" s="228"/>
      <c r="AE276" s="248"/>
      <c r="AF276" s="247"/>
      <c r="AG276" s="228"/>
      <c r="AH276" s="228"/>
      <c r="AI276" s="248"/>
      <c r="AJ276" s="248"/>
      <c r="AK276" s="194"/>
      <c r="AL276" s="249"/>
      <c r="AM276" s="250"/>
      <c r="AN276" s="251"/>
      <c r="AO276" s="252"/>
      <c r="AP276" s="241"/>
      <c r="AQ276" s="241"/>
      <c r="AR276" s="241"/>
      <c r="AS276" s="194"/>
      <c r="AT276" s="195"/>
      <c r="AU276" s="195"/>
    </row>
    <row r="277" spans="1:47">
      <c r="A277" s="253"/>
      <c r="B277" s="230"/>
      <c r="C277" s="245"/>
      <c r="D277" s="230"/>
      <c r="E277" s="230"/>
      <c r="F277" s="230"/>
      <c r="G277" s="228"/>
      <c r="H277" s="230"/>
      <c r="I277" s="230"/>
      <c r="J277" s="246"/>
      <c r="K277" s="230"/>
      <c r="L277" s="230"/>
      <c r="M277" s="230"/>
      <c r="N277" s="230"/>
      <c r="O277" s="230"/>
      <c r="P277" s="256"/>
      <c r="Q277" s="257"/>
      <c r="R277" s="228"/>
      <c r="S277" s="228"/>
      <c r="T277" s="245"/>
      <c r="U277" s="254"/>
      <c r="V277" s="254"/>
      <c r="W277" s="228"/>
      <c r="X277" s="255"/>
      <c r="Y277" s="248"/>
      <c r="Z277" s="248"/>
      <c r="AA277" s="228"/>
      <c r="AB277" s="228"/>
      <c r="AC277" s="228"/>
      <c r="AD277" s="228"/>
      <c r="AE277" s="248"/>
      <c r="AF277" s="247"/>
      <c r="AG277" s="228"/>
      <c r="AH277" s="228"/>
      <c r="AI277" s="248"/>
      <c r="AJ277" s="248"/>
      <c r="AK277" s="194"/>
      <c r="AL277" s="249"/>
      <c r="AM277" s="250"/>
      <c r="AN277" s="251"/>
      <c r="AO277" s="252"/>
      <c r="AP277" s="241"/>
      <c r="AQ277" s="241"/>
      <c r="AR277" s="241"/>
      <c r="AS277" s="194"/>
      <c r="AT277" s="195"/>
      <c r="AU277" s="195"/>
    </row>
    <row r="278" spans="1:47">
      <c r="A278" s="253"/>
      <c r="B278" s="230"/>
      <c r="C278" s="245"/>
      <c r="D278" s="230"/>
      <c r="E278" s="230"/>
      <c r="F278" s="230"/>
      <c r="G278" s="228"/>
      <c r="H278" s="230"/>
      <c r="I278" s="230"/>
      <c r="J278" s="246"/>
      <c r="K278" s="230"/>
      <c r="L278" s="230"/>
      <c r="M278" s="230"/>
      <c r="N278" s="230"/>
      <c r="O278" s="230"/>
      <c r="P278" s="256"/>
      <c r="Q278" s="257"/>
      <c r="R278" s="228"/>
      <c r="S278" s="228"/>
      <c r="T278" s="245"/>
      <c r="U278" s="254"/>
      <c r="V278" s="254"/>
      <c r="W278" s="228"/>
      <c r="X278" s="255"/>
      <c r="Y278" s="248"/>
      <c r="Z278" s="248"/>
      <c r="AA278" s="228"/>
      <c r="AB278" s="228"/>
      <c r="AC278" s="228"/>
      <c r="AD278" s="228"/>
      <c r="AE278" s="248"/>
      <c r="AF278" s="247"/>
      <c r="AG278" s="228"/>
      <c r="AH278" s="228"/>
      <c r="AI278" s="248"/>
      <c r="AJ278" s="248"/>
      <c r="AK278" s="194"/>
      <c r="AL278" s="249"/>
      <c r="AM278" s="250"/>
      <c r="AN278" s="251"/>
      <c r="AO278" s="252"/>
      <c r="AP278" s="241"/>
      <c r="AQ278" s="241"/>
      <c r="AR278" s="241"/>
      <c r="AS278" s="194"/>
      <c r="AT278" s="195"/>
      <c r="AU278" s="195"/>
    </row>
    <row r="279" spans="1:47">
      <c r="A279" s="253"/>
      <c r="B279" s="230"/>
      <c r="C279" s="245"/>
      <c r="D279" s="230"/>
      <c r="E279" s="230"/>
      <c r="F279" s="230"/>
      <c r="G279" s="228"/>
      <c r="H279" s="230"/>
      <c r="I279" s="230"/>
      <c r="J279" s="246"/>
      <c r="K279" s="230"/>
      <c r="L279" s="230"/>
      <c r="M279" s="230"/>
      <c r="N279" s="230"/>
      <c r="O279" s="230"/>
      <c r="P279" s="256"/>
      <c r="Q279" s="257"/>
      <c r="R279" s="228"/>
      <c r="S279" s="228"/>
      <c r="T279" s="245"/>
      <c r="U279" s="254"/>
      <c r="V279" s="254"/>
      <c r="W279" s="228"/>
      <c r="X279" s="255"/>
      <c r="Y279" s="248"/>
      <c r="Z279" s="248"/>
      <c r="AA279" s="228"/>
      <c r="AB279" s="228"/>
      <c r="AC279" s="228"/>
      <c r="AD279" s="228"/>
      <c r="AE279" s="248"/>
      <c r="AF279" s="247"/>
      <c r="AG279" s="228"/>
      <c r="AH279" s="228"/>
      <c r="AI279" s="248"/>
      <c r="AJ279" s="248"/>
      <c r="AK279" s="194"/>
      <c r="AL279" s="249"/>
      <c r="AM279" s="250"/>
      <c r="AN279" s="251"/>
      <c r="AO279" s="252"/>
      <c r="AP279" s="241"/>
      <c r="AQ279" s="241"/>
      <c r="AR279" s="241"/>
      <c r="AS279" s="194"/>
      <c r="AT279" s="195"/>
      <c r="AU279" s="195"/>
    </row>
    <row r="280" spans="1:47">
      <c r="A280" s="253"/>
      <c r="B280" s="230"/>
      <c r="C280" s="245"/>
      <c r="D280" s="230"/>
      <c r="E280" s="230"/>
      <c r="F280" s="230"/>
      <c r="G280" s="228"/>
      <c r="H280" s="230"/>
      <c r="I280" s="230"/>
      <c r="J280" s="246"/>
      <c r="K280" s="230"/>
      <c r="L280" s="230"/>
      <c r="M280" s="230"/>
      <c r="N280" s="230"/>
      <c r="O280" s="230"/>
      <c r="P280" s="256"/>
      <c r="Q280" s="257"/>
      <c r="R280" s="228"/>
      <c r="S280" s="228"/>
      <c r="T280" s="245"/>
      <c r="U280" s="254"/>
      <c r="V280" s="254"/>
      <c r="W280" s="228"/>
      <c r="X280" s="255"/>
      <c r="Y280" s="248"/>
      <c r="Z280" s="248"/>
      <c r="AA280" s="228"/>
      <c r="AB280" s="228"/>
      <c r="AC280" s="228"/>
      <c r="AD280" s="228"/>
      <c r="AE280" s="248"/>
      <c r="AF280" s="247"/>
      <c r="AG280" s="228"/>
      <c r="AH280" s="228"/>
      <c r="AI280" s="248"/>
      <c r="AJ280" s="248"/>
      <c r="AK280" s="194"/>
      <c r="AL280" s="249"/>
      <c r="AM280" s="250"/>
      <c r="AN280" s="251"/>
      <c r="AO280" s="252"/>
      <c r="AP280" s="241"/>
      <c r="AQ280" s="241"/>
      <c r="AR280" s="241"/>
      <c r="AS280" s="194"/>
      <c r="AT280" s="195"/>
      <c r="AU280" s="195"/>
    </row>
    <row r="281" spans="1:47">
      <c r="A281" s="253"/>
      <c r="B281" s="230"/>
      <c r="C281" s="245"/>
      <c r="D281" s="230"/>
      <c r="E281" s="230"/>
      <c r="F281" s="230"/>
      <c r="G281" s="228"/>
      <c r="H281" s="230"/>
      <c r="I281" s="230"/>
      <c r="J281" s="246"/>
      <c r="K281" s="230"/>
      <c r="L281" s="230"/>
      <c r="M281" s="230"/>
      <c r="N281" s="230"/>
      <c r="O281" s="230"/>
      <c r="P281" s="256"/>
      <c r="Q281" s="257"/>
      <c r="R281" s="228"/>
      <c r="S281" s="228"/>
      <c r="T281" s="245"/>
      <c r="U281" s="254"/>
      <c r="V281" s="254"/>
      <c r="W281" s="228"/>
      <c r="X281" s="255"/>
      <c r="Y281" s="248"/>
      <c r="Z281" s="248"/>
      <c r="AA281" s="228"/>
      <c r="AB281" s="228"/>
      <c r="AC281" s="228"/>
      <c r="AD281" s="228"/>
      <c r="AE281" s="248"/>
      <c r="AF281" s="247"/>
      <c r="AG281" s="228"/>
      <c r="AH281" s="228"/>
      <c r="AI281" s="248"/>
      <c r="AJ281" s="248"/>
      <c r="AK281" s="194"/>
      <c r="AL281" s="249"/>
      <c r="AM281" s="250"/>
      <c r="AN281" s="251"/>
      <c r="AO281" s="252"/>
      <c r="AP281" s="241"/>
      <c r="AQ281" s="241"/>
      <c r="AR281" s="241"/>
      <c r="AS281" s="194"/>
      <c r="AT281" s="195"/>
      <c r="AU281" s="195"/>
    </row>
    <row r="282" spans="1:47">
      <c r="A282" s="253"/>
      <c r="B282" s="230"/>
      <c r="C282" s="245"/>
      <c r="D282" s="230"/>
      <c r="E282" s="230"/>
      <c r="F282" s="230"/>
      <c r="G282" s="228"/>
      <c r="H282" s="230"/>
      <c r="I282" s="230"/>
      <c r="J282" s="246"/>
      <c r="K282" s="230"/>
      <c r="L282" s="230"/>
      <c r="M282" s="230"/>
      <c r="N282" s="230"/>
      <c r="O282" s="230"/>
      <c r="P282" s="256"/>
      <c r="Q282" s="257"/>
      <c r="R282" s="228"/>
      <c r="S282" s="228"/>
      <c r="T282" s="245"/>
      <c r="U282" s="254"/>
      <c r="V282" s="254"/>
      <c r="W282" s="228"/>
      <c r="X282" s="255"/>
      <c r="Y282" s="248"/>
      <c r="Z282" s="248"/>
      <c r="AA282" s="228"/>
      <c r="AB282" s="228"/>
      <c r="AC282" s="228"/>
      <c r="AD282" s="228"/>
      <c r="AE282" s="248"/>
      <c r="AF282" s="247"/>
      <c r="AG282" s="228"/>
      <c r="AH282" s="228"/>
      <c r="AI282" s="248"/>
      <c r="AJ282" s="248"/>
      <c r="AK282" s="194"/>
      <c r="AL282" s="249"/>
      <c r="AM282" s="250"/>
      <c r="AN282" s="251"/>
      <c r="AO282" s="252"/>
      <c r="AP282" s="241"/>
      <c r="AQ282" s="241"/>
      <c r="AR282" s="241"/>
      <c r="AS282" s="194"/>
      <c r="AT282" s="195"/>
      <c r="AU282" s="195"/>
    </row>
    <row r="283" spans="1:47">
      <c r="A283" s="253"/>
      <c r="B283" s="230"/>
      <c r="C283" s="245"/>
      <c r="D283" s="230"/>
      <c r="E283" s="230"/>
      <c r="F283" s="230"/>
      <c r="G283" s="228"/>
      <c r="H283" s="230"/>
      <c r="I283" s="230"/>
      <c r="J283" s="246"/>
      <c r="K283" s="230"/>
      <c r="L283" s="230"/>
      <c r="M283" s="230"/>
      <c r="N283" s="230"/>
      <c r="O283" s="230"/>
      <c r="P283" s="256"/>
      <c r="Q283" s="257"/>
      <c r="R283" s="228"/>
      <c r="S283" s="228"/>
      <c r="T283" s="245"/>
      <c r="U283" s="254"/>
      <c r="V283" s="254"/>
      <c r="W283" s="228"/>
      <c r="X283" s="255"/>
      <c r="Y283" s="248"/>
      <c r="Z283" s="248"/>
      <c r="AA283" s="228"/>
      <c r="AB283" s="228"/>
      <c r="AC283" s="228"/>
      <c r="AD283" s="228"/>
      <c r="AE283" s="248"/>
      <c r="AF283" s="247"/>
      <c r="AG283" s="228"/>
      <c r="AH283" s="228"/>
      <c r="AI283" s="248"/>
      <c r="AJ283" s="248"/>
      <c r="AK283" s="194"/>
      <c r="AL283" s="249"/>
      <c r="AM283" s="250"/>
      <c r="AN283" s="251"/>
      <c r="AO283" s="252"/>
      <c r="AP283" s="241"/>
      <c r="AQ283" s="241"/>
      <c r="AR283" s="241"/>
      <c r="AS283" s="194"/>
      <c r="AT283" s="195"/>
      <c r="AU283" s="195"/>
    </row>
    <row r="284" spans="1:47">
      <c r="A284" s="253"/>
      <c r="B284" s="230"/>
      <c r="C284" s="245"/>
      <c r="D284" s="230"/>
      <c r="E284" s="230"/>
      <c r="F284" s="230"/>
      <c r="G284" s="228"/>
      <c r="H284" s="230"/>
      <c r="I284" s="230"/>
      <c r="J284" s="246"/>
      <c r="K284" s="230"/>
      <c r="L284" s="230"/>
      <c r="M284" s="230"/>
      <c r="N284" s="230"/>
      <c r="O284" s="230"/>
      <c r="P284" s="256"/>
      <c r="Q284" s="257"/>
      <c r="R284" s="228"/>
      <c r="S284" s="228"/>
      <c r="T284" s="245"/>
      <c r="U284" s="254"/>
      <c r="V284" s="254"/>
      <c r="W284" s="228"/>
      <c r="X284" s="255"/>
      <c r="Y284" s="248"/>
      <c r="Z284" s="248"/>
      <c r="AA284" s="228"/>
      <c r="AB284" s="228"/>
      <c r="AC284" s="228"/>
      <c r="AD284" s="228"/>
      <c r="AE284" s="248"/>
      <c r="AF284" s="247"/>
      <c r="AG284" s="228"/>
      <c r="AH284" s="228"/>
      <c r="AI284" s="248"/>
      <c r="AJ284" s="248"/>
      <c r="AK284" s="194"/>
      <c r="AL284" s="249"/>
      <c r="AM284" s="250"/>
      <c r="AN284" s="251"/>
      <c r="AO284" s="252"/>
      <c r="AP284" s="241"/>
      <c r="AQ284" s="241"/>
      <c r="AR284" s="241"/>
      <c r="AS284" s="194"/>
      <c r="AT284" s="195"/>
      <c r="AU284" s="195"/>
    </row>
    <row r="285" spans="1:47">
      <c r="A285" s="253"/>
      <c r="B285" s="230"/>
      <c r="C285" s="245"/>
      <c r="D285" s="230"/>
      <c r="E285" s="230"/>
      <c r="F285" s="230"/>
      <c r="G285" s="228"/>
      <c r="H285" s="230"/>
      <c r="I285" s="230"/>
      <c r="J285" s="246"/>
      <c r="K285" s="230"/>
      <c r="L285" s="230"/>
      <c r="M285" s="230"/>
      <c r="N285" s="230"/>
      <c r="O285" s="230"/>
      <c r="P285" s="256"/>
      <c r="Q285" s="257"/>
      <c r="R285" s="228"/>
      <c r="S285" s="228"/>
      <c r="T285" s="245"/>
      <c r="U285" s="254"/>
      <c r="V285" s="254"/>
      <c r="W285" s="228"/>
      <c r="X285" s="255"/>
      <c r="Y285" s="248"/>
      <c r="Z285" s="248"/>
      <c r="AA285" s="228"/>
      <c r="AB285" s="228"/>
      <c r="AC285" s="228"/>
      <c r="AD285" s="228"/>
      <c r="AE285" s="248"/>
      <c r="AF285" s="247"/>
      <c r="AG285" s="228"/>
      <c r="AH285" s="228"/>
      <c r="AI285" s="248"/>
      <c r="AJ285" s="248"/>
      <c r="AK285" s="194"/>
      <c r="AL285" s="249"/>
      <c r="AM285" s="250"/>
      <c r="AN285" s="251"/>
      <c r="AO285" s="252"/>
      <c r="AP285" s="241"/>
      <c r="AQ285" s="241"/>
      <c r="AR285" s="241"/>
      <c r="AS285" s="194"/>
      <c r="AT285" s="195"/>
      <c r="AU285" s="195"/>
    </row>
    <row r="286" spans="1:47">
      <c r="A286" s="253"/>
      <c r="B286" s="230"/>
      <c r="C286" s="245"/>
      <c r="D286" s="230"/>
      <c r="E286" s="230"/>
      <c r="F286" s="230"/>
      <c r="G286" s="228"/>
      <c r="H286" s="230"/>
      <c r="I286" s="230"/>
      <c r="J286" s="246"/>
      <c r="K286" s="230"/>
      <c r="L286" s="230"/>
      <c r="M286" s="230"/>
      <c r="N286" s="230"/>
      <c r="O286" s="230"/>
      <c r="P286" s="256"/>
      <c r="Q286" s="257"/>
      <c r="R286" s="228"/>
      <c r="S286" s="228"/>
      <c r="T286" s="245"/>
      <c r="U286" s="254"/>
      <c r="V286" s="254"/>
      <c r="W286" s="228"/>
      <c r="X286" s="255"/>
      <c r="Y286" s="248"/>
      <c r="Z286" s="248"/>
      <c r="AA286" s="228"/>
      <c r="AB286" s="228"/>
      <c r="AC286" s="228"/>
      <c r="AD286" s="228"/>
      <c r="AE286" s="248"/>
      <c r="AF286" s="247"/>
      <c r="AG286" s="228"/>
      <c r="AH286" s="228"/>
      <c r="AI286" s="248"/>
      <c r="AJ286" s="248"/>
      <c r="AK286" s="194"/>
      <c r="AL286" s="249"/>
      <c r="AM286" s="250"/>
      <c r="AN286" s="251"/>
      <c r="AO286" s="252"/>
      <c r="AP286" s="241"/>
      <c r="AQ286" s="241"/>
      <c r="AR286" s="241"/>
      <c r="AS286" s="194"/>
      <c r="AT286" s="195"/>
      <c r="AU286" s="195"/>
    </row>
    <row r="287" spans="1:47">
      <c r="A287" s="253"/>
      <c r="B287" s="230"/>
      <c r="C287" s="245"/>
      <c r="D287" s="230"/>
      <c r="E287" s="230"/>
      <c r="F287" s="230"/>
      <c r="G287" s="228"/>
      <c r="H287" s="230"/>
      <c r="I287" s="230"/>
      <c r="J287" s="246"/>
      <c r="K287" s="230"/>
      <c r="L287" s="230"/>
      <c r="M287" s="230"/>
      <c r="N287" s="230"/>
      <c r="O287" s="230"/>
      <c r="P287" s="256"/>
      <c r="Q287" s="257"/>
      <c r="R287" s="228"/>
      <c r="S287" s="228"/>
      <c r="T287" s="245"/>
      <c r="U287" s="254"/>
      <c r="V287" s="254"/>
      <c r="W287" s="228"/>
      <c r="X287" s="255"/>
      <c r="Y287" s="248"/>
      <c r="Z287" s="248"/>
      <c r="AA287" s="228"/>
      <c r="AB287" s="228"/>
      <c r="AC287" s="228"/>
      <c r="AD287" s="228"/>
      <c r="AE287" s="248"/>
      <c r="AF287" s="247"/>
      <c r="AG287" s="228"/>
      <c r="AH287" s="228"/>
      <c r="AI287" s="248"/>
      <c r="AJ287" s="248"/>
      <c r="AK287" s="194"/>
      <c r="AL287" s="249"/>
      <c r="AM287" s="250"/>
      <c r="AN287" s="251"/>
      <c r="AO287" s="252"/>
      <c r="AP287" s="241"/>
      <c r="AQ287" s="241"/>
      <c r="AR287" s="241"/>
      <c r="AS287" s="194"/>
      <c r="AT287" s="195"/>
      <c r="AU287" s="195"/>
    </row>
    <row r="288" spans="1:47">
      <c r="A288" s="253"/>
      <c r="B288" s="230"/>
      <c r="C288" s="245"/>
      <c r="D288" s="230"/>
      <c r="E288" s="230"/>
      <c r="F288" s="230"/>
      <c r="G288" s="228"/>
      <c r="H288" s="230"/>
      <c r="I288" s="230"/>
      <c r="J288" s="246"/>
      <c r="K288" s="230"/>
      <c r="L288" s="230"/>
      <c r="M288" s="230"/>
      <c r="N288" s="230"/>
      <c r="O288" s="230"/>
      <c r="P288" s="256"/>
      <c r="Q288" s="257"/>
      <c r="R288" s="228"/>
      <c r="S288" s="228"/>
      <c r="T288" s="245"/>
      <c r="U288" s="254"/>
      <c r="V288" s="254"/>
      <c r="W288" s="228"/>
      <c r="X288" s="255"/>
      <c r="Y288" s="248"/>
      <c r="Z288" s="248"/>
      <c r="AA288" s="228"/>
      <c r="AB288" s="228"/>
      <c r="AC288" s="228"/>
      <c r="AD288" s="228"/>
      <c r="AE288" s="248"/>
      <c r="AF288" s="247"/>
      <c r="AG288" s="228"/>
      <c r="AH288" s="228"/>
      <c r="AI288" s="248"/>
      <c r="AJ288" s="248"/>
      <c r="AK288" s="194"/>
      <c r="AL288" s="249"/>
      <c r="AM288" s="250"/>
      <c r="AN288" s="251"/>
      <c r="AO288" s="252"/>
      <c r="AP288" s="241"/>
      <c r="AQ288" s="241"/>
      <c r="AR288" s="241"/>
      <c r="AS288" s="194"/>
      <c r="AT288" s="195"/>
      <c r="AU288" s="195"/>
    </row>
    <row r="289" spans="1:47">
      <c r="A289" s="253"/>
      <c r="B289" s="230"/>
      <c r="C289" s="245"/>
      <c r="D289" s="230"/>
      <c r="E289" s="230"/>
      <c r="F289" s="230"/>
      <c r="G289" s="228"/>
      <c r="H289" s="230"/>
      <c r="I289" s="230"/>
      <c r="J289" s="246"/>
      <c r="K289" s="230"/>
      <c r="L289" s="230"/>
      <c r="M289" s="230"/>
      <c r="N289" s="230"/>
      <c r="O289" s="230"/>
      <c r="P289" s="256"/>
      <c r="Q289" s="257"/>
      <c r="R289" s="228"/>
      <c r="S289" s="228"/>
      <c r="T289" s="245"/>
      <c r="U289" s="254"/>
      <c r="V289" s="254"/>
      <c r="W289" s="228"/>
      <c r="X289" s="255"/>
      <c r="Y289" s="248"/>
      <c r="Z289" s="248"/>
      <c r="AA289" s="228"/>
      <c r="AB289" s="228"/>
      <c r="AC289" s="228"/>
      <c r="AD289" s="228"/>
      <c r="AE289" s="248"/>
      <c r="AF289" s="247"/>
      <c r="AG289" s="228"/>
      <c r="AH289" s="228"/>
      <c r="AI289" s="248"/>
      <c r="AJ289" s="248"/>
      <c r="AK289" s="194"/>
      <c r="AL289" s="249"/>
      <c r="AM289" s="250"/>
      <c r="AN289" s="251"/>
      <c r="AO289" s="252"/>
      <c r="AP289" s="241"/>
      <c r="AQ289" s="241"/>
      <c r="AR289" s="241"/>
      <c r="AS289" s="194"/>
      <c r="AT289" s="195"/>
      <c r="AU289" s="195"/>
    </row>
    <row r="290" spans="1:47">
      <c r="A290" s="253"/>
      <c r="B290" s="230"/>
      <c r="C290" s="245"/>
      <c r="D290" s="230"/>
      <c r="E290" s="230"/>
      <c r="F290" s="230"/>
      <c r="G290" s="228"/>
      <c r="H290" s="230"/>
      <c r="I290" s="230"/>
      <c r="J290" s="246"/>
      <c r="K290" s="230"/>
      <c r="L290" s="230"/>
      <c r="M290" s="230"/>
      <c r="N290" s="230"/>
      <c r="O290" s="230"/>
      <c r="P290" s="256"/>
      <c r="Q290" s="257"/>
      <c r="R290" s="228"/>
      <c r="S290" s="228"/>
      <c r="T290" s="245"/>
      <c r="U290" s="254"/>
      <c r="V290" s="254"/>
      <c r="W290" s="228"/>
      <c r="X290" s="255"/>
      <c r="Y290" s="248"/>
      <c r="Z290" s="248"/>
      <c r="AA290" s="228"/>
      <c r="AB290" s="228"/>
      <c r="AC290" s="228"/>
      <c r="AD290" s="228"/>
      <c r="AE290" s="248"/>
      <c r="AF290" s="247"/>
      <c r="AG290" s="228"/>
      <c r="AH290" s="228"/>
      <c r="AI290" s="248"/>
      <c r="AJ290" s="248"/>
      <c r="AK290" s="194"/>
      <c r="AL290" s="249"/>
      <c r="AM290" s="250"/>
      <c r="AN290" s="251"/>
      <c r="AO290" s="252"/>
      <c r="AP290" s="241"/>
      <c r="AQ290" s="241"/>
      <c r="AR290" s="241"/>
      <c r="AS290" s="194"/>
      <c r="AT290" s="195"/>
      <c r="AU290" s="195"/>
    </row>
    <row r="291" spans="1:47">
      <c r="A291" s="253"/>
      <c r="B291" s="230"/>
      <c r="C291" s="245"/>
      <c r="D291" s="230"/>
      <c r="E291" s="230"/>
      <c r="F291" s="230"/>
      <c r="G291" s="228"/>
      <c r="H291" s="230"/>
      <c r="I291" s="230"/>
      <c r="J291" s="246"/>
      <c r="K291" s="230"/>
      <c r="L291" s="230"/>
      <c r="M291" s="230"/>
      <c r="N291" s="230"/>
      <c r="O291" s="230"/>
      <c r="P291" s="256"/>
      <c r="Q291" s="257"/>
      <c r="R291" s="228"/>
      <c r="S291" s="228"/>
      <c r="T291" s="245"/>
      <c r="U291" s="254"/>
      <c r="V291" s="254"/>
      <c r="W291" s="228"/>
      <c r="X291" s="255"/>
      <c r="Y291" s="248"/>
      <c r="Z291" s="248"/>
      <c r="AA291" s="228"/>
      <c r="AB291" s="228"/>
      <c r="AC291" s="228"/>
      <c r="AD291" s="228"/>
      <c r="AE291" s="248"/>
      <c r="AF291" s="247"/>
      <c r="AG291" s="228"/>
      <c r="AH291" s="228"/>
      <c r="AI291" s="248"/>
      <c r="AJ291" s="248"/>
      <c r="AK291" s="194"/>
      <c r="AL291" s="249"/>
      <c r="AM291" s="250"/>
      <c r="AN291" s="251"/>
      <c r="AO291" s="252"/>
      <c r="AP291" s="241"/>
      <c r="AQ291" s="241"/>
      <c r="AR291" s="241"/>
      <c r="AS291" s="194"/>
      <c r="AT291" s="195"/>
      <c r="AU291" s="195"/>
    </row>
    <row r="292" spans="1:47">
      <c r="A292" s="253"/>
      <c r="B292" s="230"/>
      <c r="C292" s="245"/>
      <c r="D292" s="230"/>
      <c r="E292" s="230"/>
      <c r="F292" s="230"/>
      <c r="G292" s="228"/>
      <c r="H292" s="230"/>
      <c r="I292" s="230"/>
      <c r="J292" s="246"/>
      <c r="K292" s="230"/>
      <c r="L292" s="230"/>
      <c r="M292" s="230"/>
      <c r="N292" s="230"/>
      <c r="O292" s="230"/>
      <c r="P292" s="256"/>
      <c r="Q292" s="257"/>
      <c r="R292" s="228"/>
      <c r="S292" s="228"/>
      <c r="T292" s="245"/>
      <c r="U292" s="254"/>
      <c r="V292" s="254"/>
      <c r="W292" s="228"/>
      <c r="X292" s="255"/>
      <c r="Y292" s="248"/>
      <c r="Z292" s="248"/>
      <c r="AA292" s="228"/>
      <c r="AB292" s="228"/>
      <c r="AC292" s="228"/>
      <c r="AD292" s="228"/>
      <c r="AE292" s="248"/>
      <c r="AF292" s="247"/>
      <c r="AG292" s="228"/>
      <c r="AH292" s="228"/>
      <c r="AI292" s="248"/>
      <c r="AJ292" s="248"/>
      <c r="AK292" s="194"/>
      <c r="AL292" s="249"/>
      <c r="AM292" s="250"/>
      <c r="AN292" s="251"/>
      <c r="AO292" s="252"/>
      <c r="AP292" s="241"/>
      <c r="AQ292" s="241"/>
      <c r="AR292" s="241"/>
      <c r="AS292" s="194"/>
      <c r="AT292" s="195"/>
      <c r="AU292" s="195"/>
    </row>
    <row r="293" spans="1:47">
      <c r="A293" s="253"/>
      <c r="B293" s="230"/>
      <c r="C293" s="245"/>
      <c r="D293" s="230"/>
      <c r="E293" s="230"/>
      <c r="F293" s="230"/>
      <c r="G293" s="228"/>
      <c r="H293" s="230"/>
      <c r="I293" s="230"/>
      <c r="J293" s="246"/>
      <c r="K293" s="230"/>
      <c r="L293" s="230"/>
      <c r="M293" s="230"/>
      <c r="N293" s="230"/>
      <c r="O293" s="230"/>
      <c r="P293" s="256"/>
      <c r="Q293" s="257"/>
      <c r="R293" s="228"/>
      <c r="S293" s="228"/>
      <c r="T293" s="245"/>
      <c r="U293" s="254"/>
      <c r="V293" s="254"/>
      <c r="W293" s="228"/>
      <c r="X293" s="255"/>
      <c r="Y293" s="248"/>
      <c r="Z293" s="248"/>
      <c r="AA293" s="228"/>
      <c r="AB293" s="228"/>
      <c r="AC293" s="228"/>
      <c r="AD293" s="228"/>
      <c r="AE293" s="248"/>
      <c r="AF293" s="247"/>
      <c r="AG293" s="228"/>
      <c r="AH293" s="228"/>
      <c r="AI293" s="248"/>
      <c r="AJ293" s="248"/>
      <c r="AK293" s="194"/>
      <c r="AL293" s="249"/>
      <c r="AM293" s="250"/>
      <c r="AN293" s="251"/>
      <c r="AO293" s="252"/>
      <c r="AP293" s="241"/>
      <c r="AQ293" s="241"/>
      <c r="AR293" s="241"/>
      <c r="AS293" s="194"/>
      <c r="AT293" s="195"/>
      <c r="AU293" s="195"/>
    </row>
    <row r="294" spans="1:47">
      <c r="A294" s="253"/>
      <c r="B294" s="230"/>
      <c r="C294" s="245"/>
      <c r="D294" s="230"/>
      <c r="E294" s="230"/>
      <c r="F294" s="230"/>
      <c r="G294" s="228"/>
      <c r="H294" s="230"/>
      <c r="I294" s="230"/>
      <c r="J294" s="246"/>
      <c r="K294" s="230"/>
      <c r="L294" s="230"/>
      <c r="M294" s="230"/>
      <c r="N294" s="230"/>
      <c r="O294" s="230"/>
      <c r="P294" s="256"/>
      <c r="Q294" s="257"/>
      <c r="R294" s="228"/>
      <c r="S294" s="228"/>
      <c r="T294" s="245"/>
      <c r="U294" s="254"/>
      <c r="V294" s="254"/>
      <c r="W294" s="228"/>
      <c r="X294" s="255"/>
      <c r="Y294" s="248"/>
      <c r="Z294" s="248"/>
      <c r="AA294" s="228"/>
      <c r="AB294" s="228"/>
      <c r="AC294" s="228"/>
      <c r="AD294" s="228"/>
      <c r="AE294" s="248"/>
      <c r="AF294" s="247"/>
      <c r="AG294" s="228"/>
      <c r="AH294" s="228"/>
      <c r="AI294" s="248"/>
      <c r="AJ294" s="248"/>
      <c r="AK294" s="194"/>
      <c r="AL294" s="249"/>
      <c r="AM294" s="250"/>
      <c r="AN294" s="251"/>
      <c r="AO294" s="252"/>
      <c r="AP294" s="241"/>
      <c r="AQ294" s="241"/>
      <c r="AR294" s="241"/>
      <c r="AS294" s="194"/>
      <c r="AT294" s="195"/>
      <c r="AU294" s="195"/>
    </row>
    <row r="295" spans="1:47">
      <c r="A295" s="253"/>
      <c r="B295" s="230"/>
      <c r="C295" s="245"/>
      <c r="D295" s="230"/>
      <c r="E295" s="230"/>
      <c r="F295" s="230"/>
      <c r="G295" s="228"/>
      <c r="H295" s="230"/>
      <c r="I295" s="230"/>
      <c r="J295" s="246"/>
      <c r="K295" s="230"/>
      <c r="L295" s="230"/>
      <c r="M295" s="230"/>
      <c r="N295" s="230"/>
      <c r="O295" s="230"/>
      <c r="P295" s="256"/>
      <c r="Q295" s="257"/>
      <c r="R295" s="228"/>
      <c r="S295" s="228"/>
      <c r="T295" s="245"/>
      <c r="U295" s="254"/>
      <c r="V295" s="254"/>
      <c r="W295" s="228"/>
      <c r="X295" s="255"/>
      <c r="Y295" s="248"/>
      <c r="Z295" s="248"/>
      <c r="AA295" s="228"/>
      <c r="AB295" s="228"/>
      <c r="AC295" s="228"/>
      <c r="AD295" s="228"/>
      <c r="AE295" s="248"/>
      <c r="AF295" s="247"/>
      <c r="AG295" s="228"/>
      <c r="AH295" s="228"/>
      <c r="AI295" s="248"/>
      <c r="AJ295" s="248"/>
      <c r="AK295" s="194"/>
      <c r="AL295" s="249"/>
      <c r="AM295" s="250"/>
      <c r="AN295" s="251"/>
      <c r="AO295" s="252"/>
      <c r="AP295" s="241"/>
      <c r="AQ295" s="241"/>
      <c r="AR295" s="241"/>
      <c r="AS295" s="194"/>
      <c r="AT295" s="195"/>
      <c r="AU295" s="195"/>
    </row>
    <row r="296" spans="1:47">
      <c r="A296" s="253"/>
      <c r="B296" s="230"/>
      <c r="C296" s="245"/>
      <c r="D296" s="230"/>
      <c r="E296" s="230"/>
      <c r="F296" s="230"/>
      <c r="G296" s="228"/>
      <c r="H296" s="230"/>
      <c r="I296" s="230"/>
      <c r="J296" s="246"/>
      <c r="K296" s="230"/>
      <c r="L296" s="230"/>
      <c r="M296" s="230"/>
      <c r="N296" s="230"/>
      <c r="O296" s="230"/>
      <c r="P296" s="256"/>
      <c r="Q296" s="257"/>
      <c r="R296" s="228"/>
      <c r="S296" s="228"/>
      <c r="T296" s="245"/>
      <c r="U296" s="254"/>
      <c r="V296" s="254"/>
      <c r="W296" s="228"/>
      <c r="X296" s="255"/>
      <c r="Y296" s="248"/>
      <c r="Z296" s="248"/>
      <c r="AA296" s="228"/>
      <c r="AB296" s="228"/>
      <c r="AC296" s="228"/>
      <c r="AD296" s="228"/>
      <c r="AE296" s="248"/>
      <c r="AF296" s="247"/>
      <c r="AG296" s="228"/>
      <c r="AH296" s="228"/>
      <c r="AI296" s="248"/>
      <c r="AJ296" s="248"/>
      <c r="AK296" s="194"/>
      <c r="AL296" s="249"/>
      <c r="AM296" s="250"/>
      <c r="AN296" s="251"/>
      <c r="AO296" s="252"/>
      <c r="AP296" s="241"/>
      <c r="AQ296" s="241"/>
      <c r="AR296" s="241"/>
      <c r="AS296" s="194"/>
      <c r="AT296" s="195"/>
      <c r="AU296" s="195"/>
    </row>
    <row r="297" spans="1:47">
      <c r="A297" s="253"/>
      <c r="B297" s="230"/>
      <c r="C297" s="245"/>
      <c r="D297" s="230"/>
      <c r="E297" s="230"/>
      <c r="F297" s="230"/>
      <c r="G297" s="228"/>
      <c r="H297" s="230"/>
      <c r="I297" s="230"/>
      <c r="J297" s="246"/>
      <c r="K297" s="230"/>
      <c r="L297" s="230"/>
      <c r="M297" s="230"/>
      <c r="N297" s="230"/>
      <c r="O297" s="230"/>
      <c r="P297" s="256"/>
      <c r="Q297" s="257"/>
      <c r="R297" s="228"/>
      <c r="S297" s="228"/>
      <c r="T297" s="245"/>
      <c r="U297" s="254"/>
      <c r="V297" s="254"/>
      <c r="W297" s="228"/>
      <c r="X297" s="255"/>
      <c r="Y297" s="248"/>
      <c r="Z297" s="248"/>
      <c r="AA297" s="228"/>
      <c r="AB297" s="228"/>
      <c r="AC297" s="228"/>
      <c r="AD297" s="228"/>
      <c r="AE297" s="248"/>
      <c r="AF297" s="247"/>
      <c r="AG297" s="228"/>
      <c r="AH297" s="228"/>
      <c r="AI297" s="248"/>
      <c r="AJ297" s="248"/>
      <c r="AK297" s="194"/>
      <c r="AL297" s="249"/>
      <c r="AM297" s="250"/>
      <c r="AN297" s="251"/>
      <c r="AO297" s="252"/>
      <c r="AP297" s="241"/>
      <c r="AQ297" s="241"/>
      <c r="AR297" s="241"/>
      <c r="AS297" s="194"/>
      <c r="AT297" s="195"/>
      <c r="AU297" s="195"/>
    </row>
    <row r="298" spans="1:47">
      <c r="A298" s="253"/>
      <c r="B298" s="230"/>
      <c r="C298" s="245"/>
      <c r="D298" s="230"/>
      <c r="E298" s="230"/>
      <c r="F298" s="230"/>
      <c r="G298" s="228"/>
      <c r="H298" s="230"/>
      <c r="I298" s="230"/>
      <c r="J298" s="246"/>
      <c r="K298" s="230"/>
      <c r="L298" s="230"/>
      <c r="M298" s="230"/>
      <c r="N298" s="230"/>
      <c r="O298" s="230"/>
      <c r="P298" s="256"/>
      <c r="Q298" s="257"/>
      <c r="R298" s="228"/>
      <c r="S298" s="228"/>
      <c r="T298" s="245"/>
      <c r="U298" s="254"/>
      <c r="V298" s="254"/>
      <c r="W298" s="228"/>
      <c r="X298" s="255"/>
      <c r="Y298" s="248"/>
      <c r="Z298" s="248"/>
      <c r="AA298" s="228"/>
      <c r="AB298" s="228"/>
      <c r="AC298" s="228"/>
      <c r="AD298" s="228"/>
      <c r="AE298" s="248"/>
      <c r="AF298" s="247"/>
      <c r="AG298" s="228"/>
      <c r="AH298" s="228"/>
      <c r="AI298" s="248"/>
      <c r="AJ298" s="248"/>
      <c r="AK298" s="194"/>
      <c r="AL298" s="249"/>
      <c r="AM298" s="250"/>
      <c r="AN298" s="251"/>
      <c r="AO298" s="252"/>
      <c r="AP298" s="241"/>
      <c r="AQ298" s="241"/>
      <c r="AR298" s="241"/>
      <c r="AS298" s="194"/>
      <c r="AT298" s="195"/>
      <c r="AU298" s="195"/>
    </row>
    <row r="299" spans="1:47">
      <c r="A299" s="253"/>
      <c r="B299" s="230"/>
      <c r="C299" s="245"/>
      <c r="D299" s="230"/>
      <c r="E299" s="230"/>
      <c r="F299" s="230"/>
      <c r="G299" s="228"/>
      <c r="H299" s="230"/>
      <c r="I299" s="230"/>
      <c r="J299" s="246"/>
      <c r="K299" s="230"/>
      <c r="L299" s="230"/>
      <c r="M299" s="230"/>
      <c r="N299" s="230"/>
      <c r="O299" s="230"/>
      <c r="P299" s="256"/>
      <c r="Q299" s="257"/>
      <c r="R299" s="228"/>
      <c r="S299" s="228"/>
      <c r="T299" s="245"/>
      <c r="U299" s="254"/>
      <c r="V299" s="254"/>
      <c r="W299" s="228"/>
      <c r="X299" s="255"/>
      <c r="Y299" s="248"/>
      <c r="Z299" s="248"/>
      <c r="AA299" s="228"/>
      <c r="AB299" s="228"/>
      <c r="AC299" s="228"/>
      <c r="AD299" s="228"/>
      <c r="AE299" s="248"/>
      <c r="AF299" s="247"/>
      <c r="AG299" s="228"/>
      <c r="AH299" s="228"/>
      <c r="AI299" s="248"/>
      <c r="AJ299" s="248"/>
      <c r="AK299" s="194"/>
      <c r="AL299" s="249"/>
      <c r="AM299" s="250"/>
      <c r="AN299" s="251"/>
      <c r="AO299" s="252"/>
      <c r="AP299" s="241"/>
      <c r="AQ299" s="241"/>
      <c r="AR299" s="241"/>
      <c r="AS299" s="194"/>
      <c r="AT299" s="195"/>
      <c r="AU299" s="195"/>
    </row>
    <row r="300" spans="1:47">
      <c r="A300" s="253"/>
      <c r="B300" s="230"/>
      <c r="C300" s="245"/>
      <c r="D300" s="230"/>
      <c r="E300" s="230"/>
      <c r="F300" s="230"/>
      <c r="G300" s="228"/>
      <c r="H300" s="230"/>
      <c r="I300" s="230"/>
      <c r="J300" s="246"/>
      <c r="K300" s="230"/>
      <c r="L300" s="230"/>
      <c r="M300" s="230"/>
      <c r="N300" s="230"/>
      <c r="O300" s="230"/>
      <c r="P300" s="256"/>
      <c r="Q300" s="257"/>
      <c r="R300" s="228"/>
      <c r="S300" s="228"/>
      <c r="T300" s="245"/>
      <c r="U300" s="254"/>
      <c r="V300" s="254"/>
      <c r="W300" s="228"/>
      <c r="X300" s="255"/>
      <c r="Y300" s="248"/>
      <c r="Z300" s="248"/>
      <c r="AA300" s="228"/>
      <c r="AB300" s="228"/>
      <c r="AC300" s="228"/>
      <c r="AD300" s="228"/>
      <c r="AE300" s="248"/>
      <c r="AF300" s="247"/>
      <c r="AG300" s="228"/>
      <c r="AH300" s="228"/>
      <c r="AI300" s="248"/>
      <c r="AJ300" s="248"/>
      <c r="AK300" s="194"/>
      <c r="AL300" s="249"/>
      <c r="AM300" s="250"/>
      <c r="AN300" s="251"/>
      <c r="AO300" s="252"/>
      <c r="AP300" s="241"/>
      <c r="AQ300" s="241"/>
      <c r="AR300" s="241"/>
      <c r="AS300" s="194"/>
      <c r="AT300" s="195"/>
      <c r="AU300" s="195"/>
    </row>
    <row r="301" spans="1:47">
      <c r="A301" s="253"/>
      <c r="B301" s="230"/>
      <c r="C301" s="245"/>
      <c r="D301" s="230"/>
      <c r="E301" s="230"/>
      <c r="F301" s="230"/>
      <c r="G301" s="228"/>
      <c r="H301" s="230"/>
      <c r="I301" s="230"/>
      <c r="J301" s="246"/>
      <c r="K301" s="230"/>
      <c r="L301" s="230"/>
      <c r="M301" s="230"/>
      <c r="N301" s="230"/>
      <c r="O301" s="230"/>
      <c r="P301" s="256"/>
      <c r="Q301" s="257"/>
      <c r="R301" s="228"/>
      <c r="S301" s="228"/>
      <c r="T301" s="245"/>
      <c r="U301" s="254"/>
      <c r="V301" s="254"/>
      <c r="W301" s="228"/>
      <c r="X301" s="255"/>
      <c r="Y301" s="248"/>
      <c r="Z301" s="248"/>
      <c r="AA301" s="228"/>
      <c r="AB301" s="228"/>
      <c r="AC301" s="228"/>
      <c r="AD301" s="228"/>
      <c r="AE301" s="248"/>
      <c r="AF301" s="247"/>
      <c r="AG301" s="228"/>
      <c r="AH301" s="228"/>
      <c r="AI301" s="248"/>
      <c r="AJ301" s="248"/>
      <c r="AK301" s="194"/>
      <c r="AL301" s="249"/>
      <c r="AM301" s="250"/>
      <c r="AN301" s="251"/>
      <c r="AO301" s="252"/>
      <c r="AP301" s="241"/>
      <c r="AQ301" s="241"/>
      <c r="AR301" s="241"/>
      <c r="AS301" s="194"/>
      <c r="AT301" s="195"/>
      <c r="AU301" s="195"/>
    </row>
    <row r="302" spans="1:47">
      <c r="A302" s="253"/>
      <c r="B302" s="230"/>
      <c r="C302" s="245"/>
      <c r="D302" s="230"/>
      <c r="E302" s="230"/>
      <c r="F302" s="230"/>
      <c r="G302" s="228"/>
      <c r="H302" s="230"/>
      <c r="I302" s="230"/>
      <c r="J302" s="246"/>
      <c r="K302" s="230"/>
      <c r="L302" s="230"/>
      <c r="M302" s="230"/>
      <c r="N302" s="230"/>
      <c r="O302" s="230"/>
      <c r="P302" s="256"/>
      <c r="Q302" s="257"/>
      <c r="R302" s="228"/>
      <c r="S302" s="228"/>
      <c r="T302" s="245"/>
      <c r="U302" s="254"/>
      <c r="V302" s="254"/>
      <c r="W302" s="228"/>
      <c r="X302" s="255"/>
      <c r="Y302" s="248"/>
      <c r="Z302" s="248"/>
      <c r="AA302" s="228"/>
      <c r="AB302" s="228"/>
      <c r="AC302" s="228"/>
      <c r="AD302" s="228"/>
      <c r="AE302" s="248"/>
      <c r="AF302" s="247"/>
      <c r="AG302" s="228"/>
      <c r="AH302" s="228"/>
      <c r="AI302" s="248"/>
      <c r="AJ302" s="248"/>
      <c r="AK302" s="194"/>
      <c r="AL302" s="249"/>
      <c r="AM302" s="250"/>
      <c r="AN302" s="251"/>
      <c r="AO302" s="252"/>
      <c r="AP302" s="241"/>
      <c r="AQ302" s="241"/>
      <c r="AR302" s="241"/>
      <c r="AS302" s="194"/>
      <c r="AT302" s="195"/>
      <c r="AU302" s="195"/>
    </row>
    <row r="303" spans="1:47">
      <c r="A303" s="253"/>
      <c r="B303" s="230"/>
      <c r="C303" s="245"/>
      <c r="D303" s="230"/>
      <c r="E303" s="230"/>
      <c r="F303" s="230"/>
      <c r="G303" s="228"/>
      <c r="H303" s="230"/>
      <c r="I303" s="230"/>
      <c r="J303" s="246"/>
      <c r="K303" s="230"/>
      <c r="L303" s="230"/>
      <c r="M303" s="230"/>
      <c r="N303" s="230"/>
      <c r="O303" s="230"/>
      <c r="P303" s="256"/>
      <c r="Q303" s="257"/>
      <c r="R303" s="228"/>
      <c r="S303" s="228"/>
      <c r="T303" s="245"/>
      <c r="U303" s="254"/>
      <c r="V303" s="254"/>
      <c r="W303" s="228"/>
      <c r="X303" s="255"/>
      <c r="Y303" s="248"/>
      <c r="Z303" s="248"/>
      <c r="AA303" s="228"/>
      <c r="AB303" s="228"/>
      <c r="AC303" s="228"/>
      <c r="AD303" s="228"/>
      <c r="AE303" s="248"/>
      <c r="AF303" s="247"/>
      <c r="AG303" s="228"/>
      <c r="AH303" s="228"/>
      <c r="AI303" s="248"/>
      <c r="AJ303" s="248"/>
      <c r="AK303" s="194"/>
      <c r="AL303" s="249"/>
      <c r="AM303" s="250"/>
      <c r="AN303" s="251"/>
      <c r="AO303" s="252"/>
      <c r="AP303" s="241"/>
      <c r="AQ303" s="241"/>
      <c r="AR303" s="241"/>
      <c r="AS303" s="194"/>
      <c r="AT303" s="195"/>
      <c r="AU303" s="195"/>
    </row>
    <row r="304" spans="1:47">
      <c r="A304" s="253"/>
      <c r="B304" s="230"/>
      <c r="C304" s="245"/>
      <c r="D304" s="230"/>
      <c r="E304" s="230"/>
      <c r="F304" s="230"/>
      <c r="G304" s="228"/>
      <c r="H304" s="230"/>
      <c r="I304" s="230"/>
      <c r="J304" s="246"/>
      <c r="K304" s="230"/>
      <c r="L304" s="230"/>
      <c r="M304" s="230"/>
      <c r="N304" s="230"/>
      <c r="O304" s="230"/>
      <c r="P304" s="256"/>
      <c r="Q304" s="257"/>
      <c r="R304" s="228"/>
      <c r="S304" s="228"/>
      <c r="T304" s="245"/>
      <c r="U304" s="254"/>
      <c r="V304" s="254"/>
      <c r="W304" s="228"/>
      <c r="X304" s="255"/>
      <c r="Y304" s="248"/>
      <c r="Z304" s="248"/>
      <c r="AA304" s="228"/>
      <c r="AB304" s="228"/>
      <c r="AC304" s="228"/>
      <c r="AD304" s="228"/>
      <c r="AE304" s="248"/>
      <c r="AF304" s="247"/>
      <c r="AG304" s="228"/>
      <c r="AH304" s="228"/>
      <c r="AI304" s="248"/>
      <c r="AJ304" s="248"/>
      <c r="AK304" s="194"/>
      <c r="AL304" s="249"/>
      <c r="AM304" s="250"/>
      <c r="AN304" s="251"/>
      <c r="AO304" s="252"/>
      <c r="AP304" s="241"/>
      <c r="AQ304" s="241"/>
      <c r="AR304" s="241"/>
      <c r="AS304" s="194"/>
      <c r="AT304" s="195"/>
      <c r="AU304" s="195"/>
    </row>
    <row r="305" spans="1:47">
      <c r="A305" s="253"/>
      <c r="B305" s="230"/>
      <c r="C305" s="245"/>
      <c r="D305" s="230"/>
      <c r="E305" s="230"/>
      <c r="F305" s="230"/>
      <c r="G305" s="228"/>
      <c r="H305" s="230"/>
      <c r="I305" s="230"/>
      <c r="J305" s="246"/>
      <c r="K305" s="230"/>
      <c r="L305" s="230"/>
      <c r="M305" s="230"/>
      <c r="N305" s="230"/>
      <c r="O305" s="230"/>
      <c r="P305" s="256"/>
      <c r="Q305" s="257"/>
      <c r="R305" s="228"/>
      <c r="S305" s="228"/>
      <c r="T305" s="245"/>
      <c r="U305" s="254"/>
      <c r="V305" s="254"/>
      <c r="W305" s="228"/>
      <c r="X305" s="255"/>
      <c r="Y305" s="248"/>
      <c r="Z305" s="248"/>
      <c r="AA305" s="228"/>
      <c r="AB305" s="228"/>
      <c r="AC305" s="228"/>
      <c r="AD305" s="228"/>
      <c r="AE305" s="248"/>
      <c r="AF305" s="247"/>
      <c r="AG305" s="228"/>
      <c r="AH305" s="228"/>
      <c r="AI305" s="248"/>
      <c r="AJ305" s="248"/>
      <c r="AK305" s="194"/>
      <c r="AL305" s="249"/>
      <c r="AM305" s="250"/>
      <c r="AN305" s="251"/>
      <c r="AO305" s="252"/>
      <c r="AP305" s="241"/>
      <c r="AQ305" s="241"/>
      <c r="AR305" s="241"/>
      <c r="AS305" s="194"/>
      <c r="AT305" s="195"/>
      <c r="AU305" s="195"/>
    </row>
    <row r="306" spans="1:47">
      <c r="A306" s="253"/>
      <c r="B306" s="230"/>
      <c r="C306" s="245"/>
      <c r="D306" s="230"/>
      <c r="E306" s="230"/>
      <c r="F306" s="230"/>
      <c r="G306" s="228"/>
      <c r="H306" s="230"/>
      <c r="I306" s="230"/>
      <c r="J306" s="246"/>
      <c r="K306" s="230"/>
      <c r="L306" s="230"/>
      <c r="M306" s="230"/>
      <c r="N306" s="230"/>
      <c r="O306" s="230"/>
      <c r="P306" s="256"/>
      <c r="Q306" s="257"/>
      <c r="R306" s="228"/>
      <c r="S306" s="228"/>
      <c r="T306" s="245"/>
      <c r="U306" s="254"/>
      <c r="V306" s="254"/>
      <c r="W306" s="228"/>
      <c r="X306" s="255"/>
      <c r="Y306" s="248"/>
      <c r="Z306" s="248"/>
      <c r="AA306" s="228"/>
      <c r="AB306" s="228"/>
      <c r="AC306" s="228"/>
      <c r="AD306" s="228"/>
      <c r="AE306" s="248"/>
      <c r="AF306" s="247"/>
      <c r="AG306" s="228"/>
      <c r="AH306" s="228"/>
      <c r="AI306" s="248"/>
      <c r="AJ306" s="248"/>
      <c r="AK306" s="194"/>
      <c r="AL306" s="249"/>
      <c r="AM306" s="250"/>
      <c r="AN306" s="251"/>
      <c r="AO306" s="252"/>
      <c r="AP306" s="241"/>
      <c r="AQ306" s="241"/>
      <c r="AR306" s="241"/>
      <c r="AS306" s="194"/>
      <c r="AT306" s="195"/>
      <c r="AU306" s="195"/>
    </row>
    <row r="307" spans="1:47">
      <c r="A307" s="253"/>
      <c r="B307" s="230"/>
      <c r="C307" s="245"/>
      <c r="D307" s="230"/>
      <c r="E307" s="230"/>
      <c r="F307" s="230"/>
      <c r="G307" s="228"/>
      <c r="H307" s="230"/>
      <c r="I307" s="230"/>
      <c r="J307" s="246"/>
      <c r="K307" s="230"/>
      <c r="L307" s="230"/>
      <c r="M307" s="230"/>
      <c r="N307" s="230"/>
      <c r="O307" s="230"/>
      <c r="P307" s="256"/>
      <c r="Q307" s="257"/>
      <c r="R307" s="228"/>
      <c r="S307" s="228"/>
      <c r="T307" s="245"/>
      <c r="U307" s="254"/>
      <c r="V307" s="254"/>
      <c r="W307" s="228"/>
      <c r="X307" s="255"/>
      <c r="Y307" s="248"/>
      <c r="Z307" s="248"/>
      <c r="AA307" s="228"/>
      <c r="AB307" s="228"/>
      <c r="AC307" s="228"/>
      <c r="AD307" s="228"/>
      <c r="AE307" s="248"/>
      <c r="AF307" s="247"/>
      <c r="AG307" s="228"/>
      <c r="AH307" s="228"/>
      <c r="AI307" s="248"/>
      <c r="AJ307" s="248"/>
      <c r="AK307" s="194"/>
      <c r="AL307" s="249"/>
      <c r="AM307" s="250"/>
      <c r="AN307" s="251"/>
      <c r="AO307" s="252"/>
      <c r="AP307" s="241"/>
      <c r="AQ307" s="241"/>
      <c r="AR307" s="241"/>
      <c r="AS307" s="194"/>
      <c r="AT307" s="195"/>
      <c r="AU307" s="195"/>
    </row>
    <row r="308" spans="1:47">
      <c r="A308" s="253"/>
      <c r="B308" s="230"/>
      <c r="C308" s="245"/>
      <c r="D308" s="230"/>
      <c r="E308" s="230"/>
      <c r="F308" s="230"/>
      <c r="G308" s="228"/>
      <c r="H308" s="230"/>
      <c r="I308" s="230"/>
      <c r="J308" s="246"/>
      <c r="K308" s="230"/>
      <c r="L308" s="230"/>
      <c r="M308" s="230"/>
      <c r="N308" s="230"/>
      <c r="O308" s="230"/>
      <c r="P308" s="256"/>
      <c r="Q308" s="257"/>
      <c r="R308" s="228"/>
      <c r="S308" s="228"/>
      <c r="T308" s="245"/>
      <c r="U308" s="254"/>
      <c r="V308" s="254"/>
      <c r="W308" s="228"/>
      <c r="X308" s="255"/>
      <c r="Y308" s="248"/>
      <c r="Z308" s="248"/>
      <c r="AA308" s="228"/>
      <c r="AB308" s="228"/>
      <c r="AC308" s="228"/>
      <c r="AD308" s="228"/>
      <c r="AE308" s="248"/>
      <c r="AF308" s="247"/>
      <c r="AG308" s="228"/>
      <c r="AH308" s="228"/>
      <c r="AI308" s="248"/>
      <c r="AJ308" s="248"/>
      <c r="AK308" s="194"/>
      <c r="AL308" s="249"/>
      <c r="AM308" s="250"/>
      <c r="AN308" s="251"/>
      <c r="AO308" s="252"/>
      <c r="AP308" s="241"/>
      <c r="AQ308" s="241"/>
      <c r="AR308" s="241"/>
      <c r="AS308" s="194"/>
      <c r="AT308" s="195"/>
      <c r="AU308" s="195"/>
    </row>
    <row r="309" spans="1:47">
      <c r="A309" s="253"/>
      <c r="B309" s="230"/>
      <c r="C309" s="245"/>
      <c r="D309" s="230"/>
      <c r="E309" s="230"/>
      <c r="F309" s="230"/>
      <c r="G309" s="228"/>
      <c r="H309" s="230"/>
      <c r="I309" s="230"/>
      <c r="J309" s="246"/>
      <c r="K309" s="230"/>
      <c r="L309" s="230"/>
      <c r="M309" s="230"/>
      <c r="N309" s="230"/>
      <c r="O309" s="230"/>
      <c r="P309" s="256"/>
      <c r="Q309" s="257"/>
      <c r="R309" s="228"/>
      <c r="S309" s="228"/>
      <c r="T309" s="245"/>
      <c r="U309" s="254"/>
      <c r="V309" s="254"/>
      <c r="W309" s="228"/>
      <c r="X309" s="255"/>
      <c r="Y309" s="248"/>
      <c r="Z309" s="248"/>
      <c r="AA309" s="228"/>
      <c r="AB309" s="228"/>
      <c r="AC309" s="228"/>
      <c r="AD309" s="228"/>
      <c r="AE309" s="248"/>
      <c r="AF309" s="247"/>
      <c r="AG309" s="228"/>
      <c r="AH309" s="228"/>
      <c r="AI309" s="248"/>
      <c r="AJ309" s="248"/>
      <c r="AK309" s="194"/>
      <c r="AL309" s="249"/>
      <c r="AM309" s="250"/>
      <c r="AN309" s="251"/>
      <c r="AO309" s="252"/>
      <c r="AP309" s="241"/>
      <c r="AQ309" s="241"/>
      <c r="AR309" s="241"/>
      <c r="AS309" s="194"/>
      <c r="AT309" s="195"/>
      <c r="AU309" s="195"/>
    </row>
    <row r="310" spans="1:47">
      <c r="A310" s="253"/>
      <c r="B310" s="230"/>
      <c r="C310" s="245"/>
      <c r="D310" s="230"/>
      <c r="E310" s="230"/>
      <c r="F310" s="230"/>
      <c r="G310" s="228"/>
      <c r="H310" s="230"/>
      <c r="I310" s="230"/>
      <c r="J310" s="246"/>
      <c r="K310" s="230"/>
      <c r="L310" s="230"/>
      <c r="M310" s="230"/>
      <c r="N310" s="230"/>
      <c r="O310" s="230"/>
      <c r="P310" s="256"/>
      <c r="Q310" s="257"/>
      <c r="R310" s="228"/>
      <c r="S310" s="228"/>
      <c r="T310" s="245"/>
      <c r="U310" s="254"/>
      <c r="V310" s="254"/>
      <c r="W310" s="228"/>
      <c r="X310" s="255"/>
      <c r="Y310" s="248"/>
      <c r="Z310" s="248"/>
      <c r="AA310" s="228"/>
      <c r="AB310" s="228"/>
      <c r="AC310" s="228"/>
      <c r="AD310" s="228"/>
      <c r="AE310" s="248"/>
      <c r="AF310" s="247"/>
      <c r="AG310" s="228"/>
      <c r="AH310" s="228"/>
      <c r="AI310" s="248"/>
      <c r="AJ310" s="248"/>
      <c r="AK310" s="194"/>
      <c r="AL310" s="249"/>
      <c r="AM310" s="250"/>
      <c r="AN310" s="251"/>
      <c r="AO310" s="252"/>
      <c r="AP310" s="241"/>
      <c r="AQ310" s="241"/>
      <c r="AR310" s="241"/>
      <c r="AS310" s="194"/>
      <c r="AT310" s="195"/>
      <c r="AU310" s="195"/>
    </row>
    <row r="311" spans="1:47">
      <c r="A311" s="253"/>
      <c r="B311" s="230"/>
      <c r="C311" s="245"/>
      <c r="D311" s="230"/>
      <c r="E311" s="230"/>
      <c r="F311" s="230"/>
      <c r="G311" s="228"/>
      <c r="H311" s="230"/>
      <c r="I311" s="230"/>
      <c r="J311" s="246"/>
      <c r="K311" s="230"/>
      <c r="L311" s="230"/>
      <c r="M311" s="230"/>
      <c r="N311" s="230"/>
      <c r="O311" s="230"/>
      <c r="P311" s="256"/>
      <c r="Q311" s="257"/>
      <c r="R311" s="228"/>
      <c r="S311" s="228"/>
      <c r="T311" s="245"/>
      <c r="U311" s="254"/>
      <c r="V311" s="254"/>
      <c r="W311" s="228"/>
      <c r="X311" s="255"/>
      <c r="Y311" s="248"/>
      <c r="Z311" s="248"/>
      <c r="AA311" s="228"/>
      <c r="AB311" s="228"/>
      <c r="AC311" s="228"/>
      <c r="AD311" s="228"/>
      <c r="AE311" s="248"/>
      <c r="AF311" s="247"/>
      <c r="AG311" s="228"/>
      <c r="AH311" s="228"/>
      <c r="AI311" s="248"/>
      <c r="AJ311" s="248"/>
      <c r="AK311" s="194"/>
      <c r="AL311" s="249"/>
      <c r="AM311" s="250"/>
      <c r="AN311" s="251"/>
      <c r="AO311" s="252"/>
      <c r="AP311" s="241"/>
      <c r="AQ311" s="241"/>
      <c r="AR311" s="241"/>
      <c r="AS311" s="194"/>
      <c r="AT311" s="195"/>
      <c r="AU311" s="195"/>
    </row>
    <row r="312" spans="1:47">
      <c r="A312" s="253"/>
      <c r="B312" s="230"/>
      <c r="C312" s="245"/>
      <c r="D312" s="230"/>
      <c r="E312" s="230"/>
      <c r="F312" s="230"/>
      <c r="G312" s="228"/>
      <c r="H312" s="230"/>
      <c r="I312" s="230"/>
      <c r="J312" s="246"/>
      <c r="K312" s="230"/>
      <c r="L312" s="230"/>
      <c r="M312" s="230"/>
      <c r="N312" s="230"/>
      <c r="O312" s="230"/>
      <c r="P312" s="256"/>
      <c r="Q312" s="257"/>
      <c r="R312" s="228"/>
      <c r="S312" s="228"/>
      <c r="T312" s="245"/>
      <c r="U312" s="254"/>
      <c r="V312" s="254"/>
      <c r="W312" s="228"/>
      <c r="X312" s="255"/>
      <c r="Y312" s="248"/>
      <c r="Z312" s="248"/>
      <c r="AA312" s="228"/>
      <c r="AB312" s="228"/>
      <c r="AC312" s="228"/>
      <c r="AD312" s="228"/>
      <c r="AE312" s="248"/>
      <c r="AF312" s="247"/>
      <c r="AG312" s="228"/>
      <c r="AH312" s="228"/>
      <c r="AI312" s="248"/>
      <c r="AJ312" s="248"/>
      <c r="AK312" s="194"/>
      <c r="AL312" s="249"/>
      <c r="AM312" s="250"/>
      <c r="AN312" s="251"/>
      <c r="AO312" s="252"/>
      <c r="AP312" s="241"/>
      <c r="AQ312" s="241"/>
      <c r="AR312" s="241"/>
      <c r="AS312" s="194"/>
      <c r="AT312" s="195"/>
      <c r="AU312" s="195"/>
    </row>
    <row r="313" spans="1:47">
      <c r="A313" s="253"/>
      <c r="B313" s="230"/>
      <c r="C313" s="245"/>
      <c r="D313" s="230"/>
      <c r="E313" s="230"/>
      <c r="F313" s="230"/>
      <c r="G313" s="228"/>
      <c r="H313" s="230"/>
      <c r="I313" s="230"/>
      <c r="J313" s="246"/>
      <c r="K313" s="230"/>
      <c r="L313" s="230"/>
      <c r="M313" s="230"/>
      <c r="N313" s="230"/>
      <c r="O313" s="230"/>
      <c r="P313" s="256"/>
      <c r="Q313" s="257"/>
      <c r="R313" s="228"/>
      <c r="S313" s="228"/>
      <c r="T313" s="245"/>
      <c r="U313" s="254"/>
      <c r="V313" s="254"/>
      <c r="W313" s="228"/>
      <c r="X313" s="255"/>
      <c r="Y313" s="248"/>
      <c r="Z313" s="248"/>
      <c r="AA313" s="228"/>
      <c r="AB313" s="228"/>
      <c r="AC313" s="228"/>
      <c r="AD313" s="228"/>
      <c r="AE313" s="248"/>
      <c r="AF313" s="247"/>
      <c r="AG313" s="228"/>
      <c r="AH313" s="228"/>
      <c r="AI313" s="248"/>
      <c r="AJ313" s="248"/>
      <c r="AK313" s="194"/>
      <c r="AL313" s="249"/>
      <c r="AM313" s="250"/>
      <c r="AN313" s="251"/>
      <c r="AO313" s="252"/>
      <c r="AP313" s="241"/>
      <c r="AQ313" s="241"/>
      <c r="AR313" s="241"/>
      <c r="AS313" s="194"/>
      <c r="AT313" s="195"/>
      <c r="AU313" s="195"/>
    </row>
    <row r="314" spans="1:47">
      <c r="A314" s="253"/>
      <c r="B314" s="230"/>
      <c r="C314" s="245"/>
      <c r="D314" s="230"/>
      <c r="E314" s="230"/>
      <c r="F314" s="230"/>
      <c r="G314" s="228"/>
      <c r="H314" s="230"/>
      <c r="I314" s="230"/>
      <c r="J314" s="246"/>
      <c r="K314" s="230"/>
      <c r="L314" s="230"/>
      <c r="M314" s="230"/>
      <c r="N314" s="230"/>
      <c r="O314" s="230"/>
      <c r="P314" s="256"/>
      <c r="Q314" s="257"/>
      <c r="R314" s="228"/>
      <c r="S314" s="228"/>
      <c r="T314" s="245"/>
      <c r="U314" s="254"/>
      <c r="V314" s="254"/>
      <c r="W314" s="228"/>
      <c r="X314" s="255"/>
      <c r="Y314" s="248"/>
      <c r="Z314" s="248"/>
      <c r="AA314" s="228"/>
      <c r="AB314" s="228"/>
      <c r="AC314" s="228"/>
      <c r="AD314" s="228"/>
      <c r="AE314" s="248"/>
      <c r="AF314" s="247"/>
      <c r="AG314" s="228"/>
      <c r="AH314" s="228"/>
      <c r="AI314" s="248"/>
      <c r="AJ314" s="248"/>
      <c r="AK314" s="194"/>
      <c r="AL314" s="249"/>
      <c r="AM314" s="250"/>
      <c r="AN314" s="251"/>
      <c r="AO314" s="252"/>
      <c r="AP314" s="241"/>
      <c r="AQ314" s="241"/>
      <c r="AR314" s="241"/>
      <c r="AS314" s="194"/>
      <c r="AT314" s="195"/>
      <c r="AU314" s="195"/>
    </row>
    <row r="315" spans="1:47">
      <c r="A315" s="253"/>
      <c r="B315" s="230"/>
      <c r="C315" s="245"/>
      <c r="D315" s="230"/>
      <c r="E315" s="230"/>
      <c r="F315" s="230"/>
      <c r="G315" s="228"/>
      <c r="H315" s="230"/>
      <c r="I315" s="230"/>
      <c r="J315" s="246"/>
      <c r="K315" s="230"/>
      <c r="L315" s="230"/>
      <c r="M315" s="230"/>
      <c r="N315" s="230"/>
      <c r="O315" s="230"/>
      <c r="P315" s="256"/>
      <c r="Q315" s="257"/>
      <c r="R315" s="228"/>
      <c r="S315" s="228"/>
      <c r="T315" s="245"/>
      <c r="U315" s="254"/>
      <c r="V315" s="254"/>
      <c r="W315" s="228"/>
      <c r="X315" s="255"/>
      <c r="Y315" s="248"/>
      <c r="Z315" s="248"/>
      <c r="AA315" s="228"/>
      <c r="AB315" s="228"/>
      <c r="AC315" s="228"/>
      <c r="AD315" s="228"/>
      <c r="AE315" s="248"/>
      <c r="AF315" s="247"/>
      <c r="AG315" s="228"/>
      <c r="AH315" s="228"/>
      <c r="AI315" s="248"/>
      <c r="AJ315" s="248"/>
      <c r="AK315" s="194"/>
      <c r="AL315" s="249"/>
      <c r="AM315" s="250"/>
      <c r="AN315" s="251"/>
      <c r="AO315" s="252"/>
      <c r="AP315" s="241"/>
      <c r="AQ315" s="241"/>
      <c r="AR315" s="241"/>
      <c r="AS315" s="194"/>
      <c r="AT315" s="195"/>
      <c r="AU315" s="195"/>
    </row>
    <row r="316" spans="1:47">
      <c r="A316" s="253"/>
      <c r="B316" s="230"/>
      <c r="C316" s="245"/>
      <c r="D316" s="230"/>
      <c r="E316" s="230"/>
      <c r="F316" s="230"/>
      <c r="G316" s="228"/>
      <c r="H316" s="230"/>
      <c r="I316" s="230"/>
      <c r="J316" s="246"/>
      <c r="K316" s="230"/>
      <c r="L316" s="230"/>
      <c r="M316" s="230"/>
      <c r="N316" s="230"/>
      <c r="O316" s="230"/>
      <c r="P316" s="256"/>
      <c r="Q316" s="257"/>
      <c r="R316" s="228"/>
      <c r="S316" s="228"/>
      <c r="T316" s="245"/>
      <c r="U316" s="254"/>
      <c r="V316" s="254"/>
      <c r="W316" s="228"/>
      <c r="X316" s="255"/>
      <c r="Y316" s="248"/>
      <c r="Z316" s="248"/>
      <c r="AA316" s="228"/>
      <c r="AB316" s="228"/>
      <c r="AC316" s="228"/>
      <c r="AD316" s="228"/>
      <c r="AE316" s="248"/>
      <c r="AF316" s="247"/>
      <c r="AG316" s="228"/>
      <c r="AH316" s="228"/>
      <c r="AI316" s="248"/>
      <c r="AJ316" s="248"/>
      <c r="AK316" s="194"/>
      <c r="AL316" s="249"/>
      <c r="AM316" s="250"/>
      <c r="AN316" s="251"/>
      <c r="AO316" s="252"/>
      <c r="AP316" s="241"/>
      <c r="AQ316" s="241"/>
      <c r="AR316" s="241"/>
      <c r="AS316" s="194"/>
      <c r="AT316" s="195"/>
      <c r="AU316" s="195"/>
    </row>
    <row r="317" spans="1:47">
      <c r="A317" s="253"/>
      <c r="B317" s="230"/>
      <c r="C317" s="245"/>
      <c r="D317" s="230"/>
      <c r="E317" s="230"/>
      <c r="F317" s="230"/>
      <c r="G317" s="228"/>
      <c r="H317" s="230"/>
      <c r="I317" s="230"/>
      <c r="J317" s="246"/>
      <c r="K317" s="230"/>
      <c r="L317" s="230"/>
      <c r="M317" s="230"/>
      <c r="N317" s="230"/>
      <c r="O317" s="230"/>
      <c r="P317" s="256"/>
      <c r="Q317" s="257"/>
      <c r="R317" s="228"/>
      <c r="S317" s="228"/>
      <c r="T317" s="245"/>
      <c r="U317" s="254"/>
      <c r="V317" s="254"/>
      <c r="W317" s="228"/>
      <c r="X317" s="255"/>
      <c r="Y317" s="248"/>
      <c r="Z317" s="248"/>
      <c r="AA317" s="228"/>
      <c r="AB317" s="228"/>
      <c r="AC317" s="228"/>
      <c r="AD317" s="228"/>
      <c r="AE317" s="248"/>
      <c r="AF317" s="247"/>
      <c r="AG317" s="228"/>
      <c r="AH317" s="228"/>
      <c r="AI317" s="248"/>
      <c r="AJ317" s="248"/>
      <c r="AK317" s="194"/>
      <c r="AL317" s="249"/>
      <c r="AM317" s="250"/>
      <c r="AN317" s="251"/>
      <c r="AO317" s="252"/>
      <c r="AP317" s="241"/>
      <c r="AQ317" s="241"/>
      <c r="AR317" s="241"/>
      <c r="AS317" s="194"/>
      <c r="AT317" s="195"/>
      <c r="AU317" s="195"/>
    </row>
    <row r="318" spans="1:47">
      <c r="A318" s="253"/>
      <c r="B318" s="230"/>
      <c r="C318" s="245"/>
      <c r="D318" s="230"/>
      <c r="E318" s="230"/>
      <c r="F318" s="230"/>
      <c r="G318" s="228"/>
      <c r="H318" s="230"/>
      <c r="I318" s="230"/>
      <c r="J318" s="246"/>
      <c r="K318" s="230"/>
      <c r="L318" s="230"/>
      <c r="M318" s="230"/>
      <c r="N318" s="230"/>
      <c r="O318" s="230"/>
      <c r="P318" s="256"/>
      <c r="Q318" s="257"/>
      <c r="R318" s="228"/>
      <c r="S318" s="228"/>
      <c r="T318" s="245"/>
      <c r="U318" s="254"/>
      <c r="V318" s="254"/>
      <c r="W318" s="228"/>
      <c r="X318" s="255"/>
      <c r="Y318" s="248"/>
      <c r="Z318" s="248"/>
      <c r="AA318" s="228"/>
      <c r="AB318" s="228"/>
      <c r="AC318" s="228"/>
      <c r="AD318" s="228"/>
      <c r="AE318" s="248"/>
      <c r="AF318" s="247"/>
      <c r="AG318" s="228"/>
      <c r="AH318" s="228"/>
      <c r="AI318" s="248"/>
      <c r="AJ318" s="248"/>
      <c r="AK318" s="194"/>
      <c r="AL318" s="249"/>
      <c r="AM318" s="250"/>
      <c r="AN318" s="251"/>
      <c r="AO318" s="252"/>
      <c r="AP318" s="241"/>
      <c r="AQ318" s="241"/>
      <c r="AR318" s="241"/>
      <c r="AS318" s="194"/>
      <c r="AT318" s="195"/>
      <c r="AU318" s="195"/>
    </row>
    <row r="319" spans="1:47">
      <c r="A319" s="253"/>
      <c r="B319" s="230"/>
      <c r="C319" s="245"/>
      <c r="D319" s="230"/>
      <c r="E319" s="230"/>
      <c r="F319" s="230"/>
      <c r="G319" s="228"/>
      <c r="H319" s="230"/>
      <c r="I319" s="230"/>
      <c r="J319" s="246"/>
      <c r="K319" s="230"/>
      <c r="L319" s="230"/>
      <c r="M319" s="230"/>
      <c r="N319" s="230"/>
      <c r="O319" s="230"/>
      <c r="P319" s="256"/>
      <c r="Q319" s="257"/>
      <c r="R319" s="228"/>
      <c r="S319" s="228"/>
      <c r="T319" s="245"/>
      <c r="U319" s="254"/>
      <c r="V319" s="254"/>
      <c r="W319" s="228"/>
      <c r="X319" s="255"/>
      <c r="Y319" s="248"/>
      <c r="Z319" s="248"/>
      <c r="AA319" s="228"/>
      <c r="AB319" s="228"/>
      <c r="AC319" s="228"/>
      <c r="AD319" s="228"/>
      <c r="AE319" s="248"/>
      <c r="AF319" s="247"/>
      <c r="AG319" s="228"/>
      <c r="AH319" s="228"/>
      <c r="AI319" s="248"/>
      <c r="AJ319" s="248"/>
      <c r="AK319" s="194"/>
      <c r="AL319" s="249"/>
      <c r="AM319" s="250"/>
      <c r="AN319" s="251"/>
      <c r="AO319" s="252"/>
      <c r="AP319" s="241"/>
      <c r="AQ319" s="241"/>
      <c r="AR319" s="241"/>
      <c r="AS319" s="194"/>
      <c r="AT319" s="195"/>
      <c r="AU319" s="195"/>
    </row>
    <row r="320" spans="1:47">
      <c r="A320" s="253"/>
      <c r="B320" s="230"/>
      <c r="C320" s="245"/>
      <c r="D320" s="230"/>
      <c r="E320" s="230"/>
      <c r="F320" s="230"/>
      <c r="G320" s="228"/>
      <c r="H320" s="230"/>
      <c r="I320" s="230"/>
      <c r="J320" s="246"/>
      <c r="K320" s="230"/>
      <c r="L320" s="230"/>
      <c r="M320" s="230"/>
      <c r="N320" s="230"/>
      <c r="O320" s="230"/>
      <c r="P320" s="256"/>
      <c r="Q320" s="257"/>
      <c r="R320" s="228"/>
      <c r="S320" s="228"/>
      <c r="T320" s="245"/>
      <c r="U320" s="254"/>
      <c r="V320" s="254"/>
      <c r="W320" s="228"/>
      <c r="X320" s="255"/>
      <c r="Y320" s="248"/>
      <c r="Z320" s="248"/>
      <c r="AA320" s="228"/>
      <c r="AB320" s="228"/>
      <c r="AC320" s="228"/>
      <c r="AD320" s="228"/>
      <c r="AE320" s="248"/>
      <c r="AF320" s="247"/>
      <c r="AG320" s="228"/>
      <c r="AH320" s="228"/>
      <c r="AI320" s="248"/>
      <c r="AJ320" s="248"/>
      <c r="AK320" s="194"/>
      <c r="AL320" s="249"/>
      <c r="AM320" s="250"/>
      <c r="AN320" s="251"/>
      <c r="AO320" s="252"/>
      <c r="AP320" s="241"/>
      <c r="AQ320" s="241"/>
      <c r="AR320" s="241"/>
      <c r="AS320" s="194"/>
      <c r="AT320" s="195"/>
      <c r="AU320" s="195"/>
    </row>
    <row r="321" spans="1:47">
      <c r="A321" s="253"/>
      <c r="B321" s="230"/>
      <c r="C321" s="245"/>
      <c r="D321" s="230"/>
      <c r="E321" s="230"/>
      <c r="F321" s="230"/>
      <c r="G321" s="228"/>
      <c r="H321" s="230"/>
      <c r="I321" s="230"/>
      <c r="J321" s="246"/>
      <c r="K321" s="230"/>
      <c r="L321" s="230"/>
      <c r="M321" s="230"/>
      <c r="N321" s="230"/>
      <c r="O321" s="230"/>
      <c r="P321" s="256"/>
      <c r="Q321" s="257"/>
      <c r="R321" s="228"/>
      <c r="S321" s="228"/>
      <c r="T321" s="245"/>
      <c r="U321" s="254"/>
      <c r="V321" s="254"/>
      <c r="W321" s="228"/>
      <c r="X321" s="255"/>
      <c r="Y321" s="248"/>
      <c r="Z321" s="248"/>
      <c r="AA321" s="228"/>
      <c r="AB321" s="228"/>
      <c r="AC321" s="228"/>
      <c r="AD321" s="228"/>
      <c r="AE321" s="248"/>
      <c r="AF321" s="247"/>
      <c r="AG321" s="228"/>
      <c r="AH321" s="228"/>
      <c r="AI321" s="248"/>
      <c r="AJ321" s="248"/>
      <c r="AK321" s="194"/>
      <c r="AL321" s="249"/>
      <c r="AM321" s="250"/>
      <c r="AN321" s="251"/>
      <c r="AO321" s="252"/>
      <c r="AP321" s="241"/>
      <c r="AQ321" s="241"/>
      <c r="AR321" s="241"/>
      <c r="AS321" s="194"/>
      <c r="AT321" s="195"/>
      <c r="AU321" s="195"/>
    </row>
    <row r="322" spans="1:47">
      <c r="A322" s="253"/>
      <c r="B322" s="230"/>
      <c r="C322" s="245"/>
      <c r="D322" s="230"/>
      <c r="E322" s="230"/>
      <c r="F322" s="230"/>
      <c r="G322" s="228"/>
      <c r="H322" s="230"/>
      <c r="I322" s="230"/>
      <c r="J322" s="246"/>
      <c r="K322" s="230"/>
      <c r="L322" s="230"/>
      <c r="M322" s="230"/>
      <c r="N322" s="230"/>
      <c r="O322" s="230"/>
      <c r="P322" s="256"/>
      <c r="Q322" s="257"/>
      <c r="R322" s="228"/>
      <c r="S322" s="228"/>
      <c r="T322" s="245"/>
      <c r="U322" s="254"/>
      <c r="V322" s="254"/>
      <c r="W322" s="228"/>
      <c r="X322" s="255"/>
      <c r="Y322" s="248"/>
      <c r="Z322" s="248"/>
      <c r="AA322" s="228"/>
      <c r="AB322" s="228"/>
      <c r="AC322" s="228"/>
      <c r="AD322" s="228"/>
      <c r="AE322" s="248"/>
      <c r="AF322" s="247"/>
      <c r="AG322" s="228"/>
      <c r="AH322" s="228"/>
      <c r="AI322" s="248"/>
      <c r="AJ322" s="248"/>
      <c r="AK322" s="194"/>
      <c r="AL322" s="249"/>
      <c r="AM322" s="250"/>
      <c r="AN322" s="251"/>
      <c r="AO322" s="252"/>
      <c r="AP322" s="241"/>
      <c r="AQ322" s="241"/>
      <c r="AR322" s="241"/>
      <c r="AS322" s="194"/>
      <c r="AT322" s="195"/>
      <c r="AU322" s="195"/>
    </row>
    <row r="323" spans="1:47">
      <c r="A323" s="253"/>
      <c r="B323" s="230"/>
      <c r="C323" s="245"/>
      <c r="D323" s="230"/>
      <c r="E323" s="230"/>
      <c r="F323" s="230"/>
      <c r="G323" s="228"/>
      <c r="H323" s="230"/>
      <c r="I323" s="230"/>
      <c r="J323" s="246"/>
      <c r="K323" s="230"/>
      <c r="L323" s="230"/>
      <c r="M323" s="230"/>
      <c r="N323" s="230"/>
      <c r="O323" s="230"/>
      <c r="P323" s="256"/>
      <c r="Q323" s="257"/>
      <c r="R323" s="228"/>
      <c r="S323" s="228"/>
      <c r="T323" s="245"/>
      <c r="U323" s="254"/>
      <c r="V323" s="254"/>
      <c r="W323" s="228"/>
      <c r="X323" s="255"/>
      <c r="Y323" s="248"/>
      <c r="Z323" s="248"/>
      <c r="AA323" s="228"/>
      <c r="AB323" s="228"/>
      <c r="AC323" s="228"/>
      <c r="AD323" s="228"/>
      <c r="AE323" s="248"/>
      <c r="AF323" s="247"/>
      <c r="AG323" s="228"/>
      <c r="AH323" s="228"/>
      <c r="AI323" s="248"/>
      <c r="AJ323" s="248"/>
      <c r="AK323" s="194"/>
      <c r="AL323" s="249"/>
      <c r="AM323" s="250"/>
      <c r="AN323" s="251"/>
      <c r="AO323" s="252"/>
      <c r="AP323" s="241"/>
      <c r="AQ323" s="241"/>
      <c r="AR323" s="241"/>
      <c r="AS323" s="194"/>
      <c r="AT323" s="195"/>
      <c r="AU323" s="195"/>
    </row>
    <row r="324" spans="1:47">
      <c r="A324" s="253"/>
      <c r="B324" s="230"/>
      <c r="C324" s="245"/>
      <c r="D324" s="230"/>
      <c r="E324" s="230"/>
      <c r="F324" s="230"/>
      <c r="G324" s="228"/>
      <c r="H324" s="230"/>
      <c r="I324" s="230"/>
      <c r="J324" s="246"/>
      <c r="K324" s="230"/>
      <c r="L324" s="230"/>
      <c r="M324" s="230"/>
      <c r="N324" s="230"/>
      <c r="O324" s="230"/>
      <c r="P324" s="256"/>
      <c r="Q324" s="257"/>
      <c r="R324" s="228"/>
      <c r="S324" s="228"/>
      <c r="T324" s="245"/>
      <c r="U324" s="254"/>
      <c r="V324" s="254"/>
      <c r="W324" s="228"/>
      <c r="X324" s="255"/>
      <c r="Y324" s="248"/>
      <c r="Z324" s="248"/>
      <c r="AA324" s="228"/>
      <c r="AB324" s="228"/>
      <c r="AC324" s="228"/>
      <c r="AD324" s="228"/>
      <c r="AE324" s="248"/>
      <c r="AF324" s="247"/>
      <c r="AG324" s="228"/>
      <c r="AH324" s="228"/>
      <c r="AI324" s="248"/>
      <c r="AJ324" s="248"/>
      <c r="AK324" s="194"/>
      <c r="AL324" s="249"/>
      <c r="AM324" s="250"/>
      <c r="AN324" s="251"/>
      <c r="AO324" s="252"/>
      <c r="AP324" s="241"/>
      <c r="AQ324" s="241"/>
      <c r="AR324" s="241"/>
      <c r="AS324" s="194"/>
      <c r="AT324" s="195"/>
      <c r="AU324" s="195"/>
    </row>
    <row r="325" spans="1:47">
      <c r="A325" s="253"/>
      <c r="B325" s="230"/>
      <c r="C325" s="245"/>
      <c r="D325" s="230"/>
      <c r="E325" s="230"/>
      <c r="F325" s="230"/>
      <c r="G325" s="228"/>
      <c r="H325" s="230"/>
      <c r="I325" s="230"/>
      <c r="J325" s="246"/>
      <c r="K325" s="230"/>
      <c r="L325" s="230"/>
      <c r="M325" s="230"/>
      <c r="N325" s="230"/>
      <c r="O325" s="230"/>
      <c r="P325" s="256"/>
      <c r="Q325" s="257"/>
      <c r="R325" s="228"/>
      <c r="S325" s="228"/>
      <c r="T325" s="245"/>
      <c r="U325" s="254"/>
      <c r="V325" s="254"/>
      <c r="W325" s="228"/>
      <c r="X325" s="255"/>
      <c r="Y325" s="248"/>
      <c r="Z325" s="248"/>
      <c r="AA325" s="228"/>
      <c r="AB325" s="228"/>
      <c r="AC325" s="228"/>
      <c r="AD325" s="228"/>
      <c r="AE325" s="248"/>
      <c r="AF325" s="247"/>
      <c r="AG325" s="228"/>
      <c r="AH325" s="228"/>
      <c r="AI325" s="248"/>
      <c r="AJ325" s="248"/>
      <c r="AK325" s="194"/>
      <c r="AL325" s="249"/>
      <c r="AM325" s="250"/>
      <c r="AN325" s="251"/>
      <c r="AO325" s="252"/>
      <c r="AP325" s="241"/>
      <c r="AQ325" s="241"/>
      <c r="AR325" s="241"/>
      <c r="AS325" s="194"/>
      <c r="AT325" s="195"/>
      <c r="AU325" s="195"/>
    </row>
    <row r="326" spans="1:47">
      <c r="A326" s="253"/>
      <c r="B326" s="230"/>
      <c r="C326" s="245"/>
      <c r="D326" s="230"/>
      <c r="E326" s="230"/>
      <c r="F326" s="230"/>
      <c r="G326" s="228"/>
      <c r="H326" s="230"/>
      <c r="I326" s="230"/>
      <c r="J326" s="246"/>
      <c r="K326" s="230"/>
      <c r="L326" s="230"/>
      <c r="M326" s="230"/>
      <c r="N326" s="230"/>
      <c r="O326" s="230"/>
      <c r="P326" s="256"/>
      <c r="Q326" s="257"/>
      <c r="R326" s="228"/>
      <c r="S326" s="228"/>
      <c r="T326" s="245"/>
      <c r="U326" s="254"/>
      <c r="V326" s="254"/>
      <c r="W326" s="228"/>
      <c r="X326" s="255"/>
      <c r="Y326" s="248"/>
      <c r="Z326" s="248"/>
      <c r="AA326" s="228"/>
      <c r="AB326" s="228"/>
      <c r="AC326" s="228"/>
      <c r="AD326" s="228"/>
      <c r="AE326" s="248"/>
      <c r="AF326" s="247"/>
      <c r="AG326" s="228"/>
      <c r="AH326" s="228"/>
      <c r="AI326" s="248"/>
      <c r="AJ326" s="248"/>
      <c r="AK326" s="194"/>
      <c r="AL326" s="249"/>
      <c r="AM326" s="250"/>
      <c r="AN326" s="251"/>
      <c r="AO326" s="252"/>
      <c r="AP326" s="241"/>
      <c r="AQ326" s="241"/>
      <c r="AR326" s="241"/>
      <c r="AS326" s="194"/>
      <c r="AT326" s="195"/>
      <c r="AU326" s="195"/>
    </row>
    <row r="327" spans="1:47">
      <c r="A327" s="253"/>
      <c r="B327" s="230"/>
      <c r="C327" s="245"/>
      <c r="D327" s="230"/>
      <c r="E327" s="230"/>
      <c r="F327" s="230"/>
      <c r="G327" s="228"/>
      <c r="H327" s="230"/>
      <c r="I327" s="230"/>
      <c r="J327" s="246"/>
      <c r="K327" s="230"/>
      <c r="L327" s="230"/>
      <c r="M327" s="230"/>
      <c r="N327" s="230"/>
      <c r="O327" s="230"/>
      <c r="P327" s="256"/>
      <c r="Q327" s="257"/>
      <c r="R327" s="228"/>
      <c r="S327" s="228"/>
      <c r="T327" s="245"/>
      <c r="U327" s="254"/>
      <c r="V327" s="254"/>
      <c r="W327" s="228"/>
      <c r="X327" s="255"/>
      <c r="Y327" s="248"/>
      <c r="Z327" s="248"/>
      <c r="AA327" s="228"/>
      <c r="AB327" s="228"/>
      <c r="AC327" s="228"/>
      <c r="AD327" s="228"/>
      <c r="AE327" s="248"/>
      <c r="AF327" s="247"/>
      <c r="AG327" s="228"/>
      <c r="AH327" s="228"/>
      <c r="AI327" s="248"/>
      <c r="AJ327" s="248"/>
      <c r="AK327" s="194"/>
      <c r="AL327" s="249"/>
      <c r="AM327" s="250"/>
      <c r="AN327" s="251"/>
      <c r="AO327" s="252"/>
      <c r="AP327" s="241"/>
      <c r="AQ327" s="241"/>
      <c r="AR327" s="241"/>
      <c r="AS327" s="194"/>
      <c r="AT327" s="195"/>
      <c r="AU327" s="195"/>
    </row>
    <row r="328" spans="1:47">
      <c r="A328" s="253"/>
      <c r="B328" s="230"/>
      <c r="C328" s="245"/>
      <c r="D328" s="230"/>
      <c r="E328" s="230"/>
      <c r="F328" s="230"/>
      <c r="G328" s="228"/>
      <c r="H328" s="230"/>
      <c r="I328" s="230"/>
      <c r="J328" s="246"/>
      <c r="K328" s="230"/>
      <c r="L328" s="230"/>
      <c r="M328" s="230"/>
      <c r="N328" s="230"/>
      <c r="O328" s="230"/>
      <c r="P328" s="256"/>
      <c r="Q328" s="257"/>
      <c r="R328" s="228"/>
      <c r="S328" s="228"/>
      <c r="T328" s="245"/>
      <c r="U328" s="254"/>
      <c r="V328" s="254"/>
      <c r="W328" s="228"/>
      <c r="X328" s="255"/>
      <c r="Y328" s="248"/>
      <c r="Z328" s="248"/>
      <c r="AA328" s="228"/>
      <c r="AB328" s="228"/>
      <c r="AC328" s="228"/>
      <c r="AD328" s="228"/>
      <c r="AE328" s="248"/>
      <c r="AF328" s="247"/>
      <c r="AG328" s="228"/>
      <c r="AH328" s="228"/>
      <c r="AI328" s="248"/>
      <c r="AJ328" s="248"/>
      <c r="AK328" s="194"/>
      <c r="AL328" s="249"/>
      <c r="AM328" s="250"/>
      <c r="AN328" s="251"/>
      <c r="AO328" s="252"/>
      <c r="AP328" s="241"/>
      <c r="AQ328" s="241"/>
      <c r="AR328" s="241"/>
      <c r="AS328" s="194"/>
      <c r="AT328" s="195"/>
      <c r="AU328" s="195"/>
    </row>
    <row r="329" spans="1:47">
      <c r="A329" s="253"/>
      <c r="B329" s="230"/>
      <c r="C329" s="245"/>
      <c r="D329" s="230"/>
      <c r="E329" s="230"/>
      <c r="F329" s="230"/>
      <c r="G329" s="228"/>
      <c r="H329" s="230"/>
      <c r="I329" s="230"/>
      <c r="J329" s="246"/>
      <c r="K329" s="230"/>
      <c r="L329" s="230"/>
      <c r="M329" s="230"/>
      <c r="N329" s="230"/>
      <c r="O329" s="230"/>
      <c r="P329" s="256"/>
      <c r="Q329" s="257"/>
      <c r="R329" s="228"/>
      <c r="S329" s="228"/>
      <c r="T329" s="245"/>
      <c r="U329" s="254"/>
      <c r="V329" s="254"/>
      <c r="W329" s="228"/>
      <c r="X329" s="255"/>
      <c r="Y329" s="248"/>
      <c r="Z329" s="248"/>
      <c r="AA329" s="228"/>
      <c r="AB329" s="228"/>
      <c r="AC329" s="228"/>
      <c r="AD329" s="228"/>
      <c r="AE329" s="248"/>
      <c r="AF329" s="247"/>
      <c r="AG329" s="228"/>
      <c r="AH329" s="228"/>
      <c r="AI329" s="248"/>
      <c r="AJ329" s="248"/>
      <c r="AK329" s="194"/>
      <c r="AL329" s="249"/>
      <c r="AM329" s="250"/>
      <c r="AN329" s="251"/>
      <c r="AO329" s="252"/>
      <c r="AP329" s="241"/>
      <c r="AQ329" s="241"/>
      <c r="AR329" s="241"/>
      <c r="AS329" s="194"/>
      <c r="AT329" s="195"/>
      <c r="AU329" s="195"/>
    </row>
    <row r="330" spans="1:47">
      <c r="A330" s="253"/>
      <c r="B330" s="230"/>
      <c r="C330" s="245"/>
      <c r="D330" s="230"/>
      <c r="E330" s="230"/>
      <c r="F330" s="230"/>
      <c r="G330" s="228"/>
      <c r="H330" s="230"/>
      <c r="I330" s="230"/>
      <c r="J330" s="246"/>
      <c r="K330" s="230"/>
      <c r="L330" s="230"/>
      <c r="M330" s="230"/>
      <c r="N330" s="230"/>
      <c r="O330" s="230"/>
      <c r="P330" s="256"/>
      <c r="Q330" s="257"/>
      <c r="R330" s="228"/>
      <c r="S330" s="228"/>
      <c r="T330" s="245"/>
      <c r="U330" s="254"/>
      <c r="V330" s="254"/>
      <c r="W330" s="228"/>
      <c r="X330" s="255"/>
      <c r="Y330" s="248"/>
      <c r="Z330" s="248"/>
      <c r="AA330" s="228"/>
      <c r="AB330" s="228"/>
      <c r="AC330" s="228"/>
      <c r="AD330" s="228"/>
      <c r="AE330" s="248"/>
      <c r="AF330" s="247"/>
      <c r="AG330" s="228"/>
      <c r="AH330" s="228"/>
      <c r="AI330" s="248"/>
      <c r="AJ330" s="248"/>
      <c r="AK330" s="194"/>
      <c r="AL330" s="249"/>
      <c r="AM330" s="250"/>
      <c r="AN330" s="251"/>
      <c r="AO330" s="252"/>
      <c r="AP330" s="241"/>
      <c r="AQ330" s="241"/>
      <c r="AR330" s="241"/>
      <c r="AS330" s="194"/>
      <c r="AT330" s="195"/>
      <c r="AU330" s="195"/>
    </row>
    <row r="331" spans="1:47">
      <c r="A331" s="253"/>
      <c r="B331" s="230"/>
      <c r="C331" s="245"/>
      <c r="D331" s="230"/>
      <c r="E331" s="230"/>
      <c r="F331" s="230"/>
      <c r="G331" s="228"/>
      <c r="H331" s="230"/>
      <c r="I331" s="230"/>
      <c r="J331" s="246"/>
      <c r="K331" s="230"/>
      <c r="L331" s="230"/>
      <c r="M331" s="230"/>
      <c r="N331" s="230"/>
      <c r="O331" s="230"/>
      <c r="P331" s="256"/>
      <c r="Q331" s="257"/>
      <c r="R331" s="228"/>
      <c r="S331" s="228"/>
      <c r="T331" s="245"/>
      <c r="U331" s="254"/>
      <c r="V331" s="254"/>
      <c r="W331" s="228"/>
      <c r="X331" s="255"/>
      <c r="Y331" s="248"/>
      <c r="Z331" s="248"/>
      <c r="AA331" s="228"/>
      <c r="AB331" s="228"/>
      <c r="AC331" s="228"/>
      <c r="AD331" s="228"/>
      <c r="AE331" s="248"/>
      <c r="AF331" s="247"/>
      <c r="AG331" s="228"/>
      <c r="AH331" s="228"/>
      <c r="AI331" s="248"/>
      <c r="AJ331" s="248"/>
      <c r="AK331" s="194"/>
      <c r="AL331" s="249"/>
      <c r="AM331" s="250"/>
      <c r="AN331" s="251"/>
      <c r="AO331" s="252"/>
      <c r="AP331" s="241"/>
      <c r="AQ331" s="241"/>
      <c r="AR331" s="241"/>
      <c r="AS331" s="194"/>
      <c r="AT331" s="195"/>
      <c r="AU331" s="195"/>
    </row>
    <row r="332" spans="1:47">
      <c r="A332" s="253"/>
      <c r="B332" s="230"/>
      <c r="C332" s="245"/>
      <c r="D332" s="230"/>
      <c r="E332" s="230"/>
      <c r="F332" s="230"/>
      <c r="G332" s="228"/>
      <c r="H332" s="230"/>
      <c r="I332" s="230"/>
      <c r="J332" s="246"/>
      <c r="K332" s="230"/>
      <c r="L332" s="230"/>
      <c r="M332" s="230"/>
      <c r="N332" s="230"/>
      <c r="O332" s="230"/>
      <c r="P332" s="256"/>
      <c r="Q332" s="257"/>
      <c r="R332" s="228"/>
      <c r="S332" s="228"/>
      <c r="T332" s="245"/>
      <c r="U332" s="254"/>
      <c r="V332" s="254"/>
      <c r="W332" s="228"/>
      <c r="X332" s="255"/>
      <c r="Y332" s="248"/>
      <c r="Z332" s="248"/>
      <c r="AA332" s="228"/>
      <c r="AB332" s="228"/>
      <c r="AC332" s="228"/>
      <c r="AD332" s="228"/>
      <c r="AE332" s="248"/>
      <c r="AF332" s="247"/>
      <c r="AG332" s="228"/>
      <c r="AH332" s="228"/>
      <c r="AI332" s="248"/>
      <c r="AJ332" s="248"/>
      <c r="AK332" s="194"/>
      <c r="AL332" s="249"/>
      <c r="AM332" s="250"/>
      <c r="AN332" s="251"/>
      <c r="AO332" s="252"/>
      <c r="AP332" s="241"/>
      <c r="AQ332" s="241"/>
      <c r="AR332" s="241"/>
      <c r="AS332" s="194"/>
      <c r="AT332" s="195"/>
      <c r="AU332" s="195"/>
    </row>
    <row r="333" spans="1:47">
      <c r="A333" s="253"/>
      <c r="B333" s="230"/>
      <c r="C333" s="245"/>
      <c r="D333" s="230"/>
      <c r="E333" s="230"/>
      <c r="F333" s="230"/>
      <c r="G333" s="228"/>
      <c r="H333" s="230"/>
      <c r="I333" s="230"/>
      <c r="J333" s="246"/>
      <c r="K333" s="230"/>
      <c r="L333" s="230"/>
      <c r="M333" s="230"/>
      <c r="N333" s="230"/>
      <c r="O333" s="230"/>
      <c r="P333" s="256"/>
      <c r="Q333" s="257"/>
      <c r="R333" s="228"/>
      <c r="S333" s="228"/>
      <c r="T333" s="245"/>
      <c r="U333" s="254"/>
      <c r="V333" s="254"/>
      <c r="W333" s="228"/>
      <c r="X333" s="255"/>
      <c r="Y333" s="248"/>
      <c r="Z333" s="248"/>
      <c r="AA333" s="228"/>
      <c r="AB333" s="228"/>
      <c r="AC333" s="228"/>
      <c r="AD333" s="228"/>
      <c r="AE333" s="248"/>
      <c r="AF333" s="247"/>
      <c r="AG333" s="228"/>
      <c r="AH333" s="228"/>
      <c r="AI333" s="248"/>
      <c r="AJ333" s="248"/>
      <c r="AK333" s="194"/>
      <c r="AL333" s="249"/>
      <c r="AM333" s="250"/>
      <c r="AN333" s="251"/>
      <c r="AO333" s="252"/>
      <c r="AP333" s="241"/>
      <c r="AQ333" s="241"/>
      <c r="AR333" s="241"/>
      <c r="AS333" s="194"/>
      <c r="AT333" s="195"/>
      <c r="AU333" s="195"/>
    </row>
    <row r="334" spans="1:47">
      <c r="A334" s="253"/>
      <c r="B334" s="230"/>
      <c r="C334" s="245"/>
      <c r="D334" s="230"/>
      <c r="E334" s="230"/>
      <c r="F334" s="230"/>
      <c r="G334" s="228"/>
      <c r="H334" s="230"/>
      <c r="I334" s="230"/>
      <c r="J334" s="246"/>
      <c r="K334" s="230"/>
      <c r="L334" s="230"/>
      <c r="M334" s="230"/>
      <c r="N334" s="230"/>
      <c r="O334" s="230"/>
      <c r="P334" s="256"/>
      <c r="Q334" s="257"/>
      <c r="R334" s="228"/>
      <c r="S334" s="228"/>
      <c r="T334" s="245"/>
      <c r="U334" s="254"/>
      <c r="V334" s="254"/>
      <c r="W334" s="228"/>
      <c r="X334" s="255"/>
      <c r="Y334" s="248"/>
      <c r="Z334" s="248"/>
      <c r="AA334" s="228"/>
      <c r="AB334" s="228"/>
      <c r="AC334" s="228"/>
      <c r="AD334" s="228"/>
      <c r="AE334" s="248"/>
      <c r="AF334" s="247"/>
      <c r="AG334" s="228"/>
      <c r="AH334" s="228"/>
      <c r="AI334" s="248"/>
      <c r="AJ334" s="248"/>
      <c r="AK334" s="194"/>
      <c r="AL334" s="249"/>
      <c r="AM334" s="250"/>
      <c r="AN334" s="251"/>
      <c r="AO334" s="252"/>
      <c r="AP334" s="241"/>
      <c r="AQ334" s="241"/>
      <c r="AR334" s="241"/>
      <c r="AS334" s="194"/>
      <c r="AT334" s="195"/>
      <c r="AU334" s="195"/>
    </row>
    <row r="335" spans="1:47">
      <c r="A335" s="253"/>
      <c r="B335" s="230"/>
      <c r="C335" s="245"/>
      <c r="D335" s="230"/>
      <c r="E335" s="230"/>
      <c r="F335" s="230"/>
      <c r="G335" s="228"/>
      <c r="H335" s="230"/>
      <c r="I335" s="230"/>
      <c r="J335" s="246"/>
      <c r="K335" s="230"/>
      <c r="L335" s="230"/>
      <c r="M335" s="230"/>
      <c r="N335" s="230"/>
      <c r="O335" s="230"/>
      <c r="P335" s="256"/>
      <c r="Q335" s="257"/>
      <c r="R335" s="228"/>
      <c r="S335" s="228"/>
      <c r="T335" s="245"/>
      <c r="U335" s="254"/>
      <c r="V335" s="254"/>
      <c r="W335" s="228"/>
      <c r="X335" s="255"/>
      <c r="Y335" s="248"/>
      <c r="Z335" s="248"/>
      <c r="AA335" s="228"/>
      <c r="AB335" s="228"/>
      <c r="AC335" s="228"/>
      <c r="AD335" s="228"/>
      <c r="AE335" s="248"/>
      <c r="AF335" s="247"/>
      <c r="AG335" s="228"/>
      <c r="AH335" s="228"/>
      <c r="AI335" s="248"/>
      <c r="AJ335" s="248"/>
      <c r="AK335" s="194"/>
      <c r="AL335" s="249"/>
      <c r="AM335" s="250"/>
      <c r="AN335" s="251"/>
      <c r="AO335" s="252"/>
      <c r="AP335" s="241"/>
      <c r="AQ335" s="241"/>
      <c r="AR335" s="241"/>
      <c r="AS335" s="194"/>
      <c r="AT335" s="195"/>
      <c r="AU335" s="195"/>
    </row>
    <row r="336" spans="1:47">
      <c r="A336" s="253"/>
      <c r="B336" s="230"/>
      <c r="C336" s="245"/>
      <c r="D336" s="230"/>
      <c r="E336" s="230"/>
      <c r="F336" s="230"/>
      <c r="G336" s="228"/>
      <c r="H336" s="230"/>
      <c r="I336" s="230"/>
      <c r="J336" s="246"/>
      <c r="K336" s="230"/>
      <c r="L336" s="230"/>
      <c r="M336" s="230"/>
      <c r="N336" s="230"/>
      <c r="O336" s="230"/>
      <c r="P336" s="256"/>
      <c r="Q336" s="257"/>
      <c r="R336" s="228"/>
      <c r="S336" s="228"/>
      <c r="T336" s="245"/>
      <c r="U336" s="254"/>
      <c r="V336" s="254"/>
      <c r="W336" s="228"/>
      <c r="X336" s="255"/>
      <c r="Y336" s="248"/>
      <c r="Z336" s="248"/>
      <c r="AA336" s="228"/>
      <c r="AB336" s="228"/>
      <c r="AC336" s="228"/>
      <c r="AD336" s="228"/>
      <c r="AE336" s="248"/>
      <c r="AF336" s="247"/>
      <c r="AG336" s="228"/>
      <c r="AH336" s="228"/>
      <c r="AI336" s="248"/>
      <c r="AJ336" s="248"/>
      <c r="AK336" s="194"/>
      <c r="AL336" s="249"/>
      <c r="AM336" s="250"/>
      <c r="AN336" s="251"/>
      <c r="AO336" s="252"/>
      <c r="AP336" s="241"/>
      <c r="AQ336" s="241"/>
      <c r="AR336" s="241"/>
      <c r="AS336" s="194"/>
      <c r="AT336" s="195"/>
      <c r="AU336" s="195"/>
    </row>
    <row r="337" spans="1:47">
      <c r="A337" s="253"/>
      <c r="B337" s="230"/>
      <c r="C337" s="245"/>
      <c r="D337" s="230"/>
      <c r="E337" s="230"/>
      <c r="F337" s="230"/>
      <c r="G337" s="228"/>
      <c r="H337" s="230"/>
      <c r="I337" s="230"/>
      <c r="J337" s="246"/>
      <c r="K337" s="230"/>
      <c r="L337" s="230"/>
      <c r="M337" s="230"/>
      <c r="N337" s="230"/>
      <c r="O337" s="230"/>
      <c r="P337" s="256"/>
      <c r="Q337" s="257"/>
      <c r="R337" s="228"/>
      <c r="S337" s="228"/>
      <c r="T337" s="245"/>
      <c r="U337" s="254"/>
      <c r="V337" s="254"/>
      <c r="W337" s="228"/>
      <c r="X337" s="255"/>
      <c r="Y337" s="248"/>
      <c r="Z337" s="248"/>
      <c r="AA337" s="228"/>
      <c r="AB337" s="228"/>
      <c r="AC337" s="228"/>
      <c r="AD337" s="228"/>
      <c r="AE337" s="248"/>
      <c r="AF337" s="247"/>
      <c r="AG337" s="228"/>
      <c r="AH337" s="228"/>
      <c r="AI337" s="248"/>
      <c r="AJ337" s="248"/>
      <c r="AK337" s="194"/>
      <c r="AL337" s="249"/>
      <c r="AM337" s="250"/>
      <c r="AN337" s="251"/>
      <c r="AO337" s="252"/>
      <c r="AP337" s="241"/>
      <c r="AQ337" s="241"/>
      <c r="AR337" s="241"/>
      <c r="AS337" s="194"/>
      <c r="AT337" s="195"/>
      <c r="AU337" s="195"/>
    </row>
    <row r="338" spans="1:47">
      <c r="A338" s="253"/>
      <c r="B338" s="230"/>
      <c r="C338" s="245"/>
      <c r="D338" s="230"/>
      <c r="E338" s="230"/>
      <c r="F338" s="230"/>
      <c r="G338" s="228"/>
      <c r="H338" s="230"/>
      <c r="I338" s="230"/>
      <c r="J338" s="246"/>
      <c r="K338" s="230"/>
      <c r="L338" s="230"/>
      <c r="M338" s="230"/>
      <c r="N338" s="230"/>
      <c r="O338" s="230"/>
      <c r="P338" s="256"/>
      <c r="Q338" s="257"/>
      <c r="R338" s="228"/>
      <c r="S338" s="228"/>
      <c r="T338" s="245"/>
      <c r="U338" s="254"/>
      <c r="V338" s="254"/>
      <c r="W338" s="228"/>
      <c r="X338" s="255"/>
      <c r="Y338" s="248"/>
      <c r="Z338" s="248"/>
      <c r="AA338" s="228"/>
      <c r="AB338" s="228"/>
      <c r="AC338" s="228"/>
      <c r="AD338" s="228"/>
      <c r="AE338" s="248"/>
      <c r="AF338" s="247"/>
      <c r="AG338" s="228"/>
      <c r="AH338" s="228"/>
      <c r="AI338" s="248"/>
      <c r="AJ338" s="248"/>
      <c r="AK338" s="194"/>
      <c r="AL338" s="249"/>
      <c r="AM338" s="250"/>
      <c r="AN338" s="251"/>
      <c r="AO338" s="252"/>
      <c r="AP338" s="241"/>
      <c r="AQ338" s="241"/>
      <c r="AR338" s="241"/>
      <c r="AS338" s="194"/>
      <c r="AT338" s="195"/>
      <c r="AU338" s="195"/>
    </row>
    <row r="339" spans="1:47">
      <c r="A339" s="253"/>
      <c r="B339" s="230"/>
      <c r="C339" s="245"/>
      <c r="D339" s="230"/>
      <c r="E339" s="230"/>
      <c r="F339" s="230"/>
      <c r="G339" s="228"/>
      <c r="H339" s="230"/>
      <c r="I339" s="230"/>
      <c r="J339" s="246"/>
      <c r="K339" s="230"/>
      <c r="L339" s="230"/>
      <c r="M339" s="230"/>
      <c r="N339" s="230"/>
      <c r="O339" s="230"/>
      <c r="P339" s="256"/>
      <c r="Q339" s="257"/>
      <c r="R339" s="228"/>
      <c r="S339" s="228"/>
      <c r="T339" s="245"/>
      <c r="U339" s="254"/>
      <c r="V339" s="254"/>
      <c r="W339" s="228"/>
      <c r="X339" s="255"/>
      <c r="Y339" s="248"/>
      <c r="Z339" s="248"/>
      <c r="AA339" s="228"/>
      <c r="AB339" s="228"/>
      <c r="AC339" s="228"/>
      <c r="AD339" s="228"/>
      <c r="AE339" s="248"/>
      <c r="AF339" s="247"/>
      <c r="AG339" s="228"/>
      <c r="AH339" s="228"/>
      <c r="AI339" s="248"/>
      <c r="AJ339" s="248"/>
      <c r="AK339" s="194"/>
      <c r="AL339" s="249"/>
      <c r="AM339" s="250"/>
      <c r="AN339" s="251"/>
      <c r="AO339" s="252"/>
      <c r="AP339" s="241"/>
      <c r="AQ339" s="241"/>
      <c r="AR339" s="241"/>
      <c r="AS339" s="194"/>
      <c r="AT339" s="195"/>
      <c r="AU339" s="195"/>
    </row>
    <row r="340" spans="1:47">
      <c r="A340" s="253"/>
      <c r="B340" s="230"/>
      <c r="C340" s="245"/>
      <c r="D340" s="230"/>
      <c r="E340" s="230"/>
      <c r="F340" s="230"/>
      <c r="G340" s="228"/>
      <c r="H340" s="230"/>
      <c r="I340" s="230"/>
      <c r="J340" s="246"/>
      <c r="K340" s="230"/>
      <c r="L340" s="230"/>
      <c r="M340" s="230"/>
      <c r="N340" s="230"/>
      <c r="O340" s="230"/>
      <c r="P340" s="256"/>
      <c r="Q340" s="257"/>
      <c r="R340" s="228"/>
      <c r="S340" s="228"/>
      <c r="T340" s="245"/>
      <c r="U340" s="254"/>
      <c r="V340" s="254"/>
      <c r="W340" s="228"/>
      <c r="X340" s="255"/>
      <c r="Y340" s="248"/>
      <c r="Z340" s="248"/>
      <c r="AA340" s="228"/>
      <c r="AB340" s="228"/>
      <c r="AC340" s="228"/>
      <c r="AD340" s="228"/>
      <c r="AE340" s="248"/>
      <c r="AF340" s="247"/>
      <c r="AG340" s="228"/>
      <c r="AH340" s="228"/>
      <c r="AI340" s="248"/>
      <c r="AJ340" s="248"/>
      <c r="AK340" s="194"/>
      <c r="AL340" s="249"/>
      <c r="AM340" s="250"/>
      <c r="AN340" s="251"/>
      <c r="AO340" s="252"/>
      <c r="AP340" s="241"/>
      <c r="AQ340" s="241"/>
      <c r="AR340" s="241"/>
      <c r="AS340" s="194"/>
      <c r="AT340" s="195"/>
      <c r="AU340" s="195"/>
    </row>
    <row r="341" spans="1:47">
      <c r="A341" s="253"/>
      <c r="B341" s="230"/>
      <c r="C341" s="245"/>
      <c r="D341" s="230"/>
      <c r="E341" s="230"/>
      <c r="F341" s="230"/>
      <c r="G341" s="228"/>
      <c r="H341" s="230"/>
      <c r="I341" s="230"/>
      <c r="J341" s="246"/>
      <c r="K341" s="230"/>
      <c r="L341" s="230"/>
      <c r="M341" s="230"/>
      <c r="N341" s="230"/>
      <c r="O341" s="230"/>
      <c r="P341" s="256"/>
      <c r="Q341" s="257"/>
      <c r="R341" s="228"/>
      <c r="S341" s="228"/>
      <c r="T341" s="245"/>
      <c r="U341" s="254"/>
      <c r="V341" s="254"/>
      <c r="W341" s="228"/>
      <c r="X341" s="255"/>
      <c r="Y341" s="248"/>
      <c r="Z341" s="248"/>
      <c r="AA341" s="228"/>
      <c r="AB341" s="228"/>
      <c r="AC341" s="228"/>
      <c r="AD341" s="228"/>
      <c r="AE341" s="248"/>
      <c r="AF341" s="247"/>
      <c r="AG341" s="228"/>
      <c r="AH341" s="228"/>
      <c r="AI341" s="248"/>
      <c r="AJ341" s="248"/>
      <c r="AK341" s="194"/>
      <c r="AL341" s="249"/>
      <c r="AM341" s="250"/>
      <c r="AN341" s="251"/>
      <c r="AO341" s="252"/>
      <c r="AP341" s="241"/>
      <c r="AQ341" s="241"/>
      <c r="AR341" s="241"/>
      <c r="AS341" s="194"/>
      <c r="AT341" s="195"/>
      <c r="AU341" s="195"/>
    </row>
    <row r="342" spans="1:47">
      <c r="A342" s="253"/>
      <c r="B342" s="230"/>
      <c r="C342" s="245"/>
      <c r="D342" s="230"/>
      <c r="E342" s="230"/>
      <c r="F342" s="230"/>
      <c r="G342" s="228"/>
      <c r="H342" s="230"/>
      <c r="I342" s="230"/>
      <c r="J342" s="246"/>
      <c r="K342" s="230"/>
      <c r="L342" s="230"/>
      <c r="M342" s="230"/>
      <c r="N342" s="230"/>
      <c r="O342" s="230"/>
      <c r="P342" s="256"/>
      <c r="Q342" s="257"/>
      <c r="R342" s="228"/>
      <c r="S342" s="228"/>
      <c r="T342" s="245"/>
      <c r="U342" s="254"/>
      <c r="V342" s="254"/>
      <c r="W342" s="228"/>
      <c r="X342" s="255"/>
      <c r="Y342" s="248"/>
      <c r="Z342" s="248"/>
      <c r="AA342" s="228"/>
      <c r="AB342" s="228"/>
      <c r="AC342" s="228"/>
      <c r="AD342" s="228"/>
      <c r="AE342" s="248"/>
      <c r="AF342" s="247"/>
      <c r="AG342" s="228"/>
      <c r="AH342" s="228"/>
      <c r="AI342" s="248"/>
      <c r="AJ342" s="248"/>
      <c r="AK342" s="194"/>
      <c r="AL342" s="249"/>
      <c r="AM342" s="250"/>
      <c r="AN342" s="251"/>
      <c r="AO342" s="252"/>
      <c r="AP342" s="241"/>
      <c r="AQ342" s="241"/>
      <c r="AR342" s="241"/>
      <c r="AS342" s="194"/>
      <c r="AT342" s="195"/>
      <c r="AU342" s="195"/>
    </row>
    <row r="343" spans="1:47">
      <c r="A343" s="253"/>
      <c r="B343" s="230"/>
      <c r="C343" s="245"/>
      <c r="D343" s="230"/>
      <c r="E343" s="230"/>
      <c r="F343" s="230"/>
      <c r="G343" s="228"/>
      <c r="H343" s="230"/>
      <c r="I343" s="230"/>
      <c r="J343" s="246"/>
      <c r="K343" s="230"/>
      <c r="L343" s="230"/>
      <c r="M343" s="230"/>
      <c r="N343" s="230"/>
      <c r="O343" s="230"/>
      <c r="P343" s="256"/>
      <c r="Q343" s="257"/>
      <c r="R343" s="228"/>
      <c r="S343" s="228"/>
      <c r="T343" s="245"/>
      <c r="U343" s="254"/>
      <c r="V343" s="254"/>
      <c r="W343" s="228"/>
      <c r="X343" s="255"/>
      <c r="Y343" s="248"/>
      <c r="Z343" s="248"/>
      <c r="AA343" s="228"/>
      <c r="AB343" s="228"/>
      <c r="AC343" s="228"/>
      <c r="AD343" s="228"/>
      <c r="AE343" s="248"/>
      <c r="AF343" s="247"/>
      <c r="AG343" s="228"/>
      <c r="AH343" s="228"/>
      <c r="AI343" s="248"/>
      <c r="AJ343" s="248"/>
      <c r="AK343" s="194"/>
      <c r="AL343" s="249"/>
      <c r="AM343" s="250"/>
      <c r="AN343" s="251"/>
      <c r="AO343" s="252"/>
      <c r="AP343" s="241"/>
      <c r="AQ343" s="241"/>
      <c r="AR343" s="241"/>
      <c r="AS343" s="194"/>
      <c r="AT343" s="195"/>
      <c r="AU343" s="195"/>
    </row>
    <row r="344" spans="1:47">
      <c r="A344" s="253"/>
      <c r="B344" s="230"/>
      <c r="C344" s="245"/>
      <c r="D344" s="230"/>
      <c r="E344" s="230"/>
      <c r="F344" s="230"/>
      <c r="G344" s="228"/>
      <c r="H344" s="230"/>
      <c r="I344" s="230"/>
      <c r="J344" s="246"/>
      <c r="K344" s="230"/>
      <c r="L344" s="230"/>
      <c r="M344" s="230"/>
      <c r="N344" s="230"/>
      <c r="O344" s="230"/>
      <c r="P344" s="256"/>
      <c r="Q344" s="257"/>
      <c r="R344" s="228"/>
      <c r="S344" s="228"/>
      <c r="T344" s="245"/>
      <c r="U344" s="254"/>
      <c r="V344" s="254"/>
      <c r="W344" s="228"/>
      <c r="X344" s="255"/>
      <c r="Y344" s="248"/>
      <c r="Z344" s="248"/>
      <c r="AA344" s="228"/>
      <c r="AB344" s="228"/>
      <c r="AC344" s="228"/>
      <c r="AD344" s="228"/>
      <c r="AE344" s="248"/>
      <c r="AF344" s="247"/>
      <c r="AG344" s="228"/>
      <c r="AH344" s="228"/>
      <c r="AI344" s="248"/>
      <c r="AJ344" s="248"/>
      <c r="AK344" s="194"/>
      <c r="AL344" s="249"/>
      <c r="AM344" s="250"/>
      <c r="AN344" s="251"/>
      <c r="AO344" s="252"/>
      <c r="AP344" s="241"/>
      <c r="AQ344" s="241"/>
      <c r="AR344" s="241"/>
      <c r="AS344" s="194"/>
      <c r="AT344" s="195"/>
      <c r="AU344" s="195"/>
    </row>
    <row r="345" spans="1:47">
      <c r="A345" s="253"/>
      <c r="B345" s="230"/>
      <c r="C345" s="245"/>
      <c r="D345" s="230"/>
      <c r="E345" s="230"/>
      <c r="F345" s="230"/>
      <c r="G345" s="228"/>
      <c r="H345" s="230"/>
      <c r="I345" s="230"/>
      <c r="J345" s="246"/>
      <c r="K345" s="230"/>
      <c r="L345" s="230"/>
      <c r="M345" s="230"/>
      <c r="N345" s="230"/>
      <c r="O345" s="230"/>
      <c r="P345" s="256"/>
      <c r="Q345" s="257"/>
      <c r="R345" s="228"/>
      <c r="S345" s="228"/>
      <c r="T345" s="245"/>
      <c r="U345" s="254"/>
      <c r="V345" s="254"/>
      <c r="W345" s="228"/>
      <c r="X345" s="255"/>
      <c r="Y345" s="248"/>
      <c r="Z345" s="248"/>
      <c r="AA345" s="228"/>
      <c r="AB345" s="228"/>
      <c r="AC345" s="228"/>
      <c r="AD345" s="228"/>
      <c r="AE345" s="248"/>
      <c r="AF345" s="247"/>
      <c r="AG345" s="228"/>
      <c r="AH345" s="228"/>
      <c r="AI345" s="248"/>
      <c r="AJ345" s="248"/>
      <c r="AK345" s="194"/>
      <c r="AL345" s="249"/>
      <c r="AM345" s="250"/>
      <c r="AN345" s="251"/>
      <c r="AO345" s="252"/>
      <c r="AP345" s="241"/>
      <c r="AQ345" s="241"/>
      <c r="AR345" s="241"/>
      <c r="AS345" s="194"/>
      <c r="AT345" s="195"/>
      <c r="AU345" s="195"/>
    </row>
    <row r="346" spans="1:47">
      <c r="A346" s="253"/>
      <c r="B346" s="230"/>
      <c r="C346" s="245"/>
      <c r="D346" s="230"/>
      <c r="E346" s="230"/>
      <c r="F346" s="230"/>
      <c r="G346" s="228"/>
      <c r="H346" s="230"/>
      <c r="I346" s="230"/>
      <c r="J346" s="246"/>
      <c r="K346" s="230"/>
      <c r="L346" s="230"/>
      <c r="M346" s="230"/>
      <c r="N346" s="230"/>
      <c r="O346" s="230"/>
      <c r="P346" s="256"/>
      <c r="Q346" s="257"/>
      <c r="R346" s="228"/>
      <c r="S346" s="228"/>
      <c r="T346" s="245"/>
      <c r="U346" s="254"/>
      <c r="V346" s="254"/>
      <c r="W346" s="228"/>
      <c r="X346" s="255"/>
      <c r="Y346" s="248"/>
      <c r="Z346" s="248"/>
      <c r="AA346" s="228"/>
      <c r="AB346" s="228"/>
      <c r="AC346" s="228"/>
      <c r="AD346" s="228"/>
      <c r="AE346" s="248"/>
      <c r="AF346" s="247"/>
      <c r="AG346" s="228"/>
      <c r="AH346" s="228"/>
      <c r="AI346" s="248"/>
      <c r="AJ346" s="248"/>
      <c r="AK346" s="194"/>
      <c r="AL346" s="249"/>
      <c r="AM346" s="250"/>
      <c r="AN346" s="251"/>
      <c r="AO346" s="252"/>
      <c r="AP346" s="241"/>
      <c r="AQ346" s="241"/>
      <c r="AR346" s="241"/>
      <c r="AS346" s="194"/>
      <c r="AT346" s="195"/>
      <c r="AU346" s="195"/>
    </row>
    <row r="347" spans="1:47">
      <c r="A347" s="253"/>
      <c r="B347" s="230"/>
      <c r="C347" s="245"/>
      <c r="D347" s="230"/>
      <c r="E347" s="230"/>
      <c r="F347" s="230"/>
      <c r="G347" s="228"/>
      <c r="H347" s="230"/>
      <c r="I347" s="230"/>
      <c r="J347" s="246"/>
      <c r="K347" s="230"/>
      <c r="L347" s="230"/>
      <c r="M347" s="230"/>
      <c r="N347" s="230"/>
      <c r="O347" s="230"/>
      <c r="P347" s="256"/>
      <c r="Q347" s="257"/>
      <c r="R347" s="228"/>
      <c r="S347" s="228"/>
      <c r="T347" s="245"/>
      <c r="U347" s="254"/>
      <c r="V347" s="254"/>
      <c r="W347" s="228"/>
      <c r="X347" s="255"/>
      <c r="Y347" s="248"/>
      <c r="Z347" s="248"/>
      <c r="AA347" s="228"/>
      <c r="AB347" s="228"/>
      <c r="AC347" s="228"/>
      <c r="AD347" s="228"/>
      <c r="AE347" s="248"/>
      <c r="AF347" s="247"/>
      <c r="AG347" s="228"/>
      <c r="AH347" s="228"/>
      <c r="AI347" s="248"/>
      <c r="AJ347" s="248"/>
      <c r="AK347" s="194"/>
      <c r="AL347" s="249"/>
      <c r="AM347" s="250"/>
      <c r="AN347" s="251"/>
      <c r="AO347" s="252"/>
      <c r="AP347" s="241"/>
      <c r="AQ347" s="241"/>
      <c r="AR347" s="241"/>
      <c r="AS347" s="194"/>
      <c r="AT347" s="195"/>
      <c r="AU347" s="195"/>
    </row>
    <row r="348" spans="1:47">
      <c r="A348" s="253"/>
      <c r="B348" s="230"/>
      <c r="C348" s="245"/>
      <c r="D348" s="230"/>
      <c r="E348" s="230"/>
      <c r="F348" s="230"/>
      <c r="G348" s="228"/>
      <c r="H348" s="230"/>
      <c r="I348" s="230"/>
      <c r="J348" s="246"/>
      <c r="K348" s="230"/>
      <c r="L348" s="230"/>
      <c r="M348" s="230"/>
      <c r="N348" s="230"/>
      <c r="O348" s="230"/>
      <c r="P348" s="256"/>
      <c r="Q348" s="257"/>
      <c r="R348" s="228"/>
      <c r="S348" s="228"/>
      <c r="T348" s="245"/>
      <c r="U348" s="254"/>
      <c r="V348" s="254"/>
      <c r="W348" s="228"/>
      <c r="X348" s="255"/>
      <c r="Y348" s="248"/>
      <c r="Z348" s="248"/>
      <c r="AA348" s="228"/>
      <c r="AB348" s="228"/>
      <c r="AC348" s="228"/>
      <c r="AD348" s="228"/>
      <c r="AE348" s="248"/>
      <c r="AF348" s="247"/>
      <c r="AG348" s="228"/>
      <c r="AH348" s="228"/>
      <c r="AI348" s="248"/>
      <c r="AJ348" s="248"/>
      <c r="AK348" s="194"/>
      <c r="AL348" s="249"/>
      <c r="AM348" s="250"/>
      <c r="AN348" s="251"/>
      <c r="AO348" s="252"/>
      <c r="AP348" s="241"/>
      <c r="AQ348" s="241"/>
      <c r="AR348" s="241"/>
      <c r="AS348" s="194"/>
      <c r="AT348" s="195"/>
      <c r="AU348" s="195"/>
    </row>
    <row r="349" spans="1:47">
      <c r="A349" s="253"/>
      <c r="B349" s="230"/>
      <c r="C349" s="245"/>
      <c r="D349" s="230"/>
      <c r="E349" s="230"/>
      <c r="F349" s="230"/>
      <c r="G349" s="228"/>
      <c r="H349" s="230"/>
      <c r="I349" s="230"/>
      <c r="J349" s="246"/>
      <c r="K349" s="230"/>
      <c r="L349" s="230"/>
      <c r="M349" s="230"/>
      <c r="N349" s="230"/>
      <c r="O349" s="230"/>
      <c r="P349" s="256"/>
      <c r="Q349" s="257"/>
      <c r="R349" s="228"/>
      <c r="S349" s="228"/>
      <c r="T349" s="245"/>
      <c r="U349" s="254"/>
      <c r="V349" s="254"/>
      <c r="W349" s="228"/>
      <c r="X349" s="255"/>
      <c r="Y349" s="248"/>
      <c r="Z349" s="248"/>
      <c r="AA349" s="228"/>
      <c r="AB349" s="228"/>
      <c r="AC349" s="228"/>
      <c r="AD349" s="228"/>
      <c r="AE349" s="248"/>
      <c r="AF349" s="247"/>
      <c r="AG349" s="228"/>
      <c r="AH349" s="228"/>
      <c r="AI349" s="248"/>
      <c r="AJ349" s="248"/>
      <c r="AK349" s="194"/>
      <c r="AL349" s="249"/>
      <c r="AM349" s="250"/>
      <c r="AN349" s="251"/>
      <c r="AO349" s="252"/>
      <c r="AP349" s="241"/>
      <c r="AQ349" s="241"/>
      <c r="AR349" s="241"/>
      <c r="AS349" s="194"/>
      <c r="AT349" s="195"/>
      <c r="AU349" s="195"/>
    </row>
    <row r="350" spans="1:47">
      <c r="A350" s="253"/>
      <c r="B350" s="230"/>
      <c r="C350" s="245"/>
      <c r="D350" s="230"/>
      <c r="E350" s="230"/>
      <c r="F350" s="230"/>
      <c r="G350" s="228"/>
      <c r="H350" s="230"/>
      <c r="I350" s="230"/>
      <c r="J350" s="246"/>
      <c r="K350" s="230"/>
      <c r="L350" s="230"/>
      <c r="M350" s="230"/>
      <c r="N350" s="230"/>
      <c r="O350" s="230"/>
      <c r="P350" s="256"/>
      <c r="Q350" s="257"/>
      <c r="R350" s="228"/>
      <c r="S350" s="228"/>
      <c r="T350" s="245"/>
      <c r="U350" s="254"/>
      <c r="V350" s="254"/>
      <c r="W350" s="228"/>
      <c r="X350" s="255"/>
      <c r="Y350" s="248"/>
      <c r="Z350" s="248"/>
      <c r="AA350" s="228"/>
      <c r="AB350" s="228"/>
      <c r="AC350" s="228"/>
      <c r="AD350" s="228"/>
      <c r="AE350" s="248"/>
      <c r="AF350" s="247"/>
      <c r="AG350" s="228"/>
      <c r="AH350" s="228"/>
      <c r="AI350" s="248"/>
      <c r="AJ350" s="248"/>
      <c r="AK350" s="194"/>
      <c r="AL350" s="249"/>
      <c r="AM350" s="250"/>
      <c r="AN350" s="251"/>
      <c r="AO350" s="252"/>
      <c r="AP350" s="241"/>
      <c r="AQ350" s="241"/>
      <c r="AR350" s="241"/>
      <c r="AS350" s="194"/>
      <c r="AT350" s="195"/>
      <c r="AU350" s="195"/>
    </row>
    <row r="351" spans="1:47">
      <c r="A351" s="253"/>
      <c r="B351" s="230"/>
      <c r="C351" s="245"/>
      <c r="D351" s="230"/>
      <c r="E351" s="230"/>
      <c r="F351" s="230"/>
      <c r="G351" s="228"/>
      <c r="H351" s="230"/>
      <c r="I351" s="230"/>
      <c r="J351" s="246"/>
      <c r="K351" s="230"/>
      <c r="L351" s="230"/>
      <c r="M351" s="230"/>
      <c r="N351" s="230"/>
      <c r="O351" s="230"/>
      <c r="P351" s="256"/>
      <c r="Q351" s="257"/>
      <c r="R351" s="228"/>
      <c r="S351" s="228"/>
      <c r="T351" s="245"/>
      <c r="U351" s="254"/>
      <c r="V351" s="254"/>
      <c r="W351" s="228"/>
      <c r="X351" s="255"/>
      <c r="Y351" s="248"/>
      <c r="Z351" s="248"/>
      <c r="AA351" s="228"/>
      <c r="AB351" s="228"/>
      <c r="AC351" s="228"/>
      <c r="AD351" s="228"/>
      <c r="AE351" s="248"/>
      <c r="AF351" s="247"/>
      <c r="AG351" s="228"/>
      <c r="AH351" s="228"/>
      <c r="AI351" s="248"/>
      <c r="AJ351" s="248"/>
      <c r="AK351" s="194"/>
      <c r="AL351" s="249"/>
      <c r="AM351" s="250"/>
      <c r="AN351" s="251"/>
      <c r="AO351" s="252"/>
      <c r="AP351" s="241"/>
      <c r="AQ351" s="241"/>
      <c r="AR351" s="241"/>
      <c r="AS351" s="194"/>
      <c r="AT351" s="195"/>
      <c r="AU351" s="195"/>
    </row>
    <row r="352" spans="1:47">
      <c r="A352" s="253"/>
      <c r="B352" s="230"/>
      <c r="C352" s="245"/>
      <c r="D352" s="230"/>
      <c r="E352" s="230"/>
      <c r="F352" s="230"/>
      <c r="G352" s="228"/>
      <c r="H352" s="230"/>
      <c r="I352" s="230"/>
      <c r="J352" s="246"/>
      <c r="K352" s="230"/>
      <c r="L352" s="230"/>
      <c r="M352" s="230"/>
      <c r="N352" s="230"/>
      <c r="O352" s="230"/>
      <c r="P352" s="256"/>
      <c r="Q352" s="257"/>
      <c r="R352" s="228"/>
      <c r="S352" s="228"/>
      <c r="T352" s="245"/>
      <c r="U352" s="254"/>
      <c r="V352" s="254"/>
      <c r="W352" s="228"/>
      <c r="X352" s="255"/>
      <c r="Y352" s="248"/>
      <c r="Z352" s="248"/>
      <c r="AA352" s="228"/>
      <c r="AB352" s="228"/>
      <c r="AC352" s="228"/>
      <c r="AD352" s="228"/>
      <c r="AE352" s="248"/>
      <c r="AF352" s="247"/>
      <c r="AG352" s="228"/>
      <c r="AH352" s="228"/>
      <c r="AI352" s="248"/>
      <c r="AJ352" s="248"/>
      <c r="AK352" s="194"/>
      <c r="AL352" s="249"/>
      <c r="AM352" s="250"/>
      <c r="AN352" s="251"/>
      <c r="AO352" s="252"/>
      <c r="AP352" s="241"/>
      <c r="AQ352" s="241"/>
      <c r="AR352" s="241"/>
      <c r="AS352" s="194"/>
      <c r="AT352" s="195"/>
      <c r="AU352" s="195"/>
    </row>
    <row r="353" spans="1:47">
      <c r="A353" s="253"/>
      <c r="B353" s="230"/>
      <c r="C353" s="245"/>
      <c r="D353" s="230"/>
      <c r="E353" s="230"/>
      <c r="F353" s="230"/>
      <c r="G353" s="228"/>
      <c r="H353" s="230"/>
      <c r="I353" s="230"/>
      <c r="J353" s="246"/>
      <c r="K353" s="230"/>
      <c r="L353" s="230"/>
      <c r="M353" s="230"/>
      <c r="N353" s="230"/>
      <c r="O353" s="230"/>
      <c r="P353" s="256"/>
      <c r="Q353" s="257"/>
      <c r="R353" s="228"/>
      <c r="S353" s="228"/>
      <c r="T353" s="245"/>
      <c r="U353" s="254"/>
      <c r="V353" s="254"/>
      <c r="W353" s="228"/>
      <c r="X353" s="255"/>
      <c r="Y353" s="248"/>
      <c r="Z353" s="248"/>
      <c r="AA353" s="228"/>
      <c r="AB353" s="228"/>
      <c r="AC353" s="228"/>
      <c r="AD353" s="228"/>
      <c r="AE353" s="248"/>
      <c r="AF353" s="247"/>
      <c r="AG353" s="228"/>
      <c r="AH353" s="228"/>
      <c r="AI353" s="248"/>
      <c r="AJ353" s="248"/>
      <c r="AK353" s="194"/>
      <c r="AL353" s="249"/>
      <c r="AM353" s="250"/>
      <c r="AN353" s="251"/>
      <c r="AO353" s="252"/>
      <c r="AP353" s="241"/>
      <c r="AQ353" s="241"/>
      <c r="AR353" s="241"/>
      <c r="AS353" s="194"/>
      <c r="AT353" s="195"/>
      <c r="AU353" s="195"/>
    </row>
    <row r="354" spans="1:47">
      <c r="A354" s="253"/>
      <c r="B354" s="230"/>
      <c r="C354" s="245"/>
      <c r="D354" s="230"/>
      <c r="E354" s="230"/>
      <c r="F354" s="230"/>
      <c r="G354" s="228"/>
      <c r="H354" s="230"/>
      <c r="I354" s="230"/>
      <c r="J354" s="246"/>
      <c r="K354" s="230"/>
      <c r="L354" s="230"/>
      <c r="M354" s="230"/>
      <c r="N354" s="230"/>
      <c r="O354" s="230"/>
      <c r="P354" s="256"/>
      <c r="Q354" s="257"/>
      <c r="R354" s="228"/>
      <c r="S354" s="228"/>
      <c r="T354" s="245"/>
      <c r="U354" s="254"/>
      <c r="V354" s="254"/>
      <c r="W354" s="228"/>
      <c r="X354" s="255"/>
      <c r="Y354" s="248"/>
      <c r="Z354" s="248"/>
      <c r="AA354" s="228"/>
      <c r="AB354" s="228"/>
      <c r="AC354" s="228"/>
      <c r="AD354" s="228"/>
      <c r="AE354" s="248"/>
      <c r="AF354" s="247"/>
      <c r="AG354" s="228"/>
      <c r="AH354" s="228"/>
      <c r="AI354" s="248"/>
      <c r="AJ354" s="248"/>
      <c r="AK354" s="194"/>
      <c r="AL354" s="249"/>
      <c r="AM354" s="250"/>
      <c r="AN354" s="251"/>
      <c r="AO354" s="252"/>
      <c r="AP354" s="241"/>
      <c r="AQ354" s="241"/>
      <c r="AR354" s="241"/>
      <c r="AS354" s="194"/>
      <c r="AT354" s="195"/>
      <c r="AU354" s="195"/>
    </row>
    <row r="355" spans="1:47">
      <c r="A355" s="253"/>
      <c r="B355" s="230"/>
      <c r="C355" s="245"/>
      <c r="D355" s="230"/>
      <c r="E355" s="230"/>
      <c r="F355" s="230"/>
      <c r="G355" s="228"/>
      <c r="H355" s="230"/>
      <c r="I355" s="230"/>
      <c r="J355" s="246"/>
      <c r="K355" s="230"/>
      <c r="L355" s="230"/>
      <c r="M355" s="230"/>
      <c r="N355" s="230"/>
      <c r="O355" s="230"/>
      <c r="P355" s="256"/>
      <c r="Q355" s="257"/>
      <c r="R355" s="228"/>
      <c r="S355" s="228"/>
      <c r="T355" s="245"/>
      <c r="U355" s="254"/>
      <c r="V355" s="254"/>
      <c r="W355" s="228"/>
      <c r="X355" s="255"/>
      <c r="Y355" s="248"/>
      <c r="Z355" s="248"/>
      <c r="AA355" s="228"/>
      <c r="AB355" s="228"/>
      <c r="AC355" s="228"/>
      <c r="AD355" s="228"/>
      <c r="AE355" s="248"/>
      <c r="AF355" s="247"/>
      <c r="AG355" s="228"/>
      <c r="AH355" s="228"/>
      <c r="AI355" s="248"/>
      <c r="AJ355" s="248"/>
      <c r="AK355" s="194"/>
      <c r="AL355" s="249"/>
      <c r="AM355" s="250"/>
      <c r="AN355" s="251"/>
      <c r="AO355" s="252"/>
      <c r="AP355" s="241"/>
      <c r="AQ355" s="241"/>
      <c r="AR355" s="241"/>
      <c r="AS355" s="194"/>
      <c r="AT355" s="195"/>
      <c r="AU355" s="195"/>
    </row>
    <row r="356" spans="1:47">
      <c r="A356" s="253"/>
      <c r="B356" s="230"/>
      <c r="C356" s="245"/>
      <c r="D356" s="230"/>
      <c r="E356" s="230"/>
      <c r="F356" s="230"/>
      <c r="G356" s="228"/>
      <c r="H356" s="230"/>
      <c r="I356" s="230"/>
      <c r="J356" s="246"/>
      <c r="K356" s="230"/>
      <c r="L356" s="230"/>
      <c r="M356" s="230"/>
      <c r="N356" s="230"/>
      <c r="O356" s="230"/>
      <c r="P356" s="256"/>
      <c r="Q356" s="257"/>
      <c r="R356" s="228"/>
      <c r="S356" s="228"/>
      <c r="T356" s="245"/>
      <c r="U356" s="254"/>
      <c r="V356" s="254"/>
      <c r="W356" s="228"/>
      <c r="X356" s="255"/>
      <c r="Y356" s="248"/>
      <c r="Z356" s="248"/>
      <c r="AA356" s="228"/>
      <c r="AB356" s="228"/>
      <c r="AC356" s="228"/>
      <c r="AD356" s="228"/>
      <c r="AE356" s="248"/>
      <c r="AF356" s="247"/>
      <c r="AG356" s="228"/>
      <c r="AH356" s="228"/>
      <c r="AI356" s="248"/>
      <c r="AJ356" s="248"/>
      <c r="AK356" s="194"/>
      <c r="AL356" s="249"/>
      <c r="AM356" s="250"/>
      <c r="AN356" s="251"/>
      <c r="AO356" s="252"/>
      <c r="AP356" s="241"/>
      <c r="AQ356" s="241"/>
      <c r="AR356" s="241"/>
      <c r="AS356" s="194"/>
      <c r="AT356" s="195"/>
      <c r="AU356" s="195"/>
    </row>
    <row r="357" spans="1:47">
      <c r="A357" s="253"/>
      <c r="B357" s="230"/>
      <c r="C357" s="245"/>
      <c r="D357" s="230"/>
      <c r="E357" s="230"/>
      <c r="F357" s="230"/>
      <c r="G357" s="228"/>
      <c r="H357" s="230"/>
      <c r="I357" s="230"/>
      <c r="J357" s="246"/>
      <c r="K357" s="230"/>
      <c r="L357" s="230"/>
      <c r="M357" s="230"/>
      <c r="N357" s="230"/>
      <c r="O357" s="230"/>
      <c r="P357" s="256"/>
      <c r="Q357" s="257"/>
      <c r="R357" s="228"/>
      <c r="S357" s="228"/>
      <c r="T357" s="245"/>
      <c r="U357" s="254"/>
      <c r="V357" s="254"/>
      <c r="W357" s="228"/>
      <c r="X357" s="255"/>
      <c r="Y357" s="248"/>
      <c r="Z357" s="248"/>
      <c r="AA357" s="228"/>
      <c r="AB357" s="228"/>
      <c r="AC357" s="228"/>
      <c r="AD357" s="228"/>
      <c r="AE357" s="248"/>
      <c r="AF357" s="247"/>
      <c r="AG357" s="228"/>
      <c r="AH357" s="228"/>
      <c r="AI357" s="248"/>
      <c r="AJ357" s="248"/>
      <c r="AK357" s="194"/>
      <c r="AL357" s="249"/>
      <c r="AM357" s="250"/>
      <c r="AN357" s="251"/>
      <c r="AO357" s="252"/>
      <c r="AP357" s="241"/>
      <c r="AQ357" s="241"/>
      <c r="AR357" s="241"/>
      <c r="AS357" s="194"/>
      <c r="AT357" s="195"/>
      <c r="AU357" s="195"/>
    </row>
    <row r="358" spans="1:47">
      <c r="A358" s="253"/>
      <c r="B358" s="230"/>
      <c r="C358" s="245"/>
      <c r="D358" s="230"/>
      <c r="E358" s="230"/>
      <c r="F358" s="230"/>
      <c r="G358" s="228"/>
      <c r="H358" s="230"/>
      <c r="I358" s="230"/>
      <c r="J358" s="246"/>
      <c r="K358" s="230"/>
      <c r="L358" s="230"/>
      <c r="M358" s="230"/>
      <c r="N358" s="230"/>
      <c r="O358" s="230"/>
      <c r="P358" s="256"/>
      <c r="Q358" s="257"/>
      <c r="R358" s="228"/>
      <c r="S358" s="228"/>
      <c r="T358" s="245"/>
      <c r="U358" s="254"/>
      <c r="V358" s="254"/>
      <c r="W358" s="228"/>
      <c r="X358" s="255"/>
      <c r="Y358" s="248"/>
      <c r="Z358" s="248"/>
      <c r="AA358" s="228"/>
      <c r="AB358" s="228"/>
      <c r="AC358" s="228"/>
      <c r="AD358" s="228"/>
      <c r="AE358" s="248"/>
      <c r="AF358" s="247"/>
      <c r="AG358" s="228"/>
      <c r="AH358" s="228"/>
      <c r="AI358" s="248"/>
      <c r="AJ358" s="248"/>
      <c r="AK358" s="194"/>
      <c r="AL358" s="249"/>
      <c r="AM358" s="250"/>
      <c r="AN358" s="251"/>
      <c r="AO358" s="252"/>
      <c r="AP358" s="241"/>
      <c r="AQ358" s="241"/>
      <c r="AR358" s="241"/>
      <c r="AS358" s="194"/>
      <c r="AT358" s="195"/>
      <c r="AU358" s="195"/>
    </row>
    <row r="359" spans="1:47">
      <c r="A359" s="253"/>
      <c r="B359" s="230"/>
      <c r="C359" s="245"/>
      <c r="D359" s="230"/>
      <c r="E359" s="230"/>
      <c r="F359" s="230"/>
      <c r="G359" s="228"/>
      <c r="H359" s="230"/>
      <c r="I359" s="230"/>
      <c r="J359" s="246"/>
      <c r="K359" s="230"/>
      <c r="L359" s="230"/>
      <c r="M359" s="230"/>
      <c r="N359" s="230"/>
      <c r="O359" s="230"/>
      <c r="P359" s="256"/>
      <c r="Q359" s="257"/>
      <c r="R359" s="228"/>
      <c r="S359" s="228"/>
      <c r="T359" s="245"/>
      <c r="U359" s="254"/>
      <c r="V359" s="254"/>
      <c r="W359" s="228"/>
      <c r="X359" s="255"/>
      <c r="Y359" s="248"/>
      <c r="Z359" s="248"/>
      <c r="AA359" s="228"/>
      <c r="AB359" s="228"/>
      <c r="AC359" s="228"/>
      <c r="AD359" s="228"/>
      <c r="AE359" s="248"/>
      <c r="AF359" s="247"/>
      <c r="AG359" s="228"/>
      <c r="AH359" s="228"/>
      <c r="AI359" s="248"/>
      <c r="AJ359" s="248"/>
      <c r="AK359" s="194"/>
      <c r="AL359" s="249"/>
      <c r="AM359" s="250"/>
      <c r="AN359" s="251"/>
      <c r="AO359" s="252"/>
      <c r="AP359" s="241"/>
      <c r="AQ359" s="241"/>
      <c r="AR359" s="241"/>
      <c r="AS359" s="194"/>
      <c r="AT359" s="195"/>
      <c r="AU359" s="195"/>
    </row>
    <row r="360" spans="1:47">
      <c r="A360" s="253"/>
      <c r="B360" s="230"/>
      <c r="C360" s="245"/>
      <c r="D360" s="230"/>
      <c r="E360" s="230"/>
      <c r="F360" s="230"/>
      <c r="G360" s="228"/>
      <c r="H360" s="230"/>
      <c r="I360" s="230"/>
      <c r="J360" s="246"/>
      <c r="K360" s="230"/>
      <c r="L360" s="230"/>
      <c r="M360" s="230"/>
      <c r="N360" s="230"/>
      <c r="O360" s="230"/>
      <c r="P360" s="256"/>
      <c r="Q360" s="257"/>
      <c r="R360" s="228"/>
      <c r="S360" s="228"/>
      <c r="T360" s="245"/>
      <c r="U360" s="254"/>
      <c r="V360" s="254"/>
      <c r="W360" s="228"/>
      <c r="X360" s="255"/>
      <c r="Y360" s="248"/>
      <c r="Z360" s="248"/>
      <c r="AA360" s="228"/>
      <c r="AB360" s="228"/>
      <c r="AC360" s="228"/>
      <c r="AD360" s="228"/>
      <c r="AE360" s="248"/>
      <c r="AF360" s="247"/>
      <c r="AG360" s="228"/>
      <c r="AH360" s="228"/>
      <c r="AI360" s="248"/>
      <c r="AJ360" s="248"/>
      <c r="AK360" s="194"/>
      <c r="AL360" s="249"/>
      <c r="AM360" s="250"/>
      <c r="AN360" s="251"/>
      <c r="AO360" s="252"/>
      <c r="AP360" s="241"/>
      <c r="AQ360" s="241"/>
      <c r="AR360" s="241"/>
      <c r="AS360" s="194"/>
      <c r="AT360" s="195"/>
      <c r="AU360" s="195"/>
    </row>
    <row r="361" spans="1:47">
      <c r="A361" s="253"/>
      <c r="B361" s="230"/>
      <c r="C361" s="245"/>
      <c r="D361" s="230"/>
      <c r="E361" s="230"/>
      <c r="F361" s="230"/>
      <c r="G361" s="228"/>
      <c r="H361" s="230"/>
      <c r="I361" s="230"/>
      <c r="J361" s="246"/>
      <c r="K361" s="230"/>
      <c r="L361" s="230"/>
      <c r="M361" s="230"/>
      <c r="N361" s="230"/>
      <c r="O361" s="230"/>
      <c r="P361" s="256"/>
      <c r="Q361" s="257"/>
      <c r="R361" s="228"/>
      <c r="S361" s="228"/>
      <c r="T361" s="245"/>
      <c r="U361" s="254"/>
      <c r="V361" s="254"/>
      <c r="W361" s="228"/>
      <c r="X361" s="255"/>
      <c r="Y361" s="248"/>
      <c r="Z361" s="248"/>
      <c r="AA361" s="228"/>
      <c r="AB361" s="228"/>
      <c r="AC361" s="228"/>
      <c r="AD361" s="228"/>
      <c r="AE361" s="248"/>
      <c r="AF361" s="247"/>
      <c r="AG361" s="228"/>
      <c r="AH361" s="228"/>
      <c r="AI361" s="248"/>
      <c r="AJ361" s="248"/>
      <c r="AK361" s="194"/>
      <c r="AL361" s="249"/>
      <c r="AM361" s="250"/>
      <c r="AN361" s="251"/>
      <c r="AO361" s="252"/>
      <c r="AP361" s="241"/>
      <c r="AQ361" s="241"/>
      <c r="AR361" s="241"/>
      <c r="AS361" s="194"/>
      <c r="AT361" s="195"/>
      <c r="AU361" s="195"/>
    </row>
    <row r="362" spans="1:47">
      <c r="A362" s="253"/>
      <c r="B362" s="230"/>
      <c r="C362" s="245"/>
      <c r="D362" s="230"/>
      <c r="E362" s="230"/>
      <c r="F362" s="230"/>
      <c r="G362" s="228"/>
      <c r="H362" s="230"/>
      <c r="I362" s="230"/>
      <c r="J362" s="246"/>
      <c r="K362" s="230"/>
      <c r="L362" s="230"/>
      <c r="M362" s="230"/>
      <c r="N362" s="230"/>
      <c r="O362" s="230"/>
      <c r="P362" s="256"/>
      <c r="Q362" s="257"/>
      <c r="R362" s="228"/>
      <c r="S362" s="228"/>
      <c r="T362" s="245"/>
      <c r="U362" s="254"/>
      <c r="V362" s="254"/>
      <c r="W362" s="228"/>
      <c r="X362" s="255"/>
      <c r="Y362" s="248"/>
      <c r="Z362" s="248"/>
      <c r="AA362" s="228"/>
      <c r="AB362" s="228"/>
      <c r="AC362" s="228"/>
      <c r="AD362" s="228"/>
      <c r="AE362" s="248"/>
      <c r="AF362" s="247"/>
      <c r="AG362" s="228"/>
      <c r="AH362" s="228"/>
      <c r="AI362" s="248"/>
      <c r="AJ362" s="248"/>
      <c r="AK362" s="194"/>
      <c r="AL362" s="249"/>
      <c r="AM362" s="250"/>
      <c r="AN362" s="251"/>
      <c r="AO362" s="252"/>
      <c r="AP362" s="241"/>
      <c r="AQ362" s="241"/>
      <c r="AR362" s="241"/>
      <c r="AS362" s="194"/>
      <c r="AT362" s="195"/>
      <c r="AU362" s="195"/>
    </row>
    <row r="363" spans="1:47">
      <c r="A363" s="253"/>
      <c r="B363" s="230"/>
      <c r="C363" s="245"/>
      <c r="D363" s="230"/>
      <c r="E363" s="230"/>
      <c r="F363" s="230"/>
      <c r="G363" s="228"/>
      <c r="H363" s="230"/>
      <c r="I363" s="230"/>
      <c r="J363" s="246"/>
      <c r="K363" s="230"/>
      <c r="L363" s="230"/>
      <c r="M363" s="230"/>
      <c r="N363" s="230"/>
      <c r="O363" s="230"/>
      <c r="P363" s="256"/>
      <c r="Q363" s="257"/>
      <c r="R363" s="228"/>
      <c r="S363" s="228"/>
      <c r="T363" s="245"/>
      <c r="U363" s="254"/>
      <c r="V363" s="254"/>
      <c r="W363" s="228"/>
      <c r="X363" s="255"/>
      <c r="Y363" s="248"/>
      <c r="Z363" s="248"/>
      <c r="AA363" s="228"/>
      <c r="AB363" s="228"/>
      <c r="AC363" s="228"/>
      <c r="AD363" s="228"/>
      <c r="AE363" s="248"/>
      <c r="AF363" s="247"/>
      <c r="AG363" s="228"/>
      <c r="AH363" s="228"/>
      <c r="AI363" s="248"/>
      <c r="AJ363" s="248"/>
      <c r="AK363" s="194"/>
      <c r="AL363" s="249"/>
      <c r="AM363" s="250"/>
      <c r="AN363" s="251"/>
      <c r="AO363" s="252"/>
      <c r="AP363" s="241"/>
      <c r="AQ363" s="241"/>
      <c r="AR363" s="241"/>
      <c r="AS363" s="194"/>
      <c r="AT363" s="195"/>
      <c r="AU363" s="195"/>
    </row>
    <row r="364" spans="1:47">
      <c r="A364" s="253"/>
      <c r="B364" s="230"/>
      <c r="C364" s="245"/>
      <c r="D364" s="230"/>
      <c r="E364" s="230"/>
      <c r="F364" s="230"/>
      <c r="G364" s="228"/>
      <c r="H364" s="230"/>
      <c r="I364" s="230"/>
      <c r="J364" s="246"/>
      <c r="K364" s="230"/>
      <c r="L364" s="230"/>
      <c r="M364" s="230"/>
      <c r="N364" s="230"/>
      <c r="O364" s="230"/>
      <c r="P364" s="256"/>
      <c r="Q364" s="257"/>
      <c r="R364" s="228"/>
      <c r="S364" s="228"/>
      <c r="T364" s="245"/>
      <c r="U364" s="254"/>
      <c r="V364" s="254"/>
      <c r="W364" s="228"/>
      <c r="X364" s="255"/>
      <c r="Y364" s="248"/>
      <c r="Z364" s="248"/>
      <c r="AA364" s="228"/>
      <c r="AB364" s="228"/>
      <c r="AC364" s="228"/>
      <c r="AD364" s="228"/>
      <c r="AE364" s="248"/>
      <c r="AF364" s="247"/>
      <c r="AG364" s="228"/>
      <c r="AH364" s="228"/>
      <c r="AI364" s="248"/>
      <c r="AJ364" s="248"/>
      <c r="AK364" s="194"/>
      <c r="AL364" s="249"/>
      <c r="AM364" s="250"/>
      <c r="AN364" s="251"/>
      <c r="AO364" s="252"/>
      <c r="AP364" s="241"/>
      <c r="AQ364" s="241"/>
      <c r="AR364" s="241"/>
      <c r="AS364" s="194"/>
      <c r="AT364" s="195"/>
      <c r="AU364" s="195"/>
    </row>
    <row r="365" spans="1:47">
      <c r="A365" s="253"/>
      <c r="B365" s="230"/>
      <c r="C365" s="245"/>
      <c r="D365" s="230"/>
      <c r="E365" s="230"/>
      <c r="F365" s="230"/>
      <c r="G365" s="228"/>
      <c r="H365" s="230"/>
      <c r="I365" s="230"/>
      <c r="J365" s="246"/>
      <c r="K365" s="230"/>
      <c r="L365" s="230"/>
      <c r="M365" s="230"/>
      <c r="N365" s="230"/>
      <c r="O365" s="230"/>
      <c r="P365" s="256"/>
      <c r="Q365" s="257"/>
      <c r="R365" s="228"/>
      <c r="S365" s="228"/>
      <c r="T365" s="258"/>
      <c r="U365" s="254"/>
      <c r="V365" s="254"/>
      <c r="W365" s="228"/>
      <c r="X365" s="255"/>
      <c r="Y365" s="248"/>
      <c r="Z365" s="248"/>
      <c r="AA365" s="228"/>
      <c r="AB365" s="228"/>
      <c r="AC365" s="228"/>
      <c r="AD365" s="228"/>
      <c r="AE365" s="248"/>
      <c r="AF365" s="247"/>
      <c r="AG365" s="228"/>
      <c r="AH365" s="228"/>
      <c r="AI365" s="248"/>
      <c r="AJ365" s="248"/>
      <c r="AK365" s="194"/>
      <c r="AL365" s="249"/>
      <c r="AM365" s="250"/>
      <c r="AN365" s="251"/>
      <c r="AO365" s="252"/>
      <c r="AP365" s="241"/>
      <c r="AQ365" s="241"/>
      <c r="AR365" s="241"/>
      <c r="AS365" s="194"/>
      <c r="AT365" s="195"/>
      <c r="AU365" s="195"/>
    </row>
    <row r="366" spans="1:47">
      <c r="A366" s="253"/>
      <c r="B366" s="230"/>
      <c r="C366" s="245"/>
      <c r="D366" s="230"/>
      <c r="E366" s="230"/>
      <c r="F366" s="230"/>
      <c r="G366" s="228"/>
      <c r="H366" s="230"/>
      <c r="I366" s="230"/>
      <c r="J366" s="246"/>
      <c r="K366" s="230"/>
      <c r="L366" s="230"/>
      <c r="M366" s="230"/>
      <c r="N366" s="230"/>
      <c r="O366" s="230"/>
      <c r="P366" s="256"/>
      <c r="Q366" s="257"/>
      <c r="R366" s="228"/>
      <c r="S366" s="228"/>
      <c r="T366" s="258"/>
      <c r="U366" s="254"/>
      <c r="V366" s="254"/>
      <c r="W366" s="228"/>
      <c r="X366" s="255"/>
      <c r="Y366" s="248"/>
      <c r="Z366" s="248"/>
      <c r="AA366" s="228"/>
      <c r="AB366" s="228"/>
      <c r="AC366" s="228"/>
      <c r="AD366" s="228"/>
      <c r="AE366" s="248"/>
      <c r="AF366" s="247"/>
      <c r="AG366" s="228"/>
      <c r="AH366" s="228"/>
      <c r="AI366" s="248"/>
      <c r="AJ366" s="248"/>
      <c r="AK366" s="194"/>
      <c r="AL366" s="249"/>
      <c r="AM366" s="250"/>
      <c r="AN366" s="251"/>
      <c r="AO366" s="252"/>
      <c r="AP366" s="241"/>
      <c r="AQ366" s="241"/>
      <c r="AR366" s="241"/>
      <c r="AS366" s="194"/>
      <c r="AT366" s="195"/>
      <c r="AU366" s="195"/>
    </row>
    <row r="367" spans="1:47">
      <c r="A367" s="253"/>
      <c r="B367" s="230"/>
      <c r="C367" s="245"/>
      <c r="D367" s="230"/>
      <c r="E367" s="230"/>
      <c r="F367" s="230"/>
      <c r="G367" s="228"/>
      <c r="H367" s="230"/>
      <c r="I367" s="230"/>
      <c r="J367" s="246"/>
      <c r="K367" s="230"/>
      <c r="L367" s="230"/>
      <c r="M367" s="230"/>
      <c r="N367" s="230"/>
      <c r="O367" s="230"/>
      <c r="P367" s="256"/>
      <c r="Q367" s="257"/>
      <c r="R367" s="228"/>
      <c r="S367" s="228"/>
      <c r="T367" s="258"/>
      <c r="U367" s="254"/>
      <c r="V367" s="254"/>
      <c r="W367" s="228"/>
      <c r="X367" s="255"/>
      <c r="Y367" s="248"/>
      <c r="Z367" s="248"/>
      <c r="AA367" s="228"/>
      <c r="AB367" s="228"/>
      <c r="AC367" s="228"/>
      <c r="AD367" s="228"/>
      <c r="AE367" s="248"/>
      <c r="AF367" s="247"/>
      <c r="AG367" s="228"/>
      <c r="AH367" s="228"/>
      <c r="AI367" s="248"/>
      <c r="AJ367" s="248"/>
      <c r="AK367" s="194"/>
      <c r="AL367" s="249"/>
      <c r="AM367" s="250"/>
      <c r="AN367" s="251"/>
      <c r="AO367" s="252"/>
      <c r="AP367" s="241"/>
      <c r="AQ367" s="241"/>
      <c r="AR367" s="241"/>
      <c r="AS367" s="194"/>
      <c r="AT367" s="195"/>
      <c r="AU367" s="195"/>
    </row>
    <row r="368" spans="1:47">
      <c r="A368" s="253"/>
      <c r="B368" s="230"/>
      <c r="C368" s="245"/>
      <c r="D368" s="230"/>
      <c r="E368" s="230"/>
      <c r="F368" s="230"/>
      <c r="G368" s="228"/>
      <c r="H368" s="230"/>
      <c r="I368" s="230"/>
      <c r="J368" s="246"/>
      <c r="K368" s="230"/>
      <c r="L368" s="230"/>
      <c r="M368" s="230"/>
      <c r="N368" s="230"/>
      <c r="O368" s="230"/>
      <c r="P368" s="256"/>
      <c r="Q368" s="257"/>
      <c r="R368" s="228"/>
      <c r="S368" s="228"/>
      <c r="T368" s="258"/>
      <c r="U368" s="254"/>
      <c r="V368" s="254"/>
      <c r="W368" s="228"/>
      <c r="X368" s="255"/>
      <c r="Y368" s="248"/>
      <c r="Z368" s="248"/>
      <c r="AA368" s="228"/>
      <c r="AB368" s="228"/>
      <c r="AC368" s="228"/>
      <c r="AD368" s="228"/>
      <c r="AE368" s="248"/>
      <c r="AF368" s="247"/>
      <c r="AG368" s="228"/>
      <c r="AH368" s="228"/>
      <c r="AI368" s="248"/>
      <c r="AJ368" s="248"/>
      <c r="AK368" s="194"/>
      <c r="AL368" s="249"/>
      <c r="AM368" s="250"/>
      <c r="AN368" s="251"/>
      <c r="AO368" s="252"/>
      <c r="AP368" s="241"/>
      <c r="AQ368" s="241"/>
      <c r="AR368" s="241"/>
      <c r="AS368" s="194"/>
      <c r="AT368" s="195"/>
      <c r="AU368" s="195"/>
    </row>
    <row r="369" spans="1:47">
      <c r="A369" s="253"/>
      <c r="B369" s="230"/>
      <c r="C369" s="245"/>
      <c r="D369" s="230"/>
      <c r="E369" s="230"/>
      <c r="F369" s="230"/>
      <c r="G369" s="228"/>
      <c r="H369" s="230"/>
      <c r="I369" s="230"/>
      <c r="J369" s="246"/>
      <c r="K369" s="230"/>
      <c r="L369" s="230"/>
      <c r="M369" s="230"/>
      <c r="N369" s="230"/>
      <c r="O369" s="230"/>
      <c r="P369" s="256"/>
      <c r="Q369" s="257"/>
      <c r="R369" s="228"/>
      <c r="S369" s="228"/>
      <c r="T369" s="258"/>
      <c r="U369" s="254"/>
      <c r="V369" s="254"/>
      <c r="W369" s="228"/>
      <c r="X369" s="255"/>
      <c r="Y369" s="248"/>
      <c r="Z369" s="248"/>
      <c r="AA369" s="228"/>
      <c r="AB369" s="228"/>
      <c r="AC369" s="228"/>
      <c r="AD369" s="228"/>
      <c r="AE369" s="248"/>
      <c r="AF369" s="247"/>
      <c r="AG369" s="228"/>
      <c r="AH369" s="228"/>
      <c r="AI369" s="248"/>
      <c r="AJ369" s="248"/>
      <c r="AK369" s="194"/>
      <c r="AL369" s="249"/>
      <c r="AM369" s="250"/>
      <c r="AN369" s="251"/>
      <c r="AO369" s="252"/>
      <c r="AP369" s="241"/>
      <c r="AQ369" s="241"/>
      <c r="AR369" s="241"/>
      <c r="AS369" s="194"/>
      <c r="AT369" s="195"/>
      <c r="AU369" s="195"/>
    </row>
    <row r="370" spans="1:47">
      <c r="A370" s="253"/>
      <c r="B370" s="230"/>
      <c r="C370" s="245"/>
      <c r="D370" s="230"/>
      <c r="E370" s="230"/>
      <c r="F370" s="230"/>
      <c r="G370" s="228"/>
      <c r="H370" s="230"/>
      <c r="I370" s="230"/>
      <c r="J370" s="246"/>
      <c r="K370" s="230"/>
      <c r="L370" s="230"/>
      <c r="M370" s="230"/>
      <c r="N370" s="230"/>
      <c r="O370" s="230"/>
      <c r="P370" s="256"/>
      <c r="Q370" s="257"/>
      <c r="R370" s="228"/>
      <c r="S370" s="228"/>
      <c r="T370" s="258"/>
      <c r="U370" s="254"/>
      <c r="V370" s="254"/>
      <c r="W370" s="228"/>
      <c r="X370" s="255"/>
      <c r="Y370" s="248"/>
      <c r="Z370" s="248"/>
      <c r="AA370" s="228"/>
      <c r="AB370" s="228"/>
      <c r="AC370" s="228"/>
      <c r="AD370" s="228"/>
      <c r="AE370" s="248"/>
      <c r="AF370" s="247"/>
      <c r="AG370" s="228"/>
      <c r="AH370" s="228"/>
      <c r="AI370" s="248"/>
      <c r="AJ370" s="248"/>
      <c r="AK370" s="194"/>
      <c r="AL370" s="249"/>
      <c r="AM370" s="250"/>
      <c r="AN370" s="251"/>
      <c r="AO370" s="252"/>
      <c r="AP370" s="241"/>
      <c r="AQ370" s="241"/>
      <c r="AR370" s="241"/>
      <c r="AS370" s="194"/>
      <c r="AT370" s="195"/>
      <c r="AU370" s="195"/>
    </row>
    <row r="371" spans="1:47">
      <c r="A371" s="253"/>
      <c r="B371" s="230"/>
      <c r="C371" s="245"/>
      <c r="D371" s="230"/>
      <c r="E371" s="230"/>
      <c r="F371" s="230"/>
      <c r="G371" s="228"/>
      <c r="H371" s="230"/>
      <c r="I371" s="230"/>
      <c r="J371" s="246"/>
      <c r="K371" s="230"/>
      <c r="L371" s="230"/>
      <c r="M371" s="230"/>
      <c r="N371" s="230"/>
      <c r="O371" s="230"/>
      <c r="P371" s="256"/>
      <c r="Q371" s="257"/>
      <c r="R371" s="228"/>
      <c r="S371" s="228"/>
      <c r="T371" s="258"/>
      <c r="U371" s="254"/>
      <c r="V371" s="254"/>
      <c r="W371" s="228"/>
      <c r="X371" s="255"/>
      <c r="Y371" s="248"/>
      <c r="Z371" s="248"/>
      <c r="AA371" s="228"/>
      <c r="AB371" s="228"/>
      <c r="AC371" s="228"/>
      <c r="AD371" s="228"/>
      <c r="AE371" s="248"/>
      <c r="AF371" s="247"/>
      <c r="AG371" s="228"/>
      <c r="AH371" s="228"/>
      <c r="AI371" s="248"/>
      <c r="AJ371" s="248"/>
      <c r="AK371" s="194"/>
      <c r="AL371" s="249"/>
      <c r="AM371" s="250"/>
      <c r="AN371" s="251"/>
      <c r="AO371" s="252"/>
      <c r="AP371" s="241"/>
      <c r="AQ371" s="241"/>
      <c r="AR371" s="241"/>
      <c r="AS371" s="194"/>
      <c r="AT371" s="195"/>
      <c r="AU371" s="195"/>
    </row>
    <row r="372" spans="1:47">
      <c r="A372" s="253"/>
      <c r="B372" s="230"/>
      <c r="C372" s="245"/>
      <c r="D372" s="230"/>
      <c r="E372" s="230"/>
      <c r="F372" s="230"/>
      <c r="G372" s="228"/>
      <c r="H372" s="230"/>
      <c r="I372" s="230"/>
      <c r="J372" s="246"/>
      <c r="K372" s="230"/>
      <c r="L372" s="230"/>
      <c r="M372" s="230"/>
      <c r="N372" s="230"/>
      <c r="O372" s="230"/>
      <c r="P372" s="256"/>
      <c r="Q372" s="257"/>
      <c r="R372" s="228"/>
      <c r="S372" s="228"/>
      <c r="T372" s="258"/>
      <c r="U372" s="254"/>
      <c r="V372" s="254"/>
      <c r="W372" s="228"/>
      <c r="X372" s="255"/>
      <c r="Y372" s="248"/>
      <c r="Z372" s="248"/>
      <c r="AA372" s="228"/>
      <c r="AB372" s="228"/>
      <c r="AC372" s="228"/>
      <c r="AD372" s="228"/>
      <c r="AE372" s="248"/>
      <c r="AF372" s="247"/>
      <c r="AG372" s="228"/>
      <c r="AH372" s="228"/>
      <c r="AI372" s="248"/>
      <c r="AJ372" s="248"/>
      <c r="AK372" s="194"/>
      <c r="AL372" s="249"/>
      <c r="AM372" s="250"/>
      <c r="AN372" s="251"/>
      <c r="AO372" s="252"/>
      <c r="AP372" s="241"/>
      <c r="AQ372" s="241"/>
      <c r="AR372" s="241"/>
      <c r="AS372" s="194"/>
      <c r="AT372" s="195"/>
      <c r="AU372" s="195"/>
    </row>
    <row r="373" spans="1:47">
      <c r="A373" s="253"/>
      <c r="B373" s="230"/>
      <c r="C373" s="245"/>
      <c r="D373" s="230"/>
      <c r="E373" s="230"/>
      <c r="F373" s="230"/>
      <c r="G373" s="228"/>
      <c r="H373" s="230"/>
      <c r="I373" s="230"/>
      <c r="J373" s="246"/>
      <c r="K373" s="230"/>
      <c r="L373" s="230"/>
      <c r="M373" s="230"/>
      <c r="N373" s="230"/>
      <c r="O373" s="230"/>
      <c r="P373" s="256"/>
      <c r="Q373" s="257"/>
      <c r="R373" s="228"/>
      <c r="S373" s="228"/>
      <c r="T373" s="258"/>
      <c r="U373" s="254"/>
      <c r="V373" s="254"/>
      <c r="W373" s="228"/>
      <c r="X373" s="255"/>
      <c r="Y373" s="248"/>
      <c r="Z373" s="248"/>
      <c r="AA373" s="228"/>
      <c r="AB373" s="228"/>
      <c r="AC373" s="228"/>
      <c r="AD373" s="228"/>
      <c r="AE373" s="248"/>
      <c r="AF373" s="247"/>
      <c r="AG373" s="228"/>
      <c r="AH373" s="228"/>
      <c r="AI373" s="248"/>
      <c r="AJ373" s="248"/>
      <c r="AK373" s="194"/>
      <c r="AL373" s="249"/>
      <c r="AM373" s="250"/>
      <c r="AN373" s="251"/>
      <c r="AO373" s="252"/>
      <c r="AP373" s="241"/>
      <c r="AQ373" s="241"/>
      <c r="AR373" s="241"/>
      <c r="AS373" s="194"/>
      <c r="AT373" s="195"/>
      <c r="AU373" s="195"/>
    </row>
    <row r="374" spans="1:47">
      <c r="A374" s="253"/>
      <c r="B374" s="230"/>
      <c r="C374" s="245"/>
      <c r="D374" s="230"/>
      <c r="E374" s="230"/>
      <c r="F374" s="230"/>
      <c r="G374" s="228"/>
      <c r="H374" s="230"/>
      <c r="I374" s="230"/>
      <c r="J374" s="246"/>
      <c r="K374" s="230"/>
      <c r="L374" s="230"/>
      <c r="M374" s="230"/>
      <c r="N374" s="230"/>
      <c r="O374" s="230"/>
      <c r="P374" s="256"/>
      <c r="Q374" s="257"/>
      <c r="R374" s="228"/>
      <c r="S374" s="228"/>
      <c r="T374" s="258"/>
      <c r="U374" s="254"/>
      <c r="V374" s="254"/>
      <c r="W374" s="228"/>
      <c r="X374" s="255"/>
      <c r="Y374" s="248"/>
      <c r="Z374" s="248"/>
      <c r="AA374" s="228"/>
      <c r="AB374" s="228"/>
      <c r="AC374" s="228"/>
      <c r="AD374" s="228"/>
      <c r="AE374" s="248"/>
      <c r="AF374" s="247"/>
      <c r="AG374" s="228"/>
      <c r="AH374" s="228"/>
      <c r="AI374" s="248"/>
      <c r="AJ374" s="248"/>
      <c r="AK374" s="194"/>
      <c r="AL374" s="249"/>
      <c r="AM374" s="250"/>
      <c r="AN374" s="251"/>
      <c r="AO374" s="252"/>
      <c r="AP374" s="241"/>
      <c r="AQ374" s="241"/>
      <c r="AR374" s="241"/>
      <c r="AS374" s="194"/>
      <c r="AT374" s="195"/>
      <c r="AU374" s="195"/>
    </row>
    <row r="375" spans="1:47">
      <c r="A375" s="253"/>
      <c r="B375" s="230"/>
      <c r="C375" s="245"/>
      <c r="D375" s="230"/>
      <c r="E375" s="230"/>
      <c r="F375" s="230"/>
      <c r="G375" s="228"/>
      <c r="H375" s="230"/>
      <c r="I375" s="230"/>
      <c r="J375" s="246"/>
      <c r="K375" s="230"/>
      <c r="L375" s="230"/>
      <c r="M375" s="230"/>
      <c r="N375" s="230"/>
      <c r="O375" s="230"/>
      <c r="P375" s="256"/>
      <c r="Q375" s="257"/>
      <c r="R375" s="228"/>
      <c r="S375" s="228"/>
      <c r="T375" s="258"/>
      <c r="U375" s="254"/>
      <c r="V375" s="254"/>
      <c r="W375" s="228"/>
      <c r="X375" s="255"/>
      <c r="Y375" s="248"/>
      <c r="Z375" s="248"/>
      <c r="AA375" s="228"/>
      <c r="AB375" s="228"/>
      <c r="AC375" s="228"/>
      <c r="AD375" s="228"/>
      <c r="AE375" s="248"/>
      <c r="AF375" s="247"/>
      <c r="AG375" s="228"/>
      <c r="AH375" s="228"/>
      <c r="AI375" s="248"/>
      <c r="AJ375" s="248"/>
      <c r="AK375" s="194"/>
      <c r="AL375" s="249"/>
      <c r="AM375" s="250"/>
      <c r="AN375" s="251"/>
      <c r="AO375" s="252"/>
      <c r="AP375" s="241"/>
      <c r="AQ375" s="241"/>
      <c r="AR375" s="241"/>
      <c r="AS375" s="194"/>
      <c r="AT375" s="195"/>
      <c r="AU375" s="195"/>
    </row>
    <row r="376" spans="1:47">
      <c r="A376" s="253"/>
      <c r="B376" s="230"/>
      <c r="C376" s="245"/>
      <c r="D376" s="230"/>
      <c r="E376" s="230"/>
      <c r="F376" s="230"/>
      <c r="G376" s="228"/>
      <c r="H376" s="230"/>
      <c r="I376" s="230"/>
      <c r="J376" s="246"/>
      <c r="K376" s="230"/>
      <c r="L376" s="230"/>
      <c r="M376" s="230"/>
      <c r="N376" s="230"/>
      <c r="O376" s="230"/>
      <c r="P376" s="256"/>
      <c r="Q376" s="257"/>
      <c r="R376" s="228"/>
      <c r="S376" s="228"/>
      <c r="T376" s="258"/>
      <c r="U376" s="254"/>
      <c r="V376" s="254"/>
      <c r="W376" s="228"/>
      <c r="X376" s="255"/>
      <c r="Y376" s="248"/>
      <c r="Z376" s="248"/>
      <c r="AA376" s="228"/>
      <c r="AB376" s="228"/>
      <c r="AC376" s="228"/>
      <c r="AD376" s="228"/>
      <c r="AE376" s="248"/>
      <c r="AF376" s="247"/>
      <c r="AG376" s="228"/>
      <c r="AH376" s="228"/>
      <c r="AI376" s="248"/>
      <c r="AJ376" s="248"/>
      <c r="AK376" s="194"/>
      <c r="AL376" s="249"/>
      <c r="AM376" s="250"/>
      <c r="AN376" s="251"/>
      <c r="AO376" s="252"/>
      <c r="AP376" s="241"/>
      <c r="AQ376" s="241"/>
      <c r="AR376" s="241"/>
      <c r="AS376" s="194"/>
      <c r="AT376" s="195"/>
      <c r="AU376" s="195"/>
    </row>
    <row r="377" spans="1:47">
      <c r="A377" s="253"/>
      <c r="B377" s="230"/>
      <c r="C377" s="245"/>
      <c r="D377" s="230"/>
      <c r="E377" s="230"/>
      <c r="F377" s="230"/>
      <c r="G377" s="228"/>
      <c r="H377" s="230"/>
      <c r="I377" s="230"/>
      <c r="J377" s="246"/>
      <c r="K377" s="230"/>
      <c r="L377" s="230"/>
      <c r="M377" s="230"/>
      <c r="N377" s="230"/>
      <c r="O377" s="230"/>
      <c r="P377" s="256"/>
      <c r="Q377" s="257"/>
      <c r="R377" s="228"/>
      <c r="S377" s="228"/>
      <c r="T377" s="258"/>
      <c r="U377" s="254"/>
      <c r="V377" s="254"/>
      <c r="W377" s="228"/>
      <c r="X377" s="255"/>
      <c r="Y377" s="248"/>
      <c r="Z377" s="248"/>
      <c r="AA377" s="228"/>
      <c r="AB377" s="228"/>
      <c r="AC377" s="228"/>
      <c r="AD377" s="228"/>
      <c r="AE377" s="248"/>
      <c r="AF377" s="247"/>
      <c r="AG377" s="228"/>
      <c r="AH377" s="228"/>
      <c r="AI377" s="248"/>
      <c r="AJ377" s="248"/>
      <c r="AK377" s="194"/>
      <c r="AL377" s="249"/>
      <c r="AM377" s="250"/>
      <c r="AN377" s="251"/>
      <c r="AO377" s="252"/>
      <c r="AP377" s="241"/>
      <c r="AQ377" s="241"/>
      <c r="AR377" s="241"/>
      <c r="AS377" s="194"/>
      <c r="AT377" s="195"/>
      <c r="AU377" s="195"/>
    </row>
    <row r="378" spans="1:47">
      <c r="A378" s="253"/>
      <c r="B378" s="230"/>
      <c r="C378" s="245"/>
      <c r="D378" s="230"/>
      <c r="E378" s="230"/>
      <c r="F378" s="230"/>
      <c r="G378" s="228"/>
      <c r="H378" s="230"/>
      <c r="I378" s="230"/>
      <c r="J378" s="246"/>
      <c r="K378" s="230"/>
      <c r="L378" s="230"/>
      <c r="M378" s="230"/>
      <c r="N378" s="230"/>
      <c r="O378" s="230"/>
      <c r="P378" s="256"/>
      <c r="Q378" s="257"/>
      <c r="R378" s="228"/>
      <c r="S378" s="228"/>
      <c r="T378" s="258"/>
      <c r="U378" s="254"/>
      <c r="V378" s="254"/>
      <c r="W378" s="228"/>
      <c r="X378" s="255"/>
      <c r="Y378" s="248"/>
      <c r="Z378" s="248"/>
      <c r="AA378" s="228"/>
      <c r="AB378" s="228"/>
      <c r="AC378" s="228"/>
      <c r="AD378" s="228"/>
      <c r="AE378" s="248"/>
      <c r="AF378" s="247"/>
      <c r="AG378" s="228"/>
      <c r="AH378" s="228"/>
      <c r="AI378" s="248"/>
      <c r="AJ378" s="248"/>
      <c r="AK378" s="194"/>
      <c r="AL378" s="249"/>
      <c r="AM378" s="250"/>
      <c r="AN378" s="251"/>
      <c r="AO378" s="252"/>
      <c r="AP378" s="241"/>
      <c r="AQ378" s="241"/>
      <c r="AR378" s="241"/>
      <c r="AS378" s="194"/>
      <c r="AT378" s="195"/>
      <c r="AU378" s="195"/>
    </row>
    <row r="379" spans="1:47">
      <c r="A379" s="253"/>
      <c r="B379" s="230"/>
      <c r="C379" s="245"/>
      <c r="D379" s="230"/>
      <c r="E379" s="230"/>
      <c r="F379" s="230"/>
      <c r="G379" s="228"/>
      <c r="H379" s="230"/>
      <c r="I379" s="230"/>
      <c r="J379" s="246"/>
      <c r="K379" s="230"/>
      <c r="L379" s="230"/>
      <c r="M379" s="230"/>
      <c r="N379" s="230"/>
      <c r="O379" s="230"/>
      <c r="P379" s="256"/>
      <c r="Q379" s="257"/>
      <c r="R379" s="228"/>
      <c r="S379" s="228"/>
      <c r="T379" s="258"/>
      <c r="U379" s="254"/>
      <c r="V379" s="254"/>
      <c r="W379" s="228"/>
      <c r="X379" s="255"/>
      <c r="Y379" s="248"/>
      <c r="Z379" s="248"/>
      <c r="AA379" s="228"/>
      <c r="AB379" s="228"/>
      <c r="AC379" s="228"/>
      <c r="AD379" s="228"/>
      <c r="AE379" s="248"/>
      <c r="AF379" s="247"/>
      <c r="AG379" s="228"/>
      <c r="AH379" s="228"/>
      <c r="AI379" s="248"/>
      <c r="AJ379" s="248"/>
      <c r="AK379" s="194"/>
      <c r="AL379" s="249"/>
      <c r="AM379" s="250"/>
      <c r="AN379" s="251"/>
      <c r="AO379" s="252"/>
      <c r="AP379" s="241"/>
      <c r="AQ379" s="241"/>
      <c r="AR379" s="241"/>
      <c r="AS379" s="194"/>
      <c r="AT379" s="195"/>
      <c r="AU379" s="195"/>
    </row>
    <row r="380" spans="1:47">
      <c r="A380" s="253"/>
      <c r="B380" s="230"/>
      <c r="C380" s="245"/>
      <c r="D380" s="230"/>
      <c r="E380" s="230"/>
      <c r="F380" s="230"/>
      <c r="G380" s="228"/>
      <c r="H380" s="230"/>
      <c r="I380" s="230"/>
      <c r="J380" s="246"/>
      <c r="K380" s="230"/>
      <c r="L380" s="230"/>
      <c r="M380" s="230"/>
      <c r="N380" s="230"/>
      <c r="O380" s="230"/>
      <c r="P380" s="256"/>
      <c r="Q380" s="257"/>
      <c r="R380" s="228"/>
      <c r="S380" s="228"/>
      <c r="T380" s="258"/>
      <c r="U380" s="254"/>
      <c r="V380" s="254"/>
      <c r="W380" s="228"/>
      <c r="X380" s="255"/>
      <c r="Y380" s="248"/>
      <c r="Z380" s="248"/>
      <c r="AA380" s="228"/>
      <c r="AB380" s="228"/>
      <c r="AC380" s="228"/>
      <c r="AD380" s="228"/>
      <c r="AE380" s="248"/>
      <c r="AF380" s="247"/>
      <c r="AG380" s="228"/>
      <c r="AH380" s="228"/>
      <c r="AI380" s="248"/>
      <c r="AJ380" s="248"/>
      <c r="AK380" s="194"/>
      <c r="AL380" s="249"/>
      <c r="AM380" s="250"/>
      <c r="AN380" s="251"/>
      <c r="AO380" s="252"/>
      <c r="AP380" s="241"/>
      <c r="AQ380" s="241"/>
      <c r="AR380" s="241"/>
      <c r="AS380" s="194"/>
      <c r="AT380" s="195"/>
      <c r="AU380" s="195"/>
    </row>
    <row r="381" spans="1:47">
      <c r="A381" s="253"/>
      <c r="B381" s="230"/>
      <c r="C381" s="245"/>
      <c r="D381" s="230"/>
      <c r="E381" s="230"/>
      <c r="F381" s="230"/>
      <c r="G381" s="228"/>
      <c r="H381" s="230"/>
      <c r="I381" s="230"/>
      <c r="J381" s="246"/>
      <c r="K381" s="230"/>
      <c r="L381" s="230"/>
      <c r="M381" s="230"/>
      <c r="N381" s="230"/>
      <c r="O381" s="230"/>
      <c r="P381" s="256"/>
      <c r="Q381" s="257"/>
      <c r="R381" s="228"/>
      <c r="S381" s="228"/>
      <c r="T381" s="258"/>
      <c r="U381" s="254"/>
      <c r="V381" s="254"/>
      <c r="W381" s="228"/>
      <c r="X381" s="255"/>
      <c r="Y381" s="248"/>
      <c r="Z381" s="248"/>
      <c r="AA381" s="228"/>
      <c r="AB381" s="228"/>
      <c r="AC381" s="228"/>
      <c r="AD381" s="228"/>
      <c r="AE381" s="248"/>
      <c r="AF381" s="247"/>
      <c r="AG381" s="228"/>
      <c r="AH381" s="228"/>
      <c r="AI381" s="248"/>
      <c r="AJ381" s="248"/>
      <c r="AK381" s="194"/>
      <c r="AL381" s="249"/>
      <c r="AM381" s="250"/>
      <c r="AN381" s="251"/>
      <c r="AO381" s="252"/>
      <c r="AP381" s="241"/>
      <c r="AQ381" s="241"/>
      <c r="AR381" s="241"/>
      <c r="AS381" s="194"/>
      <c r="AT381" s="195"/>
      <c r="AU381" s="195"/>
    </row>
    <row r="382" spans="1:47">
      <c r="A382" s="253"/>
      <c r="B382" s="230"/>
      <c r="C382" s="245"/>
      <c r="D382" s="230"/>
      <c r="E382" s="230"/>
      <c r="F382" s="230"/>
      <c r="G382" s="228"/>
      <c r="H382" s="230"/>
      <c r="I382" s="230"/>
      <c r="J382" s="246"/>
      <c r="K382" s="230"/>
      <c r="L382" s="230"/>
      <c r="M382" s="230"/>
      <c r="N382" s="230"/>
      <c r="O382" s="230"/>
      <c r="P382" s="256"/>
      <c r="Q382" s="257"/>
      <c r="R382" s="228"/>
      <c r="S382" s="228"/>
      <c r="T382" s="258"/>
      <c r="U382" s="254"/>
      <c r="V382" s="254"/>
      <c r="W382" s="228"/>
      <c r="X382" s="255"/>
      <c r="Y382" s="248"/>
      <c r="Z382" s="248"/>
      <c r="AA382" s="228"/>
      <c r="AB382" s="228"/>
      <c r="AC382" s="228"/>
      <c r="AD382" s="228"/>
      <c r="AE382" s="248"/>
      <c r="AF382" s="247"/>
      <c r="AG382" s="228"/>
      <c r="AH382" s="228"/>
      <c r="AI382" s="248"/>
      <c r="AJ382" s="248"/>
      <c r="AK382" s="194"/>
      <c r="AL382" s="249"/>
      <c r="AM382" s="250"/>
      <c r="AN382" s="251"/>
      <c r="AO382" s="252"/>
      <c r="AP382" s="241"/>
      <c r="AQ382" s="241"/>
      <c r="AR382" s="241"/>
      <c r="AS382" s="194"/>
      <c r="AT382" s="195"/>
      <c r="AU382" s="195"/>
    </row>
    <row r="383" spans="1:47">
      <c r="A383" s="253"/>
      <c r="B383" s="230"/>
      <c r="C383" s="245"/>
      <c r="D383" s="230"/>
      <c r="E383" s="230"/>
      <c r="F383" s="230"/>
      <c r="G383" s="228"/>
      <c r="H383" s="230"/>
      <c r="I383" s="230"/>
      <c r="J383" s="246"/>
      <c r="K383" s="230"/>
      <c r="L383" s="230"/>
      <c r="M383" s="230"/>
      <c r="N383" s="230"/>
      <c r="O383" s="230"/>
      <c r="P383" s="256"/>
      <c r="Q383" s="257"/>
      <c r="R383" s="228"/>
      <c r="S383" s="228"/>
      <c r="T383" s="258"/>
      <c r="U383" s="254"/>
      <c r="V383" s="254"/>
      <c r="W383" s="228"/>
      <c r="X383" s="255"/>
      <c r="Y383" s="248"/>
      <c r="Z383" s="248"/>
      <c r="AA383" s="228"/>
      <c r="AB383" s="228"/>
      <c r="AC383" s="228"/>
      <c r="AD383" s="228"/>
      <c r="AE383" s="248"/>
      <c r="AF383" s="247"/>
      <c r="AG383" s="228"/>
      <c r="AH383" s="228"/>
      <c r="AI383" s="248"/>
      <c r="AJ383" s="248"/>
      <c r="AK383" s="194"/>
      <c r="AL383" s="249"/>
      <c r="AM383" s="250"/>
      <c r="AN383" s="251"/>
      <c r="AO383" s="252"/>
      <c r="AP383" s="241"/>
      <c r="AQ383" s="241"/>
      <c r="AR383" s="241"/>
      <c r="AS383" s="194"/>
      <c r="AT383" s="195"/>
      <c r="AU383" s="195"/>
    </row>
    <row r="384" spans="1:47">
      <c r="A384" s="253"/>
      <c r="B384" s="230"/>
      <c r="C384" s="245"/>
      <c r="D384" s="230"/>
      <c r="E384" s="230"/>
      <c r="F384" s="230"/>
      <c r="G384" s="228"/>
      <c r="H384" s="230"/>
      <c r="I384" s="230"/>
      <c r="J384" s="246"/>
      <c r="K384" s="230"/>
      <c r="L384" s="230"/>
      <c r="M384" s="230"/>
      <c r="N384" s="230"/>
      <c r="O384" s="230"/>
      <c r="P384" s="256"/>
      <c r="Q384" s="257"/>
      <c r="R384" s="228"/>
      <c r="S384" s="228"/>
      <c r="T384" s="258"/>
      <c r="U384" s="254"/>
      <c r="V384" s="254"/>
      <c r="W384" s="228"/>
      <c r="X384" s="255"/>
      <c r="Y384" s="248"/>
      <c r="Z384" s="248"/>
      <c r="AA384" s="228"/>
      <c r="AB384" s="228"/>
      <c r="AC384" s="228"/>
      <c r="AD384" s="228"/>
      <c r="AE384" s="248"/>
      <c r="AF384" s="247"/>
      <c r="AG384" s="228"/>
      <c r="AH384" s="228"/>
      <c r="AI384" s="248"/>
      <c r="AJ384" s="248"/>
      <c r="AK384" s="194"/>
      <c r="AL384" s="249"/>
      <c r="AM384" s="250"/>
      <c r="AN384" s="251"/>
      <c r="AO384" s="252"/>
      <c r="AP384" s="241"/>
      <c r="AQ384" s="241"/>
      <c r="AR384" s="241"/>
      <c r="AS384" s="194"/>
      <c r="AT384" s="195"/>
      <c r="AU384" s="195"/>
    </row>
    <row r="385" spans="1:47">
      <c r="A385" s="253"/>
      <c r="B385" s="230"/>
      <c r="C385" s="245"/>
      <c r="D385" s="230"/>
      <c r="E385" s="230"/>
      <c r="F385" s="230"/>
      <c r="G385" s="228"/>
      <c r="H385" s="230"/>
      <c r="I385" s="230"/>
      <c r="J385" s="246"/>
      <c r="K385" s="230"/>
      <c r="L385" s="230"/>
      <c r="M385" s="230"/>
      <c r="N385" s="230"/>
      <c r="O385" s="230"/>
      <c r="P385" s="256"/>
      <c r="Q385" s="257"/>
      <c r="R385" s="228"/>
      <c r="S385" s="228"/>
      <c r="T385" s="258"/>
      <c r="U385" s="254"/>
      <c r="V385" s="254"/>
      <c r="W385" s="228"/>
      <c r="X385" s="255"/>
      <c r="Y385" s="248"/>
      <c r="Z385" s="248"/>
      <c r="AA385" s="228"/>
      <c r="AB385" s="228"/>
      <c r="AC385" s="228"/>
      <c r="AD385" s="228"/>
      <c r="AE385" s="248"/>
      <c r="AF385" s="247"/>
      <c r="AG385" s="228"/>
      <c r="AH385" s="228"/>
      <c r="AI385" s="248"/>
      <c r="AJ385" s="248"/>
      <c r="AK385" s="194"/>
      <c r="AL385" s="249"/>
      <c r="AM385" s="250"/>
      <c r="AN385" s="251"/>
      <c r="AO385" s="252"/>
      <c r="AP385" s="241"/>
      <c r="AQ385" s="241"/>
      <c r="AR385" s="241"/>
      <c r="AS385" s="194"/>
      <c r="AT385" s="195"/>
      <c r="AU385" s="195"/>
    </row>
    <row r="386" spans="1:47">
      <c r="A386" s="253"/>
      <c r="B386" s="230"/>
      <c r="C386" s="245"/>
      <c r="D386" s="230"/>
      <c r="E386" s="230"/>
      <c r="F386" s="230"/>
      <c r="G386" s="228"/>
      <c r="H386" s="230"/>
      <c r="I386" s="230"/>
      <c r="J386" s="246"/>
      <c r="K386" s="230"/>
      <c r="L386" s="230"/>
      <c r="M386" s="230"/>
      <c r="N386" s="230"/>
      <c r="O386" s="230"/>
      <c r="P386" s="256"/>
      <c r="Q386" s="257"/>
      <c r="R386" s="228"/>
      <c r="S386" s="228"/>
      <c r="T386" s="258"/>
      <c r="U386" s="254"/>
      <c r="V386" s="254"/>
      <c r="W386" s="228"/>
      <c r="X386" s="255"/>
      <c r="Y386" s="248"/>
      <c r="Z386" s="248"/>
      <c r="AA386" s="228"/>
      <c r="AB386" s="228"/>
      <c r="AC386" s="228"/>
      <c r="AD386" s="228"/>
      <c r="AE386" s="248"/>
      <c r="AF386" s="247"/>
      <c r="AG386" s="228"/>
      <c r="AH386" s="228"/>
      <c r="AI386" s="248"/>
      <c r="AJ386" s="248"/>
      <c r="AK386" s="194"/>
      <c r="AL386" s="249"/>
      <c r="AM386" s="250"/>
      <c r="AN386" s="251"/>
      <c r="AO386" s="252"/>
      <c r="AP386" s="241"/>
      <c r="AQ386" s="241"/>
      <c r="AR386" s="241"/>
      <c r="AS386" s="194"/>
      <c r="AT386" s="195"/>
      <c r="AU386" s="195"/>
    </row>
    <row r="387" spans="1:47">
      <c r="A387" s="253"/>
      <c r="B387" s="230"/>
      <c r="C387" s="245"/>
      <c r="D387" s="230"/>
      <c r="E387" s="230"/>
      <c r="F387" s="230"/>
      <c r="G387" s="228"/>
      <c r="H387" s="230"/>
      <c r="I387" s="230"/>
      <c r="J387" s="246"/>
      <c r="K387" s="230"/>
      <c r="L387" s="230"/>
      <c r="M387" s="230"/>
      <c r="N387" s="230"/>
      <c r="O387" s="230"/>
      <c r="P387" s="256"/>
      <c r="Q387" s="257"/>
      <c r="R387" s="228"/>
      <c r="S387" s="228"/>
      <c r="T387" s="258"/>
      <c r="U387" s="254"/>
      <c r="V387" s="254"/>
      <c r="W387" s="228"/>
      <c r="X387" s="255"/>
      <c r="Y387" s="248"/>
      <c r="Z387" s="248"/>
      <c r="AA387" s="228"/>
      <c r="AB387" s="228"/>
      <c r="AC387" s="228"/>
      <c r="AD387" s="228"/>
      <c r="AE387" s="248"/>
      <c r="AF387" s="247"/>
      <c r="AG387" s="228"/>
      <c r="AH387" s="228"/>
      <c r="AI387" s="248"/>
      <c r="AJ387" s="248"/>
      <c r="AK387" s="194"/>
      <c r="AL387" s="249"/>
      <c r="AM387" s="250"/>
      <c r="AN387" s="251"/>
      <c r="AO387" s="252"/>
      <c r="AP387" s="241"/>
      <c r="AQ387" s="241"/>
      <c r="AR387" s="241"/>
      <c r="AS387" s="194"/>
      <c r="AT387" s="195"/>
      <c r="AU387" s="195"/>
    </row>
    <row r="388" spans="1:47">
      <c r="A388" s="253"/>
      <c r="B388" s="230"/>
      <c r="C388" s="245"/>
      <c r="D388" s="230"/>
      <c r="E388" s="230"/>
      <c r="F388" s="230"/>
      <c r="G388" s="228"/>
      <c r="H388" s="230"/>
      <c r="I388" s="230"/>
      <c r="J388" s="246"/>
      <c r="K388" s="230"/>
      <c r="L388" s="230"/>
      <c r="M388" s="230"/>
      <c r="N388" s="230"/>
      <c r="O388" s="230"/>
      <c r="P388" s="256"/>
      <c r="Q388" s="257"/>
      <c r="R388" s="228"/>
      <c r="S388" s="228"/>
      <c r="T388" s="258"/>
      <c r="U388" s="254"/>
      <c r="V388" s="254"/>
      <c r="W388" s="228"/>
      <c r="X388" s="255"/>
      <c r="Y388" s="248"/>
      <c r="Z388" s="248"/>
      <c r="AA388" s="228"/>
      <c r="AB388" s="228"/>
      <c r="AC388" s="228"/>
      <c r="AD388" s="228"/>
      <c r="AE388" s="248"/>
      <c r="AF388" s="247"/>
      <c r="AG388" s="228"/>
      <c r="AH388" s="228"/>
      <c r="AI388" s="248"/>
      <c r="AJ388" s="248"/>
      <c r="AK388" s="194"/>
      <c r="AL388" s="249"/>
      <c r="AM388" s="250"/>
      <c r="AN388" s="251"/>
      <c r="AO388" s="252"/>
      <c r="AP388" s="241"/>
      <c r="AQ388" s="241"/>
      <c r="AR388" s="241"/>
      <c r="AS388" s="194"/>
      <c r="AT388" s="195"/>
      <c r="AU388" s="195"/>
    </row>
    <row r="389" spans="1:47">
      <c r="A389" s="253"/>
      <c r="B389" s="230"/>
      <c r="C389" s="245"/>
      <c r="D389" s="230"/>
      <c r="E389" s="230"/>
      <c r="F389" s="230"/>
      <c r="G389" s="228"/>
      <c r="H389" s="230"/>
      <c r="I389" s="230"/>
      <c r="J389" s="246"/>
      <c r="K389" s="230"/>
      <c r="L389" s="230"/>
      <c r="M389" s="230"/>
      <c r="N389" s="230"/>
      <c r="O389" s="230"/>
      <c r="P389" s="256"/>
      <c r="Q389" s="257"/>
      <c r="R389" s="228"/>
      <c r="S389" s="228"/>
      <c r="T389" s="258"/>
      <c r="U389" s="254"/>
      <c r="V389" s="254"/>
      <c r="W389" s="228"/>
      <c r="X389" s="255"/>
      <c r="Y389" s="248"/>
      <c r="Z389" s="248"/>
      <c r="AA389" s="228"/>
      <c r="AB389" s="228"/>
      <c r="AC389" s="228"/>
      <c r="AD389" s="228"/>
      <c r="AE389" s="248"/>
      <c r="AF389" s="247"/>
      <c r="AG389" s="228"/>
      <c r="AH389" s="228"/>
      <c r="AI389" s="248"/>
      <c r="AJ389" s="248"/>
      <c r="AK389" s="194"/>
      <c r="AL389" s="249"/>
      <c r="AM389" s="250"/>
      <c r="AN389" s="251"/>
      <c r="AO389" s="252"/>
      <c r="AP389" s="241"/>
      <c r="AQ389" s="241"/>
      <c r="AR389" s="241"/>
      <c r="AS389" s="194"/>
      <c r="AT389" s="195"/>
      <c r="AU389" s="195"/>
    </row>
    <row r="390" spans="1:47">
      <c r="A390" s="253"/>
      <c r="B390" s="230"/>
      <c r="C390" s="245"/>
      <c r="D390" s="230"/>
      <c r="E390" s="230"/>
      <c r="F390" s="230"/>
      <c r="G390" s="228"/>
      <c r="H390" s="230"/>
      <c r="I390" s="230"/>
      <c r="J390" s="246"/>
      <c r="K390" s="230"/>
      <c r="L390" s="230"/>
      <c r="M390" s="230"/>
      <c r="N390" s="230"/>
      <c r="O390" s="230"/>
      <c r="P390" s="256"/>
      <c r="Q390" s="257"/>
      <c r="R390" s="228"/>
      <c r="S390" s="228"/>
      <c r="T390" s="258"/>
      <c r="U390" s="254"/>
      <c r="V390" s="254"/>
      <c r="W390" s="228"/>
      <c r="X390" s="255"/>
      <c r="Y390" s="248"/>
      <c r="Z390" s="248"/>
      <c r="AA390" s="228"/>
      <c r="AB390" s="228"/>
      <c r="AC390" s="228"/>
      <c r="AD390" s="228"/>
      <c r="AE390" s="248"/>
      <c r="AF390" s="247"/>
      <c r="AG390" s="228"/>
      <c r="AH390" s="228"/>
      <c r="AI390" s="248"/>
      <c r="AJ390" s="248"/>
      <c r="AK390" s="194"/>
      <c r="AL390" s="249"/>
      <c r="AM390" s="250"/>
      <c r="AN390" s="251"/>
      <c r="AO390" s="252"/>
      <c r="AP390" s="241"/>
      <c r="AQ390" s="241"/>
      <c r="AR390" s="241"/>
      <c r="AS390" s="194"/>
      <c r="AT390" s="195"/>
      <c r="AU390" s="195"/>
    </row>
    <row r="391" spans="1:47">
      <c r="A391" s="253"/>
      <c r="B391" s="230"/>
      <c r="C391" s="245"/>
      <c r="D391" s="230"/>
      <c r="E391" s="230"/>
      <c r="F391" s="230"/>
      <c r="G391" s="228"/>
      <c r="H391" s="230"/>
      <c r="I391" s="230"/>
      <c r="J391" s="246"/>
      <c r="K391" s="230"/>
      <c r="L391" s="230"/>
      <c r="M391" s="230"/>
      <c r="N391" s="230"/>
      <c r="O391" s="230"/>
      <c r="P391" s="256"/>
      <c r="Q391" s="257"/>
      <c r="R391" s="228"/>
      <c r="S391" s="228"/>
      <c r="T391" s="258"/>
      <c r="U391" s="254"/>
      <c r="V391" s="254"/>
      <c r="W391" s="228"/>
      <c r="X391" s="255"/>
      <c r="Y391" s="248"/>
      <c r="Z391" s="248"/>
      <c r="AA391" s="228"/>
      <c r="AB391" s="228"/>
      <c r="AC391" s="228"/>
      <c r="AD391" s="228"/>
      <c r="AE391" s="248"/>
      <c r="AF391" s="247"/>
      <c r="AG391" s="228"/>
      <c r="AH391" s="228"/>
      <c r="AI391" s="248"/>
      <c r="AJ391" s="248"/>
      <c r="AK391" s="194"/>
      <c r="AL391" s="249"/>
      <c r="AM391" s="250"/>
      <c r="AN391" s="251"/>
      <c r="AO391" s="252"/>
      <c r="AP391" s="241"/>
      <c r="AQ391" s="241"/>
      <c r="AR391" s="241"/>
      <c r="AS391" s="194"/>
      <c r="AT391" s="195"/>
      <c r="AU391" s="195"/>
    </row>
    <row r="392" spans="1:47">
      <c r="A392" s="253"/>
      <c r="B392" s="230"/>
      <c r="C392" s="245"/>
      <c r="D392" s="230"/>
      <c r="E392" s="230"/>
      <c r="F392" s="230"/>
      <c r="G392" s="228"/>
      <c r="H392" s="230"/>
      <c r="I392" s="230"/>
      <c r="J392" s="246"/>
      <c r="K392" s="230"/>
      <c r="L392" s="230"/>
      <c r="M392" s="230"/>
      <c r="N392" s="230"/>
      <c r="O392" s="230"/>
      <c r="P392" s="256"/>
      <c r="Q392" s="257"/>
      <c r="R392" s="228"/>
      <c r="S392" s="228"/>
      <c r="T392" s="258"/>
      <c r="U392" s="254"/>
      <c r="V392" s="254"/>
      <c r="W392" s="228"/>
      <c r="X392" s="255"/>
      <c r="Y392" s="248"/>
      <c r="Z392" s="248"/>
      <c r="AA392" s="228"/>
      <c r="AB392" s="228"/>
      <c r="AC392" s="228"/>
      <c r="AD392" s="228"/>
      <c r="AE392" s="248"/>
      <c r="AF392" s="247"/>
      <c r="AG392" s="228"/>
      <c r="AH392" s="228"/>
      <c r="AI392" s="248"/>
      <c r="AJ392" s="248"/>
      <c r="AK392" s="194"/>
      <c r="AL392" s="249"/>
      <c r="AM392" s="250"/>
      <c r="AN392" s="251"/>
      <c r="AO392" s="252"/>
      <c r="AP392" s="241"/>
      <c r="AQ392" s="241"/>
      <c r="AR392" s="241"/>
      <c r="AS392" s="194"/>
      <c r="AT392" s="195"/>
      <c r="AU392" s="195"/>
    </row>
    <row r="393" spans="1:47">
      <c r="A393" s="253"/>
      <c r="B393" s="230"/>
      <c r="C393" s="245"/>
      <c r="D393" s="230"/>
      <c r="E393" s="230"/>
      <c r="F393" s="230"/>
      <c r="G393" s="228"/>
      <c r="H393" s="230"/>
      <c r="I393" s="230"/>
      <c r="J393" s="246"/>
      <c r="K393" s="230"/>
      <c r="L393" s="230"/>
      <c r="M393" s="230"/>
      <c r="N393" s="230"/>
      <c r="O393" s="230"/>
      <c r="P393" s="256"/>
      <c r="Q393" s="257"/>
      <c r="R393" s="228"/>
      <c r="S393" s="228"/>
      <c r="T393" s="258"/>
      <c r="U393" s="254"/>
      <c r="V393" s="254"/>
      <c r="W393" s="228"/>
      <c r="X393" s="255"/>
      <c r="Y393" s="248"/>
      <c r="Z393" s="248"/>
      <c r="AA393" s="228"/>
      <c r="AB393" s="228"/>
      <c r="AC393" s="228"/>
      <c r="AD393" s="228"/>
      <c r="AE393" s="248"/>
      <c r="AF393" s="247"/>
      <c r="AG393" s="228"/>
      <c r="AH393" s="228"/>
      <c r="AI393" s="248"/>
      <c r="AJ393" s="248"/>
      <c r="AK393" s="194"/>
      <c r="AL393" s="249"/>
      <c r="AM393" s="250"/>
      <c r="AN393" s="251"/>
      <c r="AO393" s="252"/>
      <c r="AP393" s="241"/>
      <c r="AQ393" s="241"/>
      <c r="AR393" s="241"/>
      <c r="AS393" s="194"/>
      <c r="AT393" s="195"/>
      <c r="AU393" s="195"/>
    </row>
    <row r="394" spans="1:47">
      <c r="A394" s="253"/>
      <c r="B394" s="230"/>
      <c r="C394" s="245"/>
      <c r="D394" s="230"/>
      <c r="E394" s="230"/>
      <c r="F394" s="230"/>
      <c r="G394" s="228"/>
      <c r="H394" s="230"/>
      <c r="I394" s="230"/>
      <c r="J394" s="246"/>
      <c r="K394" s="230"/>
      <c r="L394" s="230"/>
      <c r="M394" s="230"/>
      <c r="N394" s="230"/>
      <c r="O394" s="230"/>
      <c r="P394" s="256"/>
      <c r="Q394" s="257"/>
      <c r="R394" s="228"/>
      <c r="S394" s="228"/>
      <c r="T394" s="258"/>
      <c r="U394" s="254"/>
      <c r="V394" s="254"/>
      <c r="W394" s="228"/>
      <c r="X394" s="255"/>
      <c r="Y394" s="248"/>
      <c r="Z394" s="248"/>
      <c r="AA394" s="228"/>
      <c r="AB394" s="228"/>
      <c r="AC394" s="228"/>
      <c r="AD394" s="228"/>
      <c r="AE394" s="248"/>
      <c r="AF394" s="247"/>
      <c r="AG394" s="228"/>
      <c r="AH394" s="228"/>
      <c r="AI394" s="248"/>
      <c r="AJ394" s="248"/>
      <c r="AK394" s="194"/>
      <c r="AL394" s="249"/>
      <c r="AM394" s="250"/>
      <c r="AN394" s="251"/>
      <c r="AO394" s="252"/>
      <c r="AP394" s="241"/>
      <c r="AQ394" s="241"/>
      <c r="AR394" s="241"/>
      <c r="AS394" s="194"/>
      <c r="AT394" s="195"/>
      <c r="AU394" s="195"/>
    </row>
    <row r="395" spans="1:47">
      <c r="A395" s="253"/>
      <c r="B395" s="230"/>
      <c r="C395" s="245"/>
      <c r="D395" s="230"/>
      <c r="E395" s="230"/>
      <c r="F395" s="230"/>
      <c r="G395" s="228"/>
      <c r="H395" s="230"/>
      <c r="I395" s="230"/>
      <c r="J395" s="246"/>
      <c r="K395" s="230"/>
      <c r="L395" s="230"/>
      <c r="M395" s="230"/>
      <c r="N395" s="230"/>
      <c r="O395" s="230"/>
      <c r="P395" s="256"/>
      <c r="Q395" s="257"/>
      <c r="R395" s="228"/>
      <c r="S395" s="228"/>
      <c r="T395" s="258"/>
      <c r="U395" s="254"/>
      <c r="V395" s="254"/>
      <c r="W395" s="228"/>
      <c r="X395" s="255"/>
      <c r="Y395" s="248"/>
      <c r="Z395" s="248"/>
      <c r="AA395" s="228"/>
      <c r="AB395" s="228"/>
      <c r="AC395" s="228"/>
      <c r="AD395" s="228"/>
      <c r="AE395" s="248"/>
      <c r="AF395" s="247"/>
      <c r="AG395" s="228"/>
      <c r="AH395" s="228"/>
      <c r="AI395" s="248"/>
      <c r="AJ395" s="248"/>
      <c r="AK395" s="194"/>
      <c r="AL395" s="249"/>
      <c r="AM395" s="250"/>
      <c r="AN395" s="251"/>
      <c r="AO395" s="252"/>
      <c r="AP395" s="241"/>
      <c r="AQ395" s="241"/>
      <c r="AR395" s="241"/>
      <c r="AS395" s="194"/>
      <c r="AT395" s="195"/>
      <c r="AU395" s="195"/>
    </row>
    <row r="396" spans="1:47">
      <c r="A396" s="253"/>
      <c r="B396" s="230"/>
      <c r="C396" s="245"/>
      <c r="D396" s="230"/>
      <c r="E396" s="230"/>
      <c r="F396" s="230"/>
      <c r="G396" s="228"/>
      <c r="H396" s="230"/>
      <c r="I396" s="230"/>
      <c r="J396" s="246"/>
      <c r="K396" s="230"/>
      <c r="L396" s="230"/>
      <c r="M396" s="230"/>
      <c r="N396" s="230"/>
      <c r="O396" s="230"/>
      <c r="P396" s="256"/>
      <c r="Q396" s="257"/>
      <c r="R396" s="228"/>
      <c r="S396" s="228"/>
      <c r="T396" s="258"/>
      <c r="U396" s="254"/>
      <c r="V396" s="254"/>
      <c r="W396" s="228"/>
      <c r="X396" s="255"/>
      <c r="Y396" s="248"/>
      <c r="Z396" s="248"/>
      <c r="AA396" s="228"/>
      <c r="AB396" s="228"/>
      <c r="AC396" s="228"/>
      <c r="AD396" s="228"/>
      <c r="AE396" s="248"/>
      <c r="AF396" s="247"/>
      <c r="AG396" s="228"/>
      <c r="AH396" s="228"/>
      <c r="AI396" s="248"/>
      <c r="AJ396" s="248"/>
      <c r="AK396" s="194"/>
      <c r="AL396" s="249"/>
      <c r="AM396" s="250"/>
      <c r="AN396" s="251"/>
      <c r="AO396" s="252"/>
      <c r="AP396" s="241"/>
      <c r="AQ396" s="241"/>
      <c r="AR396" s="241"/>
      <c r="AS396" s="194"/>
      <c r="AT396" s="195"/>
      <c r="AU396" s="195"/>
    </row>
    <row r="397" spans="1:47">
      <c r="A397" s="253"/>
      <c r="B397" s="230"/>
      <c r="C397" s="245"/>
      <c r="D397" s="230"/>
      <c r="E397" s="230"/>
      <c r="F397" s="230"/>
      <c r="G397" s="228"/>
      <c r="H397" s="230"/>
      <c r="I397" s="230"/>
      <c r="J397" s="246"/>
      <c r="K397" s="230"/>
      <c r="L397" s="230"/>
      <c r="M397" s="230"/>
      <c r="N397" s="230"/>
      <c r="O397" s="230"/>
      <c r="P397" s="256"/>
      <c r="Q397" s="257"/>
      <c r="R397" s="228"/>
      <c r="S397" s="228"/>
      <c r="T397" s="258"/>
      <c r="U397" s="254"/>
      <c r="V397" s="254"/>
      <c r="W397" s="228"/>
      <c r="X397" s="255"/>
      <c r="Y397" s="248"/>
      <c r="Z397" s="248"/>
      <c r="AA397" s="228"/>
      <c r="AB397" s="228"/>
      <c r="AC397" s="228"/>
      <c r="AD397" s="228"/>
      <c r="AE397" s="248"/>
      <c r="AF397" s="247"/>
      <c r="AG397" s="228"/>
      <c r="AH397" s="228"/>
      <c r="AI397" s="248"/>
      <c r="AJ397" s="248"/>
      <c r="AK397" s="194"/>
      <c r="AL397" s="249"/>
      <c r="AM397" s="250"/>
      <c r="AN397" s="251"/>
      <c r="AO397" s="252"/>
      <c r="AP397" s="241"/>
      <c r="AQ397" s="241"/>
      <c r="AR397" s="241"/>
      <c r="AS397" s="194"/>
      <c r="AT397" s="195"/>
      <c r="AU397" s="195"/>
    </row>
    <row r="398" spans="1:47">
      <c r="A398" s="253"/>
      <c r="B398" s="230"/>
      <c r="C398" s="245"/>
      <c r="D398" s="230"/>
      <c r="E398" s="230"/>
      <c r="F398" s="230"/>
      <c r="G398" s="228"/>
      <c r="H398" s="230"/>
      <c r="I398" s="230"/>
      <c r="J398" s="246"/>
      <c r="K398" s="230"/>
      <c r="L398" s="230"/>
      <c r="M398" s="230"/>
      <c r="N398" s="230"/>
      <c r="O398" s="230"/>
      <c r="P398" s="256"/>
      <c r="Q398" s="257"/>
      <c r="R398" s="228"/>
      <c r="S398" s="228"/>
      <c r="T398" s="258"/>
      <c r="U398" s="254"/>
      <c r="V398" s="254"/>
      <c r="W398" s="228"/>
      <c r="X398" s="255"/>
      <c r="Y398" s="248"/>
      <c r="Z398" s="248"/>
      <c r="AA398" s="228"/>
      <c r="AB398" s="228"/>
      <c r="AC398" s="228"/>
      <c r="AD398" s="228"/>
      <c r="AE398" s="248"/>
      <c r="AF398" s="247"/>
      <c r="AG398" s="228"/>
      <c r="AH398" s="228"/>
      <c r="AI398" s="248"/>
      <c r="AJ398" s="248"/>
      <c r="AK398" s="194"/>
      <c r="AL398" s="249"/>
      <c r="AM398" s="250"/>
      <c r="AN398" s="251"/>
      <c r="AO398" s="252"/>
      <c r="AP398" s="241"/>
      <c r="AQ398" s="241"/>
      <c r="AR398" s="241"/>
      <c r="AS398" s="194"/>
      <c r="AT398" s="195"/>
      <c r="AU398" s="195"/>
    </row>
    <row r="399" spans="1:47">
      <c r="A399" s="253"/>
      <c r="B399" s="230"/>
      <c r="C399" s="245"/>
      <c r="D399" s="230"/>
      <c r="E399" s="230"/>
      <c r="F399" s="230"/>
      <c r="G399" s="228"/>
      <c r="H399" s="230"/>
      <c r="I399" s="230"/>
      <c r="J399" s="246"/>
      <c r="K399" s="230"/>
      <c r="L399" s="230"/>
      <c r="M399" s="230"/>
      <c r="N399" s="230"/>
      <c r="O399" s="230"/>
      <c r="P399" s="256"/>
      <c r="Q399" s="257"/>
      <c r="R399" s="228"/>
      <c r="S399" s="228"/>
      <c r="T399" s="258"/>
      <c r="U399" s="254"/>
      <c r="V399" s="254"/>
      <c r="W399" s="228"/>
      <c r="X399" s="255"/>
      <c r="Y399" s="248"/>
      <c r="Z399" s="248"/>
      <c r="AA399" s="228"/>
      <c r="AB399" s="228"/>
      <c r="AC399" s="228"/>
      <c r="AD399" s="228"/>
      <c r="AE399" s="248"/>
      <c r="AF399" s="247"/>
      <c r="AG399" s="228"/>
      <c r="AH399" s="228"/>
      <c r="AI399" s="248"/>
      <c r="AJ399" s="248"/>
      <c r="AK399" s="194"/>
      <c r="AL399" s="249"/>
      <c r="AM399" s="250"/>
      <c r="AN399" s="251"/>
      <c r="AO399" s="252"/>
      <c r="AP399" s="241"/>
      <c r="AQ399" s="241"/>
      <c r="AR399" s="241"/>
      <c r="AS399" s="194"/>
      <c r="AT399" s="195"/>
      <c r="AU399" s="195"/>
    </row>
    <row r="400" spans="1:47">
      <c r="A400" s="253"/>
      <c r="B400" s="230"/>
      <c r="C400" s="245"/>
      <c r="D400" s="230"/>
      <c r="E400" s="230"/>
      <c r="F400" s="230"/>
      <c r="G400" s="228"/>
      <c r="H400" s="230"/>
      <c r="I400" s="230"/>
      <c r="J400" s="246"/>
      <c r="K400" s="230"/>
      <c r="L400" s="230"/>
      <c r="M400" s="230"/>
      <c r="N400" s="230"/>
      <c r="O400" s="230"/>
      <c r="P400" s="256"/>
      <c r="Q400" s="257"/>
      <c r="R400" s="228"/>
      <c r="S400" s="228"/>
      <c r="T400" s="258"/>
      <c r="U400" s="254"/>
      <c r="V400" s="254"/>
      <c r="W400" s="228"/>
      <c r="X400" s="255"/>
      <c r="Y400" s="248"/>
      <c r="Z400" s="248"/>
      <c r="AA400" s="228"/>
      <c r="AB400" s="228"/>
      <c r="AC400" s="228"/>
      <c r="AD400" s="228"/>
      <c r="AE400" s="248"/>
      <c r="AF400" s="247"/>
      <c r="AG400" s="228"/>
      <c r="AH400" s="228"/>
      <c r="AI400" s="248"/>
      <c r="AJ400" s="248"/>
      <c r="AK400" s="194"/>
      <c r="AL400" s="249"/>
      <c r="AM400" s="250"/>
      <c r="AN400" s="251"/>
      <c r="AO400" s="252"/>
      <c r="AP400" s="241"/>
      <c r="AQ400" s="241"/>
      <c r="AR400" s="241"/>
      <c r="AS400" s="194"/>
      <c r="AT400" s="195"/>
      <c r="AU400" s="195"/>
    </row>
    <row r="401" spans="1:47">
      <c r="A401" s="253"/>
      <c r="B401" s="230"/>
      <c r="C401" s="245"/>
      <c r="D401" s="230"/>
      <c r="E401" s="230"/>
      <c r="F401" s="230"/>
      <c r="G401" s="228"/>
      <c r="H401" s="230"/>
      <c r="I401" s="230"/>
      <c r="J401" s="246"/>
      <c r="K401" s="230"/>
      <c r="L401" s="230"/>
      <c r="M401" s="230"/>
      <c r="N401" s="230"/>
      <c r="O401" s="230"/>
      <c r="P401" s="256"/>
      <c r="Q401" s="257"/>
      <c r="R401" s="228"/>
      <c r="S401" s="228"/>
      <c r="T401" s="258"/>
      <c r="U401" s="254"/>
      <c r="V401" s="254"/>
      <c r="W401" s="228"/>
      <c r="X401" s="255"/>
      <c r="Y401" s="248"/>
      <c r="Z401" s="248"/>
      <c r="AA401" s="228"/>
      <c r="AB401" s="228"/>
      <c r="AC401" s="228"/>
      <c r="AD401" s="228"/>
      <c r="AE401" s="248"/>
      <c r="AF401" s="247"/>
      <c r="AG401" s="228"/>
      <c r="AH401" s="228"/>
      <c r="AI401" s="248"/>
      <c r="AJ401" s="248"/>
      <c r="AK401" s="194"/>
      <c r="AL401" s="249"/>
      <c r="AM401" s="250"/>
      <c r="AN401" s="251"/>
      <c r="AO401" s="252"/>
      <c r="AP401" s="241"/>
      <c r="AQ401" s="241"/>
      <c r="AR401" s="241"/>
      <c r="AS401" s="194"/>
      <c r="AT401" s="195"/>
      <c r="AU401" s="195"/>
    </row>
    <row r="402" spans="1:47">
      <c r="A402" s="253"/>
      <c r="B402" s="230"/>
      <c r="C402" s="245"/>
      <c r="D402" s="230"/>
      <c r="E402" s="230"/>
      <c r="F402" s="230"/>
      <c r="G402" s="228"/>
      <c r="H402" s="230"/>
      <c r="I402" s="230"/>
      <c r="J402" s="246"/>
      <c r="K402" s="230"/>
      <c r="L402" s="230"/>
      <c r="M402" s="230"/>
      <c r="N402" s="230"/>
      <c r="O402" s="230"/>
      <c r="P402" s="256"/>
      <c r="Q402" s="257"/>
      <c r="R402" s="228"/>
      <c r="S402" s="228"/>
      <c r="T402" s="258"/>
      <c r="U402" s="254"/>
      <c r="V402" s="254"/>
      <c r="W402" s="228"/>
      <c r="X402" s="255"/>
      <c r="Y402" s="248"/>
      <c r="Z402" s="248"/>
      <c r="AA402" s="228"/>
      <c r="AB402" s="228"/>
      <c r="AC402" s="228"/>
      <c r="AD402" s="228"/>
      <c r="AE402" s="248"/>
      <c r="AF402" s="247"/>
      <c r="AG402" s="228"/>
      <c r="AH402" s="228"/>
      <c r="AI402" s="248"/>
      <c r="AJ402" s="248"/>
      <c r="AK402" s="194"/>
      <c r="AL402" s="249"/>
      <c r="AM402" s="250"/>
      <c r="AN402" s="251"/>
      <c r="AO402" s="252"/>
      <c r="AP402" s="241"/>
      <c r="AQ402" s="241"/>
      <c r="AR402" s="241"/>
      <c r="AS402" s="194"/>
      <c r="AT402" s="195"/>
      <c r="AU402" s="195"/>
    </row>
    <row r="403" spans="1:47">
      <c r="A403" s="253"/>
      <c r="B403" s="230"/>
      <c r="C403" s="245"/>
      <c r="D403" s="230"/>
      <c r="E403" s="230"/>
      <c r="F403" s="230"/>
      <c r="G403" s="228"/>
      <c r="H403" s="230"/>
      <c r="I403" s="230"/>
      <c r="J403" s="246"/>
      <c r="K403" s="230"/>
      <c r="L403" s="230"/>
      <c r="M403" s="230"/>
      <c r="N403" s="230"/>
      <c r="O403" s="230"/>
      <c r="P403" s="256"/>
      <c r="Q403" s="257"/>
      <c r="R403" s="228"/>
      <c r="S403" s="228"/>
      <c r="T403" s="258"/>
      <c r="U403" s="254"/>
      <c r="V403" s="254"/>
      <c r="W403" s="228"/>
      <c r="X403" s="255"/>
      <c r="Y403" s="248"/>
      <c r="Z403" s="248"/>
      <c r="AA403" s="228"/>
      <c r="AB403" s="228"/>
      <c r="AC403" s="228"/>
      <c r="AD403" s="228"/>
      <c r="AE403" s="248"/>
      <c r="AF403" s="247"/>
      <c r="AG403" s="228"/>
      <c r="AH403" s="228"/>
      <c r="AI403" s="248"/>
      <c r="AJ403" s="248"/>
      <c r="AK403" s="194"/>
      <c r="AL403" s="249"/>
      <c r="AM403" s="250"/>
      <c r="AN403" s="251"/>
      <c r="AO403" s="252"/>
      <c r="AP403" s="241"/>
      <c r="AQ403" s="241"/>
      <c r="AR403" s="241"/>
      <c r="AS403" s="194"/>
      <c r="AT403" s="195"/>
      <c r="AU403" s="195"/>
    </row>
    <row r="404" spans="1:47">
      <c r="A404" s="253"/>
      <c r="B404" s="230"/>
      <c r="C404" s="245"/>
      <c r="D404" s="230"/>
      <c r="E404" s="230"/>
      <c r="F404" s="230"/>
      <c r="G404" s="228"/>
      <c r="H404" s="230"/>
      <c r="I404" s="230"/>
      <c r="J404" s="246"/>
      <c r="K404" s="230"/>
      <c r="L404" s="230"/>
      <c r="M404" s="230"/>
      <c r="N404" s="230"/>
      <c r="O404" s="230"/>
      <c r="P404" s="256"/>
      <c r="Q404" s="257"/>
      <c r="R404" s="228"/>
      <c r="S404" s="228"/>
      <c r="T404" s="258"/>
      <c r="U404" s="254"/>
      <c r="V404" s="254"/>
      <c r="W404" s="228"/>
      <c r="X404" s="255"/>
      <c r="Y404" s="248"/>
      <c r="Z404" s="248"/>
      <c r="AA404" s="228"/>
      <c r="AB404" s="228"/>
      <c r="AC404" s="228"/>
      <c r="AD404" s="228"/>
      <c r="AE404" s="248"/>
      <c r="AF404" s="247"/>
      <c r="AG404" s="228"/>
      <c r="AH404" s="228"/>
      <c r="AI404" s="248"/>
      <c r="AJ404" s="248"/>
      <c r="AK404" s="194"/>
      <c r="AL404" s="249"/>
      <c r="AM404" s="250"/>
      <c r="AN404" s="251"/>
      <c r="AO404" s="252"/>
      <c r="AP404" s="241"/>
      <c r="AQ404" s="241"/>
      <c r="AR404" s="241"/>
      <c r="AS404" s="194"/>
      <c r="AT404" s="195"/>
      <c r="AU404" s="195"/>
    </row>
    <row r="405" spans="1:47">
      <c r="A405" s="253"/>
      <c r="B405" s="230"/>
      <c r="C405" s="245"/>
      <c r="D405" s="230"/>
      <c r="E405" s="230"/>
      <c r="F405" s="230"/>
      <c r="G405" s="228"/>
      <c r="H405" s="230"/>
      <c r="I405" s="230"/>
      <c r="J405" s="246"/>
      <c r="K405" s="230"/>
      <c r="L405" s="230"/>
      <c r="M405" s="230"/>
      <c r="N405" s="230"/>
      <c r="O405" s="230"/>
      <c r="P405" s="256"/>
      <c r="Q405" s="257"/>
      <c r="R405" s="228"/>
      <c r="S405" s="228"/>
      <c r="T405" s="258"/>
      <c r="U405" s="254"/>
      <c r="V405" s="254"/>
      <c r="W405" s="228"/>
      <c r="X405" s="255"/>
      <c r="Y405" s="248"/>
      <c r="Z405" s="248"/>
      <c r="AA405" s="228"/>
      <c r="AB405" s="228"/>
      <c r="AC405" s="228"/>
      <c r="AD405" s="228"/>
      <c r="AE405" s="248"/>
      <c r="AF405" s="247"/>
      <c r="AG405" s="228"/>
      <c r="AH405" s="228"/>
      <c r="AI405" s="248"/>
      <c r="AJ405" s="248"/>
      <c r="AK405" s="194"/>
      <c r="AL405" s="249"/>
      <c r="AM405" s="250"/>
      <c r="AN405" s="251"/>
      <c r="AO405" s="252"/>
      <c r="AP405" s="241"/>
      <c r="AQ405" s="241"/>
      <c r="AR405" s="241"/>
      <c r="AS405" s="194"/>
      <c r="AT405" s="195"/>
      <c r="AU405" s="195"/>
    </row>
    <row r="406" spans="1:47">
      <c r="A406" s="253"/>
      <c r="B406" s="230"/>
      <c r="C406" s="245"/>
      <c r="D406" s="230"/>
      <c r="E406" s="230"/>
      <c r="F406" s="230"/>
      <c r="G406" s="228"/>
      <c r="H406" s="230"/>
      <c r="I406" s="230"/>
      <c r="J406" s="246"/>
      <c r="K406" s="230"/>
      <c r="L406" s="230"/>
      <c r="M406" s="230"/>
      <c r="N406" s="230"/>
      <c r="O406" s="230"/>
      <c r="P406" s="256"/>
      <c r="Q406" s="257"/>
      <c r="R406" s="228"/>
      <c r="S406" s="228"/>
      <c r="T406" s="258"/>
      <c r="U406" s="254"/>
      <c r="V406" s="254"/>
      <c r="W406" s="228"/>
      <c r="X406" s="255"/>
      <c r="Y406" s="248"/>
      <c r="Z406" s="248"/>
      <c r="AA406" s="228"/>
      <c r="AB406" s="228"/>
      <c r="AC406" s="228"/>
      <c r="AD406" s="228"/>
      <c r="AE406" s="248"/>
      <c r="AF406" s="247"/>
      <c r="AG406" s="228"/>
      <c r="AH406" s="228"/>
      <c r="AI406" s="248"/>
      <c r="AJ406" s="248"/>
      <c r="AK406" s="194"/>
      <c r="AL406" s="249"/>
      <c r="AM406" s="250"/>
      <c r="AN406" s="251"/>
      <c r="AO406" s="252"/>
      <c r="AP406" s="241"/>
      <c r="AQ406" s="241"/>
      <c r="AR406" s="241"/>
      <c r="AS406" s="194"/>
      <c r="AT406" s="195"/>
      <c r="AU406" s="195"/>
    </row>
    <row r="407" spans="1:47">
      <c r="A407" s="253"/>
      <c r="B407" s="230"/>
      <c r="C407" s="245"/>
      <c r="D407" s="230"/>
      <c r="E407" s="230"/>
      <c r="F407" s="230"/>
      <c r="G407" s="228"/>
      <c r="H407" s="230"/>
      <c r="I407" s="230"/>
      <c r="J407" s="246"/>
      <c r="K407" s="230"/>
      <c r="L407" s="230"/>
      <c r="M407" s="230"/>
      <c r="N407" s="230"/>
      <c r="O407" s="230"/>
      <c r="P407" s="256"/>
      <c r="Q407" s="257"/>
      <c r="R407" s="228"/>
      <c r="S407" s="228"/>
      <c r="T407" s="258"/>
      <c r="U407" s="254"/>
      <c r="V407" s="254"/>
      <c r="W407" s="228"/>
      <c r="X407" s="255"/>
      <c r="Y407" s="248"/>
      <c r="Z407" s="248"/>
      <c r="AA407" s="228"/>
      <c r="AB407" s="228"/>
      <c r="AC407" s="228"/>
      <c r="AD407" s="228"/>
      <c r="AE407" s="248"/>
      <c r="AF407" s="247"/>
      <c r="AG407" s="228"/>
      <c r="AH407" s="228"/>
      <c r="AI407" s="248"/>
      <c r="AJ407" s="248"/>
      <c r="AK407" s="194"/>
      <c r="AL407" s="249"/>
      <c r="AM407" s="250"/>
      <c r="AN407" s="251"/>
      <c r="AO407" s="252"/>
      <c r="AP407" s="241"/>
      <c r="AQ407" s="241"/>
      <c r="AR407" s="241"/>
      <c r="AS407" s="194"/>
      <c r="AT407" s="195"/>
      <c r="AU407" s="195"/>
    </row>
    <row r="408" spans="1:47">
      <c r="A408" s="253"/>
      <c r="B408" s="230"/>
      <c r="C408" s="245"/>
      <c r="D408" s="230"/>
      <c r="E408" s="230"/>
      <c r="F408" s="230"/>
      <c r="G408" s="228"/>
      <c r="H408" s="230"/>
      <c r="I408" s="230"/>
      <c r="J408" s="246"/>
      <c r="K408" s="230"/>
      <c r="L408" s="230"/>
      <c r="M408" s="230"/>
      <c r="N408" s="230"/>
      <c r="O408" s="230"/>
      <c r="P408" s="256"/>
      <c r="Q408" s="257"/>
      <c r="R408" s="228"/>
      <c r="S408" s="228"/>
      <c r="T408" s="258"/>
      <c r="U408" s="254"/>
      <c r="V408" s="254"/>
      <c r="W408" s="228"/>
      <c r="X408" s="255"/>
      <c r="Y408" s="248"/>
      <c r="Z408" s="248"/>
      <c r="AA408" s="228"/>
      <c r="AB408" s="228"/>
      <c r="AC408" s="228"/>
      <c r="AD408" s="228"/>
      <c r="AE408" s="248"/>
      <c r="AF408" s="247"/>
      <c r="AG408" s="228"/>
      <c r="AH408" s="228"/>
      <c r="AI408" s="248"/>
      <c r="AJ408" s="248"/>
      <c r="AK408" s="194"/>
      <c r="AL408" s="249"/>
      <c r="AM408" s="250"/>
      <c r="AN408" s="251"/>
      <c r="AO408" s="252"/>
      <c r="AP408" s="241"/>
      <c r="AQ408" s="241"/>
      <c r="AR408" s="241"/>
      <c r="AS408" s="194"/>
      <c r="AT408" s="195"/>
      <c r="AU408" s="195"/>
    </row>
    <row r="409" spans="1:47">
      <c r="C409" s="245"/>
      <c r="U409" s="254"/>
      <c r="V409" s="292"/>
    </row>
    <row r="412" spans="1:47" ht="24.75" customHeight="1"/>
  </sheetData>
  <mergeCells count="4">
    <mergeCell ref="A1:E1"/>
    <mergeCell ref="A4:E4"/>
    <mergeCell ref="A8:E8"/>
    <mergeCell ref="AU9:AU1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8"/>
  <sheetViews>
    <sheetView zoomScaleNormal="100" workbookViewId="0">
      <pane xSplit="13" ySplit="5" topLeftCell="N6" activePane="bottomRight" state="frozen"/>
      <selection activeCell="J262" sqref="J262"/>
      <selection pane="topRight" activeCell="J262" sqref="J262"/>
      <selection pane="bottomLeft" activeCell="J262" sqref="J262"/>
      <selection pane="bottomRight" activeCell="C14" sqref="C14"/>
    </sheetView>
  </sheetViews>
  <sheetFormatPr defaultColWidth="10.33203125" defaultRowHeight="13.2"/>
  <cols>
    <col min="1" max="1" width="3.88671875" style="1" customWidth="1"/>
    <col min="2" max="2" width="12.33203125" style="6" customWidth="1"/>
    <col min="3" max="3" width="17.6640625" style="4" customWidth="1"/>
    <col min="4" max="4" width="10.109375" style="3" customWidth="1"/>
    <col min="5" max="5" width="16.88671875" style="4" customWidth="1"/>
    <col min="6" max="6" width="15" style="4" hidden="1" customWidth="1"/>
    <col min="7" max="7" width="7.33203125" style="4" customWidth="1"/>
    <col min="8" max="10" width="5.109375" style="6" customWidth="1"/>
    <col min="11" max="11" width="7.109375" style="11" customWidth="1"/>
    <col min="12" max="12" width="22.6640625" style="5" customWidth="1"/>
    <col min="13" max="13" width="23.6640625" style="5" customWidth="1"/>
    <col min="14" max="14" width="15.5546875" style="5" customWidth="1"/>
    <col min="15" max="15" width="14.44140625" style="7" customWidth="1"/>
    <col min="16" max="16" width="14.6640625" style="5" customWidth="1"/>
    <col min="17" max="17" width="12.33203125" style="5" customWidth="1"/>
    <col min="18" max="18" width="11.5546875" style="6" customWidth="1"/>
    <col min="19" max="19" width="10" style="1" customWidth="1"/>
    <col min="20" max="20" width="12.44140625" style="6" hidden="1" customWidth="1"/>
    <col min="21" max="22" width="15.33203125" style="1878" hidden="1" customWidth="1"/>
    <col min="23" max="23" width="12.6640625" style="1877" customWidth="1"/>
    <col min="24" max="24" width="13.109375" style="1877" customWidth="1"/>
    <col min="25" max="25" width="13" style="1877" customWidth="1"/>
    <col min="26" max="26" width="11.88671875" style="1877" customWidth="1"/>
    <col min="27" max="27" width="15.33203125" style="1878" customWidth="1"/>
    <col min="28" max="28" width="13.33203125" style="1877" customWidth="1"/>
    <col min="29" max="29" width="16.33203125" style="1877" customWidth="1"/>
    <col min="30" max="30" width="19.44140625" style="1877" customWidth="1"/>
    <col min="31" max="31" width="34.33203125" style="1911" customWidth="1"/>
    <col min="32" max="32" width="18.6640625" style="1912" customWidth="1"/>
    <col min="33" max="33" width="18.5546875" style="1881" customWidth="1"/>
    <col min="34" max="34" width="18.5546875" style="1913" customWidth="1"/>
    <col min="35" max="35" width="19" style="1350" customWidth="1"/>
    <col min="36" max="199" width="10.33203125" style="1393"/>
    <col min="200" max="200" width="7" style="1393" customWidth="1"/>
    <col min="201" max="201" width="13" style="1393" customWidth="1"/>
    <col min="202" max="202" width="14.109375" style="1393" customWidth="1"/>
    <col min="203" max="203" width="17.33203125" style="1393" customWidth="1"/>
    <col min="204" max="204" width="18.88671875" style="1393" customWidth="1"/>
    <col min="205" max="205" width="14.109375" style="1393" customWidth="1"/>
    <col min="206" max="206" width="21.5546875" style="1393" customWidth="1"/>
    <col min="207" max="208" width="14.109375" style="1393" customWidth="1"/>
    <col min="209" max="209" width="15" style="1393" customWidth="1"/>
    <col min="210" max="210" width="13.33203125" style="1393" customWidth="1"/>
    <col min="211" max="211" width="17" style="1393" customWidth="1"/>
    <col min="212" max="212" width="24.88671875" style="1393" customWidth="1"/>
    <col min="213" max="213" width="14.44140625" style="1393" customWidth="1"/>
    <col min="214" max="214" width="23.109375" style="1393" customWidth="1"/>
    <col min="215" max="215" width="13.109375" style="1393" customWidth="1"/>
    <col min="216" max="219" width="0" style="1393" hidden="1" customWidth="1"/>
    <col min="220" max="455" width="10.33203125" style="1393"/>
    <col min="456" max="456" width="7" style="1393" customWidth="1"/>
    <col min="457" max="457" width="13" style="1393" customWidth="1"/>
    <col min="458" max="458" width="14.109375" style="1393" customWidth="1"/>
    <col min="459" max="459" width="17.33203125" style="1393" customWidth="1"/>
    <col min="460" max="460" width="18.88671875" style="1393" customWidth="1"/>
    <col min="461" max="461" width="14.109375" style="1393" customWidth="1"/>
    <col min="462" max="462" width="21.5546875" style="1393" customWidth="1"/>
    <col min="463" max="464" width="14.109375" style="1393" customWidth="1"/>
    <col min="465" max="465" width="15" style="1393" customWidth="1"/>
    <col min="466" max="466" width="13.33203125" style="1393" customWidth="1"/>
    <col min="467" max="467" width="17" style="1393" customWidth="1"/>
    <col min="468" max="468" width="24.88671875" style="1393" customWidth="1"/>
    <col min="469" max="469" width="14.44140625" style="1393" customWidth="1"/>
    <col min="470" max="470" width="23.109375" style="1393" customWidth="1"/>
    <col min="471" max="471" width="13.109375" style="1393" customWidth="1"/>
    <col min="472" max="475" width="0" style="1393" hidden="1" customWidth="1"/>
    <col min="476" max="711" width="10.33203125" style="1393"/>
    <col min="712" max="712" width="7" style="1393" customWidth="1"/>
    <col min="713" max="713" width="13" style="1393" customWidth="1"/>
    <col min="714" max="714" width="14.109375" style="1393" customWidth="1"/>
    <col min="715" max="715" width="17.33203125" style="1393" customWidth="1"/>
    <col min="716" max="716" width="18.88671875" style="1393" customWidth="1"/>
    <col min="717" max="717" width="14.109375" style="1393" customWidth="1"/>
    <col min="718" max="718" width="21.5546875" style="1393" customWidth="1"/>
    <col min="719" max="720" width="14.109375" style="1393" customWidth="1"/>
    <col min="721" max="721" width="15" style="1393" customWidth="1"/>
    <col min="722" max="722" width="13.33203125" style="1393" customWidth="1"/>
    <col min="723" max="723" width="17" style="1393" customWidth="1"/>
    <col min="724" max="724" width="24.88671875" style="1393" customWidth="1"/>
    <col min="725" max="725" width="14.44140625" style="1393" customWidth="1"/>
    <col min="726" max="726" width="23.109375" style="1393" customWidth="1"/>
    <col min="727" max="727" width="13.109375" style="1393" customWidth="1"/>
    <col min="728" max="731" width="0" style="1393" hidden="1" customWidth="1"/>
    <col min="732" max="967" width="10.33203125" style="1393"/>
    <col min="968" max="968" width="7" style="1393" customWidth="1"/>
    <col min="969" max="969" width="13" style="1393" customWidth="1"/>
    <col min="970" max="970" width="14.109375" style="1393" customWidth="1"/>
    <col min="971" max="971" width="17.33203125" style="1393" customWidth="1"/>
    <col min="972" max="972" width="18.88671875" style="1393" customWidth="1"/>
    <col min="973" max="973" width="14.109375" style="1393" customWidth="1"/>
    <col min="974" max="974" width="21.5546875" style="1393" customWidth="1"/>
    <col min="975" max="976" width="14.109375" style="1393" customWidth="1"/>
    <col min="977" max="977" width="15" style="1393" customWidth="1"/>
    <col min="978" max="978" width="13.33203125" style="1393" customWidth="1"/>
    <col min="979" max="979" width="17" style="1393" customWidth="1"/>
    <col min="980" max="980" width="24.88671875" style="1393" customWidth="1"/>
    <col min="981" max="981" width="14.44140625" style="1393" customWidth="1"/>
    <col min="982" max="982" width="23.109375" style="1393" customWidth="1"/>
    <col min="983" max="983" width="13.109375" style="1393" customWidth="1"/>
    <col min="984" max="987" width="0" style="1393" hidden="1" customWidth="1"/>
    <col min="988" max="1223" width="10.33203125" style="1393"/>
    <col min="1224" max="1224" width="7" style="1393" customWidth="1"/>
    <col min="1225" max="1225" width="13" style="1393" customWidth="1"/>
    <col min="1226" max="1226" width="14.109375" style="1393" customWidth="1"/>
    <col min="1227" max="1227" width="17.33203125" style="1393" customWidth="1"/>
    <col min="1228" max="1228" width="18.88671875" style="1393" customWidth="1"/>
    <col min="1229" max="1229" width="14.109375" style="1393" customWidth="1"/>
    <col min="1230" max="1230" width="21.5546875" style="1393" customWidth="1"/>
    <col min="1231" max="1232" width="14.109375" style="1393" customWidth="1"/>
    <col min="1233" max="1233" width="15" style="1393" customWidth="1"/>
    <col min="1234" max="1234" width="13.33203125" style="1393" customWidth="1"/>
    <col min="1235" max="1235" width="17" style="1393" customWidth="1"/>
    <col min="1236" max="1236" width="24.88671875" style="1393" customWidth="1"/>
    <col min="1237" max="1237" width="14.44140625" style="1393" customWidth="1"/>
    <col min="1238" max="1238" width="23.109375" style="1393" customWidth="1"/>
    <col min="1239" max="1239" width="13.109375" style="1393" customWidth="1"/>
    <col min="1240" max="1243" width="0" style="1393" hidden="1" customWidth="1"/>
    <col min="1244" max="1479" width="10.33203125" style="1393"/>
    <col min="1480" max="1480" width="7" style="1393" customWidth="1"/>
    <col min="1481" max="1481" width="13" style="1393" customWidth="1"/>
    <col min="1482" max="1482" width="14.109375" style="1393" customWidth="1"/>
    <col min="1483" max="1483" width="17.33203125" style="1393" customWidth="1"/>
    <col min="1484" max="1484" width="18.88671875" style="1393" customWidth="1"/>
    <col min="1485" max="1485" width="14.109375" style="1393" customWidth="1"/>
    <col min="1486" max="1486" width="21.5546875" style="1393" customWidth="1"/>
    <col min="1487" max="1488" width="14.109375" style="1393" customWidth="1"/>
    <col min="1489" max="1489" width="15" style="1393" customWidth="1"/>
    <col min="1490" max="1490" width="13.33203125" style="1393" customWidth="1"/>
    <col min="1491" max="1491" width="17" style="1393" customWidth="1"/>
    <col min="1492" max="1492" width="24.88671875" style="1393" customWidth="1"/>
    <col min="1493" max="1493" width="14.44140625" style="1393" customWidth="1"/>
    <col min="1494" max="1494" width="23.109375" style="1393" customWidth="1"/>
    <col min="1495" max="1495" width="13.109375" style="1393" customWidth="1"/>
    <col min="1496" max="1499" width="0" style="1393" hidden="1" customWidth="1"/>
    <col min="1500" max="1735" width="10.33203125" style="1393"/>
    <col min="1736" max="1736" width="7" style="1393" customWidth="1"/>
    <col min="1737" max="1737" width="13" style="1393" customWidth="1"/>
    <col min="1738" max="1738" width="14.109375" style="1393" customWidth="1"/>
    <col min="1739" max="1739" width="17.33203125" style="1393" customWidth="1"/>
    <col min="1740" max="1740" width="18.88671875" style="1393" customWidth="1"/>
    <col min="1741" max="1741" width="14.109375" style="1393" customWidth="1"/>
    <col min="1742" max="1742" width="21.5546875" style="1393" customWidth="1"/>
    <col min="1743" max="1744" width="14.109375" style="1393" customWidth="1"/>
    <col min="1745" max="1745" width="15" style="1393" customWidth="1"/>
    <col min="1746" max="1746" width="13.33203125" style="1393" customWidth="1"/>
    <col min="1747" max="1747" width="17" style="1393" customWidth="1"/>
    <col min="1748" max="1748" width="24.88671875" style="1393" customWidth="1"/>
    <col min="1749" max="1749" width="14.44140625" style="1393" customWidth="1"/>
    <col min="1750" max="1750" width="23.109375" style="1393" customWidth="1"/>
    <col min="1751" max="1751" width="13.109375" style="1393" customWidth="1"/>
    <col min="1752" max="1755" width="0" style="1393" hidden="1" customWidth="1"/>
    <col min="1756" max="1991" width="10.33203125" style="1393"/>
    <col min="1992" max="1992" width="7" style="1393" customWidth="1"/>
    <col min="1993" max="1993" width="13" style="1393" customWidth="1"/>
    <col min="1994" max="1994" width="14.109375" style="1393" customWidth="1"/>
    <col min="1995" max="1995" width="17.33203125" style="1393" customWidth="1"/>
    <col min="1996" max="1996" width="18.88671875" style="1393" customWidth="1"/>
    <col min="1997" max="1997" width="14.109375" style="1393" customWidth="1"/>
    <col min="1998" max="1998" width="21.5546875" style="1393" customWidth="1"/>
    <col min="1999" max="2000" width="14.109375" style="1393" customWidth="1"/>
    <col min="2001" max="2001" width="15" style="1393" customWidth="1"/>
    <col min="2002" max="2002" width="13.33203125" style="1393" customWidth="1"/>
    <col min="2003" max="2003" width="17" style="1393" customWidth="1"/>
    <col min="2004" max="2004" width="24.88671875" style="1393" customWidth="1"/>
    <col min="2005" max="2005" width="14.44140625" style="1393" customWidth="1"/>
    <col min="2006" max="2006" width="23.109375" style="1393" customWidth="1"/>
    <col min="2007" max="2007" width="13.109375" style="1393" customWidth="1"/>
    <col min="2008" max="2011" width="0" style="1393" hidden="1" customWidth="1"/>
    <col min="2012" max="2247" width="10.33203125" style="1393"/>
    <col min="2248" max="2248" width="7" style="1393" customWidth="1"/>
    <col min="2249" max="2249" width="13" style="1393" customWidth="1"/>
    <col min="2250" max="2250" width="14.109375" style="1393" customWidth="1"/>
    <col min="2251" max="2251" width="17.33203125" style="1393" customWidth="1"/>
    <col min="2252" max="2252" width="18.88671875" style="1393" customWidth="1"/>
    <col min="2253" max="2253" width="14.109375" style="1393" customWidth="1"/>
    <col min="2254" max="2254" width="21.5546875" style="1393" customWidth="1"/>
    <col min="2255" max="2256" width="14.109375" style="1393" customWidth="1"/>
    <col min="2257" max="2257" width="15" style="1393" customWidth="1"/>
    <col min="2258" max="2258" width="13.33203125" style="1393" customWidth="1"/>
    <col min="2259" max="2259" width="17" style="1393" customWidth="1"/>
    <col min="2260" max="2260" width="24.88671875" style="1393" customWidth="1"/>
    <col min="2261" max="2261" width="14.44140625" style="1393" customWidth="1"/>
    <col min="2262" max="2262" width="23.109375" style="1393" customWidth="1"/>
    <col min="2263" max="2263" width="13.109375" style="1393" customWidth="1"/>
    <col min="2264" max="2267" width="0" style="1393" hidden="1" customWidth="1"/>
    <col min="2268" max="2503" width="10.33203125" style="1393"/>
    <col min="2504" max="2504" width="7" style="1393" customWidth="1"/>
    <col min="2505" max="2505" width="13" style="1393" customWidth="1"/>
    <col min="2506" max="2506" width="14.109375" style="1393" customWidth="1"/>
    <col min="2507" max="2507" width="17.33203125" style="1393" customWidth="1"/>
    <col min="2508" max="2508" width="18.88671875" style="1393" customWidth="1"/>
    <col min="2509" max="2509" width="14.109375" style="1393" customWidth="1"/>
    <col min="2510" max="2510" width="21.5546875" style="1393" customWidth="1"/>
    <col min="2511" max="2512" width="14.109375" style="1393" customWidth="1"/>
    <col min="2513" max="2513" width="15" style="1393" customWidth="1"/>
    <col min="2514" max="2514" width="13.33203125" style="1393" customWidth="1"/>
    <col min="2515" max="2515" width="17" style="1393" customWidth="1"/>
    <col min="2516" max="2516" width="24.88671875" style="1393" customWidth="1"/>
    <col min="2517" max="2517" width="14.44140625" style="1393" customWidth="1"/>
    <col min="2518" max="2518" width="23.109375" style="1393" customWidth="1"/>
    <col min="2519" max="2519" width="13.109375" style="1393" customWidth="1"/>
    <col min="2520" max="2523" width="0" style="1393" hidden="1" customWidth="1"/>
    <col min="2524" max="2759" width="10.33203125" style="1393"/>
    <col min="2760" max="2760" width="7" style="1393" customWidth="1"/>
    <col min="2761" max="2761" width="13" style="1393" customWidth="1"/>
    <col min="2762" max="2762" width="14.109375" style="1393" customWidth="1"/>
    <col min="2763" max="2763" width="17.33203125" style="1393" customWidth="1"/>
    <col min="2764" max="2764" width="18.88671875" style="1393" customWidth="1"/>
    <col min="2765" max="2765" width="14.109375" style="1393" customWidth="1"/>
    <col min="2766" max="2766" width="21.5546875" style="1393" customWidth="1"/>
    <col min="2767" max="2768" width="14.109375" style="1393" customWidth="1"/>
    <col min="2769" max="2769" width="15" style="1393" customWidth="1"/>
    <col min="2770" max="2770" width="13.33203125" style="1393" customWidth="1"/>
    <col min="2771" max="2771" width="17" style="1393" customWidth="1"/>
    <col min="2772" max="2772" width="24.88671875" style="1393" customWidth="1"/>
    <col min="2773" max="2773" width="14.44140625" style="1393" customWidth="1"/>
    <col min="2774" max="2774" width="23.109375" style="1393" customWidth="1"/>
    <col min="2775" max="2775" width="13.109375" style="1393" customWidth="1"/>
    <col min="2776" max="2779" width="0" style="1393" hidden="1" customWidth="1"/>
    <col min="2780" max="3015" width="10.33203125" style="1393"/>
    <col min="3016" max="3016" width="7" style="1393" customWidth="1"/>
    <col min="3017" max="3017" width="13" style="1393" customWidth="1"/>
    <col min="3018" max="3018" width="14.109375" style="1393" customWidth="1"/>
    <col min="3019" max="3019" width="17.33203125" style="1393" customWidth="1"/>
    <col min="3020" max="3020" width="18.88671875" style="1393" customWidth="1"/>
    <col min="3021" max="3021" width="14.109375" style="1393" customWidth="1"/>
    <col min="3022" max="3022" width="21.5546875" style="1393" customWidth="1"/>
    <col min="3023" max="3024" width="14.109375" style="1393" customWidth="1"/>
    <col min="3025" max="3025" width="15" style="1393" customWidth="1"/>
    <col min="3026" max="3026" width="13.33203125" style="1393" customWidth="1"/>
    <col min="3027" max="3027" width="17" style="1393" customWidth="1"/>
    <col min="3028" max="3028" width="24.88671875" style="1393" customWidth="1"/>
    <col min="3029" max="3029" width="14.44140625" style="1393" customWidth="1"/>
    <col min="3030" max="3030" width="23.109375" style="1393" customWidth="1"/>
    <col min="3031" max="3031" width="13.109375" style="1393" customWidth="1"/>
    <col min="3032" max="3035" width="0" style="1393" hidden="1" customWidth="1"/>
    <col min="3036" max="3271" width="10.33203125" style="1393"/>
    <col min="3272" max="3272" width="7" style="1393" customWidth="1"/>
    <col min="3273" max="3273" width="13" style="1393" customWidth="1"/>
    <col min="3274" max="3274" width="14.109375" style="1393" customWidth="1"/>
    <col min="3275" max="3275" width="17.33203125" style="1393" customWidth="1"/>
    <col min="3276" max="3276" width="18.88671875" style="1393" customWidth="1"/>
    <col min="3277" max="3277" width="14.109375" style="1393" customWidth="1"/>
    <col min="3278" max="3278" width="21.5546875" style="1393" customWidth="1"/>
    <col min="3279" max="3280" width="14.109375" style="1393" customWidth="1"/>
    <col min="3281" max="3281" width="15" style="1393" customWidth="1"/>
    <col min="3282" max="3282" width="13.33203125" style="1393" customWidth="1"/>
    <col min="3283" max="3283" width="17" style="1393" customWidth="1"/>
    <col min="3284" max="3284" width="24.88671875" style="1393" customWidth="1"/>
    <col min="3285" max="3285" width="14.44140625" style="1393" customWidth="1"/>
    <col min="3286" max="3286" width="23.109375" style="1393" customWidth="1"/>
    <col min="3287" max="3287" width="13.109375" style="1393" customWidth="1"/>
    <col min="3288" max="3291" width="0" style="1393" hidden="1" customWidth="1"/>
    <col min="3292" max="3527" width="10.33203125" style="1393"/>
    <col min="3528" max="3528" width="7" style="1393" customWidth="1"/>
    <col min="3529" max="3529" width="13" style="1393" customWidth="1"/>
    <col min="3530" max="3530" width="14.109375" style="1393" customWidth="1"/>
    <col min="3531" max="3531" width="17.33203125" style="1393" customWidth="1"/>
    <col min="3532" max="3532" width="18.88671875" style="1393" customWidth="1"/>
    <col min="3533" max="3533" width="14.109375" style="1393" customWidth="1"/>
    <col min="3534" max="3534" width="21.5546875" style="1393" customWidth="1"/>
    <col min="3535" max="3536" width="14.109375" style="1393" customWidth="1"/>
    <col min="3537" max="3537" width="15" style="1393" customWidth="1"/>
    <col min="3538" max="3538" width="13.33203125" style="1393" customWidth="1"/>
    <col min="3539" max="3539" width="17" style="1393" customWidth="1"/>
    <col min="3540" max="3540" width="24.88671875" style="1393" customWidth="1"/>
    <col min="3541" max="3541" width="14.44140625" style="1393" customWidth="1"/>
    <col min="3542" max="3542" width="23.109375" style="1393" customWidth="1"/>
    <col min="3543" max="3543" width="13.109375" style="1393" customWidth="1"/>
    <col min="3544" max="3547" width="0" style="1393" hidden="1" customWidth="1"/>
    <col min="3548" max="3783" width="10.33203125" style="1393"/>
    <col min="3784" max="3784" width="7" style="1393" customWidth="1"/>
    <col min="3785" max="3785" width="13" style="1393" customWidth="1"/>
    <col min="3786" max="3786" width="14.109375" style="1393" customWidth="1"/>
    <col min="3787" max="3787" width="17.33203125" style="1393" customWidth="1"/>
    <col min="3788" max="3788" width="18.88671875" style="1393" customWidth="1"/>
    <col min="3789" max="3789" width="14.109375" style="1393" customWidth="1"/>
    <col min="3790" max="3790" width="21.5546875" style="1393" customWidth="1"/>
    <col min="3791" max="3792" width="14.109375" style="1393" customWidth="1"/>
    <col min="3793" max="3793" width="15" style="1393" customWidth="1"/>
    <col min="3794" max="3794" width="13.33203125" style="1393" customWidth="1"/>
    <col min="3795" max="3795" width="17" style="1393" customWidth="1"/>
    <col min="3796" max="3796" width="24.88671875" style="1393" customWidth="1"/>
    <col min="3797" max="3797" width="14.44140625" style="1393" customWidth="1"/>
    <col min="3798" max="3798" width="23.109375" style="1393" customWidth="1"/>
    <col min="3799" max="3799" width="13.109375" style="1393" customWidth="1"/>
    <col min="3800" max="3803" width="0" style="1393" hidden="1" customWidth="1"/>
    <col min="3804" max="4039" width="10.33203125" style="1393"/>
    <col min="4040" max="4040" width="7" style="1393" customWidth="1"/>
    <col min="4041" max="4041" width="13" style="1393" customWidth="1"/>
    <col min="4042" max="4042" width="14.109375" style="1393" customWidth="1"/>
    <col min="4043" max="4043" width="17.33203125" style="1393" customWidth="1"/>
    <col min="4044" max="4044" width="18.88671875" style="1393" customWidth="1"/>
    <col min="4045" max="4045" width="14.109375" style="1393" customWidth="1"/>
    <col min="4046" max="4046" width="21.5546875" style="1393" customWidth="1"/>
    <col min="4047" max="4048" width="14.109375" style="1393" customWidth="1"/>
    <col min="4049" max="4049" width="15" style="1393" customWidth="1"/>
    <col min="4050" max="4050" width="13.33203125" style="1393" customWidth="1"/>
    <col min="4051" max="4051" width="17" style="1393" customWidth="1"/>
    <col min="4052" max="4052" width="24.88671875" style="1393" customWidth="1"/>
    <col min="4053" max="4053" width="14.44140625" style="1393" customWidth="1"/>
    <col min="4054" max="4054" width="23.109375" style="1393" customWidth="1"/>
    <col min="4055" max="4055" width="13.109375" style="1393" customWidth="1"/>
    <col min="4056" max="4059" width="0" style="1393" hidden="1" customWidth="1"/>
    <col min="4060" max="4295" width="10.33203125" style="1393"/>
    <col min="4296" max="4296" width="7" style="1393" customWidth="1"/>
    <col min="4297" max="4297" width="13" style="1393" customWidth="1"/>
    <col min="4298" max="4298" width="14.109375" style="1393" customWidth="1"/>
    <col min="4299" max="4299" width="17.33203125" style="1393" customWidth="1"/>
    <col min="4300" max="4300" width="18.88671875" style="1393" customWidth="1"/>
    <col min="4301" max="4301" width="14.109375" style="1393" customWidth="1"/>
    <col min="4302" max="4302" width="21.5546875" style="1393" customWidth="1"/>
    <col min="4303" max="4304" width="14.109375" style="1393" customWidth="1"/>
    <col min="4305" max="4305" width="15" style="1393" customWidth="1"/>
    <col min="4306" max="4306" width="13.33203125" style="1393" customWidth="1"/>
    <col min="4307" max="4307" width="17" style="1393" customWidth="1"/>
    <col min="4308" max="4308" width="24.88671875" style="1393" customWidth="1"/>
    <col min="4309" max="4309" width="14.44140625" style="1393" customWidth="1"/>
    <col min="4310" max="4310" width="23.109375" style="1393" customWidth="1"/>
    <col min="4311" max="4311" width="13.109375" style="1393" customWidth="1"/>
    <col min="4312" max="4315" width="0" style="1393" hidden="1" customWidth="1"/>
    <col min="4316" max="4551" width="10.33203125" style="1393"/>
    <col min="4552" max="4552" width="7" style="1393" customWidth="1"/>
    <col min="4553" max="4553" width="13" style="1393" customWidth="1"/>
    <col min="4554" max="4554" width="14.109375" style="1393" customWidth="1"/>
    <col min="4555" max="4555" width="17.33203125" style="1393" customWidth="1"/>
    <col min="4556" max="4556" width="18.88671875" style="1393" customWidth="1"/>
    <col min="4557" max="4557" width="14.109375" style="1393" customWidth="1"/>
    <col min="4558" max="4558" width="21.5546875" style="1393" customWidth="1"/>
    <col min="4559" max="4560" width="14.109375" style="1393" customWidth="1"/>
    <col min="4561" max="4561" width="15" style="1393" customWidth="1"/>
    <col min="4562" max="4562" width="13.33203125" style="1393" customWidth="1"/>
    <col min="4563" max="4563" width="17" style="1393" customWidth="1"/>
    <col min="4564" max="4564" width="24.88671875" style="1393" customWidth="1"/>
    <col min="4565" max="4565" width="14.44140625" style="1393" customWidth="1"/>
    <col min="4566" max="4566" width="23.109375" style="1393" customWidth="1"/>
    <col min="4567" max="4567" width="13.109375" style="1393" customWidth="1"/>
    <col min="4568" max="4571" width="0" style="1393" hidden="1" customWidth="1"/>
    <col min="4572" max="4807" width="10.33203125" style="1393"/>
    <col min="4808" max="4808" width="7" style="1393" customWidth="1"/>
    <col min="4809" max="4809" width="13" style="1393" customWidth="1"/>
    <col min="4810" max="4810" width="14.109375" style="1393" customWidth="1"/>
    <col min="4811" max="4811" width="17.33203125" style="1393" customWidth="1"/>
    <col min="4812" max="4812" width="18.88671875" style="1393" customWidth="1"/>
    <col min="4813" max="4813" width="14.109375" style="1393" customWidth="1"/>
    <col min="4814" max="4814" width="21.5546875" style="1393" customWidth="1"/>
    <col min="4815" max="4816" width="14.109375" style="1393" customWidth="1"/>
    <col min="4817" max="4817" width="15" style="1393" customWidth="1"/>
    <col min="4818" max="4818" width="13.33203125" style="1393" customWidth="1"/>
    <col min="4819" max="4819" width="17" style="1393" customWidth="1"/>
    <col min="4820" max="4820" width="24.88671875" style="1393" customWidth="1"/>
    <col min="4821" max="4821" width="14.44140625" style="1393" customWidth="1"/>
    <col min="4822" max="4822" width="23.109375" style="1393" customWidth="1"/>
    <col min="4823" max="4823" width="13.109375" style="1393" customWidth="1"/>
    <col min="4824" max="4827" width="0" style="1393" hidden="1" customWidth="1"/>
    <col min="4828" max="5063" width="10.33203125" style="1393"/>
    <col min="5064" max="5064" width="7" style="1393" customWidth="1"/>
    <col min="5065" max="5065" width="13" style="1393" customWidth="1"/>
    <col min="5066" max="5066" width="14.109375" style="1393" customWidth="1"/>
    <col min="5067" max="5067" width="17.33203125" style="1393" customWidth="1"/>
    <col min="5068" max="5068" width="18.88671875" style="1393" customWidth="1"/>
    <col min="5069" max="5069" width="14.109375" style="1393" customWidth="1"/>
    <col min="5070" max="5070" width="21.5546875" style="1393" customWidth="1"/>
    <col min="5071" max="5072" width="14.109375" style="1393" customWidth="1"/>
    <col min="5073" max="5073" width="15" style="1393" customWidth="1"/>
    <col min="5074" max="5074" width="13.33203125" style="1393" customWidth="1"/>
    <col min="5075" max="5075" width="17" style="1393" customWidth="1"/>
    <col min="5076" max="5076" width="24.88671875" style="1393" customWidth="1"/>
    <col min="5077" max="5077" width="14.44140625" style="1393" customWidth="1"/>
    <col min="5078" max="5078" width="23.109375" style="1393" customWidth="1"/>
    <col min="5079" max="5079" width="13.109375" style="1393" customWidth="1"/>
    <col min="5080" max="5083" width="0" style="1393" hidden="1" customWidth="1"/>
    <col min="5084" max="5319" width="10.33203125" style="1393"/>
    <col min="5320" max="5320" width="7" style="1393" customWidth="1"/>
    <col min="5321" max="5321" width="13" style="1393" customWidth="1"/>
    <col min="5322" max="5322" width="14.109375" style="1393" customWidth="1"/>
    <col min="5323" max="5323" width="17.33203125" style="1393" customWidth="1"/>
    <col min="5324" max="5324" width="18.88671875" style="1393" customWidth="1"/>
    <col min="5325" max="5325" width="14.109375" style="1393" customWidth="1"/>
    <col min="5326" max="5326" width="21.5546875" style="1393" customWidth="1"/>
    <col min="5327" max="5328" width="14.109375" style="1393" customWidth="1"/>
    <col min="5329" max="5329" width="15" style="1393" customWidth="1"/>
    <col min="5330" max="5330" width="13.33203125" style="1393" customWidth="1"/>
    <col min="5331" max="5331" width="17" style="1393" customWidth="1"/>
    <col min="5332" max="5332" width="24.88671875" style="1393" customWidth="1"/>
    <col min="5333" max="5333" width="14.44140625" style="1393" customWidth="1"/>
    <col min="5334" max="5334" width="23.109375" style="1393" customWidth="1"/>
    <col min="5335" max="5335" width="13.109375" style="1393" customWidth="1"/>
    <col min="5336" max="5339" width="0" style="1393" hidden="1" customWidth="1"/>
    <col min="5340" max="5575" width="10.33203125" style="1393"/>
    <col min="5576" max="5576" width="7" style="1393" customWidth="1"/>
    <col min="5577" max="5577" width="13" style="1393" customWidth="1"/>
    <col min="5578" max="5578" width="14.109375" style="1393" customWidth="1"/>
    <col min="5579" max="5579" width="17.33203125" style="1393" customWidth="1"/>
    <col min="5580" max="5580" width="18.88671875" style="1393" customWidth="1"/>
    <col min="5581" max="5581" width="14.109375" style="1393" customWidth="1"/>
    <col min="5582" max="5582" width="21.5546875" style="1393" customWidth="1"/>
    <col min="5583" max="5584" width="14.109375" style="1393" customWidth="1"/>
    <col min="5585" max="5585" width="15" style="1393" customWidth="1"/>
    <col min="5586" max="5586" width="13.33203125" style="1393" customWidth="1"/>
    <col min="5587" max="5587" width="17" style="1393" customWidth="1"/>
    <col min="5588" max="5588" width="24.88671875" style="1393" customWidth="1"/>
    <col min="5589" max="5589" width="14.44140625" style="1393" customWidth="1"/>
    <col min="5590" max="5590" width="23.109375" style="1393" customWidth="1"/>
    <col min="5591" max="5591" width="13.109375" style="1393" customWidth="1"/>
    <col min="5592" max="5595" width="0" style="1393" hidden="1" customWidth="1"/>
    <col min="5596" max="5831" width="10.33203125" style="1393"/>
    <col min="5832" max="5832" width="7" style="1393" customWidth="1"/>
    <col min="5833" max="5833" width="13" style="1393" customWidth="1"/>
    <col min="5834" max="5834" width="14.109375" style="1393" customWidth="1"/>
    <col min="5835" max="5835" width="17.33203125" style="1393" customWidth="1"/>
    <col min="5836" max="5836" width="18.88671875" style="1393" customWidth="1"/>
    <col min="5837" max="5837" width="14.109375" style="1393" customWidth="1"/>
    <col min="5838" max="5838" width="21.5546875" style="1393" customWidth="1"/>
    <col min="5839" max="5840" width="14.109375" style="1393" customWidth="1"/>
    <col min="5841" max="5841" width="15" style="1393" customWidth="1"/>
    <col min="5842" max="5842" width="13.33203125" style="1393" customWidth="1"/>
    <col min="5843" max="5843" width="17" style="1393" customWidth="1"/>
    <col min="5844" max="5844" width="24.88671875" style="1393" customWidth="1"/>
    <col min="5845" max="5845" width="14.44140625" style="1393" customWidth="1"/>
    <col min="5846" max="5846" width="23.109375" style="1393" customWidth="1"/>
    <col min="5847" max="5847" width="13.109375" style="1393" customWidth="1"/>
    <col min="5848" max="5851" width="0" style="1393" hidden="1" customWidth="1"/>
    <col min="5852" max="6087" width="10.33203125" style="1393"/>
    <col min="6088" max="6088" width="7" style="1393" customWidth="1"/>
    <col min="6089" max="6089" width="13" style="1393" customWidth="1"/>
    <col min="6090" max="6090" width="14.109375" style="1393" customWidth="1"/>
    <col min="6091" max="6091" width="17.33203125" style="1393" customWidth="1"/>
    <col min="6092" max="6092" width="18.88671875" style="1393" customWidth="1"/>
    <col min="6093" max="6093" width="14.109375" style="1393" customWidth="1"/>
    <col min="6094" max="6094" width="21.5546875" style="1393" customWidth="1"/>
    <col min="6095" max="6096" width="14.109375" style="1393" customWidth="1"/>
    <col min="6097" max="6097" width="15" style="1393" customWidth="1"/>
    <col min="6098" max="6098" width="13.33203125" style="1393" customWidth="1"/>
    <col min="6099" max="6099" width="17" style="1393" customWidth="1"/>
    <col min="6100" max="6100" width="24.88671875" style="1393" customWidth="1"/>
    <col min="6101" max="6101" width="14.44140625" style="1393" customWidth="1"/>
    <col min="6102" max="6102" width="23.109375" style="1393" customWidth="1"/>
    <col min="6103" max="6103" width="13.109375" style="1393" customWidth="1"/>
    <col min="6104" max="6107" width="0" style="1393" hidden="1" customWidth="1"/>
    <col min="6108" max="6343" width="10.33203125" style="1393"/>
    <col min="6344" max="6344" width="7" style="1393" customWidth="1"/>
    <col min="6345" max="6345" width="13" style="1393" customWidth="1"/>
    <col min="6346" max="6346" width="14.109375" style="1393" customWidth="1"/>
    <col min="6347" max="6347" width="17.33203125" style="1393" customWidth="1"/>
    <col min="6348" max="6348" width="18.88671875" style="1393" customWidth="1"/>
    <col min="6349" max="6349" width="14.109375" style="1393" customWidth="1"/>
    <col min="6350" max="6350" width="21.5546875" style="1393" customWidth="1"/>
    <col min="6351" max="6352" width="14.109375" style="1393" customWidth="1"/>
    <col min="6353" max="6353" width="15" style="1393" customWidth="1"/>
    <col min="6354" max="6354" width="13.33203125" style="1393" customWidth="1"/>
    <col min="6355" max="6355" width="17" style="1393" customWidth="1"/>
    <col min="6356" max="6356" width="24.88671875" style="1393" customWidth="1"/>
    <col min="6357" max="6357" width="14.44140625" style="1393" customWidth="1"/>
    <col min="6358" max="6358" width="23.109375" style="1393" customWidth="1"/>
    <col min="6359" max="6359" width="13.109375" style="1393" customWidth="1"/>
    <col min="6360" max="6363" width="0" style="1393" hidden="1" customWidth="1"/>
    <col min="6364" max="6599" width="10.33203125" style="1393"/>
    <col min="6600" max="6600" width="7" style="1393" customWidth="1"/>
    <col min="6601" max="6601" width="13" style="1393" customWidth="1"/>
    <col min="6602" max="6602" width="14.109375" style="1393" customWidth="1"/>
    <col min="6603" max="6603" width="17.33203125" style="1393" customWidth="1"/>
    <col min="6604" max="6604" width="18.88671875" style="1393" customWidth="1"/>
    <col min="6605" max="6605" width="14.109375" style="1393" customWidth="1"/>
    <col min="6606" max="6606" width="21.5546875" style="1393" customWidth="1"/>
    <col min="6607" max="6608" width="14.109375" style="1393" customWidth="1"/>
    <col min="6609" max="6609" width="15" style="1393" customWidth="1"/>
    <col min="6610" max="6610" width="13.33203125" style="1393" customWidth="1"/>
    <col min="6611" max="6611" width="17" style="1393" customWidth="1"/>
    <col min="6612" max="6612" width="24.88671875" style="1393" customWidth="1"/>
    <col min="6613" max="6613" width="14.44140625" style="1393" customWidth="1"/>
    <col min="6614" max="6614" width="23.109375" style="1393" customWidth="1"/>
    <col min="6615" max="6615" width="13.109375" style="1393" customWidth="1"/>
    <col min="6616" max="6619" width="0" style="1393" hidden="1" customWidth="1"/>
    <col min="6620" max="6855" width="10.33203125" style="1393"/>
    <col min="6856" max="6856" width="7" style="1393" customWidth="1"/>
    <col min="6857" max="6857" width="13" style="1393" customWidth="1"/>
    <col min="6858" max="6858" width="14.109375" style="1393" customWidth="1"/>
    <col min="6859" max="6859" width="17.33203125" style="1393" customWidth="1"/>
    <col min="6860" max="6860" width="18.88671875" style="1393" customWidth="1"/>
    <col min="6861" max="6861" width="14.109375" style="1393" customWidth="1"/>
    <col min="6862" max="6862" width="21.5546875" style="1393" customWidth="1"/>
    <col min="6863" max="6864" width="14.109375" style="1393" customWidth="1"/>
    <col min="6865" max="6865" width="15" style="1393" customWidth="1"/>
    <col min="6866" max="6866" width="13.33203125" style="1393" customWidth="1"/>
    <col min="6867" max="6867" width="17" style="1393" customWidth="1"/>
    <col min="6868" max="6868" width="24.88671875" style="1393" customWidth="1"/>
    <col min="6869" max="6869" width="14.44140625" style="1393" customWidth="1"/>
    <col min="6870" max="6870" width="23.109375" style="1393" customWidth="1"/>
    <col min="6871" max="6871" width="13.109375" style="1393" customWidth="1"/>
    <col min="6872" max="6875" width="0" style="1393" hidden="1" customWidth="1"/>
    <col min="6876" max="7111" width="10.33203125" style="1393"/>
    <col min="7112" max="7112" width="7" style="1393" customWidth="1"/>
    <col min="7113" max="7113" width="13" style="1393" customWidth="1"/>
    <col min="7114" max="7114" width="14.109375" style="1393" customWidth="1"/>
    <col min="7115" max="7115" width="17.33203125" style="1393" customWidth="1"/>
    <col min="7116" max="7116" width="18.88671875" style="1393" customWidth="1"/>
    <col min="7117" max="7117" width="14.109375" style="1393" customWidth="1"/>
    <col min="7118" max="7118" width="21.5546875" style="1393" customWidth="1"/>
    <col min="7119" max="7120" width="14.109375" style="1393" customWidth="1"/>
    <col min="7121" max="7121" width="15" style="1393" customWidth="1"/>
    <col min="7122" max="7122" width="13.33203125" style="1393" customWidth="1"/>
    <col min="7123" max="7123" width="17" style="1393" customWidth="1"/>
    <col min="7124" max="7124" width="24.88671875" style="1393" customWidth="1"/>
    <col min="7125" max="7125" width="14.44140625" style="1393" customWidth="1"/>
    <col min="7126" max="7126" width="23.109375" style="1393" customWidth="1"/>
    <col min="7127" max="7127" width="13.109375" style="1393" customWidth="1"/>
    <col min="7128" max="7131" width="0" style="1393" hidden="1" customWidth="1"/>
    <col min="7132" max="7367" width="10.33203125" style="1393"/>
    <col min="7368" max="7368" width="7" style="1393" customWidth="1"/>
    <col min="7369" max="7369" width="13" style="1393" customWidth="1"/>
    <col min="7370" max="7370" width="14.109375" style="1393" customWidth="1"/>
    <col min="7371" max="7371" width="17.33203125" style="1393" customWidth="1"/>
    <col min="7372" max="7372" width="18.88671875" style="1393" customWidth="1"/>
    <col min="7373" max="7373" width="14.109375" style="1393" customWidth="1"/>
    <col min="7374" max="7374" width="21.5546875" style="1393" customWidth="1"/>
    <col min="7375" max="7376" width="14.109375" style="1393" customWidth="1"/>
    <col min="7377" max="7377" width="15" style="1393" customWidth="1"/>
    <col min="7378" max="7378" width="13.33203125" style="1393" customWidth="1"/>
    <col min="7379" max="7379" width="17" style="1393" customWidth="1"/>
    <col min="7380" max="7380" width="24.88671875" style="1393" customWidth="1"/>
    <col min="7381" max="7381" width="14.44140625" style="1393" customWidth="1"/>
    <col min="7382" max="7382" width="23.109375" style="1393" customWidth="1"/>
    <col min="7383" max="7383" width="13.109375" style="1393" customWidth="1"/>
    <col min="7384" max="7387" width="0" style="1393" hidden="1" customWidth="1"/>
    <col min="7388" max="7623" width="10.33203125" style="1393"/>
    <col min="7624" max="7624" width="7" style="1393" customWidth="1"/>
    <col min="7625" max="7625" width="13" style="1393" customWidth="1"/>
    <col min="7626" max="7626" width="14.109375" style="1393" customWidth="1"/>
    <col min="7627" max="7627" width="17.33203125" style="1393" customWidth="1"/>
    <col min="7628" max="7628" width="18.88671875" style="1393" customWidth="1"/>
    <col min="7629" max="7629" width="14.109375" style="1393" customWidth="1"/>
    <col min="7630" max="7630" width="21.5546875" style="1393" customWidth="1"/>
    <col min="7631" max="7632" width="14.109375" style="1393" customWidth="1"/>
    <col min="7633" max="7633" width="15" style="1393" customWidth="1"/>
    <col min="7634" max="7634" width="13.33203125" style="1393" customWidth="1"/>
    <col min="7635" max="7635" width="17" style="1393" customWidth="1"/>
    <col min="7636" max="7636" width="24.88671875" style="1393" customWidth="1"/>
    <col min="7637" max="7637" width="14.44140625" style="1393" customWidth="1"/>
    <col min="7638" max="7638" width="23.109375" style="1393" customWidth="1"/>
    <col min="7639" max="7639" width="13.109375" style="1393" customWidth="1"/>
    <col min="7640" max="7643" width="0" style="1393" hidden="1" customWidth="1"/>
    <col min="7644" max="7879" width="10.33203125" style="1393"/>
    <col min="7880" max="7880" width="7" style="1393" customWidth="1"/>
    <col min="7881" max="7881" width="13" style="1393" customWidth="1"/>
    <col min="7882" max="7882" width="14.109375" style="1393" customWidth="1"/>
    <col min="7883" max="7883" width="17.33203125" style="1393" customWidth="1"/>
    <col min="7884" max="7884" width="18.88671875" style="1393" customWidth="1"/>
    <col min="7885" max="7885" width="14.109375" style="1393" customWidth="1"/>
    <col min="7886" max="7886" width="21.5546875" style="1393" customWidth="1"/>
    <col min="7887" max="7888" width="14.109375" style="1393" customWidth="1"/>
    <col min="7889" max="7889" width="15" style="1393" customWidth="1"/>
    <col min="7890" max="7890" width="13.33203125" style="1393" customWidth="1"/>
    <col min="7891" max="7891" width="17" style="1393" customWidth="1"/>
    <col min="7892" max="7892" width="24.88671875" style="1393" customWidth="1"/>
    <col min="7893" max="7893" width="14.44140625" style="1393" customWidth="1"/>
    <col min="7894" max="7894" width="23.109375" style="1393" customWidth="1"/>
    <col min="7895" max="7895" width="13.109375" style="1393" customWidth="1"/>
    <col min="7896" max="7899" width="0" style="1393" hidden="1" customWidth="1"/>
    <col min="7900" max="8135" width="10.33203125" style="1393"/>
    <col min="8136" max="8136" width="7" style="1393" customWidth="1"/>
    <col min="8137" max="8137" width="13" style="1393" customWidth="1"/>
    <col min="8138" max="8138" width="14.109375" style="1393" customWidth="1"/>
    <col min="8139" max="8139" width="17.33203125" style="1393" customWidth="1"/>
    <col min="8140" max="8140" width="18.88671875" style="1393" customWidth="1"/>
    <col min="8141" max="8141" width="14.109375" style="1393" customWidth="1"/>
    <col min="8142" max="8142" width="21.5546875" style="1393" customWidth="1"/>
    <col min="8143" max="8144" width="14.109375" style="1393" customWidth="1"/>
    <col min="8145" max="8145" width="15" style="1393" customWidth="1"/>
    <col min="8146" max="8146" width="13.33203125" style="1393" customWidth="1"/>
    <col min="8147" max="8147" width="17" style="1393" customWidth="1"/>
    <col min="8148" max="8148" width="24.88671875" style="1393" customWidth="1"/>
    <col min="8149" max="8149" width="14.44140625" style="1393" customWidth="1"/>
    <col min="8150" max="8150" width="23.109375" style="1393" customWidth="1"/>
    <col min="8151" max="8151" width="13.109375" style="1393" customWidth="1"/>
    <col min="8152" max="8155" width="0" style="1393" hidden="1" customWidth="1"/>
    <col min="8156" max="8391" width="10.33203125" style="1393"/>
    <col min="8392" max="8392" width="7" style="1393" customWidth="1"/>
    <col min="8393" max="8393" width="13" style="1393" customWidth="1"/>
    <col min="8394" max="8394" width="14.109375" style="1393" customWidth="1"/>
    <col min="8395" max="8395" width="17.33203125" style="1393" customWidth="1"/>
    <col min="8396" max="8396" width="18.88671875" style="1393" customWidth="1"/>
    <col min="8397" max="8397" width="14.109375" style="1393" customWidth="1"/>
    <col min="8398" max="8398" width="21.5546875" style="1393" customWidth="1"/>
    <col min="8399" max="8400" width="14.109375" style="1393" customWidth="1"/>
    <col min="8401" max="8401" width="15" style="1393" customWidth="1"/>
    <col min="8402" max="8402" width="13.33203125" style="1393" customWidth="1"/>
    <col min="8403" max="8403" width="17" style="1393" customWidth="1"/>
    <col min="8404" max="8404" width="24.88671875" style="1393" customWidth="1"/>
    <col min="8405" max="8405" width="14.44140625" style="1393" customWidth="1"/>
    <col min="8406" max="8406" width="23.109375" style="1393" customWidth="1"/>
    <col min="8407" max="8407" width="13.109375" style="1393" customWidth="1"/>
    <col min="8408" max="8411" width="0" style="1393" hidden="1" customWidth="1"/>
    <col min="8412" max="8647" width="10.33203125" style="1393"/>
    <col min="8648" max="8648" width="7" style="1393" customWidth="1"/>
    <col min="8649" max="8649" width="13" style="1393" customWidth="1"/>
    <col min="8650" max="8650" width="14.109375" style="1393" customWidth="1"/>
    <col min="8651" max="8651" width="17.33203125" style="1393" customWidth="1"/>
    <col min="8652" max="8652" width="18.88671875" style="1393" customWidth="1"/>
    <col min="8653" max="8653" width="14.109375" style="1393" customWidth="1"/>
    <col min="8654" max="8654" width="21.5546875" style="1393" customWidth="1"/>
    <col min="8655" max="8656" width="14.109375" style="1393" customWidth="1"/>
    <col min="8657" max="8657" width="15" style="1393" customWidth="1"/>
    <col min="8658" max="8658" width="13.33203125" style="1393" customWidth="1"/>
    <col min="8659" max="8659" width="17" style="1393" customWidth="1"/>
    <col min="8660" max="8660" width="24.88671875" style="1393" customWidth="1"/>
    <col min="8661" max="8661" width="14.44140625" style="1393" customWidth="1"/>
    <col min="8662" max="8662" width="23.109375" style="1393" customWidth="1"/>
    <col min="8663" max="8663" width="13.109375" style="1393" customWidth="1"/>
    <col min="8664" max="8667" width="0" style="1393" hidden="1" customWidth="1"/>
    <col min="8668" max="8903" width="10.33203125" style="1393"/>
    <col min="8904" max="8904" width="7" style="1393" customWidth="1"/>
    <col min="8905" max="8905" width="13" style="1393" customWidth="1"/>
    <col min="8906" max="8906" width="14.109375" style="1393" customWidth="1"/>
    <col min="8907" max="8907" width="17.33203125" style="1393" customWidth="1"/>
    <col min="8908" max="8908" width="18.88671875" style="1393" customWidth="1"/>
    <col min="8909" max="8909" width="14.109375" style="1393" customWidth="1"/>
    <col min="8910" max="8910" width="21.5546875" style="1393" customWidth="1"/>
    <col min="8911" max="8912" width="14.109375" style="1393" customWidth="1"/>
    <col min="8913" max="8913" width="15" style="1393" customWidth="1"/>
    <col min="8914" max="8914" width="13.33203125" style="1393" customWidth="1"/>
    <col min="8915" max="8915" width="17" style="1393" customWidth="1"/>
    <col min="8916" max="8916" width="24.88671875" style="1393" customWidth="1"/>
    <col min="8917" max="8917" width="14.44140625" style="1393" customWidth="1"/>
    <col min="8918" max="8918" width="23.109375" style="1393" customWidth="1"/>
    <col min="8919" max="8919" width="13.109375" style="1393" customWidth="1"/>
    <col min="8920" max="8923" width="0" style="1393" hidden="1" customWidth="1"/>
    <col min="8924" max="9159" width="10.33203125" style="1393"/>
    <col min="9160" max="9160" width="7" style="1393" customWidth="1"/>
    <col min="9161" max="9161" width="13" style="1393" customWidth="1"/>
    <col min="9162" max="9162" width="14.109375" style="1393" customWidth="1"/>
    <col min="9163" max="9163" width="17.33203125" style="1393" customWidth="1"/>
    <col min="9164" max="9164" width="18.88671875" style="1393" customWidth="1"/>
    <col min="9165" max="9165" width="14.109375" style="1393" customWidth="1"/>
    <col min="9166" max="9166" width="21.5546875" style="1393" customWidth="1"/>
    <col min="9167" max="9168" width="14.109375" style="1393" customWidth="1"/>
    <col min="9169" max="9169" width="15" style="1393" customWidth="1"/>
    <col min="9170" max="9170" width="13.33203125" style="1393" customWidth="1"/>
    <col min="9171" max="9171" width="17" style="1393" customWidth="1"/>
    <col min="9172" max="9172" width="24.88671875" style="1393" customWidth="1"/>
    <col min="9173" max="9173" width="14.44140625" style="1393" customWidth="1"/>
    <col min="9174" max="9174" width="23.109375" style="1393" customWidth="1"/>
    <col min="9175" max="9175" width="13.109375" style="1393" customWidth="1"/>
    <col min="9176" max="9179" width="0" style="1393" hidden="1" customWidth="1"/>
    <col min="9180" max="9415" width="10.33203125" style="1393"/>
    <col min="9416" max="9416" width="7" style="1393" customWidth="1"/>
    <col min="9417" max="9417" width="13" style="1393" customWidth="1"/>
    <col min="9418" max="9418" width="14.109375" style="1393" customWidth="1"/>
    <col min="9419" max="9419" width="17.33203125" style="1393" customWidth="1"/>
    <col min="9420" max="9420" width="18.88671875" style="1393" customWidth="1"/>
    <col min="9421" max="9421" width="14.109375" style="1393" customWidth="1"/>
    <col min="9422" max="9422" width="21.5546875" style="1393" customWidth="1"/>
    <col min="9423" max="9424" width="14.109375" style="1393" customWidth="1"/>
    <col min="9425" max="9425" width="15" style="1393" customWidth="1"/>
    <col min="9426" max="9426" width="13.33203125" style="1393" customWidth="1"/>
    <col min="9427" max="9427" width="17" style="1393" customWidth="1"/>
    <col min="9428" max="9428" width="24.88671875" style="1393" customWidth="1"/>
    <col min="9429" max="9429" width="14.44140625" style="1393" customWidth="1"/>
    <col min="9430" max="9430" width="23.109375" style="1393" customWidth="1"/>
    <col min="9431" max="9431" width="13.109375" style="1393" customWidth="1"/>
    <col min="9432" max="9435" width="0" style="1393" hidden="1" customWidth="1"/>
    <col min="9436" max="9671" width="10.33203125" style="1393"/>
    <col min="9672" max="9672" width="7" style="1393" customWidth="1"/>
    <col min="9673" max="9673" width="13" style="1393" customWidth="1"/>
    <col min="9674" max="9674" width="14.109375" style="1393" customWidth="1"/>
    <col min="9675" max="9675" width="17.33203125" style="1393" customWidth="1"/>
    <col min="9676" max="9676" width="18.88671875" style="1393" customWidth="1"/>
    <col min="9677" max="9677" width="14.109375" style="1393" customWidth="1"/>
    <col min="9678" max="9678" width="21.5546875" style="1393" customWidth="1"/>
    <col min="9679" max="9680" width="14.109375" style="1393" customWidth="1"/>
    <col min="9681" max="9681" width="15" style="1393" customWidth="1"/>
    <col min="9682" max="9682" width="13.33203125" style="1393" customWidth="1"/>
    <col min="9683" max="9683" width="17" style="1393" customWidth="1"/>
    <col min="9684" max="9684" width="24.88671875" style="1393" customWidth="1"/>
    <col min="9685" max="9685" width="14.44140625" style="1393" customWidth="1"/>
    <col min="9686" max="9686" width="23.109375" style="1393" customWidth="1"/>
    <col min="9687" max="9687" width="13.109375" style="1393" customWidth="1"/>
    <col min="9688" max="9691" width="0" style="1393" hidden="1" customWidth="1"/>
    <col min="9692" max="9927" width="10.33203125" style="1393"/>
    <col min="9928" max="9928" width="7" style="1393" customWidth="1"/>
    <col min="9929" max="9929" width="13" style="1393" customWidth="1"/>
    <col min="9930" max="9930" width="14.109375" style="1393" customWidth="1"/>
    <col min="9931" max="9931" width="17.33203125" style="1393" customWidth="1"/>
    <col min="9932" max="9932" width="18.88671875" style="1393" customWidth="1"/>
    <col min="9933" max="9933" width="14.109375" style="1393" customWidth="1"/>
    <col min="9934" max="9934" width="21.5546875" style="1393" customWidth="1"/>
    <col min="9935" max="9936" width="14.109375" style="1393" customWidth="1"/>
    <col min="9937" max="9937" width="15" style="1393" customWidth="1"/>
    <col min="9938" max="9938" width="13.33203125" style="1393" customWidth="1"/>
    <col min="9939" max="9939" width="17" style="1393" customWidth="1"/>
    <col min="9940" max="9940" width="24.88671875" style="1393" customWidth="1"/>
    <col min="9941" max="9941" width="14.44140625" style="1393" customWidth="1"/>
    <col min="9942" max="9942" width="23.109375" style="1393" customWidth="1"/>
    <col min="9943" max="9943" width="13.109375" style="1393" customWidth="1"/>
    <col min="9944" max="9947" width="0" style="1393" hidden="1" customWidth="1"/>
    <col min="9948" max="10183" width="10.33203125" style="1393"/>
    <col min="10184" max="10184" width="7" style="1393" customWidth="1"/>
    <col min="10185" max="10185" width="13" style="1393" customWidth="1"/>
    <col min="10186" max="10186" width="14.109375" style="1393" customWidth="1"/>
    <col min="10187" max="10187" width="17.33203125" style="1393" customWidth="1"/>
    <col min="10188" max="10188" width="18.88671875" style="1393" customWidth="1"/>
    <col min="10189" max="10189" width="14.109375" style="1393" customWidth="1"/>
    <col min="10190" max="10190" width="21.5546875" style="1393" customWidth="1"/>
    <col min="10191" max="10192" width="14.109375" style="1393" customWidth="1"/>
    <col min="10193" max="10193" width="15" style="1393" customWidth="1"/>
    <col min="10194" max="10194" width="13.33203125" style="1393" customWidth="1"/>
    <col min="10195" max="10195" width="17" style="1393" customWidth="1"/>
    <col min="10196" max="10196" width="24.88671875" style="1393" customWidth="1"/>
    <col min="10197" max="10197" width="14.44140625" style="1393" customWidth="1"/>
    <col min="10198" max="10198" width="23.109375" style="1393" customWidth="1"/>
    <col min="10199" max="10199" width="13.109375" style="1393" customWidth="1"/>
    <col min="10200" max="10203" width="0" style="1393" hidden="1" customWidth="1"/>
    <col min="10204" max="10439" width="10.33203125" style="1393"/>
    <col min="10440" max="10440" width="7" style="1393" customWidth="1"/>
    <col min="10441" max="10441" width="13" style="1393" customWidth="1"/>
    <col min="10442" max="10442" width="14.109375" style="1393" customWidth="1"/>
    <col min="10443" max="10443" width="17.33203125" style="1393" customWidth="1"/>
    <col min="10444" max="10444" width="18.88671875" style="1393" customWidth="1"/>
    <col min="10445" max="10445" width="14.109375" style="1393" customWidth="1"/>
    <col min="10446" max="10446" width="21.5546875" style="1393" customWidth="1"/>
    <col min="10447" max="10448" width="14.109375" style="1393" customWidth="1"/>
    <col min="10449" max="10449" width="15" style="1393" customWidth="1"/>
    <col min="10450" max="10450" width="13.33203125" style="1393" customWidth="1"/>
    <col min="10451" max="10451" width="17" style="1393" customWidth="1"/>
    <col min="10452" max="10452" width="24.88671875" style="1393" customWidth="1"/>
    <col min="10453" max="10453" width="14.44140625" style="1393" customWidth="1"/>
    <col min="10454" max="10454" width="23.109375" style="1393" customWidth="1"/>
    <col min="10455" max="10455" width="13.109375" style="1393" customWidth="1"/>
    <col min="10456" max="10459" width="0" style="1393" hidden="1" customWidth="1"/>
    <col min="10460" max="10695" width="10.33203125" style="1393"/>
    <col min="10696" max="10696" width="7" style="1393" customWidth="1"/>
    <col min="10697" max="10697" width="13" style="1393" customWidth="1"/>
    <col min="10698" max="10698" width="14.109375" style="1393" customWidth="1"/>
    <col min="10699" max="10699" width="17.33203125" style="1393" customWidth="1"/>
    <col min="10700" max="10700" width="18.88671875" style="1393" customWidth="1"/>
    <col min="10701" max="10701" width="14.109375" style="1393" customWidth="1"/>
    <col min="10702" max="10702" width="21.5546875" style="1393" customWidth="1"/>
    <col min="10703" max="10704" width="14.109375" style="1393" customWidth="1"/>
    <col min="10705" max="10705" width="15" style="1393" customWidth="1"/>
    <col min="10706" max="10706" width="13.33203125" style="1393" customWidth="1"/>
    <col min="10707" max="10707" width="17" style="1393" customWidth="1"/>
    <col min="10708" max="10708" width="24.88671875" style="1393" customWidth="1"/>
    <col min="10709" max="10709" width="14.44140625" style="1393" customWidth="1"/>
    <col min="10710" max="10710" width="23.109375" style="1393" customWidth="1"/>
    <col min="10711" max="10711" width="13.109375" style="1393" customWidth="1"/>
    <col min="10712" max="10715" width="0" style="1393" hidden="1" customWidth="1"/>
    <col min="10716" max="10951" width="10.33203125" style="1393"/>
    <col min="10952" max="10952" width="7" style="1393" customWidth="1"/>
    <col min="10953" max="10953" width="13" style="1393" customWidth="1"/>
    <col min="10954" max="10954" width="14.109375" style="1393" customWidth="1"/>
    <col min="10955" max="10955" width="17.33203125" style="1393" customWidth="1"/>
    <col min="10956" max="10956" width="18.88671875" style="1393" customWidth="1"/>
    <col min="10957" max="10957" width="14.109375" style="1393" customWidth="1"/>
    <col min="10958" max="10958" width="21.5546875" style="1393" customWidth="1"/>
    <col min="10959" max="10960" width="14.109375" style="1393" customWidth="1"/>
    <col min="10961" max="10961" width="15" style="1393" customWidth="1"/>
    <col min="10962" max="10962" width="13.33203125" style="1393" customWidth="1"/>
    <col min="10963" max="10963" width="17" style="1393" customWidth="1"/>
    <col min="10964" max="10964" width="24.88671875" style="1393" customWidth="1"/>
    <col min="10965" max="10965" width="14.44140625" style="1393" customWidth="1"/>
    <col min="10966" max="10966" width="23.109375" style="1393" customWidth="1"/>
    <col min="10967" max="10967" width="13.109375" style="1393" customWidth="1"/>
    <col min="10968" max="10971" width="0" style="1393" hidden="1" customWidth="1"/>
    <col min="10972" max="11207" width="10.33203125" style="1393"/>
    <col min="11208" max="11208" width="7" style="1393" customWidth="1"/>
    <col min="11209" max="11209" width="13" style="1393" customWidth="1"/>
    <col min="11210" max="11210" width="14.109375" style="1393" customWidth="1"/>
    <col min="11211" max="11211" width="17.33203125" style="1393" customWidth="1"/>
    <col min="11212" max="11212" width="18.88671875" style="1393" customWidth="1"/>
    <col min="11213" max="11213" width="14.109375" style="1393" customWidth="1"/>
    <col min="11214" max="11214" width="21.5546875" style="1393" customWidth="1"/>
    <col min="11215" max="11216" width="14.109375" style="1393" customWidth="1"/>
    <col min="11217" max="11217" width="15" style="1393" customWidth="1"/>
    <col min="11218" max="11218" width="13.33203125" style="1393" customWidth="1"/>
    <col min="11219" max="11219" width="17" style="1393" customWidth="1"/>
    <col min="11220" max="11220" width="24.88671875" style="1393" customWidth="1"/>
    <col min="11221" max="11221" width="14.44140625" style="1393" customWidth="1"/>
    <col min="11222" max="11222" width="23.109375" style="1393" customWidth="1"/>
    <col min="11223" max="11223" width="13.109375" style="1393" customWidth="1"/>
    <col min="11224" max="11227" width="0" style="1393" hidden="1" customWidth="1"/>
    <col min="11228" max="11463" width="10.33203125" style="1393"/>
    <col min="11464" max="11464" width="7" style="1393" customWidth="1"/>
    <col min="11465" max="11465" width="13" style="1393" customWidth="1"/>
    <col min="11466" max="11466" width="14.109375" style="1393" customWidth="1"/>
    <col min="11467" max="11467" width="17.33203125" style="1393" customWidth="1"/>
    <col min="11468" max="11468" width="18.88671875" style="1393" customWidth="1"/>
    <col min="11469" max="11469" width="14.109375" style="1393" customWidth="1"/>
    <col min="11470" max="11470" width="21.5546875" style="1393" customWidth="1"/>
    <col min="11471" max="11472" width="14.109375" style="1393" customWidth="1"/>
    <col min="11473" max="11473" width="15" style="1393" customWidth="1"/>
    <col min="11474" max="11474" width="13.33203125" style="1393" customWidth="1"/>
    <col min="11475" max="11475" width="17" style="1393" customWidth="1"/>
    <col min="11476" max="11476" width="24.88671875" style="1393" customWidth="1"/>
    <col min="11477" max="11477" width="14.44140625" style="1393" customWidth="1"/>
    <col min="11478" max="11478" width="23.109375" style="1393" customWidth="1"/>
    <col min="11479" max="11479" width="13.109375" style="1393" customWidth="1"/>
    <col min="11480" max="11483" width="0" style="1393" hidden="1" customWidth="1"/>
    <col min="11484" max="11719" width="10.33203125" style="1393"/>
    <col min="11720" max="11720" width="7" style="1393" customWidth="1"/>
    <col min="11721" max="11721" width="13" style="1393" customWidth="1"/>
    <col min="11722" max="11722" width="14.109375" style="1393" customWidth="1"/>
    <col min="11723" max="11723" width="17.33203125" style="1393" customWidth="1"/>
    <col min="11724" max="11724" width="18.88671875" style="1393" customWidth="1"/>
    <col min="11725" max="11725" width="14.109375" style="1393" customWidth="1"/>
    <col min="11726" max="11726" width="21.5546875" style="1393" customWidth="1"/>
    <col min="11727" max="11728" width="14.109375" style="1393" customWidth="1"/>
    <col min="11729" max="11729" width="15" style="1393" customWidth="1"/>
    <col min="11730" max="11730" width="13.33203125" style="1393" customWidth="1"/>
    <col min="11731" max="11731" width="17" style="1393" customWidth="1"/>
    <col min="11732" max="11732" width="24.88671875" style="1393" customWidth="1"/>
    <col min="11733" max="11733" width="14.44140625" style="1393" customWidth="1"/>
    <col min="11734" max="11734" width="23.109375" style="1393" customWidth="1"/>
    <col min="11735" max="11735" width="13.109375" style="1393" customWidth="1"/>
    <col min="11736" max="11739" width="0" style="1393" hidden="1" customWidth="1"/>
    <col min="11740" max="11975" width="10.33203125" style="1393"/>
    <col min="11976" max="11976" width="7" style="1393" customWidth="1"/>
    <col min="11977" max="11977" width="13" style="1393" customWidth="1"/>
    <col min="11978" max="11978" width="14.109375" style="1393" customWidth="1"/>
    <col min="11979" max="11979" width="17.33203125" style="1393" customWidth="1"/>
    <col min="11980" max="11980" width="18.88671875" style="1393" customWidth="1"/>
    <col min="11981" max="11981" width="14.109375" style="1393" customWidth="1"/>
    <col min="11982" max="11982" width="21.5546875" style="1393" customWidth="1"/>
    <col min="11983" max="11984" width="14.109375" style="1393" customWidth="1"/>
    <col min="11985" max="11985" width="15" style="1393" customWidth="1"/>
    <col min="11986" max="11986" width="13.33203125" style="1393" customWidth="1"/>
    <col min="11987" max="11987" width="17" style="1393" customWidth="1"/>
    <col min="11988" max="11988" width="24.88671875" style="1393" customWidth="1"/>
    <col min="11989" max="11989" width="14.44140625" style="1393" customWidth="1"/>
    <col min="11990" max="11990" width="23.109375" style="1393" customWidth="1"/>
    <col min="11991" max="11991" width="13.109375" style="1393" customWidth="1"/>
    <col min="11992" max="11995" width="0" style="1393" hidden="1" customWidth="1"/>
    <col min="11996" max="12231" width="10.33203125" style="1393"/>
    <col min="12232" max="12232" width="7" style="1393" customWidth="1"/>
    <col min="12233" max="12233" width="13" style="1393" customWidth="1"/>
    <col min="12234" max="12234" width="14.109375" style="1393" customWidth="1"/>
    <col min="12235" max="12235" width="17.33203125" style="1393" customWidth="1"/>
    <col min="12236" max="12236" width="18.88671875" style="1393" customWidth="1"/>
    <col min="12237" max="12237" width="14.109375" style="1393" customWidth="1"/>
    <col min="12238" max="12238" width="21.5546875" style="1393" customWidth="1"/>
    <col min="12239" max="12240" width="14.109375" style="1393" customWidth="1"/>
    <col min="12241" max="12241" width="15" style="1393" customWidth="1"/>
    <col min="12242" max="12242" width="13.33203125" style="1393" customWidth="1"/>
    <col min="12243" max="12243" width="17" style="1393" customWidth="1"/>
    <col min="12244" max="12244" width="24.88671875" style="1393" customWidth="1"/>
    <col min="12245" max="12245" width="14.44140625" style="1393" customWidth="1"/>
    <col min="12246" max="12246" width="23.109375" style="1393" customWidth="1"/>
    <col min="12247" max="12247" width="13.109375" style="1393" customWidth="1"/>
    <col min="12248" max="12251" width="0" style="1393" hidden="1" customWidth="1"/>
    <col min="12252" max="12487" width="10.33203125" style="1393"/>
    <col min="12488" max="12488" width="7" style="1393" customWidth="1"/>
    <col min="12489" max="12489" width="13" style="1393" customWidth="1"/>
    <col min="12490" max="12490" width="14.109375" style="1393" customWidth="1"/>
    <col min="12491" max="12491" width="17.33203125" style="1393" customWidth="1"/>
    <col min="12492" max="12492" width="18.88671875" style="1393" customWidth="1"/>
    <col min="12493" max="12493" width="14.109375" style="1393" customWidth="1"/>
    <col min="12494" max="12494" width="21.5546875" style="1393" customWidth="1"/>
    <col min="12495" max="12496" width="14.109375" style="1393" customWidth="1"/>
    <col min="12497" max="12497" width="15" style="1393" customWidth="1"/>
    <col min="12498" max="12498" width="13.33203125" style="1393" customWidth="1"/>
    <col min="12499" max="12499" width="17" style="1393" customWidth="1"/>
    <col min="12500" max="12500" width="24.88671875" style="1393" customWidth="1"/>
    <col min="12501" max="12501" width="14.44140625" style="1393" customWidth="1"/>
    <col min="12502" max="12502" width="23.109375" style="1393" customWidth="1"/>
    <col min="12503" max="12503" width="13.109375" style="1393" customWidth="1"/>
    <col min="12504" max="12507" width="0" style="1393" hidden="1" customWidth="1"/>
    <col min="12508" max="12743" width="10.33203125" style="1393"/>
    <col min="12744" max="12744" width="7" style="1393" customWidth="1"/>
    <col min="12745" max="12745" width="13" style="1393" customWidth="1"/>
    <col min="12746" max="12746" width="14.109375" style="1393" customWidth="1"/>
    <col min="12747" max="12747" width="17.33203125" style="1393" customWidth="1"/>
    <col min="12748" max="12748" width="18.88671875" style="1393" customWidth="1"/>
    <col min="12749" max="12749" width="14.109375" style="1393" customWidth="1"/>
    <col min="12750" max="12750" width="21.5546875" style="1393" customWidth="1"/>
    <col min="12751" max="12752" width="14.109375" style="1393" customWidth="1"/>
    <col min="12753" max="12753" width="15" style="1393" customWidth="1"/>
    <col min="12754" max="12754" width="13.33203125" style="1393" customWidth="1"/>
    <col min="12755" max="12755" width="17" style="1393" customWidth="1"/>
    <col min="12756" max="12756" width="24.88671875" style="1393" customWidth="1"/>
    <col min="12757" max="12757" width="14.44140625" style="1393" customWidth="1"/>
    <col min="12758" max="12758" width="23.109375" style="1393" customWidth="1"/>
    <col min="12759" max="12759" width="13.109375" style="1393" customWidth="1"/>
    <col min="12760" max="12763" width="0" style="1393" hidden="1" customWidth="1"/>
    <col min="12764" max="12999" width="10.33203125" style="1393"/>
    <col min="13000" max="13000" width="7" style="1393" customWidth="1"/>
    <col min="13001" max="13001" width="13" style="1393" customWidth="1"/>
    <col min="13002" max="13002" width="14.109375" style="1393" customWidth="1"/>
    <col min="13003" max="13003" width="17.33203125" style="1393" customWidth="1"/>
    <col min="13004" max="13004" width="18.88671875" style="1393" customWidth="1"/>
    <col min="13005" max="13005" width="14.109375" style="1393" customWidth="1"/>
    <col min="13006" max="13006" width="21.5546875" style="1393" customWidth="1"/>
    <col min="13007" max="13008" width="14.109375" style="1393" customWidth="1"/>
    <col min="13009" max="13009" width="15" style="1393" customWidth="1"/>
    <col min="13010" max="13010" width="13.33203125" style="1393" customWidth="1"/>
    <col min="13011" max="13011" width="17" style="1393" customWidth="1"/>
    <col min="13012" max="13012" width="24.88671875" style="1393" customWidth="1"/>
    <col min="13013" max="13013" width="14.44140625" style="1393" customWidth="1"/>
    <col min="13014" max="13014" width="23.109375" style="1393" customWidth="1"/>
    <col min="13015" max="13015" width="13.109375" style="1393" customWidth="1"/>
    <col min="13016" max="13019" width="0" style="1393" hidden="1" customWidth="1"/>
    <col min="13020" max="13255" width="10.33203125" style="1393"/>
    <col min="13256" max="13256" width="7" style="1393" customWidth="1"/>
    <col min="13257" max="13257" width="13" style="1393" customWidth="1"/>
    <col min="13258" max="13258" width="14.109375" style="1393" customWidth="1"/>
    <col min="13259" max="13259" width="17.33203125" style="1393" customWidth="1"/>
    <col min="13260" max="13260" width="18.88671875" style="1393" customWidth="1"/>
    <col min="13261" max="13261" width="14.109375" style="1393" customWidth="1"/>
    <col min="13262" max="13262" width="21.5546875" style="1393" customWidth="1"/>
    <col min="13263" max="13264" width="14.109375" style="1393" customWidth="1"/>
    <col min="13265" max="13265" width="15" style="1393" customWidth="1"/>
    <col min="13266" max="13266" width="13.33203125" style="1393" customWidth="1"/>
    <col min="13267" max="13267" width="17" style="1393" customWidth="1"/>
    <col min="13268" max="13268" width="24.88671875" style="1393" customWidth="1"/>
    <col min="13269" max="13269" width="14.44140625" style="1393" customWidth="1"/>
    <col min="13270" max="13270" width="23.109375" style="1393" customWidth="1"/>
    <col min="13271" max="13271" width="13.109375" style="1393" customWidth="1"/>
    <col min="13272" max="13275" width="0" style="1393" hidden="1" customWidth="1"/>
    <col min="13276" max="13511" width="10.33203125" style="1393"/>
    <col min="13512" max="13512" width="7" style="1393" customWidth="1"/>
    <col min="13513" max="13513" width="13" style="1393" customWidth="1"/>
    <col min="13514" max="13514" width="14.109375" style="1393" customWidth="1"/>
    <col min="13515" max="13515" width="17.33203125" style="1393" customWidth="1"/>
    <col min="13516" max="13516" width="18.88671875" style="1393" customWidth="1"/>
    <col min="13517" max="13517" width="14.109375" style="1393" customWidth="1"/>
    <col min="13518" max="13518" width="21.5546875" style="1393" customWidth="1"/>
    <col min="13519" max="13520" width="14.109375" style="1393" customWidth="1"/>
    <col min="13521" max="13521" width="15" style="1393" customWidth="1"/>
    <col min="13522" max="13522" width="13.33203125" style="1393" customWidth="1"/>
    <col min="13523" max="13523" width="17" style="1393" customWidth="1"/>
    <col min="13524" max="13524" width="24.88671875" style="1393" customWidth="1"/>
    <col min="13525" max="13525" width="14.44140625" style="1393" customWidth="1"/>
    <col min="13526" max="13526" width="23.109375" style="1393" customWidth="1"/>
    <col min="13527" max="13527" width="13.109375" style="1393" customWidth="1"/>
    <col min="13528" max="13531" width="0" style="1393" hidden="1" customWidth="1"/>
    <col min="13532" max="13767" width="10.33203125" style="1393"/>
    <col min="13768" max="13768" width="7" style="1393" customWidth="1"/>
    <col min="13769" max="13769" width="13" style="1393" customWidth="1"/>
    <col min="13770" max="13770" width="14.109375" style="1393" customWidth="1"/>
    <col min="13771" max="13771" width="17.33203125" style="1393" customWidth="1"/>
    <col min="13772" max="13772" width="18.88671875" style="1393" customWidth="1"/>
    <col min="13773" max="13773" width="14.109375" style="1393" customWidth="1"/>
    <col min="13774" max="13774" width="21.5546875" style="1393" customWidth="1"/>
    <col min="13775" max="13776" width="14.109375" style="1393" customWidth="1"/>
    <col min="13777" max="13777" width="15" style="1393" customWidth="1"/>
    <col min="13778" max="13778" width="13.33203125" style="1393" customWidth="1"/>
    <col min="13779" max="13779" width="17" style="1393" customWidth="1"/>
    <col min="13780" max="13780" width="24.88671875" style="1393" customWidth="1"/>
    <col min="13781" max="13781" width="14.44140625" style="1393" customWidth="1"/>
    <col min="13782" max="13782" width="23.109375" style="1393" customWidth="1"/>
    <col min="13783" max="13783" width="13.109375" style="1393" customWidth="1"/>
    <col min="13784" max="13787" width="0" style="1393" hidden="1" customWidth="1"/>
    <col min="13788" max="14023" width="10.33203125" style="1393"/>
    <col min="14024" max="14024" width="7" style="1393" customWidth="1"/>
    <col min="14025" max="14025" width="13" style="1393" customWidth="1"/>
    <col min="14026" max="14026" width="14.109375" style="1393" customWidth="1"/>
    <col min="14027" max="14027" width="17.33203125" style="1393" customWidth="1"/>
    <col min="14028" max="14028" width="18.88671875" style="1393" customWidth="1"/>
    <col min="14029" max="14029" width="14.109375" style="1393" customWidth="1"/>
    <col min="14030" max="14030" width="21.5546875" style="1393" customWidth="1"/>
    <col min="14031" max="14032" width="14.109375" style="1393" customWidth="1"/>
    <col min="14033" max="14033" width="15" style="1393" customWidth="1"/>
    <col min="14034" max="14034" width="13.33203125" style="1393" customWidth="1"/>
    <col min="14035" max="14035" width="17" style="1393" customWidth="1"/>
    <col min="14036" max="14036" width="24.88671875" style="1393" customWidth="1"/>
    <col min="14037" max="14037" width="14.44140625" style="1393" customWidth="1"/>
    <col min="14038" max="14038" width="23.109375" style="1393" customWidth="1"/>
    <col min="14039" max="14039" width="13.109375" style="1393" customWidth="1"/>
    <col min="14040" max="14043" width="0" style="1393" hidden="1" customWidth="1"/>
    <col min="14044" max="14279" width="10.33203125" style="1393"/>
    <col min="14280" max="14280" width="7" style="1393" customWidth="1"/>
    <col min="14281" max="14281" width="13" style="1393" customWidth="1"/>
    <col min="14282" max="14282" width="14.109375" style="1393" customWidth="1"/>
    <col min="14283" max="14283" width="17.33203125" style="1393" customWidth="1"/>
    <col min="14284" max="14284" width="18.88671875" style="1393" customWidth="1"/>
    <col min="14285" max="14285" width="14.109375" style="1393" customWidth="1"/>
    <col min="14286" max="14286" width="21.5546875" style="1393" customWidth="1"/>
    <col min="14287" max="14288" width="14.109375" style="1393" customWidth="1"/>
    <col min="14289" max="14289" width="15" style="1393" customWidth="1"/>
    <col min="14290" max="14290" width="13.33203125" style="1393" customWidth="1"/>
    <col min="14291" max="14291" width="17" style="1393" customWidth="1"/>
    <col min="14292" max="14292" width="24.88671875" style="1393" customWidth="1"/>
    <col min="14293" max="14293" width="14.44140625" style="1393" customWidth="1"/>
    <col min="14294" max="14294" width="23.109375" style="1393" customWidth="1"/>
    <col min="14295" max="14295" width="13.109375" style="1393" customWidth="1"/>
    <col min="14296" max="14299" width="0" style="1393" hidden="1" customWidth="1"/>
    <col min="14300" max="14535" width="10.33203125" style="1393"/>
    <col min="14536" max="14536" width="7" style="1393" customWidth="1"/>
    <col min="14537" max="14537" width="13" style="1393" customWidth="1"/>
    <col min="14538" max="14538" width="14.109375" style="1393" customWidth="1"/>
    <col min="14539" max="14539" width="17.33203125" style="1393" customWidth="1"/>
    <col min="14540" max="14540" width="18.88671875" style="1393" customWidth="1"/>
    <col min="14541" max="14541" width="14.109375" style="1393" customWidth="1"/>
    <col min="14542" max="14542" width="21.5546875" style="1393" customWidth="1"/>
    <col min="14543" max="14544" width="14.109375" style="1393" customWidth="1"/>
    <col min="14545" max="14545" width="15" style="1393" customWidth="1"/>
    <col min="14546" max="14546" width="13.33203125" style="1393" customWidth="1"/>
    <col min="14547" max="14547" width="17" style="1393" customWidth="1"/>
    <col min="14548" max="14548" width="24.88671875" style="1393" customWidth="1"/>
    <col min="14549" max="14549" width="14.44140625" style="1393" customWidth="1"/>
    <col min="14550" max="14550" width="23.109375" style="1393" customWidth="1"/>
    <col min="14551" max="14551" width="13.109375" style="1393" customWidth="1"/>
    <col min="14552" max="14555" width="0" style="1393" hidden="1" customWidth="1"/>
    <col min="14556" max="14791" width="10.33203125" style="1393"/>
    <col min="14792" max="14792" width="7" style="1393" customWidth="1"/>
    <col min="14793" max="14793" width="13" style="1393" customWidth="1"/>
    <col min="14794" max="14794" width="14.109375" style="1393" customWidth="1"/>
    <col min="14795" max="14795" width="17.33203125" style="1393" customWidth="1"/>
    <col min="14796" max="14796" width="18.88671875" style="1393" customWidth="1"/>
    <col min="14797" max="14797" width="14.109375" style="1393" customWidth="1"/>
    <col min="14798" max="14798" width="21.5546875" style="1393" customWidth="1"/>
    <col min="14799" max="14800" width="14.109375" style="1393" customWidth="1"/>
    <col min="14801" max="14801" width="15" style="1393" customWidth="1"/>
    <col min="14802" max="14802" width="13.33203125" style="1393" customWidth="1"/>
    <col min="14803" max="14803" width="17" style="1393" customWidth="1"/>
    <col min="14804" max="14804" width="24.88671875" style="1393" customWidth="1"/>
    <col min="14805" max="14805" width="14.44140625" style="1393" customWidth="1"/>
    <col min="14806" max="14806" width="23.109375" style="1393" customWidth="1"/>
    <col min="14807" max="14807" width="13.109375" style="1393" customWidth="1"/>
    <col min="14808" max="14811" width="0" style="1393" hidden="1" customWidth="1"/>
    <col min="14812" max="15047" width="10.33203125" style="1393"/>
    <col min="15048" max="15048" width="7" style="1393" customWidth="1"/>
    <col min="15049" max="15049" width="13" style="1393" customWidth="1"/>
    <col min="15050" max="15050" width="14.109375" style="1393" customWidth="1"/>
    <col min="15051" max="15051" width="17.33203125" style="1393" customWidth="1"/>
    <col min="15052" max="15052" width="18.88671875" style="1393" customWidth="1"/>
    <col min="15053" max="15053" width="14.109375" style="1393" customWidth="1"/>
    <col min="15054" max="15054" width="21.5546875" style="1393" customWidth="1"/>
    <col min="15055" max="15056" width="14.109375" style="1393" customWidth="1"/>
    <col min="15057" max="15057" width="15" style="1393" customWidth="1"/>
    <col min="15058" max="15058" width="13.33203125" style="1393" customWidth="1"/>
    <col min="15059" max="15059" width="17" style="1393" customWidth="1"/>
    <col min="15060" max="15060" width="24.88671875" style="1393" customWidth="1"/>
    <col min="15061" max="15061" width="14.44140625" style="1393" customWidth="1"/>
    <col min="15062" max="15062" width="23.109375" style="1393" customWidth="1"/>
    <col min="15063" max="15063" width="13.109375" style="1393" customWidth="1"/>
    <col min="15064" max="15067" width="0" style="1393" hidden="1" customWidth="1"/>
    <col min="15068" max="15303" width="10.33203125" style="1393"/>
    <col min="15304" max="15304" width="7" style="1393" customWidth="1"/>
    <col min="15305" max="15305" width="13" style="1393" customWidth="1"/>
    <col min="15306" max="15306" width="14.109375" style="1393" customWidth="1"/>
    <col min="15307" max="15307" width="17.33203125" style="1393" customWidth="1"/>
    <col min="15308" max="15308" width="18.88671875" style="1393" customWidth="1"/>
    <col min="15309" max="15309" width="14.109375" style="1393" customWidth="1"/>
    <col min="15310" max="15310" width="21.5546875" style="1393" customWidth="1"/>
    <col min="15311" max="15312" width="14.109375" style="1393" customWidth="1"/>
    <col min="15313" max="15313" width="15" style="1393" customWidth="1"/>
    <col min="15314" max="15314" width="13.33203125" style="1393" customWidth="1"/>
    <col min="15315" max="15315" width="17" style="1393" customWidth="1"/>
    <col min="15316" max="15316" width="24.88671875" style="1393" customWidth="1"/>
    <col min="15317" max="15317" width="14.44140625" style="1393" customWidth="1"/>
    <col min="15318" max="15318" width="23.109375" style="1393" customWidth="1"/>
    <col min="15319" max="15319" width="13.109375" style="1393" customWidth="1"/>
    <col min="15320" max="15323" width="0" style="1393" hidden="1" customWidth="1"/>
    <col min="15324" max="15559" width="10.33203125" style="1393"/>
    <col min="15560" max="15560" width="7" style="1393" customWidth="1"/>
    <col min="15561" max="15561" width="13" style="1393" customWidth="1"/>
    <col min="15562" max="15562" width="14.109375" style="1393" customWidth="1"/>
    <col min="15563" max="15563" width="17.33203125" style="1393" customWidth="1"/>
    <col min="15564" max="15564" width="18.88671875" style="1393" customWidth="1"/>
    <col min="15565" max="15565" width="14.109375" style="1393" customWidth="1"/>
    <col min="15566" max="15566" width="21.5546875" style="1393" customWidth="1"/>
    <col min="15567" max="15568" width="14.109375" style="1393" customWidth="1"/>
    <col min="15569" max="15569" width="15" style="1393" customWidth="1"/>
    <col min="15570" max="15570" width="13.33203125" style="1393" customWidth="1"/>
    <col min="15571" max="15571" width="17" style="1393" customWidth="1"/>
    <col min="15572" max="15572" width="24.88671875" style="1393" customWidth="1"/>
    <col min="15573" max="15573" width="14.44140625" style="1393" customWidth="1"/>
    <col min="15574" max="15574" width="23.109375" style="1393" customWidth="1"/>
    <col min="15575" max="15575" width="13.109375" style="1393" customWidth="1"/>
    <col min="15576" max="15579" width="0" style="1393" hidden="1" customWidth="1"/>
    <col min="15580" max="15815" width="10.33203125" style="1393"/>
    <col min="15816" max="15816" width="7" style="1393" customWidth="1"/>
    <col min="15817" max="15817" width="13" style="1393" customWidth="1"/>
    <col min="15818" max="15818" width="14.109375" style="1393" customWidth="1"/>
    <col min="15819" max="15819" width="17.33203125" style="1393" customWidth="1"/>
    <col min="15820" max="15820" width="18.88671875" style="1393" customWidth="1"/>
    <col min="15821" max="15821" width="14.109375" style="1393" customWidth="1"/>
    <col min="15822" max="15822" width="21.5546875" style="1393" customWidth="1"/>
    <col min="15823" max="15824" width="14.109375" style="1393" customWidth="1"/>
    <col min="15825" max="15825" width="15" style="1393" customWidth="1"/>
    <col min="15826" max="15826" width="13.33203125" style="1393" customWidth="1"/>
    <col min="15827" max="15827" width="17" style="1393" customWidth="1"/>
    <col min="15828" max="15828" width="24.88671875" style="1393" customWidth="1"/>
    <col min="15829" max="15829" width="14.44140625" style="1393" customWidth="1"/>
    <col min="15830" max="15830" width="23.109375" style="1393" customWidth="1"/>
    <col min="15831" max="15831" width="13.109375" style="1393" customWidth="1"/>
    <col min="15832" max="15835" width="0" style="1393" hidden="1" customWidth="1"/>
    <col min="15836" max="16071" width="10.33203125" style="1393"/>
    <col min="16072" max="16072" width="7" style="1393" customWidth="1"/>
    <col min="16073" max="16073" width="13" style="1393" customWidth="1"/>
    <col min="16074" max="16074" width="14.109375" style="1393" customWidth="1"/>
    <col min="16075" max="16075" width="17.33203125" style="1393" customWidth="1"/>
    <col min="16076" max="16076" width="18.88671875" style="1393" customWidth="1"/>
    <col min="16077" max="16077" width="14.109375" style="1393" customWidth="1"/>
    <col min="16078" max="16078" width="21.5546875" style="1393" customWidth="1"/>
    <col min="16079" max="16080" width="14.109375" style="1393" customWidth="1"/>
    <col min="16081" max="16081" width="15" style="1393" customWidth="1"/>
    <col min="16082" max="16082" width="13.33203125" style="1393" customWidth="1"/>
    <col min="16083" max="16083" width="17" style="1393" customWidth="1"/>
    <col min="16084" max="16084" width="24.88671875" style="1393" customWidth="1"/>
    <col min="16085" max="16085" width="14.44140625" style="1393" customWidth="1"/>
    <col min="16086" max="16086" width="23.109375" style="1393" customWidth="1"/>
    <col min="16087" max="16087" width="13.109375" style="1393" customWidth="1"/>
    <col min="16088" max="16091" width="0" style="1393" hidden="1" customWidth="1"/>
    <col min="16092" max="16384" width="10.33203125" style="1393"/>
  </cols>
  <sheetData>
    <row r="1" spans="1:37" ht="15" customHeight="1">
      <c r="B1" s="1867"/>
      <c r="U1" s="2234"/>
      <c r="V1" s="2235"/>
      <c r="W1" s="2236"/>
      <c r="X1" s="2236"/>
      <c r="Y1" s="2236"/>
      <c r="Z1" s="2236"/>
      <c r="AA1" s="2237"/>
      <c r="AB1" s="2234"/>
      <c r="AC1" s="2237"/>
      <c r="AD1" s="2234"/>
      <c r="AE1" s="2238"/>
      <c r="AF1" s="2234"/>
      <c r="AG1" s="2234"/>
      <c r="AH1" s="2239"/>
    </row>
    <row r="2" spans="1:37" s="1874" customFormat="1" ht="20.25" customHeight="1">
      <c r="A2" s="3708" t="s">
        <v>5545</v>
      </c>
      <c r="B2" s="3709"/>
      <c r="C2" s="3709"/>
      <c r="D2" s="3709"/>
      <c r="E2" s="3709"/>
      <c r="F2" s="3709"/>
      <c r="G2" s="3709"/>
      <c r="H2" s="3709"/>
      <c r="I2" s="3709"/>
      <c r="J2" s="3709"/>
      <c r="K2" s="3709"/>
      <c r="L2" s="3709"/>
      <c r="M2" s="3709"/>
      <c r="N2" s="3709"/>
      <c r="O2" s="3709"/>
      <c r="P2" s="3709"/>
      <c r="Q2" s="2626"/>
      <c r="R2" s="1873"/>
      <c r="S2" s="2171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</row>
    <row r="3" spans="1:37">
      <c r="B3" s="1875"/>
      <c r="C3" s="654" t="s">
        <v>5544</v>
      </c>
      <c r="D3" s="3710" t="s">
        <v>6196</v>
      </c>
      <c r="E3" s="3710"/>
      <c r="F3" s="3710"/>
      <c r="G3" s="3710"/>
      <c r="H3" s="3710"/>
      <c r="I3" s="3710"/>
      <c r="J3" s="3710"/>
      <c r="K3" s="3710"/>
      <c r="L3" s="3710"/>
      <c r="M3" s="1836"/>
      <c r="N3" s="1876"/>
      <c r="O3" s="1306"/>
      <c r="P3" s="1836"/>
      <c r="Q3" s="1876"/>
      <c r="AE3" s="1879"/>
      <c r="AH3" s="1882"/>
    </row>
    <row r="4" spans="1:37" s="1915" customFormat="1" ht="39.6">
      <c r="A4" s="33" t="s">
        <v>2</v>
      </c>
      <c r="B4" s="1336" t="s">
        <v>2705</v>
      </c>
      <c r="C4" s="1337" t="s">
        <v>3</v>
      </c>
      <c r="D4" s="1338" t="s">
        <v>4</v>
      </c>
      <c r="E4" s="1337" t="s">
        <v>5</v>
      </c>
      <c r="F4" s="1571" t="s">
        <v>4699</v>
      </c>
      <c r="G4" s="1337" t="s">
        <v>179</v>
      </c>
      <c r="H4" s="33" t="s">
        <v>8</v>
      </c>
      <c r="I4" s="33" t="s">
        <v>9</v>
      </c>
      <c r="J4" s="33" t="s">
        <v>102</v>
      </c>
      <c r="K4" s="323" t="s">
        <v>404</v>
      </c>
      <c r="L4" s="323" t="s">
        <v>15</v>
      </c>
      <c r="M4" s="323" t="s">
        <v>4368</v>
      </c>
      <c r="N4" s="323" t="s">
        <v>5662</v>
      </c>
      <c r="O4" s="323" t="s">
        <v>4380</v>
      </c>
      <c r="P4" s="1339" t="s">
        <v>4360</v>
      </c>
      <c r="Q4" s="1339" t="s">
        <v>5939</v>
      </c>
      <c r="R4" s="33" t="s">
        <v>187</v>
      </c>
      <c r="S4" s="2344" t="s">
        <v>1596</v>
      </c>
      <c r="T4" s="1340" t="s">
        <v>4665</v>
      </c>
      <c r="U4" s="1340" t="s">
        <v>4664</v>
      </c>
      <c r="V4" s="1340" t="s">
        <v>4678</v>
      </c>
      <c r="W4" s="1334" t="s">
        <v>1291</v>
      </c>
      <c r="X4" s="1334" t="s">
        <v>190</v>
      </c>
      <c r="Y4" s="1334" t="s">
        <v>191</v>
      </c>
      <c r="Z4" s="1340" t="s">
        <v>192</v>
      </c>
      <c r="AA4" s="1340" t="s">
        <v>1313</v>
      </c>
      <c r="AB4" s="1335" t="s">
        <v>194</v>
      </c>
      <c r="AC4" s="1335" t="s">
        <v>4652</v>
      </c>
      <c r="AD4" s="1335" t="s">
        <v>195</v>
      </c>
      <c r="AE4" s="1341" t="s">
        <v>197</v>
      </c>
      <c r="AF4" s="1340" t="s">
        <v>198</v>
      </c>
      <c r="AG4" s="1335" t="s">
        <v>199</v>
      </c>
      <c r="AH4" s="1355" t="s">
        <v>200</v>
      </c>
      <c r="AI4" s="2276" t="s">
        <v>5718</v>
      </c>
    </row>
    <row r="5" spans="1:37" ht="15.6">
      <c r="A5" s="3711" t="s">
        <v>5485</v>
      </c>
      <c r="B5" s="3712"/>
      <c r="C5" s="3712"/>
      <c r="D5" s="3712"/>
      <c r="E5" s="3712"/>
      <c r="F5" s="3712"/>
      <c r="G5" s="3712"/>
      <c r="H5" s="3712"/>
      <c r="I5" s="3712"/>
      <c r="J5" s="3712"/>
      <c r="K5" s="3712"/>
      <c r="L5" s="3713"/>
      <c r="M5" s="2240"/>
      <c r="N5" s="2240"/>
      <c r="O5" s="2241"/>
      <c r="P5" s="2241"/>
      <c r="Q5" s="2241"/>
      <c r="R5" s="2242"/>
      <c r="S5" s="2243"/>
      <c r="T5" s="2242"/>
      <c r="U5" s="2244"/>
      <c r="V5" s="2244"/>
      <c r="W5" s="2245"/>
      <c r="X5" s="2242"/>
      <c r="Y5" s="2242"/>
      <c r="Z5" s="2242"/>
      <c r="AA5" s="2244"/>
      <c r="AB5" s="2242"/>
      <c r="AC5" s="2246"/>
      <c r="AD5" s="2246"/>
      <c r="AE5" s="2247"/>
      <c r="AF5" s="2248"/>
      <c r="AG5" s="2248"/>
      <c r="AH5" s="2248"/>
      <c r="AI5" s="2364">
        <v>450000</v>
      </c>
      <c r="AJ5" s="1354"/>
      <c r="AK5" s="1350"/>
    </row>
    <row r="6" spans="1:37" s="2205" customFormat="1" ht="32.25" customHeight="1">
      <c r="A6" s="1738">
        <v>1</v>
      </c>
      <c r="B6" s="2192" t="s">
        <v>5575</v>
      </c>
      <c r="C6" s="2196">
        <v>107141079951</v>
      </c>
      <c r="D6" s="2193" t="s">
        <v>5512</v>
      </c>
      <c r="E6" s="2194" t="s">
        <v>5558</v>
      </c>
      <c r="F6" s="2195"/>
      <c r="G6" s="2196" t="s">
        <v>206</v>
      </c>
      <c r="H6" s="2197">
        <v>1</v>
      </c>
      <c r="I6" s="2197"/>
      <c r="J6" s="2197"/>
      <c r="K6" s="2233" t="s">
        <v>123</v>
      </c>
      <c r="L6" s="2195" t="s">
        <v>5546</v>
      </c>
      <c r="M6" s="2198" t="s">
        <v>5547</v>
      </c>
      <c r="N6" s="2198" t="s">
        <v>5663</v>
      </c>
      <c r="O6" s="2232" t="s">
        <v>5549</v>
      </c>
      <c r="P6" s="2231" t="s">
        <v>5548</v>
      </c>
      <c r="Q6" s="2231"/>
      <c r="R6" s="2214" t="s">
        <v>287</v>
      </c>
      <c r="S6" s="2199"/>
      <c r="T6" s="2200"/>
      <c r="U6" s="2200"/>
      <c r="V6" s="2200"/>
      <c r="W6" s="2201"/>
      <c r="X6" s="2277">
        <v>497000</v>
      </c>
      <c r="Y6" s="2342">
        <v>999000</v>
      </c>
      <c r="Z6" s="2230">
        <f>5670000+1150000</f>
        <v>6820000</v>
      </c>
      <c r="AA6" s="2409">
        <v>250000</v>
      </c>
      <c r="AB6" s="2201"/>
      <c r="AC6" s="2201"/>
      <c r="AD6" s="1416">
        <f>+SUM(W6:AC6)</f>
        <v>8566000</v>
      </c>
      <c r="AE6" s="2303" t="s">
        <v>5553</v>
      </c>
      <c r="AF6" s="341">
        <f>((H6*4600000)+(I6*4600000))*1.08+(S6*500000*1.08)</f>
        <v>4968000</v>
      </c>
      <c r="AG6" s="342">
        <f>+AD6+AF6</f>
        <v>13534000</v>
      </c>
      <c r="AH6" s="2200"/>
      <c r="AI6" s="2365"/>
    </row>
    <row r="7" spans="1:37" s="2205" customFormat="1" ht="47.25" customHeight="1">
      <c r="A7" s="1738">
        <f>+A6+1</f>
        <v>2</v>
      </c>
      <c r="B7" s="2192" t="s">
        <v>5633</v>
      </c>
      <c r="C7" s="2196">
        <v>107162617701</v>
      </c>
      <c r="D7" s="2192" t="s">
        <v>5574</v>
      </c>
      <c r="E7" s="2294" t="s">
        <v>5559</v>
      </c>
      <c r="F7" s="2179"/>
      <c r="G7" s="2196" t="s">
        <v>206</v>
      </c>
      <c r="H7" s="2197">
        <v>1</v>
      </c>
      <c r="I7" s="2197"/>
      <c r="J7" s="2197"/>
      <c r="K7" s="2334" t="s">
        <v>136</v>
      </c>
      <c r="L7" s="2179" t="s">
        <v>5556</v>
      </c>
      <c r="M7" s="2208" t="s">
        <v>5557</v>
      </c>
      <c r="N7" s="2208" t="s">
        <v>5664</v>
      </c>
      <c r="O7" s="2232" t="s">
        <v>5574</v>
      </c>
      <c r="P7" s="2231" t="s">
        <v>5594</v>
      </c>
      <c r="Q7" s="2231"/>
      <c r="R7" s="2214" t="s">
        <v>287</v>
      </c>
      <c r="S7" s="2199">
        <v>1</v>
      </c>
      <c r="T7" s="2200"/>
      <c r="U7" s="2200"/>
      <c r="V7" s="2200"/>
      <c r="W7" s="2201"/>
      <c r="X7" s="2277">
        <v>1194000</v>
      </c>
      <c r="Y7" s="2342">
        <v>980000</v>
      </c>
      <c r="Z7" s="2230">
        <f>5670000+1150000</f>
        <v>6820000</v>
      </c>
      <c r="AA7" s="2409">
        <v>250000</v>
      </c>
      <c r="AB7" s="2201"/>
      <c r="AC7" s="2201"/>
      <c r="AD7" s="1416">
        <f t="shared" ref="AD7:AD16" si="0">+SUM(W7:AC7)</f>
        <v>9244000</v>
      </c>
      <c r="AE7" s="2335" t="s">
        <v>5719</v>
      </c>
      <c r="AF7" s="341">
        <f>((H7*4600000)+(I7*4600000))*1.08+(S7*500000*1.08)</f>
        <v>5508000</v>
      </c>
      <c r="AG7" s="342">
        <f>+AD7+AF7</f>
        <v>14752000</v>
      </c>
      <c r="AH7" s="2200"/>
      <c r="AI7" s="2365"/>
    </row>
    <row r="8" spans="1:37" s="2205" customFormat="1" ht="26.25" customHeight="1">
      <c r="A8" s="1738">
        <f t="shared" ref="A8:A73" si="1">+A7+1</f>
        <v>3</v>
      </c>
      <c r="B8" s="2188" t="s">
        <v>5717</v>
      </c>
      <c r="C8" s="2196">
        <v>107183292050</v>
      </c>
      <c r="D8" s="2340" t="s">
        <v>5633</v>
      </c>
      <c r="E8" s="2206" t="s">
        <v>5644</v>
      </c>
      <c r="F8" s="2179"/>
      <c r="G8" s="2196" t="s">
        <v>206</v>
      </c>
      <c r="H8" s="2197">
        <v>1</v>
      </c>
      <c r="I8" s="2210"/>
      <c r="J8" s="2210"/>
      <c r="K8" s="2233" t="s">
        <v>123</v>
      </c>
      <c r="L8" s="1697" t="s">
        <v>5600</v>
      </c>
      <c r="M8" s="1697" t="s">
        <v>5601</v>
      </c>
      <c r="N8" s="1697" t="s">
        <v>5665</v>
      </c>
      <c r="O8" s="2216" t="s">
        <v>5633</v>
      </c>
      <c r="P8" s="1697" t="s">
        <v>5690</v>
      </c>
      <c r="Q8" s="1697"/>
      <c r="R8" s="2214" t="s">
        <v>287</v>
      </c>
      <c r="S8" s="2199"/>
      <c r="T8" s="2200"/>
      <c r="U8" s="2200"/>
      <c r="V8" s="2200"/>
      <c r="W8" s="2201"/>
      <c r="X8" s="2277">
        <v>1018000</v>
      </c>
      <c r="Y8" s="2342">
        <v>1000000</v>
      </c>
      <c r="Z8" s="2230">
        <f>5670000+1150000</f>
        <v>6820000</v>
      </c>
      <c r="AA8" s="2409">
        <v>250000</v>
      </c>
      <c r="AB8" s="2201"/>
      <c r="AC8" s="2201"/>
      <c r="AD8" s="1416">
        <f t="shared" si="0"/>
        <v>9088000</v>
      </c>
      <c r="AE8" s="2303" t="s">
        <v>5553</v>
      </c>
      <c r="AF8" s="341">
        <f t="shared" ref="AF8:AF15" si="2">((H8*4600000)+(I8*4600000))*1.08+(S8*500000*1.08)</f>
        <v>4968000</v>
      </c>
      <c r="AG8" s="342">
        <f>+AD8+AF8</f>
        <v>14056000</v>
      </c>
      <c r="AH8" s="2200"/>
      <c r="AI8" s="2365"/>
    </row>
    <row r="9" spans="1:37" s="2205" customFormat="1" ht="26.25" customHeight="1">
      <c r="A9" s="1738">
        <f t="shared" si="1"/>
        <v>4</v>
      </c>
      <c r="B9" s="2188" t="s">
        <v>5749</v>
      </c>
      <c r="C9" s="2219">
        <v>107191284911</v>
      </c>
      <c r="D9" s="2340" t="s">
        <v>5655</v>
      </c>
      <c r="E9" s="2206" t="s">
        <v>5675</v>
      </c>
      <c r="F9" s="2179"/>
      <c r="G9" s="2196" t="s">
        <v>206</v>
      </c>
      <c r="H9" s="2197">
        <v>1</v>
      </c>
      <c r="I9" s="2197"/>
      <c r="J9" s="2197"/>
      <c r="K9" s="2334" t="s">
        <v>136</v>
      </c>
      <c r="L9" s="2179" t="s">
        <v>5603</v>
      </c>
      <c r="M9" s="2211" t="s">
        <v>5604</v>
      </c>
      <c r="N9" s="2211" t="s">
        <v>5666</v>
      </c>
      <c r="O9" s="2212" t="s">
        <v>5630</v>
      </c>
      <c r="P9" s="1697" t="s">
        <v>5689</v>
      </c>
      <c r="Q9" s="1697"/>
      <c r="R9" s="2214" t="s">
        <v>287</v>
      </c>
      <c r="S9" s="2199">
        <v>1</v>
      </c>
      <c r="T9" s="2200"/>
      <c r="U9" s="2200"/>
      <c r="V9" s="2200"/>
      <c r="W9" s="2201"/>
      <c r="X9" s="2277">
        <v>1337000</v>
      </c>
      <c r="Y9" s="2342">
        <f>265000+ 980000</f>
        <v>1245000</v>
      </c>
      <c r="Z9" s="2230">
        <f>5670000+1150000</f>
        <v>6820000</v>
      </c>
      <c r="AA9" s="2409">
        <v>250000</v>
      </c>
      <c r="AB9" s="2201"/>
      <c r="AC9" s="2201"/>
      <c r="AD9" s="1416">
        <f t="shared" si="0"/>
        <v>9652000</v>
      </c>
      <c r="AE9" s="2335" t="s">
        <v>6093</v>
      </c>
      <c r="AF9" s="341">
        <f t="shared" si="2"/>
        <v>5508000</v>
      </c>
      <c r="AG9" s="342">
        <f>+AD9+AF9</f>
        <v>15160000</v>
      </c>
      <c r="AH9" s="2251"/>
      <c r="AI9" s="2365"/>
    </row>
    <row r="10" spans="1:37" s="2205" customFormat="1" ht="25.5" customHeight="1">
      <c r="A10" s="1738">
        <f t="shared" si="1"/>
        <v>5</v>
      </c>
      <c r="B10" s="2448"/>
      <c r="C10" s="2219">
        <v>107200172110</v>
      </c>
      <c r="D10" s="2193" t="s">
        <v>5656</v>
      </c>
      <c r="E10" s="2206" t="s">
        <v>5706</v>
      </c>
      <c r="F10" s="2179"/>
      <c r="G10" s="2196" t="s">
        <v>206</v>
      </c>
      <c r="H10" s="2197">
        <v>1</v>
      </c>
      <c r="I10" s="2197"/>
      <c r="J10" s="2197"/>
      <c r="K10" s="2233" t="s">
        <v>123</v>
      </c>
      <c r="L10" s="2215" t="s">
        <v>5707</v>
      </c>
      <c r="M10" s="2179" t="s">
        <v>5708</v>
      </c>
      <c r="N10" s="2179" t="s">
        <v>5667</v>
      </c>
      <c r="O10" s="2216" t="s">
        <v>5749</v>
      </c>
      <c r="P10" s="2179" t="s">
        <v>5752</v>
      </c>
      <c r="Q10" s="2179"/>
      <c r="R10" s="2214" t="s">
        <v>287</v>
      </c>
      <c r="S10" s="2179"/>
      <c r="T10" s="2200"/>
      <c r="U10" s="2200"/>
      <c r="V10" s="2200"/>
      <c r="W10" s="2179"/>
      <c r="X10" s="2277">
        <v>727000</v>
      </c>
      <c r="Y10" s="2342">
        <v>999000</v>
      </c>
      <c r="Z10" s="2230">
        <f>5670000+1150000</f>
        <v>6820000</v>
      </c>
      <c r="AA10" s="2409">
        <v>250000</v>
      </c>
      <c r="AB10" s="2179"/>
      <c r="AC10" s="2179"/>
      <c r="AD10" s="1416">
        <f t="shared" si="0"/>
        <v>8796000</v>
      </c>
      <c r="AE10" s="2303" t="s">
        <v>5553</v>
      </c>
      <c r="AF10" s="341">
        <f t="shared" si="2"/>
        <v>4968000</v>
      </c>
      <c r="AG10" s="342">
        <f>+AD12+AF10</f>
        <v>5008000</v>
      </c>
      <c r="AH10" s="2200"/>
      <c r="AI10" s="2365"/>
    </row>
    <row r="11" spans="1:37" ht="15.6">
      <c r="A11" s="3711" t="s">
        <v>5776</v>
      </c>
      <c r="B11" s="3712"/>
      <c r="C11" s="3712"/>
      <c r="D11" s="3712"/>
      <c r="E11" s="3712"/>
      <c r="F11" s="3712"/>
      <c r="G11" s="3712"/>
      <c r="H11" s="3712"/>
      <c r="I11" s="3712"/>
      <c r="J11" s="3712"/>
      <c r="K11" s="3712"/>
      <c r="L11" s="3713"/>
      <c r="M11" s="2240"/>
      <c r="N11" s="2240"/>
      <c r="O11" s="2241"/>
      <c r="P11" s="2241"/>
      <c r="Q11" s="2241"/>
      <c r="R11" s="2242"/>
      <c r="S11" s="2243"/>
      <c r="T11" s="2242"/>
      <c r="U11" s="2244"/>
      <c r="V11" s="2244"/>
      <c r="W11" s="2245"/>
      <c r="X11" s="2242"/>
      <c r="Y11" s="2242"/>
      <c r="Z11" s="2242"/>
      <c r="AA11" s="2244"/>
      <c r="AB11" s="2242"/>
      <c r="AC11" s="2246"/>
      <c r="AD11" s="2246"/>
      <c r="AE11" s="2247"/>
      <c r="AF11" s="2248"/>
      <c r="AG11" s="2248"/>
      <c r="AH11" s="2248"/>
      <c r="AI11" s="2364">
        <v>450000</v>
      </c>
      <c r="AJ11" s="1354"/>
      <c r="AK11" s="1350"/>
    </row>
    <row r="12" spans="1:37" ht="27">
      <c r="A12" s="2203"/>
      <c r="B12" s="2203"/>
      <c r="C12" s="2253" t="s">
        <v>5926</v>
      </c>
      <c r="D12" s="2535" t="s">
        <v>5927</v>
      </c>
      <c r="E12" s="2203"/>
      <c r="F12" s="2203"/>
      <c r="G12" s="2203"/>
      <c r="H12" s="2203"/>
      <c r="I12" s="2203"/>
      <c r="J12" s="2203"/>
      <c r="K12" s="2203"/>
      <c r="L12" s="2203"/>
      <c r="M12" s="2255"/>
      <c r="N12" s="2255"/>
      <c r="O12" s="2205"/>
      <c r="P12" s="2205"/>
      <c r="Q12" s="2205"/>
      <c r="R12" s="2256"/>
      <c r="S12" s="2257"/>
      <c r="T12" s="2256"/>
      <c r="U12" s="2258"/>
      <c r="V12" s="2258"/>
      <c r="W12" s="2259">
        <v>40000</v>
      </c>
      <c r="X12" s="2256"/>
      <c r="Y12" s="2256"/>
      <c r="Z12" s="2256"/>
      <c r="AA12" s="2258"/>
      <c r="AB12" s="2256"/>
      <c r="AC12" s="2260"/>
      <c r="AD12" s="1416">
        <f t="shared" si="0"/>
        <v>40000</v>
      </c>
      <c r="AE12" s="2261" t="s">
        <v>5925</v>
      </c>
      <c r="AF12" s="341">
        <f t="shared" si="2"/>
        <v>0</v>
      </c>
      <c r="AG12" s="2262"/>
      <c r="AH12" s="2262"/>
      <c r="AI12" s="2534"/>
      <c r="AJ12" s="1354"/>
      <c r="AK12" s="1350"/>
    </row>
    <row r="13" spans="1:37" s="2205" customFormat="1" ht="28.5" customHeight="1">
      <c r="A13" s="2523">
        <v>1</v>
      </c>
      <c r="B13" s="2524"/>
      <c r="C13" s="2525">
        <v>107246741450</v>
      </c>
      <c r="D13" s="1368" t="s">
        <v>5913</v>
      </c>
      <c r="E13" s="1464" t="s">
        <v>5874</v>
      </c>
      <c r="F13" s="2526"/>
      <c r="G13" s="2064" t="s">
        <v>206</v>
      </c>
      <c r="H13" s="2527">
        <v>2</v>
      </c>
      <c r="I13" s="2527"/>
      <c r="J13" s="2527"/>
      <c r="K13" s="2528" t="s">
        <v>123</v>
      </c>
      <c r="L13" s="2523" t="s">
        <v>5871</v>
      </c>
      <c r="M13" s="1565" t="s">
        <v>5872</v>
      </c>
      <c r="N13" s="1565" t="s">
        <v>5873</v>
      </c>
      <c r="O13" s="2529" t="s">
        <v>5875</v>
      </c>
      <c r="P13" s="2530" t="s">
        <v>5896</v>
      </c>
      <c r="Q13" s="2524" t="s">
        <v>6015</v>
      </c>
      <c r="R13" s="2531" t="s">
        <v>5897</v>
      </c>
      <c r="S13" s="2531"/>
      <c r="T13" s="2183"/>
      <c r="U13" s="2183"/>
      <c r="V13" s="2183"/>
      <c r="W13" s="1415"/>
      <c r="X13" s="2277">
        <v>1900000</v>
      </c>
      <c r="Y13" s="2342">
        <v>2000000</v>
      </c>
      <c r="Z13" s="2532">
        <v>12490000</v>
      </c>
      <c r="AA13" s="2409">
        <v>500000</v>
      </c>
      <c r="AB13" s="2533"/>
      <c r="AC13" s="1415"/>
      <c r="AD13" s="1416">
        <f t="shared" si="0"/>
        <v>16890000</v>
      </c>
      <c r="AE13" s="2711" t="s">
        <v>6094</v>
      </c>
      <c r="AF13" s="341">
        <f>((H13*(3600000+900000)+(I13*4600000))*1.08+(S13*500000*1.08))</f>
        <v>9720000</v>
      </c>
      <c r="AG13" s="677">
        <f>+AD13+AF13</f>
        <v>26610000</v>
      </c>
      <c r="AH13" s="2270"/>
      <c r="AI13" s="2187"/>
    </row>
    <row r="14" spans="1:37" s="1697" customFormat="1" ht="26.25" customHeight="1">
      <c r="A14" s="1738">
        <f t="shared" si="1"/>
        <v>2</v>
      </c>
      <c r="B14" s="2213"/>
      <c r="C14" s="2525">
        <v>107281597400</v>
      </c>
      <c r="D14" s="2193" t="s">
        <v>6033</v>
      </c>
      <c r="E14" s="2206" t="s">
        <v>5979</v>
      </c>
      <c r="F14" s="2215"/>
      <c r="G14" s="2196" t="s">
        <v>206</v>
      </c>
      <c r="H14" s="2197">
        <v>2</v>
      </c>
      <c r="I14" s="2197"/>
      <c r="J14" s="2197"/>
      <c r="K14" s="2528" t="s">
        <v>123</v>
      </c>
      <c r="L14" s="2215" t="s">
        <v>5877</v>
      </c>
      <c r="M14" s="2195" t="s">
        <v>5977</v>
      </c>
      <c r="N14" s="2193" t="s">
        <v>5978</v>
      </c>
      <c r="O14" s="2529" t="s">
        <v>5994</v>
      </c>
      <c r="P14" s="2685" t="s">
        <v>6053</v>
      </c>
      <c r="Q14" s="2524" t="s">
        <v>6148</v>
      </c>
      <c r="R14" s="2531" t="s">
        <v>5897</v>
      </c>
      <c r="S14" s="2199"/>
      <c r="T14" s="2200"/>
      <c r="U14" s="2200"/>
      <c r="V14" s="2200"/>
      <c r="W14" s="2201"/>
      <c r="X14" s="2277">
        <v>1524000</v>
      </c>
      <c r="Y14" s="2342">
        <v>2000000</v>
      </c>
      <c r="Z14" s="2532">
        <v>12490000</v>
      </c>
      <c r="AA14" s="2409">
        <v>500000</v>
      </c>
      <c r="AB14" s="2252"/>
      <c r="AC14" s="2201"/>
      <c r="AD14" s="1416">
        <f t="shared" si="0"/>
        <v>16514000</v>
      </c>
      <c r="AE14" s="2303" t="s">
        <v>6095</v>
      </c>
      <c r="AF14" s="341">
        <f>((H14*(3600000+900000)+(I14*4600000))*1.08+(S14*500000*1.08))</f>
        <v>9720000</v>
      </c>
      <c r="AG14" s="342">
        <f>+AD14+AF14</f>
        <v>26234000</v>
      </c>
      <c r="AH14" s="2251"/>
      <c r="AJ14" s="2205"/>
    </row>
    <row r="15" spans="1:37" s="2205" customFormat="1" ht="12.75" customHeight="1">
      <c r="A15" s="1738">
        <f t="shared" si="1"/>
        <v>3</v>
      </c>
      <c r="B15" s="2255"/>
      <c r="C15" s="2203"/>
      <c r="D15" s="2203"/>
      <c r="E15" s="2255"/>
      <c r="F15" s="2255"/>
      <c r="G15" s="2196"/>
      <c r="H15" s="2197"/>
      <c r="I15" s="2255"/>
      <c r="J15" s="2255"/>
      <c r="K15" s="2255"/>
      <c r="L15" s="2255"/>
      <c r="M15" s="2255"/>
      <c r="N15" s="2255"/>
      <c r="Q15" s="2524"/>
      <c r="R15" s="2256"/>
      <c r="S15" s="2257"/>
      <c r="T15" s="2256"/>
      <c r="U15" s="2258"/>
      <c r="V15" s="2258"/>
      <c r="W15" s="2259"/>
      <c r="X15" s="2256"/>
      <c r="Y15" s="2256"/>
      <c r="Z15" s="2256"/>
      <c r="AA15" s="2258"/>
      <c r="AB15" s="2256"/>
      <c r="AC15" s="2260"/>
      <c r="AD15" s="1416">
        <f t="shared" si="0"/>
        <v>0</v>
      </c>
      <c r="AE15" s="2261"/>
      <c r="AF15" s="341">
        <f t="shared" si="2"/>
        <v>0</v>
      </c>
      <c r="AG15" s="342">
        <f>+AD15+AF15</f>
        <v>0</v>
      </c>
      <c r="AH15" s="2262"/>
      <c r="AI15" s="2210"/>
      <c r="AJ15" s="2210"/>
      <c r="AK15" s="1697"/>
    </row>
    <row r="16" spans="1:37" s="1697" customFormat="1" ht="12.75" customHeight="1">
      <c r="A16" s="1738">
        <f t="shared" si="1"/>
        <v>4</v>
      </c>
      <c r="B16" s="2213"/>
      <c r="C16" s="2196"/>
      <c r="D16" s="2193"/>
      <c r="E16" s="2206"/>
      <c r="F16" s="2196"/>
      <c r="G16" s="2196"/>
      <c r="H16" s="2197"/>
      <c r="I16" s="2197"/>
      <c r="J16" s="2197"/>
      <c r="K16" s="2179"/>
      <c r="L16" s="2179"/>
      <c r="M16" s="2195"/>
      <c r="N16" s="2338"/>
      <c r="O16" s="2338"/>
      <c r="P16" s="2217"/>
      <c r="Q16" s="2217"/>
      <c r="R16" s="2218"/>
      <c r="S16" s="2199"/>
      <c r="T16" s="2200"/>
      <c r="U16" s="2200"/>
      <c r="V16" s="2200"/>
      <c r="W16" s="2202"/>
      <c r="X16" s="2202"/>
      <c r="Y16" s="2201"/>
      <c r="Z16" s="2201"/>
      <c r="AA16" s="2202"/>
      <c r="AB16" s="2201"/>
      <c r="AC16" s="2201"/>
      <c r="AD16" s="1416">
        <f t="shared" si="0"/>
        <v>0</v>
      </c>
      <c r="AE16" s="2203"/>
      <c r="AF16" s="2200"/>
      <c r="AG16" s="2204"/>
      <c r="AH16" s="2251"/>
      <c r="AJ16" s="2205"/>
    </row>
    <row r="17" spans="1:37" s="1697" customFormat="1" ht="12.75" customHeight="1">
      <c r="A17" s="1738">
        <f t="shared" si="1"/>
        <v>5</v>
      </c>
      <c r="B17" s="2192"/>
      <c r="C17" s="2196"/>
      <c r="D17" s="2193"/>
      <c r="E17" s="2206"/>
      <c r="F17" s="2219"/>
      <c r="G17" s="2207"/>
      <c r="H17" s="2197"/>
      <c r="I17" s="2197"/>
      <c r="J17" s="2197"/>
      <c r="K17" s="2220"/>
      <c r="L17" s="2179"/>
      <c r="M17" s="2195"/>
      <c r="N17" s="2195"/>
      <c r="O17" s="2216"/>
      <c r="P17" s="2724"/>
      <c r="Q17" s="2217"/>
      <c r="R17" s="2218"/>
      <c r="S17" s="2199"/>
      <c r="T17" s="2200"/>
      <c r="U17" s="2200"/>
      <c r="V17" s="2200"/>
      <c r="W17" s="2201"/>
      <c r="X17" s="1464"/>
      <c r="Y17" s="2201"/>
      <c r="Z17" s="2202"/>
      <c r="AA17" s="2202"/>
      <c r="AB17" s="2201"/>
      <c r="AC17" s="2201"/>
      <c r="AD17" s="2201"/>
      <c r="AE17" s="2263"/>
      <c r="AF17" s="2200"/>
      <c r="AG17" s="2204"/>
      <c r="AH17" s="2251"/>
      <c r="AJ17" s="2205"/>
    </row>
    <row r="18" spans="1:37" s="1697" customFormat="1" ht="12.75" customHeight="1">
      <c r="A18" s="1738">
        <f t="shared" si="1"/>
        <v>6</v>
      </c>
      <c r="B18" s="2264"/>
      <c r="C18" s="2196"/>
      <c r="E18" s="2206"/>
      <c r="F18" s="2196"/>
      <c r="G18" s="2207"/>
      <c r="H18" s="2197"/>
      <c r="I18" s="2197"/>
      <c r="J18" s="2197"/>
      <c r="K18" s="2221"/>
      <c r="L18" s="2222"/>
      <c r="M18" s="2623"/>
      <c r="N18" s="2623"/>
      <c r="O18" s="2623"/>
      <c r="P18" s="2725"/>
      <c r="Q18" s="2254"/>
      <c r="R18" s="2218"/>
      <c r="S18" s="2199"/>
      <c r="T18" s="2200"/>
      <c r="U18" s="2200"/>
      <c r="V18" s="2200"/>
      <c r="W18" s="2201"/>
      <c r="X18" s="2201"/>
      <c r="Y18" s="2201"/>
      <c r="Z18" s="2201"/>
      <c r="AA18" s="2202"/>
      <c r="AB18" s="2201"/>
      <c r="AC18" s="2201"/>
      <c r="AD18" s="2201"/>
      <c r="AE18" s="2250"/>
      <c r="AF18" s="2200"/>
      <c r="AG18" s="2204"/>
      <c r="AH18" s="2251"/>
      <c r="AJ18" s="2205"/>
    </row>
    <row r="19" spans="1:37" s="1697" customFormat="1" ht="12.75" customHeight="1">
      <c r="A19" s="1738">
        <f t="shared" si="1"/>
        <v>7</v>
      </c>
      <c r="B19" s="2192"/>
      <c r="C19" s="2196"/>
      <c r="D19" s="2193"/>
      <c r="E19" s="2206"/>
      <c r="F19" s="2219"/>
      <c r="G19" s="2207"/>
      <c r="H19" s="2197"/>
      <c r="I19" s="2197"/>
      <c r="J19" s="2197"/>
      <c r="K19" s="2221"/>
      <c r="L19" s="2407"/>
      <c r="M19" s="2407"/>
      <c r="N19" s="2407"/>
      <c r="O19" s="2407"/>
      <c r="P19" s="2453"/>
      <c r="Q19" s="2453"/>
      <c r="R19" s="2453"/>
      <c r="S19" s="2453"/>
      <c r="T19" s="2453"/>
      <c r="U19" s="2453"/>
      <c r="V19" s="2453"/>
      <c r="W19" s="2453"/>
      <c r="X19" s="2453"/>
      <c r="Y19" s="2453"/>
      <c r="Z19" s="2453"/>
      <c r="AA19" s="2453"/>
      <c r="AB19" s="2453"/>
      <c r="AC19" s="2453"/>
      <c r="AD19" s="2453"/>
      <c r="AE19" s="2453"/>
      <c r="AF19" s="2453"/>
      <c r="AG19" s="2453"/>
      <c r="AH19" s="2453"/>
      <c r="AI19" s="2453"/>
      <c r="AJ19" s="2453"/>
      <c r="AK19" s="2453"/>
    </row>
    <row r="20" spans="1:37" s="1697" customFormat="1" ht="12.75" customHeight="1">
      <c r="A20" s="1738">
        <f t="shared" si="1"/>
        <v>8</v>
      </c>
      <c r="B20" s="2188"/>
      <c r="C20" s="2225"/>
      <c r="D20" s="2193"/>
      <c r="E20" s="2206"/>
      <c r="F20" s="2209"/>
      <c r="G20" s="2207"/>
      <c r="H20" s="2197"/>
      <c r="I20" s="2197"/>
      <c r="J20" s="2197"/>
      <c r="K20" s="2221"/>
      <c r="L20" s="2179"/>
      <c r="M20" s="2195"/>
      <c r="N20" s="2338"/>
      <c r="O20" s="2338"/>
      <c r="P20" s="2726"/>
      <c r="Q20" s="2396"/>
      <c r="R20" s="2397"/>
      <c r="S20" s="2398"/>
      <c r="T20" s="2399"/>
      <c r="U20" s="2399"/>
      <c r="V20" s="2399"/>
      <c r="W20" s="2400"/>
      <c r="X20" s="2400"/>
      <c r="Y20" s="2400"/>
      <c r="Z20" s="2400"/>
      <c r="AA20" s="2401"/>
      <c r="AB20" s="2400"/>
      <c r="AC20" s="2400"/>
      <c r="AD20" s="2400"/>
      <c r="AE20" s="2402"/>
      <c r="AF20" s="2399"/>
      <c r="AG20" s="2403"/>
      <c r="AH20" s="2404"/>
      <c r="AI20" s="2405"/>
      <c r="AJ20" s="2406"/>
      <c r="AK20" s="2405"/>
    </row>
    <row r="21" spans="1:37" s="1697" customFormat="1" ht="12.75" customHeight="1">
      <c r="A21" s="1738">
        <f t="shared" si="1"/>
        <v>9</v>
      </c>
      <c r="B21" s="2264"/>
      <c r="C21" s="2196"/>
      <c r="D21" s="2193"/>
      <c r="E21" s="2206"/>
      <c r="F21" s="2219"/>
      <c r="G21" s="2207"/>
      <c r="H21" s="2197"/>
      <c r="I21" s="2197"/>
      <c r="J21" s="2197"/>
      <c r="K21" s="2221"/>
      <c r="L21" s="2407"/>
      <c r="M21" s="2407"/>
      <c r="N21" s="2407"/>
      <c r="O21" s="2407"/>
      <c r="P21" s="2727"/>
      <c r="Q21" s="2407"/>
      <c r="R21" s="2407"/>
      <c r="S21" s="2407"/>
      <c r="T21" s="2407"/>
      <c r="U21" s="2407"/>
      <c r="V21" s="2407"/>
      <c r="W21" s="2407"/>
      <c r="X21" s="2407"/>
      <c r="Y21" s="2407"/>
      <c r="Z21" s="2407"/>
      <c r="AA21" s="2407"/>
      <c r="AB21" s="2407"/>
      <c r="AC21" s="2407"/>
      <c r="AD21" s="2407"/>
      <c r="AE21" s="2407"/>
      <c r="AF21" s="2407"/>
      <c r="AG21" s="2407"/>
      <c r="AH21" s="2407"/>
      <c r="AI21" s="2407"/>
      <c r="AJ21" s="2407"/>
      <c r="AK21" s="2407"/>
    </row>
    <row r="22" spans="1:37" s="1697" customFormat="1" ht="12.75" customHeight="1">
      <c r="A22" s="1738">
        <f t="shared" si="1"/>
        <v>10</v>
      </c>
      <c r="B22" s="2188"/>
      <c r="C22" s="2225"/>
      <c r="D22" s="2193"/>
      <c r="E22" s="2206"/>
      <c r="F22" s="2209"/>
      <c r="G22" s="2207"/>
      <c r="H22" s="2197"/>
      <c r="I22" s="2197"/>
      <c r="J22" s="2197"/>
      <c r="K22" s="2221"/>
      <c r="L22" s="2179"/>
      <c r="M22" s="2195"/>
      <c r="N22" s="2195"/>
      <c r="O22" s="2212"/>
      <c r="P22" s="2249"/>
      <c r="Q22" s="2249"/>
      <c r="R22" s="2218"/>
      <c r="S22" s="2199"/>
      <c r="T22" s="2200"/>
      <c r="U22" s="2200"/>
      <c r="V22" s="2200"/>
      <c r="W22" s="2201"/>
      <c r="X22" s="2201"/>
      <c r="Y22" s="2201"/>
      <c r="Z22" s="2201"/>
      <c r="AA22" s="2202"/>
      <c r="AB22" s="2201"/>
      <c r="AC22" s="2201"/>
      <c r="AD22" s="2201"/>
      <c r="AE22" s="2203"/>
      <c r="AF22" s="2200"/>
      <c r="AG22" s="2204"/>
      <c r="AH22" s="2251"/>
      <c r="AJ22" s="2205"/>
    </row>
    <row r="23" spans="1:37" s="1697" customFormat="1" ht="12.75" customHeight="1">
      <c r="A23" s="1738">
        <f t="shared" si="1"/>
        <v>11</v>
      </c>
      <c r="B23" s="2213"/>
      <c r="C23" s="2225"/>
      <c r="D23" s="2193"/>
      <c r="E23" s="2206"/>
      <c r="F23" s="2209"/>
      <c r="G23" s="2207"/>
      <c r="H23" s="2197"/>
      <c r="I23" s="2197"/>
      <c r="J23" s="2197"/>
      <c r="K23" s="2221"/>
      <c r="L23" s="2179"/>
      <c r="M23" s="2339"/>
      <c r="N23" s="2339"/>
      <c r="O23" s="2212"/>
      <c r="P23" s="2249"/>
      <c r="Q23" s="2249"/>
      <c r="R23" s="2218"/>
      <c r="S23" s="2199"/>
      <c r="T23" s="2200"/>
      <c r="U23" s="2200"/>
      <c r="V23" s="2200"/>
      <c r="W23" s="2201"/>
      <c r="X23" s="2201"/>
      <c r="Y23" s="2201"/>
      <c r="Z23" s="2201"/>
      <c r="AA23" s="2202"/>
      <c r="AB23" s="2201"/>
      <c r="AC23" s="2201"/>
      <c r="AD23" s="2201"/>
      <c r="AE23" s="2203"/>
      <c r="AF23" s="2200"/>
      <c r="AG23" s="2204"/>
      <c r="AH23" s="2251"/>
      <c r="AJ23" s="2205"/>
    </row>
    <row r="24" spans="1:37" s="1697" customFormat="1" ht="12.75" customHeight="1">
      <c r="A24" s="1738">
        <f t="shared" si="1"/>
        <v>12</v>
      </c>
      <c r="B24" s="2188"/>
      <c r="C24" s="2196"/>
      <c r="D24" s="2193"/>
      <c r="E24" s="2206"/>
      <c r="F24" s="2196"/>
      <c r="G24" s="2207"/>
      <c r="H24" s="2197"/>
      <c r="I24" s="2197"/>
      <c r="J24" s="2197"/>
      <c r="K24" s="2221"/>
      <c r="L24" s="2179"/>
      <c r="M24" s="2338"/>
      <c r="N24" s="2338"/>
      <c r="O24" s="2212"/>
      <c r="P24" s="2249"/>
      <c r="Q24" s="2249"/>
      <c r="R24" s="2218"/>
      <c r="S24" s="2199"/>
      <c r="T24" s="2200"/>
      <c r="U24" s="2200"/>
      <c r="V24" s="2200"/>
      <c r="W24" s="2201"/>
      <c r="X24" s="2201"/>
      <c r="Y24" s="2201"/>
      <c r="Z24" s="2202"/>
      <c r="AA24" s="2202"/>
      <c r="AB24" s="2201"/>
      <c r="AC24" s="2201"/>
      <c r="AD24" s="2201"/>
      <c r="AE24" s="2203"/>
      <c r="AF24" s="2200"/>
      <c r="AG24" s="2204"/>
      <c r="AH24" s="2251"/>
      <c r="AJ24" s="2205"/>
    </row>
    <row r="25" spans="1:37" s="1697" customFormat="1" ht="12.75" customHeight="1">
      <c r="A25" s="1738">
        <f t="shared" si="1"/>
        <v>13</v>
      </c>
      <c r="B25" s="2213"/>
      <c r="C25" s="2225"/>
      <c r="D25" s="2193"/>
      <c r="E25" s="2206"/>
      <c r="F25" s="2209"/>
      <c r="G25" s="2207"/>
      <c r="H25" s="2197"/>
      <c r="I25" s="2197"/>
      <c r="J25" s="2197"/>
      <c r="K25" s="2221"/>
      <c r="L25" s="2179"/>
      <c r="M25" s="2211"/>
      <c r="N25" s="2211"/>
      <c r="O25" s="2212"/>
      <c r="P25" s="2249"/>
      <c r="Q25" s="2249"/>
      <c r="R25" s="2218"/>
      <c r="S25" s="2199"/>
      <c r="T25" s="2200"/>
      <c r="U25" s="2200"/>
      <c r="V25" s="2200"/>
      <c r="W25" s="2201"/>
      <c r="X25" s="2201"/>
      <c r="Y25" s="2201"/>
      <c r="Z25" s="2201"/>
      <c r="AA25" s="2202"/>
      <c r="AB25" s="2201"/>
      <c r="AC25" s="2201"/>
      <c r="AD25" s="2201"/>
      <c r="AE25" s="2203"/>
      <c r="AF25" s="2200"/>
      <c r="AG25" s="2204"/>
      <c r="AH25" s="2251"/>
      <c r="AJ25" s="2205"/>
    </row>
    <row r="26" spans="1:37" s="2205" customFormat="1" ht="12.75" customHeight="1">
      <c r="A26" s="1738">
        <f t="shared" si="1"/>
        <v>14</v>
      </c>
      <c r="B26" s="2188"/>
      <c r="C26" s="2225"/>
      <c r="D26" s="2209"/>
      <c r="E26" s="2206"/>
      <c r="F26" s="2179"/>
      <c r="G26" s="2196"/>
      <c r="H26" s="2197"/>
      <c r="I26" s="2197"/>
      <c r="J26" s="2197"/>
      <c r="K26" s="2221"/>
      <c r="L26" s="2179"/>
      <c r="M26" s="2211"/>
      <c r="N26" s="2211"/>
      <c r="O26" s="2212"/>
      <c r="P26" s="2249"/>
      <c r="Q26" s="2249"/>
      <c r="R26" s="2199"/>
      <c r="S26" s="2199"/>
      <c r="T26" s="2200"/>
      <c r="U26" s="2200"/>
      <c r="V26" s="2200"/>
      <c r="W26" s="2201"/>
      <c r="X26" s="2201"/>
      <c r="Y26" s="2201"/>
      <c r="Z26" s="2201"/>
      <c r="AA26" s="2202"/>
      <c r="AB26" s="2201"/>
      <c r="AC26" s="2201"/>
      <c r="AD26" s="2201"/>
      <c r="AE26" s="2250"/>
      <c r="AF26" s="2200"/>
      <c r="AG26" s="2204"/>
      <c r="AH26" s="2251"/>
      <c r="AI26" s="1697"/>
    </row>
    <row r="27" spans="1:37" s="2205" customFormat="1" ht="12.75" customHeight="1">
      <c r="A27" s="1738">
        <f t="shared" si="1"/>
        <v>15</v>
      </c>
      <c r="B27" s="2255"/>
      <c r="C27" s="2203"/>
      <c r="D27" s="2203"/>
      <c r="E27" s="2255"/>
      <c r="F27" s="2255"/>
      <c r="G27" s="2255"/>
      <c r="H27" s="2255"/>
      <c r="I27" s="2255"/>
      <c r="J27" s="2255"/>
      <c r="K27" s="2255"/>
      <c r="L27" s="2255"/>
      <c r="M27" s="2255"/>
      <c r="N27" s="2255"/>
      <c r="R27" s="2256"/>
      <c r="S27" s="2257"/>
      <c r="T27" s="2256"/>
      <c r="U27" s="2258"/>
      <c r="V27" s="2258"/>
      <c r="W27" s="2259"/>
      <c r="X27" s="2256"/>
      <c r="Y27" s="2256"/>
      <c r="Z27" s="2256"/>
      <c r="AA27" s="2258"/>
      <c r="AB27" s="2256"/>
      <c r="AC27" s="2260"/>
      <c r="AD27" s="2260"/>
      <c r="AE27" s="2261"/>
      <c r="AF27" s="2262"/>
      <c r="AG27" s="2262"/>
      <c r="AH27" s="2262"/>
      <c r="AI27" s="2210"/>
      <c r="AJ27" s="2210"/>
      <c r="AK27" s="1697"/>
    </row>
    <row r="28" spans="1:37" s="1697" customFormat="1" ht="12.75" customHeight="1">
      <c r="A28" s="1738">
        <f t="shared" si="1"/>
        <v>16</v>
      </c>
      <c r="B28" s="2264"/>
      <c r="C28" s="2196"/>
      <c r="E28" s="2206"/>
      <c r="F28" s="2073"/>
      <c r="G28" s="2207"/>
      <c r="H28" s="2197"/>
      <c r="I28" s="2197"/>
      <c r="J28" s="2197"/>
      <c r="K28" s="2265"/>
      <c r="L28" s="2295"/>
      <c r="M28" s="2295"/>
      <c r="N28" s="2295"/>
      <c r="O28" s="2295"/>
      <c r="P28" s="2295"/>
      <c r="Q28" s="2295"/>
      <c r="R28" s="2295"/>
      <c r="S28" s="2295"/>
      <c r="T28" s="2295"/>
      <c r="U28" s="2200"/>
      <c r="V28" s="2200"/>
      <c r="W28" s="2201"/>
      <c r="X28" s="2201"/>
      <c r="Y28" s="2201"/>
      <c r="AA28" s="2202"/>
      <c r="AB28" s="2201"/>
      <c r="AC28" s="2201"/>
      <c r="AD28" s="2201"/>
      <c r="AE28" s="2203"/>
      <c r="AF28" s="2200"/>
      <c r="AG28" s="2204"/>
      <c r="AH28" s="2251"/>
      <c r="AJ28" s="2205"/>
    </row>
    <row r="29" spans="1:37" s="1697" customFormat="1" ht="12.75" customHeight="1">
      <c r="A29" s="1738">
        <f t="shared" si="1"/>
        <v>17</v>
      </c>
      <c r="B29" s="2264"/>
      <c r="C29" s="2196"/>
      <c r="E29" s="2206"/>
      <c r="F29" s="2073"/>
      <c r="G29" s="2207"/>
      <c r="H29" s="2197"/>
      <c r="I29" s="2197"/>
      <c r="J29" s="2197"/>
      <c r="K29" s="2265"/>
      <c r="L29" s="2179"/>
      <c r="M29" s="2211"/>
      <c r="N29" s="2211"/>
      <c r="O29" s="2254"/>
      <c r="P29" s="2254"/>
      <c r="Q29" s="2254"/>
      <c r="R29" s="2199"/>
      <c r="S29" s="2199"/>
      <c r="T29" s="2200"/>
      <c r="U29" s="2200"/>
      <c r="V29" s="2200"/>
      <c r="W29" s="2201"/>
      <c r="X29" s="2201"/>
      <c r="Y29" s="2201"/>
      <c r="AA29" s="2226"/>
      <c r="AB29" s="2201"/>
      <c r="AC29" s="2201"/>
      <c r="AD29" s="2201"/>
      <c r="AE29" s="2203"/>
      <c r="AF29" s="2200"/>
      <c r="AG29" s="2204"/>
      <c r="AH29" s="2251"/>
      <c r="AJ29" s="2205"/>
    </row>
    <row r="30" spans="1:37" s="1697" customFormat="1" ht="12.75" customHeight="1">
      <c r="A30" s="1738">
        <f t="shared" si="1"/>
        <v>18</v>
      </c>
      <c r="B30" s="2264"/>
      <c r="C30" s="2225"/>
      <c r="E30" s="2206"/>
      <c r="F30" s="2196"/>
      <c r="G30" s="2207"/>
      <c r="H30" s="2197"/>
      <c r="I30" s="2197"/>
      <c r="J30" s="2197"/>
      <c r="K30" s="2221"/>
      <c r="L30" s="2195"/>
      <c r="M30" s="2211"/>
      <c r="N30" s="2211"/>
      <c r="O30" s="2212"/>
      <c r="P30" s="2249"/>
      <c r="Q30" s="2249"/>
      <c r="R30" s="2199"/>
      <c r="S30" s="2214"/>
      <c r="T30" s="2200"/>
      <c r="U30" s="2200"/>
      <c r="V30" s="2200"/>
      <c r="W30" s="2201"/>
      <c r="X30" s="2201"/>
      <c r="Y30" s="2201"/>
      <c r="Z30" s="2227"/>
      <c r="AA30" s="2202"/>
      <c r="AB30" s="2201"/>
      <c r="AC30" s="2201"/>
      <c r="AD30" s="2201"/>
      <c r="AE30" s="2253"/>
      <c r="AF30" s="2200"/>
      <c r="AG30" s="2204"/>
      <c r="AH30" s="2251"/>
      <c r="AJ30" s="2205"/>
    </row>
    <row r="31" spans="1:37" s="1697" customFormat="1" ht="12.75" customHeight="1">
      <c r="A31" s="1738">
        <f t="shared" si="1"/>
        <v>19</v>
      </c>
      <c r="B31" s="2192"/>
      <c r="C31" s="2196"/>
      <c r="E31" s="2206"/>
      <c r="F31" s="2073"/>
      <c r="G31" s="2207"/>
      <c r="H31" s="2197"/>
      <c r="I31" s="2197"/>
      <c r="J31" s="2197"/>
      <c r="K31" s="2221"/>
      <c r="L31" s="2195"/>
      <c r="M31" s="2211"/>
      <c r="N31" s="2211"/>
      <c r="O31" s="2212"/>
      <c r="P31" s="2179"/>
      <c r="Q31" s="2179"/>
      <c r="R31" s="2199"/>
      <c r="S31" s="2199"/>
      <c r="T31" s="2200"/>
      <c r="U31" s="2200"/>
      <c r="V31" s="2200"/>
      <c r="W31" s="2201"/>
      <c r="X31" s="2202"/>
      <c r="Y31" s="2201"/>
      <c r="Z31" s="2226"/>
      <c r="AA31" s="2202"/>
      <c r="AB31" s="2201"/>
      <c r="AC31" s="2201"/>
      <c r="AD31" s="2201"/>
      <c r="AE31" s="2203"/>
      <c r="AF31" s="2200"/>
      <c r="AG31" s="2204"/>
      <c r="AH31" s="2251"/>
      <c r="AJ31" s="2205"/>
    </row>
    <row r="32" spans="1:37" s="1697" customFormat="1" ht="12.75" customHeight="1">
      <c r="A32" s="1738">
        <f t="shared" si="1"/>
        <v>20</v>
      </c>
      <c r="B32" s="2188"/>
      <c r="C32" s="2225"/>
      <c r="D32" s="2193"/>
      <c r="E32" s="2206"/>
      <c r="F32" s="2196"/>
      <c r="G32" s="2207"/>
      <c r="H32" s="2197"/>
      <c r="I32" s="2197"/>
      <c r="J32" s="2197"/>
      <c r="K32" s="2221"/>
      <c r="L32" s="2179"/>
      <c r="M32" s="2211"/>
      <c r="N32" s="2211"/>
      <c r="O32" s="2212"/>
      <c r="P32" s="2179"/>
      <c r="Q32" s="2179"/>
      <c r="R32" s="2199"/>
      <c r="S32" s="2214"/>
      <c r="T32" s="2200"/>
      <c r="U32" s="2200"/>
      <c r="V32" s="2200"/>
      <c r="W32" s="2201"/>
      <c r="X32" s="2201"/>
      <c r="Y32" s="2201"/>
      <c r="Z32" s="2201"/>
      <c r="AA32" s="2202"/>
      <c r="AB32" s="2201"/>
      <c r="AC32" s="2201"/>
      <c r="AD32" s="2201"/>
      <c r="AE32" s="2203"/>
      <c r="AF32" s="2200"/>
      <c r="AG32" s="2204"/>
      <c r="AH32" s="2251"/>
      <c r="AJ32" s="2205"/>
    </row>
    <row r="33" spans="1:37" s="1697" customFormat="1" ht="15.6">
      <c r="A33" s="1738">
        <f t="shared" si="1"/>
        <v>21</v>
      </c>
      <c r="B33" s="2192"/>
      <c r="C33" s="2196"/>
      <c r="D33" s="2193"/>
      <c r="E33" s="2206"/>
      <c r="F33" s="2073"/>
      <c r="G33" s="2207"/>
      <c r="H33" s="2197"/>
      <c r="I33" s="2197"/>
      <c r="J33" s="2197"/>
      <c r="K33" s="2221"/>
      <c r="L33" s="2223"/>
      <c r="M33" s="2211"/>
      <c r="N33" s="2211"/>
      <c r="O33" s="2212"/>
      <c r="P33" s="2179"/>
      <c r="Q33" s="2179"/>
      <c r="R33" s="2218"/>
      <c r="S33" s="2214"/>
      <c r="T33" s="2200"/>
      <c r="U33" s="2200"/>
      <c r="V33" s="2200"/>
      <c r="W33" s="2202"/>
      <c r="X33" s="2201"/>
      <c r="Y33" s="2201"/>
      <c r="Z33" s="2201"/>
      <c r="AA33" s="2202"/>
      <c r="AB33" s="2201"/>
      <c r="AC33" s="2201"/>
      <c r="AD33" s="2201"/>
      <c r="AE33" s="2203"/>
      <c r="AF33" s="2200"/>
      <c r="AG33" s="2204"/>
      <c r="AH33" s="2251"/>
      <c r="AJ33" s="2205"/>
    </row>
    <row r="34" spans="1:37" s="1697" customFormat="1" ht="15.6">
      <c r="A34" s="1738">
        <f t="shared" si="1"/>
        <v>22</v>
      </c>
      <c r="B34" s="2192"/>
      <c r="C34" s="2225"/>
      <c r="D34" s="2192"/>
      <c r="E34" s="2206"/>
      <c r="F34" s="2196"/>
      <c r="G34" s="2207"/>
      <c r="H34" s="2197"/>
      <c r="I34" s="2197"/>
      <c r="J34" s="2197"/>
      <c r="K34" s="2221"/>
      <c r="L34" s="2179"/>
      <c r="M34" s="2211"/>
      <c r="N34" s="2211"/>
      <c r="O34" s="2212"/>
      <c r="P34" s="2179"/>
      <c r="Q34" s="2179"/>
      <c r="R34" s="2199"/>
      <c r="S34" s="2214"/>
      <c r="T34" s="2200"/>
      <c r="U34" s="2200"/>
      <c r="V34" s="2200"/>
      <c r="W34" s="2201"/>
      <c r="X34" s="2201"/>
      <c r="Y34" s="2201"/>
      <c r="Z34" s="2201"/>
      <c r="AA34" s="2202"/>
      <c r="AB34" s="2201"/>
      <c r="AC34" s="2201"/>
      <c r="AD34" s="2201"/>
      <c r="AE34" s="2203"/>
      <c r="AF34" s="2200"/>
      <c r="AG34" s="2204"/>
      <c r="AH34" s="2251"/>
      <c r="AJ34" s="2205"/>
    </row>
    <row r="35" spans="1:37" s="1697" customFormat="1" ht="15.6">
      <c r="A35" s="1738">
        <f t="shared" si="1"/>
        <v>23</v>
      </c>
      <c r="B35" s="2213"/>
      <c r="C35" s="2225"/>
      <c r="D35" s="2213"/>
      <c r="E35" s="2206"/>
      <c r="F35" s="2196"/>
      <c r="G35" s="2207"/>
      <c r="H35" s="2197"/>
      <c r="I35" s="2197"/>
      <c r="J35" s="2197"/>
      <c r="K35" s="2221"/>
      <c r="L35" s="2179"/>
      <c r="M35" s="2211"/>
      <c r="N35" s="2211"/>
      <c r="O35" s="2212"/>
      <c r="P35" s="2179"/>
      <c r="Q35" s="2179"/>
      <c r="R35" s="2199"/>
      <c r="S35" s="2214"/>
      <c r="T35" s="2200"/>
      <c r="U35" s="2200"/>
      <c r="V35" s="2200"/>
      <c r="W35" s="2201"/>
      <c r="X35" s="2201"/>
      <c r="Y35" s="2201"/>
      <c r="Z35" s="2201"/>
      <c r="AA35" s="2202"/>
      <c r="AB35" s="2201"/>
      <c r="AC35" s="2201"/>
      <c r="AD35" s="2201"/>
      <c r="AE35" s="2203"/>
      <c r="AF35" s="2200"/>
      <c r="AG35" s="2204"/>
      <c r="AH35" s="2251"/>
      <c r="AJ35" s="2205"/>
    </row>
    <row r="36" spans="1:37" s="1697" customFormat="1" ht="15.6">
      <c r="A36" s="1738">
        <f t="shared" si="1"/>
        <v>24</v>
      </c>
      <c r="B36" s="2213"/>
      <c r="C36" s="2225"/>
      <c r="D36" s="2193"/>
      <c r="E36" s="2206"/>
      <c r="F36" s="2196"/>
      <c r="G36" s="2207"/>
      <c r="H36" s="2197"/>
      <c r="I36" s="2197"/>
      <c r="J36" s="2197"/>
      <c r="K36" s="2221"/>
      <c r="L36" s="2179"/>
      <c r="M36" s="2211"/>
      <c r="N36" s="2211"/>
      <c r="O36" s="2212"/>
      <c r="P36" s="2179"/>
      <c r="Q36" s="2179"/>
      <c r="R36" s="2199"/>
      <c r="S36" s="2214"/>
      <c r="T36" s="2200"/>
      <c r="U36" s="2200"/>
      <c r="V36" s="2200"/>
      <c r="W36" s="2201"/>
      <c r="X36" s="2201"/>
      <c r="Y36" s="2201"/>
      <c r="Z36" s="2201"/>
      <c r="AA36" s="2202"/>
      <c r="AB36" s="2201"/>
      <c r="AC36" s="2201"/>
      <c r="AD36" s="2201"/>
      <c r="AE36" s="2203"/>
      <c r="AF36" s="2200"/>
      <c r="AG36" s="2204"/>
      <c r="AH36" s="2251"/>
      <c r="AJ36" s="2205"/>
    </row>
    <row r="37" spans="1:37" s="1697" customFormat="1" ht="15.6">
      <c r="A37" s="1738">
        <f t="shared" si="1"/>
        <v>25</v>
      </c>
      <c r="B37" s="2188"/>
      <c r="C37" s="2225"/>
      <c r="D37" s="2193"/>
      <c r="E37" s="2206"/>
      <c r="F37" s="2196"/>
      <c r="G37" s="2207"/>
      <c r="H37" s="2197"/>
      <c r="I37" s="2197"/>
      <c r="J37" s="2197"/>
      <c r="K37" s="2221"/>
      <c r="L37" s="2179"/>
      <c r="M37" s="2228"/>
      <c r="N37" s="2228"/>
      <c r="O37" s="2212"/>
      <c r="P37" s="2179"/>
      <c r="Q37" s="2179"/>
      <c r="R37" s="2199"/>
      <c r="S37" s="2214"/>
      <c r="T37" s="2200"/>
      <c r="U37" s="2200"/>
      <c r="V37" s="2200"/>
      <c r="W37" s="2201"/>
      <c r="X37" s="2201"/>
      <c r="Y37" s="2201"/>
      <c r="Z37" s="2201"/>
      <c r="AA37" s="2202"/>
      <c r="AB37" s="2201"/>
      <c r="AC37" s="2201"/>
      <c r="AD37" s="2201"/>
      <c r="AE37" s="2203"/>
      <c r="AF37" s="2200"/>
      <c r="AG37" s="2204"/>
      <c r="AH37" s="2251"/>
      <c r="AJ37" s="2205"/>
    </row>
    <row r="38" spans="1:37" s="1697" customFormat="1" ht="15.6">
      <c r="A38" s="1738">
        <f t="shared" si="1"/>
        <v>26</v>
      </c>
      <c r="B38" s="2188"/>
      <c r="C38" s="2196"/>
      <c r="D38" s="2193"/>
      <c r="E38" s="2206"/>
      <c r="F38" s="2073"/>
      <c r="G38" s="2207"/>
      <c r="H38" s="2197"/>
      <c r="I38" s="2197"/>
      <c r="J38" s="2197"/>
      <c r="K38" s="2265"/>
      <c r="L38" s="2179"/>
      <c r="M38" s="2211"/>
      <c r="N38" s="2211"/>
      <c r="O38" s="2212"/>
      <c r="P38" s="2179"/>
      <c r="Q38" s="2179"/>
      <c r="R38" s="2229"/>
      <c r="S38" s="2199"/>
      <c r="T38" s="2218"/>
      <c r="U38" s="2202"/>
      <c r="V38" s="2202"/>
      <c r="W38" s="2201"/>
      <c r="X38" s="2201"/>
      <c r="Y38" s="2201"/>
      <c r="Z38" s="2226"/>
      <c r="AA38" s="2202"/>
      <c r="AB38" s="2201"/>
      <c r="AC38" s="2201"/>
      <c r="AD38" s="2201"/>
      <c r="AE38" s="2203"/>
      <c r="AF38" s="2200"/>
      <c r="AG38" s="2204"/>
      <c r="AH38" s="2251"/>
      <c r="AJ38" s="2205"/>
    </row>
    <row r="39" spans="1:37" s="2205" customFormat="1" ht="15.6">
      <c r="A39" s="1738">
        <f t="shared" si="1"/>
        <v>27</v>
      </c>
      <c r="B39" s="2255"/>
      <c r="C39" s="2203"/>
      <c r="D39" s="2203"/>
      <c r="E39" s="2255"/>
      <c r="F39" s="2255"/>
      <c r="G39" s="2255"/>
      <c r="H39" s="2255"/>
      <c r="I39" s="2255"/>
      <c r="J39" s="2255"/>
      <c r="K39" s="2255"/>
      <c r="L39" s="2255"/>
      <c r="M39" s="2255"/>
      <c r="N39" s="2255"/>
      <c r="R39" s="2256"/>
      <c r="S39" s="2257"/>
      <c r="T39" s="2256"/>
      <c r="U39" s="2258"/>
      <c r="V39" s="2258"/>
      <c r="W39" s="2259"/>
      <c r="X39" s="2256"/>
      <c r="Y39" s="2256"/>
      <c r="Z39" s="2256"/>
      <c r="AA39" s="2258"/>
      <c r="AB39" s="2256"/>
      <c r="AC39" s="2260"/>
      <c r="AD39" s="2260"/>
      <c r="AE39" s="2261"/>
      <c r="AF39" s="2262"/>
      <c r="AG39" s="2262"/>
      <c r="AH39" s="2262"/>
      <c r="AI39" s="2210"/>
      <c r="AJ39" s="2210"/>
      <c r="AK39" s="1697"/>
    </row>
    <row r="40" spans="1:37" s="1697" customFormat="1" ht="15.6">
      <c r="A40" s="1738">
        <f t="shared" si="1"/>
        <v>28</v>
      </c>
      <c r="B40" s="2188"/>
      <c r="C40" s="2225"/>
      <c r="D40" s="2188"/>
      <c r="E40" s="2206"/>
      <c r="F40" s="2196"/>
      <c r="G40" s="2207"/>
      <c r="H40" s="2197"/>
      <c r="I40" s="2197"/>
      <c r="J40" s="2197"/>
      <c r="K40" s="2221"/>
      <c r="L40" s="2179"/>
      <c r="M40" s="2211"/>
      <c r="N40" s="2211"/>
      <c r="O40" s="2224"/>
      <c r="P40" s="2179"/>
      <c r="Q40" s="2179"/>
      <c r="R40" s="2229"/>
      <c r="S40" s="2214"/>
      <c r="T40" s="2200"/>
      <c r="U40" s="2200"/>
      <c r="V40" s="2200"/>
      <c r="W40" s="2201"/>
      <c r="X40" s="2201"/>
      <c r="Y40" s="2201"/>
      <c r="Z40" s="2201"/>
      <c r="AA40" s="2202"/>
      <c r="AB40" s="2201"/>
      <c r="AC40" s="2201"/>
      <c r="AD40" s="2201"/>
      <c r="AE40" s="2203"/>
      <c r="AF40" s="2200"/>
      <c r="AG40" s="2204"/>
      <c r="AH40" s="2251"/>
      <c r="AJ40" s="2205"/>
    </row>
    <row r="41" spans="1:37" s="1697" customFormat="1" ht="15.6">
      <c r="A41" s="1738">
        <f t="shared" si="1"/>
        <v>29</v>
      </c>
      <c r="B41" s="2188"/>
      <c r="C41" s="2225"/>
      <c r="D41" s="2188"/>
      <c r="E41" s="2206"/>
      <c r="F41" s="2196"/>
      <c r="G41" s="2207"/>
      <c r="H41" s="2197"/>
      <c r="I41" s="2197"/>
      <c r="J41" s="2197"/>
      <c r="K41" s="2221"/>
      <c r="L41" s="2179"/>
      <c r="M41" s="2211"/>
      <c r="N41" s="2211"/>
      <c r="O41" s="2224"/>
      <c r="P41" s="2179"/>
      <c r="Q41" s="2179"/>
      <c r="R41" s="2229"/>
      <c r="S41" s="2214"/>
      <c r="T41" s="2200"/>
      <c r="U41" s="2200"/>
      <c r="V41" s="2200"/>
      <c r="W41" s="2201"/>
      <c r="X41" s="2201"/>
      <c r="Y41" s="2201"/>
      <c r="Z41" s="2201"/>
      <c r="AA41" s="2202"/>
      <c r="AB41" s="2201"/>
      <c r="AC41" s="2201"/>
      <c r="AD41" s="2201"/>
      <c r="AE41" s="2203"/>
      <c r="AF41" s="2200"/>
      <c r="AG41" s="2204"/>
      <c r="AH41" s="2251"/>
      <c r="AJ41" s="2205"/>
    </row>
    <row r="42" spans="1:37" s="1697" customFormat="1" ht="15.6">
      <c r="A42" s="1738">
        <f t="shared" si="1"/>
        <v>30</v>
      </c>
      <c r="B42" s="2188"/>
      <c r="C42" s="2225"/>
      <c r="D42" s="2193"/>
      <c r="E42" s="2206"/>
      <c r="F42" s="2196"/>
      <c r="G42" s="2207"/>
      <c r="H42" s="2197"/>
      <c r="I42" s="2197"/>
      <c r="J42" s="2197"/>
      <c r="K42" s="2221"/>
      <c r="L42" s="2179"/>
      <c r="M42" s="2211"/>
      <c r="N42" s="2211"/>
      <c r="O42" s="2224"/>
      <c r="P42" s="2179"/>
      <c r="Q42" s="2179"/>
      <c r="R42" s="2218"/>
      <c r="S42" s="2199"/>
      <c r="T42" s="2200"/>
      <c r="U42" s="2200"/>
      <c r="V42" s="2200"/>
      <c r="W42" s="2201"/>
      <c r="X42" s="2201"/>
      <c r="Y42" s="2201"/>
      <c r="Z42" s="2201"/>
      <c r="AA42" s="2202"/>
      <c r="AB42" s="2201"/>
      <c r="AC42" s="2201"/>
      <c r="AD42" s="2201"/>
      <c r="AE42" s="2203"/>
      <c r="AF42" s="2200"/>
      <c r="AG42" s="2204"/>
      <c r="AH42" s="2251"/>
      <c r="AJ42" s="2205"/>
    </row>
    <row r="43" spans="1:37" s="1697" customFormat="1" ht="15.6">
      <c r="A43" s="1738">
        <f t="shared" si="1"/>
        <v>31</v>
      </c>
      <c r="B43" s="2188"/>
      <c r="C43" s="2225"/>
      <c r="D43" s="2188"/>
      <c r="E43" s="2206"/>
      <c r="F43" s="2196"/>
      <c r="G43" s="2207"/>
      <c r="H43" s="2197"/>
      <c r="I43" s="2197"/>
      <c r="J43" s="2197"/>
      <c r="K43" s="2221"/>
      <c r="L43" s="2179"/>
      <c r="M43" s="2211"/>
      <c r="N43" s="2211"/>
      <c r="O43" s="2224"/>
      <c r="P43" s="2179"/>
      <c r="Q43" s="2179"/>
      <c r="R43" s="2218"/>
      <c r="S43" s="2199"/>
      <c r="T43" s="2200"/>
      <c r="U43" s="2200"/>
      <c r="V43" s="2200"/>
      <c r="W43" s="2201"/>
      <c r="X43" s="2201"/>
      <c r="Y43" s="2201"/>
      <c r="Z43" s="2201"/>
      <c r="AA43" s="2202"/>
      <c r="AB43" s="2201"/>
      <c r="AC43" s="2201"/>
      <c r="AD43" s="2201"/>
      <c r="AE43" s="2203"/>
      <c r="AF43" s="2200"/>
      <c r="AG43" s="2204"/>
      <c r="AH43" s="2251"/>
      <c r="AJ43" s="2205"/>
    </row>
    <row r="44" spans="1:37" s="1697" customFormat="1" ht="15.6">
      <c r="A44" s="1738">
        <f t="shared" si="1"/>
        <v>32</v>
      </c>
      <c r="B44" s="2188"/>
      <c r="C44" s="2225"/>
      <c r="D44" s="2188"/>
      <c r="E44" s="2206"/>
      <c r="F44" s="2196"/>
      <c r="G44" s="2207"/>
      <c r="H44" s="2197"/>
      <c r="I44" s="2197"/>
      <c r="J44" s="2197"/>
      <c r="K44" s="2221"/>
      <c r="L44" s="2179"/>
      <c r="M44" s="2211"/>
      <c r="N44" s="2211"/>
      <c r="O44" s="2224"/>
      <c r="P44" s="2254"/>
      <c r="Q44" s="2254"/>
      <c r="R44" s="2218"/>
      <c r="S44" s="2199"/>
      <c r="T44" s="2200"/>
      <c r="U44" s="2200"/>
      <c r="V44" s="2200"/>
      <c r="W44" s="2201"/>
      <c r="X44" s="2201"/>
      <c r="Y44" s="2201"/>
      <c r="Z44" s="2201"/>
      <c r="AA44" s="2202"/>
      <c r="AB44" s="2201"/>
      <c r="AC44" s="2201"/>
      <c r="AD44" s="2201"/>
      <c r="AE44" s="2203"/>
      <c r="AF44" s="2200"/>
      <c r="AG44" s="2204"/>
      <c r="AH44" s="2251"/>
      <c r="AJ44" s="2205"/>
    </row>
    <row r="45" spans="1:37" s="1697" customFormat="1" ht="15.6">
      <c r="A45" s="1738">
        <f t="shared" si="1"/>
        <v>33</v>
      </c>
      <c r="B45" s="2188"/>
      <c r="C45" s="2196"/>
      <c r="D45" s="2188"/>
      <c r="E45" s="2194"/>
      <c r="F45" s="2073"/>
      <c r="G45" s="2207"/>
      <c r="H45" s="2197"/>
      <c r="I45" s="2197"/>
      <c r="J45" s="2197"/>
      <c r="K45" s="2221"/>
      <c r="L45" s="2179"/>
      <c r="M45" s="2211"/>
      <c r="N45" s="2211"/>
      <c r="O45" s="2224"/>
      <c r="P45" s="2195"/>
      <c r="Q45" s="2195"/>
      <c r="R45" s="2218"/>
      <c r="S45" s="2199"/>
      <c r="T45" s="2218"/>
      <c r="U45" s="2200"/>
      <c r="V45" s="2200"/>
      <c r="W45" s="2201"/>
      <c r="X45" s="2201"/>
      <c r="Y45" s="2201"/>
      <c r="Z45" s="2226"/>
      <c r="AA45" s="2202"/>
      <c r="AB45" s="2201"/>
      <c r="AC45" s="2201"/>
      <c r="AD45" s="2201"/>
      <c r="AE45" s="2203"/>
      <c r="AF45" s="2200"/>
      <c r="AG45" s="2204"/>
      <c r="AH45" s="2251"/>
      <c r="AJ45" s="2205"/>
    </row>
    <row r="46" spans="1:37" s="1697" customFormat="1" ht="15.6">
      <c r="A46" s="1738">
        <f t="shared" si="1"/>
        <v>34</v>
      </c>
      <c r="B46" s="2188"/>
      <c r="C46" s="2225"/>
      <c r="D46" s="2188"/>
      <c r="E46" s="2206"/>
      <c r="F46" s="2196"/>
      <c r="G46" s="2207"/>
      <c r="H46" s="2197"/>
      <c r="I46" s="2197"/>
      <c r="J46" s="2197"/>
      <c r="K46" s="2221"/>
      <c r="L46" s="2179"/>
      <c r="M46" s="2211"/>
      <c r="N46" s="2211"/>
      <c r="O46" s="2224"/>
      <c r="P46" s="2179"/>
      <c r="Q46" s="2179"/>
      <c r="R46" s="2218"/>
      <c r="S46" s="2199"/>
      <c r="T46" s="2200"/>
      <c r="U46" s="2200"/>
      <c r="V46" s="2200"/>
      <c r="W46" s="2201"/>
      <c r="X46" s="2201"/>
      <c r="Y46" s="2201"/>
      <c r="Z46" s="2201"/>
      <c r="AA46" s="2202"/>
      <c r="AB46" s="2201"/>
      <c r="AC46" s="2201"/>
      <c r="AD46" s="2201"/>
      <c r="AE46" s="2203"/>
      <c r="AF46" s="2200"/>
      <c r="AG46" s="2204"/>
      <c r="AH46" s="2251"/>
      <c r="AJ46" s="2205"/>
    </row>
    <row r="47" spans="1:37" s="1697" customFormat="1" ht="15.6">
      <c r="A47" s="1738">
        <f t="shared" si="1"/>
        <v>35</v>
      </c>
      <c r="B47" s="2188"/>
      <c r="C47" s="2225"/>
      <c r="D47" s="2188"/>
      <c r="E47" s="2206"/>
      <c r="F47" s="2196"/>
      <c r="G47" s="2207"/>
      <c r="H47" s="2197"/>
      <c r="I47" s="2197"/>
      <c r="J47" s="2197"/>
      <c r="K47" s="2221"/>
      <c r="L47" s="2195"/>
      <c r="M47" s="2228"/>
      <c r="N47" s="2228"/>
      <c r="O47" s="2224"/>
      <c r="P47" s="2179"/>
      <c r="Q47" s="2179"/>
      <c r="R47" s="2218"/>
      <c r="S47" s="2199"/>
      <c r="T47" s="2200"/>
      <c r="U47" s="2200"/>
      <c r="V47" s="2200"/>
      <c r="W47" s="2201"/>
      <c r="X47" s="2201"/>
      <c r="Y47" s="2201"/>
      <c r="Z47" s="2201"/>
      <c r="AA47" s="2202"/>
      <c r="AB47" s="2201"/>
      <c r="AC47" s="2201"/>
      <c r="AD47" s="2201"/>
      <c r="AE47" s="2203"/>
      <c r="AF47" s="2200"/>
      <c r="AG47" s="2204"/>
      <c r="AH47" s="2251"/>
      <c r="AJ47" s="2205"/>
    </row>
    <row r="48" spans="1:37" s="2205" customFormat="1" ht="15.6">
      <c r="A48" s="1738">
        <f t="shared" si="1"/>
        <v>36</v>
      </c>
      <c r="B48" s="2255"/>
      <c r="C48" s="2203"/>
      <c r="D48" s="2203"/>
      <c r="E48" s="2255"/>
      <c r="F48" s="2255"/>
      <c r="G48" s="2255"/>
      <c r="H48" s="2255"/>
      <c r="I48" s="2255"/>
      <c r="J48" s="2255"/>
      <c r="K48" s="2255"/>
      <c r="L48" s="2255"/>
      <c r="M48" s="2255"/>
      <c r="N48" s="2255"/>
      <c r="R48" s="2256"/>
      <c r="S48" s="2257"/>
      <c r="T48" s="2256"/>
      <c r="U48" s="2258"/>
      <c r="V48" s="2258"/>
      <c r="W48" s="2259"/>
      <c r="X48" s="2256"/>
      <c r="Y48" s="2256"/>
      <c r="Z48" s="2256"/>
      <c r="AA48" s="2258"/>
      <c r="AB48" s="2256"/>
      <c r="AC48" s="2260"/>
      <c r="AD48" s="2260"/>
      <c r="AE48" s="2261"/>
      <c r="AF48" s="2262"/>
      <c r="AG48" s="2262"/>
      <c r="AH48" s="2262"/>
      <c r="AI48" s="2210"/>
      <c r="AJ48" s="2210"/>
      <c r="AK48" s="1697"/>
    </row>
    <row r="49" spans="1:36" s="1697" customFormat="1">
      <c r="A49" s="1738">
        <f t="shared" si="1"/>
        <v>37</v>
      </c>
      <c r="B49" s="2264"/>
      <c r="C49" s="2196"/>
      <c r="E49" s="2206"/>
      <c r="F49" s="2073"/>
      <c r="G49" s="2207"/>
      <c r="H49" s="2197"/>
      <c r="I49" s="2197"/>
      <c r="J49" s="2197"/>
      <c r="K49" s="2265"/>
      <c r="L49" s="2179"/>
      <c r="M49" s="2211"/>
      <c r="N49" s="2211"/>
      <c r="O49" s="2224"/>
      <c r="P49" s="2179"/>
      <c r="Q49" s="2179"/>
      <c r="R49" s="2218"/>
      <c r="S49" s="2199"/>
      <c r="T49" s="2218"/>
      <c r="U49" s="2202"/>
      <c r="V49" s="2202"/>
      <c r="W49" s="2201"/>
      <c r="X49" s="2201"/>
      <c r="Y49" s="2201"/>
      <c r="Z49" s="2201"/>
      <c r="AA49" s="2202"/>
      <c r="AB49" s="2201"/>
      <c r="AC49" s="2201"/>
      <c r="AD49" s="2201"/>
      <c r="AE49" s="2203"/>
      <c r="AF49" s="2200"/>
      <c r="AG49" s="2266"/>
      <c r="AH49" s="2251"/>
      <c r="AJ49" s="2205"/>
    </row>
    <row r="50" spans="1:36" s="1697" customFormat="1">
      <c r="A50" s="1738">
        <f t="shared" si="1"/>
        <v>38</v>
      </c>
      <c r="B50" s="2264"/>
      <c r="C50" s="2196"/>
      <c r="E50" s="2206"/>
      <c r="F50" s="2073"/>
      <c r="G50" s="2207"/>
      <c r="H50" s="2197"/>
      <c r="I50" s="2197"/>
      <c r="J50" s="2197"/>
      <c r="K50" s="2265"/>
      <c r="L50" s="2179"/>
      <c r="M50" s="2211"/>
      <c r="N50" s="2211"/>
      <c r="O50" s="2224"/>
      <c r="P50" s="2179"/>
      <c r="Q50" s="2179"/>
      <c r="R50" s="2218"/>
      <c r="S50" s="2199"/>
      <c r="T50" s="2218"/>
      <c r="U50" s="2202"/>
      <c r="V50" s="2202"/>
      <c r="W50" s="2201"/>
      <c r="X50" s="2201"/>
      <c r="Y50" s="2201"/>
      <c r="Z50" s="2201"/>
      <c r="AA50" s="2202"/>
      <c r="AB50" s="2201"/>
      <c r="AC50" s="2201"/>
      <c r="AD50" s="2201"/>
      <c r="AE50" s="2203"/>
      <c r="AF50" s="2200"/>
      <c r="AG50" s="2266"/>
      <c r="AH50" s="2251"/>
      <c r="AJ50" s="2205"/>
    </row>
    <row r="51" spans="1:36" s="1697" customFormat="1">
      <c r="A51" s="1738">
        <f t="shared" si="1"/>
        <v>39</v>
      </c>
      <c r="B51" s="2264"/>
      <c r="C51" s="2196"/>
      <c r="E51" s="2206"/>
      <c r="F51" s="2073"/>
      <c r="G51" s="2207"/>
      <c r="H51" s="2197"/>
      <c r="I51" s="2197"/>
      <c r="J51" s="2197"/>
      <c r="K51" s="2265"/>
      <c r="L51" s="2179"/>
      <c r="M51" s="2211"/>
      <c r="N51" s="2211"/>
      <c r="O51" s="2224"/>
      <c r="P51" s="2179"/>
      <c r="Q51" s="2179"/>
      <c r="R51" s="2218"/>
      <c r="S51" s="2199"/>
      <c r="T51" s="2218"/>
      <c r="U51" s="2202"/>
      <c r="V51" s="2202"/>
      <c r="W51" s="2201"/>
      <c r="X51" s="2201"/>
      <c r="Y51" s="2201"/>
      <c r="Z51" s="2201"/>
      <c r="AA51" s="2202"/>
      <c r="AB51" s="2201"/>
      <c r="AC51" s="2201"/>
      <c r="AD51" s="2201"/>
      <c r="AE51" s="2203"/>
      <c r="AF51" s="2200"/>
      <c r="AG51" s="2266"/>
      <c r="AH51" s="2251"/>
      <c r="AJ51" s="2205"/>
    </row>
    <row r="52" spans="1:36" s="1697" customFormat="1">
      <c r="A52" s="1738">
        <f t="shared" si="1"/>
        <v>40</v>
      </c>
      <c r="B52" s="2264"/>
      <c r="C52" s="2196"/>
      <c r="E52" s="2206"/>
      <c r="F52" s="2073"/>
      <c r="G52" s="2207"/>
      <c r="H52" s="2197"/>
      <c r="I52" s="2197"/>
      <c r="J52" s="2197"/>
      <c r="K52" s="2265"/>
      <c r="L52" s="2179"/>
      <c r="M52" s="2211"/>
      <c r="N52" s="2211"/>
      <c r="O52" s="2224"/>
      <c r="P52" s="2179"/>
      <c r="Q52" s="2179"/>
      <c r="R52" s="2218"/>
      <c r="S52" s="2199"/>
      <c r="T52" s="2218"/>
      <c r="U52" s="2202"/>
      <c r="V52" s="2202"/>
      <c r="W52" s="2201"/>
      <c r="X52" s="2201"/>
      <c r="Y52" s="2201"/>
      <c r="Z52" s="2201"/>
      <c r="AA52" s="2202"/>
      <c r="AB52" s="2201"/>
      <c r="AC52" s="2201"/>
      <c r="AD52" s="2201"/>
      <c r="AE52" s="2203"/>
      <c r="AF52" s="2200"/>
      <c r="AG52" s="2266"/>
      <c r="AH52" s="2251"/>
      <c r="AJ52" s="2205"/>
    </row>
    <row r="53" spans="1:36" s="1697" customFormat="1">
      <c r="A53" s="1738">
        <f t="shared" si="1"/>
        <v>41</v>
      </c>
      <c r="B53" s="2264"/>
      <c r="C53" s="2196"/>
      <c r="E53" s="2206"/>
      <c r="F53" s="2073"/>
      <c r="G53" s="2207"/>
      <c r="H53" s="2197"/>
      <c r="I53" s="2197"/>
      <c r="J53" s="2197"/>
      <c r="K53" s="2265"/>
      <c r="L53" s="2179"/>
      <c r="M53" s="2211"/>
      <c r="N53" s="2211"/>
      <c r="O53" s="2224"/>
      <c r="P53" s="2179"/>
      <c r="Q53" s="2179"/>
      <c r="R53" s="2218"/>
      <c r="S53" s="2199"/>
      <c r="T53" s="2218"/>
      <c r="U53" s="2202"/>
      <c r="V53" s="2202"/>
      <c r="W53" s="2201"/>
      <c r="X53" s="2201"/>
      <c r="Y53" s="2201"/>
      <c r="Z53" s="2201"/>
      <c r="AA53" s="2202"/>
      <c r="AB53" s="2201"/>
      <c r="AC53" s="2201"/>
      <c r="AD53" s="2201"/>
      <c r="AE53" s="2203"/>
      <c r="AF53" s="2200"/>
      <c r="AG53" s="2266"/>
      <c r="AH53" s="2251"/>
      <c r="AJ53" s="2205"/>
    </row>
    <row r="54" spans="1:36" s="1697" customFormat="1">
      <c r="A54" s="1738">
        <f t="shared" si="1"/>
        <v>42</v>
      </c>
      <c r="B54" s="2264"/>
      <c r="C54" s="2196"/>
      <c r="E54" s="2206"/>
      <c r="F54" s="2073"/>
      <c r="G54" s="2207"/>
      <c r="H54" s="2197"/>
      <c r="I54" s="2197"/>
      <c r="J54" s="2197"/>
      <c r="K54" s="2265"/>
      <c r="L54" s="2179"/>
      <c r="M54" s="2211"/>
      <c r="N54" s="2211"/>
      <c r="O54" s="2224"/>
      <c r="P54" s="2179"/>
      <c r="Q54" s="2179"/>
      <c r="R54" s="2218"/>
      <c r="S54" s="2199"/>
      <c r="T54" s="2218"/>
      <c r="U54" s="2202"/>
      <c r="V54" s="2202"/>
      <c r="W54" s="2201"/>
      <c r="X54" s="2201"/>
      <c r="Y54" s="2201"/>
      <c r="Z54" s="2201"/>
      <c r="AA54" s="2202"/>
      <c r="AB54" s="2201"/>
      <c r="AC54" s="2201"/>
      <c r="AD54" s="2201"/>
      <c r="AE54" s="2203"/>
      <c r="AF54" s="2200"/>
      <c r="AG54" s="2266"/>
      <c r="AH54" s="2251"/>
      <c r="AJ54" s="2205"/>
    </row>
    <row r="55" spans="1:36" s="1697" customFormat="1">
      <c r="A55" s="1738">
        <f t="shared" si="1"/>
        <v>43</v>
      </c>
      <c r="B55" s="2264"/>
      <c r="C55" s="2196"/>
      <c r="E55" s="2206"/>
      <c r="F55" s="2073"/>
      <c r="G55" s="2207"/>
      <c r="H55" s="2197"/>
      <c r="I55" s="2197"/>
      <c r="J55" s="2197"/>
      <c r="K55" s="2265"/>
      <c r="L55" s="2179"/>
      <c r="M55" s="2211"/>
      <c r="N55" s="2211"/>
      <c r="O55" s="2224"/>
      <c r="P55" s="2179"/>
      <c r="Q55" s="2179"/>
      <c r="R55" s="2218"/>
      <c r="S55" s="2199"/>
      <c r="T55" s="2218"/>
      <c r="U55" s="2202"/>
      <c r="V55" s="2202"/>
      <c r="W55" s="2201"/>
      <c r="X55" s="2201"/>
      <c r="Y55" s="2201"/>
      <c r="Z55" s="2201"/>
      <c r="AA55" s="2202"/>
      <c r="AB55" s="2201"/>
      <c r="AC55" s="2201"/>
      <c r="AD55" s="2201"/>
      <c r="AE55" s="2203"/>
      <c r="AF55" s="2200"/>
      <c r="AG55" s="2266"/>
      <c r="AH55" s="2251"/>
      <c r="AJ55" s="2205"/>
    </row>
    <row r="56" spans="1:36" s="1697" customFormat="1">
      <c r="A56" s="1738">
        <f t="shared" si="1"/>
        <v>44</v>
      </c>
      <c r="B56" s="2264"/>
      <c r="C56" s="2196"/>
      <c r="E56" s="2206"/>
      <c r="F56" s="2073"/>
      <c r="G56" s="2207"/>
      <c r="H56" s="2197"/>
      <c r="I56" s="2197"/>
      <c r="J56" s="2197"/>
      <c r="K56" s="2265"/>
      <c r="L56" s="2179"/>
      <c r="M56" s="2211"/>
      <c r="N56" s="2211"/>
      <c r="O56" s="2224"/>
      <c r="P56" s="2179"/>
      <c r="Q56" s="2179"/>
      <c r="R56" s="2218"/>
      <c r="S56" s="2199"/>
      <c r="T56" s="2218"/>
      <c r="U56" s="2202"/>
      <c r="V56" s="2202"/>
      <c r="W56" s="2201"/>
      <c r="X56" s="2201"/>
      <c r="Y56" s="2201"/>
      <c r="Z56" s="2201"/>
      <c r="AA56" s="2202"/>
      <c r="AB56" s="2201"/>
      <c r="AC56" s="2201"/>
      <c r="AD56" s="2201"/>
      <c r="AE56" s="2203"/>
      <c r="AF56" s="2200"/>
      <c r="AG56" s="2266"/>
      <c r="AH56" s="2251"/>
      <c r="AJ56" s="2205"/>
    </row>
    <row r="57" spans="1:36" s="1697" customFormat="1">
      <c r="A57" s="1738">
        <f t="shared" si="1"/>
        <v>45</v>
      </c>
      <c r="B57" s="2264"/>
      <c r="C57" s="2196"/>
      <c r="E57" s="2206"/>
      <c r="F57" s="2073"/>
      <c r="G57" s="2207"/>
      <c r="H57" s="2197"/>
      <c r="I57" s="2197"/>
      <c r="J57" s="2197"/>
      <c r="K57" s="2265"/>
      <c r="L57" s="2179"/>
      <c r="M57" s="2211"/>
      <c r="N57" s="2211"/>
      <c r="O57" s="2224"/>
      <c r="P57" s="2179"/>
      <c r="Q57" s="2179"/>
      <c r="R57" s="2218"/>
      <c r="S57" s="2199"/>
      <c r="T57" s="2218"/>
      <c r="U57" s="2202"/>
      <c r="V57" s="2202"/>
      <c r="W57" s="2201"/>
      <c r="X57" s="2201"/>
      <c r="Y57" s="2201"/>
      <c r="Z57" s="2201"/>
      <c r="AA57" s="2202"/>
      <c r="AB57" s="2201"/>
      <c r="AC57" s="2201"/>
      <c r="AD57" s="2201"/>
      <c r="AE57" s="2203"/>
      <c r="AF57" s="2200"/>
      <c r="AG57" s="2266"/>
      <c r="AH57" s="2251"/>
      <c r="AJ57" s="2205"/>
    </row>
    <row r="58" spans="1:36" s="1350" customFormat="1">
      <c r="A58" s="1738">
        <f t="shared" si="1"/>
        <v>46</v>
      </c>
      <c r="B58" s="2267"/>
      <c r="C58" s="2064"/>
      <c r="D58" s="2187"/>
      <c r="E58" s="1464"/>
      <c r="F58" s="2067"/>
      <c r="G58" s="2184"/>
      <c r="H58" s="1361"/>
      <c r="I58" s="1361"/>
      <c r="J58" s="1361"/>
      <c r="K58" s="2268"/>
      <c r="L58" s="2181"/>
      <c r="M58" s="1570"/>
      <c r="N58" s="1570"/>
      <c r="O58" s="2185"/>
      <c r="P58" s="2181"/>
      <c r="Q58" s="2181"/>
      <c r="R58" s="2182"/>
      <c r="S58" s="671"/>
      <c r="T58" s="2182"/>
      <c r="U58" s="1692"/>
      <c r="V58" s="1692"/>
      <c r="W58" s="1415"/>
      <c r="X58" s="1415"/>
      <c r="Y58" s="1415"/>
      <c r="Z58" s="1415"/>
      <c r="AA58" s="1692"/>
      <c r="AB58" s="1415"/>
      <c r="AC58" s="1415"/>
      <c r="AD58" s="1415"/>
      <c r="AE58" s="1423"/>
      <c r="AF58" s="2183"/>
      <c r="AG58" s="2269"/>
      <c r="AH58" s="2270"/>
      <c r="AJ58" s="1393"/>
    </row>
    <row r="59" spans="1:36" s="1350" customFormat="1">
      <c r="A59" s="1738">
        <f t="shared" si="1"/>
        <v>47</v>
      </c>
      <c r="B59" s="1539"/>
      <c r="C59" s="1997"/>
      <c r="D59" s="1292"/>
      <c r="E59" s="1208"/>
      <c r="F59" s="2186"/>
      <c r="G59" s="2178"/>
      <c r="H59" s="2177"/>
      <c r="I59" s="2177"/>
      <c r="J59" s="2177"/>
      <c r="K59" s="2271"/>
      <c r="L59" s="2176"/>
      <c r="M59" s="1570"/>
      <c r="N59" s="1570"/>
      <c r="O59" s="2190"/>
      <c r="P59" s="2181"/>
      <c r="Q59" s="2181"/>
      <c r="R59" s="2180"/>
      <c r="S59" s="1370"/>
      <c r="T59" s="2189"/>
      <c r="U59" s="1736"/>
      <c r="V59" s="2272"/>
      <c r="W59" s="1414"/>
      <c r="X59" s="1414"/>
      <c r="Y59" s="1414"/>
      <c r="Z59" s="1414"/>
      <c r="AA59" s="1710"/>
      <c r="AB59" s="1414"/>
      <c r="AC59" s="1413"/>
      <c r="AD59" s="1414"/>
      <c r="AE59" s="1417"/>
      <c r="AF59" s="1693"/>
      <c r="AG59" s="2273"/>
      <c r="AH59" s="2274"/>
      <c r="AJ59" s="1393"/>
    </row>
    <row r="60" spans="1:36" s="1350" customFormat="1">
      <c r="A60" s="1738">
        <f t="shared" si="1"/>
        <v>48</v>
      </c>
      <c r="B60" s="1539"/>
      <c r="C60" s="1997"/>
      <c r="D60" s="1292"/>
      <c r="E60" s="1208"/>
      <c r="F60" s="2186"/>
      <c r="G60" s="2178"/>
      <c r="H60" s="2177"/>
      <c r="I60" s="2177"/>
      <c r="J60" s="2177"/>
      <c r="K60" s="2271"/>
      <c r="L60" s="2176"/>
      <c r="M60" s="1570"/>
      <c r="N60" s="1570"/>
      <c r="O60" s="2190"/>
      <c r="P60" s="2181"/>
      <c r="Q60" s="2181"/>
      <c r="R60" s="2180"/>
      <c r="S60" s="1370"/>
      <c r="T60" s="2189"/>
      <c r="U60" s="1736"/>
      <c r="V60" s="2272"/>
      <c r="W60" s="1414"/>
      <c r="X60" s="1414"/>
      <c r="Y60" s="1414"/>
      <c r="Z60" s="1414"/>
      <c r="AA60" s="1710"/>
      <c r="AB60" s="1414"/>
      <c r="AC60" s="1413"/>
      <c r="AD60" s="1414"/>
      <c r="AE60" s="1417"/>
      <c r="AF60" s="1693"/>
      <c r="AG60" s="2273"/>
      <c r="AH60" s="2274"/>
      <c r="AJ60" s="1393"/>
    </row>
    <row r="61" spans="1:36" s="1350" customFormat="1">
      <c r="A61" s="1738">
        <f t="shared" si="1"/>
        <v>49</v>
      </c>
      <c r="B61" s="1539"/>
      <c r="C61" s="1997"/>
      <c r="D61" s="1292"/>
      <c r="E61" s="1208"/>
      <c r="F61" s="2186"/>
      <c r="G61" s="2178"/>
      <c r="H61" s="2177"/>
      <c r="I61" s="2177"/>
      <c r="J61" s="2177"/>
      <c r="K61" s="2271"/>
      <c r="L61" s="2176"/>
      <c r="M61" s="1570"/>
      <c r="N61" s="1570"/>
      <c r="O61" s="2190"/>
      <c r="P61" s="2181"/>
      <c r="Q61" s="2181"/>
      <c r="R61" s="2180"/>
      <c r="S61" s="1370"/>
      <c r="T61" s="2189"/>
      <c r="U61" s="1736"/>
      <c r="V61" s="2272"/>
      <c r="W61" s="1414"/>
      <c r="X61" s="1414"/>
      <c r="Y61" s="1414"/>
      <c r="Z61" s="1414"/>
      <c r="AA61" s="1710"/>
      <c r="AB61" s="1414"/>
      <c r="AC61" s="1413"/>
      <c r="AD61" s="1414"/>
      <c r="AE61" s="1417"/>
      <c r="AF61" s="1693"/>
      <c r="AG61" s="2273"/>
      <c r="AH61" s="2274"/>
      <c r="AJ61" s="1393"/>
    </row>
    <row r="62" spans="1:36" s="1350" customFormat="1">
      <c r="A62" s="1738">
        <f t="shared" si="1"/>
        <v>50</v>
      </c>
      <c r="B62" s="1539"/>
      <c r="C62" s="1997"/>
      <c r="D62" s="1292"/>
      <c r="E62" s="1208"/>
      <c r="F62" s="2186"/>
      <c r="G62" s="2178"/>
      <c r="H62" s="2177"/>
      <c r="I62" s="2177"/>
      <c r="J62" s="2177"/>
      <c r="K62" s="2271"/>
      <c r="L62" s="2176"/>
      <c r="M62" s="1570"/>
      <c r="N62" s="1570"/>
      <c r="O62" s="2190"/>
      <c r="P62" s="2181"/>
      <c r="Q62" s="2181"/>
      <c r="R62" s="2180"/>
      <c r="S62" s="1370"/>
      <c r="T62" s="2189"/>
      <c r="U62" s="1736"/>
      <c r="V62" s="2272"/>
      <c r="W62" s="1414"/>
      <c r="X62" s="1414"/>
      <c r="Y62" s="1414"/>
      <c r="Z62" s="1414"/>
      <c r="AA62" s="1710"/>
      <c r="AB62" s="1414"/>
      <c r="AC62" s="1413"/>
      <c r="AD62" s="1414"/>
      <c r="AE62" s="1417"/>
      <c r="AF62" s="1693"/>
      <c r="AG62" s="2273"/>
      <c r="AH62" s="2274"/>
      <c r="AJ62" s="1393"/>
    </row>
    <row r="63" spans="1:36" s="1350" customFormat="1">
      <c r="A63" s="1738">
        <f t="shared" si="1"/>
        <v>51</v>
      </c>
      <c r="B63" s="1539"/>
      <c r="C63" s="1997"/>
      <c r="D63" s="1292"/>
      <c r="E63" s="1208"/>
      <c r="F63" s="2186"/>
      <c r="G63" s="2178"/>
      <c r="H63" s="2177"/>
      <c r="I63" s="2177"/>
      <c r="J63" s="2177"/>
      <c r="K63" s="2271"/>
      <c r="L63" s="2176"/>
      <c r="M63" s="1570"/>
      <c r="N63" s="1570"/>
      <c r="O63" s="2190"/>
      <c r="P63" s="2181"/>
      <c r="Q63" s="2181"/>
      <c r="R63" s="2180"/>
      <c r="S63" s="1370"/>
      <c r="T63" s="2189"/>
      <c r="U63" s="1736"/>
      <c r="V63" s="2272"/>
      <c r="W63" s="1414"/>
      <c r="X63" s="1414"/>
      <c r="Y63" s="1414"/>
      <c r="Z63" s="1414"/>
      <c r="AA63" s="1710"/>
      <c r="AB63" s="1414"/>
      <c r="AC63" s="1413"/>
      <c r="AD63" s="1414"/>
      <c r="AE63" s="1417"/>
      <c r="AF63" s="1693"/>
      <c r="AG63" s="2273"/>
      <c r="AH63" s="2274"/>
      <c r="AJ63" s="1393"/>
    </row>
    <row r="64" spans="1:36" s="1350" customFormat="1">
      <c r="A64" s="1738">
        <f t="shared" si="1"/>
        <v>52</v>
      </c>
      <c r="B64" s="1539"/>
      <c r="C64" s="1997"/>
      <c r="D64" s="1292"/>
      <c r="E64" s="1208"/>
      <c r="F64" s="2186"/>
      <c r="G64" s="2178"/>
      <c r="H64" s="2177"/>
      <c r="I64" s="2177"/>
      <c r="J64" s="2177"/>
      <c r="K64" s="2271"/>
      <c r="L64" s="2176"/>
      <c r="M64" s="1570"/>
      <c r="N64" s="1570"/>
      <c r="O64" s="2190"/>
      <c r="P64" s="2181"/>
      <c r="Q64" s="2181"/>
      <c r="R64" s="2180"/>
      <c r="S64" s="1370"/>
      <c r="T64" s="2189"/>
      <c r="U64" s="1736"/>
      <c r="V64" s="2272"/>
      <c r="W64" s="1414"/>
      <c r="X64" s="1414"/>
      <c r="Y64" s="1414"/>
      <c r="Z64" s="1414"/>
      <c r="AA64" s="1710"/>
      <c r="AB64" s="1414"/>
      <c r="AC64" s="1413"/>
      <c r="AD64" s="1414"/>
      <c r="AE64" s="1417"/>
      <c r="AF64" s="1693"/>
      <c r="AG64" s="2273"/>
      <c r="AH64" s="2274"/>
      <c r="AJ64" s="1393"/>
    </row>
    <row r="65" spans="1:36" s="1350" customFormat="1">
      <c r="A65" s="1738">
        <f t="shared" si="1"/>
        <v>53</v>
      </c>
      <c r="B65" s="1539"/>
      <c r="C65" s="1997"/>
      <c r="D65" s="1292"/>
      <c r="E65" s="1208"/>
      <c r="F65" s="2186"/>
      <c r="G65" s="2178"/>
      <c r="H65" s="2177"/>
      <c r="I65" s="2177"/>
      <c r="J65" s="2177"/>
      <c r="K65" s="2271"/>
      <c r="L65" s="2176"/>
      <c r="M65" s="1570"/>
      <c r="N65" s="1570"/>
      <c r="O65" s="2190"/>
      <c r="P65" s="2181"/>
      <c r="Q65" s="2181"/>
      <c r="R65" s="2180"/>
      <c r="S65" s="1370"/>
      <c r="T65" s="2189"/>
      <c r="U65" s="1736"/>
      <c r="V65" s="2272"/>
      <c r="W65" s="1414"/>
      <c r="X65" s="1414"/>
      <c r="Y65" s="1414"/>
      <c r="Z65" s="1414"/>
      <c r="AA65" s="1710"/>
      <c r="AB65" s="1414"/>
      <c r="AC65" s="1413"/>
      <c r="AD65" s="1414"/>
      <c r="AE65" s="1417"/>
      <c r="AF65" s="1693"/>
      <c r="AG65" s="2273"/>
      <c r="AH65" s="2274"/>
      <c r="AJ65" s="1393"/>
    </row>
    <row r="66" spans="1:36" s="1350" customFormat="1">
      <c r="A66" s="1738">
        <f t="shared" si="1"/>
        <v>54</v>
      </c>
      <c r="B66" s="1539"/>
      <c r="C66" s="1997"/>
      <c r="D66" s="1292"/>
      <c r="E66" s="1208"/>
      <c r="F66" s="2186"/>
      <c r="G66" s="2178"/>
      <c r="H66" s="2177"/>
      <c r="I66" s="2177"/>
      <c r="J66" s="2177"/>
      <c r="K66" s="2271"/>
      <c r="L66" s="2176"/>
      <c r="M66" s="1570"/>
      <c r="N66" s="1570"/>
      <c r="O66" s="2190"/>
      <c r="P66" s="2181"/>
      <c r="Q66" s="2181"/>
      <c r="R66" s="2180"/>
      <c r="S66" s="1370"/>
      <c r="T66" s="2189"/>
      <c r="U66" s="1736"/>
      <c r="V66" s="2272"/>
      <c r="W66" s="1414"/>
      <c r="X66" s="1414"/>
      <c r="Y66" s="1414"/>
      <c r="Z66" s="1414"/>
      <c r="AA66" s="1710"/>
      <c r="AB66" s="1414"/>
      <c r="AC66" s="1413"/>
      <c r="AD66" s="1414"/>
      <c r="AE66" s="1417"/>
      <c r="AF66" s="1693"/>
      <c r="AG66" s="2273"/>
      <c r="AH66" s="2274"/>
      <c r="AJ66" s="1393"/>
    </row>
    <row r="67" spans="1:36" s="1350" customFormat="1">
      <c r="A67" s="1738">
        <f t="shared" si="1"/>
        <v>55</v>
      </c>
      <c r="B67" s="1539"/>
      <c r="C67" s="1997"/>
      <c r="D67" s="1292"/>
      <c r="E67" s="1208"/>
      <c r="F67" s="2186"/>
      <c r="G67" s="2178"/>
      <c r="H67" s="2177"/>
      <c r="I67" s="2177"/>
      <c r="J67" s="2177"/>
      <c r="K67" s="2271"/>
      <c r="L67" s="2176"/>
      <c r="M67" s="1570"/>
      <c r="N67" s="1570"/>
      <c r="O67" s="2190"/>
      <c r="P67" s="2181"/>
      <c r="Q67" s="2181"/>
      <c r="R67" s="2180"/>
      <c r="S67" s="1370"/>
      <c r="T67" s="2189"/>
      <c r="U67" s="1736"/>
      <c r="V67" s="2272"/>
      <c r="W67" s="1414"/>
      <c r="X67" s="1414"/>
      <c r="Y67" s="1414"/>
      <c r="Z67" s="1414"/>
      <c r="AA67" s="1710"/>
      <c r="AB67" s="1414"/>
      <c r="AC67" s="1413"/>
      <c r="AD67" s="1414"/>
      <c r="AE67" s="1417"/>
      <c r="AF67" s="1693"/>
      <c r="AG67" s="2273"/>
      <c r="AH67" s="2274"/>
      <c r="AJ67" s="1393"/>
    </row>
    <row r="68" spans="1:36" s="1350" customFormat="1">
      <c r="A68" s="1738">
        <f t="shared" si="1"/>
        <v>56</v>
      </c>
      <c r="B68" s="1539"/>
      <c r="C68" s="1997"/>
      <c r="D68" s="1292"/>
      <c r="E68" s="1208"/>
      <c r="F68" s="2186"/>
      <c r="G68" s="2178"/>
      <c r="H68" s="2177"/>
      <c r="I68" s="2177"/>
      <c r="J68" s="2177"/>
      <c r="K68" s="2271"/>
      <c r="L68" s="2176"/>
      <c r="M68" s="1570"/>
      <c r="N68" s="1570"/>
      <c r="O68" s="2190"/>
      <c r="P68" s="2181"/>
      <c r="Q68" s="2181"/>
      <c r="R68" s="2180"/>
      <c r="S68" s="1370"/>
      <c r="T68" s="2189"/>
      <c r="U68" s="1736"/>
      <c r="V68" s="2272"/>
      <c r="W68" s="1414"/>
      <c r="X68" s="1414"/>
      <c r="Y68" s="1414"/>
      <c r="Z68" s="1414"/>
      <c r="AA68" s="1710"/>
      <c r="AB68" s="1414"/>
      <c r="AC68" s="1413"/>
      <c r="AD68" s="1414"/>
      <c r="AE68" s="1417"/>
      <c r="AF68" s="1693"/>
      <c r="AG68" s="2273"/>
      <c r="AH68" s="2274"/>
      <c r="AJ68" s="1393"/>
    </row>
    <row r="69" spans="1:36" s="1350" customFormat="1">
      <c r="A69" s="1738">
        <f t="shared" si="1"/>
        <v>57</v>
      </c>
      <c r="B69" s="1539"/>
      <c r="C69" s="1997"/>
      <c r="D69" s="1292"/>
      <c r="E69" s="1208"/>
      <c r="F69" s="2186"/>
      <c r="G69" s="2178"/>
      <c r="H69" s="2177"/>
      <c r="I69" s="2177"/>
      <c r="J69" s="2177"/>
      <c r="K69" s="2271"/>
      <c r="L69" s="2176"/>
      <c r="M69" s="1570"/>
      <c r="N69" s="1570"/>
      <c r="O69" s="2190"/>
      <c r="P69" s="2181"/>
      <c r="Q69" s="2181"/>
      <c r="R69" s="2180"/>
      <c r="S69" s="1370"/>
      <c r="T69" s="2189"/>
      <c r="U69" s="1736"/>
      <c r="V69" s="2272"/>
      <c r="W69" s="1414"/>
      <c r="X69" s="1414"/>
      <c r="Y69" s="1414"/>
      <c r="Z69" s="1414"/>
      <c r="AA69" s="1710"/>
      <c r="AB69" s="1414"/>
      <c r="AC69" s="1413"/>
      <c r="AD69" s="1414"/>
      <c r="AE69" s="1417"/>
      <c r="AF69" s="1693"/>
      <c r="AG69" s="2273"/>
      <c r="AH69" s="2274"/>
      <c r="AJ69" s="1393"/>
    </row>
    <row r="70" spans="1:36" s="1350" customFormat="1">
      <c r="A70" s="1738">
        <f t="shared" si="1"/>
        <v>58</v>
      </c>
      <c r="B70" s="1539"/>
      <c r="C70" s="1997"/>
      <c r="D70" s="1292"/>
      <c r="E70" s="1208"/>
      <c r="F70" s="2186"/>
      <c r="G70" s="2178"/>
      <c r="H70" s="2177"/>
      <c r="I70" s="2177"/>
      <c r="J70" s="2177"/>
      <c r="K70" s="2271"/>
      <c r="L70" s="2176"/>
      <c r="M70" s="1570"/>
      <c r="N70" s="1570"/>
      <c r="O70" s="2190"/>
      <c r="P70" s="2181"/>
      <c r="Q70" s="2181"/>
      <c r="R70" s="2180"/>
      <c r="S70" s="1370"/>
      <c r="T70" s="2189"/>
      <c r="U70" s="1736"/>
      <c r="V70" s="2272"/>
      <c r="W70" s="1414"/>
      <c r="X70" s="1414"/>
      <c r="Y70" s="1414"/>
      <c r="Z70" s="1414"/>
      <c r="AA70" s="1710"/>
      <c r="AB70" s="1414"/>
      <c r="AC70" s="1413"/>
      <c r="AD70" s="1414"/>
      <c r="AE70" s="1417"/>
      <c r="AF70" s="1693"/>
      <c r="AG70" s="2273"/>
      <c r="AH70" s="2274"/>
      <c r="AJ70" s="1393"/>
    </row>
    <row r="71" spans="1:36" s="1350" customFormat="1">
      <c r="A71" s="1738">
        <f t="shared" si="1"/>
        <v>59</v>
      </c>
      <c r="B71" s="1539"/>
      <c r="C71" s="1997"/>
      <c r="D71" s="1292"/>
      <c r="E71" s="1208"/>
      <c r="F71" s="2186"/>
      <c r="G71" s="2178"/>
      <c r="H71" s="2177"/>
      <c r="I71" s="2177"/>
      <c r="J71" s="2177"/>
      <c r="K71" s="2271"/>
      <c r="L71" s="2176"/>
      <c r="M71" s="1570"/>
      <c r="N71" s="1570"/>
      <c r="O71" s="2190"/>
      <c r="P71" s="2181"/>
      <c r="Q71" s="2181"/>
      <c r="R71" s="2180"/>
      <c r="S71" s="1370"/>
      <c r="T71" s="2189"/>
      <c r="U71" s="1736"/>
      <c r="V71" s="2272"/>
      <c r="W71" s="1414"/>
      <c r="X71" s="1414"/>
      <c r="Y71" s="1414"/>
      <c r="Z71" s="1414"/>
      <c r="AA71" s="1710"/>
      <c r="AB71" s="1414"/>
      <c r="AC71" s="1413"/>
      <c r="AD71" s="1414"/>
      <c r="AE71" s="1417"/>
      <c r="AF71" s="1693"/>
      <c r="AG71" s="2273"/>
      <c r="AH71" s="2274"/>
      <c r="AJ71" s="1393"/>
    </row>
    <row r="72" spans="1:36" s="1350" customFormat="1">
      <c r="A72" s="1738">
        <f t="shared" si="1"/>
        <v>60</v>
      </c>
      <c r="B72" s="1539"/>
      <c r="C72" s="1997"/>
      <c r="D72" s="1292"/>
      <c r="E72" s="1208"/>
      <c r="F72" s="2186"/>
      <c r="G72" s="2178"/>
      <c r="H72" s="2177"/>
      <c r="I72" s="2177"/>
      <c r="J72" s="2177"/>
      <c r="K72" s="2271"/>
      <c r="L72" s="2176"/>
      <c r="M72" s="1570"/>
      <c r="N72" s="1570"/>
      <c r="O72" s="2190"/>
      <c r="P72" s="2181"/>
      <c r="Q72" s="2181"/>
      <c r="R72" s="2180"/>
      <c r="S72" s="1370"/>
      <c r="T72" s="2189"/>
      <c r="U72" s="1736"/>
      <c r="V72" s="2272"/>
      <c r="W72" s="1414"/>
      <c r="X72" s="1414"/>
      <c r="Y72" s="1414"/>
      <c r="Z72" s="1414"/>
      <c r="AA72" s="1710"/>
      <c r="AB72" s="1414"/>
      <c r="AC72" s="1413"/>
      <c r="AD72" s="1414"/>
      <c r="AE72" s="1417"/>
      <c r="AF72" s="1693"/>
      <c r="AG72" s="2273"/>
      <c r="AH72" s="2274"/>
      <c r="AJ72" s="1393"/>
    </row>
    <row r="73" spans="1:36" s="1350" customFormat="1">
      <c r="A73" s="1738">
        <f t="shared" si="1"/>
        <v>61</v>
      </c>
      <c r="B73" s="1539"/>
      <c r="C73" s="1997"/>
      <c r="D73" s="1292"/>
      <c r="E73" s="1208"/>
      <c r="F73" s="2186"/>
      <c r="G73" s="2178"/>
      <c r="H73" s="2177"/>
      <c r="I73" s="2177"/>
      <c r="J73" s="2177"/>
      <c r="K73" s="2271"/>
      <c r="L73" s="2176"/>
      <c r="M73" s="1570"/>
      <c r="N73" s="1570"/>
      <c r="O73" s="2190"/>
      <c r="P73" s="2181"/>
      <c r="Q73" s="2181"/>
      <c r="R73" s="2180"/>
      <c r="S73" s="1370"/>
      <c r="T73" s="2189"/>
      <c r="U73" s="1736"/>
      <c r="V73" s="2272"/>
      <c r="W73" s="1414"/>
      <c r="X73" s="1414"/>
      <c r="Y73" s="1414"/>
      <c r="Z73" s="1414"/>
      <c r="AA73" s="1710"/>
      <c r="AB73" s="1414"/>
      <c r="AC73" s="1413"/>
      <c r="AD73" s="1414"/>
      <c r="AE73" s="1417"/>
      <c r="AF73" s="1693"/>
      <c r="AG73" s="2273"/>
      <c r="AH73" s="2274"/>
      <c r="AJ73" s="1393"/>
    </row>
    <row r="74" spans="1:36" s="1350" customFormat="1">
      <c r="A74" s="1738">
        <f t="shared" ref="A74:A127" si="3">+A73+1</f>
        <v>62</v>
      </c>
      <c r="B74" s="1539"/>
      <c r="C74" s="1997"/>
      <c r="D74" s="1292"/>
      <c r="E74" s="1208"/>
      <c r="F74" s="2186"/>
      <c r="G74" s="2178"/>
      <c r="H74" s="2177"/>
      <c r="I74" s="2177"/>
      <c r="J74" s="2177"/>
      <c r="K74" s="2271"/>
      <c r="L74" s="2176"/>
      <c r="M74" s="1570"/>
      <c r="N74" s="1570"/>
      <c r="O74" s="2190"/>
      <c r="P74" s="2181"/>
      <c r="Q74" s="2181"/>
      <c r="R74" s="2180"/>
      <c r="S74" s="1370"/>
      <c r="T74" s="2189"/>
      <c r="U74" s="1736"/>
      <c r="V74" s="2272"/>
      <c r="W74" s="1414"/>
      <c r="X74" s="1414"/>
      <c r="Y74" s="1414"/>
      <c r="Z74" s="1414"/>
      <c r="AA74" s="1710"/>
      <c r="AB74" s="1414"/>
      <c r="AC74" s="1413"/>
      <c r="AD74" s="1414"/>
      <c r="AE74" s="1417"/>
      <c r="AF74" s="1693"/>
      <c r="AG74" s="2273"/>
      <c r="AH74" s="2274"/>
      <c r="AJ74" s="1393"/>
    </row>
    <row r="75" spans="1:36" s="1350" customFormat="1">
      <c r="A75" s="1738">
        <f t="shared" si="3"/>
        <v>63</v>
      </c>
      <c r="B75" s="1539"/>
      <c r="C75" s="1997"/>
      <c r="D75" s="1292"/>
      <c r="E75" s="1208"/>
      <c r="F75" s="2186"/>
      <c r="G75" s="2178"/>
      <c r="H75" s="2177"/>
      <c r="I75" s="2177"/>
      <c r="J75" s="2177"/>
      <c r="K75" s="2271"/>
      <c r="L75" s="2176"/>
      <c r="M75" s="1570"/>
      <c r="N75" s="1570"/>
      <c r="O75" s="2190"/>
      <c r="P75" s="2181"/>
      <c r="Q75" s="2181"/>
      <c r="R75" s="2180"/>
      <c r="S75" s="1370"/>
      <c r="T75" s="2189"/>
      <c r="U75" s="1736"/>
      <c r="V75" s="2272"/>
      <c r="W75" s="1414"/>
      <c r="X75" s="1414"/>
      <c r="Y75" s="1414"/>
      <c r="Z75" s="1414"/>
      <c r="AA75" s="1710"/>
      <c r="AB75" s="1414"/>
      <c r="AC75" s="1413"/>
      <c r="AD75" s="1414"/>
      <c r="AE75" s="1417"/>
      <c r="AF75" s="1693"/>
      <c r="AG75" s="2273"/>
      <c r="AH75" s="2274"/>
      <c r="AJ75" s="1393"/>
    </row>
    <row r="76" spans="1:36" s="1350" customFormat="1">
      <c r="A76" s="1738">
        <f t="shared" si="3"/>
        <v>64</v>
      </c>
      <c r="B76" s="2191"/>
      <c r="C76" s="1997"/>
      <c r="D76" s="1292"/>
      <c r="E76" s="1208"/>
      <c r="F76" s="2186"/>
      <c r="G76" s="2178"/>
      <c r="H76" s="2177"/>
      <c r="I76" s="2177"/>
      <c r="J76" s="2177"/>
      <c r="K76" s="2271"/>
      <c r="L76" s="2176"/>
      <c r="M76" s="1570"/>
      <c r="N76" s="1570"/>
      <c r="O76" s="2190"/>
      <c r="P76" s="2181"/>
      <c r="Q76" s="2181"/>
      <c r="R76" s="2180"/>
      <c r="S76" s="1370"/>
      <c r="T76" s="2189"/>
      <c r="U76" s="1736"/>
      <c r="V76" s="2272"/>
      <c r="W76" s="1414"/>
      <c r="X76" s="1414"/>
      <c r="Y76" s="1414"/>
      <c r="Z76" s="1414"/>
      <c r="AA76" s="1710"/>
      <c r="AB76" s="1414"/>
      <c r="AC76" s="1413"/>
      <c r="AD76" s="1414"/>
      <c r="AE76" s="1417"/>
      <c r="AF76" s="1693"/>
      <c r="AG76" s="2273"/>
      <c r="AH76" s="2274"/>
      <c r="AJ76" s="1393"/>
    </row>
    <row r="77" spans="1:36" s="1350" customFormat="1">
      <c r="A77" s="1738">
        <f t="shared" si="3"/>
        <v>65</v>
      </c>
      <c r="B77" s="2191"/>
      <c r="C77" s="1997"/>
      <c r="D77" s="1292"/>
      <c r="E77" s="1208"/>
      <c r="F77" s="2186"/>
      <c r="G77" s="2178"/>
      <c r="H77" s="2177"/>
      <c r="I77" s="2177"/>
      <c r="J77" s="2177"/>
      <c r="K77" s="2271"/>
      <c r="L77" s="2176"/>
      <c r="M77" s="1570"/>
      <c r="N77" s="1570"/>
      <c r="O77" s="2190"/>
      <c r="P77" s="2181"/>
      <c r="Q77" s="2181"/>
      <c r="R77" s="2180"/>
      <c r="S77" s="1370"/>
      <c r="T77" s="2189"/>
      <c r="U77" s="1736"/>
      <c r="V77" s="2272"/>
      <c r="W77" s="1414"/>
      <c r="X77" s="1414"/>
      <c r="Y77" s="1414"/>
      <c r="Z77" s="1414"/>
      <c r="AA77" s="1710"/>
      <c r="AB77" s="1414"/>
      <c r="AC77" s="1413"/>
      <c r="AD77" s="1414"/>
      <c r="AE77" s="1417"/>
      <c r="AF77" s="1693"/>
      <c r="AG77" s="2273"/>
      <c r="AH77" s="2274"/>
      <c r="AJ77" s="1393"/>
    </row>
    <row r="78" spans="1:36" s="1350" customFormat="1">
      <c r="A78" s="1738">
        <f t="shared" si="3"/>
        <v>66</v>
      </c>
      <c r="B78" s="2191"/>
      <c r="C78" s="1997"/>
      <c r="D78" s="1292"/>
      <c r="E78" s="1208"/>
      <c r="F78" s="2186"/>
      <c r="G78" s="2178"/>
      <c r="H78" s="2177"/>
      <c r="I78" s="2177"/>
      <c r="J78" s="2177"/>
      <c r="K78" s="2271"/>
      <c r="L78" s="2176"/>
      <c r="M78" s="1570"/>
      <c r="N78" s="1570"/>
      <c r="O78" s="2190"/>
      <c r="P78" s="2181"/>
      <c r="Q78" s="2181"/>
      <c r="R78" s="2180"/>
      <c r="S78" s="1370"/>
      <c r="T78" s="2189"/>
      <c r="U78" s="1736"/>
      <c r="V78" s="2272"/>
      <c r="W78" s="1414"/>
      <c r="X78" s="1414"/>
      <c r="Y78" s="1414"/>
      <c r="Z78" s="1414"/>
      <c r="AA78" s="1710"/>
      <c r="AB78" s="1414"/>
      <c r="AC78" s="1413"/>
      <c r="AD78" s="1414"/>
      <c r="AE78" s="1417"/>
      <c r="AF78" s="1693"/>
      <c r="AG78" s="2273"/>
      <c r="AH78" s="2274"/>
      <c r="AJ78" s="1393"/>
    </row>
    <row r="79" spans="1:36" s="1350" customFormat="1">
      <c r="A79" s="1738">
        <f t="shared" si="3"/>
        <v>67</v>
      </c>
      <c r="B79" s="2191"/>
      <c r="C79" s="1997"/>
      <c r="D79" s="1292"/>
      <c r="E79" s="1208"/>
      <c r="F79" s="2186"/>
      <c r="G79" s="2178"/>
      <c r="H79" s="2177"/>
      <c r="I79" s="2177"/>
      <c r="J79" s="2177"/>
      <c r="K79" s="2271"/>
      <c r="L79" s="2176"/>
      <c r="M79" s="1570"/>
      <c r="N79" s="1570"/>
      <c r="O79" s="2190"/>
      <c r="P79" s="2181"/>
      <c r="Q79" s="2181"/>
      <c r="R79" s="2180"/>
      <c r="S79" s="1370"/>
      <c r="T79" s="2189"/>
      <c r="U79" s="1736"/>
      <c r="V79" s="2272"/>
      <c r="W79" s="1414"/>
      <c r="X79" s="1414"/>
      <c r="Y79" s="1414"/>
      <c r="Z79" s="1414"/>
      <c r="AA79" s="1710"/>
      <c r="AB79" s="1414"/>
      <c r="AC79" s="1413"/>
      <c r="AD79" s="1414"/>
      <c r="AE79" s="1417"/>
      <c r="AF79" s="1693"/>
      <c r="AG79" s="2273"/>
      <c r="AH79" s="2274"/>
      <c r="AJ79" s="1393"/>
    </row>
    <row r="80" spans="1:36" s="1350" customFormat="1">
      <c r="A80" s="1738">
        <f t="shared" si="3"/>
        <v>68</v>
      </c>
      <c r="B80" s="2191"/>
      <c r="C80" s="1997"/>
      <c r="D80" s="1292"/>
      <c r="E80" s="1208"/>
      <c r="F80" s="2186"/>
      <c r="G80" s="2178"/>
      <c r="H80" s="2177"/>
      <c r="I80" s="2177"/>
      <c r="J80" s="2177"/>
      <c r="K80" s="2271"/>
      <c r="L80" s="2176"/>
      <c r="M80" s="1570"/>
      <c r="N80" s="1570"/>
      <c r="O80" s="2190"/>
      <c r="P80" s="2181"/>
      <c r="Q80" s="2181"/>
      <c r="R80" s="2180"/>
      <c r="S80" s="1370"/>
      <c r="T80" s="2189"/>
      <c r="U80" s="1736"/>
      <c r="V80" s="2272"/>
      <c r="W80" s="1414"/>
      <c r="X80" s="1414"/>
      <c r="Y80" s="1414"/>
      <c r="Z80" s="1414"/>
      <c r="AA80" s="1710"/>
      <c r="AB80" s="1414"/>
      <c r="AC80" s="1413"/>
      <c r="AD80" s="1414"/>
      <c r="AE80" s="1417"/>
      <c r="AF80" s="1693"/>
      <c r="AG80" s="2273"/>
      <c r="AH80" s="2274"/>
      <c r="AJ80" s="1393"/>
    </row>
    <row r="81" spans="1:36" s="1350" customFormat="1">
      <c r="A81" s="1738">
        <f t="shared" si="3"/>
        <v>69</v>
      </c>
      <c r="B81" s="2191"/>
      <c r="C81" s="1997"/>
      <c r="D81" s="1292"/>
      <c r="E81" s="1208"/>
      <c r="F81" s="2186"/>
      <c r="G81" s="2178"/>
      <c r="H81" s="2177"/>
      <c r="I81" s="2177"/>
      <c r="J81" s="2177"/>
      <c r="K81" s="2271"/>
      <c r="L81" s="2176"/>
      <c r="M81" s="1570"/>
      <c r="N81" s="1570"/>
      <c r="O81" s="2190"/>
      <c r="P81" s="2181"/>
      <c r="Q81" s="2181"/>
      <c r="R81" s="2180"/>
      <c r="S81" s="1370"/>
      <c r="T81" s="2189"/>
      <c r="U81" s="1736"/>
      <c r="V81" s="2272"/>
      <c r="W81" s="1414"/>
      <c r="X81" s="1414"/>
      <c r="Y81" s="1414"/>
      <c r="Z81" s="1414"/>
      <c r="AA81" s="1710"/>
      <c r="AB81" s="1414"/>
      <c r="AC81" s="1413"/>
      <c r="AD81" s="1414"/>
      <c r="AE81" s="1417"/>
      <c r="AF81" s="1693"/>
      <c r="AG81" s="2273"/>
      <c r="AH81" s="2274"/>
      <c r="AJ81" s="1393"/>
    </row>
    <row r="82" spans="1:36" s="1350" customFormat="1">
      <c r="A82" s="1738">
        <f t="shared" si="3"/>
        <v>70</v>
      </c>
      <c r="B82" s="2191"/>
      <c r="C82" s="1997"/>
      <c r="D82" s="1292"/>
      <c r="E82" s="1208"/>
      <c r="F82" s="2186"/>
      <c r="G82" s="2178"/>
      <c r="H82" s="2177"/>
      <c r="I82" s="2177"/>
      <c r="J82" s="2177"/>
      <c r="K82" s="2271"/>
      <c r="L82" s="2176"/>
      <c r="M82" s="1570"/>
      <c r="N82" s="1570"/>
      <c r="O82" s="2190"/>
      <c r="P82" s="2181"/>
      <c r="Q82" s="2181"/>
      <c r="R82" s="2180"/>
      <c r="S82" s="1370"/>
      <c r="T82" s="2189"/>
      <c r="U82" s="1736"/>
      <c r="V82" s="2272"/>
      <c r="W82" s="1414"/>
      <c r="X82" s="1414"/>
      <c r="Y82" s="1414"/>
      <c r="Z82" s="1414"/>
      <c r="AA82" s="1710"/>
      <c r="AB82" s="1414"/>
      <c r="AC82" s="1413"/>
      <c r="AD82" s="1414"/>
      <c r="AE82" s="1417"/>
      <c r="AF82" s="1693"/>
      <c r="AG82" s="2273"/>
      <c r="AH82" s="2274"/>
      <c r="AJ82" s="1393"/>
    </row>
    <row r="83" spans="1:36" s="1350" customFormat="1">
      <c r="A83" s="1738">
        <f t="shared" si="3"/>
        <v>71</v>
      </c>
      <c r="B83" s="295"/>
      <c r="C83" s="166"/>
      <c r="D83" s="46"/>
      <c r="E83" s="179"/>
      <c r="F83" s="1424"/>
      <c r="G83" s="709"/>
      <c r="H83" s="167"/>
      <c r="I83" s="167"/>
      <c r="J83" s="167"/>
      <c r="K83" s="780"/>
      <c r="L83" s="154"/>
      <c r="M83" s="707"/>
      <c r="N83" s="707"/>
      <c r="O83" s="151"/>
      <c r="P83" s="577"/>
      <c r="Q83" s="577"/>
      <c r="R83" s="150"/>
      <c r="S83" s="1664"/>
      <c r="T83" s="1404"/>
      <c r="U83" s="1857"/>
      <c r="V83" s="2275"/>
      <c r="W83" s="1622"/>
      <c r="X83" s="1622"/>
      <c r="Y83" s="1622"/>
      <c r="Z83" s="1622"/>
      <c r="AA83" s="1903"/>
      <c r="AB83" s="1622"/>
      <c r="AC83" s="1709"/>
      <c r="AD83" s="1622"/>
      <c r="AE83" s="1690"/>
      <c r="AF83" s="1880"/>
      <c r="AG83" s="1905"/>
      <c r="AH83" s="1906"/>
      <c r="AJ83" s="1393"/>
    </row>
    <row r="84" spans="1:36" s="1350" customFormat="1">
      <c r="A84" s="1738">
        <f t="shared" si="3"/>
        <v>72</v>
      </c>
      <c r="B84" s="295"/>
      <c r="C84" s="166"/>
      <c r="D84" s="46"/>
      <c r="E84" s="179"/>
      <c r="F84" s="1424"/>
      <c r="G84" s="709"/>
      <c r="H84" s="167"/>
      <c r="I84" s="167"/>
      <c r="J84" s="167"/>
      <c r="K84" s="780"/>
      <c r="L84" s="154"/>
      <c r="M84" s="707"/>
      <c r="N84" s="707"/>
      <c r="O84" s="151"/>
      <c r="P84" s="577"/>
      <c r="Q84" s="577"/>
      <c r="R84" s="150"/>
      <c r="S84" s="1664"/>
      <c r="T84" s="1404"/>
      <c r="U84" s="1857"/>
      <c r="V84" s="2275"/>
      <c r="W84" s="1622"/>
      <c r="X84" s="1622"/>
      <c r="Y84" s="1622"/>
      <c r="Z84" s="1622"/>
      <c r="AA84" s="1903"/>
      <c r="AB84" s="1622"/>
      <c r="AC84" s="1709"/>
      <c r="AD84" s="1622"/>
      <c r="AE84" s="1690"/>
      <c r="AF84" s="1880"/>
      <c r="AG84" s="1905"/>
      <c r="AH84" s="1906"/>
      <c r="AJ84" s="1393"/>
    </row>
    <row r="85" spans="1:36" s="1350" customFormat="1">
      <c r="A85" s="1738">
        <f t="shared" si="3"/>
        <v>73</v>
      </c>
      <c r="B85" s="295"/>
      <c r="C85" s="166"/>
      <c r="D85" s="46"/>
      <c r="E85" s="179"/>
      <c r="F85" s="1424"/>
      <c r="G85" s="709"/>
      <c r="H85" s="167"/>
      <c r="I85" s="167"/>
      <c r="J85" s="167"/>
      <c r="K85" s="780"/>
      <c r="L85" s="154"/>
      <c r="M85" s="707"/>
      <c r="N85" s="707"/>
      <c r="O85" s="151"/>
      <c r="P85" s="577"/>
      <c r="Q85" s="577"/>
      <c r="R85" s="150"/>
      <c r="S85" s="1664"/>
      <c r="T85" s="1404"/>
      <c r="U85" s="1857"/>
      <c r="V85" s="2275"/>
      <c r="W85" s="1622"/>
      <c r="X85" s="1622"/>
      <c r="Y85" s="1622"/>
      <c r="Z85" s="1622"/>
      <c r="AA85" s="1903"/>
      <c r="AB85" s="1622"/>
      <c r="AC85" s="1709"/>
      <c r="AD85" s="1622"/>
      <c r="AE85" s="1690"/>
      <c r="AF85" s="1880"/>
      <c r="AG85" s="1905"/>
      <c r="AH85" s="1906"/>
      <c r="AJ85" s="1393"/>
    </row>
    <row r="86" spans="1:36" s="1350" customFormat="1">
      <c r="A86" s="1738">
        <f t="shared" si="3"/>
        <v>74</v>
      </c>
      <c r="B86" s="295"/>
      <c r="C86" s="166"/>
      <c r="D86" s="46"/>
      <c r="E86" s="179"/>
      <c r="F86" s="1424"/>
      <c r="G86" s="709"/>
      <c r="H86" s="167"/>
      <c r="I86" s="167"/>
      <c r="J86" s="167"/>
      <c r="K86" s="780"/>
      <c r="L86" s="154"/>
      <c r="M86" s="707"/>
      <c r="N86" s="707"/>
      <c r="O86" s="151"/>
      <c r="P86" s="577"/>
      <c r="Q86" s="577"/>
      <c r="R86" s="150"/>
      <c r="S86" s="1664"/>
      <c r="T86" s="1404"/>
      <c r="U86" s="1857"/>
      <c r="V86" s="2275"/>
      <c r="W86" s="1622"/>
      <c r="X86" s="1622"/>
      <c r="Y86" s="1622"/>
      <c r="Z86" s="1622"/>
      <c r="AA86" s="1903"/>
      <c r="AB86" s="1622"/>
      <c r="AC86" s="1709"/>
      <c r="AD86" s="1622"/>
      <c r="AE86" s="1690"/>
      <c r="AF86" s="1880"/>
      <c r="AG86" s="1905"/>
      <c r="AH86" s="1906"/>
      <c r="AJ86" s="1393"/>
    </row>
    <row r="87" spans="1:36" s="1350" customFormat="1">
      <c r="A87" s="1738">
        <f t="shared" si="3"/>
        <v>75</v>
      </c>
      <c r="B87" s="295"/>
      <c r="C87" s="166"/>
      <c r="D87" s="46"/>
      <c r="E87" s="179"/>
      <c r="F87" s="1424"/>
      <c r="G87" s="709"/>
      <c r="H87" s="167"/>
      <c r="I87" s="167"/>
      <c r="J87" s="167"/>
      <c r="K87" s="780"/>
      <c r="L87" s="154"/>
      <c r="M87" s="707"/>
      <c r="N87" s="707"/>
      <c r="O87" s="151"/>
      <c r="P87" s="577"/>
      <c r="Q87" s="577"/>
      <c r="R87" s="150"/>
      <c r="S87" s="1664"/>
      <c r="T87" s="1404"/>
      <c r="U87" s="1857"/>
      <c r="V87" s="2275"/>
      <c r="W87" s="1622"/>
      <c r="X87" s="1622"/>
      <c r="Y87" s="1622"/>
      <c r="Z87" s="1622"/>
      <c r="AA87" s="1903"/>
      <c r="AB87" s="1622"/>
      <c r="AC87" s="1709"/>
      <c r="AD87" s="1622"/>
      <c r="AE87" s="1690"/>
      <c r="AF87" s="1880"/>
      <c r="AG87" s="1905"/>
      <c r="AH87" s="1906"/>
      <c r="AJ87" s="1393"/>
    </row>
    <row r="88" spans="1:36" s="1350" customFormat="1">
      <c r="A88" s="1738">
        <f t="shared" si="3"/>
        <v>76</v>
      </c>
      <c r="B88" s="295"/>
      <c r="C88" s="166"/>
      <c r="D88" s="46"/>
      <c r="E88" s="179"/>
      <c r="F88" s="1424"/>
      <c r="G88" s="709"/>
      <c r="H88" s="167"/>
      <c r="I88" s="167"/>
      <c r="J88" s="167"/>
      <c r="K88" s="780"/>
      <c r="L88" s="154"/>
      <c r="M88" s="707"/>
      <c r="N88" s="707"/>
      <c r="O88" s="151"/>
      <c r="P88" s="577"/>
      <c r="Q88" s="577"/>
      <c r="R88" s="150"/>
      <c r="S88" s="1664"/>
      <c r="T88" s="1404"/>
      <c r="U88" s="1857"/>
      <c r="V88" s="2275"/>
      <c r="W88" s="1622"/>
      <c r="X88" s="1622"/>
      <c r="Y88" s="1622"/>
      <c r="Z88" s="1622"/>
      <c r="AA88" s="1903"/>
      <c r="AB88" s="1622"/>
      <c r="AC88" s="1709"/>
      <c r="AD88" s="1622"/>
      <c r="AE88" s="1690"/>
      <c r="AF88" s="1880"/>
      <c r="AG88" s="1905"/>
      <c r="AH88" s="1906"/>
      <c r="AJ88" s="1393"/>
    </row>
    <row r="89" spans="1:36" s="1350" customFormat="1">
      <c r="A89" s="1738">
        <f t="shared" si="3"/>
        <v>77</v>
      </c>
      <c r="B89" s="295"/>
      <c r="C89" s="166"/>
      <c r="D89" s="46"/>
      <c r="E89" s="179"/>
      <c r="F89" s="1424"/>
      <c r="G89" s="709"/>
      <c r="H89" s="167"/>
      <c r="I89" s="167"/>
      <c r="J89" s="167"/>
      <c r="K89" s="780"/>
      <c r="L89" s="154"/>
      <c r="M89" s="707"/>
      <c r="N89" s="707"/>
      <c r="O89" s="151"/>
      <c r="P89" s="577"/>
      <c r="Q89" s="577"/>
      <c r="R89" s="150"/>
      <c r="S89" s="1664"/>
      <c r="T89" s="1404"/>
      <c r="U89" s="1857"/>
      <c r="V89" s="2275"/>
      <c r="W89" s="1622"/>
      <c r="X89" s="1622"/>
      <c r="Y89" s="1622"/>
      <c r="Z89" s="1622"/>
      <c r="AA89" s="1903"/>
      <c r="AB89" s="1622"/>
      <c r="AC89" s="1709"/>
      <c r="AD89" s="1622"/>
      <c r="AE89" s="1690"/>
      <c r="AF89" s="1880"/>
      <c r="AG89" s="1905"/>
      <c r="AH89" s="1906"/>
      <c r="AJ89" s="1393"/>
    </row>
    <row r="90" spans="1:36" s="1350" customFormat="1">
      <c r="A90" s="1738">
        <f t="shared" si="3"/>
        <v>78</v>
      </c>
      <c r="B90" s="295"/>
      <c r="C90" s="166"/>
      <c r="D90" s="46"/>
      <c r="E90" s="179"/>
      <c r="F90" s="1424"/>
      <c r="G90" s="709"/>
      <c r="H90" s="167"/>
      <c r="I90" s="167"/>
      <c r="J90" s="167"/>
      <c r="K90" s="780"/>
      <c r="L90" s="154"/>
      <c r="M90" s="707"/>
      <c r="N90" s="707"/>
      <c r="O90" s="151"/>
      <c r="P90" s="577"/>
      <c r="Q90" s="577"/>
      <c r="R90" s="150"/>
      <c r="S90" s="1664"/>
      <c r="T90" s="1404"/>
      <c r="U90" s="1857"/>
      <c r="V90" s="2275"/>
      <c r="W90" s="1622"/>
      <c r="X90" s="1622"/>
      <c r="Y90" s="1622"/>
      <c r="Z90" s="1622"/>
      <c r="AA90" s="1903"/>
      <c r="AB90" s="1622"/>
      <c r="AC90" s="1709"/>
      <c r="AD90" s="1622"/>
      <c r="AE90" s="1690"/>
      <c r="AF90" s="1880"/>
      <c r="AG90" s="1905"/>
      <c r="AH90" s="1906"/>
      <c r="AJ90" s="1393"/>
    </row>
    <row r="91" spans="1:36" s="1350" customFormat="1">
      <c r="A91" s="1738">
        <f t="shared" si="3"/>
        <v>79</v>
      </c>
      <c r="B91" s="295"/>
      <c r="C91" s="166"/>
      <c r="D91" s="46"/>
      <c r="E91" s="179"/>
      <c r="F91" s="1424"/>
      <c r="G91" s="709"/>
      <c r="H91" s="167"/>
      <c r="I91" s="167"/>
      <c r="J91" s="167"/>
      <c r="K91" s="780"/>
      <c r="L91" s="154"/>
      <c r="M91" s="707"/>
      <c r="N91" s="707"/>
      <c r="O91" s="151"/>
      <c r="P91" s="577"/>
      <c r="Q91" s="577"/>
      <c r="R91" s="150"/>
      <c r="S91" s="1664"/>
      <c r="T91" s="1404"/>
      <c r="U91" s="1857"/>
      <c r="V91" s="2275"/>
      <c r="W91" s="1622"/>
      <c r="X91" s="1622"/>
      <c r="Y91" s="1622"/>
      <c r="Z91" s="1622"/>
      <c r="AA91" s="1903"/>
      <c r="AB91" s="1622"/>
      <c r="AC91" s="1709"/>
      <c r="AD91" s="1622"/>
      <c r="AE91" s="1690"/>
      <c r="AF91" s="1880"/>
      <c r="AG91" s="1905"/>
      <c r="AH91" s="1906"/>
      <c r="AJ91" s="1393"/>
    </row>
    <row r="92" spans="1:36" s="1350" customFormat="1">
      <c r="A92" s="1738">
        <f t="shared" si="3"/>
        <v>80</v>
      </c>
      <c r="B92" s="295"/>
      <c r="C92" s="166"/>
      <c r="D92" s="46"/>
      <c r="E92" s="179"/>
      <c r="F92" s="1424"/>
      <c r="G92" s="709"/>
      <c r="H92" s="167"/>
      <c r="I92" s="167"/>
      <c r="J92" s="167"/>
      <c r="K92" s="780"/>
      <c r="L92" s="154"/>
      <c r="M92" s="707"/>
      <c r="N92" s="707"/>
      <c r="O92" s="151"/>
      <c r="P92" s="577"/>
      <c r="Q92" s="577"/>
      <c r="R92" s="150"/>
      <c r="S92" s="1664"/>
      <c r="T92" s="1404"/>
      <c r="U92" s="1857"/>
      <c r="V92" s="2275"/>
      <c r="W92" s="1622"/>
      <c r="X92" s="1622"/>
      <c r="Y92" s="1622"/>
      <c r="Z92" s="1622"/>
      <c r="AA92" s="1903"/>
      <c r="AB92" s="1622"/>
      <c r="AC92" s="1709"/>
      <c r="AD92" s="1622"/>
      <c r="AE92" s="1690"/>
      <c r="AF92" s="1880"/>
      <c r="AG92" s="1905"/>
      <c r="AH92" s="1906"/>
      <c r="AJ92" s="1393"/>
    </row>
    <row r="93" spans="1:36" s="1350" customFormat="1">
      <c r="A93" s="1738">
        <f t="shared" si="3"/>
        <v>81</v>
      </c>
      <c r="B93" s="295"/>
      <c r="C93" s="166"/>
      <c r="D93" s="46"/>
      <c r="E93" s="179"/>
      <c r="F93" s="1424"/>
      <c r="G93" s="709"/>
      <c r="H93" s="167"/>
      <c r="I93" s="167"/>
      <c r="J93" s="167"/>
      <c r="K93" s="780"/>
      <c r="L93" s="154"/>
      <c r="M93" s="707"/>
      <c r="N93" s="707"/>
      <c r="O93" s="151"/>
      <c r="P93" s="577"/>
      <c r="Q93" s="577"/>
      <c r="R93" s="150"/>
      <c r="S93" s="1664"/>
      <c r="T93" s="1404"/>
      <c r="U93" s="1857"/>
      <c r="V93" s="2275"/>
      <c r="W93" s="1622"/>
      <c r="X93" s="1622"/>
      <c r="Y93" s="1622"/>
      <c r="Z93" s="1622"/>
      <c r="AA93" s="1903"/>
      <c r="AB93" s="1622"/>
      <c r="AC93" s="1709"/>
      <c r="AD93" s="1622"/>
      <c r="AE93" s="1690"/>
      <c r="AF93" s="1880"/>
      <c r="AG93" s="1905"/>
      <c r="AH93" s="1906"/>
      <c r="AJ93" s="1393"/>
    </row>
    <row r="94" spans="1:36" s="1350" customFormat="1">
      <c r="A94" s="1738">
        <f t="shared" si="3"/>
        <v>82</v>
      </c>
      <c r="B94" s="295"/>
      <c r="C94" s="166"/>
      <c r="D94" s="46"/>
      <c r="E94" s="179"/>
      <c r="F94" s="1424"/>
      <c r="G94" s="709"/>
      <c r="H94" s="167"/>
      <c r="I94" s="167"/>
      <c r="J94" s="167"/>
      <c r="K94" s="780"/>
      <c r="L94" s="154"/>
      <c r="M94" s="707"/>
      <c r="N94" s="707"/>
      <c r="O94" s="151"/>
      <c r="P94" s="577"/>
      <c r="Q94" s="577"/>
      <c r="R94" s="150"/>
      <c r="S94" s="1664"/>
      <c r="T94" s="1404"/>
      <c r="U94" s="1857"/>
      <c r="V94" s="2275"/>
      <c r="W94" s="1622"/>
      <c r="X94" s="1622"/>
      <c r="Y94" s="1622"/>
      <c r="Z94" s="1622"/>
      <c r="AA94" s="1903"/>
      <c r="AB94" s="1622"/>
      <c r="AC94" s="1709"/>
      <c r="AD94" s="1622"/>
      <c r="AE94" s="1690"/>
      <c r="AF94" s="1880"/>
      <c r="AG94" s="1905"/>
      <c r="AH94" s="1906"/>
      <c r="AJ94" s="1393"/>
    </row>
    <row r="95" spans="1:36" s="1350" customFormat="1">
      <c r="A95" s="1738">
        <f t="shared" si="3"/>
        <v>83</v>
      </c>
      <c r="B95" s="295"/>
      <c r="C95" s="166"/>
      <c r="D95" s="46"/>
      <c r="E95" s="179"/>
      <c r="F95" s="1424"/>
      <c r="G95" s="709"/>
      <c r="H95" s="167"/>
      <c r="I95" s="167"/>
      <c r="J95" s="167"/>
      <c r="K95" s="780"/>
      <c r="L95" s="154"/>
      <c r="M95" s="707"/>
      <c r="N95" s="707"/>
      <c r="O95" s="151"/>
      <c r="P95" s="577"/>
      <c r="Q95" s="577"/>
      <c r="R95" s="150"/>
      <c r="S95" s="1664"/>
      <c r="T95" s="1404"/>
      <c r="U95" s="1857"/>
      <c r="V95" s="2275"/>
      <c r="W95" s="1622"/>
      <c r="X95" s="1622"/>
      <c r="Y95" s="1622"/>
      <c r="Z95" s="1622"/>
      <c r="AA95" s="1903"/>
      <c r="AB95" s="1622"/>
      <c r="AC95" s="1709"/>
      <c r="AD95" s="1622"/>
      <c r="AE95" s="1690"/>
      <c r="AF95" s="1880"/>
      <c r="AG95" s="1905"/>
      <c r="AH95" s="1906"/>
      <c r="AJ95" s="1393"/>
    </row>
    <row r="96" spans="1:36" s="1350" customFormat="1">
      <c r="A96" s="1738">
        <f t="shared" si="3"/>
        <v>84</v>
      </c>
      <c r="B96" s="295"/>
      <c r="C96" s="166"/>
      <c r="D96" s="46"/>
      <c r="E96" s="179"/>
      <c r="F96" s="1424"/>
      <c r="G96" s="709"/>
      <c r="H96" s="167"/>
      <c r="I96" s="167"/>
      <c r="J96" s="167"/>
      <c r="K96" s="780"/>
      <c r="L96" s="154"/>
      <c r="M96" s="707"/>
      <c r="N96" s="707"/>
      <c r="O96" s="151"/>
      <c r="P96" s="577"/>
      <c r="Q96" s="577"/>
      <c r="R96" s="150"/>
      <c r="S96" s="1664"/>
      <c r="T96" s="1404"/>
      <c r="U96" s="1857"/>
      <c r="V96" s="2275"/>
      <c r="W96" s="1622"/>
      <c r="X96" s="1622"/>
      <c r="Y96" s="1622"/>
      <c r="Z96" s="1622"/>
      <c r="AA96" s="1903"/>
      <c r="AB96" s="1622"/>
      <c r="AC96" s="1709"/>
      <c r="AD96" s="1622"/>
      <c r="AE96" s="1690"/>
      <c r="AF96" s="1880"/>
      <c r="AG96" s="1905"/>
      <c r="AH96" s="1906"/>
      <c r="AJ96" s="1393"/>
    </row>
    <row r="97" spans="1:36" s="1350" customFormat="1">
      <c r="A97" s="1738">
        <f t="shared" si="3"/>
        <v>85</v>
      </c>
      <c r="B97" s="295"/>
      <c r="C97" s="166"/>
      <c r="D97" s="46"/>
      <c r="E97" s="179"/>
      <c r="F97" s="1424"/>
      <c r="G97" s="709"/>
      <c r="H97" s="167"/>
      <c r="I97" s="167"/>
      <c r="J97" s="167"/>
      <c r="K97" s="780"/>
      <c r="L97" s="154"/>
      <c r="M97" s="707"/>
      <c r="N97" s="707"/>
      <c r="O97" s="151"/>
      <c r="P97" s="577"/>
      <c r="Q97" s="577"/>
      <c r="R97" s="150"/>
      <c r="S97" s="1664"/>
      <c r="T97" s="1404"/>
      <c r="U97" s="1857"/>
      <c r="V97" s="2275"/>
      <c r="W97" s="1622"/>
      <c r="X97" s="1622"/>
      <c r="Y97" s="1622"/>
      <c r="Z97" s="1622"/>
      <c r="AA97" s="1903"/>
      <c r="AB97" s="1622"/>
      <c r="AC97" s="1709"/>
      <c r="AD97" s="1622"/>
      <c r="AE97" s="1690"/>
      <c r="AF97" s="1880"/>
      <c r="AG97" s="1905"/>
      <c r="AH97" s="1906"/>
      <c r="AJ97" s="1393"/>
    </row>
    <row r="98" spans="1:36" s="1350" customFormat="1">
      <c r="A98" s="1738">
        <f t="shared" si="3"/>
        <v>86</v>
      </c>
      <c r="B98" s="295"/>
      <c r="C98" s="166"/>
      <c r="D98" s="46"/>
      <c r="E98" s="179"/>
      <c r="F98" s="1424"/>
      <c r="G98" s="709"/>
      <c r="H98" s="167"/>
      <c r="I98" s="167"/>
      <c r="J98" s="167"/>
      <c r="K98" s="780"/>
      <c r="L98" s="154"/>
      <c r="M98" s="707"/>
      <c r="N98" s="707"/>
      <c r="O98" s="151"/>
      <c r="P98" s="577"/>
      <c r="Q98" s="577"/>
      <c r="R98" s="150"/>
      <c r="S98" s="1664"/>
      <c r="T98" s="1404"/>
      <c r="U98" s="1857"/>
      <c r="V98" s="2275"/>
      <c r="W98" s="1622"/>
      <c r="X98" s="1622"/>
      <c r="Y98" s="1622"/>
      <c r="Z98" s="1622"/>
      <c r="AA98" s="1903"/>
      <c r="AB98" s="1622"/>
      <c r="AC98" s="1709"/>
      <c r="AD98" s="1622"/>
      <c r="AE98" s="1690"/>
      <c r="AF98" s="1880"/>
      <c r="AG98" s="1905"/>
      <c r="AH98" s="1906"/>
      <c r="AJ98" s="1393"/>
    </row>
    <row r="99" spans="1:36" s="1350" customFormat="1">
      <c r="A99" s="1738">
        <f t="shared" si="3"/>
        <v>87</v>
      </c>
      <c r="B99" s="295"/>
      <c r="C99" s="166"/>
      <c r="D99" s="46"/>
      <c r="E99" s="179"/>
      <c r="F99" s="1424"/>
      <c r="G99" s="709"/>
      <c r="H99" s="167"/>
      <c r="I99" s="167"/>
      <c r="J99" s="167"/>
      <c r="K99" s="780"/>
      <c r="L99" s="154"/>
      <c r="M99" s="707"/>
      <c r="N99" s="707"/>
      <c r="O99" s="151"/>
      <c r="P99" s="577"/>
      <c r="Q99" s="577"/>
      <c r="R99" s="150"/>
      <c r="S99" s="1664"/>
      <c r="T99" s="1404"/>
      <c r="U99" s="1857"/>
      <c r="V99" s="2275"/>
      <c r="W99" s="1622"/>
      <c r="X99" s="1622"/>
      <c r="Y99" s="1622"/>
      <c r="Z99" s="1622"/>
      <c r="AA99" s="1903"/>
      <c r="AB99" s="1622"/>
      <c r="AC99" s="1709"/>
      <c r="AD99" s="1622"/>
      <c r="AE99" s="1690"/>
      <c r="AF99" s="1880"/>
      <c r="AG99" s="1905"/>
      <c r="AH99" s="1906"/>
      <c r="AJ99" s="1393"/>
    </row>
    <row r="100" spans="1:36" s="1350" customFormat="1">
      <c r="A100" s="1738">
        <f t="shared" si="3"/>
        <v>88</v>
      </c>
      <c r="B100" s="295"/>
      <c r="C100" s="166"/>
      <c r="D100" s="46"/>
      <c r="E100" s="179"/>
      <c r="F100" s="1424"/>
      <c r="G100" s="709"/>
      <c r="H100" s="167"/>
      <c r="I100" s="167"/>
      <c r="J100" s="167"/>
      <c r="K100" s="780"/>
      <c r="L100" s="154"/>
      <c r="M100" s="707"/>
      <c r="N100" s="707"/>
      <c r="O100" s="151"/>
      <c r="P100" s="577"/>
      <c r="Q100" s="577"/>
      <c r="R100" s="150"/>
      <c r="S100" s="1664"/>
      <c r="T100" s="1404"/>
      <c r="U100" s="1857"/>
      <c r="V100" s="2275"/>
      <c r="W100" s="1622"/>
      <c r="X100" s="1622"/>
      <c r="Y100" s="1622"/>
      <c r="Z100" s="1622"/>
      <c r="AA100" s="1903"/>
      <c r="AB100" s="1622"/>
      <c r="AC100" s="1709"/>
      <c r="AD100" s="1622"/>
      <c r="AE100" s="1690"/>
      <c r="AF100" s="1880"/>
      <c r="AG100" s="1905"/>
      <c r="AH100" s="1906"/>
      <c r="AJ100" s="1393"/>
    </row>
    <row r="101" spans="1:36" s="1350" customFormat="1">
      <c r="A101" s="1738">
        <f t="shared" si="3"/>
        <v>89</v>
      </c>
      <c r="B101" s="295"/>
      <c r="C101" s="166"/>
      <c r="D101" s="46"/>
      <c r="E101" s="179"/>
      <c r="F101" s="1424"/>
      <c r="G101" s="709"/>
      <c r="H101" s="167"/>
      <c r="I101" s="167"/>
      <c r="J101" s="167"/>
      <c r="K101" s="780"/>
      <c r="L101" s="154"/>
      <c r="M101" s="707"/>
      <c r="N101" s="707"/>
      <c r="O101" s="151"/>
      <c r="P101" s="577"/>
      <c r="Q101" s="577"/>
      <c r="R101" s="150"/>
      <c r="S101" s="1664"/>
      <c r="T101" s="1404"/>
      <c r="U101" s="1857"/>
      <c r="V101" s="2275"/>
      <c r="W101" s="1622"/>
      <c r="X101" s="1622"/>
      <c r="Y101" s="1622"/>
      <c r="Z101" s="1622"/>
      <c r="AA101" s="1903"/>
      <c r="AB101" s="1622"/>
      <c r="AC101" s="1709"/>
      <c r="AD101" s="1622"/>
      <c r="AE101" s="1690"/>
      <c r="AF101" s="1880"/>
      <c r="AG101" s="1905"/>
      <c r="AH101" s="1906"/>
      <c r="AJ101" s="1393"/>
    </row>
    <row r="102" spans="1:36" s="1350" customFormat="1">
      <c r="A102" s="1738">
        <f t="shared" si="3"/>
        <v>90</v>
      </c>
      <c r="B102" s="295"/>
      <c r="C102" s="166"/>
      <c r="D102" s="46"/>
      <c r="E102" s="179"/>
      <c r="F102" s="1424"/>
      <c r="G102" s="709"/>
      <c r="H102" s="167"/>
      <c r="I102" s="167"/>
      <c r="J102" s="167"/>
      <c r="K102" s="780"/>
      <c r="L102" s="154"/>
      <c r="M102" s="707"/>
      <c r="N102" s="707"/>
      <c r="O102" s="151"/>
      <c r="P102" s="577"/>
      <c r="Q102" s="577"/>
      <c r="R102" s="150"/>
      <c r="S102" s="1664"/>
      <c r="T102" s="1404"/>
      <c r="U102" s="1857"/>
      <c r="V102" s="2275"/>
      <c r="W102" s="1622"/>
      <c r="X102" s="1622"/>
      <c r="Y102" s="1622"/>
      <c r="Z102" s="1622"/>
      <c r="AA102" s="1903"/>
      <c r="AB102" s="1622"/>
      <c r="AC102" s="1709"/>
      <c r="AD102" s="1622"/>
      <c r="AE102" s="1690"/>
      <c r="AF102" s="1880"/>
      <c r="AG102" s="1905"/>
      <c r="AH102" s="1906"/>
      <c r="AJ102" s="1393"/>
    </row>
    <row r="103" spans="1:36" s="1350" customFormat="1">
      <c r="A103" s="1738">
        <f t="shared" si="3"/>
        <v>91</v>
      </c>
      <c r="B103" s="295"/>
      <c r="C103" s="166"/>
      <c r="D103" s="46"/>
      <c r="E103" s="179"/>
      <c r="F103" s="1424"/>
      <c r="G103" s="709"/>
      <c r="H103" s="167"/>
      <c r="I103" s="167"/>
      <c r="J103" s="167"/>
      <c r="K103" s="780"/>
      <c r="L103" s="154"/>
      <c r="M103" s="707"/>
      <c r="N103" s="707"/>
      <c r="O103" s="151"/>
      <c r="P103" s="577"/>
      <c r="Q103" s="577"/>
      <c r="R103" s="150"/>
      <c r="S103" s="1664"/>
      <c r="T103" s="1404"/>
      <c r="U103" s="1857"/>
      <c r="V103" s="2275"/>
      <c r="W103" s="1622"/>
      <c r="X103" s="1622"/>
      <c r="Y103" s="1622"/>
      <c r="Z103" s="1622"/>
      <c r="AA103" s="1903"/>
      <c r="AB103" s="1622"/>
      <c r="AC103" s="1709"/>
      <c r="AD103" s="1622"/>
      <c r="AE103" s="1690"/>
      <c r="AF103" s="1880"/>
      <c r="AG103" s="1905"/>
      <c r="AH103" s="1906"/>
      <c r="AJ103" s="1393"/>
    </row>
    <row r="104" spans="1:36" s="1350" customFormat="1">
      <c r="A104" s="1738">
        <f t="shared" si="3"/>
        <v>92</v>
      </c>
      <c r="B104" s="295"/>
      <c r="C104" s="166"/>
      <c r="D104" s="46"/>
      <c r="E104" s="179"/>
      <c r="F104" s="1424"/>
      <c r="G104" s="709"/>
      <c r="H104" s="167"/>
      <c r="I104" s="167"/>
      <c r="J104" s="167"/>
      <c r="K104" s="780"/>
      <c r="L104" s="154"/>
      <c r="M104" s="707"/>
      <c r="N104" s="707"/>
      <c r="O104" s="151"/>
      <c r="P104" s="577"/>
      <c r="Q104" s="577"/>
      <c r="R104" s="150"/>
      <c r="S104" s="1664"/>
      <c r="T104" s="1404"/>
      <c r="U104" s="1857"/>
      <c r="V104" s="2275"/>
      <c r="W104" s="1622"/>
      <c r="X104" s="1622"/>
      <c r="Y104" s="1622"/>
      <c r="Z104" s="1622"/>
      <c r="AA104" s="1903"/>
      <c r="AB104" s="1622"/>
      <c r="AC104" s="1709"/>
      <c r="AD104" s="1622"/>
      <c r="AE104" s="1690"/>
      <c r="AF104" s="1880"/>
      <c r="AG104" s="1905"/>
      <c r="AH104" s="1906"/>
      <c r="AJ104" s="1393"/>
    </row>
    <row r="105" spans="1:36" s="1350" customFormat="1">
      <c r="A105" s="1738">
        <f t="shared" si="3"/>
        <v>93</v>
      </c>
      <c r="B105" s="295"/>
      <c r="C105" s="166"/>
      <c r="D105" s="46"/>
      <c r="E105" s="179"/>
      <c r="F105" s="1424"/>
      <c r="G105" s="709"/>
      <c r="H105" s="167"/>
      <c r="I105" s="167"/>
      <c r="J105" s="167"/>
      <c r="K105" s="780"/>
      <c r="L105" s="154"/>
      <c r="M105" s="707"/>
      <c r="N105" s="707"/>
      <c r="O105" s="151"/>
      <c r="P105" s="577"/>
      <c r="Q105" s="577"/>
      <c r="R105" s="150"/>
      <c r="S105" s="1664"/>
      <c r="T105" s="1404"/>
      <c r="U105" s="1857"/>
      <c r="V105" s="2275"/>
      <c r="W105" s="1622"/>
      <c r="X105" s="1622"/>
      <c r="Y105" s="1622"/>
      <c r="Z105" s="1622"/>
      <c r="AA105" s="1903"/>
      <c r="AB105" s="1622"/>
      <c r="AC105" s="1709"/>
      <c r="AD105" s="1622"/>
      <c r="AE105" s="1690"/>
      <c r="AF105" s="1880"/>
      <c r="AG105" s="1905"/>
      <c r="AH105" s="1906"/>
      <c r="AJ105" s="1393"/>
    </row>
    <row r="106" spans="1:36" s="1350" customFormat="1">
      <c r="A106" s="1738">
        <f t="shared" si="3"/>
        <v>94</v>
      </c>
      <c r="B106" s="295"/>
      <c r="C106" s="166"/>
      <c r="D106" s="46"/>
      <c r="E106" s="179"/>
      <c r="F106" s="1424"/>
      <c r="G106" s="709"/>
      <c r="H106" s="167"/>
      <c r="I106" s="167"/>
      <c r="J106" s="167"/>
      <c r="K106" s="780"/>
      <c r="L106" s="154"/>
      <c r="M106" s="707"/>
      <c r="N106" s="707"/>
      <c r="O106" s="151"/>
      <c r="P106" s="577"/>
      <c r="Q106" s="577"/>
      <c r="R106" s="150"/>
      <c r="S106" s="1664"/>
      <c r="T106" s="1404"/>
      <c r="U106" s="1857"/>
      <c r="V106" s="2275"/>
      <c r="W106" s="1622"/>
      <c r="X106" s="1622"/>
      <c r="Y106" s="1622"/>
      <c r="Z106" s="1622"/>
      <c r="AA106" s="1903"/>
      <c r="AB106" s="1622"/>
      <c r="AC106" s="1709"/>
      <c r="AD106" s="1622"/>
      <c r="AE106" s="1690"/>
      <c r="AF106" s="1880"/>
      <c r="AG106" s="1905"/>
      <c r="AH106" s="1906"/>
      <c r="AJ106" s="1393"/>
    </row>
    <row r="107" spans="1:36" s="1350" customFormat="1">
      <c r="A107" s="1738">
        <f t="shared" si="3"/>
        <v>95</v>
      </c>
      <c r="B107" s="295"/>
      <c r="C107" s="166"/>
      <c r="D107" s="46"/>
      <c r="E107" s="179"/>
      <c r="F107" s="1424"/>
      <c r="G107" s="709"/>
      <c r="H107" s="167"/>
      <c r="I107" s="167"/>
      <c r="J107" s="167"/>
      <c r="K107" s="780"/>
      <c r="L107" s="154"/>
      <c r="M107" s="707"/>
      <c r="N107" s="707"/>
      <c r="O107" s="151"/>
      <c r="P107" s="577"/>
      <c r="Q107" s="577"/>
      <c r="R107" s="150"/>
      <c r="S107" s="1664"/>
      <c r="T107" s="1404"/>
      <c r="U107" s="1857"/>
      <c r="V107" s="2275"/>
      <c r="W107" s="1622"/>
      <c r="X107" s="1622"/>
      <c r="Y107" s="1622"/>
      <c r="Z107" s="1622"/>
      <c r="AA107" s="1903"/>
      <c r="AB107" s="1622"/>
      <c r="AC107" s="1709"/>
      <c r="AD107" s="1622"/>
      <c r="AE107" s="1690"/>
      <c r="AF107" s="1880"/>
      <c r="AG107" s="1905"/>
      <c r="AH107" s="1906"/>
      <c r="AJ107" s="1393"/>
    </row>
    <row r="108" spans="1:36" s="1350" customFormat="1">
      <c r="A108" s="1738">
        <f t="shared" si="3"/>
        <v>96</v>
      </c>
      <c r="B108" s="295"/>
      <c r="C108" s="166"/>
      <c r="D108" s="46"/>
      <c r="E108" s="179"/>
      <c r="F108" s="1424"/>
      <c r="G108" s="709"/>
      <c r="H108" s="167"/>
      <c r="I108" s="167"/>
      <c r="J108" s="167"/>
      <c r="K108" s="780"/>
      <c r="L108" s="154"/>
      <c r="M108" s="707"/>
      <c r="N108" s="707"/>
      <c r="O108" s="151"/>
      <c r="P108" s="577"/>
      <c r="Q108" s="577"/>
      <c r="R108" s="150"/>
      <c r="S108" s="1664"/>
      <c r="T108" s="1404"/>
      <c r="U108" s="1857"/>
      <c r="V108" s="2275"/>
      <c r="W108" s="1622"/>
      <c r="X108" s="1622"/>
      <c r="Y108" s="1622"/>
      <c r="Z108" s="1622"/>
      <c r="AA108" s="1903"/>
      <c r="AB108" s="1622"/>
      <c r="AC108" s="1709"/>
      <c r="AD108" s="1622"/>
      <c r="AE108" s="1690"/>
      <c r="AF108" s="1880"/>
      <c r="AG108" s="1905"/>
      <c r="AH108" s="1906"/>
      <c r="AJ108" s="1393"/>
    </row>
    <row r="109" spans="1:36" s="1350" customFormat="1">
      <c r="A109" s="1738">
        <f t="shared" si="3"/>
        <v>97</v>
      </c>
      <c r="B109" s="295"/>
      <c r="C109" s="166"/>
      <c r="D109" s="46"/>
      <c r="E109" s="179"/>
      <c r="F109" s="1424"/>
      <c r="G109" s="709"/>
      <c r="H109" s="167"/>
      <c r="I109" s="167"/>
      <c r="J109" s="167"/>
      <c r="K109" s="780"/>
      <c r="L109" s="154"/>
      <c r="M109" s="707"/>
      <c r="N109" s="707"/>
      <c r="O109" s="151"/>
      <c r="P109" s="577"/>
      <c r="Q109" s="577"/>
      <c r="R109" s="150"/>
      <c r="S109" s="1664"/>
      <c r="T109" s="1404"/>
      <c r="U109" s="1857"/>
      <c r="V109" s="2275"/>
      <c r="W109" s="1622"/>
      <c r="X109" s="1622"/>
      <c r="Y109" s="1622"/>
      <c r="Z109" s="1622"/>
      <c r="AA109" s="1903"/>
      <c r="AB109" s="1622"/>
      <c r="AC109" s="1709"/>
      <c r="AD109" s="1622"/>
      <c r="AE109" s="1690"/>
      <c r="AF109" s="1880"/>
      <c r="AG109" s="1905"/>
      <c r="AH109" s="1906"/>
      <c r="AJ109" s="1393"/>
    </row>
    <row r="110" spans="1:36" s="1350" customFormat="1">
      <c r="A110" s="1738">
        <f t="shared" si="3"/>
        <v>98</v>
      </c>
      <c r="B110" s="295"/>
      <c r="C110" s="166"/>
      <c r="D110" s="46"/>
      <c r="E110" s="179"/>
      <c r="F110" s="1424"/>
      <c r="G110" s="709"/>
      <c r="H110" s="167"/>
      <c r="I110" s="167"/>
      <c r="J110" s="167"/>
      <c r="K110" s="780"/>
      <c r="L110" s="154"/>
      <c r="M110" s="707"/>
      <c r="N110" s="707"/>
      <c r="O110" s="151"/>
      <c r="P110" s="577"/>
      <c r="Q110" s="577"/>
      <c r="R110" s="150"/>
      <c r="S110" s="1664"/>
      <c r="T110" s="1404"/>
      <c r="U110" s="1857"/>
      <c r="V110" s="2275"/>
      <c r="W110" s="1622"/>
      <c r="X110" s="1622"/>
      <c r="Y110" s="1622"/>
      <c r="Z110" s="1622"/>
      <c r="AA110" s="1903"/>
      <c r="AB110" s="1622"/>
      <c r="AC110" s="1709"/>
      <c r="AD110" s="1622"/>
      <c r="AE110" s="1690"/>
      <c r="AF110" s="1880"/>
      <c r="AG110" s="1905"/>
      <c r="AH110" s="1906"/>
      <c r="AJ110" s="1393"/>
    </row>
    <row r="111" spans="1:36" s="1350" customFormat="1">
      <c r="A111" s="1738">
        <f t="shared" si="3"/>
        <v>99</v>
      </c>
      <c r="B111" s="295"/>
      <c r="C111" s="166"/>
      <c r="D111" s="46"/>
      <c r="E111" s="179"/>
      <c r="F111" s="1424"/>
      <c r="G111" s="709"/>
      <c r="H111" s="167"/>
      <c r="I111" s="167"/>
      <c r="J111" s="167"/>
      <c r="K111" s="780"/>
      <c r="L111" s="154"/>
      <c r="M111" s="707"/>
      <c r="N111" s="707"/>
      <c r="O111" s="151"/>
      <c r="P111" s="577"/>
      <c r="Q111" s="577"/>
      <c r="R111" s="150"/>
      <c r="S111" s="1664"/>
      <c r="T111" s="1404"/>
      <c r="U111" s="1857"/>
      <c r="V111" s="2275"/>
      <c r="W111" s="1622"/>
      <c r="X111" s="1622"/>
      <c r="Y111" s="1622"/>
      <c r="Z111" s="1622"/>
      <c r="AA111" s="1903"/>
      <c r="AB111" s="1622"/>
      <c r="AC111" s="1709"/>
      <c r="AD111" s="1622"/>
      <c r="AE111" s="1690"/>
      <c r="AF111" s="1880"/>
      <c r="AG111" s="1905"/>
      <c r="AH111" s="1906"/>
      <c r="AJ111" s="1393"/>
    </row>
    <row r="112" spans="1:36" s="1350" customFormat="1">
      <c r="A112" s="1738">
        <f t="shared" si="3"/>
        <v>100</v>
      </c>
      <c r="B112" s="295"/>
      <c r="C112" s="166"/>
      <c r="D112" s="46"/>
      <c r="E112" s="179"/>
      <c r="F112" s="1424"/>
      <c r="G112" s="709"/>
      <c r="H112" s="167"/>
      <c r="I112" s="167"/>
      <c r="J112" s="167"/>
      <c r="K112" s="780"/>
      <c r="L112" s="154"/>
      <c r="M112" s="707"/>
      <c r="N112" s="707"/>
      <c r="O112" s="151"/>
      <c r="P112" s="577"/>
      <c r="Q112" s="577"/>
      <c r="R112" s="150"/>
      <c r="S112" s="1664"/>
      <c r="T112" s="1404"/>
      <c r="U112" s="1857"/>
      <c r="V112" s="2275"/>
      <c r="W112" s="1622"/>
      <c r="X112" s="1622"/>
      <c r="Y112" s="1622"/>
      <c r="Z112" s="1622"/>
      <c r="AA112" s="1903"/>
      <c r="AB112" s="1622"/>
      <c r="AC112" s="1709"/>
      <c r="AD112" s="1622"/>
      <c r="AE112" s="1690"/>
      <c r="AF112" s="1880"/>
      <c r="AG112" s="1905"/>
      <c r="AH112" s="1906"/>
      <c r="AJ112" s="1393"/>
    </row>
    <row r="113" spans="1:36" s="1350" customFormat="1">
      <c r="A113" s="1738">
        <f t="shared" si="3"/>
        <v>101</v>
      </c>
      <c r="B113" s="295"/>
      <c r="C113" s="166"/>
      <c r="D113" s="46"/>
      <c r="E113" s="179"/>
      <c r="F113" s="1424"/>
      <c r="G113" s="709"/>
      <c r="H113" s="167"/>
      <c r="I113" s="167"/>
      <c r="J113" s="167"/>
      <c r="K113" s="780"/>
      <c r="L113" s="154"/>
      <c r="M113" s="707"/>
      <c r="N113" s="707"/>
      <c r="O113" s="151"/>
      <c r="P113" s="577"/>
      <c r="Q113" s="577"/>
      <c r="R113" s="150"/>
      <c r="S113" s="1664"/>
      <c r="T113" s="1404"/>
      <c r="U113" s="1857"/>
      <c r="V113" s="2275"/>
      <c r="W113" s="1622"/>
      <c r="X113" s="1622"/>
      <c r="Y113" s="1622"/>
      <c r="Z113" s="1622"/>
      <c r="AA113" s="1903"/>
      <c r="AB113" s="1622"/>
      <c r="AC113" s="1709"/>
      <c r="AD113" s="1622"/>
      <c r="AE113" s="1690"/>
      <c r="AF113" s="1880"/>
      <c r="AG113" s="1905"/>
      <c r="AH113" s="1906"/>
      <c r="AJ113" s="1393"/>
    </row>
    <row r="114" spans="1:36" s="1350" customFormat="1">
      <c r="A114" s="1738">
        <f t="shared" si="3"/>
        <v>102</v>
      </c>
      <c r="B114" s="295"/>
      <c r="C114" s="166"/>
      <c r="D114" s="46"/>
      <c r="E114" s="179"/>
      <c r="F114" s="1424"/>
      <c r="G114" s="709"/>
      <c r="H114" s="167"/>
      <c r="I114" s="167"/>
      <c r="J114" s="167"/>
      <c r="K114" s="780"/>
      <c r="L114" s="154"/>
      <c r="M114" s="707"/>
      <c r="N114" s="707"/>
      <c r="O114" s="151"/>
      <c r="P114" s="577"/>
      <c r="Q114" s="577"/>
      <c r="R114" s="150"/>
      <c r="S114" s="1664"/>
      <c r="T114" s="1404"/>
      <c r="U114" s="1857"/>
      <c r="V114" s="2275"/>
      <c r="W114" s="1622"/>
      <c r="X114" s="1622"/>
      <c r="Y114" s="1622"/>
      <c r="Z114" s="1622"/>
      <c r="AA114" s="1903"/>
      <c r="AB114" s="1622"/>
      <c r="AC114" s="1709"/>
      <c r="AD114" s="1622"/>
      <c r="AE114" s="1690"/>
      <c r="AF114" s="1880"/>
      <c r="AG114" s="1905"/>
      <c r="AH114" s="1906"/>
      <c r="AJ114" s="1393"/>
    </row>
    <row r="115" spans="1:36" s="1350" customFormat="1">
      <c r="A115" s="1738">
        <f t="shared" si="3"/>
        <v>103</v>
      </c>
      <c r="B115" s="295"/>
      <c r="C115" s="166"/>
      <c r="D115" s="46"/>
      <c r="E115" s="179"/>
      <c r="F115" s="1424"/>
      <c r="G115" s="709"/>
      <c r="H115" s="167"/>
      <c r="I115" s="167"/>
      <c r="J115" s="167"/>
      <c r="K115" s="780"/>
      <c r="L115" s="154"/>
      <c r="M115" s="707"/>
      <c r="N115" s="707"/>
      <c r="O115" s="151"/>
      <c r="P115" s="577"/>
      <c r="Q115" s="577"/>
      <c r="R115" s="150"/>
      <c r="S115" s="1664"/>
      <c r="T115" s="1404"/>
      <c r="U115" s="1857"/>
      <c r="V115" s="2275"/>
      <c r="W115" s="1622"/>
      <c r="X115" s="1622"/>
      <c r="Y115" s="1622"/>
      <c r="Z115" s="1622"/>
      <c r="AA115" s="1903"/>
      <c r="AB115" s="1622"/>
      <c r="AC115" s="1709"/>
      <c r="AD115" s="1622"/>
      <c r="AE115" s="1690"/>
      <c r="AF115" s="1880"/>
      <c r="AG115" s="1905"/>
      <c r="AH115" s="1906"/>
      <c r="AJ115" s="1393"/>
    </row>
    <row r="116" spans="1:36" s="1350" customFormat="1">
      <c r="A116" s="1738">
        <f t="shared" si="3"/>
        <v>104</v>
      </c>
      <c r="B116" s="295"/>
      <c r="C116" s="166"/>
      <c r="D116" s="46"/>
      <c r="E116" s="179"/>
      <c r="F116" s="1424"/>
      <c r="G116" s="709"/>
      <c r="H116" s="167"/>
      <c r="I116" s="167"/>
      <c r="J116" s="167"/>
      <c r="K116" s="780"/>
      <c r="L116" s="154"/>
      <c r="M116" s="707"/>
      <c r="N116" s="707"/>
      <c r="O116" s="151"/>
      <c r="P116" s="577"/>
      <c r="Q116" s="577"/>
      <c r="R116" s="150"/>
      <c r="S116" s="1664"/>
      <c r="T116" s="1404"/>
      <c r="U116" s="1857"/>
      <c r="V116" s="2275"/>
      <c r="W116" s="1622"/>
      <c r="X116" s="1622"/>
      <c r="Y116" s="1622"/>
      <c r="Z116" s="1622"/>
      <c r="AA116" s="1903"/>
      <c r="AB116" s="1622"/>
      <c r="AC116" s="1709"/>
      <c r="AD116" s="1622"/>
      <c r="AE116" s="1690"/>
      <c r="AF116" s="1880"/>
      <c r="AG116" s="1905"/>
      <c r="AH116" s="1906"/>
      <c r="AJ116" s="1393"/>
    </row>
    <row r="117" spans="1:36" s="1350" customFormat="1">
      <c r="A117" s="1738">
        <f t="shared" si="3"/>
        <v>105</v>
      </c>
      <c r="B117" s="295"/>
      <c r="C117" s="166"/>
      <c r="D117" s="46"/>
      <c r="E117" s="179"/>
      <c r="F117" s="1424"/>
      <c r="G117" s="709"/>
      <c r="H117" s="167"/>
      <c r="I117" s="167"/>
      <c r="J117" s="167"/>
      <c r="K117" s="780"/>
      <c r="L117" s="154"/>
      <c r="M117" s="707"/>
      <c r="N117" s="707"/>
      <c r="O117" s="151"/>
      <c r="P117" s="577"/>
      <c r="Q117" s="577"/>
      <c r="R117" s="150"/>
      <c r="S117" s="1664"/>
      <c r="T117" s="1404"/>
      <c r="U117" s="1857"/>
      <c r="V117" s="2275"/>
      <c r="W117" s="1622"/>
      <c r="X117" s="1622"/>
      <c r="Y117" s="1622"/>
      <c r="Z117" s="1622"/>
      <c r="AA117" s="1903"/>
      <c r="AB117" s="1622"/>
      <c r="AC117" s="1709"/>
      <c r="AD117" s="1622"/>
      <c r="AE117" s="1690"/>
      <c r="AF117" s="1880"/>
      <c r="AG117" s="1905"/>
      <c r="AH117" s="1906"/>
      <c r="AJ117" s="1393"/>
    </row>
    <row r="118" spans="1:36" s="1350" customFormat="1">
      <c r="A118" s="1738">
        <f t="shared" si="3"/>
        <v>106</v>
      </c>
      <c r="B118" s="295"/>
      <c r="C118" s="166"/>
      <c r="D118" s="46"/>
      <c r="E118" s="179"/>
      <c r="F118" s="1424"/>
      <c r="G118" s="709"/>
      <c r="H118" s="167"/>
      <c r="I118" s="167"/>
      <c r="J118" s="167"/>
      <c r="K118" s="780"/>
      <c r="L118" s="154"/>
      <c r="M118" s="707"/>
      <c r="N118" s="707"/>
      <c r="O118" s="151"/>
      <c r="P118" s="577"/>
      <c r="Q118" s="577"/>
      <c r="R118" s="150"/>
      <c r="S118" s="1664"/>
      <c r="T118" s="1404"/>
      <c r="U118" s="1857"/>
      <c r="V118" s="2275"/>
      <c r="W118" s="1622"/>
      <c r="X118" s="1622"/>
      <c r="Y118" s="1622"/>
      <c r="Z118" s="1622"/>
      <c r="AA118" s="1903"/>
      <c r="AB118" s="1622"/>
      <c r="AC118" s="1709"/>
      <c r="AD118" s="1622"/>
      <c r="AE118" s="1690"/>
      <c r="AF118" s="1880"/>
      <c r="AG118" s="1905"/>
      <c r="AH118" s="1906"/>
      <c r="AJ118" s="1393"/>
    </row>
    <row r="119" spans="1:36" s="1350" customFormat="1">
      <c r="A119" s="1738">
        <f t="shared" si="3"/>
        <v>107</v>
      </c>
      <c r="B119" s="295"/>
      <c r="C119" s="166"/>
      <c r="D119" s="46"/>
      <c r="E119" s="179"/>
      <c r="F119" s="1424"/>
      <c r="G119" s="709"/>
      <c r="H119" s="167"/>
      <c r="I119" s="167"/>
      <c r="J119" s="167"/>
      <c r="K119" s="780"/>
      <c r="L119" s="154"/>
      <c r="M119" s="707"/>
      <c r="N119" s="707"/>
      <c r="O119" s="151"/>
      <c r="P119" s="577"/>
      <c r="Q119" s="577"/>
      <c r="R119" s="150"/>
      <c r="S119" s="1664"/>
      <c r="T119" s="1404"/>
      <c r="U119" s="1857"/>
      <c r="V119" s="2275"/>
      <c r="W119" s="1622"/>
      <c r="X119" s="1622"/>
      <c r="Y119" s="1622"/>
      <c r="Z119" s="1622"/>
      <c r="AA119" s="1903"/>
      <c r="AB119" s="1622"/>
      <c r="AC119" s="1709"/>
      <c r="AD119" s="1622"/>
      <c r="AE119" s="1690"/>
      <c r="AF119" s="1880"/>
      <c r="AG119" s="1905"/>
      <c r="AH119" s="1906"/>
      <c r="AJ119" s="1393"/>
    </row>
    <row r="120" spans="1:36" s="1350" customFormat="1">
      <c r="A120" s="1738">
        <f t="shared" si="3"/>
        <v>108</v>
      </c>
      <c r="B120" s="295"/>
      <c r="C120" s="166"/>
      <c r="D120" s="46"/>
      <c r="E120" s="179"/>
      <c r="F120" s="1424"/>
      <c r="G120" s="709"/>
      <c r="H120" s="167"/>
      <c r="I120" s="167"/>
      <c r="J120" s="167"/>
      <c r="K120" s="780"/>
      <c r="L120" s="154"/>
      <c r="M120" s="707"/>
      <c r="N120" s="707"/>
      <c r="O120" s="151"/>
      <c r="P120" s="577"/>
      <c r="Q120" s="577"/>
      <c r="R120" s="150"/>
      <c r="S120" s="1664"/>
      <c r="T120" s="1404"/>
      <c r="U120" s="1857"/>
      <c r="V120" s="2275"/>
      <c r="W120" s="1622"/>
      <c r="X120" s="1622"/>
      <c r="Y120" s="1622"/>
      <c r="Z120" s="1622"/>
      <c r="AA120" s="1903"/>
      <c r="AB120" s="1622"/>
      <c r="AC120" s="1709"/>
      <c r="AD120" s="1622"/>
      <c r="AE120" s="1690"/>
      <c r="AF120" s="1880"/>
      <c r="AG120" s="1905"/>
      <c r="AH120" s="1906"/>
      <c r="AJ120" s="1393"/>
    </row>
    <row r="121" spans="1:36" s="1350" customFormat="1">
      <c r="A121" s="1738">
        <f t="shared" si="3"/>
        <v>109</v>
      </c>
      <c r="B121" s="295"/>
      <c r="C121" s="166"/>
      <c r="D121" s="46"/>
      <c r="E121" s="179"/>
      <c r="F121" s="1424"/>
      <c r="G121" s="709"/>
      <c r="H121" s="167"/>
      <c r="I121" s="167"/>
      <c r="J121" s="167"/>
      <c r="K121" s="780"/>
      <c r="L121" s="154"/>
      <c r="M121" s="707"/>
      <c r="N121" s="707"/>
      <c r="O121" s="151"/>
      <c r="P121" s="577"/>
      <c r="Q121" s="577"/>
      <c r="R121" s="150"/>
      <c r="S121" s="1664"/>
      <c r="T121" s="1404"/>
      <c r="U121" s="1857"/>
      <c r="V121" s="2275"/>
      <c r="W121" s="1622"/>
      <c r="X121" s="1622"/>
      <c r="Y121" s="1622"/>
      <c r="Z121" s="1622"/>
      <c r="AA121" s="1903"/>
      <c r="AB121" s="1622"/>
      <c r="AC121" s="1709"/>
      <c r="AD121" s="1622"/>
      <c r="AE121" s="1690"/>
      <c r="AF121" s="1880"/>
      <c r="AG121" s="1905"/>
      <c r="AH121" s="1906"/>
      <c r="AJ121" s="1393"/>
    </row>
    <row r="122" spans="1:36" s="1350" customFormat="1">
      <c r="A122" s="1738">
        <f t="shared" si="3"/>
        <v>110</v>
      </c>
      <c r="B122" s="295"/>
      <c r="C122" s="166"/>
      <c r="D122" s="46"/>
      <c r="E122" s="179"/>
      <c r="F122" s="1424"/>
      <c r="G122" s="709"/>
      <c r="H122" s="167"/>
      <c r="I122" s="167"/>
      <c r="J122" s="167"/>
      <c r="K122" s="780"/>
      <c r="L122" s="154"/>
      <c r="M122" s="707"/>
      <c r="N122" s="707"/>
      <c r="O122" s="151"/>
      <c r="P122" s="577"/>
      <c r="Q122" s="577"/>
      <c r="R122" s="150"/>
      <c r="S122" s="1664"/>
      <c r="T122" s="1404"/>
      <c r="U122" s="1857"/>
      <c r="V122" s="2275"/>
      <c r="W122" s="1622"/>
      <c r="X122" s="1622"/>
      <c r="Y122" s="1622"/>
      <c r="Z122" s="1622"/>
      <c r="AA122" s="1903"/>
      <c r="AB122" s="1622"/>
      <c r="AC122" s="1709"/>
      <c r="AD122" s="1622"/>
      <c r="AE122" s="1690"/>
      <c r="AF122" s="1880"/>
      <c r="AG122" s="1905"/>
      <c r="AH122" s="1906"/>
      <c r="AJ122" s="1393"/>
    </row>
    <row r="123" spans="1:36" s="1350" customFormat="1">
      <c r="A123" s="1738">
        <f t="shared" si="3"/>
        <v>111</v>
      </c>
      <c r="B123" s="295"/>
      <c r="C123" s="166"/>
      <c r="D123" s="46"/>
      <c r="E123" s="179"/>
      <c r="F123" s="1424"/>
      <c r="G123" s="709"/>
      <c r="H123" s="167"/>
      <c r="I123" s="167"/>
      <c r="J123" s="167"/>
      <c r="K123" s="780"/>
      <c r="L123" s="154"/>
      <c r="M123" s="707"/>
      <c r="N123" s="707"/>
      <c r="O123" s="151"/>
      <c r="P123" s="577"/>
      <c r="Q123" s="577"/>
      <c r="R123" s="150"/>
      <c r="S123" s="1664"/>
      <c r="T123" s="1404"/>
      <c r="U123" s="1857"/>
      <c r="V123" s="2275"/>
      <c r="W123" s="1622"/>
      <c r="X123" s="1622"/>
      <c r="Y123" s="1622"/>
      <c r="Z123" s="1622"/>
      <c r="AA123" s="1903"/>
      <c r="AB123" s="1622"/>
      <c r="AC123" s="1709"/>
      <c r="AD123" s="1622"/>
      <c r="AE123" s="1690"/>
      <c r="AF123" s="1880"/>
      <c r="AG123" s="1905"/>
      <c r="AH123" s="1906"/>
      <c r="AJ123" s="1393"/>
    </row>
    <row r="124" spans="1:36" s="1350" customFormat="1">
      <c r="A124" s="1738">
        <f t="shared" si="3"/>
        <v>112</v>
      </c>
      <c r="B124" s="295"/>
      <c r="C124" s="166"/>
      <c r="D124" s="46"/>
      <c r="E124" s="179"/>
      <c r="F124" s="1424"/>
      <c r="G124" s="709"/>
      <c r="H124" s="167"/>
      <c r="I124" s="167"/>
      <c r="J124" s="167"/>
      <c r="K124" s="780"/>
      <c r="L124" s="154"/>
      <c r="M124" s="707"/>
      <c r="N124" s="707"/>
      <c r="O124" s="151"/>
      <c r="P124" s="577"/>
      <c r="Q124" s="577"/>
      <c r="R124" s="150"/>
      <c r="S124" s="1664"/>
      <c r="T124" s="1404"/>
      <c r="U124" s="1857"/>
      <c r="V124" s="2275"/>
      <c r="W124" s="1622"/>
      <c r="X124" s="1622"/>
      <c r="Y124" s="1622"/>
      <c r="Z124" s="1622"/>
      <c r="AA124" s="1903"/>
      <c r="AB124" s="1622"/>
      <c r="AC124" s="1709"/>
      <c r="AD124" s="1622"/>
      <c r="AE124" s="1690"/>
      <c r="AF124" s="1880"/>
      <c r="AG124" s="1905"/>
      <c r="AH124" s="1906"/>
      <c r="AJ124" s="1393"/>
    </row>
    <row r="125" spans="1:36" s="1350" customFormat="1">
      <c r="A125" s="1738">
        <f t="shared" si="3"/>
        <v>113</v>
      </c>
      <c r="B125" s="295"/>
      <c r="C125" s="166"/>
      <c r="D125" s="46"/>
      <c r="E125" s="179"/>
      <c r="F125" s="1424"/>
      <c r="G125" s="709"/>
      <c r="H125" s="167"/>
      <c r="I125" s="167"/>
      <c r="J125" s="167"/>
      <c r="K125" s="780"/>
      <c r="L125" s="154"/>
      <c r="M125" s="707"/>
      <c r="N125" s="707"/>
      <c r="O125" s="151"/>
      <c r="P125" s="577"/>
      <c r="Q125" s="577"/>
      <c r="R125" s="150"/>
      <c r="S125" s="1664"/>
      <c r="T125" s="1404"/>
      <c r="U125" s="1857"/>
      <c r="V125" s="2275"/>
      <c r="W125" s="1622"/>
      <c r="X125" s="1622"/>
      <c r="Y125" s="1622"/>
      <c r="Z125" s="1622"/>
      <c r="AA125" s="1903"/>
      <c r="AB125" s="1622"/>
      <c r="AC125" s="1709"/>
      <c r="AD125" s="1622"/>
      <c r="AE125" s="1690"/>
      <c r="AF125" s="1880"/>
      <c r="AG125" s="1905"/>
      <c r="AH125" s="1906"/>
      <c r="AJ125" s="1393"/>
    </row>
    <row r="126" spans="1:36" s="1350" customFormat="1">
      <c r="A126" s="1738">
        <f t="shared" si="3"/>
        <v>114</v>
      </c>
      <c r="B126" s="295"/>
      <c r="C126" s="166"/>
      <c r="D126" s="46"/>
      <c r="E126" s="179"/>
      <c r="F126" s="1424"/>
      <c r="G126" s="709"/>
      <c r="H126" s="167"/>
      <c r="I126" s="167"/>
      <c r="J126" s="167"/>
      <c r="K126" s="1297"/>
      <c r="L126" s="154"/>
      <c r="M126" s="707"/>
      <c r="N126" s="707"/>
      <c r="O126" s="151"/>
      <c r="P126" s="577"/>
      <c r="Q126" s="577"/>
      <c r="R126" s="150"/>
      <c r="S126" s="1664"/>
      <c r="T126" s="1404"/>
      <c r="U126" s="1903"/>
      <c r="V126" s="2275"/>
      <c r="W126" s="1709"/>
      <c r="X126" s="1709"/>
      <c r="Y126" s="1709"/>
      <c r="Z126" s="1709"/>
      <c r="AA126" s="1903"/>
      <c r="AB126" s="1709"/>
      <c r="AC126" s="1709"/>
      <c r="AD126" s="1709"/>
      <c r="AE126" s="1908"/>
      <c r="AF126" s="1909"/>
      <c r="AG126" s="1910"/>
      <c r="AH126" s="1906"/>
      <c r="AJ126" s="1393"/>
    </row>
    <row r="127" spans="1:36" s="1350" customFormat="1">
      <c r="A127" s="1738">
        <f t="shared" si="3"/>
        <v>115</v>
      </c>
      <c r="B127" s="1356"/>
      <c r="C127" s="166"/>
      <c r="D127" s="46"/>
      <c r="E127" s="179"/>
      <c r="F127" s="1424"/>
      <c r="G127" s="709"/>
      <c r="H127" s="1321"/>
      <c r="I127" s="1321"/>
      <c r="J127" s="1321"/>
      <c r="K127" s="1371"/>
      <c r="L127" s="154"/>
      <c r="M127" s="707"/>
      <c r="N127" s="707"/>
      <c r="O127" s="151"/>
      <c r="P127" s="577"/>
      <c r="Q127" s="577"/>
      <c r="R127" s="150"/>
      <c r="S127" s="1664"/>
      <c r="T127" s="1404"/>
      <c r="U127" s="1903"/>
      <c r="V127" s="2275"/>
      <c r="W127" s="1709"/>
      <c r="X127" s="1709"/>
      <c r="Y127" s="1709"/>
      <c r="Z127" s="1709"/>
      <c r="AA127" s="1903"/>
      <c r="AB127" s="1709"/>
      <c r="AC127" s="1709"/>
      <c r="AD127" s="1709"/>
      <c r="AE127" s="1908"/>
      <c r="AF127" s="1909"/>
      <c r="AG127" s="1910"/>
      <c r="AH127" s="1906"/>
      <c r="AJ127" s="1393"/>
    </row>
    <row r="128" spans="1:36" s="1350" customFormat="1">
      <c r="A128" s="1"/>
      <c r="B128" s="6"/>
      <c r="C128" s="4"/>
      <c r="D128" s="3"/>
      <c r="E128" s="4"/>
      <c r="F128" s="4"/>
      <c r="G128" s="4"/>
      <c r="H128" s="6"/>
      <c r="I128" s="6"/>
      <c r="J128" s="6"/>
      <c r="K128" s="11"/>
      <c r="L128" s="5"/>
      <c r="M128" s="5"/>
      <c r="N128" s="5"/>
      <c r="O128" s="7"/>
      <c r="P128" s="5"/>
      <c r="Q128" s="5"/>
      <c r="R128" s="6"/>
      <c r="S128" s="1"/>
      <c r="T128" s="6"/>
      <c r="U128" s="1878"/>
      <c r="V128" s="1878"/>
      <c r="W128" s="1877"/>
      <c r="X128" s="1877"/>
      <c r="Y128" s="1877"/>
      <c r="Z128" s="1877"/>
      <c r="AA128" s="1878"/>
      <c r="AB128" s="1877"/>
      <c r="AC128" s="1877"/>
      <c r="AD128" s="1877"/>
      <c r="AE128" s="1911"/>
      <c r="AF128" s="1912"/>
      <c r="AG128" s="1881"/>
      <c r="AH128" s="1913"/>
      <c r="AJ128" s="1393"/>
    </row>
    <row r="129" spans="1:36" s="1350" customFormat="1">
      <c r="A129" s="1"/>
      <c r="B129" s="6"/>
      <c r="C129" s="4"/>
      <c r="D129" s="3"/>
      <c r="E129" s="4"/>
      <c r="F129" s="4"/>
      <c r="G129" s="4"/>
      <c r="H129" s="6"/>
      <c r="I129" s="6"/>
      <c r="J129" s="6"/>
      <c r="K129" s="11"/>
      <c r="L129" s="5"/>
      <c r="M129" s="5"/>
      <c r="N129" s="5"/>
      <c r="O129" s="7"/>
      <c r="P129" s="5"/>
      <c r="Q129" s="5"/>
      <c r="R129" s="6"/>
      <c r="S129" s="1"/>
      <c r="T129" s="6"/>
      <c r="U129" s="1878"/>
      <c r="V129" s="1878"/>
      <c r="W129" s="1877"/>
      <c r="X129" s="1877"/>
      <c r="Y129" s="1877"/>
      <c r="Z129" s="1877"/>
      <c r="AA129" s="1878"/>
      <c r="AB129" s="1877"/>
      <c r="AC129" s="1877"/>
      <c r="AD129" s="1877"/>
      <c r="AE129" s="1911"/>
      <c r="AF129" s="1912"/>
      <c r="AG129" s="1881"/>
      <c r="AH129" s="1913"/>
      <c r="AJ129" s="1393"/>
    </row>
    <row r="130" spans="1:36" s="1350" customFormat="1">
      <c r="A130" s="1"/>
      <c r="B130" s="6"/>
      <c r="C130" s="4"/>
      <c r="D130" s="3"/>
      <c r="E130" s="4"/>
      <c r="F130" s="4"/>
      <c r="G130" s="4"/>
      <c r="H130" s="6"/>
      <c r="I130" s="6"/>
      <c r="J130" s="6"/>
      <c r="K130" s="11"/>
      <c r="L130" s="5"/>
      <c r="M130" s="5"/>
      <c r="N130" s="5"/>
      <c r="O130" s="7"/>
      <c r="P130" s="5"/>
      <c r="Q130" s="5"/>
      <c r="R130" s="6"/>
      <c r="S130" s="1"/>
      <c r="T130" s="6"/>
      <c r="U130" s="1878"/>
      <c r="V130" s="1878"/>
      <c r="W130" s="1877"/>
      <c r="X130" s="1877"/>
      <c r="Y130" s="1877"/>
      <c r="Z130" s="1877"/>
      <c r="AA130" s="1878"/>
      <c r="AB130" s="1877"/>
      <c r="AC130" s="1877"/>
      <c r="AD130" s="1877"/>
      <c r="AE130" s="1911"/>
      <c r="AF130" s="1912"/>
      <c r="AG130" s="1881"/>
      <c r="AH130" s="1913"/>
      <c r="AJ130" s="1393"/>
    </row>
    <row r="131" spans="1:36" s="1350" customFormat="1">
      <c r="A131" s="1"/>
      <c r="B131" s="6"/>
      <c r="C131" s="4"/>
      <c r="D131" s="3"/>
      <c r="E131" s="4"/>
      <c r="F131" s="4"/>
      <c r="G131" s="4"/>
      <c r="H131" s="6"/>
      <c r="I131" s="6"/>
      <c r="J131" s="6"/>
      <c r="K131" s="11"/>
      <c r="L131" s="5"/>
      <c r="M131" s="5"/>
      <c r="N131" s="5"/>
      <c r="O131" s="7"/>
      <c r="P131" s="5"/>
      <c r="Q131" s="5"/>
      <c r="R131" s="6"/>
      <c r="S131" s="1"/>
      <c r="T131" s="6"/>
      <c r="U131" s="1878"/>
      <c r="V131" s="1878"/>
      <c r="W131" s="1877"/>
      <c r="X131" s="1877"/>
      <c r="Y131" s="1877"/>
      <c r="Z131" s="1877"/>
      <c r="AA131" s="1878"/>
      <c r="AB131" s="1877"/>
      <c r="AC131" s="1877"/>
      <c r="AD131" s="1877"/>
      <c r="AE131" s="1911"/>
      <c r="AF131" s="1912"/>
      <c r="AG131" s="1881"/>
      <c r="AH131" s="1913"/>
      <c r="AJ131" s="1393"/>
    </row>
    <row r="132" spans="1:36" s="1350" customFormat="1">
      <c r="A132" s="1"/>
      <c r="B132" s="6"/>
      <c r="C132" s="4"/>
      <c r="D132" s="3"/>
      <c r="E132" s="4"/>
      <c r="F132" s="4"/>
      <c r="G132" s="4"/>
      <c r="H132" s="6"/>
      <c r="I132" s="6"/>
      <c r="J132" s="6"/>
      <c r="K132" s="11"/>
      <c r="L132" s="5"/>
      <c r="M132" s="5"/>
      <c r="N132" s="5"/>
      <c r="O132" s="7"/>
      <c r="P132" s="5"/>
      <c r="Q132" s="5"/>
      <c r="R132" s="6"/>
      <c r="S132" s="1"/>
      <c r="T132" s="6"/>
      <c r="U132" s="1878"/>
      <c r="V132" s="1878"/>
      <c r="W132" s="1877"/>
      <c r="X132" s="1877"/>
      <c r="Y132" s="1877"/>
      <c r="Z132" s="1877"/>
      <c r="AA132" s="1878"/>
      <c r="AB132" s="1877"/>
      <c r="AC132" s="1877"/>
      <c r="AD132" s="1877"/>
      <c r="AE132" s="1911"/>
      <c r="AF132" s="1912"/>
      <c r="AG132" s="1881"/>
      <c r="AH132" s="1913"/>
      <c r="AJ132" s="1393"/>
    </row>
    <row r="133" spans="1:36" s="1350" customFormat="1">
      <c r="A133" s="1"/>
      <c r="B133" s="6"/>
      <c r="C133" s="4"/>
      <c r="D133" s="3"/>
      <c r="E133" s="4"/>
      <c r="F133" s="4"/>
      <c r="G133" s="4"/>
      <c r="H133" s="6"/>
      <c r="I133" s="6"/>
      <c r="J133" s="6"/>
      <c r="K133" s="11"/>
      <c r="L133" s="5"/>
      <c r="M133" s="5"/>
      <c r="N133" s="5"/>
      <c r="O133" s="7"/>
      <c r="P133" s="5"/>
      <c r="Q133" s="5"/>
      <c r="R133" s="6"/>
      <c r="S133" s="1"/>
      <c r="T133" s="6"/>
      <c r="U133" s="1878"/>
      <c r="V133" s="1878"/>
      <c r="W133" s="1877"/>
      <c r="X133" s="1877"/>
      <c r="Y133" s="1877"/>
      <c r="Z133" s="1877"/>
      <c r="AA133" s="1878"/>
      <c r="AB133" s="1877"/>
      <c r="AC133" s="1877"/>
      <c r="AD133" s="1877"/>
      <c r="AE133" s="1911"/>
      <c r="AF133" s="1912"/>
      <c r="AG133" s="1881"/>
      <c r="AH133" s="1913"/>
      <c r="AJ133" s="1393"/>
    </row>
    <row r="134" spans="1:36" s="1350" customFormat="1">
      <c r="A134" s="1"/>
      <c r="B134" s="6"/>
      <c r="C134" s="4"/>
      <c r="D134" s="3"/>
      <c r="E134" s="4"/>
      <c r="F134" s="4"/>
      <c r="G134" s="4"/>
      <c r="H134" s="6"/>
      <c r="I134" s="6"/>
      <c r="J134" s="6"/>
      <c r="K134" s="11"/>
      <c r="L134" s="5"/>
      <c r="M134" s="5"/>
      <c r="N134" s="5"/>
      <c r="O134" s="7"/>
      <c r="P134" s="5"/>
      <c r="Q134" s="5"/>
      <c r="R134" s="6"/>
      <c r="S134" s="1"/>
      <c r="T134" s="6"/>
      <c r="U134" s="1878"/>
      <c r="V134" s="1878"/>
      <c r="W134" s="1877"/>
      <c r="X134" s="1877"/>
      <c r="Y134" s="1877"/>
      <c r="Z134" s="1877"/>
      <c r="AA134" s="1878"/>
      <c r="AB134" s="1877"/>
      <c r="AC134" s="1877"/>
      <c r="AD134" s="1877"/>
      <c r="AE134" s="1911"/>
      <c r="AF134" s="1912"/>
      <c r="AG134" s="1881"/>
      <c r="AH134" s="1913"/>
      <c r="AJ134" s="1393"/>
    </row>
    <row r="135" spans="1:36" s="1350" customFormat="1">
      <c r="A135" s="1"/>
      <c r="B135" s="6"/>
      <c r="C135" s="4"/>
      <c r="D135" s="3"/>
      <c r="E135" s="4"/>
      <c r="F135" s="4"/>
      <c r="G135" s="4"/>
      <c r="H135" s="6"/>
      <c r="I135" s="6"/>
      <c r="J135" s="6"/>
      <c r="K135" s="11"/>
      <c r="L135" s="5"/>
      <c r="M135" s="5"/>
      <c r="N135" s="5"/>
      <c r="O135" s="7"/>
      <c r="P135" s="5"/>
      <c r="Q135" s="5"/>
      <c r="R135" s="6"/>
      <c r="S135" s="1"/>
      <c r="T135" s="6"/>
      <c r="U135" s="1878"/>
      <c r="V135" s="1878"/>
      <c r="W135" s="1877"/>
      <c r="X135" s="1877"/>
      <c r="Y135" s="1877"/>
      <c r="Z135" s="1877"/>
      <c r="AA135" s="1878"/>
      <c r="AB135" s="1877"/>
      <c r="AC135" s="1877"/>
      <c r="AD135" s="1877"/>
      <c r="AE135" s="1911"/>
      <c r="AF135" s="1912"/>
      <c r="AG135" s="1881"/>
      <c r="AH135" s="1913"/>
      <c r="AJ135" s="1393"/>
    </row>
    <row r="136" spans="1:36" s="1350" customFormat="1">
      <c r="A136" s="1"/>
      <c r="B136" s="6"/>
      <c r="C136" s="4"/>
      <c r="D136" s="3"/>
      <c r="E136" s="4"/>
      <c r="F136" s="4"/>
      <c r="G136" s="4"/>
      <c r="H136" s="6"/>
      <c r="I136" s="6"/>
      <c r="J136" s="6"/>
      <c r="K136" s="11"/>
      <c r="L136" s="5"/>
      <c r="M136" s="5"/>
      <c r="N136" s="5"/>
      <c r="O136" s="7"/>
      <c r="P136" s="5"/>
      <c r="Q136" s="5"/>
      <c r="R136" s="6"/>
      <c r="S136" s="1"/>
      <c r="T136" s="6"/>
      <c r="U136" s="1878"/>
      <c r="V136" s="1878"/>
      <c r="W136" s="1877"/>
      <c r="X136" s="1877"/>
      <c r="Y136" s="1877"/>
      <c r="Z136" s="1877"/>
      <c r="AA136" s="1878"/>
      <c r="AB136" s="1877"/>
      <c r="AC136" s="1877"/>
      <c r="AD136" s="1877"/>
      <c r="AE136" s="1911"/>
      <c r="AF136" s="1912"/>
      <c r="AG136" s="1881"/>
      <c r="AH136" s="1913"/>
      <c r="AJ136" s="1393"/>
    </row>
    <row r="137" spans="1:36" s="1350" customFormat="1">
      <c r="A137" s="1"/>
      <c r="B137" s="6"/>
      <c r="C137" s="4"/>
      <c r="D137" s="3"/>
      <c r="E137" s="4"/>
      <c r="F137" s="4"/>
      <c r="G137" s="4"/>
      <c r="H137" s="6"/>
      <c r="I137" s="6"/>
      <c r="J137" s="6"/>
      <c r="K137" s="11"/>
      <c r="L137" s="5"/>
      <c r="M137" s="5"/>
      <c r="N137" s="5"/>
      <c r="O137" s="7"/>
      <c r="P137" s="5"/>
      <c r="Q137" s="5"/>
      <c r="R137" s="6"/>
      <c r="S137" s="1"/>
      <c r="T137" s="6"/>
      <c r="U137" s="1878"/>
      <c r="V137" s="1878"/>
      <c r="W137" s="1877"/>
      <c r="X137" s="1877"/>
      <c r="Y137" s="1877"/>
      <c r="Z137" s="1877"/>
      <c r="AA137" s="1878"/>
      <c r="AB137" s="1877"/>
      <c r="AC137" s="1877"/>
      <c r="AD137" s="1877"/>
      <c r="AE137" s="1911"/>
      <c r="AF137" s="1912"/>
      <c r="AG137" s="1881"/>
      <c r="AH137" s="1913"/>
      <c r="AJ137" s="1393"/>
    </row>
    <row r="138" spans="1:36" s="1350" customFormat="1">
      <c r="A138" s="1"/>
      <c r="B138" s="6"/>
      <c r="C138" s="4"/>
      <c r="D138" s="3"/>
      <c r="E138" s="4"/>
      <c r="F138" s="4"/>
      <c r="G138" s="4"/>
      <c r="H138" s="6"/>
      <c r="I138" s="6"/>
      <c r="J138" s="6"/>
      <c r="K138" s="11"/>
      <c r="L138" s="5"/>
      <c r="M138" s="5"/>
      <c r="N138" s="5"/>
      <c r="O138" s="7"/>
      <c r="P138" s="5"/>
      <c r="Q138" s="5"/>
      <c r="R138" s="6"/>
      <c r="S138" s="1"/>
      <c r="T138" s="6"/>
      <c r="U138" s="1878"/>
      <c r="V138" s="1878"/>
      <c r="W138" s="1877"/>
      <c r="X138" s="1877"/>
      <c r="Y138" s="1877"/>
      <c r="Z138" s="1877"/>
      <c r="AA138" s="1878"/>
      <c r="AB138" s="1877"/>
      <c r="AC138" s="1877"/>
      <c r="AD138" s="1877"/>
      <c r="AE138" s="1911"/>
      <c r="AF138" s="1912"/>
      <c r="AG138" s="1881"/>
      <c r="AH138" s="1913"/>
      <c r="AJ138" s="1393"/>
    </row>
    <row r="139" spans="1:36" s="1350" customFormat="1">
      <c r="A139" s="1"/>
      <c r="B139" s="6"/>
      <c r="C139" s="4"/>
      <c r="D139" s="3"/>
      <c r="E139" s="4"/>
      <c r="F139" s="4"/>
      <c r="G139" s="4"/>
      <c r="H139" s="6"/>
      <c r="I139" s="6"/>
      <c r="J139" s="6"/>
      <c r="K139" s="11"/>
      <c r="L139" s="5"/>
      <c r="M139" s="5"/>
      <c r="N139" s="5"/>
      <c r="O139" s="7"/>
      <c r="P139" s="5"/>
      <c r="Q139" s="5"/>
      <c r="R139" s="6"/>
      <c r="S139" s="1"/>
      <c r="T139" s="6"/>
      <c r="U139" s="1878"/>
      <c r="V139" s="1878"/>
      <c r="W139" s="1877"/>
      <c r="X139" s="1877"/>
      <c r="Y139" s="1877"/>
      <c r="Z139" s="1877"/>
      <c r="AA139" s="1878"/>
      <c r="AB139" s="1877"/>
      <c r="AC139" s="1877"/>
      <c r="AD139" s="1877"/>
      <c r="AE139" s="1911"/>
      <c r="AF139" s="1912"/>
      <c r="AG139" s="1881"/>
      <c r="AH139" s="1913"/>
      <c r="AJ139" s="1393"/>
    </row>
    <row r="140" spans="1:36" s="1350" customFormat="1">
      <c r="A140" s="1"/>
      <c r="B140" s="6"/>
      <c r="C140" s="4"/>
      <c r="D140" s="3"/>
      <c r="E140" s="4"/>
      <c r="F140" s="4"/>
      <c r="G140" s="4"/>
      <c r="H140" s="6"/>
      <c r="I140" s="6"/>
      <c r="J140" s="6"/>
      <c r="K140" s="11"/>
      <c r="L140" s="5"/>
      <c r="M140" s="5"/>
      <c r="N140" s="5"/>
      <c r="O140" s="7"/>
      <c r="P140" s="5"/>
      <c r="Q140" s="5"/>
      <c r="R140" s="6"/>
      <c r="S140" s="1"/>
      <c r="T140" s="6"/>
      <c r="U140" s="1878"/>
      <c r="V140" s="1878"/>
      <c r="W140" s="1877"/>
      <c r="X140" s="1877"/>
      <c r="Y140" s="1877"/>
      <c r="Z140" s="1877"/>
      <c r="AA140" s="1878"/>
      <c r="AB140" s="1877"/>
      <c r="AC140" s="1877"/>
      <c r="AD140" s="1877"/>
      <c r="AE140" s="1911"/>
      <c r="AF140" s="1912"/>
      <c r="AG140" s="1881"/>
      <c r="AH140" s="1913"/>
      <c r="AJ140" s="1393"/>
    </row>
    <row r="141" spans="1:36" s="1350" customFormat="1">
      <c r="A141" s="1"/>
      <c r="B141" s="6"/>
      <c r="C141" s="4"/>
      <c r="D141" s="3"/>
      <c r="E141" s="4"/>
      <c r="F141" s="4"/>
      <c r="G141" s="4"/>
      <c r="H141" s="6"/>
      <c r="I141" s="6"/>
      <c r="J141" s="6"/>
      <c r="K141" s="11"/>
      <c r="L141" s="5"/>
      <c r="M141" s="5"/>
      <c r="N141" s="5"/>
      <c r="O141" s="7"/>
      <c r="P141" s="5"/>
      <c r="Q141" s="5"/>
      <c r="R141" s="6"/>
      <c r="S141" s="1"/>
      <c r="T141" s="6"/>
      <c r="U141" s="1878"/>
      <c r="V141" s="1878"/>
      <c r="W141" s="1877"/>
      <c r="X141" s="1877"/>
      <c r="Y141" s="1877"/>
      <c r="Z141" s="1877"/>
      <c r="AA141" s="1878"/>
      <c r="AB141" s="1877"/>
      <c r="AC141" s="1877"/>
      <c r="AD141" s="1877"/>
      <c r="AE141" s="1911"/>
      <c r="AF141" s="1912"/>
      <c r="AG141" s="1881"/>
      <c r="AH141" s="1913"/>
      <c r="AJ141" s="1393"/>
    </row>
    <row r="142" spans="1:36" s="1350" customFormat="1">
      <c r="A142" s="1"/>
      <c r="B142" s="6"/>
      <c r="C142" s="4"/>
      <c r="D142" s="3"/>
      <c r="E142" s="4"/>
      <c r="F142" s="4"/>
      <c r="G142" s="4"/>
      <c r="H142" s="6"/>
      <c r="I142" s="6"/>
      <c r="J142" s="6"/>
      <c r="K142" s="11"/>
      <c r="L142" s="5"/>
      <c r="M142" s="5"/>
      <c r="N142" s="5"/>
      <c r="O142" s="7"/>
      <c r="P142" s="5"/>
      <c r="Q142" s="5"/>
      <c r="R142" s="6"/>
      <c r="S142" s="1"/>
      <c r="T142" s="6"/>
      <c r="U142" s="1878"/>
      <c r="V142" s="1878"/>
      <c r="W142" s="1877"/>
      <c r="X142" s="1877"/>
      <c r="Y142" s="1877"/>
      <c r="Z142" s="1877"/>
      <c r="AA142" s="1878"/>
      <c r="AB142" s="1877"/>
      <c r="AC142" s="1877"/>
      <c r="AD142" s="1877"/>
      <c r="AE142" s="1911"/>
      <c r="AF142" s="1912"/>
      <c r="AG142" s="1881"/>
      <c r="AH142" s="1913"/>
      <c r="AJ142" s="1393"/>
    </row>
    <row r="143" spans="1:36" s="1350" customFormat="1">
      <c r="A143" s="1"/>
      <c r="B143" s="6"/>
      <c r="C143" s="4"/>
      <c r="D143" s="3"/>
      <c r="E143" s="4"/>
      <c r="F143" s="4"/>
      <c r="G143" s="4"/>
      <c r="H143" s="6"/>
      <c r="I143" s="6"/>
      <c r="J143" s="6"/>
      <c r="K143" s="11"/>
      <c r="L143" s="5"/>
      <c r="M143" s="5"/>
      <c r="N143" s="5"/>
      <c r="O143" s="7"/>
      <c r="P143" s="5"/>
      <c r="Q143" s="5"/>
      <c r="R143" s="6"/>
      <c r="S143" s="1"/>
      <c r="T143" s="6"/>
      <c r="U143" s="1878"/>
      <c r="V143" s="1878"/>
      <c r="W143" s="1877"/>
      <c r="X143" s="1877"/>
      <c r="Y143" s="1877"/>
      <c r="Z143" s="1877"/>
      <c r="AA143" s="1878"/>
      <c r="AB143" s="1877"/>
      <c r="AC143" s="1877"/>
      <c r="AD143" s="1877"/>
      <c r="AE143" s="1911"/>
      <c r="AF143" s="1912"/>
      <c r="AG143" s="1881"/>
      <c r="AH143" s="1913"/>
      <c r="AJ143" s="1393"/>
    </row>
    <row r="144" spans="1:36" s="1350" customFormat="1">
      <c r="A144" s="1"/>
      <c r="B144" s="6"/>
      <c r="C144" s="4"/>
      <c r="D144" s="3"/>
      <c r="E144" s="4"/>
      <c r="F144" s="4"/>
      <c r="G144" s="4"/>
      <c r="H144" s="6"/>
      <c r="I144" s="6"/>
      <c r="J144" s="6"/>
      <c r="K144" s="11"/>
      <c r="L144" s="5"/>
      <c r="M144" s="5"/>
      <c r="N144" s="5"/>
      <c r="O144" s="7"/>
      <c r="P144" s="5"/>
      <c r="Q144" s="5"/>
      <c r="R144" s="6"/>
      <c r="S144" s="1"/>
      <c r="T144" s="6"/>
      <c r="U144" s="1878"/>
      <c r="V144" s="1878"/>
      <c r="W144" s="1877"/>
      <c r="X144" s="1877"/>
      <c r="Y144" s="1877"/>
      <c r="Z144" s="1877"/>
      <c r="AA144" s="1878"/>
      <c r="AB144" s="1877"/>
      <c r="AC144" s="1877"/>
      <c r="AD144" s="1877"/>
      <c r="AE144" s="1911"/>
      <c r="AF144" s="1912"/>
      <c r="AG144" s="1881"/>
      <c r="AH144" s="1913"/>
      <c r="AJ144" s="1393"/>
    </row>
    <row r="145" spans="1:36" s="1350" customFormat="1">
      <c r="A145" s="1"/>
      <c r="B145" s="6"/>
      <c r="C145" s="4"/>
      <c r="D145" s="3"/>
      <c r="E145" s="4"/>
      <c r="F145" s="4"/>
      <c r="G145" s="4"/>
      <c r="H145" s="6"/>
      <c r="I145" s="6"/>
      <c r="J145" s="6"/>
      <c r="K145" s="11"/>
      <c r="L145" s="5"/>
      <c r="M145" s="5"/>
      <c r="N145" s="5"/>
      <c r="O145" s="7"/>
      <c r="P145" s="5"/>
      <c r="Q145" s="5"/>
      <c r="R145" s="6"/>
      <c r="S145" s="1"/>
      <c r="T145" s="6"/>
      <c r="U145" s="1878"/>
      <c r="V145" s="1878"/>
      <c r="W145" s="1877"/>
      <c r="X145" s="1877"/>
      <c r="Y145" s="1877"/>
      <c r="Z145" s="1877"/>
      <c r="AA145" s="1878"/>
      <c r="AB145" s="1877"/>
      <c r="AC145" s="1877"/>
      <c r="AD145" s="1877"/>
      <c r="AE145" s="1911"/>
      <c r="AF145" s="1912"/>
      <c r="AG145" s="1881"/>
      <c r="AH145" s="1913"/>
      <c r="AJ145" s="1393"/>
    </row>
    <row r="146" spans="1:36" s="1350" customFormat="1">
      <c r="A146" s="1"/>
      <c r="B146" s="6"/>
      <c r="C146" s="4"/>
      <c r="D146" s="3"/>
      <c r="E146" s="4"/>
      <c r="F146" s="4"/>
      <c r="G146" s="4"/>
      <c r="H146" s="6"/>
      <c r="I146" s="6"/>
      <c r="J146" s="6"/>
      <c r="K146" s="11"/>
      <c r="L146" s="5"/>
      <c r="M146" s="5"/>
      <c r="N146" s="5"/>
      <c r="O146" s="7"/>
      <c r="P146" s="5"/>
      <c r="Q146" s="5"/>
      <c r="R146" s="6"/>
      <c r="S146" s="1"/>
      <c r="T146" s="6"/>
      <c r="U146" s="1878"/>
      <c r="V146" s="1878"/>
      <c r="W146" s="1877"/>
      <c r="X146" s="1877"/>
      <c r="Y146" s="1877"/>
      <c r="Z146" s="1877"/>
      <c r="AA146" s="1878"/>
      <c r="AB146" s="1877"/>
      <c r="AC146" s="1877"/>
      <c r="AD146" s="1877"/>
      <c r="AE146" s="1911"/>
      <c r="AF146" s="1912"/>
      <c r="AG146" s="1881"/>
      <c r="AH146" s="1913"/>
      <c r="AJ146" s="1393"/>
    </row>
    <row r="147" spans="1:36" s="1350" customFormat="1">
      <c r="A147" s="1"/>
      <c r="B147" s="6"/>
      <c r="C147" s="4"/>
      <c r="D147" s="3"/>
      <c r="E147" s="4"/>
      <c r="F147" s="4"/>
      <c r="G147" s="4"/>
      <c r="H147" s="6"/>
      <c r="I147" s="6"/>
      <c r="J147" s="6"/>
      <c r="K147" s="11"/>
      <c r="L147" s="5"/>
      <c r="M147" s="5"/>
      <c r="N147" s="5"/>
      <c r="O147" s="7"/>
      <c r="P147" s="5"/>
      <c r="Q147" s="5"/>
      <c r="R147" s="6"/>
      <c r="S147" s="1"/>
      <c r="T147" s="6"/>
      <c r="U147" s="1878"/>
      <c r="V147" s="1878"/>
      <c r="W147" s="1877"/>
      <c r="X147" s="1877"/>
      <c r="Y147" s="1877"/>
      <c r="Z147" s="1877"/>
      <c r="AA147" s="1878"/>
      <c r="AB147" s="1877"/>
      <c r="AC147" s="1877"/>
      <c r="AD147" s="1877"/>
      <c r="AE147" s="1911"/>
      <c r="AF147" s="1912"/>
      <c r="AG147" s="1881"/>
      <c r="AH147" s="1913"/>
      <c r="AJ147" s="1393"/>
    </row>
    <row r="148" spans="1:36" s="1350" customFormat="1">
      <c r="A148" s="1"/>
      <c r="B148" s="6"/>
      <c r="C148" s="4"/>
      <c r="D148" s="3"/>
      <c r="E148" s="4"/>
      <c r="F148" s="4"/>
      <c r="G148" s="4"/>
      <c r="H148" s="6"/>
      <c r="I148" s="6"/>
      <c r="J148" s="6"/>
      <c r="K148" s="11"/>
      <c r="L148" s="5"/>
      <c r="M148" s="5"/>
      <c r="N148" s="5"/>
      <c r="O148" s="7"/>
      <c r="P148" s="5"/>
      <c r="Q148" s="5"/>
      <c r="R148" s="6"/>
      <c r="S148" s="1"/>
      <c r="T148" s="6"/>
      <c r="U148" s="1878"/>
      <c r="V148" s="1878"/>
      <c r="W148" s="1877"/>
      <c r="X148" s="1877"/>
      <c r="Y148" s="1877"/>
      <c r="Z148" s="1877"/>
      <c r="AA148" s="1878"/>
      <c r="AB148" s="1877"/>
      <c r="AC148" s="1877"/>
      <c r="AD148" s="1877"/>
      <c r="AE148" s="1911"/>
      <c r="AF148" s="1912"/>
      <c r="AG148" s="1881"/>
      <c r="AH148" s="1913"/>
      <c r="AJ148" s="1393"/>
    </row>
    <row r="149" spans="1:36" s="1350" customFormat="1">
      <c r="A149" s="1"/>
      <c r="B149" s="6"/>
      <c r="C149" s="4"/>
      <c r="D149" s="3"/>
      <c r="E149" s="4"/>
      <c r="F149" s="4"/>
      <c r="G149" s="4"/>
      <c r="H149" s="6"/>
      <c r="I149" s="6"/>
      <c r="J149" s="6"/>
      <c r="K149" s="11"/>
      <c r="L149" s="5"/>
      <c r="M149" s="5"/>
      <c r="N149" s="5"/>
      <c r="O149" s="7"/>
      <c r="P149" s="5"/>
      <c r="Q149" s="5"/>
      <c r="R149" s="6"/>
      <c r="S149" s="1"/>
      <c r="T149" s="6"/>
      <c r="U149" s="1878"/>
      <c r="V149" s="1878"/>
      <c r="W149" s="1877"/>
      <c r="X149" s="1877"/>
      <c r="Y149" s="1877"/>
      <c r="Z149" s="1877"/>
      <c r="AA149" s="1878"/>
      <c r="AB149" s="1877"/>
      <c r="AC149" s="1877"/>
      <c r="AD149" s="1877"/>
      <c r="AE149" s="1911"/>
      <c r="AF149" s="1912"/>
      <c r="AG149" s="1881"/>
      <c r="AH149" s="1913"/>
      <c r="AJ149" s="1393"/>
    </row>
    <row r="150" spans="1:36" s="1350" customFormat="1">
      <c r="A150" s="1"/>
      <c r="B150" s="6"/>
      <c r="C150" s="4"/>
      <c r="D150" s="3"/>
      <c r="E150" s="4"/>
      <c r="F150" s="4"/>
      <c r="G150" s="4"/>
      <c r="H150" s="6"/>
      <c r="I150" s="6"/>
      <c r="J150" s="6"/>
      <c r="K150" s="11"/>
      <c r="L150" s="5"/>
      <c r="M150" s="5"/>
      <c r="N150" s="5"/>
      <c r="O150" s="7"/>
      <c r="P150" s="5"/>
      <c r="Q150" s="5"/>
      <c r="R150" s="6"/>
      <c r="S150" s="1"/>
      <c r="T150" s="6"/>
      <c r="U150" s="1878"/>
      <c r="V150" s="1878"/>
      <c r="W150" s="1877"/>
      <c r="X150" s="1877"/>
      <c r="Y150" s="1877"/>
      <c r="Z150" s="1877"/>
      <c r="AA150" s="1878"/>
      <c r="AB150" s="1877"/>
      <c r="AC150" s="1877"/>
      <c r="AD150" s="1877"/>
      <c r="AE150" s="1911"/>
      <c r="AF150" s="1912"/>
      <c r="AG150" s="1881"/>
      <c r="AH150" s="1913"/>
      <c r="AJ150" s="1393"/>
    </row>
    <row r="151" spans="1:36" s="1350" customFormat="1">
      <c r="A151" s="1"/>
      <c r="B151" s="6"/>
      <c r="C151" s="4"/>
      <c r="D151" s="3"/>
      <c r="E151" s="4"/>
      <c r="F151" s="4"/>
      <c r="G151" s="4"/>
      <c r="H151" s="6"/>
      <c r="I151" s="6"/>
      <c r="J151" s="6"/>
      <c r="K151" s="11"/>
      <c r="L151" s="5"/>
      <c r="M151" s="5"/>
      <c r="N151" s="5"/>
      <c r="O151" s="7"/>
      <c r="P151" s="5"/>
      <c r="Q151" s="5"/>
      <c r="R151" s="6"/>
      <c r="S151" s="1"/>
      <c r="T151" s="6"/>
      <c r="U151" s="1878"/>
      <c r="V151" s="1878"/>
      <c r="W151" s="1877"/>
      <c r="X151" s="1877"/>
      <c r="Y151" s="1877"/>
      <c r="Z151" s="1877"/>
      <c r="AA151" s="1878"/>
      <c r="AB151" s="1877"/>
      <c r="AC151" s="1877"/>
      <c r="AD151" s="1877"/>
      <c r="AE151" s="1911"/>
      <c r="AF151" s="1912"/>
      <c r="AG151" s="1881"/>
      <c r="AH151" s="1913"/>
      <c r="AJ151" s="1393"/>
    </row>
    <row r="152" spans="1:36" s="1350" customFormat="1">
      <c r="A152" s="1"/>
      <c r="B152" s="6"/>
      <c r="C152" s="4"/>
      <c r="D152" s="3"/>
      <c r="E152" s="4"/>
      <c r="F152" s="4"/>
      <c r="G152" s="4"/>
      <c r="H152" s="6"/>
      <c r="I152" s="6"/>
      <c r="J152" s="6"/>
      <c r="K152" s="11"/>
      <c r="L152" s="5"/>
      <c r="M152" s="5"/>
      <c r="N152" s="5"/>
      <c r="O152" s="7"/>
      <c r="P152" s="5"/>
      <c r="Q152" s="5"/>
      <c r="R152" s="6"/>
      <c r="S152" s="1"/>
      <c r="T152" s="6"/>
      <c r="U152" s="1878"/>
      <c r="V152" s="1878"/>
      <c r="W152" s="1877"/>
      <c r="X152" s="1877"/>
      <c r="Y152" s="1877"/>
      <c r="Z152" s="1877"/>
      <c r="AA152" s="1878"/>
      <c r="AB152" s="1877"/>
      <c r="AC152" s="1877"/>
      <c r="AD152" s="1877"/>
      <c r="AE152" s="1911"/>
      <c r="AF152" s="1912"/>
      <c r="AG152" s="1881"/>
      <c r="AH152" s="1913"/>
      <c r="AJ152" s="1393"/>
    </row>
    <row r="153" spans="1:36" s="1350" customFormat="1">
      <c r="A153" s="1"/>
      <c r="B153" s="6"/>
      <c r="C153" s="4"/>
      <c r="D153" s="3"/>
      <c r="E153" s="4"/>
      <c r="F153" s="4"/>
      <c r="G153" s="4"/>
      <c r="H153" s="6"/>
      <c r="I153" s="6"/>
      <c r="J153" s="6"/>
      <c r="K153" s="11"/>
      <c r="L153" s="5"/>
      <c r="M153" s="5"/>
      <c r="N153" s="5"/>
      <c r="O153" s="7"/>
      <c r="P153" s="5"/>
      <c r="Q153" s="5"/>
      <c r="R153" s="6"/>
      <c r="S153" s="1"/>
      <c r="T153" s="6"/>
      <c r="U153" s="1878"/>
      <c r="V153" s="1878"/>
      <c r="W153" s="1877"/>
      <c r="X153" s="1877"/>
      <c r="Y153" s="1877"/>
      <c r="Z153" s="1877"/>
      <c r="AA153" s="1878"/>
      <c r="AB153" s="1877"/>
      <c r="AC153" s="1877"/>
      <c r="AD153" s="1877"/>
      <c r="AE153" s="1911"/>
      <c r="AF153" s="1912"/>
      <c r="AG153" s="1881"/>
      <c r="AH153" s="1913"/>
      <c r="AJ153" s="1393"/>
    </row>
    <row r="154" spans="1:36" s="1350" customFormat="1">
      <c r="A154" s="1"/>
      <c r="B154" s="6"/>
      <c r="C154" s="4"/>
      <c r="D154" s="3"/>
      <c r="E154" s="4"/>
      <c r="F154" s="4"/>
      <c r="G154" s="4"/>
      <c r="H154" s="6"/>
      <c r="I154" s="6"/>
      <c r="J154" s="6"/>
      <c r="K154" s="11"/>
      <c r="L154" s="5"/>
      <c r="M154" s="5"/>
      <c r="N154" s="5"/>
      <c r="O154" s="7"/>
      <c r="P154" s="5"/>
      <c r="Q154" s="5"/>
      <c r="R154" s="6"/>
      <c r="S154" s="1"/>
      <c r="T154" s="6"/>
      <c r="U154" s="1878"/>
      <c r="V154" s="1878"/>
      <c r="W154" s="1877"/>
      <c r="X154" s="1877"/>
      <c r="Y154" s="1877"/>
      <c r="Z154" s="1877"/>
      <c r="AA154" s="1878"/>
      <c r="AB154" s="1877"/>
      <c r="AC154" s="1877"/>
      <c r="AD154" s="1877"/>
      <c r="AE154" s="1911"/>
      <c r="AF154" s="1912"/>
      <c r="AG154" s="1881"/>
      <c r="AH154" s="1913"/>
      <c r="AJ154" s="1393"/>
    </row>
    <row r="155" spans="1:36" s="1350" customFormat="1">
      <c r="A155" s="1"/>
      <c r="B155" s="6"/>
      <c r="C155" s="4"/>
      <c r="D155" s="3"/>
      <c r="E155" s="4"/>
      <c r="F155" s="4"/>
      <c r="G155" s="4"/>
      <c r="H155" s="6"/>
      <c r="I155" s="6"/>
      <c r="J155" s="6"/>
      <c r="K155" s="11"/>
      <c r="L155" s="5"/>
      <c r="M155" s="5"/>
      <c r="N155" s="5"/>
      <c r="O155" s="7"/>
      <c r="P155" s="5"/>
      <c r="Q155" s="5"/>
      <c r="R155" s="6"/>
      <c r="S155" s="1"/>
      <c r="T155" s="6"/>
      <c r="U155" s="1878"/>
      <c r="V155" s="1878"/>
      <c r="W155" s="1877"/>
      <c r="X155" s="1877"/>
      <c r="Y155" s="1877"/>
      <c r="Z155" s="1877"/>
      <c r="AA155" s="1878"/>
      <c r="AB155" s="1877"/>
      <c r="AC155" s="1877"/>
      <c r="AD155" s="1877"/>
      <c r="AE155" s="1911"/>
      <c r="AF155" s="1912"/>
      <c r="AG155" s="1881"/>
      <c r="AH155" s="1913"/>
      <c r="AJ155" s="1393"/>
    </row>
    <row r="156" spans="1:36" s="1350" customFormat="1">
      <c r="A156" s="1"/>
      <c r="B156" s="6"/>
      <c r="C156" s="4"/>
      <c r="D156" s="3"/>
      <c r="E156" s="4"/>
      <c r="F156" s="4"/>
      <c r="G156" s="4"/>
      <c r="H156" s="6"/>
      <c r="I156" s="6"/>
      <c r="J156" s="6"/>
      <c r="K156" s="11"/>
      <c r="L156" s="5"/>
      <c r="M156" s="5"/>
      <c r="N156" s="5"/>
      <c r="O156" s="7"/>
      <c r="P156" s="5"/>
      <c r="Q156" s="5"/>
      <c r="R156" s="6"/>
      <c r="S156" s="1"/>
      <c r="T156" s="6"/>
      <c r="U156" s="1878"/>
      <c r="V156" s="1878"/>
      <c r="W156" s="1877"/>
      <c r="X156" s="1877"/>
      <c r="Y156" s="1877"/>
      <c r="Z156" s="1877"/>
      <c r="AA156" s="1878"/>
      <c r="AB156" s="1877"/>
      <c r="AC156" s="1877"/>
      <c r="AD156" s="1877"/>
      <c r="AE156" s="1911"/>
      <c r="AF156" s="1912"/>
      <c r="AG156" s="1881"/>
      <c r="AH156" s="1913"/>
      <c r="AJ156" s="1393"/>
    </row>
    <row r="157" spans="1:36" s="1350" customFormat="1">
      <c r="A157" s="1"/>
      <c r="B157" s="6"/>
      <c r="C157" s="4"/>
      <c r="D157" s="3"/>
      <c r="E157" s="4"/>
      <c r="F157" s="4"/>
      <c r="G157" s="4"/>
      <c r="H157" s="6"/>
      <c r="I157" s="6"/>
      <c r="J157" s="6"/>
      <c r="K157" s="11"/>
      <c r="L157" s="5"/>
      <c r="M157" s="5"/>
      <c r="N157" s="5"/>
      <c r="O157" s="7"/>
      <c r="P157" s="5"/>
      <c r="Q157" s="5"/>
      <c r="R157" s="6"/>
      <c r="S157" s="1"/>
      <c r="T157" s="6"/>
      <c r="U157" s="1878"/>
      <c r="V157" s="1878"/>
      <c r="W157" s="1877"/>
      <c r="X157" s="1877"/>
      <c r="Y157" s="1877"/>
      <c r="Z157" s="1877"/>
      <c r="AA157" s="1878"/>
      <c r="AB157" s="1877"/>
      <c r="AC157" s="1877"/>
      <c r="AD157" s="1877"/>
      <c r="AE157" s="1911"/>
      <c r="AF157" s="1912"/>
      <c r="AG157" s="1881"/>
      <c r="AH157" s="1913"/>
      <c r="AJ157" s="1393"/>
    </row>
    <row r="158" spans="1:36" s="1350" customFormat="1">
      <c r="A158" s="1"/>
      <c r="B158" s="6"/>
      <c r="C158" s="4"/>
      <c r="D158" s="3"/>
      <c r="E158" s="4"/>
      <c r="F158" s="4"/>
      <c r="G158" s="4"/>
      <c r="H158" s="6"/>
      <c r="I158" s="6"/>
      <c r="J158" s="6"/>
      <c r="K158" s="11"/>
      <c r="L158" s="5"/>
      <c r="M158" s="5"/>
      <c r="N158" s="5"/>
      <c r="O158" s="7"/>
      <c r="P158" s="5"/>
      <c r="Q158" s="5"/>
      <c r="R158" s="6"/>
      <c r="S158" s="1"/>
      <c r="T158" s="6"/>
      <c r="U158" s="1878"/>
      <c r="V158" s="1878"/>
      <c r="W158" s="1877"/>
      <c r="X158" s="1877"/>
      <c r="Y158" s="1877"/>
      <c r="Z158" s="1877"/>
      <c r="AA158" s="1878"/>
      <c r="AB158" s="1877"/>
      <c r="AC158" s="1877"/>
      <c r="AD158" s="1877"/>
      <c r="AE158" s="1911"/>
      <c r="AF158" s="1912"/>
      <c r="AG158" s="1881"/>
      <c r="AH158" s="1913"/>
      <c r="AJ158" s="1393"/>
    </row>
    <row r="159" spans="1:36" s="1350" customFormat="1">
      <c r="A159" s="1"/>
      <c r="B159" s="6"/>
      <c r="C159" s="4"/>
      <c r="D159" s="3"/>
      <c r="E159" s="4"/>
      <c r="F159" s="4"/>
      <c r="G159" s="4"/>
      <c r="H159" s="6"/>
      <c r="I159" s="6"/>
      <c r="J159" s="6"/>
      <c r="K159" s="11"/>
      <c r="L159" s="5"/>
      <c r="M159" s="5"/>
      <c r="N159" s="5"/>
      <c r="O159" s="7"/>
      <c r="P159" s="5"/>
      <c r="Q159" s="5"/>
      <c r="R159" s="6"/>
      <c r="S159" s="1"/>
      <c r="T159" s="6"/>
      <c r="U159" s="1878"/>
      <c r="V159" s="1878"/>
      <c r="W159" s="1877"/>
      <c r="X159" s="1877"/>
      <c r="Y159" s="1877"/>
      <c r="Z159" s="1877"/>
      <c r="AA159" s="1878"/>
      <c r="AB159" s="1877"/>
      <c r="AC159" s="1877"/>
      <c r="AD159" s="1877"/>
      <c r="AE159" s="1911"/>
      <c r="AF159" s="1912"/>
      <c r="AG159" s="1881"/>
      <c r="AH159" s="1913"/>
      <c r="AJ159" s="1393"/>
    </row>
    <row r="160" spans="1:36" s="1350" customFormat="1">
      <c r="A160" s="1"/>
      <c r="B160" s="6"/>
      <c r="C160" s="4"/>
      <c r="D160" s="3"/>
      <c r="E160" s="4"/>
      <c r="F160" s="4"/>
      <c r="G160" s="4"/>
      <c r="H160" s="6"/>
      <c r="I160" s="6"/>
      <c r="J160" s="6"/>
      <c r="K160" s="11"/>
      <c r="L160" s="5"/>
      <c r="M160" s="5"/>
      <c r="N160" s="5"/>
      <c r="O160" s="7"/>
      <c r="P160" s="5"/>
      <c r="Q160" s="5"/>
      <c r="R160" s="6"/>
      <c r="S160" s="1"/>
      <c r="T160" s="6"/>
      <c r="U160" s="1878"/>
      <c r="V160" s="1878"/>
      <c r="W160" s="1877"/>
      <c r="X160" s="1877"/>
      <c r="Y160" s="1877"/>
      <c r="Z160" s="1877"/>
      <c r="AA160" s="1878"/>
      <c r="AB160" s="1877"/>
      <c r="AC160" s="1877"/>
      <c r="AD160" s="1877"/>
      <c r="AE160" s="1911"/>
      <c r="AF160" s="1912"/>
      <c r="AG160" s="1881"/>
      <c r="AH160" s="1913"/>
      <c r="AJ160" s="1393"/>
    </row>
    <row r="161" spans="1:36" s="1350" customFormat="1">
      <c r="A161" s="1"/>
      <c r="B161" s="6"/>
      <c r="C161" s="4"/>
      <c r="D161" s="3"/>
      <c r="E161" s="4"/>
      <c r="F161" s="4"/>
      <c r="G161" s="4"/>
      <c r="H161" s="6"/>
      <c r="I161" s="6"/>
      <c r="J161" s="6"/>
      <c r="K161" s="11"/>
      <c r="L161" s="5"/>
      <c r="M161" s="5"/>
      <c r="N161" s="5"/>
      <c r="O161" s="7"/>
      <c r="P161" s="5"/>
      <c r="Q161" s="5"/>
      <c r="R161" s="6"/>
      <c r="S161" s="1"/>
      <c r="T161" s="6"/>
      <c r="U161" s="1878"/>
      <c r="V161" s="1878"/>
      <c r="W161" s="1877"/>
      <c r="X161" s="1877"/>
      <c r="Y161" s="1877"/>
      <c r="Z161" s="1877"/>
      <c r="AA161" s="1878"/>
      <c r="AB161" s="1877"/>
      <c r="AC161" s="1877"/>
      <c r="AD161" s="1877"/>
      <c r="AE161" s="1911"/>
      <c r="AF161" s="1912"/>
      <c r="AG161" s="1881"/>
      <c r="AH161" s="1913"/>
      <c r="AJ161" s="1393"/>
    </row>
    <row r="162" spans="1:36" s="1350" customFormat="1">
      <c r="A162" s="1"/>
      <c r="B162" s="6"/>
      <c r="C162" s="4"/>
      <c r="D162" s="3"/>
      <c r="E162" s="4"/>
      <c r="F162" s="4"/>
      <c r="G162" s="4"/>
      <c r="H162" s="6"/>
      <c r="I162" s="6"/>
      <c r="J162" s="6"/>
      <c r="K162" s="11"/>
      <c r="L162" s="5"/>
      <c r="M162" s="5"/>
      <c r="N162" s="5"/>
      <c r="O162" s="7"/>
      <c r="P162" s="5"/>
      <c r="Q162" s="5"/>
      <c r="R162" s="6"/>
      <c r="S162" s="1"/>
      <c r="T162" s="6"/>
      <c r="U162" s="1878"/>
      <c r="V162" s="1878"/>
      <c r="W162" s="1877"/>
      <c r="X162" s="1877"/>
      <c r="Y162" s="1877"/>
      <c r="Z162" s="1877"/>
      <c r="AA162" s="1878"/>
      <c r="AB162" s="1877"/>
      <c r="AC162" s="1877"/>
      <c r="AD162" s="1877"/>
      <c r="AE162" s="1911"/>
      <c r="AF162" s="1912"/>
      <c r="AG162" s="1881"/>
      <c r="AH162" s="1913"/>
      <c r="AJ162" s="1393"/>
    </row>
    <row r="163" spans="1:36" s="1350" customFormat="1">
      <c r="A163" s="1"/>
      <c r="B163" s="6"/>
      <c r="C163" s="4"/>
      <c r="D163" s="3"/>
      <c r="E163" s="4"/>
      <c r="F163" s="4"/>
      <c r="G163" s="4"/>
      <c r="H163" s="6"/>
      <c r="I163" s="6"/>
      <c r="J163" s="6"/>
      <c r="K163" s="11"/>
      <c r="L163" s="5"/>
      <c r="M163" s="5"/>
      <c r="N163" s="5"/>
      <c r="O163" s="7"/>
      <c r="P163" s="5"/>
      <c r="Q163" s="5"/>
      <c r="R163" s="6"/>
      <c r="S163" s="1"/>
      <c r="T163" s="6"/>
      <c r="U163" s="1878"/>
      <c r="V163" s="1878"/>
      <c r="W163" s="1877"/>
      <c r="X163" s="1877"/>
      <c r="Y163" s="1877"/>
      <c r="Z163" s="1877"/>
      <c r="AA163" s="1878"/>
      <c r="AB163" s="1877"/>
      <c r="AC163" s="1877"/>
      <c r="AD163" s="1877"/>
      <c r="AE163" s="1911"/>
      <c r="AF163" s="1912"/>
      <c r="AG163" s="1881"/>
      <c r="AH163" s="1913"/>
      <c r="AJ163" s="1393"/>
    </row>
    <row r="164" spans="1:36" s="1350" customFormat="1">
      <c r="A164" s="1"/>
      <c r="B164" s="6"/>
      <c r="C164" s="4"/>
      <c r="D164" s="3"/>
      <c r="E164" s="4"/>
      <c r="F164" s="4"/>
      <c r="G164" s="4"/>
      <c r="H164" s="6"/>
      <c r="I164" s="6"/>
      <c r="J164" s="6"/>
      <c r="K164" s="11"/>
      <c r="L164" s="5"/>
      <c r="M164" s="5"/>
      <c r="N164" s="5"/>
      <c r="O164" s="7"/>
      <c r="P164" s="5"/>
      <c r="Q164" s="5"/>
      <c r="R164" s="6"/>
      <c r="S164" s="1"/>
      <c r="T164" s="6"/>
      <c r="U164" s="1878"/>
      <c r="V164" s="1878"/>
      <c r="W164" s="1877"/>
      <c r="X164" s="1877"/>
      <c r="Y164" s="1877"/>
      <c r="Z164" s="1877"/>
      <c r="AA164" s="1878"/>
      <c r="AB164" s="1877"/>
      <c r="AC164" s="1877"/>
      <c r="AD164" s="1877"/>
      <c r="AE164" s="1911"/>
      <c r="AF164" s="1912"/>
      <c r="AG164" s="1881"/>
      <c r="AH164" s="1913"/>
      <c r="AJ164" s="1393"/>
    </row>
    <row r="165" spans="1:36" s="1350" customFormat="1">
      <c r="A165" s="1"/>
      <c r="B165" s="6"/>
      <c r="C165" s="4"/>
      <c r="D165" s="3"/>
      <c r="E165" s="4"/>
      <c r="F165" s="4"/>
      <c r="G165" s="4"/>
      <c r="H165" s="6"/>
      <c r="I165" s="6"/>
      <c r="J165" s="6"/>
      <c r="K165" s="11"/>
      <c r="L165" s="5"/>
      <c r="M165" s="5"/>
      <c r="N165" s="5"/>
      <c r="O165" s="7"/>
      <c r="P165" s="5"/>
      <c r="Q165" s="5"/>
      <c r="R165" s="6"/>
      <c r="S165" s="1"/>
      <c r="T165" s="6"/>
      <c r="U165" s="1878"/>
      <c r="V165" s="1878"/>
      <c r="W165" s="1877"/>
      <c r="X165" s="1877"/>
      <c r="Y165" s="1877"/>
      <c r="Z165" s="1877"/>
      <c r="AA165" s="1878"/>
      <c r="AB165" s="1877"/>
      <c r="AC165" s="1877"/>
      <c r="AD165" s="1877"/>
      <c r="AE165" s="1911"/>
      <c r="AF165" s="1912"/>
      <c r="AG165" s="1881"/>
      <c r="AH165" s="1913"/>
      <c r="AJ165" s="1393"/>
    </row>
    <row r="166" spans="1:36" s="1350" customFormat="1">
      <c r="A166" s="1"/>
      <c r="B166" s="6"/>
      <c r="C166" s="4"/>
      <c r="D166" s="3"/>
      <c r="E166" s="4"/>
      <c r="F166" s="4"/>
      <c r="G166" s="4"/>
      <c r="H166" s="6"/>
      <c r="I166" s="6"/>
      <c r="J166" s="6"/>
      <c r="K166" s="11"/>
      <c r="L166" s="5"/>
      <c r="M166" s="5"/>
      <c r="N166" s="5"/>
      <c r="O166" s="7"/>
      <c r="P166" s="5"/>
      <c r="Q166" s="5"/>
      <c r="R166" s="6"/>
      <c r="S166" s="1"/>
      <c r="T166" s="6"/>
      <c r="U166" s="1878"/>
      <c r="V166" s="1878"/>
      <c r="W166" s="1877"/>
      <c r="X166" s="1877"/>
      <c r="Y166" s="1877"/>
      <c r="Z166" s="1877"/>
      <c r="AA166" s="1878"/>
      <c r="AB166" s="1877"/>
      <c r="AC166" s="1877"/>
      <c r="AD166" s="1877"/>
      <c r="AE166" s="1911"/>
      <c r="AF166" s="1912"/>
      <c r="AG166" s="1881"/>
      <c r="AH166" s="1913"/>
      <c r="AJ166" s="1393"/>
    </row>
    <row r="167" spans="1:36" s="1350" customFormat="1">
      <c r="A167" s="1"/>
      <c r="B167" s="6"/>
      <c r="C167" s="4"/>
      <c r="D167" s="3"/>
      <c r="E167" s="4"/>
      <c r="F167" s="4"/>
      <c r="G167" s="4"/>
      <c r="H167" s="6"/>
      <c r="I167" s="6"/>
      <c r="J167" s="6"/>
      <c r="K167" s="11"/>
      <c r="L167" s="5"/>
      <c r="M167" s="5"/>
      <c r="N167" s="5"/>
      <c r="O167" s="7"/>
      <c r="P167" s="5"/>
      <c r="Q167" s="5"/>
      <c r="R167" s="6"/>
      <c r="S167" s="1"/>
      <c r="T167" s="6"/>
      <c r="U167" s="1878"/>
      <c r="V167" s="1878"/>
      <c r="W167" s="1877"/>
      <c r="X167" s="1877"/>
      <c r="Y167" s="1877"/>
      <c r="Z167" s="1877"/>
      <c r="AA167" s="1878"/>
      <c r="AB167" s="1877"/>
      <c r="AC167" s="1877"/>
      <c r="AD167" s="1877"/>
      <c r="AE167" s="1911"/>
      <c r="AF167" s="1912"/>
      <c r="AG167" s="1881"/>
      <c r="AH167" s="1913"/>
      <c r="AJ167" s="1393"/>
    </row>
    <row r="168" spans="1:36" s="1350" customFormat="1">
      <c r="A168" s="1"/>
      <c r="B168" s="6"/>
      <c r="C168" s="4"/>
      <c r="D168" s="3"/>
      <c r="E168" s="4"/>
      <c r="F168" s="4"/>
      <c r="G168" s="4"/>
      <c r="H168" s="6"/>
      <c r="I168" s="6"/>
      <c r="J168" s="6"/>
      <c r="K168" s="11"/>
      <c r="L168" s="5"/>
      <c r="M168" s="5"/>
      <c r="N168" s="5"/>
      <c r="O168" s="7"/>
      <c r="P168" s="5"/>
      <c r="Q168" s="5"/>
      <c r="R168" s="6"/>
      <c r="S168" s="1"/>
      <c r="T168" s="6"/>
      <c r="U168" s="1878"/>
      <c r="V168" s="1878"/>
      <c r="W168" s="1877"/>
      <c r="X168" s="1877"/>
      <c r="Y168" s="1877"/>
      <c r="Z168" s="1877"/>
      <c r="AA168" s="1878"/>
      <c r="AB168" s="1877"/>
      <c r="AC168" s="1877"/>
      <c r="AD168" s="1877"/>
      <c r="AE168" s="1911"/>
      <c r="AF168" s="1912"/>
      <c r="AG168" s="1881"/>
      <c r="AH168" s="1913"/>
      <c r="AJ168" s="1393"/>
    </row>
    <row r="169" spans="1:36" s="1350" customFormat="1">
      <c r="A169" s="1"/>
      <c r="B169" s="6"/>
      <c r="C169" s="4"/>
      <c r="D169" s="3"/>
      <c r="E169" s="4"/>
      <c r="F169" s="4"/>
      <c r="G169" s="4"/>
      <c r="H169" s="6"/>
      <c r="I169" s="6"/>
      <c r="J169" s="6"/>
      <c r="K169" s="11"/>
      <c r="L169" s="5"/>
      <c r="M169" s="5"/>
      <c r="N169" s="5"/>
      <c r="O169" s="7"/>
      <c r="P169" s="5"/>
      <c r="Q169" s="5"/>
      <c r="R169" s="6"/>
      <c r="S169" s="1"/>
      <c r="T169" s="6"/>
      <c r="U169" s="1878"/>
      <c r="V169" s="1878"/>
      <c r="W169" s="1877"/>
      <c r="X169" s="1877"/>
      <c r="Y169" s="1877"/>
      <c r="Z169" s="1877"/>
      <c r="AA169" s="1878"/>
      <c r="AB169" s="1877"/>
      <c r="AC169" s="1877"/>
      <c r="AD169" s="1877"/>
      <c r="AE169" s="1911"/>
      <c r="AF169" s="1912"/>
      <c r="AG169" s="1881"/>
      <c r="AH169" s="1913"/>
      <c r="AJ169" s="1393"/>
    </row>
    <row r="170" spans="1:36" s="1350" customFormat="1">
      <c r="A170" s="1"/>
      <c r="B170" s="6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5"/>
      <c r="O170" s="7"/>
      <c r="P170" s="5"/>
      <c r="Q170" s="5"/>
      <c r="R170" s="6"/>
      <c r="S170" s="1"/>
      <c r="T170" s="6"/>
      <c r="U170" s="1878"/>
      <c r="V170" s="1878"/>
      <c r="W170" s="1877"/>
      <c r="X170" s="1877"/>
      <c r="Y170" s="1877"/>
      <c r="Z170" s="1877"/>
      <c r="AA170" s="1878"/>
      <c r="AB170" s="1877"/>
      <c r="AC170" s="1877"/>
      <c r="AD170" s="1877"/>
      <c r="AE170" s="1911"/>
      <c r="AF170" s="1912"/>
      <c r="AG170" s="1881"/>
      <c r="AH170" s="1913"/>
      <c r="AJ170" s="1393"/>
    </row>
    <row r="171" spans="1:36" s="1350" customFormat="1">
      <c r="A171" s="1"/>
      <c r="B171" s="6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5"/>
      <c r="O171" s="7"/>
      <c r="P171" s="5"/>
      <c r="Q171" s="5"/>
      <c r="R171" s="6"/>
      <c r="S171" s="1"/>
      <c r="T171" s="6"/>
      <c r="U171" s="1878"/>
      <c r="V171" s="1878"/>
      <c r="W171" s="1877"/>
      <c r="X171" s="1877"/>
      <c r="Y171" s="1877"/>
      <c r="Z171" s="1877"/>
      <c r="AA171" s="1878"/>
      <c r="AB171" s="1877"/>
      <c r="AC171" s="1877"/>
      <c r="AD171" s="1877"/>
      <c r="AE171" s="1911"/>
      <c r="AF171" s="1912"/>
      <c r="AG171" s="1881"/>
      <c r="AH171" s="1913"/>
      <c r="AJ171" s="1393"/>
    </row>
    <row r="172" spans="1:36" s="1350" customFormat="1">
      <c r="A172" s="1"/>
      <c r="B172" s="6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5"/>
      <c r="O172" s="7"/>
      <c r="P172" s="5"/>
      <c r="Q172" s="5"/>
      <c r="R172" s="6"/>
      <c r="S172" s="1"/>
      <c r="T172" s="6"/>
      <c r="U172" s="1878"/>
      <c r="V172" s="1878"/>
      <c r="W172" s="1877"/>
      <c r="X172" s="1877"/>
      <c r="Y172" s="1877"/>
      <c r="Z172" s="1877"/>
      <c r="AA172" s="1878"/>
      <c r="AB172" s="1877"/>
      <c r="AC172" s="1877"/>
      <c r="AD172" s="1877"/>
      <c r="AE172" s="1911"/>
      <c r="AF172" s="1912"/>
      <c r="AG172" s="1881"/>
      <c r="AH172" s="1913"/>
      <c r="AJ172" s="1393"/>
    </row>
    <row r="173" spans="1:36" s="1350" customFormat="1">
      <c r="A173" s="1"/>
      <c r="B173" s="6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5"/>
      <c r="O173" s="7"/>
      <c r="P173" s="5"/>
      <c r="Q173" s="5"/>
      <c r="R173" s="6"/>
      <c r="S173" s="1"/>
      <c r="T173" s="6"/>
      <c r="U173" s="1878"/>
      <c r="V173" s="1878"/>
      <c r="W173" s="1877"/>
      <c r="X173" s="1877"/>
      <c r="Y173" s="1877"/>
      <c r="Z173" s="1877"/>
      <c r="AA173" s="1878"/>
      <c r="AB173" s="1877"/>
      <c r="AC173" s="1877"/>
      <c r="AD173" s="1877"/>
      <c r="AE173" s="1911"/>
      <c r="AF173" s="1912"/>
      <c r="AG173" s="1881"/>
      <c r="AH173" s="1913"/>
      <c r="AJ173" s="1393"/>
    </row>
    <row r="174" spans="1:36" s="1350" customFormat="1">
      <c r="A174" s="1"/>
      <c r="B174" s="6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5"/>
      <c r="O174" s="7"/>
      <c r="P174" s="5"/>
      <c r="Q174" s="5"/>
      <c r="R174" s="6"/>
      <c r="S174" s="1"/>
      <c r="T174" s="6"/>
      <c r="U174" s="1878"/>
      <c r="V174" s="1878"/>
      <c r="W174" s="1877"/>
      <c r="X174" s="1877"/>
      <c r="Y174" s="1877"/>
      <c r="Z174" s="1877"/>
      <c r="AA174" s="1878"/>
      <c r="AB174" s="1877"/>
      <c r="AC174" s="1877"/>
      <c r="AD174" s="1877"/>
      <c r="AE174" s="1911"/>
      <c r="AF174" s="1912"/>
      <c r="AG174" s="1881"/>
      <c r="AH174" s="1913"/>
      <c r="AJ174" s="1393"/>
    </row>
    <row r="175" spans="1:36" s="1350" customFormat="1">
      <c r="A175" s="1"/>
      <c r="B175" s="6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5"/>
      <c r="O175" s="7"/>
      <c r="P175" s="5"/>
      <c r="Q175" s="5"/>
      <c r="R175" s="6"/>
      <c r="S175" s="1"/>
      <c r="T175" s="6"/>
      <c r="U175" s="1878"/>
      <c r="V175" s="1878"/>
      <c r="W175" s="1877"/>
      <c r="X175" s="1877"/>
      <c r="Y175" s="1877"/>
      <c r="Z175" s="1877"/>
      <c r="AA175" s="1878"/>
      <c r="AB175" s="1877"/>
      <c r="AC175" s="1877"/>
      <c r="AD175" s="1877"/>
      <c r="AE175" s="1911"/>
      <c r="AF175" s="1912"/>
      <c r="AG175" s="1881"/>
      <c r="AH175" s="1913"/>
      <c r="AJ175" s="1393"/>
    </row>
    <row r="176" spans="1:36" s="1350" customFormat="1">
      <c r="A176" s="1"/>
      <c r="B176" s="6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5"/>
      <c r="O176" s="7"/>
      <c r="P176" s="5"/>
      <c r="Q176" s="5"/>
      <c r="R176" s="6"/>
      <c r="S176" s="1"/>
      <c r="T176" s="6"/>
      <c r="U176" s="1878"/>
      <c r="V176" s="1878"/>
      <c r="W176" s="1877"/>
      <c r="X176" s="1877"/>
      <c r="Y176" s="1877"/>
      <c r="Z176" s="1877"/>
      <c r="AA176" s="1878"/>
      <c r="AB176" s="1877"/>
      <c r="AC176" s="1877"/>
      <c r="AD176" s="1877"/>
      <c r="AE176" s="1911"/>
      <c r="AF176" s="1912"/>
      <c r="AG176" s="1881"/>
      <c r="AH176" s="1913"/>
      <c r="AJ176" s="1393"/>
    </row>
    <row r="177" spans="1:36" s="1350" customFormat="1">
      <c r="A177" s="1"/>
      <c r="B177" s="6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5"/>
      <c r="O177" s="7"/>
      <c r="P177" s="5"/>
      <c r="Q177" s="5"/>
      <c r="R177" s="6"/>
      <c r="S177" s="1"/>
      <c r="T177" s="6"/>
      <c r="U177" s="1878"/>
      <c r="V177" s="1878"/>
      <c r="W177" s="1877"/>
      <c r="X177" s="1877"/>
      <c r="Y177" s="1877"/>
      <c r="Z177" s="1877"/>
      <c r="AA177" s="1878"/>
      <c r="AB177" s="1877"/>
      <c r="AC177" s="1877"/>
      <c r="AD177" s="1877"/>
      <c r="AE177" s="1911"/>
      <c r="AF177" s="1912"/>
      <c r="AG177" s="1881"/>
      <c r="AH177" s="1913"/>
      <c r="AJ177" s="1393"/>
    </row>
    <row r="178" spans="1:36" s="1350" customFormat="1">
      <c r="A178" s="1"/>
      <c r="B178" s="6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5"/>
      <c r="O178" s="7"/>
      <c r="P178" s="5"/>
      <c r="Q178" s="5"/>
      <c r="R178" s="6"/>
      <c r="S178" s="1"/>
      <c r="T178" s="6"/>
      <c r="U178" s="1878"/>
      <c r="V178" s="1878"/>
      <c r="W178" s="1877"/>
      <c r="X178" s="1877"/>
      <c r="Y178" s="1877"/>
      <c r="Z178" s="1877"/>
      <c r="AA178" s="1878"/>
      <c r="AB178" s="1877"/>
      <c r="AC178" s="1877"/>
      <c r="AD178" s="1877"/>
      <c r="AE178" s="1911"/>
      <c r="AF178" s="1912"/>
      <c r="AG178" s="1881"/>
      <c r="AH178" s="1913"/>
      <c r="AJ178" s="1393"/>
    </row>
    <row r="179" spans="1:36" s="1350" customFormat="1">
      <c r="A179" s="1"/>
      <c r="B179" s="6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5"/>
      <c r="O179" s="7"/>
      <c r="P179" s="5"/>
      <c r="Q179" s="5"/>
      <c r="R179" s="6"/>
      <c r="S179" s="1"/>
      <c r="T179" s="6"/>
      <c r="U179" s="1878"/>
      <c r="V179" s="1878"/>
      <c r="W179" s="1877"/>
      <c r="X179" s="1877"/>
      <c r="Y179" s="1877"/>
      <c r="Z179" s="1877"/>
      <c r="AA179" s="1878"/>
      <c r="AB179" s="1877"/>
      <c r="AC179" s="1877"/>
      <c r="AD179" s="1877"/>
      <c r="AE179" s="1911"/>
      <c r="AF179" s="1912"/>
      <c r="AG179" s="1881"/>
      <c r="AH179" s="1913"/>
      <c r="AJ179" s="1393"/>
    </row>
    <row r="180" spans="1:36" s="1350" customFormat="1">
      <c r="A180" s="1"/>
      <c r="B180" s="6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5"/>
      <c r="O180" s="7"/>
      <c r="P180" s="5"/>
      <c r="Q180" s="5"/>
      <c r="R180" s="6"/>
      <c r="S180" s="1"/>
      <c r="T180" s="6"/>
      <c r="U180" s="1878"/>
      <c r="V180" s="1878"/>
      <c r="W180" s="1877"/>
      <c r="X180" s="1877"/>
      <c r="Y180" s="1877"/>
      <c r="Z180" s="1877"/>
      <c r="AA180" s="1878"/>
      <c r="AB180" s="1877"/>
      <c r="AC180" s="1877"/>
      <c r="AD180" s="1877"/>
      <c r="AE180" s="1911"/>
      <c r="AF180" s="1912"/>
      <c r="AG180" s="1881"/>
      <c r="AH180" s="1913"/>
      <c r="AJ180" s="1393"/>
    </row>
    <row r="181" spans="1:36" s="1350" customFormat="1">
      <c r="A181" s="1"/>
      <c r="B181" s="6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5"/>
      <c r="O181" s="7"/>
      <c r="P181" s="5"/>
      <c r="Q181" s="5"/>
      <c r="R181" s="6"/>
      <c r="S181" s="1"/>
      <c r="T181" s="6"/>
      <c r="U181" s="1878"/>
      <c r="V181" s="1878"/>
      <c r="W181" s="1877"/>
      <c r="X181" s="1877"/>
      <c r="Y181" s="1877"/>
      <c r="Z181" s="1877"/>
      <c r="AA181" s="1878"/>
      <c r="AB181" s="1877"/>
      <c r="AC181" s="1877"/>
      <c r="AD181" s="1877"/>
      <c r="AE181" s="1911"/>
      <c r="AF181" s="1912"/>
      <c r="AG181" s="1881"/>
      <c r="AH181" s="1913"/>
      <c r="AJ181" s="1393"/>
    </row>
    <row r="182" spans="1:36" s="1350" customFormat="1">
      <c r="A182" s="1"/>
      <c r="B182" s="6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5"/>
      <c r="O182" s="7"/>
      <c r="P182" s="5"/>
      <c r="Q182" s="5"/>
      <c r="R182" s="6"/>
      <c r="S182" s="1"/>
      <c r="T182" s="6"/>
      <c r="U182" s="1878"/>
      <c r="V182" s="1878"/>
      <c r="W182" s="1877"/>
      <c r="X182" s="1877"/>
      <c r="Y182" s="1877"/>
      <c r="Z182" s="1877"/>
      <c r="AA182" s="1878"/>
      <c r="AB182" s="1877"/>
      <c r="AC182" s="1877"/>
      <c r="AD182" s="1877"/>
      <c r="AE182" s="1911"/>
      <c r="AF182" s="1912"/>
      <c r="AG182" s="1881"/>
      <c r="AH182" s="1913"/>
      <c r="AJ182" s="1393"/>
    </row>
    <row r="183" spans="1:36" s="1350" customFormat="1">
      <c r="A183" s="1"/>
      <c r="B183" s="6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5"/>
      <c r="O183" s="7"/>
      <c r="P183" s="5"/>
      <c r="Q183" s="5"/>
      <c r="R183" s="6"/>
      <c r="S183" s="1"/>
      <c r="T183" s="6"/>
      <c r="U183" s="1878"/>
      <c r="V183" s="1878"/>
      <c r="W183" s="1877"/>
      <c r="X183" s="1877"/>
      <c r="Y183" s="1877"/>
      <c r="Z183" s="1877"/>
      <c r="AA183" s="1878"/>
      <c r="AB183" s="1877"/>
      <c r="AC183" s="1877"/>
      <c r="AD183" s="1877"/>
      <c r="AE183" s="1911"/>
      <c r="AF183" s="1912"/>
      <c r="AG183" s="1881"/>
      <c r="AH183" s="1913"/>
      <c r="AJ183" s="1393"/>
    </row>
    <row r="184" spans="1:36" s="1350" customFormat="1">
      <c r="A184" s="1"/>
      <c r="B184" s="6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5"/>
      <c r="O184" s="7"/>
      <c r="P184" s="5"/>
      <c r="Q184" s="5"/>
      <c r="R184" s="6"/>
      <c r="S184" s="1"/>
      <c r="T184" s="6"/>
      <c r="U184" s="1878"/>
      <c r="V184" s="1878"/>
      <c r="W184" s="1877"/>
      <c r="X184" s="1877"/>
      <c r="Y184" s="1877"/>
      <c r="Z184" s="1877"/>
      <c r="AA184" s="1878"/>
      <c r="AB184" s="1877"/>
      <c r="AC184" s="1877"/>
      <c r="AD184" s="1877"/>
      <c r="AE184" s="1911"/>
      <c r="AF184" s="1912"/>
      <c r="AG184" s="1881"/>
      <c r="AH184" s="1913"/>
      <c r="AJ184" s="1393"/>
    </row>
    <row r="185" spans="1:36" s="1350" customFormat="1">
      <c r="A185" s="1"/>
      <c r="B185" s="6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5"/>
      <c r="O185" s="7"/>
      <c r="P185" s="5"/>
      <c r="Q185" s="5"/>
      <c r="R185" s="6"/>
      <c r="S185" s="1"/>
      <c r="T185" s="6"/>
      <c r="U185" s="1878"/>
      <c r="V185" s="1878"/>
      <c r="W185" s="1877"/>
      <c r="X185" s="1877"/>
      <c r="Y185" s="1877"/>
      <c r="Z185" s="1877"/>
      <c r="AA185" s="1878"/>
      <c r="AB185" s="1877"/>
      <c r="AC185" s="1877"/>
      <c r="AD185" s="1877"/>
      <c r="AE185" s="1911"/>
      <c r="AF185" s="1912"/>
      <c r="AG185" s="1881"/>
      <c r="AH185" s="1913"/>
      <c r="AJ185" s="1393"/>
    </row>
    <row r="186" spans="1:36" s="1350" customFormat="1">
      <c r="A186" s="1"/>
      <c r="B186" s="6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5"/>
      <c r="O186" s="7"/>
      <c r="P186" s="5"/>
      <c r="Q186" s="5"/>
      <c r="R186" s="6"/>
      <c r="S186" s="1"/>
      <c r="T186" s="6"/>
      <c r="U186" s="1878"/>
      <c r="V186" s="1878"/>
      <c r="W186" s="1877"/>
      <c r="X186" s="1877"/>
      <c r="Y186" s="1877"/>
      <c r="Z186" s="1877"/>
      <c r="AA186" s="1878"/>
      <c r="AB186" s="1877"/>
      <c r="AC186" s="1877"/>
      <c r="AD186" s="1877"/>
      <c r="AE186" s="1911"/>
      <c r="AF186" s="1912"/>
      <c r="AG186" s="1881"/>
      <c r="AH186" s="1913"/>
      <c r="AJ186" s="1393"/>
    </row>
    <row r="187" spans="1:36" s="1350" customFormat="1">
      <c r="A187" s="1"/>
      <c r="B187" s="6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5"/>
      <c r="O187" s="7"/>
      <c r="P187" s="5"/>
      <c r="Q187" s="5"/>
      <c r="R187" s="6"/>
      <c r="S187" s="1"/>
      <c r="T187" s="6"/>
      <c r="U187" s="1878"/>
      <c r="V187" s="1878"/>
      <c r="W187" s="1877"/>
      <c r="X187" s="1877"/>
      <c r="Y187" s="1877"/>
      <c r="Z187" s="1877"/>
      <c r="AA187" s="1878"/>
      <c r="AB187" s="1877"/>
      <c r="AC187" s="1877"/>
      <c r="AD187" s="1877"/>
      <c r="AE187" s="1911"/>
      <c r="AF187" s="1912"/>
      <c r="AG187" s="1881"/>
      <c r="AH187" s="1913"/>
      <c r="AJ187" s="1393"/>
    </row>
    <row r="188" spans="1:36" s="1350" customFormat="1">
      <c r="A188" s="1"/>
      <c r="B188" s="6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5"/>
      <c r="O188" s="7"/>
      <c r="P188" s="5"/>
      <c r="Q188" s="5"/>
      <c r="R188" s="6"/>
      <c r="S188" s="1"/>
      <c r="T188" s="6"/>
      <c r="U188" s="1878"/>
      <c r="V188" s="1878"/>
      <c r="W188" s="1877"/>
      <c r="X188" s="1877"/>
      <c r="Y188" s="1877"/>
      <c r="Z188" s="1877"/>
      <c r="AA188" s="1878"/>
      <c r="AB188" s="1877"/>
      <c r="AC188" s="1877"/>
      <c r="AD188" s="1877"/>
      <c r="AE188" s="1911"/>
      <c r="AF188" s="1912"/>
      <c r="AG188" s="1881"/>
      <c r="AH188" s="1913"/>
      <c r="AJ188" s="1393"/>
    </row>
    <row r="189" spans="1:36" s="1350" customFormat="1">
      <c r="A189" s="1"/>
      <c r="B189" s="6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5"/>
      <c r="O189" s="7"/>
      <c r="P189" s="5"/>
      <c r="Q189" s="5"/>
      <c r="R189" s="6"/>
      <c r="S189" s="1"/>
      <c r="T189" s="6"/>
      <c r="U189" s="1878"/>
      <c r="V189" s="1878"/>
      <c r="W189" s="1877"/>
      <c r="X189" s="1877"/>
      <c r="Y189" s="1877"/>
      <c r="Z189" s="1877"/>
      <c r="AA189" s="1878"/>
      <c r="AB189" s="1877"/>
      <c r="AC189" s="1877"/>
      <c r="AD189" s="1877"/>
      <c r="AE189" s="1911"/>
      <c r="AF189" s="1912"/>
      <c r="AG189" s="1881"/>
      <c r="AH189" s="1913"/>
      <c r="AJ189" s="1393"/>
    </row>
    <row r="190" spans="1:36" s="1350" customFormat="1">
      <c r="A190" s="1"/>
      <c r="B190" s="6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5"/>
      <c r="O190" s="7"/>
      <c r="P190" s="5"/>
      <c r="Q190" s="5"/>
      <c r="R190" s="6"/>
      <c r="S190" s="1"/>
      <c r="T190" s="6"/>
      <c r="U190" s="1878"/>
      <c r="V190" s="1878"/>
      <c r="W190" s="1877"/>
      <c r="X190" s="1877"/>
      <c r="Y190" s="1877"/>
      <c r="Z190" s="1877"/>
      <c r="AA190" s="1878"/>
      <c r="AB190" s="1877"/>
      <c r="AC190" s="1877"/>
      <c r="AD190" s="1877"/>
      <c r="AE190" s="1911"/>
      <c r="AF190" s="1912"/>
      <c r="AG190" s="1881"/>
      <c r="AH190" s="1913"/>
      <c r="AJ190" s="1393"/>
    </row>
    <row r="191" spans="1:36" s="1350" customFormat="1">
      <c r="A191" s="1"/>
      <c r="B191" s="6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5"/>
      <c r="O191" s="7"/>
      <c r="P191" s="5"/>
      <c r="Q191" s="5"/>
      <c r="R191" s="6"/>
      <c r="S191" s="1"/>
      <c r="T191" s="6"/>
      <c r="U191" s="1878"/>
      <c r="V191" s="1878"/>
      <c r="W191" s="1877"/>
      <c r="X191" s="1877"/>
      <c r="Y191" s="1877"/>
      <c r="Z191" s="1877"/>
      <c r="AA191" s="1878"/>
      <c r="AB191" s="1877"/>
      <c r="AC191" s="1877"/>
      <c r="AD191" s="1877"/>
      <c r="AE191" s="1911"/>
      <c r="AF191" s="1912"/>
      <c r="AG191" s="1881"/>
      <c r="AH191" s="1913"/>
      <c r="AJ191" s="1393"/>
    </row>
    <row r="192" spans="1:36" s="1350" customFormat="1">
      <c r="A192" s="1"/>
      <c r="B192" s="6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5"/>
      <c r="O192" s="7"/>
      <c r="P192" s="5"/>
      <c r="Q192" s="5"/>
      <c r="R192" s="6"/>
      <c r="S192" s="1"/>
      <c r="T192" s="6"/>
      <c r="U192" s="1878"/>
      <c r="V192" s="1878"/>
      <c r="W192" s="1877"/>
      <c r="X192" s="1877"/>
      <c r="Y192" s="1877"/>
      <c r="Z192" s="1877"/>
      <c r="AA192" s="1878"/>
      <c r="AB192" s="1877"/>
      <c r="AC192" s="1877"/>
      <c r="AD192" s="1877"/>
      <c r="AE192" s="1911"/>
      <c r="AF192" s="1912"/>
      <c r="AG192" s="1881"/>
      <c r="AH192" s="1913"/>
      <c r="AJ192" s="1393"/>
    </row>
    <row r="193" spans="1:36" s="1350" customFormat="1">
      <c r="A193" s="1"/>
      <c r="B193" s="6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5"/>
      <c r="O193" s="7"/>
      <c r="P193" s="5"/>
      <c r="Q193" s="5"/>
      <c r="R193" s="6"/>
      <c r="S193" s="1"/>
      <c r="T193" s="6"/>
      <c r="U193" s="1878"/>
      <c r="V193" s="1878"/>
      <c r="W193" s="1877"/>
      <c r="X193" s="1877"/>
      <c r="Y193" s="1877"/>
      <c r="Z193" s="1877"/>
      <c r="AA193" s="1878"/>
      <c r="AB193" s="1877"/>
      <c r="AC193" s="1877"/>
      <c r="AD193" s="1877"/>
      <c r="AE193" s="1911"/>
      <c r="AF193" s="1912"/>
      <c r="AG193" s="1881"/>
      <c r="AH193" s="1913"/>
      <c r="AJ193" s="1393"/>
    </row>
    <row r="194" spans="1:36" s="1350" customFormat="1">
      <c r="A194" s="1"/>
      <c r="B194" s="6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5"/>
      <c r="O194" s="7"/>
      <c r="P194" s="5"/>
      <c r="Q194" s="5"/>
      <c r="R194" s="6"/>
      <c r="S194" s="1"/>
      <c r="T194" s="6"/>
      <c r="U194" s="1878"/>
      <c r="V194" s="1878"/>
      <c r="W194" s="1877"/>
      <c r="X194" s="1877"/>
      <c r="Y194" s="1877"/>
      <c r="Z194" s="1877"/>
      <c r="AA194" s="1878"/>
      <c r="AB194" s="1877"/>
      <c r="AC194" s="1877"/>
      <c r="AD194" s="1877"/>
      <c r="AE194" s="1911"/>
      <c r="AF194" s="1912"/>
      <c r="AG194" s="1881"/>
      <c r="AH194" s="1913"/>
      <c r="AJ194" s="1393"/>
    </row>
    <row r="195" spans="1:36" s="1350" customFormat="1">
      <c r="A195" s="1"/>
      <c r="B195" s="6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5"/>
      <c r="O195" s="7"/>
      <c r="P195" s="5"/>
      <c r="Q195" s="5"/>
      <c r="R195" s="6"/>
      <c r="S195" s="1"/>
      <c r="T195" s="6"/>
      <c r="U195" s="1878"/>
      <c r="V195" s="1878"/>
      <c r="W195" s="1877"/>
      <c r="X195" s="1877"/>
      <c r="Y195" s="1877"/>
      <c r="Z195" s="1877"/>
      <c r="AA195" s="1878"/>
      <c r="AB195" s="1877"/>
      <c r="AC195" s="1877"/>
      <c r="AD195" s="1877"/>
      <c r="AE195" s="1911"/>
      <c r="AF195" s="1912"/>
      <c r="AG195" s="1881"/>
      <c r="AH195" s="1913"/>
      <c r="AJ195" s="1393"/>
    </row>
    <row r="196" spans="1:36" s="1350" customFormat="1">
      <c r="A196" s="1"/>
      <c r="B196" s="6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5"/>
      <c r="O196" s="7"/>
      <c r="P196" s="5"/>
      <c r="Q196" s="5"/>
      <c r="R196" s="6"/>
      <c r="S196" s="1"/>
      <c r="T196" s="6"/>
      <c r="U196" s="1878"/>
      <c r="V196" s="1878"/>
      <c r="W196" s="1877"/>
      <c r="X196" s="1877"/>
      <c r="Y196" s="1877"/>
      <c r="Z196" s="1877"/>
      <c r="AA196" s="1878"/>
      <c r="AB196" s="1877"/>
      <c r="AC196" s="1877"/>
      <c r="AD196" s="1877"/>
      <c r="AE196" s="1911"/>
      <c r="AF196" s="1912"/>
      <c r="AG196" s="1881"/>
      <c r="AH196" s="1913"/>
      <c r="AJ196" s="1393"/>
    </row>
    <row r="197" spans="1:36" s="1350" customFormat="1">
      <c r="A197" s="1"/>
      <c r="B197" s="6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5"/>
      <c r="O197" s="7"/>
      <c r="P197" s="5"/>
      <c r="Q197" s="5"/>
      <c r="R197" s="6"/>
      <c r="S197" s="1"/>
      <c r="T197" s="6"/>
      <c r="U197" s="1878"/>
      <c r="V197" s="1878"/>
      <c r="W197" s="1877"/>
      <c r="X197" s="1877"/>
      <c r="Y197" s="1877"/>
      <c r="Z197" s="1877"/>
      <c r="AA197" s="1878"/>
      <c r="AB197" s="1877"/>
      <c r="AC197" s="1877"/>
      <c r="AD197" s="1877"/>
      <c r="AE197" s="1911"/>
      <c r="AF197" s="1912"/>
      <c r="AG197" s="1881"/>
      <c r="AH197" s="1913"/>
      <c r="AJ197" s="1393"/>
    </row>
    <row r="198" spans="1:36" s="1350" customFormat="1">
      <c r="A198" s="1"/>
      <c r="B198" s="6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5"/>
      <c r="O198" s="7"/>
      <c r="P198" s="5"/>
      <c r="Q198" s="5"/>
      <c r="R198" s="6"/>
      <c r="S198" s="1"/>
      <c r="T198" s="6"/>
      <c r="U198" s="1878"/>
      <c r="V198" s="1878"/>
      <c r="W198" s="1877"/>
      <c r="X198" s="1877"/>
      <c r="Y198" s="1877"/>
      <c r="Z198" s="1877"/>
      <c r="AA198" s="1878"/>
      <c r="AB198" s="1877"/>
      <c r="AC198" s="1877"/>
      <c r="AD198" s="1877"/>
      <c r="AE198" s="1911"/>
      <c r="AF198" s="1912"/>
      <c r="AG198" s="1881"/>
      <c r="AH198" s="1913"/>
      <c r="AJ198" s="1393"/>
    </row>
    <row r="199" spans="1:36" s="1350" customFormat="1">
      <c r="A199" s="1"/>
      <c r="B199" s="6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5"/>
      <c r="O199" s="7"/>
      <c r="P199" s="5"/>
      <c r="Q199" s="5"/>
      <c r="R199" s="6"/>
      <c r="S199" s="1"/>
      <c r="T199" s="6"/>
      <c r="U199" s="1878"/>
      <c r="V199" s="1878"/>
      <c r="W199" s="1877"/>
      <c r="X199" s="1877"/>
      <c r="Y199" s="1877"/>
      <c r="Z199" s="1877"/>
      <c r="AA199" s="1878"/>
      <c r="AB199" s="1877"/>
      <c r="AC199" s="1877"/>
      <c r="AD199" s="1877"/>
      <c r="AE199" s="1911"/>
      <c r="AF199" s="1912"/>
      <c r="AG199" s="1881"/>
      <c r="AH199" s="1913"/>
      <c r="AJ199" s="1393"/>
    </row>
    <row r="200" spans="1:36" s="1350" customFormat="1">
      <c r="A200" s="1"/>
      <c r="B200" s="6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5"/>
      <c r="O200" s="7"/>
      <c r="P200" s="5"/>
      <c r="Q200" s="5"/>
      <c r="R200" s="6"/>
      <c r="S200" s="1"/>
      <c r="T200" s="6"/>
      <c r="U200" s="1878"/>
      <c r="V200" s="1878"/>
      <c r="W200" s="1877"/>
      <c r="X200" s="1877"/>
      <c r="Y200" s="1877"/>
      <c r="Z200" s="1877"/>
      <c r="AA200" s="1878"/>
      <c r="AB200" s="1877"/>
      <c r="AC200" s="1877"/>
      <c r="AD200" s="1877"/>
      <c r="AE200" s="1911"/>
      <c r="AF200" s="1912"/>
      <c r="AG200" s="1881"/>
      <c r="AH200" s="1913"/>
      <c r="AJ200" s="1393"/>
    </row>
    <row r="201" spans="1:36" s="1350" customFormat="1">
      <c r="A201" s="1"/>
      <c r="B201" s="6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5"/>
      <c r="O201" s="7"/>
      <c r="P201" s="5"/>
      <c r="Q201" s="5"/>
      <c r="R201" s="6"/>
      <c r="S201" s="1"/>
      <c r="T201" s="6"/>
      <c r="U201" s="1878"/>
      <c r="V201" s="1878"/>
      <c r="W201" s="1877"/>
      <c r="X201" s="1877"/>
      <c r="Y201" s="1877"/>
      <c r="Z201" s="1877"/>
      <c r="AA201" s="1878"/>
      <c r="AB201" s="1877"/>
      <c r="AC201" s="1877"/>
      <c r="AD201" s="1877"/>
      <c r="AE201" s="1911"/>
      <c r="AF201" s="1912"/>
      <c r="AG201" s="1881"/>
      <c r="AH201" s="1913"/>
      <c r="AJ201" s="1393"/>
    </row>
    <row r="202" spans="1:36" s="1350" customFormat="1">
      <c r="A202" s="1"/>
      <c r="B202" s="6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5"/>
      <c r="O202" s="7"/>
      <c r="P202" s="5"/>
      <c r="Q202" s="5"/>
      <c r="R202" s="6"/>
      <c r="S202" s="1"/>
      <c r="T202" s="6"/>
      <c r="U202" s="1878"/>
      <c r="V202" s="1878"/>
      <c r="W202" s="1877"/>
      <c r="X202" s="1877"/>
      <c r="Y202" s="1877"/>
      <c r="Z202" s="1877"/>
      <c r="AA202" s="1878"/>
      <c r="AB202" s="1877"/>
      <c r="AC202" s="1877"/>
      <c r="AD202" s="1877"/>
      <c r="AE202" s="1911"/>
      <c r="AF202" s="1912"/>
      <c r="AG202" s="1881"/>
      <c r="AH202" s="1913"/>
      <c r="AJ202" s="1393"/>
    </row>
    <row r="203" spans="1:36" s="1350" customFormat="1">
      <c r="A203" s="1"/>
      <c r="B203" s="6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5"/>
      <c r="O203" s="7"/>
      <c r="P203" s="5"/>
      <c r="Q203" s="5"/>
      <c r="R203" s="6"/>
      <c r="S203" s="1"/>
      <c r="T203" s="6"/>
      <c r="U203" s="1878"/>
      <c r="V203" s="1878"/>
      <c r="W203" s="1877"/>
      <c r="X203" s="1877"/>
      <c r="Y203" s="1877"/>
      <c r="Z203" s="1877"/>
      <c r="AA203" s="1878"/>
      <c r="AB203" s="1877"/>
      <c r="AC203" s="1877"/>
      <c r="AD203" s="1877"/>
      <c r="AE203" s="1911"/>
      <c r="AF203" s="1912"/>
      <c r="AG203" s="1881"/>
      <c r="AH203" s="1913"/>
      <c r="AJ203" s="1393"/>
    </row>
    <row r="204" spans="1:36" s="1350" customFormat="1">
      <c r="A204" s="1"/>
      <c r="B204" s="6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5"/>
      <c r="O204" s="7"/>
      <c r="P204" s="5"/>
      <c r="Q204" s="5"/>
      <c r="R204" s="6"/>
      <c r="S204" s="1"/>
      <c r="T204" s="6"/>
      <c r="U204" s="1878"/>
      <c r="V204" s="1878"/>
      <c r="W204" s="1877"/>
      <c r="X204" s="1877"/>
      <c r="Y204" s="1877"/>
      <c r="Z204" s="1877"/>
      <c r="AA204" s="1878"/>
      <c r="AB204" s="1877"/>
      <c r="AC204" s="1877"/>
      <c r="AD204" s="1877"/>
      <c r="AE204" s="1911"/>
      <c r="AF204" s="1912"/>
      <c r="AG204" s="1881"/>
      <c r="AH204" s="1913"/>
      <c r="AJ204" s="1393"/>
    </row>
    <row r="205" spans="1:36" s="1350" customFormat="1">
      <c r="A205" s="1"/>
      <c r="B205" s="6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5"/>
      <c r="O205" s="7"/>
      <c r="P205" s="5"/>
      <c r="Q205" s="5"/>
      <c r="R205" s="6"/>
      <c r="S205" s="1"/>
      <c r="T205" s="6"/>
      <c r="U205" s="1878"/>
      <c r="V205" s="1878"/>
      <c r="W205" s="1877"/>
      <c r="X205" s="1877"/>
      <c r="Y205" s="1877"/>
      <c r="Z205" s="1877"/>
      <c r="AA205" s="1878"/>
      <c r="AB205" s="1877"/>
      <c r="AC205" s="1877"/>
      <c r="AD205" s="1877"/>
      <c r="AE205" s="1911"/>
      <c r="AF205" s="1912"/>
      <c r="AG205" s="1881"/>
      <c r="AH205" s="1913"/>
      <c r="AJ205" s="1393"/>
    </row>
    <row r="206" spans="1:36" s="1350" customFormat="1">
      <c r="A206" s="1"/>
      <c r="B206" s="6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5"/>
      <c r="O206" s="7"/>
      <c r="P206" s="5"/>
      <c r="Q206" s="5"/>
      <c r="R206" s="6"/>
      <c r="S206" s="1"/>
      <c r="T206" s="6"/>
      <c r="U206" s="1878"/>
      <c r="V206" s="1878"/>
      <c r="W206" s="1877"/>
      <c r="X206" s="1877"/>
      <c r="Y206" s="1877"/>
      <c r="Z206" s="1877"/>
      <c r="AA206" s="1878"/>
      <c r="AB206" s="1877"/>
      <c r="AC206" s="1877"/>
      <c r="AD206" s="1877"/>
      <c r="AE206" s="1911"/>
      <c r="AF206" s="1912"/>
      <c r="AG206" s="1881"/>
      <c r="AH206" s="1913"/>
      <c r="AJ206" s="1393"/>
    </row>
    <row r="207" spans="1:36" s="1350" customFormat="1">
      <c r="A207" s="1"/>
      <c r="B207" s="6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5"/>
      <c r="O207" s="7"/>
      <c r="P207" s="5"/>
      <c r="Q207" s="5"/>
      <c r="R207" s="6"/>
      <c r="S207" s="1"/>
      <c r="T207" s="6"/>
      <c r="U207" s="1878"/>
      <c r="V207" s="1878"/>
      <c r="W207" s="1877"/>
      <c r="X207" s="1877"/>
      <c r="Y207" s="1877"/>
      <c r="Z207" s="1877"/>
      <c r="AA207" s="1878"/>
      <c r="AB207" s="1877"/>
      <c r="AC207" s="1877"/>
      <c r="AD207" s="1877"/>
      <c r="AE207" s="1911"/>
      <c r="AF207" s="1912"/>
      <c r="AG207" s="1881"/>
      <c r="AH207" s="1913"/>
      <c r="AJ207" s="1393"/>
    </row>
    <row r="208" spans="1:36" s="1350" customFormat="1">
      <c r="A208" s="1"/>
      <c r="B208" s="6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5"/>
      <c r="O208" s="7"/>
      <c r="P208" s="5"/>
      <c r="Q208" s="5"/>
      <c r="R208" s="6"/>
      <c r="S208" s="1"/>
      <c r="T208" s="6"/>
      <c r="U208" s="1878"/>
      <c r="V208" s="1878"/>
      <c r="W208" s="1877"/>
      <c r="X208" s="1877"/>
      <c r="Y208" s="1877"/>
      <c r="Z208" s="1877"/>
      <c r="AA208" s="1878"/>
      <c r="AB208" s="1877"/>
      <c r="AC208" s="1877"/>
      <c r="AD208" s="1877"/>
      <c r="AE208" s="1911"/>
      <c r="AF208" s="1912"/>
      <c r="AG208" s="1881"/>
      <c r="AH208" s="1913"/>
      <c r="AJ208" s="1393"/>
    </row>
    <row r="209" spans="1:36" s="1350" customFormat="1">
      <c r="A209" s="1"/>
      <c r="B209" s="6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5"/>
      <c r="O209" s="7"/>
      <c r="P209" s="5"/>
      <c r="Q209" s="5"/>
      <c r="R209" s="6"/>
      <c r="S209" s="1"/>
      <c r="T209" s="6"/>
      <c r="U209" s="1878"/>
      <c r="V209" s="1878"/>
      <c r="W209" s="1877"/>
      <c r="X209" s="1877"/>
      <c r="Y209" s="1877"/>
      <c r="Z209" s="1877"/>
      <c r="AA209" s="1878"/>
      <c r="AB209" s="1877"/>
      <c r="AC209" s="1877"/>
      <c r="AD209" s="1877"/>
      <c r="AE209" s="1911"/>
      <c r="AF209" s="1912"/>
      <c r="AG209" s="1881"/>
      <c r="AH209" s="1913"/>
      <c r="AJ209" s="1393"/>
    </row>
    <row r="210" spans="1:36" s="1350" customFormat="1">
      <c r="A210" s="1"/>
      <c r="B210" s="6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5"/>
      <c r="O210" s="7"/>
      <c r="P210" s="5"/>
      <c r="Q210" s="5"/>
      <c r="R210" s="6"/>
      <c r="S210" s="1"/>
      <c r="T210" s="6"/>
      <c r="U210" s="1878"/>
      <c r="V210" s="1878"/>
      <c r="W210" s="1877"/>
      <c r="X210" s="1877"/>
      <c r="Y210" s="1877"/>
      <c r="Z210" s="1877"/>
      <c r="AA210" s="1878"/>
      <c r="AB210" s="1877"/>
      <c r="AC210" s="1877"/>
      <c r="AD210" s="1877"/>
      <c r="AE210" s="1911"/>
      <c r="AF210" s="1912"/>
      <c r="AG210" s="1881"/>
      <c r="AH210" s="1913"/>
      <c r="AJ210" s="1393"/>
    </row>
    <row r="211" spans="1:36" s="1350" customFormat="1">
      <c r="A211" s="1"/>
      <c r="B211" s="6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5"/>
      <c r="O211" s="7"/>
      <c r="P211" s="5"/>
      <c r="Q211" s="5"/>
      <c r="R211" s="6"/>
      <c r="S211" s="1"/>
      <c r="T211" s="6"/>
      <c r="U211" s="1878"/>
      <c r="V211" s="1878"/>
      <c r="W211" s="1877"/>
      <c r="X211" s="1877"/>
      <c r="Y211" s="1877"/>
      <c r="Z211" s="1877"/>
      <c r="AA211" s="1878"/>
      <c r="AB211" s="1877"/>
      <c r="AC211" s="1877"/>
      <c r="AD211" s="1877"/>
      <c r="AE211" s="1911"/>
      <c r="AF211" s="1912"/>
      <c r="AG211" s="1881"/>
      <c r="AH211" s="1913"/>
      <c r="AJ211" s="1393"/>
    </row>
    <row r="212" spans="1:36" s="1350" customFormat="1">
      <c r="A212" s="1"/>
      <c r="B212" s="6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5"/>
      <c r="O212" s="7"/>
      <c r="P212" s="5"/>
      <c r="Q212" s="5"/>
      <c r="R212" s="6"/>
      <c r="S212" s="1"/>
      <c r="T212" s="6"/>
      <c r="U212" s="1878"/>
      <c r="V212" s="1878"/>
      <c r="W212" s="1877"/>
      <c r="X212" s="1877"/>
      <c r="Y212" s="1877"/>
      <c r="Z212" s="1877"/>
      <c r="AA212" s="1878"/>
      <c r="AB212" s="1877"/>
      <c r="AC212" s="1877"/>
      <c r="AD212" s="1877"/>
      <c r="AE212" s="1911"/>
      <c r="AF212" s="1912"/>
      <c r="AG212" s="1881"/>
      <c r="AH212" s="1913"/>
      <c r="AJ212" s="1393"/>
    </row>
    <row r="213" spans="1:36" s="1350" customFormat="1">
      <c r="A213" s="1"/>
      <c r="B213" s="6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5"/>
      <c r="O213" s="7"/>
      <c r="P213" s="5"/>
      <c r="Q213" s="5"/>
      <c r="R213" s="6"/>
      <c r="S213" s="1"/>
      <c r="T213" s="6"/>
      <c r="U213" s="1878"/>
      <c r="V213" s="1878"/>
      <c r="W213" s="1877"/>
      <c r="X213" s="1877"/>
      <c r="Y213" s="1877"/>
      <c r="Z213" s="1877"/>
      <c r="AA213" s="1878"/>
      <c r="AB213" s="1877"/>
      <c r="AC213" s="1877"/>
      <c r="AD213" s="1877"/>
      <c r="AE213" s="1911"/>
      <c r="AF213" s="1912"/>
      <c r="AG213" s="1881"/>
      <c r="AH213" s="1913"/>
      <c r="AJ213" s="1393"/>
    </row>
    <row r="214" spans="1:36" s="1350" customFormat="1">
      <c r="A214" s="1"/>
      <c r="B214" s="6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5"/>
      <c r="O214" s="7"/>
      <c r="P214" s="5"/>
      <c r="Q214" s="5"/>
      <c r="R214" s="6"/>
      <c r="S214" s="1"/>
      <c r="T214" s="6"/>
      <c r="U214" s="1878"/>
      <c r="V214" s="1878"/>
      <c r="W214" s="1877"/>
      <c r="X214" s="1877"/>
      <c r="Y214" s="1877"/>
      <c r="Z214" s="1877"/>
      <c r="AA214" s="1878"/>
      <c r="AB214" s="1877"/>
      <c r="AC214" s="1877"/>
      <c r="AD214" s="1877"/>
      <c r="AE214" s="1911"/>
      <c r="AF214" s="1912"/>
      <c r="AG214" s="1881"/>
      <c r="AH214" s="1913"/>
      <c r="AJ214" s="1393"/>
    </row>
    <row r="215" spans="1:36" s="1350" customFormat="1">
      <c r="A215" s="1"/>
      <c r="B215" s="6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5"/>
      <c r="O215" s="7"/>
      <c r="P215" s="5"/>
      <c r="Q215" s="5"/>
      <c r="R215" s="6"/>
      <c r="S215" s="1"/>
      <c r="T215" s="6"/>
      <c r="U215" s="1878"/>
      <c r="V215" s="1878"/>
      <c r="W215" s="1877"/>
      <c r="X215" s="1877"/>
      <c r="Y215" s="1877"/>
      <c r="Z215" s="1877"/>
      <c r="AA215" s="1878"/>
      <c r="AB215" s="1877"/>
      <c r="AC215" s="1877"/>
      <c r="AD215" s="1877"/>
      <c r="AE215" s="1911"/>
      <c r="AF215" s="1912"/>
      <c r="AG215" s="1881"/>
      <c r="AH215" s="1913"/>
      <c r="AJ215" s="1393"/>
    </row>
    <row r="216" spans="1:36" s="1350" customFormat="1">
      <c r="A216" s="1"/>
      <c r="B216" s="6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5"/>
      <c r="O216" s="7"/>
      <c r="P216" s="5"/>
      <c r="Q216" s="5"/>
      <c r="R216" s="6"/>
      <c r="S216" s="1"/>
      <c r="T216" s="6"/>
      <c r="U216" s="1878"/>
      <c r="V216" s="1878"/>
      <c r="W216" s="1877"/>
      <c r="X216" s="1877"/>
      <c r="Y216" s="1877"/>
      <c r="Z216" s="1877"/>
      <c r="AA216" s="1878"/>
      <c r="AB216" s="1877"/>
      <c r="AC216" s="1877"/>
      <c r="AD216" s="1877"/>
      <c r="AE216" s="1911"/>
      <c r="AF216" s="1912"/>
      <c r="AG216" s="1881"/>
      <c r="AH216" s="1913"/>
      <c r="AJ216" s="1393"/>
    </row>
    <row r="217" spans="1:36" s="1350" customFormat="1">
      <c r="A217" s="1"/>
      <c r="B217" s="6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5"/>
      <c r="O217" s="7"/>
      <c r="P217" s="5"/>
      <c r="Q217" s="5"/>
      <c r="R217" s="6"/>
      <c r="S217" s="1"/>
      <c r="T217" s="6"/>
      <c r="U217" s="1878"/>
      <c r="V217" s="1878"/>
      <c r="W217" s="1877"/>
      <c r="X217" s="1877"/>
      <c r="Y217" s="1877"/>
      <c r="Z217" s="1877"/>
      <c r="AA217" s="1878"/>
      <c r="AB217" s="1877"/>
      <c r="AC217" s="1877"/>
      <c r="AD217" s="1877"/>
      <c r="AE217" s="1911"/>
      <c r="AF217" s="1912"/>
      <c r="AG217" s="1881"/>
      <c r="AH217" s="1913"/>
      <c r="AJ217" s="1393"/>
    </row>
    <row r="218" spans="1:36" s="1350" customFormat="1">
      <c r="A218" s="1"/>
      <c r="B218" s="6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5"/>
      <c r="O218" s="7"/>
      <c r="P218" s="5"/>
      <c r="Q218" s="5"/>
      <c r="R218" s="6"/>
      <c r="S218" s="1"/>
      <c r="T218" s="6"/>
      <c r="U218" s="1878"/>
      <c r="V218" s="1878"/>
      <c r="W218" s="1877"/>
      <c r="X218" s="1877"/>
      <c r="Y218" s="1877"/>
      <c r="Z218" s="1877"/>
      <c r="AA218" s="1878"/>
      <c r="AB218" s="1877"/>
      <c r="AC218" s="1877"/>
      <c r="AD218" s="1877"/>
      <c r="AE218" s="1911"/>
      <c r="AF218" s="1912"/>
      <c r="AG218" s="1881"/>
      <c r="AH218" s="1913"/>
      <c r="AJ218" s="1393"/>
    </row>
    <row r="219" spans="1:36" s="1350" customFormat="1">
      <c r="A219" s="1"/>
      <c r="B219" s="6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5"/>
      <c r="O219" s="7"/>
      <c r="P219" s="5"/>
      <c r="Q219" s="5"/>
      <c r="R219" s="6"/>
      <c r="S219" s="1"/>
      <c r="T219" s="6"/>
      <c r="U219" s="1878"/>
      <c r="V219" s="1878"/>
      <c r="W219" s="1877"/>
      <c r="X219" s="1877"/>
      <c r="Y219" s="1877"/>
      <c r="Z219" s="1877"/>
      <c r="AA219" s="1878"/>
      <c r="AB219" s="1877"/>
      <c r="AC219" s="1877"/>
      <c r="AD219" s="1877"/>
      <c r="AE219" s="1911"/>
      <c r="AF219" s="1912"/>
      <c r="AG219" s="1881"/>
      <c r="AH219" s="1913"/>
      <c r="AJ219" s="1393"/>
    </row>
    <row r="220" spans="1:36" s="1350" customFormat="1">
      <c r="A220" s="1"/>
      <c r="B220" s="6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5"/>
      <c r="O220" s="7"/>
      <c r="P220" s="5"/>
      <c r="Q220" s="5"/>
      <c r="R220" s="6"/>
      <c r="S220" s="1"/>
      <c r="T220" s="6"/>
      <c r="U220" s="1878"/>
      <c r="V220" s="1878"/>
      <c r="W220" s="1877"/>
      <c r="X220" s="1877"/>
      <c r="Y220" s="1877"/>
      <c r="Z220" s="1877"/>
      <c r="AA220" s="1878"/>
      <c r="AB220" s="1877"/>
      <c r="AC220" s="1877"/>
      <c r="AD220" s="1877"/>
      <c r="AE220" s="1911"/>
      <c r="AF220" s="1912"/>
      <c r="AG220" s="1881"/>
      <c r="AH220" s="1913"/>
      <c r="AJ220" s="1393"/>
    </row>
    <row r="221" spans="1:36" s="1350" customFormat="1">
      <c r="A221" s="1"/>
      <c r="B221" s="6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5"/>
      <c r="O221" s="7"/>
      <c r="P221" s="5"/>
      <c r="Q221" s="5"/>
      <c r="R221" s="6"/>
      <c r="S221" s="1"/>
      <c r="T221" s="6"/>
      <c r="U221" s="1878"/>
      <c r="V221" s="1878"/>
      <c r="W221" s="1877"/>
      <c r="X221" s="1877"/>
      <c r="Y221" s="1877"/>
      <c r="Z221" s="1877"/>
      <c r="AA221" s="1878"/>
      <c r="AB221" s="1877"/>
      <c r="AC221" s="1877"/>
      <c r="AD221" s="1877"/>
      <c r="AE221" s="1911"/>
      <c r="AF221" s="1912"/>
      <c r="AG221" s="1881"/>
      <c r="AH221" s="1913"/>
      <c r="AJ221" s="1393"/>
    </row>
    <row r="222" spans="1:36" s="1350" customFormat="1">
      <c r="A222" s="1"/>
      <c r="B222" s="6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5"/>
      <c r="O222" s="7"/>
      <c r="P222" s="5"/>
      <c r="Q222" s="5"/>
      <c r="R222" s="6"/>
      <c r="S222" s="1"/>
      <c r="T222" s="6"/>
      <c r="U222" s="1878"/>
      <c r="V222" s="1878"/>
      <c r="W222" s="1877"/>
      <c r="X222" s="1877"/>
      <c r="Y222" s="1877"/>
      <c r="Z222" s="1877"/>
      <c r="AA222" s="1878"/>
      <c r="AB222" s="1877"/>
      <c r="AC222" s="1877"/>
      <c r="AD222" s="1877"/>
      <c r="AE222" s="1911"/>
      <c r="AF222" s="1912"/>
      <c r="AG222" s="1881"/>
      <c r="AH222" s="1913"/>
      <c r="AJ222" s="1393"/>
    </row>
    <row r="223" spans="1:36" s="1350" customFormat="1">
      <c r="A223" s="1"/>
      <c r="B223" s="6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5"/>
      <c r="O223" s="7"/>
      <c r="P223" s="5"/>
      <c r="Q223" s="5"/>
      <c r="R223" s="6"/>
      <c r="S223" s="1"/>
      <c r="T223" s="6"/>
      <c r="U223" s="1878"/>
      <c r="V223" s="1878"/>
      <c r="W223" s="1877"/>
      <c r="X223" s="1877"/>
      <c r="Y223" s="1877"/>
      <c r="Z223" s="1877"/>
      <c r="AA223" s="1878"/>
      <c r="AB223" s="1877"/>
      <c r="AC223" s="1877"/>
      <c r="AD223" s="1877"/>
      <c r="AE223" s="1911"/>
      <c r="AF223" s="1912"/>
      <c r="AG223" s="1881"/>
      <c r="AH223" s="1913"/>
      <c r="AJ223" s="1393"/>
    </row>
    <row r="224" spans="1:36" s="1350" customFormat="1">
      <c r="A224" s="1"/>
      <c r="B224" s="6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5"/>
      <c r="O224" s="7"/>
      <c r="P224" s="5"/>
      <c r="Q224" s="5"/>
      <c r="R224" s="6"/>
      <c r="S224" s="1"/>
      <c r="T224" s="6"/>
      <c r="U224" s="1878"/>
      <c r="V224" s="1878"/>
      <c r="W224" s="1877"/>
      <c r="X224" s="1877"/>
      <c r="Y224" s="1877"/>
      <c r="Z224" s="1877"/>
      <c r="AA224" s="1878"/>
      <c r="AB224" s="1877"/>
      <c r="AC224" s="1877"/>
      <c r="AD224" s="1877"/>
      <c r="AE224" s="1911"/>
      <c r="AF224" s="1912"/>
      <c r="AG224" s="1881"/>
      <c r="AH224" s="1913"/>
      <c r="AJ224" s="1393"/>
    </row>
    <row r="225" spans="1:36" s="1350" customFormat="1">
      <c r="A225" s="1"/>
      <c r="B225" s="6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5"/>
      <c r="O225" s="7"/>
      <c r="P225" s="5"/>
      <c r="Q225" s="5"/>
      <c r="R225" s="6"/>
      <c r="S225" s="1"/>
      <c r="T225" s="6"/>
      <c r="U225" s="1878"/>
      <c r="V225" s="1878"/>
      <c r="W225" s="1877"/>
      <c r="X225" s="1877"/>
      <c r="Y225" s="1877"/>
      <c r="Z225" s="1877"/>
      <c r="AA225" s="1878"/>
      <c r="AB225" s="1877"/>
      <c r="AC225" s="1877"/>
      <c r="AD225" s="1877"/>
      <c r="AE225" s="1911"/>
      <c r="AF225" s="1912"/>
      <c r="AG225" s="1881"/>
      <c r="AH225" s="1913"/>
      <c r="AJ225" s="1393"/>
    </row>
    <row r="226" spans="1:36" s="1350" customFormat="1">
      <c r="A226" s="1"/>
      <c r="B226" s="6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5"/>
      <c r="O226" s="7"/>
      <c r="P226" s="5"/>
      <c r="Q226" s="5"/>
      <c r="R226" s="6"/>
      <c r="S226" s="1"/>
      <c r="T226" s="6"/>
      <c r="U226" s="1878"/>
      <c r="V226" s="1878"/>
      <c r="W226" s="1877"/>
      <c r="X226" s="1877"/>
      <c r="Y226" s="1877"/>
      <c r="Z226" s="1877"/>
      <c r="AA226" s="1878"/>
      <c r="AB226" s="1877"/>
      <c r="AC226" s="1877"/>
      <c r="AD226" s="1877"/>
      <c r="AE226" s="1911"/>
      <c r="AF226" s="1912"/>
      <c r="AG226" s="1881"/>
      <c r="AH226" s="1913"/>
      <c r="AJ226" s="1393"/>
    </row>
    <row r="227" spans="1:36" s="1350" customFormat="1">
      <c r="A227" s="1"/>
      <c r="B227" s="6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5"/>
      <c r="O227" s="7"/>
      <c r="P227" s="5"/>
      <c r="Q227" s="5"/>
      <c r="R227" s="6"/>
      <c r="S227" s="1"/>
      <c r="T227" s="6"/>
      <c r="U227" s="1878"/>
      <c r="V227" s="1878"/>
      <c r="W227" s="1877"/>
      <c r="X227" s="1877"/>
      <c r="Y227" s="1877"/>
      <c r="Z227" s="1877"/>
      <c r="AA227" s="1878"/>
      <c r="AB227" s="1877"/>
      <c r="AC227" s="1877"/>
      <c r="AD227" s="1877"/>
      <c r="AE227" s="1911"/>
      <c r="AF227" s="1912"/>
      <c r="AG227" s="1881"/>
      <c r="AH227" s="1913"/>
      <c r="AJ227" s="1393"/>
    </row>
    <row r="228" spans="1:36" s="1350" customFormat="1">
      <c r="A228" s="1"/>
      <c r="B228" s="6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5"/>
      <c r="O228" s="7"/>
      <c r="P228" s="5"/>
      <c r="Q228" s="5"/>
      <c r="R228" s="6"/>
      <c r="S228" s="1"/>
      <c r="T228" s="6"/>
      <c r="U228" s="1878"/>
      <c r="V228" s="1878"/>
      <c r="W228" s="1877"/>
      <c r="X228" s="1877"/>
      <c r="Y228" s="1877"/>
      <c r="Z228" s="1877"/>
      <c r="AA228" s="1878"/>
      <c r="AB228" s="1877"/>
      <c r="AC228" s="1877"/>
      <c r="AD228" s="1877"/>
      <c r="AE228" s="1911"/>
      <c r="AF228" s="1912"/>
      <c r="AG228" s="1881"/>
      <c r="AH228" s="1913"/>
      <c r="AJ228" s="1393"/>
    </row>
    <row r="229" spans="1:36" s="1350" customFormat="1">
      <c r="A229" s="1"/>
      <c r="B229" s="6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5"/>
      <c r="O229" s="7"/>
      <c r="P229" s="5"/>
      <c r="Q229" s="5"/>
      <c r="R229" s="6"/>
      <c r="S229" s="1"/>
      <c r="T229" s="6"/>
      <c r="U229" s="1878"/>
      <c r="V229" s="1878"/>
      <c r="W229" s="1877"/>
      <c r="X229" s="1877"/>
      <c r="Y229" s="1877"/>
      <c r="Z229" s="1877"/>
      <c r="AA229" s="1878"/>
      <c r="AB229" s="1877"/>
      <c r="AC229" s="1877"/>
      <c r="AD229" s="1877"/>
      <c r="AE229" s="1911"/>
      <c r="AF229" s="1912"/>
      <c r="AG229" s="1881"/>
      <c r="AH229" s="1913"/>
      <c r="AJ229" s="1393"/>
    </row>
    <row r="230" spans="1:36" s="1350" customFormat="1">
      <c r="A230" s="1"/>
      <c r="B230" s="6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5"/>
      <c r="O230" s="7"/>
      <c r="P230" s="5"/>
      <c r="Q230" s="5"/>
      <c r="R230" s="6"/>
      <c r="S230" s="1"/>
      <c r="T230" s="6"/>
      <c r="U230" s="1878"/>
      <c r="V230" s="1878"/>
      <c r="W230" s="1877"/>
      <c r="X230" s="1877"/>
      <c r="Y230" s="1877"/>
      <c r="Z230" s="1877"/>
      <c r="AA230" s="1878"/>
      <c r="AB230" s="1877"/>
      <c r="AC230" s="1877"/>
      <c r="AD230" s="1877"/>
      <c r="AE230" s="1911"/>
      <c r="AF230" s="1912"/>
      <c r="AG230" s="1881"/>
      <c r="AH230" s="1913"/>
      <c r="AJ230" s="1393"/>
    </row>
    <row r="231" spans="1:36" s="1350" customFormat="1">
      <c r="A231" s="1"/>
      <c r="B231" s="6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5"/>
      <c r="O231" s="7"/>
      <c r="P231" s="5"/>
      <c r="Q231" s="5"/>
      <c r="R231" s="6"/>
      <c r="S231" s="1"/>
      <c r="T231" s="6"/>
      <c r="U231" s="1878"/>
      <c r="V231" s="1878"/>
      <c r="W231" s="1877"/>
      <c r="X231" s="1877"/>
      <c r="Y231" s="1877"/>
      <c r="Z231" s="1877"/>
      <c r="AA231" s="1878"/>
      <c r="AB231" s="1877"/>
      <c r="AC231" s="1877"/>
      <c r="AD231" s="1877"/>
      <c r="AE231" s="1911"/>
      <c r="AF231" s="1912"/>
      <c r="AG231" s="1881"/>
      <c r="AH231" s="1913"/>
      <c r="AJ231" s="1393"/>
    </row>
    <row r="232" spans="1:36" s="1350" customFormat="1">
      <c r="A232" s="1"/>
      <c r="B232" s="6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5"/>
      <c r="O232" s="7"/>
      <c r="P232" s="5"/>
      <c r="Q232" s="5"/>
      <c r="R232" s="6"/>
      <c r="S232" s="1"/>
      <c r="T232" s="6"/>
      <c r="U232" s="1878"/>
      <c r="V232" s="1878"/>
      <c r="W232" s="1877"/>
      <c r="X232" s="1877"/>
      <c r="Y232" s="1877"/>
      <c r="Z232" s="1877"/>
      <c r="AA232" s="1878"/>
      <c r="AB232" s="1877"/>
      <c r="AC232" s="1877"/>
      <c r="AD232" s="1877"/>
      <c r="AE232" s="1911"/>
      <c r="AF232" s="1912"/>
      <c r="AG232" s="1881"/>
      <c r="AH232" s="1913"/>
      <c r="AJ232" s="1393"/>
    </row>
    <row r="233" spans="1:36" s="1350" customFormat="1">
      <c r="A233" s="1"/>
      <c r="B233" s="6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5"/>
      <c r="O233" s="7"/>
      <c r="P233" s="5"/>
      <c r="Q233" s="5"/>
      <c r="R233" s="6"/>
      <c r="S233" s="1"/>
      <c r="T233" s="6"/>
      <c r="U233" s="1878"/>
      <c r="V233" s="1878"/>
      <c r="W233" s="1877"/>
      <c r="X233" s="1877"/>
      <c r="Y233" s="1877"/>
      <c r="Z233" s="1877"/>
      <c r="AA233" s="1878"/>
      <c r="AB233" s="1877"/>
      <c r="AC233" s="1877"/>
      <c r="AD233" s="1877"/>
      <c r="AE233" s="1911"/>
      <c r="AF233" s="1912"/>
      <c r="AG233" s="1881"/>
      <c r="AH233" s="1913"/>
      <c r="AJ233" s="1393"/>
    </row>
    <row r="234" spans="1:36" s="1350" customFormat="1">
      <c r="A234" s="1"/>
      <c r="B234" s="6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5"/>
      <c r="O234" s="7"/>
      <c r="P234" s="5"/>
      <c r="Q234" s="5"/>
      <c r="R234" s="6"/>
      <c r="S234" s="1"/>
      <c r="T234" s="6"/>
      <c r="U234" s="1878"/>
      <c r="V234" s="1878"/>
      <c r="W234" s="1877"/>
      <c r="X234" s="1877"/>
      <c r="Y234" s="1877"/>
      <c r="Z234" s="1877"/>
      <c r="AA234" s="1878"/>
      <c r="AB234" s="1877"/>
      <c r="AC234" s="1877"/>
      <c r="AD234" s="1877"/>
      <c r="AE234" s="1911"/>
      <c r="AF234" s="1912"/>
      <c r="AG234" s="1881"/>
      <c r="AH234" s="1913"/>
      <c r="AJ234" s="1393"/>
    </row>
    <row r="235" spans="1:36" s="1350" customFormat="1">
      <c r="A235" s="1"/>
      <c r="B235" s="6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5"/>
      <c r="O235" s="7"/>
      <c r="P235" s="5"/>
      <c r="Q235" s="5"/>
      <c r="R235" s="6"/>
      <c r="S235" s="1"/>
      <c r="T235" s="6"/>
      <c r="U235" s="1878"/>
      <c r="V235" s="1878"/>
      <c r="W235" s="1877"/>
      <c r="X235" s="1877"/>
      <c r="Y235" s="1877"/>
      <c r="Z235" s="1877"/>
      <c r="AA235" s="1878"/>
      <c r="AB235" s="1877"/>
      <c r="AC235" s="1877"/>
      <c r="AD235" s="1877"/>
      <c r="AE235" s="1911"/>
      <c r="AF235" s="1912"/>
      <c r="AG235" s="1881"/>
      <c r="AH235" s="1913"/>
      <c r="AJ235" s="1393"/>
    </row>
    <row r="236" spans="1:36" s="1350" customFormat="1">
      <c r="A236" s="1"/>
      <c r="B236" s="6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5"/>
      <c r="O236" s="7"/>
      <c r="P236" s="5"/>
      <c r="Q236" s="5"/>
      <c r="R236" s="6"/>
      <c r="S236" s="1"/>
      <c r="T236" s="6"/>
      <c r="U236" s="1878"/>
      <c r="V236" s="1878"/>
      <c r="W236" s="1877"/>
      <c r="X236" s="1877"/>
      <c r="Y236" s="1877"/>
      <c r="Z236" s="1877"/>
      <c r="AA236" s="1878"/>
      <c r="AB236" s="1877"/>
      <c r="AC236" s="1877"/>
      <c r="AD236" s="1877"/>
      <c r="AE236" s="1911"/>
      <c r="AF236" s="1912"/>
      <c r="AG236" s="1881"/>
      <c r="AH236" s="1913"/>
      <c r="AJ236" s="1393"/>
    </row>
    <row r="237" spans="1:36" s="1350" customFormat="1">
      <c r="A237" s="1"/>
      <c r="B237" s="6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5"/>
      <c r="O237" s="7"/>
      <c r="P237" s="5"/>
      <c r="Q237" s="5"/>
      <c r="R237" s="6"/>
      <c r="S237" s="1"/>
      <c r="T237" s="6"/>
      <c r="U237" s="1878"/>
      <c r="V237" s="1878"/>
      <c r="W237" s="1877"/>
      <c r="X237" s="1877"/>
      <c r="Y237" s="1877"/>
      <c r="Z237" s="1877"/>
      <c r="AA237" s="1878"/>
      <c r="AB237" s="1877"/>
      <c r="AC237" s="1877"/>
      <c r="AD237" s="1877"/>
      <c r="AE237" s="1911"/>
      <c r="AF237" s="1912"/>
      <c r="AG237" s="1881"/>
      <c r="AH237" s="1913"/>
      <c r="AJ237" s="1393"/>
    </row>
    <row r="238" spans="1:36" s="1350" customFormat="1">
      <c r="A238" s="1"/>
      <c r="B238" s="6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5"/>
      <c r="O238" s="7"/>
      <c r="P238" s="5"/>
      <c r="Q238" s="5"/>
      <c r="R238" s="6"/>
      <c r="S238" s="1"/>
      <c r="T238" s="6"/>
      <c r="U238" s="1878"/>
      <c r="V238" s="1878"/>
      <c r="W238" s="1877"/>
      <c r="X238" s="1877"/>
      <c r="Y238" s="1877"/>
      <c r="Z238" s="1877"/>
      <c r="AA238" s="1878"/>
      <c r="AB238" s="1877"/>
      <c r="AC238" s="1877"/>
      <c r="AD238" s="1877"/>
      <c r="AE238" s="1911"/>
      <c r="AF238" s="1912"/>
      <c r="AG238" s="1881"/>
      <c r="AH238" s="1913"/>
      <c r="AJ238" s="1393"/>
    </row>
    <row r="239" spans="1:36" s="1350" customFormat="1">
      <c r="A239" s="1"/>
      <c r="B239" s="6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5"/>
      <c r="O239" s="7"/>
      <c r="P239" s="5"/>
      <c r="Q239" s="5"/>
      <c r="R239" s="6"/>
      <c r="S239" s="1"/>
      <c r="T239" s="6"/>
      <c r="U239" s="1878"/>
      <c r="V239" s="1878"/>
      <c r="W239" s="1877"/>
      <c r="X239" s="1877"/>
      <c r="Y239" s="1877"/>
      <c r="Z239" s="1877"/>
      <c r="AA239" s="1878"/>
      <c r="AB239" s="1877"/>
      <c r="AC239" s="1877"/>
      <c r="AD239" s="1877"/>
      <c r="AE239" s="1911"/>
      <c r="AF239" s="1912"/>
      <c r="AG239" s="1881"/>
      <c r="AH239" s="1913"/>
      <c r="AJ239" s="1393"/>
    </row>
    <row r="240" spans="1:36" s="1350" customFormat="1">
      <c r="A240" s="1"/>
      <c r="B240" s="6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5"/>
      <c r="O240" s="7"/>
      <c r="P240" s="5"/>
      <c r="Q240" s="5"/>
      <c r="R240" s="6"/>
      <c r="S240" s="1"/>
      <c r="T240" s="6"/>
      <c r="U240" s="1878"/>
      <c r="V240" s="1878"/>
      <c r="W240" s="1877"/>
      <c r="X240" s="1877"/>
      <c r="Y240" s="1877"/>
      <c r="Z240" s="1877"/>
      <c r="AA240" s="1878"/>
      <c r="AB240" s="1877"/>
      <c r="AC240" s="1877"/>
      <c r="AD240" s="1877"/>
      <c r="AE240" s="1911"/>
      <c r="AF240" s="1912"/>
      <c r="AG240" s="1881"/>
      <c r="AH240" s="1913"/>
      <c r="AJ240" s="1393"/>
    </row>
    <row r="241" spans="1:36" s="1350" customFormat="1">
      <c r="A241" s="1"/>
      <c r="B241" s="6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5"/>
      <c r="O241" s="7"/>
      <c r="P241" s="5"/>
      <c r="Q241" s="5"/>
      <c r="R241" s="6"/>
      <c r="S241" s="1"/>
      <c r="T241" s="6"/>
      <c r="U241" s="1878"/>
      <c r="V241" s="1878"/>
      <c r="W241" s="1877"/>
      <c r="X241" s="1877"/>
      <c r="Y241" s="1877"/>
      <c r="Z241" s="1877"/>
      <c r="AA241" s="1878"/>
      <c r="AB241" s="1877"/>
      <c r="AC241" s="1877"/>
      <c r="AD241" s="1877"/>
      <c r="AE241" s="1911"/>
      <c r="AF241" s="1912"/>
      <c r="AG241" s="1881"/>
      <c r="AH241" s="1913"/>
      <c r="AJ241" s="1393"/>
    </row>
    <row r="242" spans="1:36" s="1350" customFormat="1">
      <c r="A242" s="1"/>
      <c r="B242" s="6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5"/>
      <c r="O242" s="7"/>
      <c r="P242" s="5"/>
      <c r="Q242" s="5"/>
      <c r="R242" s="6"/>
      <c r="S242" s="1"/>
      <c r="T242" s="6"/>
      <c r="U242" s="1878"/>
      <c r="V242" s="1878"/>
      <c r="W242" s="1877"/>
      <c r="X242" s="1877"/>
      <c r="Y242" s="1877"/>
      <c r="Z242" s="1877"/>
      <c r="AA242" s="1878"/>
      <c r="AB242" s="1877"/>
      <c r="AC242" s="1877"/>
      <c r="AD242" s="1877"/>
      <c r="AE242" s="1911"/>
      <c r="AF242" s="1912"/>
      <c r="AG242" s="1881"/>
      <c r="AH242" s="1913"/>
      <c r="AJ242" s="1393"/>
    </row>
    <row r="243" spans="1:36" s="1350" customFormat="1">
      <c r="A243" s="1"/>
      <c r="B243" s="6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5"/>
      <c r="O243" s="7"/>
      <c r="P243" s="5"/>
      <c r="Q243" s="5"/>
      <c r="R243" s="6"/>
      <c r="S243" s="1"/>
      <c r="T243" s="6"/>
      <c r="U243" s="1878"/>
      <c r="V243" s="1878"/>
      <c r="W243" s="1877"/>
      <c r="X243" s="1877"/>
      <c r="Y243" s="1877"/>
      <c r="Z243" s="1877"/>
      <c r="AA243" s="1878"/>
      <c r="AB243" s="1877"/>
      <c r="AC243" s="1877"/>
      <c r="AD243" s="1877"/>
      <c r="AE243" s="1911"/>
      <c r="AF243" s="1912"/>
      <c r="AG243" s="1881"/>
      <c r="AH243" s="1913"/>
      <c r="AJ243" s="1393"/>
    </row>
    <row r="244" spans="1:36" s="1350" customFormat="1">
      <c r="A244" s="1"/>
      <c r="B244" s="6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5"/>
      <c r="O244" s="7"/>
      <c r="P244" s="5"/>
      <c r="Q244" s="5"/>
      <c r="R244" s="6"/>
      <c r="S244" s="1"/>
      <c r="T244" s="6"/>
      <c r="U244" s="1878"/>
      <c r="V244" s="1878"/>
      <c r="W244" s="1877"/>
      <c r="X244" s="1877"/>
      <c r="Y244" s="1877"/>
      <c r="Z244" s="1877"/>
      <c r="AA244" s="1878"/>
      <c r="AB244" s="1877"/>
      <c r="AC244" s="1877"/>
      <c r="AD244" s="1877"/>
      <c r="AE244" s="1911"/>
      <c r="AF244" s="1912"/>
      <c r="AG244" s="1881"/>
      <c r="AH244" s="1913"/>
      <c r="AJ244" s="1393"/>
    </row>
    <row r="245" spans="1:36" s="1350" customFormat="1">
      <c r="A245" s="1"/>
      <c r="B245" s="6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5"/>
      <c r="O245" s="7"/>
      <c r="P245" s="5"/>
      <c r="Q245" s="5"/>
      <c r="R245" s="6"/>
      <c r="S245" s="1"/>
      <c r="T245" s="6"/>
      <c r="U245" s="1878"/>
      <c r="V245" s="1878"/>
      <c r="W245" s="1877"/>
      <c r="X245" s="1877"/>
      <c r="Y245" s="1877"/>
      <c r="Z245" s="1877"/>
      <c r="AA245" s="1878"/>
      <c r="AB245" s="1877"/>
      <c r="AC245" s="1877"/>
      <c r="AD245" s="1877"/>
      <c r="AE245" s="1911"/>
      <c r="AF245" s="1912"/>
      <c r="AG245" s="1881"/>
      <c r="AH245" s="1913"/>
      <c r="AJ245" s="1393"/>
    </row>
    <row r="246" spans="1:36" s="1350" customFormat="1">
      <c r="A246" s="1"/>
      <c r="B246" s="6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5"/>
      <c r="O246" s="7"/>
      <c r="P246" s="5"/>
      <c r="Q246" s="5"/>
      <c r="R246" s="6"/>
      <c r="S246" s="1"/>
      <c r="T246" s="6"/>
      <c r="U246" s="1878"/>
      <c r="V246" s="1878"/>
      <c r="W246" s="1877"/>
      <c r="X246" s="1877"/>
      <c r="Y246" s="1877"/>
      <c r="Z246" s="1877"/>
      <c r="AA246" s="1878"/>
      <c r="AB246" s="1877"/>
      <c r="AC246" s="1877"/>
      <c r="AD246" s="1877"/>
      <c r="AE246" s="1911"/>
      <c r="AF246" s="1912"/>
      <c r="AG246" s="1881"/>
      <c r="AH246" s="1913"/>
      <c r="AJ246" s="1393"/>
    </row>
    <row r="247" spans="1:36" s="1350" customFormat="1">
      <c r="A247" s="1"/>
      <c r="B247" s="6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5"/>
      <c r="O247" s="7"/>
      <c r="P247" s="5"/>
      <c r="Q247" s="5"/>
      <c r="R247" s="6"/>
      <c r="S247" s="1"/>
      <c r="T247" s="6"/>
      <c r="U247" s="1878"/>
      <c r="V247" s="1878"/>
      <c r="W247" s="1877"/>
      <c r="X247" s="1877"/>
      <c r="Y247" s="1877"/>
      <c r="Z247" s="1877"/>
      <c r="AA247" s="1878"/>
      <c r="AB247" s="1877"/>
      <c r="AC247" s="1877"/>
      <c r="AD247" s="1877"/>
      <c r="AE247" s="1911"/>
      <c r="AF247" s="1912"/>
      <c r="AG247" s="1881"/>
      <c r="AH247" s="1913"/>
      <c r="AJ247" s="1393"/>
    </row>
    <row r="248" spans="1:36" s="1350" customFormat="1">
      <c r="A248" s="1"/>
      <c r="B248" s="6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5"/>
      <c r="O248" s="7"/>
      <c r="P248" s="5"/>
      <c r="Q248" s="5"/>
      <c r="R248" s="6"/>
      <c r="S248" s="1"/>
      <c r="T248" s="6"/>
      <c r="U248" s="1878"/>
      <c r="V248" s="1878"/>
      <c r="W248" s="1877"/>
      <c r="X248" s="1877"/>
      <c r="Y248" s="1877"/>
      <c r="Z248" s="1877"/>
      <c r="AA248" s="1878"/>
      <c r="AB248" s="1877"/>
      <c r="AC248" s="1877"/>
      <c r="AD248" s="1877"/>
      <c r="AE248" s="1911"/>
      <c r="AF248" s="1912"/>
      <c r="AG248" s="1881"/>
      <c r="AH248" s="1913"/>
      <c r="AJ248" s="1393"/>
    </row>
    <row r="249" spans="1:36" s="1350" customFormat="1">
      <c r="A249" s="1"/>
      <c r="B249" s="6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5"/>
      <c r="O249" s="7"/>
      <c r="P249" s="5"/>
      <c r="Q249" s="5"/>
      <c r="R249" s="6"/>
      <c r="S249" s="1"/>
      <c r="T249" s="6"/>
      <c r="U249" s="1878"/>
      <c r="V249" s="1878"/>
      <c r="W249" s="1877"/>
      <c r="X249" s="1877"/>
      <c r="Y249" s="1877"/>
      <c r="Z249" s="1877"/>
      <c r="AA249" s="1878"/>
      <c r="AB249" s="1877"/>
      <c r="AC249" s="1877"/>
      <c r="AD249" s="1877"/>
      <c r="AE249" s="1911"/>
      <c r="AF249" s="1912"/>
      <c r="AG249" s="1881"/>
      <c r="AH249" s="1913"/>
      <c r="AJ249" s="1393"/>
    </row>
    <row r="250" spans="1:36" s="1350" customFormat="1">
      <c r="A250" s="1"/>
      <c r="B250" s="6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5"/>
      <c r="O250" s="7"/>
      <c r="P250" s="5"/>
      <c r="Q250" s="5"/>
      <c r="R250" s="6"/>
      <c r="S250" s="1"/>
      <c r="T250" s="6"/>
      <c r="U250" s="1878"/>
      <c r="V250" s="1878"/>
      <c r="W250" s="1877"/>
      <c r="X250" s="1877"/>
      <c r="Y250" s="1877"/>
      <c r="Z250" s="1877"/>
      <c r="AA250" s="1878"/>
      <c r="AB250" s="1877"/>
      <c r="AC250" s="1877"/>
      <c r="AD250" s="1877"/>
      <c r="AE250" s="1911"/>
      <c r="AF250" s="1912"/>
      <c r="AG250" s="1881"/>
      <c r="AH250" s="1913"/>
      <c r="AJ250" s="1393"/>
    </row>
    <row r="251" spans="1:36" s="1350" customFormat="1">
      <c r="A251" s="1"/>
      <c r="B251" s="6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5"/>
      <c r="O251" s="7"/>
      <c r="P251" s="5"/>
      <c r="Q251" s="5"/>
      <c r="R251" s="6"/>
      <c r="S251" s="1"/>
      <c r="T251" s="6"/>
      <c r="U251" s="1878"/>
      <c r="V251" s="1878"/>
      <c r="W251" s="1877"/>
      <c r="X251" s="1877"/>
      <c r="Y251" s="1877"/>
      <c r="Z251" s="1877"/>
      <c r="AA251" s="1878"/>
      <c r="AB251" s="1877"/>
      <c r="AC251" s="1877"/>
      <c r="AD251" s="1877"/>
      <c r="AE251" s="1911"/>
      <c r="AF251" s="1912"/>
      <c r="AG251" s="1881"/>
      <c r="AH251" s="1913"/>
      <c r="AJ251" s="1393"/>
    </row>
    <row r="252" spans="1:36" s="1350" customFormat="1">
      <c r="A252" s="1"/>
      <c r="B252" s="6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5"/>
      <c r="O252" s="7"/>
      <c r="P252" s="5"/>
      <c r="Q252" s="5"/>
      <c r="R252" s="6"/>
      <c r="S252" s="1"/>
      <c r="T252" s="6"/>
      <c r="U252" s="1878"/>
      <c r="V252" s="1878"/>
      <c r="W252" s="1877"/>
      <c r="X252" s="1877"/>
      <c r="Y252" s="1877"/>
      <c r="Z252" s="1877"/>
      <c r="AA252" s="1878"/>
      <c r="AB252" s="1877"/>
      <c r="AC252" s="1877"/>
      <c r="AD252" s="1877"/>
      <c r="AE252" s="1911"/>
      <c r="AF252" s="1912"/>
      <c r="AG252" s="1881"/>
      <c r="AH252" s="1913"/>
      <c r="AJ252" s="1393"/>
    </row>
    <row r="253" spans="1:36" s="1350" customFormat="1">
      <c r="A253" s="1"/>
      <c r="B253" s="6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5"/>
      <c r="O253" s="7"/>
      <c r="P253" s="5"/>
      <c r="Q253" s="5"/>
      <c r="R253" s="6"/>
      <c r="S253" s="1"/>
      <c r="T253" s="6"/>
      <c r="U253" s="1878"/>
      <c r="V253" s="1878"/>
      <c r="W253" s="1877"/>
      <c r="X253" s="1877"/>
      <c r="Y253" s="1877"/>
      <c r="Z253" s="1877"/>
      <c r="AA253" s="1878"/>
      <c r="AB253" s="1877"/>
      <c r="AC253" s="1877"/>
      <c r="AD253" s="1877"/>
      <c r="AE253" s="1911"/>
      <c r="AF253" s="1912"/>
      <c r="AG253" s="1881"/>
      <c r="AH253" s="1913"/>
      <c r="AJ253" s="1393"/>
    </row>
    <row r="254" spans="1:36" s="1350" customFormat="1">
      <c r="A254" s="1"/>
      <c r="B254" s="6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5"/>
      <c r="O254" s="7"/>
      <c r="P254" s="5"/>
      <c r="Q254" s="5"/>
      <c r="R254" s="6"/>
      <c r="S254" s="1"/>
      <c r="T254" s="6"/>
      <c r="U254" s="1878"/>
      <c r="V254" s="1878"/>
      <c r="W254" s="1877"/>
      <c r="X254" s="1877"/>
      <c r="Y254" s="1877"/>
      <c r="Z254" s="1877"/>
      <c r="AA254" s="1878"/>
      <c r="AB254" s="1877"/>
      <c r="AC254" s="1877"/>
      <c r="AD254" s="1877"/>
      <c r="AE254" s="1911"/>
      <c r="AF254" s="1912"/>
      <c r="AG254" s="1881"/>
      <c r="AH254" s="1913"/>
      <c r="AJ254" s="1393"/>
    </row>
    <row r="255" spans="1:36" s="1350" customFormat="1">
      <c r="A255" s="1"/>
      <c r="B255" s="6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5"/>
      <c r="O255" s="7"/>
      <c r="P255" s="5"/>
      <c r="Q255" s="5"/>
      <c r="R255" s="6"/>
      <c r="S255" s="1"/>
      <c r="T255" s="6"/>
      <c r="U255" s="1878"/>
      <c r="V255" s="1878"/>
      <c r="W255" s="1877"/>
      <c r="X255" s="1877"/>
      <c r="Y255" s="1877"/>
      <c r="Z255" s="1877"/>
      <c r="AA255" s="1878"/>
      <c r="AB255" s="1877"/>
      <c r="AC255" s="1877"/>
      <c r="AD255" s="1877"/>
      <c r="AE255" s="1911"/>
      <c r="AF255" s="1912"/>
      <c r="AG255" s="1881"/>
      <c r="AH255" s="1913"/>
      <c r="AJ255" s="1393"/>
    </row>
    <row r="256" spans="1:36" s="1350" customFormat="1">
      <c r="A256" s="1"/>
      <c r="B256" s="6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5"/>
      <c r="O256" s="7"/>
      <c r="P256" s="5"/>
      <c r="Q256" s="5"/>
      <c r="R256" s="6"/>
      <c r="S256" s="1"/>
      <c r="T256" s="6"/>
      <c r="U256" s="1878"/>
      <c r="V256" s="1878"/>
      <c r="W256" s="1877"/>
      <c r="X256" s="1877"/>
      <c r="Y256" s="1877"/>
      <c r="Z256" s="1877"/>
      <c r="AA256" s="1878"/>
      <c r="AB256" s="1877"/>
      <c r="AC256" s="1877"/>
      <c r="AD256" s="1877"/>
      <c r="AE256" s="1911"/>
      <c r="AF256" s="1912"/>
      <c r="AG256" s="1881"/>
      <c r="AH256" s="1913"/>
      <c r="AJ256" s="1393"/>
    </row>
    <row r="257" spans="1:36" s="1350" customFormat="1">
      <c r="A257" s="1"/>
      <c r="B257" s="6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5"/>
      <c r="O257" s="7"/>
      <c r="P257" s="5"/>
      <c r="Q257" s="5"/>
      <c r="R257" s="6"/>
      <c r="S257" s="1"/>
      <c r="T257" s="6"/>
      <c r="U257" s="1878"/>
      <c r="V257" s="1878"/>
      <c r="W257" s="1877"/>
      <c r="X257" s="1877"/>
      <c r="Y257" s="1877"/>
      <c r="Z257" s="1877"/>
      <c r="AA257" s="1878"/>
      <c r="AB257" s="1877"/>
      <c r="AC257" s="1877"/>
      <c r="AD257" s="1877"/>
      <c r="AE257" s="1911"/>
      <c r="AF257" s="1912"/>
      <c r="AG257" s="1881"/>
      <c r="AH257" s="1913"/>
      <c r="AJ257" s="1393"/>
    </row>
    <row r="258" spans="1:36" s="1350" customFormat="1">
      <c r="A258" s="1"/>
      <c r="B258" s="6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5"/>
      <c r="O258" s="7"/>
      <c r="P258" s="5"/>
      <c r="Q258" s="5"/>
      <c r="R258" s="6"/>
      <c r="S258" s="1"/>
      <c r="T258" s="6"/>
      <c r="U258" s="1878"/>
      <c r="V258" s="1878"/>
      <c r="W258" s="1877"/>
      <c r="X258" s="1877"/>
      <c r="Y258" s="1877"/>
      <c r="Z258" s="1877"/>
      <c r="AA258" s="1878"/>
      <c r="AB258" s="1877"/>
      <c r="AC258" s="1877"/>
      <c r="AD258" s="1877"/>
      <c r="AE258" s="1911"/>
      <c r="AF258" s="1912"/>
      <c r="AG258" s="1881"/>
      <c r="AH258" s="1913"/>
      <c r="AJ258" s="1393"/>
    </row>
    <row r="259" spans="1:36" s="1350" customFormat="1">
      <c r="A259" s="1"/>
      <c r="B259" s="6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5"/>
      <c r="O259" s="7"/>
      <c r="P259" s="5"/>
      <c r="Q259" s="5"/>
      <c r="R259" s="6"/>
      <c r="S259" s="1"/>
      <c r="T259" s="6"/>
      <c r="U259" s="1878"/>
      <c r="V259" s="1878"/>
      <c r="W259" s="1877"/>
      <c r="X259" s="1877"/>
      <c r="Y259" s="1877"/>
      <c r="Z259" s="1877"/>
      <c r="AA259" s="1878"/>
      <c r="AB259" s="1877"/>
      <c r="AC259" s="1877"/>
      <c r="AD259" s="1877"/>
      <c r="AE259" s="1911"/>
      <c r="AF259" s="1912"/>
      <c r="AG259" s="1881"/>
      <c r="AH259" s="1913"/>
      <c r="AJ259" s="1393"/>
    </row>
    <row r="260" spans="1:36" s="1350" customFormat="1">
      <c r="A260" s="1"/>
      <c r="B260" s="6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5"/>
      <c r="O260" s="7"/>
      <c r="P260" s="5"/>
      <c r="Q260" s="5"/>
      <c r="R260" s="6"/>
      <c r="S260" s="1"/>
      <c r="T260" s="6"/>
      <c r="U260" s="1878"/>
      <c r="V260" s="1878"/>
      <c r="W260" s="1877"/>
      <c r="X260" s="1877"/>
      <c r="Y260" s="1877"/>
      <c r="Z260" s="1877"/>
      <c r="AA260" s="1878"/>
      <c r="AB260" s="1877"/>
      <c r="AC260" s="1877"/>
      <c r="AD260" s="1877"/>
      <c r="AE260" s="1911"/>
      <c r="AF260" s="1912"/>
      <c r="AG260" s="1881"/>
      <c r="AH260" s="1913"/>
      <c r="AJ260" s="1393"/>
    </row>
    <row r="261" spans="1:36" s="1350" customFormat="1">
      <c r="A261" s="1"/>
      <c r="B261" s="6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5"/>
      <c r="O261" s="7"/>
      <c r="P261" s="5"/>
      <c r="Q261" s="5"/>
      <c r="R261" s="6"/>
      <c r="S261" s="1"/>
      <c r="T261" s="6"/>
      <c r="U261" s="1878"/>
      <c r="V261" s="1878"/>
      <c r="W261" s="1877"/>
      <c r="X261" s="1877"/>
      <c r="Y261" s="1877"/>
      <c r="Z261" s="1877"/>
      <c r="AA261" s="1878"/>
      <c r="AB261" s="1877"/>
      <c r="AC261" s="1877"/>
      <c r="AD261" s="1877"/>
      <c r="AE261" s="1911"/>
      <c r="AF261" s="1912"/>
      <c r="AG261" s="1881"/>
      <c r="AH261" s="1913"/>
      <c r="AJ261" s="1393"/>
    </row>
    <row r="262" spans="1:36" s="1350" customFormat="1">
      <c r="A262" s="1"/>
      <c r="B262" s="6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5"/>
      <c r="O262" s="7"/>
      <c r="P262" s="5"/>
      <c r="Q262" s="5"/>
      <c r="R262" s="6"/>
      <c r="S262" s="1"/>
      <c r="T262" s="6"/>
      <c r="U262" s="1878"/>
      <c r="V262" s="1878"/>
      <c r="W262" s="1877"/>
      <c r="X262" s="1877"/>
      <c r="Y262" s="1877"/>
      <c r="Z262" s="1877"/>
      <c r="AA262" s="1878"/>
      <c r="AB262" s="1877"/>
      <c r="AC262" s="1877"/>
      <c r="AD262" s="1877"/>
      <c r="AE262" s="1911"/>
      <c r="AF262" s="1912"/>
      <c r="AG262" s="1881"/>
      <c r="AH262" s="1913"/>
      <c r="AJ262" s="1393"/>
    </row>
    <row r="263" spans="1:36" s="1350" customFormat="1">
      <c r="A263" s="1"/>
      <c r="B263" s="6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5"/>
      <c r="O263" s="7"/>
      <c r="P263" s="5"/>
      <c r="Q263" s="5"/>
      <c r="R263" s="6"/>
      <c r="S263" s="1"/>
      <c r="T263" s="6"/>
      <c r="U263" s="1878"/>
      <c r="V263" s="1878"/>
      <c r="W263" s="1877"/>
      <c r="X263" s="1877"/>
      <c r="Y263" s="1877"/>
      <c r="Z263" s="1877"/>
      <c r="AA263" s="1878"/>
      <c r="AB263" s="1877"/>
      <c r="AC263" s="1877"/>
      <c r="AD263" s="1877"/>
      <c r="AE263" s="1911"/>
      <c r="AF263" s="1912"/>
      <c r="AG263" s="1881"/>
      <c r="AH263" s="1913"/>
      <c r="AJ263" s="1393"/>
    </row>
    <row r="264" spans="1:36" s="1350" customFormat="1">
      <c r="A264" s="1"/>
      <c r="B264" s="6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5"/>
      <c r="O264" s="7"/>
      <c r="P264" s="5"/>
      <c r="Q264" s="5"/>
      <c r="R264" s="6"/>
      <c r="S264" s="1"/>
      <c r="T264" s="6"/>
      <c r="U264" s="1878"/>
      <c r="V264" s="1878"/>
      <c r="W264" s="1877"/>
      <c r="X264" s="1877"/>
      <c r="Y264" s="1877"/>
      <c r="Z264" s="1877"/>
      <c r="AA264" s="1878"/>
      <c r="AB264" s="1877"/>
      <c r="AC264" s="1877"/>
      <c r="AD264" s="1877"/>
      <c r="AE264" s="1911"/>
      <c r="AF264" s="1912"/>
      <c r="AG264" s="1881"/>
      <c r="AH264" s="1913"/>
      <c r="AJ264" s="1393"/>
    </row>
    <row r="265" spans="1:36" s="1350" customFormat="1">
      <c r="A265" s="1"/>
      <c r="B265" s="6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5"/>
      <c r="O265" s="7"/>
      <c r="P265" s="5"/>
      <c r="Q265" s="5"/>
      <c r="R265" s="6"/>
      <c r="S265" s="1"/>
      <c r="T265" s="6"/>
      <c r="U265" s="1878"/>
      <c r="V265" s="1878"/>
      <c r="W265" s="1877"/>
      <c r="X265" s="1877"/>
      <c r="Y265" s="1877"/>
      <c r="Z265" s="1877"/>
      <c r="AA265" s="1878"/>
      <c r="AB265" s="1877"/>
      <c r="AC265" s="1877"/>
      <c r="AD265" s="1877"/>
      <c r="AE265" s="1911"/>
      <c r="AF265" s="1912"/>
      <c r="AG265" s="1881"/>
      <c r="AH265" s="1913"/>
      <c r="AJ265" s="1393"/>
    </row>
    <row r="266" spans="1:36" s="1350" customFormat="1">
      <c r="A266" s="1"/>
      <c r="B266" s="6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5"/>
      <c r="O266" s="7"/>
      <c r="P266" s="5"/>
      <c r="Q266" s="5"/>
      <c r="R266" s="6"/>
      <c r="S266" s="1"/>
      <c r="T266" s="6"/>
      <c r="U266" s="1878"/>
      <c r="V266" s="1878"/>
      <c r="W266" s="1877"/>
      <c r="X266" s="1877"/>
      <c r="Y266" s="1877"/>
      <c r="Z266" s="1877"/>
      <c r="AA266" s="1878"/>
      <c r="AB266" s="1877"/>
      <c r="AC266" s="1877"/>
      <c r="AD266" s="1877"/>
      <c r="AE266" s="1911"/>
      <c r="AF266" s="1912"/>
      <c r="AG266" s="1881"/>
      <c r="AH266" s="1913"/>
      <c r="AJ266" s="1393"/>
    </row>
    <row r="267" spans="1:36" s="1350" customFormat="1">
      <c r="A267" s="1"/>
      <c r="B267" s="6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5"/>
      <c r="O267" s="7"/>
      <c r="P267" s="5"/>
      <c r="Q267" s="5"/>
      <c r="R267" s="6"/>
      <c r="S267" s="1"/>
      <c r="T267" s="6"/>
      <c r="U267" s="1878"/>
      <c r="V267" s="1878"/>
      <c r="W267" s="1877"/>
      <c r="X267" s="1877"/>
      <c r="Y267" s="1877"/>
      <c r="Z267" s="1877"/>
      <c r="AA267" s="1878"/>
      <c r="AB267" s="1877"/>
      <c r="AC267" s="1877"/>
      <c r="AD267" s="1877"/>
      <c r="AE267" s="1911"/>
      <c r="AF267" s="1912"/>
      <c r="AG267" s="1881"/>
      <c r="AH267" s="1913"/>
      <c r="AJ267" s="1393"/>
    </row>
    <row r="268" spans="1:36" s="1350" customFormat="1">
      <c r="A268" s="1"/>
      <c r="B268" s="6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5"/>
      <c r="O268" s="7"/>
      <c r="P268" s="5"/>
      <c r="Q268" s="5"/>
      <c r="R268" s="6"/>
      <c r="S268" s="1"/>
      <c r="T268" s="6"/>
      <c r="U268" s="1878"/>
      <c r="V268" s="1878"/>
      <c r="W268" s="1877"/>
      <c r="X268" s="1877"/>
      <c r="Y268" s="1877"/>
      <c r="Z268" s="1877"/>
      <c r="AA268" s="1878"/>
      <c r="AB268" s="1877"/>
      <c r="AC268" s="1877"/>
      <c r="AD268" s="1877"/>
      <c r="AE268" s="1911"/>
      <c r="AF268" s="1912"/>
      <c r="AG268" s="1881"/>
      <c r="AH268" s="1913"/>
      <c r="AJ268" s="1393"/>
    </row>
    <row r="269" spans="1:36" s="1350" customFormat="1">
      <c r="A269" s="1"/>
      <c r="B269" s="6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5"/>
      <c r="O269" s="7"/>
      <c r="P269" s="5"/>
      <c r="Q269" s="5"/>
      <c r="R269" s="6"/>
      <c r="S269" s="1"/>
      <c r="T269" s="6"/>
      <c r="U269" s="1878"/>
      <c r="V269" s="1878"/>
      <c r="W269" s="1877"/>
      <c r="X269" s="1877"/>
      <c r="Y269" s="1877"/>
      <c r="Z269" s="1877"/>
      <c r="AA269" s="1878"/>
      <c r="AB269" s="1877"/>
      <c r="AC269" s="1877"/>
      <c r="AD269" s="1877"/>
      <c r="AE269" s="1911"/>
      <c r="AF269" s="1912"/>
      <c r="AG269" s="1881"/>
      <c r="AH269" s="1913"/>
      <c r="AJ269" s="1393"/>
    </row>
    <row r="270" spans="1:36" s="1350" customFormat="1">
      <c r="A270" s="1"/>
      <c r="B270" s="6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5"/>
      <c r="O270" s="7"/>
      <c r="P270" s="5"/>
      <c r="Q270" s="5"/>
      <c r="R270" s="6"/>
      <c r="S270" s="1"/>
      <c r="T270" s="6"/>
      <c r="U270" s="1878"/>
      <c r="V270" s="1878"/>
      <c r="W270" s="1877"/>
      <c r="X270" s="1877"/>
      <c r="Y270" s="1877"/>
      <c r="Z270" s="1877"/>
      <c r="AA270" s="1878"/>
      <c r="AB270" s="1877"/>
      <c r="AC270" s="1877"/>
      <c r="AD270" s="1877"/>
      <c r="AE270" s="1911"/>
      <c r="AF270" s="1912"/>
      <c r="AG270" s="1881"/>
      <c r="AH270" s="1913"/>
      <c r="AJ270" s="1393"/>
    </row>
    <row r="271" spans="1:36" s="1350" customFormat="1">
      <c r="A271" s="1"/>
      <c r="B271" s="6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5"/>
      <c r="O271" s="7"/>
      <c r="P271" s="5"/>
      <c r="Q271" s="5"/>
      <c r="R271" s="6"/>
      <c r="S271" s="1"/>
      <c r="T271" s="6"/>
      <c r="U271" s="1878"/>
      <c r="V271" s="1878"/>
      <c r="W271" s="1877"/>
      <c r="X271" s="1877"/>
      <c r="Y271" s="1877"/>
      <c r="Z271" s="1877"/>
      <c r="AA271" s="1878"/>
      <c r="AB271" s="1877"/>
      <c r="AC271" s="1877"/>
      <c r="AD271" s="1877"/>
      <c r="AE271" s="1911"/>
      <c r="AF271" s="1912"/>
      <c r="AG271" s="1881"/>
      <c r="AH271" s="1913"/>
      <c r="AJ271" s="1393"/>
    </row>
    <row r="272" spans="1:36" s="1350" customFormat="1">
      <c r="A272" s="1"/>
      <c r="B272" s="6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5"/>
      <c r="O272" s="7"/>
      <c r="P272" s="5"/>
      <c r="Q272" s="5"/>
      <c r="R272" s="6"/>
      <c r="S272" s="1"/>
      <c r="T272" s="6"/>
      <c r="U272" s="1878"/>
      <c r="V272" s="1878"/>
      <c r="W272" s="1877"/>
      <c r="X272" s="1877"/>
      <c r="Y272" s="1877"/>
      <c r="Z272" s="1877"/>
      <c r="AA272" s="1878"/>
      <c r="AB272" s="1877"/>
      <c r="AC272" s="1877"/>
      <c r="AD272" s="1877"/>
      <c r="AE272" s="1911"/>
      <c r="AF272" s="1912"/>
      <c r="AG272" s="1881"/>
      <c r="AH272" s="1913"/>
      <c r="AJ272" s="1393"/>
    </row>
    <row r="273" spans="1:36" s="1350" customFormat="1">
      <c r="A273" s="1"/>
      <c r="B273" s="6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5"/>
      <c r="O273" s="7"/>
      <c r="P273" s="5"/>
      <c r="Q273" s="5"/>
      <c r="R273" s="6"/>
      <c r="S273" s="1"/>
      <c r="T273" s="6"/>
      <c r="U273" s="1878"/>
      <c r="V273" s="1878"/>
      <c r="W273" s="1877"/>
      <c r="X273" s="1877"/>
      <c r="Y273" s="1877"/>
      <c r="Z273" s="1877"/>
      <c r="AA273" s="1878"/>
      <c r="AB273" s="1877"/>
      <c r="AC273" s="1877"/>
      <c r="AD273" s="1877"/>
      <c r="AE273" s="1911"/>
      <c r="AF273" s="1912"/>
      <c r="AG273" s="1881"/>
      <c r="AH273" s="1913"/>
      <c r="AJ273" s="1393"/>
    </row>
    <row r="274" spans="1:36" s="1350" customFormat="1">
      <c r="A274" s="1"/>
      <c r="B274" s="6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5"/>
      <c r="O274" s="7"/>
      <c r="P274" s="5"/>
      <c r="Q274" s="5"/>
      <c r="R274" s="6"/>
      <c r="S274" s="1"/>
      <c r="T274" s="6"/>
      <c r="U274" s="1878"/>
      <c r="V274" s="1878"/>
      <c r="W274" s="1877"/>
      <c r="X274" s="1877"/>
      <c r="Y274" s="1877"/>
      <c r="Z274" s="1877"/>
      <c r="AA274" s="1878"/>
      <c r="AB274" s="1877"/>
      <c r="AC274" s="1877"/>
      <c r="AD274" s="1877"/>
      <c r="AE274" s="1911"/>
      <c r="AF274" s="1912"/>
      <c r="AG274" s="1881"/>
      <c r="AH274" s="1913"/>
      <c r="AJ274" s="1393"/>
    </row>
    <row r="275" spans="1:36" s="1350" customFormat="1">
      <c r="A275" s="1"/>
      <c r="B275" s="6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5"/>
      <c r="O275" s="7"/>
      <c r="P275" s="5"/>
      <c r="Q275" s="5"/>
      <c r="R275" s="6"/>
      <c r="S275" s="1"/>
      <c r="T275" s="6"/>
      <c r="U275" s="1878"/>
      <c r="V275" s="1878"/>
      <c r="W275" s="1877"/>
      <c r="X275" s="1877"/>
      <c r="Y275" s="1877"/>
      <c r="Z275" s="1877"/>
      <c r="AA275" s="1878"/>
      <c r="AB275" s="1877"/>
      <c r="AC275" s="1877"/>
      <c r="AD275" s="1877"/>
      <c r="AE275" s="1911"/>
      <c r="AF275" s="1912"/>
      <c r="AG275" s="1881"/>
      <c r="AH275" s="1913"/>
      <c r="AJ275" s="1393"/>
    </row>
    <row r="276" spans="1:36" s="1350" customFormat="1">
      <c r="A276" s="1"/>
      <c r="B276" s="6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5"/>
      <c r="O276" s="7"/>
      <c r="P276" s="5"/>
      <c r="Q276" s="5"/>
      <c r="R276" s="6"/>
      <c r="S276" s="1"/>
      <c r="T276" s="6"/>
      <c r="U276" s="1878"/>
      <c r="V276" s="1878"/>
      <c r="W276" s="1877"/>
      <c r="X276" s="1877"/>
      <c r="Y276" s="1877"/>
      <c r="Z276" s="1877"/>
      <c r="AA276" s="1878"/>
      <c r="AB276" s="1877"/>
      <c r="AC276" s="1877"/>
      <c r="AD276" s="1877"/>
      <c r="AE276" s="1911"/>
      <c r="AF276" s="1912"/>
      <c r="AG276" s="1881"/>
      <c r="AH276" s="1913"/>
      <c r="AJ276" s="1393"/>
    </row>
    <row r="277" spans="1:36" s="1350" customFormat="1">
      <c r="A277" s="1"/>
      <c r="B277" s="6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5"/>
      <c r="O277" s="7"/>
      <c r="P277" s="5"/>
      <c r="Q277" s="5"/>
      <c r="R277" s="6"/>
      <c r="S277" s="1"/>
      <c r="T277" s="6"/>
      <c r="U277" s="1878"/>
      <c r="V277" s="1878"/>
      <c r="W277" s="1877"/>
      <c r="X277" s="1877"/>
      <c r="Y277" s="1877"/>
      <c r="Z277" s="1877"/>
      <c r="AA277" s="1878"/>
      <c r="AB277" s="1877"/>
      <c r="AC277" s="1877"/>
      <c r="AD277" s="1877"/>
      <c r="AE277" s="1911"/>
      <c r="AF277" s="1912"/>
      <c r="AG277" s="1881"/>
      <c r="AH277" s="1913"/>
      <c r="AJ277" s="1393"/>
    </row>
    <row r="278" spans="1:36" s="1350" customFormat="1">
      <c r="A278" s="1"/>
      <c r="B278" s="6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5"/>
      <c r="O278" s="7"/>
      <c r="P278" s="5"/>
      <c r="Q278" s="5"/>
      <c r="R278" s="6"/>
      <c r="S278" s="1"/>
      <c r="T278" s="6"/>
      <c r="U278" s="1878"/>
      <c r="V278" s="1878"/>
      <c r="W278" s="1877"/>
      <c r="X278" s="1877"/>
      <c r="Y278" s="1877"/>
      <c r="Z278" s="1877"/>
      <c r="AA278" s="1878"/>
      <c r="AB278" s="1877"/>
      <c r="AC278" s="1877"/>
      <c r="AD278" s="1877"/>
      <c r="AE278" s="1911"/>
      <c r="AF278" s="1912"/>
      <c r="AG278" s="1881"/>
      <c r="AH278" s="1913"/>
      <c r="AJ278" s="1393"/>
    </row>
    <row r="279" spans="1:36" s="1350" customFormat="1">
      <c r="A279" s="1"/>
      <c r="B279" s="6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5"/>
      <c r="O279" s="7"/>
      <c r="P279" s="5"/>
      <c r="Q279" s="5"/>
      <c r="R279" s="6"/>
      <c r="S279" s="1"/>
      <c r="T279" s="6"/>
      <c r="U279" s="1878"/>
      <c r="V279" s="1878"/>
      <c r="W279" s="1877"/>
      <c r="X279" s="1877"/>
      <c r="Y279" s="1877"/>
      <c r="Z279" s="1877"/>
      <c r="AA279" s="1878"/>
      <c r="AB279" s="1877"/>
      <c r="AC279" s="1877"/>
      <c r="AD279" s="1877"/>
      <c r="AE279" s="1911"/>
      <c r="AF279" s="1912"/>
      <c r="AG279" s="1881"/>
      <c r="AH279" s="1913"/>
      <c r="AJ279" s="1393"/>
    </row>
    <row r="280" spans="1:36" s="1350" customFormat="1">
      <c r="A280" s="1"/>
      <c r="B280" s="6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5"/>
      <c r="O280" s="7"/>
      <c r="P280" s="5"/>
      <c r="Q280" s="5"/>
      <c r="R280" s="6"/>
      <c r="S280" s="1"/>
      <c r="T280" s="6"/>
      <c r="U280" s="1878"/>
      <c r="V280" s="1878"/>
      <c r="W280" s="1877"/>
      <c r="X280" s="1877"/>
      <c r="Y280" s="1877"/>
      <c r="Z280" s="1877"/>
      <c r="AA280" s="1878"/>
      <c r="AB280" s="1877"/>
      <c r="AC280" s="1877"/>
      <c r="AD280" s="1877"/>
      <c r="AE280" s="1911"/>
      <c r="AF280" s="1912"/>
      <c r="AG280" s="1881"/>
      <c r="AH280" s="1913"/>
      <c r="AJ280" s="1393"/>
    </row>
    <row r="281" spans="1:36" s="1350" customFormat="1">
      <c r="A281" s="1"/>
      <c r="B281" s="6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5"/>
      <c r="O281" s="7"/>
      <c r="P281" s="5"/>
      <c r="Q281" s="5"/>
      <c r="R281" s="6"/>
      <c r="S281" s="1"/>
      <c r="T281" s="6"/>
      <c r="U281" s="1878"/>
      <c r="V281" s="1878"/>
      <c r="W281" s="1877"/>
      <c r="X281" s="1877"/>
      <c r="Y281" s="1877"/>
      <c r="Z281" s="1877"/>
      <c r="AA281" s="1878"/>
      <c r="AB281" s="1877"/>
      <c r="AC281" s="1877"/>
      <c r="AD281" s="1877"/>
      <c r="AE281" s="1911"/>
      <c r="AF281" s="1912"/>
      <c r="AG281" s="1881"/>
      <c r="AH281" s="1913"/>
      <c r="AJ281" s="1393"/>
    </row>
    <row r="282" spans="1:36" s="1350" customFormat="1">
      <c r="A282" s="1"/>
      <c r="B282" s="6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5"/>
      <c r="O282" s="7"/>
      <c r="P282" s="5"/>
      <c r="Q282" s="5"/>
      <c r="R282" s="6"/>
      <c r="S282" s="1"/>
      <c r="T282" s="6"/>
      <c r="U282" s="1878"/>
      <c r="V282" s="1878"/>
      <c r="W282" s="1877"/>
      <c r="X282" s="1877"/>
      <c r="Y282" s="1877"/>
      <c r="Z282" s="1877"/>
      <c r="AA282" s="1878"/>
      <c r="AB282" s="1877"/>
      <c r="AC282" s="1877"/>
      <c r="AD282" s="1877"/>
      <c r="AE282" s="1911"/>
      <c r="AF282" s="1912"/>
      <c r="AG282" s="1881"/>
      <c r="AH282" s="1913"/>
      <c r="AJ282" s="1393"/>
    </row>
    <row r="283" spans="1:36" s="1350" customFormat="1">
      <c r="A283" s="1"/>
      <c r="B283" s="6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5"/>
      <c r="O283" s="7"/>
      <c r="P283" s="5"/>
      <c r="Q283" s="5"/>
      <c r="R283" s="6"/>
      <c r="S283" s="1"/>
      <c r="T283" s="6"/>
      <c r="U283" s="1878"/>
      <c r="V283" s="1878"/>
      <c r="W283" s="1877"/>
      <c r="X283" s="1877"/>
      <c r="Y283" s="1877"/>
      <c r="Z283" s="1877"/>
      <c r="AA283" s="1878"/>
      <c r="AB283" s="1877"/>
      <c r="AC283" s="1877"/>
      <c r="AD283" s="1877"/>
      <c r="AE283" s="1911"/>
      <c r="AF283" s="1912"/>
      <c r="AG283" s="1881"/>
      <c r="AH283" s="1913"/>
      <c r="AJ283" s="1393"/>
    </row>
    <row r="284" spans="1:36" s="1350" customFormat="1">
      <c r="A284" s="1"/>
      <c r="B284" s="6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5"/>
      <c r="O284" s="7"/>
      <c r="P284" s="5"/>
      <c r="Q284" s="5"/>
      <c r="R284" s="6"/>
      <c r="S284" s="1"/>
      <c r="T284" s="6"/>
      <c r="U284" s="1878"/>
      <c r="V284" s="1878"/>
      <c r="W284" s="1877"/>
      <c r="X284" s="1877"/>
      <c r="Y284" s="1877"/>
      <c r="Z284" s="1877"/>
      <c r="AA284" s="1878"/>
      <c r="AB284" s="1877"/>
      <c r="AC284" s="1877"/>
      <c r="AD284" s="1877"/>
      <c r="AE284" s="1911"/>
      <c r="AF284" s="1912"/>
      <c r="AG284" s="1881"/>
      <c r="AH284" s="1913"/>
      <c r="AJ284" s="1393"/>
    </row>
    <row r="285" spans="1:36" s="1350" customFormat="1">
      <c r="A285" s="1"/>
      <c r="B285" s="6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5"/>
      <c r="O285" s="7"/>
      <c r="P285" s="5"/>
      <c r="Q285" s="5"/>
      <c r="R285" s="6"/>
      <c r="S285" s="1"/>
      <c r="T285" s="6"/>
      <c r="U285" s="1878"/>
      <c r="V285" s="1878"/>
      <c r="W285" s="1877"/>
      <c r="X285" s="1877"/>
      <c r="Y285" s="1877"/>
      <c r="Z285" s="1877"/>
      <c r="AA285" s="1878"/>
      <c r="AB285" s="1877"/>
      <c r="AC285" s="1877"/>
      <c r="AD285" s="1877"/>
      <c r="AE285" s="1911"/>
      <c r="AF285" s="1912"/>
      <c r="AG285" s="1881"/>
      <c r="AH285" s="1913"/>
      <c r="AJ285" s="1393"/>
    </row>
    <row r="286" spans="1:36" s="1350" customFormat="1">
      <c r="A286" s="1"/>
      <c r="B286" s="6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5"/>
      <c r="O286" s="7"/>
      <c r="P286" s="5"/>
      <c r="Q286" s="5"/>
      <c r="R286" s="6"/>
      <c r="S286" s="1"/>
      <c r="T286" s="6"/>
      <c r="U286" s="1878"/>
      <c r="V286" s="1878"/>
      <c r="W286" s="1877"/>
      <c r="X286" s="1877"/>
      <c r="Y286" s="1877"/>
      <c r="Z286" s="1877"/>
      <c r="AA286" s="1878"/>
      <c r="AB286" s="1877"/>
      <c r="AC286" s="1877"/>
      <c r="AD286" s="1877"/>
      <c r="AE286" s="1911"/>
      <c r="AF286" s="1912"/>
      <c r="AG286" s="1881"/>
      <c r="AH286" s="1913"/>
      <c r="AJ286" s="1393"/>
    </row>
    <row r="287" spans="1:36" s="1350" customFormat="1">
      <c r="A287" s="1"/>
      <c r="B287" s="6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5"/>
      <c r="O287" s="7"/>
      <c r="P287" s="5"/>
      <c r="Q287" s="5"/>
      <c r="R287" s="6"/>
      <c r="S287" s="1"/>
      <c r="T287" s="6"/>
      <c r="U287" s="1878"/>
      <c r="V287" s="1878"/>
      <c r="W287" s="1877"/>
      <c r="X287" s="1877"/>
      <c r="Y287" s="1877"/>
      <c r="Z287" s="1877"/>
      <c r="AA287" s="1878"/>
      <c r="AB287" s="1877"/>
      <c r="AC287" s="1877"/>
      <c r="AD287" s="1877"/>
      <c r="AE287" s="1911"/>
      <c r="AF287" s="1912"/>
      <c r="AG287" s="1881"/>
      <c r="AH287" s="1913"/>
      <c r="AJ287" s="1393"/>
    </row>
    <row r="288" spans="1:36" s="1350" customFormat="1">
      <c r="A288" s="1"/>
      <c r="B288" s="6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5"/>
      <c r="O288" s="7"/>
      <c r="P288" s="5"/>
      <c r="Q288" s="5"/>
      <c r="R288" s="6"/>
      <c r="S288" s="1"/>
      <c r="T288" s="6"/>
      <c r="U288" s="1878"/>
      <c r="V288" s="1878"/>
      <c r="W288" s="1877"/>
      <c r="X288" s="1877"/>
      <c r="Y288" s="1877"/>
      <c r="Z288" s="1877"/>
      <c r="AA288" s="1878"/>
      <c r="AB288" s="1877"/>
      <c r="AC288" s="1877"/>
      <c r="AD288" s="1877"/>
      <c r="AE288" s="1911"/>
      <c r="AF288" s="1912"/>
      <c r="AG288" s="1881"/>
      <c r="AH288" s="1913"/>
      <c r="AJ288" s="1393"/>
    </row>
    <row r="289" spans="1:36" s="1350" customFormat="1">
      <c r="A289" s="1"/>
      <c r="B289" s="6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5"/>
      <c r="O289" s="7"/>
      <c r="P289" s="5"/>
      <c r="Q289" s="5"/>
      <c r="R289" s="6"/>
      <c r="S289" s="1"/>
      <c r="T289" s="6"/>
      <c r="U289" s="1878"/>
      <c r="V289" s="1878"/>
      <c r="W289" s="1877"/>
      <c r="X289" s="1877"/>
      <c r="Y289" s="1877"/>
      <c r="Z289" s="1877"/>
      <c r="AA289" s="1878"/>
      <c r="AB289" s="1877"/>
      <c r="AC289" s="1877"/>
      <c r="AD289" s="1877"/>
      <c r="AE289" s="1911"/>
      <c r="AF289" s="1912"/>
      <c r="AG289" s="1881"/>
      <c r="AH289" s="1913"/>
      <c r="AJ289" s="1393"/>
    </row>
    <row r="290" spans="1:36" s="1350" customFormat="1">
      <c r="A290" s="1"/>
      <c r="B290" s="6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5"/>
      <c r="O290" s="7"/>
      <c r="P290" s="5"/>
      <c r="Q290" s="5"/>
      <c r="R290" s="6"/>
      <c r="S290" s="1"/>
      <c r="T290" s="6"/>
      <c r="U290" s="1878"/>
      <c r="V290" s="1878"/>
      <c r="W290" s="1877"/>
      <c r="X290" s="1877"/>
      <c r="Y290" s="1877"/>
      <c r="Z290" s="1877"/>
      <c r="AA290" s="1878"/>
      <c r="AB290" s="1877"/>
      <c r="AC290" s="1877"/>
      <c r="AD290" s="1877"/>
      <c r="AE290" s="1911"/>
      <c r="AF290" s="1912"/>
      <c r="AG290" s="1881"/>
      <c r="AH290" s="1913"/>
      <c r="AJ290" s="1393"/>
    </row>
    <row r="291" spans="1:36" s="1350" customFormat="1">
      <c r="A291" s="1"/>
      <c r="B291" s="6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5"/>
      <c r="O291" s="7"/>
      <c r="P291" s="5"/>
      <c r="Q291" s="5"/>
      <c r="R291" s="6"/>
      <c r="S291" s="1"/>
      <c r="T291" s="6"/>
      <c r="U291" s="1878"/>
      <c r="V291" s="1878"/>
      <c r="W291" s="1877"/>
      <c r="X291" s="1877"/>
      <c r="Y291" s="1877"/>
      <c r="Z291" s="1877"/>
      <c r="AA291" s="1878"/>
      <c r="AB291" s="1877"/>
      <c r="AC291" s="1877"/>
      <c r="AD291" s="1877"/>
      <c r="AE291" s="1911"/>
      <c r="AF291" s="1912"/>
      <c r="AG291" s="1881"/>
      <c r="AH291" s="1913"/>
      <c r="AJ291" s="1393"/>
    </row>
    <row r="292" spans="1:36" s="1350" customFormat="1">
      <c r="A292" s="1"/>
      <c r="B292" s="6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5"/>
      <c r="O292" s="7"/>
      <c r="P292" s="5"/>
      <c r="Q292" s="5"/>
      <c r="R292" s="6"/>
      <c r="S292" s="1"/>
      <c r="T292" s="6"/>
      <c r="U292" s="1878"/>
      <c r="V292" s="1878"/>
      <c r="W292" s="1877"/>
      <c r="X292" s="1877"/>
      <c r="Y292" s="1877"/>
      <c r="Z292" s="1877"/>
      <c r="AA292" s="1878"/>
      <c r="AB292" s="1877"/>
      <c r="AC292" s="1877"/>
      <c r="AD292" s="1877"/>
      <c r="AE292" s="1911"/>
      <c r="AF292" s="1912"/>
      <c r="AG292" s="1881"/>
      <c r="AH292" s="1913"/>
      <c r="AJ292" s="1393"/>
    </row>
    <row r="293" spans="1:36" s="1350" customFormat="1">
      <c r="A293" s="1"/>
      <c r="B293" s="6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5"/>
      <c r="O293" s="7"/>
      <c r="P293" s="5"/>
      <c r="Q293" s="5"/>
      <c r="R293" s="6"/>
      <c r="S293" s="1"/>
      <c r="T293" s="6"/>
      <c r="U293" s="1878"/>
      <c r="V293" s="1878"/>
      <c r="W293" s="1877"/>
      <c r="X293" s="1877"/>
      <c r="Y293" s="1877"/>
      <c r="Z293" s="1877"/>
      <c r="AA293" s="1878"/>
      <c r="AB293" s="1877"/>
      <c r="AC293" s="1877"/>
      <c r="AD293" s="1877"/>
      <c r="AE293" s="1911"/>
      <c r="AF293" s="1912"/>
      <c r="AG293" s="1881"/>
      <c r="AH293" s="1913"/>
      <c r="AJ293" s="1393"/>
    </row>
    <row r="294" spans="1:36" s="1350" customFormat="1">
      <c r="A294" s="1"/>
      <c r="B294" s="6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5"/>
      <c r="O294" s="7"/>
      <c r="P294" s="5"/>
      <c r="Q294" s="5"/>
      <c r="R294" s="6"/>
      <c r="S294" s="1"/>
      <c r="T294" s="6"/>
      <c r="U294" s="1878"/>
      <c r="V294" s="1878"/>
      <c r="W294" s="1877"/>
      <c r="X294" s="1877"/>
      <c r="Y294" s="1877"/>
      <c r="Z294" s="1877"/>
      <c r="AA294" s="1878"/>
      <c r="AB294" s="1877"/>
      <c r="AC294" s="1877"/>
      <c r="AD294" s="1877"/>
      <c r="AE294" s="1911"/>
      <c r="AF294" s="1912"/>
      <c r="AG294" s="1881"/>
      <c r="AH294" s="1913"/>
      <c r="AJ294" s="1393"/>
    </row>
    <row r="295" spans="1:36" s="1350" customFormat="1">
      <c r="A295" s="1"/>
      <c r="B295" s="6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5"/>
      <c r="O295" s="7"/>
      <c r="P295" s="5"/>
      <c r="Q295" s="5"/>
      <c r="R295" s="6"/>
      <c r="S295" s="1"/>
      <c r="T295" s="6"/>
      <c r="U295" s="1878"/>
      <c r="V295" s="1878"/>
      <c r="W295" s="1877"/>
      <c r="X295" s="1877"/>
      <c r="Y295" s="1877"/>
      <c r="Z295" s="1877"/>
      <c r="AA295" s="1878"/>
      <c r="AB295" s="1877"/>
      <c r="AC295" s="1877"/>
      <c r="AD295" s="1877"/>
      <c r="AE295" s="1911"/>
      <c r="AF295" s="1912"/>
      <c r="AG295" s="1881"/>
      <c r="AH295" s="1913"/>
      <c r="AJ295" s="1393"/>
    </row>
    <row r="296" spans="1:36" s="1350" customFormat="1">
      <c r="A296" s="1"/>
      <c r="B296" s="6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5"/>
      <c r="O296" s="7"/>
      <c r="P296" s="5"/>
      <c r="Q296" s="5"/>
      <c r="R296" s="6"/>
      <c r="S296" s="1"/>
      <c r="T296" s="6"/>
      <c r="U296" s="1878"/>
      <c r="V296" s="1878"/>
      <c r="W296" s="1877"/>
      <c r="X296" s="1877"/>
      <c r="Y296" s="1877"/>
      <c r="Z296" s="1877"/>
      <c r="AA296" s="1878"/>
      <c r="AB296" s="1877"/>
      <c r="AC296" s="1877"/>
      <c r="AD296" s="1877"/>
      <c r="AE296" s="1911"/>
      <c r="AF296" s="1912"/>
      <c r="AG296" s="1881"/>
      <c r="AH296" s="1913"/>
      <c r="AJ296" s="1393"/>
    </row>
    <row r="297" spans="1:36" s="1350" customFormat="1">
      <c r="A297" s="1"/>
      <c r="B297" s="6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5"/>
      <c r="O297" s="7"/>
      <c r="P297" s="5"/>
      <c r="Q297" s="5"/>
      <c r="R297" s="6"/>
      <c r="S297" s="1"/>
      <c r="T297" s="6"/>
      <c r="U297" s="1878"/>
      <c r="V297" s="1878"/>
      <c r="W297" s="1877"/>
      <c r="X297" s="1877"/>
      <c r="Y297" s="1877"/>
      <c r="Z297" s="1877"/>
      <c r="AA297" s="1878"/>
      <c r="AB297" s="1877"/>
      <c r="AC297" s="1877"/>
      <c r="AD297" s="1877"/>
      <c r="AE297" s="1911"/>
      <c r="AF297" s="1912"/>
      <c r="AG297" s="1881"/>
      <c r="AH297" s="1913"/>
      <c r="AJ297" s="1393"/>
    </row>
    <row r="298" spans="1:36" s="1350" customFormat="1">
      <c r="A298" s="1"/>
      <c r="B298" s="6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5"/>
      <c r="O298" s="7"/>
      <c r="P298" s="5"/>
      <c r="Q298" s="5"/>
      <c r="R298" s="6"/>
      <c r="S298" s="1"/>
      <c r="T298" s="6"/>
      <c r="U298" s="1878"/>
      <c r="V298" s="1878"/>
      <c r="W298" s="1877"/>
      <c r="X298" s="1877"/>
      <c r="Y298" s="1877"/>
      <c r="Z298" s="1877"/>
      <c r="AA298" s="1878"/>
      <c r="AB298" s="1877"/>
      <c r="AC298" s="1877"/>
      <c r="AD298" s="1877"/>
      <c r="AE298" s="1911"/>
      <c r="AF298" s="1912"/>
      <c r="AG298" s="1881"/>
      <c r="AH298" s="1913"/>
      <c r="AJ298" s="1393"/>
    </row>
    <row r="299" spans="1:36" s="1350" customFormat="1">
      <c r="A299" s="1"/>
      <c r="B299" s="6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5"/>
      <c r="O299" s="7"/>
      <c r="P299" s="5"/>
      <c r="Q299" s="5"/>
      <c r="R299" s="6"/>
      <c r="S299" s="1"/>
      <c r="T299" s="6"/>
      <c r="U299" s="1878"/>
      <c r="V299" s="1878"/>
      <c r="W299" s="1877"/>
      <c r="X299" s="1877"/>
      <c r="Y299" s="1877"/>
      <c r="Z299" s="1877"/>
      <c r="AA299" s="1878"/>
      <c r="AB299" s="1877"/>
      <c r="AC299" s="1877"/>
      <c r="AD299" s="1877"/>
      <c r="AE299" s="1911"/>
      <c r="AF299" s="1912"/>
      <c r="AG299" s="1881"/>
      <c r="AH299" s="1913"/>
      <c r="AJ299" s="1393"/>
    </row>
    <row r="300" spans="1:36" s="1350" customFormat="1">
      <c r="A300" s="1"/>
      <c r="B300" s="6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5"/>
      <c r="O300" s="7"/>
      <c r="P300" s="5"/>
      <c r="Q300" s="5"/>
      <c r="R300" s="6"/>
      <c r="S300" s="1"/>
      <c r="T300" s="6"/>
      <c r="U300" s="1878"/>
      <c r="V300" s="1878"/>
      <c r="W300" s="1877"/>
      <c r="X300" s="1877"/>
      <c r="Y300" s="1877"/>
      <c r="Z300" s="1877"/>
      <c r="AA300" s="1878"/>
      <c r="AB300" s="1877"/>
      <c r="AC300" s="1877"/>
      <c r="AD300" s="1877"/>
      <c r="AE300" s="1911"/>
      <c r="AF300" s="1912"/>
      <c r="AG300" s="1881"/>
      <c r="AH300" s="1913"/>
      <c r="AJ300" s="1393"/>
    </row>
    <row r="301" spans="1:36" s="1350" customFormat="1">
      <c r="A301" s="1"/>
      <c r="B301" s="6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5"/>
      <c r="O301" s="7"/>
      <c r="P301" s="5"/>
      <c r="Q301" s="5"/>
      <c r="R301" s="6"/>
      <c r="S301" s="1"/>
      <c r="T301" s="6"/>
      <c r="U301" s="1878"/>
      <c r="V301" s="1878"/>
      <c r="W301" s="1877"/>
      <c r="X301" s="1877"/>
      <c r="Y301" s="1877"/>
      <c r="Z301" s="1877"/>
      <c r="AA301" s="1878"/>
      <c r="AB301" s="1877"/>
      <c r="AC301" s="1877"/>
      <c r="AD301" s="1877"/>
      <c r="AE301" s="1911"/>
      <c r="AF301" s="1912"/>
      <c r="AG301" s="1881"/>
      <c r="AH301" s="1913"/>
      <c r="AJ301" s="1393"/>
    </row>
    <row r="302" spans="1:36" s="1350" customFormat="1">
      <c r="A302" s="1"/>
      <c r="B302" s="6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5"/>
      <c r="O302" s="7"/>
      <c r="P302" s="5"/>
      <c r="Q302" s="5"/>
      <c r="R302" s="6"/>
      <c r="S302" s="1"/>
      <c r="T302" s="6"/>
      <c r="U302" s="1878"/>
      <c r="V302" s="1878"/>
      <c r="W302" s="1877"/>
      <c r="X302" s="1877"/>
      <c r="Y302" s="1877"/>
      <c r="Z302" s="1877"/>
      <c r="AA302" s="1878"/>
      <c r="AB302" s="1877"/>
      <c r="AC302" s="1877"/>
      <c r="AD302" s="1877"/>
      <c r="AE302" s="1911"/>
      <c r="AF302" s="1912"/>
      <c r="AG302" s="1881"/>
      <c r="AH302" s="1913"/>
      <c r="AJ302" s="1393"/>
    </row>
    <row r="303" spans="1:36" s="1350" customFormat="1">
      <c r="A303" s="1"/>
      <c r="B303" s="6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5"/>
      <c r="O303" s="7"/>
      <c r="P303" s="5"/>
      <c r="Q303" s="5"/>
      <c r="R303" s="6"/>
      <c r="S303" s="1"/>
      <c r="T303" s="6"/>
      <c r="U303" s="1878"/>
      <c r="V303" s="1878"/>
      <c r="W303" s="1877"/>
      <c r="X303" s="1877"/>
      <c r="Y303" s="1877"/>
      <c r="Z303" s="1877"/>
      <c r="AA303" s="1878"/>
      <c r="AB303" s="1877"/>
      <c r="AC303" s="1877"/>
      <c r="AD303" s="1877"/>
      <c r="AE303" s="1911"/>
      <c r="AF303" s="1912"/>
      <c r="AG303" s="1881"/>
      <c r="AH303" s="1913"/>
      <c r="AJ303" s="1393"/>
    </row>
    <row r="304" spans="1:36" s="1350" customFormat="1">
      <c r="A304" s="1"/>
      <c r="B304" s="6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5"/>
      <c r="O304" s="7"/>
      <c r="P304" s="5"/>
      <c r="Q304" s="5"/>
      <c r="R304" s="6"/>
      <c r="S304" s="1"/>
      <c r="T304" s="6"/>
      <c r="U304" s="1878"/>
      <c r="V304" s="1878"/>
      <c r="W304" s="1877"/>
      <c r="X304" s="1877"/>
      <c r="Y304" s="1877"/>
      <c r="Z304" s="1877"/>
      <c r="AA304" s="1878"/>
      <c r="AB304" s="1877"/>
      <c r="AC304" s="1877"/>
      <c r="AD304" s="1877"/>
      <c r="AE304" s="1911"/>
      <c r="AF304" s="1912"/>
      <c r="AG304" s="1881"/>
      <c r="AH304" s="1913"/>
      <c r="AJ304" s="1393"/>
    </row>
    <row r="305" spans="1:36" s="1350" customFormat="1">
      <c r="A305" s="1"/>
      <c r="B305" s="6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5"/>
      <c r="O305" s="7"/>
      <c r="P305" s="5"/>
      <c r="Q305" s="5"/>
      <c r="R305" s="6"/>
      <c r="S305" s="1"/>
      <c r="T305" s="6"/>
      <c r="U305" s="1878"/>
      <c r="V305" s="1878"/>
      <c r="W305" s="1877"/>
      <c r="X305" s="1877"/>
      <c r="Y305" s="1877"/>
      <c r="Z305" s="1877"/>
      <c r="AA305" s="1878"/>
      <c r="AB305" s="1877"/>
      <c r="AC305" s="1877"/>
      <c r="AD305" s="1877"/>
      <c r="AE305" s="1911"/>
      <c r="AF305" s="1912"/>
      <c r="AG305" s="1881"/>
      <c r="AH305" s="1913"/>
      <c r="AJ305" s="1393"/>
    </row>
    <row r="306" spans="1:36" s="1350" customFormat="1">
      <c r="A306" s="1"/>
      <c r="B306" s="6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5"/>
      <c r="O306" s="7"/>
      <c r="P306" s="5"/>
      <c r="Q306" s="5"/>
      <c r="R306" s="6"/>
      <c r="S306" s="1"/>
      <c r="T306" s="6"/>
      <c r="U306" s="1878"/>
      <c r="V306" s="1878"/>
      <c r="W306" s="1877"/>
      <c r="X306" s="1877"/>
      <c r="Y306" s="1877"/>
      <c r="Z306" s="1877"/>
      <c r="AA306" s="1878"/>
      <c r="AB306" s="1877"/>
      <c r="AC306" s="1877"/>
      <c r="AD306" s="1877"/>
      <c r="AE306" s="1911"/>
      <c r="AF306" s="1912"/>
      <c r="AG306" s="1881"/>
      <c r="AH306" s="1913"/>
      <c r="AJ306" s="1393"/>
    </row>
    <row r="307" spans="1:36" s="1350" customFormat="1">
      <c r="A307" s="1"/>
      <c r="B307" s="6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5"/>
      <c r="O307" s="7"/>
      <c r="P307" s="5"/>
      <c r="Q307" s="5"/>
      <c r="R307" s="6"/>
      <c r="S307" s="1"/>
      <c r="T307" s="6"/>
      <c r="U307" s="1878"/>
      <c r="V307" s="1878"/>
      <c r="W307" s="1877"/>
      <c r="X307" s="1877"/>
      <c r="Y307" s="1877"/>
      <c r="Z307" s="1877"/>
      <c r="AA307" s="1878"/>
      <c r="AB307" s="1877"/>
      <c r="AC307" s="1877"/>
      <c r="AD307" s="1877"/>
      <c r="AE307" s="1911"/>
      <c r="AF307" s="1912"/>
      <c r="AG307" s="1881"/>
      <c r="AH307" s="1913"/>
      <c r="AJ307" s="1393"/>
    </row>
    <row r="308" spans="1:36" s="1350" customFormat="1">
      <c r="A308" s="1"/>
      <c r="B308" s="6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5"/>
      <c r="O308" s="7"/>
      <c r="P308" s="5"/>
      <c r="Q308" s="5"/>
      <c r="R308" s="6"/>
      <c r="S308" s="1"/>
      <c r="T308" s="6"/>
      <c r="U308" s="1878"/>
      <c r="V308" s="1878"/>
      <c r="W308" s="1877"/>
      <c r="X308" s="1877"/>
      <c r="Y308" s="1877"/>
      <c r="Z308" s="1877"/>
      <c r="AA308" s="1878"/>
      <c r="AB308" s="1877"/>
      <c r="AC308" s="1877"/>
      <c r="AD308" s="1877"/>
      <c r="AE308" s="1911"/>
      <c r="AF308" s="1912"/>
      <c r="AG308" s="1881"/>
      <c r="AH308" s="1913"/>
      <c r="AJ308" s="1393"/>
    </row>
    <row r="309" spans="1:36" s="1350" customFormat="1">
      <c r="A309" s="1"/>
      <c r="B309" s="6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5"/>
      <c r="O309" s="7"/>
      <c r="P309" s="5"/>
      <c r="Q309" s="5"/>
      <c r="R309" s="6"/>
      <c r="S309" s="1"/>
      <c r="T309" s="6"/>
      <c r="U309" s="1878"/>
      <c r="V309" s="1878"/>
      <c r="W309" s="1877"/>
      <c r="X309" s="1877"/>
      <c r="Y309" s="1877"/>
      <c r="Z309" s="1877"/>
      <c r="AA309" s="1878"/>
      <c r="AB309" s="1877"/>
      <c r="AC309" s="1877"/>
      <c r="AD309" s="1877"/>
      <c r="AE309" s="1911"/>
      <c r="AF309" s="1912"/>
      <c r="AG309" s="1881"/>
      <c r="AH309" s="1913"/>
      <c r="AJ309" s="1393"/>
    </row>
    <row r="310" spans="1:36" s="1350" customFormat="1">
      <c r="A310" s="1"/>
      <c r="B310" s="6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5"/>
      <c r="O310" s="7"/>
      <c r="P310" s="5"/>
      <c r="Q310" s="5"/>
      <c r="R310" s="6"/>
      <c r="S310" s="1"/>
      <c r="T310" s="6"/>
      <c r="U310" s="1878"/>
      <c r="V310" s="1878"/>
      <c r="W310" s="1877"/>
      <c r="X310" s="1877"/>
      <c r="Y310" s="1877"/>
      <c r="Z310" s="1877"/>
      <c r="AA310" s="1878"/>
      <c r="AB310" s="1877"/>
      <c r="AC310" s="1877"/>
      <c r="AD310" s="1877"/>
      <c r="AE310" s="1911"/>
      <c r="AF310" s="1912"/>
      <c r="AG310" s="1881"/>
      <c r="AH310" s="1913"/>
      <c r="AJ310" s="1393"/>
    </row>
    <row r="311" spans="1:36" s="1350" customFormat="1">
      <c r="A311" s="1"/>
      <c r="B311" s="6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5"/>
      <c r="O311" s="7"/>
      <c r="P311" s="5"/>
      <c r="Q311" s="5"/>
      <c r="R311" s="6"/>
      <c r="S311" s="1"/>
      <c r="T311" s="6"/>
      <c r="U311" s="1878"/>
      <c r="V311" s="1878"/>
      <c r="W311" s="1877"/>
      <c r="X311" s="1877"/>
      <c r="Y311" s="1877"/>
      <c r="Z311" s="1877"/>
      <c r="AA311" s="1878"/>
      <c r="AB311" s="1877"/>
      <c r="AC311" s="1877"/>
      <c r="AD311" s="1877"/>
      <c r="AE311" s="1911"/>
      <c r="AF311" s="1912"/>
      <c r="AG311" s="1881"/>
      <c r="AH311" s="1913"/>
      <c r="AJ311" s="1393"/>
    </row>
    <row r="312" spans="1:36" s="1350" customFormat="1">
      <c r="A312" s="1"/>
      <c r="B312" s="6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5"/>
      <c r="O312" s="7"/>
      <c r="P312" s="5"/>
      <c r="Q312" s="5"/>
      <c r="R312" s="6"/>
      <c r="S312" s="1"/>
      <c r="T312" s="6"/>
      <c r="U312" s="1878"/>
      <c r="V312" s="1878"/>
      <c r="W312" s="1877"/>
      <c r="X312" s="1877"/>
      <c r="Y312" s="1877"/>
      <c r="Z312" s="1877"/>
      <c r="AA312" s="1878"/>
      <c r="AB312" s="1877"/>
      <c r="AC312" s="1877"/>
      <c r="AD312" s="1877"/>
      <c r="AE312" s="1911"/>
      <c r="AF312" s="1912"/>
      <c r="AG312" s="1881"/>
      <c r="AH312" s="1913"/>
      <c r="AJ312" s="1393"/>
    </row>
    <row r="313" spans="1:36" s="1350" customFormat="1">
      <c r="A313" s="1"/>
      <c r="B313" s="6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5"/>
      <c r="O313" s="7"/>
      <c r="P313" s="5"/>
      <c r="Q313" s="5"/>
      <c r="R313" s="6"/>
      <c r="S313" s="1"/>
      <c r="T313" s="6"/>
      <c r="U313" s="1878"/>
      <c r="V313" s="1878"/>
      <c r="W313" s="1877"/>
      <c r="X313" s="1877"/>
      <c r="Y313" s="1877"/>
      <c r="Z313" s="1877"/>
      <c r="AA313" s="1878"/>
      <c r="AB313" s="1877"/>
      <c r="AC313" s="1877"/>
      <c r="AD313" s="1877"/>
      <c r="AE313" s="1911"/>
      <c r="AF313" s="1912"/>
      <c r="AG313" s="1881"/>
      <c r="AH313" s="1913"/>
      <c r="AJ313" s="1393"/>
    </row>
    <row r="314" spans="1:36" s="1350" customFormat="1">
      <c r="A314" s="1"/>
      <c r="B314" s="6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5"/>
      <c r="O314" s="7"/>
      <c r="P314" s="5"/>
      <c r="Q314" s="5"/>
      <c r="R314" s="6"/>
      <c r="S314" s="1"/>
      <c r="T314" s="6"/>
      <c r="U314" s="1878"/>
      <c r="V314" s="1878"/>
      <c r="W314" s="1877"/>
      <c r="X314" s="1877"/>
      <c r="Y314" s="1877"/>
      <c r="Z314" s="1877"/>
      <c r="AA314" s="1878"/>
      <c r="AB314" s="1877"/>
      <c r="AC314" s="1877"/>
      <c r="AD314" s="1877"/>
      <c r="AE314" s="1911"/>
      <c r="AF314" s="1912"/>
      <c r="AG314" s="1881"/>
      <c r="AH314" s="1913"/>
      <c r="AJ314" s="1393"/>
    </row>
    <row r="315" spans="1:36" s="1350" customFormat="1">
      <c r="A315" s="1"/>
      <c r="B315" s="6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5"/>
      <c r="O315" s="7"/>
      <c r="P315" s="5"/>
      <c r="Q315" s="5"/>
      <c r="R315" s="6"/>
      <c r="S315" s="1"/>
      <c r="T315" s="6"/>
      <c r="U315" s="1878"/>
      <c r="V315" s="1878"/>
      <c r="W315" s="1877"/>
      <c r="X315" s="1877"/>
      <c r="Y315" s="1877"/>
      <c r="Z315" s="1877"/>
      <c r="AA315" s="1878"/>
      <c r="AB315" s="1877"/>
      <c r="AC315" s="1877"/>
      <c r="AD315" s="1877"/>
      <c r="AE315" s="1911"/>
      <c r="AF315" s="1912"/>
      <c r="AG315" s="1881"/>
      <c r="AH315" s="1913"/>
      <c r="AJ315" s="1393"/>
    </row>
    <row r="316" spans="1:36" s="1350" customFormat="1">
      <c r="A316" s="1"/>
      <c r="B316" s="6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5"/>
      <c r="O316" s="7"/>
      <c r="P316" s="5"/>
      <c r="Q316" s="5"/>
      <c r="R316" s="6"/>
      <c r="S316" s="1"/>
      <c r="T316" s="6"/>
      <c r="U316" s="1878"/>
      <c r="V316" s="1878"/>
      <c r="W316" s="1877"/>
      <c r="X316" s="1877"/>
      <c r="Y316" s="1877"/>
      <c r="Z316" s="1877"/>
      <c r="AA316" s="1878"/>
      <c r="AB316" s="1877"/>
      <c r="AC316" s="1877"/>
      <c r="AD316" s="1877"/>
      <c r="AE316" s="1911"/>
      <c r="AF316" s="1912"/>
      <c r="AG316" s="1881"/>
      <c r="AH316" s="1913"/>
      <c r="AJ316" s="1393"/>
    </row>
    <row r="317" spans="1:36" s="1350" customFormat="1">
      <c r="A317" s="1"/>
      <c r="B317" s="6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5"/>
      <c r="O317" s="7"/>
      <c r="P317" s="5"/>
      <c r="Q317" s="5"/>
      <c r="R317" s="6"/>
      <c r="S317" s="1"/>
      <c r="T317" s="6"/>
      <c r="U317" s="1878"/>
      <c r="V317" s="1878"/>
      <c r="W317" s="1877"/>
      <c r="X317" s="1877"/>
      <c r="Y317" s="1877"/>
      <c r="Z317" s="1877"/>
      <c r="AA317" s="1878"/>
      <c r="AB317" s="1877"/>
      <c r="AC317" s="1877"/>
      <c r="AD317" s="1877"/>
      <c r="AE317" s="1911"/>
      <c r="AF317" s="1912"/>
      <c r="AG317" s="1881"/>
      <c r="AH317" s="1913"/>
      <c r="AJ317" s="1393"/>
    </row>
    <row r="318" spans="1:36" s="1350" customFormat="1">
      <c r="A318" s="1"/>
      <c r="B318" s="6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5"/>
      <c r="O318" s="7"/>
      <c r="P318" s="5"/>
      <c r="Q318" s="5"/>
      <c r="R318" s="6"/>
      <c r="S318" s="1"/>
      <c r="T318" s="6"/>
      <c r="U318" s="1878"/>
      <c r="V318" s="1878"/>
      <c r="W318" s="1877"/>
      <c r="X318" s="1877"/>
      <c r="Y318" s="1877"/>
      <c r="Z318" s="1877"/>
      <c r="AA318" s="1878"/>
      <c r="AB318" s="1877"/>
      <c r="AC318" s="1877"/>
      <c r="AD318" s="1877"/>
      <c r="AE318" s="1911"/>
      <c r="AF318" s="1912"/>
      <c r="AG318" s="1881"/>
      <c r="AH318" s="1913"/>
      <c r="AJ318" s="1393"/>
    </row>
  </sheetData>
  <mergeCells count="4">
    <mergeCell ref="A2:P2"/>
    <mergeCell ref="D3:L3"/>
    <mergeCell ref="A5:L5"/>
    <mergeCell ref="A11:L1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47"/>
  <sheetViews>
    <sheetView zoomScale="70" zoomScaleNormal="70" workbookViewId="0">
      <pane xSplit="12" ySplit="4" topLeftCell="M176" activePane="bottomRight" state="frozen"/>
      <selection activeCell="H192" sqref="H192"/>
      <selection pane="topRight" activeCell="H192" sqref="H192"/>
      <selection pane="bottomLeft" activeCell="H192" sqref="H192"/>
      <selection pane="bottomRight" activeCell="J193" sqref="J193"/>
    </sheetView>
  </sheetViews>
  <sheetFormatPr defaultColWidth="10.33203125" defaultRowHeight="15.6"/>
  <cols>
    <col min="1" max="1" width="7" style="2130" customWidth="1"/>
    <col min="2" max="2" width="11.6640625" style="2117" customWidth="1"/>
    <col min="3" max="3" width="19.5546875" style="2132" customWidth="1"/>
    <col min="4" max="4" width="13.109375" style="2133" customWidth="1"/>
    <col min="5" max="5" width="14.88671875" style="2134" customWidth="1"/>
    <col min="6" max="6" width="11.109375" style="2134" customWidth="1"/>
    <col min="7" max="8" width="5.109375" style="2117" customWidth="1"/>
    <col min="9" max="9" width="5.6640625" style="2135" customWidth="1"/>
    <col min="10" max="10" width="14.44140625" style="2135" customWidth="1"/>
    <col min="11" max="11" width="6.5546875" style="811" customWidth="1"/>
    <col min="12" max="12" width="26.5546875" style="980" customWidth="1"/>
    <col min="13" max="13" width="16.6640625" style="980" customWidth="1"/>
    <col min="14" max="14" width="16.6640625" style="2117" customWidth="1"/>
    <col min="15" max="15" width="26.109375" style="2117" customWidth="1"/>
    <col min="16" max="16" width="15.33203125" style="2117" customWidth="1"/>
    <col min="17" max="17" width="16.109375" style="268" customWidth="1"/>
    <col min="18" max="18" width="13.109375" style="268" customWidth="1"/>
    <col min="19" max="19" width="14.33203125" style="268" customWidth="1"/>
    <col min="20" max="20" width="15" style="268" customWidth="1"/>
    <col min="21" max="21" width="16.109375" style="264" customWidth="1"/>
    <col min="22" max="22" width="15.33203125" style="264" customWidth="1"/>
    <col min="23" max="23" width="19.5546875" style="268" customWidth="1"/>
    <col min="24" max="24" width="19.44140625" style="268" customWidth="1"/>
    <col min="25" max="25" width="15.5546875" style="2136" customWidth="1"/>
    <col min="26" max="26" width="34.33203125" style="2137" customWidth="1"/>
    <col min="27" max="27" width="18.6640625" style="271" customWidth="1"/>
    <col min="28" max="28" width="16.6640625" style="272" customWidth="1"/>
    <col min="29" max="29" width="18.5546875" style="2138" customWidth="1"/>
    <col min="30" max="30" width="21.5546875" style="980" customWidth="1"/>
    <col min="31" max="194" width="10.33203125" style="981"/>
    <col min="195" max="195" width="7" style="981" customWidth="1"/>
    <col min="196" max="196" width="13" style="981" customWidth="1"/>
    <col min="197" max="197" width="14.109375" style="981" customWidth="1"/>
    <col min="198" max="198" width="17.33203125" style="981" customWidth="1"/>
    <col min="199" max="199" width="18.88671875" style="981" customWidth="1"/>
    <col min="200" max="200" width="14.109375" style="981" customWidth="1"/>
    <col min="201" max="201" width="21.5546875" style="981" customWidth="1"/>
    <col min="202" max="203" width="14.109375" style="981" customWidth="1"/>
    <col min="204" max="204" width="15" style="981" customWidth="1"/>
    <col min="205" max="205" width="13.33203125" style="981" customWidth="1"/>
    <col min="206" max="206" width="17" style="981" customWidth="1"/>
    <col min="207" max="207" width="24.88671875" style="981" customWidth="1"/>
    <col min="208" max="208" width="14.44140625" style="981" customWidth="1"/>
    <col min="209" max="209" width="23.109375" style="981" customWidth="1"/>
    <col min="210" max="210" width="13.109375" style="981" customWidth="1"/>
    <col min="211" max="214" width="0" style="981" hidden="1" customWidth="1"/>
    <col min="215" max="450" width="10.33203125" style="981"/>
    <col min="451" max="451" width="7" style="981" customWidth="1"/>
    <col min="452" max="452" width="13" style="981" customWidth="1"/>
    <col min="453" max="453" width="14.109375" style="981" customWidth="1"/>
    <col min="454" max="454" width="17.33203125" style="981" customWidth="1"/>
    <col min="455" max="455" width="18.88671875" style="981" customWidth="1"/>
    <col min="456" max="456" width="14.109375" style="981" customWidth="1"/>
    <col min="457" max="457" width="21.5546875" style="981" customWidth="1"/>
    <col min="458" max="459" width="14.109375" style="981" customWidth="1"/>
    <col min="460" max="460" width="15" style="981" customWidth="1"/>
    <col min="461" max="461" width="13.33203125" style="981" customWidth="1"/>
    <col min="462" max="462" width="17" style="981" customWidth="1"/>
    <col min="463" max="463" width="24.88671875" style="981" customWidth="1"/>
    <col min="464" max="464" width="14.44140625" style="981" customWidth="1"/>
    <col min="465" max="465" width="23.109375" style="981" customWidth="1"/>
    <col min="466" max="466" width="13.109375" style="981" customWidth="1"/>
    <col min="467" max="470" width="0" style="981" hidden="1" customWidth="1"/>
    <col min="471" max="706" width="10.33203125" style="981"/>
    <col min="707" max="707" width="7" style="981" customWidth="1"/>
    <col min="708" max="708" width="13" style="981" customWidth="1"/>
    <col min="709" max="709" width="14.109375" style="981" customWidth="1"/>
    <col min="710" max="710" width="17.33203125" style="981" customWidth="1"/>
    <col min="711" max="711" width="18.88671875" style="981" customWidth="1"/>
    <col min="712" max="712" width="14.109375" style="981" customWidth="1"/>
    <col min="713" max="713" width="21.5546875" style="981" customWidth="1"/>
    <col min="714" max="715" width="14.109375" style="981" customWidth="1"/>
    <col min="716" max="716" width="15" style="981" customWidth="1"/>
    <col min="717" max="717" width="13.33203125" style="981" customWidth="1"/>
    <col min="718" max="718" width="17" style="981" customWidth="1"/>
    <col min="719" max="719" width="24.88671875" style="981" customWidth="1"/>
    <col min="720" max="720" width="14.44140625" style="981" customWidth="1"/>
    <col min="721" max="721" width="23.109375" style="981" customWidth="1"/>
    <col min="722" max="722" width="13.109375" style="981" customWidth="1"/>
    <col min="723" max="726" width="0" style="981" hidden="1" customWidth="1"/>
    <col min="727" max="962" width="10.33203125" style="981"/>
    <col min="963" max="963" width="7" style="981" customWidth="1"/>
    <col min="964" max="964" width="13" style="981" customWidth="1"/>
    <col min="965" max="965" width="14.109375" style="981" customWidth="1"/>
    <col min="966" max="966" width="17.33203125" style="981" customWidth="1"/>
    <col min="967" max="967" width="18.88671875" style="981" customWidth="1"/>
    <col min="968" max="968" width="14.109375" style="981" customWidth="1"/>
    <col min="969" max="969" width="21.5546875" style="981" customWidth="1"/>
    <col min="970" max="971" width="14.109375" style="981" customWidth="1"/>
    <col min="972" max="972" width="15" style="981" customWidth="1"/>
    <col min="973" max="973" width="13.33203125" style="981" customWidth="1"/>
    <col min="974" max="974" width="17" style="981" customWidth="1"/>
    <col min="975" max="975" width="24.88671875" style="981" customWidth="1"/>
    <col min="976" max="976" width="14.44140625" style="981" customWidth="1"/>
    <col min="977" max="977" width="23.109375" style="981" customWidth="1"/>
    <col min="978" max="978" width="13.109375" style="981" customWidth="1"/>
    <col min="979" max="982" width="0" style="981" hidden="1" customWidth="1"/>
    <col min="983" max="1218" width="10.33203125" style="981"/>
    <col min="1219" max="1219" width="7" style="981" customWidth="1"/>
    <col min="1220" max="1220" width="13" style="981" customWidth="1"/>
    <col min="1221" max="1221" width="14.109375" style="981" customWidth="1"/>
    <col min="1222" max="1222" width="17.33203125" style="981" customWidth="1"/>
    <col min="1223" max="1223" width="18.88671875" style="981" customWidth="1"/>
    <col min="1224" max="1224" width="14.109375" style="981" customWidth="1"/>
    <col min="1225" max="1225" width="21.5546875" style="981" customWidth="1"/>
    <col min="1226" max="1227" width="14.109375" style="981" customWidth="1"/>
    <col min="1228" max="1228" width="15" style="981" customWidth="1"/>
    <col min="1229" max="1229" width="13.33203125" style="981" customWidth="1"/>
    <col min="1230" max="1230" width="17" style="981" customWidth="1"/>
    <col min="1231" max="1231" width="24.88671875" style="981" customWidth="1"/>
    <col min="1232" max="1232" width="14.44140625" style="981" customWidth="1"/>
    <col min="1233" max="1233" width="23.109375" style="981" customWidth="1"/>
    <col min="1234" max="1234" width="13.109375" style="981" customWidth="1"/>
    <col min="1235" max="1238" width="0" style="981" hidden="1" customWidth="1"/>
    <col min="1239" max="1474" width="10.33203125" style="981"/>
    <col min="1475" max="1475" width="7" style="981" customWidth="1"/>
    <col min="1476" max="1476" width="13" style="981" customWidth="1"/>
    <col min="1477" max="1477" width="14.109375" style="981" customWidth="1"/>
    <col min="1478" max="1478" width="17.33203125" style="981" customWidth="1"/>
    <col min="1479" max="1479" width="18.88671875" style="981" customWidth="1"/>
    <col min="1480" max="1480" width="14.109375" style="981" customWidth="1"/>
    <col min="1481" max="1481" width="21.5546875" style="981" customWidth="1"/>
    <col min="1482" max="1483" width="14.109375" style="981" customWidth="1"/>
    <col min="1484" max="1484" width="15" style="981" customWidth="1"/>
    <col min="1485" max="1485" width="13.33203125" style="981" customWidth="1"/>
    <col min="1486" max="1486" width="17" style="981" customWidth="1"/>
    <col min="1487" max="1487" width="24.88671875" style="981" customWidth="1"/>
    <col min="1488" max="1488" width="14.44140625" style="981" customWidth="1"/>
    <col min="1489" max="1489" width="23.109375" style="981" customWidth="1"/>
    <col min="1490" max="1490" width="13.109375" style="981" customWidth="1"/>
    <col min="1491" max="1494" width="0" style="981" hidden="1" customWidth="1"/>
    <col min="1495" max="1730" width="10.33203125" style="981"/>
    <col min="1731" max="1731" width="7" style="981" customWidth="1"/>
    <col min="1732" max="1732" width="13" style="981" customWidth="1"/>
    <col min="1733" max="1733" width="14.109375" style="981" customWidth="1"/>
    <col min="1734" max="1734" width="17.33203125" style="981" customWidth="1"/>
    <col min="1735" max="1735" width="18.88671875" style="981" customWidth="1"/>
    <col min="1736" max="1736" width="14.109375" style="981" customWidth="1"/>
    <col min="1737" max="1737" width="21.5546875" style="981" customWidth="1"/>
    <col min="1738" max="1739" width="14.109375" style="981" customWidth="1"/>
    <col min="1740" max="1740" width="15" style="981" customWidth="1"/>
    <col min="1741" max="1741" width="13.33203125" style="981" customWidth="1"/>
    <col min="1742" max="1742" width="17" style="981" customWidth="1"/>
    <col min="1743" max="1743" width="24.88671875" style="981" customWidth="1"/>
    <col min="1744" max="1744" width="14.44140625" style="981" customWidth="1"/>
    <col min="1745" max="1745" width="23.109375" style="981" customWidth="1"/>
    <col min="1746" max="1746" width="13.109375" style="981" customWidth="1"/>
    <col min="1747" max="1750" width="0" style="981" hidden="1" customWidth="1"/>
    <col min="1751" max="1986" width="10.33203125" style="981"/>
    <col min="1987" max="1987" width="7" style="981" customWidth="1"/>
    <col min="1988" max="1988" width="13" style="981" customWidth="1"/>
    <col min="1989" max="1989" width="14.109375" style="981" customWidth="1"/>
    <col min="1990" max="1990" width="17.33203125" style="981" customWidth="1"/>
    <col min="1991" max="1991" width="18.88671875" style="981" customWidth="1"/>
    <col min="1992" max="1992" width="14.109375" style="981" customWidth="1"/>
    <col min="1993" max="1993" width="21.5546875" style="981" customWidth="1"/>
    <col min="1994" max="1995" width="14.109375" style="981" customWidth="1"/>
    <col min="1996" max="1996" width="15" style="981" customWidth="1"/>
    <col min="1997" max="1997" width="13.33203125" style="981" customWidth="1"/>
    <col min="1998" max="1998" width="17" style="981" customWidth="1"/>
    <col min="1999" max="1999" width="24.88671875" style="981" customWidth="1"/>
    <col min="2000" max="2000" width="14.44140625" style="981" customWidth="1"/>
    <col min="2001" max="2001" width="23.109375" style="981" customWidth="1"/>
    <col min="2002" max="2002" width="13.109375" style="981" customWidth="1"/>
    <col min="2003" max="2006" width="0" style="981" hidden="1" customWidth="1"/>
    <col min="2007" max="2242" width="10.33203125" style="981"/>
    <col min="2243" max="2243" width="7" style="981" customWidth="1"/>
    <col min="2244" max="2244" width="13" style="981" customWidth="1"/>
    <col min="2245" max="2245" width="14.109375" style="981" customWidth="1"/>
    <col min="2246" max="2246" width="17.33203125" style="981" customWidth="1"/>
    <col min="2247" max="2247" width="18.88671875" style="981" customWidth="1"/>
    <col min="2248" max="2248" width="14.109375" style="981" customWidth="1"/>
    <col min="2249" max="2249" width="21.5546875" style="981" customWidth="1"/>
    <col min="2250" max="2251" width="14.109375" style="981" customWidth="1"/>
    <col min="2252" max="2252" width="15" style="981" customWidth="1"/>
    <col min="2253" max="2253" width="13.33203125" style="981" customWidth="1"/>
    <col min="2254" max="2254" width="17" style="981" customWidth="1"/>
    <col min="2255" max="2255" width="24.88671875" style="981" customWidth="1"/>
    <col min="2256" max="2256" width="14.44140625" style="981" customWidth="1"/>
    <col min="2257" max="2257" width="23.109375" style="981" customWidth="1"/>
    <col min="2258" max="2258" width="13.109375" style="981" customWidth="1"/>
    <col min="2259" max="2262" width="0" style="981" hidden="1" customWidth="1"/>
    <col min="2263" max="2498" width="10.33203125" style="981"/>
    <col min="2499" max="2499" width="7" style="981" customWidth="1"/>
    <col min="2500" max="2500" width="13" style="981" customWidth="1"/>
    <col min="2501" max="2501" width="14.109375" style="981" customWidth="1"/>
    <col min="2502" max="2502" width="17.33203125" style="981" customWidth="1"/>
    <col min="2503" max="2503" width="18.88671875" style="981" customWidth="1"/>
    <col min="2504" max="2504" width="14.109375" style="981" customWidth="1"/>
    <col min="2505" max="2505" width="21.5546875" style="981" customWidth="1"/>
    <col min="2506" max="2507" width="14.109375" style="981" customWidth="1"/>
    <col min="2508" max="2508" width="15" style="981" customWidth="1"/>
    <col min="2509" max="2509" width="13.33203125" style="981" customWidth="1"/>
    <col min="2510" max="2510" width="17" style="981" customWidth="1"/>
    <col min="2511" max="2511" width="24.88671875" style="981" customWidth="1"/>
    <col min="2512" max="2512" width="14.44140625" style="981" customWidth="1"/>
    <col min="2513" max="2513" width="23.109375" style="981" customWidth="1"/>
    <col min="2514" max="2514" width="13.109375" style="981" customWidth="1"/>
    <col min="2515" max="2518" width="0" style="981" hidden="1" customWidth="1"/>
    <col min="2519" max="2754" width="10.33203125" style="981"/>
    <col min="2755" max="2755" width="7" style="981" customWidth="1"/>
    <col min="2756" max="2756" width="13" style="981" customWidth="1"/>
    <col min="2757" max="2757" width="14.109375" style="981" customWidth="1"/>
    <col min="2758" max="2758" width="17.33203125" style="981" customWidth="1"/>
    <col min="2759" max="2759" width="18.88671875" style="981" customWidth="1"/>
    <col min="2760" max="2760" width="14.109375" style="981" customWidth="1"/>
    <col min="2761" max="2761" width="21.5546875" style="981" customWidth="1"/>
    <col min="2762" max="2763" width="14.109375" style="981" customWidth="1"/>
    <col min="2764" max="2764" width="15" style="981" customWidth="1"/>
    <col min="2765" max="2765" width="13.33203125" style="981" customWidth="1"/>
    <col min="2766" max="2766" width="17" style="981" customWidth="1"/>
    <col min="2767" max="2767" width="24.88671875" style="981" customWidth="1"/>
    <col min="2768" max="2768" width="14.44140625" style="981" customWidth="1"/>
    <col min="2769" max="2769" width="23.109375" style="981" customWidth="1"/>
    <col min="2770" max="2770" width="13.109375" style="981" customWidth="1"/>
    <col min="2771" max="2774" width="0" style="981" hidden="1" customWidth="1"/>
    <col min="2775" max="3010" width="10.33203125" style="981"/>
    <col min="3011" max="3011" width="7" style="981" customWidth="1"/>
    <col min="3012" max="3012" width="13" style="981" customWidth="1"/>
    <col min="3013" max="3013" width="14.109375" style="981" customWidth="1"/>
    <col min="3014" max="3014" width="17.33203125" style="981" customWidth="1"/>
    <col min="3015" max="3015" width="18.88671875" style="981" customWidth="1"/>
    <col min="3016" max="3016" width="14.109375" style="981" customWidth="1"/>
    <col min="3017" max="3017" width="21.5546875" style="981" customWidth="1"/>
    <col min="3018" max="3019" width="14.109375" style="981" customWidth="1"/>
    <col min="3020" max="3020" width="15" style="981" customWidth="1"/>
    <col min="3021" max="3021" width="13.33203125" style="981" customWidth="1"/>
    <col min="3022" max="3022" width="17" style="981" customWidth="1"/>
    <col min="3023" max="3023" width="24.88671875" style="981" customWidth="1"/>
    <col min="3024" max="3024" width="14.44140625" style="981" customWidth="1"/>
    <col min="3025" max="3025" width="23.109375" style="981" customWidth="1"/>
    <col min="3026" max="3026" width="13.109375" style="981" customWidth="1"/>
    <col min="3027" max="3030" width="0" style="981" hidden="1" customWidth="1"/>
    <col min="3031" max="3266" width="10.33203125" style="981"/>
    <col min="3267" max="3267" width="7" style="981" customWidth="1"/>
    <col min="3268" max="3268" width="13" style="981" customWidth="1"/>
    <col min="3269" max="3269" width="14.109375" style="981" customWidth="1"/>
    <col min="3270" max="3270" width="17.33203125" style="981" customWidth="1"/>
    <col min="3271" max="3271" width="18.88671875" style="981" customWidth="1"/>
    <col min="3272" max="3272" width="14.109375" style="981" customWidth="1"/>
    <col min="3273" max="3273" width="21.5546875" style="981" customWidth="1"/>
    <col min="3274" max="3275" width="14.109375" style="981" customWidth="1"/>
    <col min="3276" max="3276" width="15" style="981" customWidth="1"/>
    <col min="3277" max="3277" width="13.33203125" style="981" customWidth="1"/>
    <col min="3278" max="3278" width="17" style="981" customWidth="1"/>
    <col min="3279" max="3279" width="24.88671875" style="981" customWidth="1"/>
    <col min="3280" max="3280" width="14.44140625" style="981" customWidth="1"/>
    <col min="3281" max="3281" width="23.109375" style="981" customWidth="1"/>
    <col min="3282" max="3282" width="13.109375" style="981" customWidth="1"/>
    <col min="3283" max="3286" width="0" style="981" hidden="1" customWidth="1"/>
    <col min="3287" max="3522" width="10.33203125" style="981"/>
    <col min="3523" max="3523" width="7" style="981" customWidth="1"/>
    <col min="3524" max="3524" width="13" style="981" customWidth="1"/>
    <col min="3525" max="3525" width="14.109375" style="981" customWidth="1"/>
    <col min="3526" max="3526" width="17.33203125" style="981" customWidth="1"/>
    <col min="3527" max="3527" width="18.88671875" style="981" customWidth="1"/>
    <col min="3528" max="3528" width="14.109375" style="981" customWidth="1"/>
    <col min="3529" max="3529" width="21.5546875" style="981" customWidth="1"/>
    <col min="3530" max="3531" width="14.109375" style="981" customWidth="1"/>
    <col min="3532" max="3532" width="15" style="981" customWidth="1"/>
    <col min="3533" max="3533" width="13.33203125" style="981" customWidth="1"/>
    <col min="3534" max="3534" width="17" style="981" customWidth="1"/>
    <col min="3535" max="3535" width="24.88671875" style="981" customWidth="1"/>
    <col min="3536" max="3536" width="14.44140625" style="981" customWidth="1"/>
    <col min="3537" max="3537" width="23.109375" style="981" customWidth="1"/>
    <col min="3538" max="3538" width="13.109375" style="981" customWidth="1"/>
    <col min="3539" max="3542" width="0" style="981" hidden="1" customWidth="1"/>
    <col min="3543" max="3778" width="10.33203125" style="981"/>
    <col min="3779" max="3779" width="7" style="981" customWidth="1"/>
    <col min="3780" max="3780" width="13" style="981" customWidth="1"/>
    <col min="3781" max="3781" width="14.109375" style="981" customWidth="1"/>
    <col min="3782" max="3782" width="17.33203125" style="981" customWidth="1"/>
    <col min="3783" max="3783" width="18.88671875" style="981" customWidth="1"/>
    <col min="3784" max="3784" width="14.109375" style="981" customWidth="1"/>
    <col min="3785" max="3785" width="21.5546875" style="981" customWidth="1"/>
    <col min="3786" max="3787" width="14.109375" style="981" customWidth="1"/>
    <col min="3788" max="3788" width="15" style="981" customWidth="1"/>
    <col min="3789" max="3789" width="13.33203125" style="981" customWidth="1"/>
    <col min="3790" max="3790" width="17" style="981" customWidth="1"/>
    <col min="3791" max="3791" width="24.88671875" style="981" customWidth="1"/>
    <col min="3792" max="3792" width="14.44140625" style="981" customWidth="1"/>
    <col min="3793" max="3793" width="23.109375" style="981" customWidth="1"/>
    <col min="3794" max="3794" width="13.109375" style="981" customWidth="1"/>
    <col min="3795" max="3798" width="0" style="981" hidden="1" customWidth="1"/>
    <col min="3799" max="4034" width="10.33203125" style="981"/>
    <col min="4035" max="4035" width="7" style="981" customWidth="1"/>
    <col min="4036" max="4036" width="13" style="981" customWidth="1"/>
    <col min="4037" max="4037" width="14.109375" style="981" customWidth="1"/>
    <col min="4038" max="4038" width="17.33203125" style="981" customWidth="1"/>
    <col min="4039" max="4039" width="18.88671875" style="981" customWidth="1"/>
    <col min="4040" max="4040" width="14.109375" style="981" customWidth="1"/>
    <col min="4041" max="4041" width="21.5546875" style="981" customWidth="1"/>
    <col min="4042" max="4043" width="14.109375" style="981" customWidth="1"/>
    <col min="4044" max="4044" width="15" style="981" customWidth="1"/>
    <col min="4045" max="4045" width="13.33203125" style="981" customWidth="1"/>
    <col min="4046" max="4046" width="17" style="981" customWidth="1"/>
    <col min="4047" max="4047" width="24.88671875" style="981" customWidth="1"/>
    <col min="4048" max="4048" width="14.44140625" style="981" customWidth="1"/>
    <col min="4049" max="4049" width="23.109375" style="981" customWidth="1"/>
    <col min="4050" max="4050" width="13.109375" style="981" customWidth="1"/>
    <col min="4051" max="4054" width="0" style="981" hidden="1" customWidth="1"/>
    <col min="4055" max="4290" width="10.33203125" style="981"/>
    <col min="4291" max="4291" width="7" style="981" customWidth="1"/>
    <col min="4292" max="4292" width="13" style="981" customWidth="1"/>
    <col min="4293" max="4293" width="14.109375" style="981" customWidth="1"/>
    <col min="4294" max="4294" width="17.33203125" style="981" customWidth="1"/>
    <col min="4295" max="4295" width="18.88671875" style="981" customWidth="1"/>
    <col min="4296" max="4296" width="14.109375" style="981" customWidth="1"/>
    <col min="4297" max="4297" width="21.5546875" style="981" customWidth="1"/>
    <col min="4298" max="4299" width="14.109375" style="981" customWidth="1"/>
    <col min="4300" max="4300" width="15" style="981" customWidth="1"/>
    <col min="4301" max="4301" width="13.33203125" style="981" customWidth="1"/>
    <col min="4302" max="4302" width="17" style="981" customWidth="1"/>
    <col min="4303" max="4303" width="24.88671875" style="981" customWidth="1"/>
    <col min="4304" max="4304" width="14.44140625" style="981" customWidth="1"/>
    <col min="4305" max="4305" width="23.109375" style="981" customWidth="1"/>
    <col min="4306" max="4306" width="13.109375" style="981" customWidth="1"/>
    <col min="4307" max="4310" width="0" style="981" hidden="1" customWidth="1"/>
    <col min="4311" max="4546" width="10.33203125" style="981"/>
    <col min="4547" max="4547" width="7" style="981" customWidth="1"/>
    <col min="4548" max="4548" width="13" style="981" customWidth="1"/>
    <col min="4549" max="4549" width="14.109375" style="981" customWidth="1"/>
    <col min="4550" max="4550" width="17.33203125" style="981" customWidth="1"/>
    <col min="4551" max="4551" width="18.88671875" style="981" customWidth="1"/>
    <col min="4552" max="4552" width="14.109375" style="981" customWidth="1"/>
    <col min="4553" max="4553" width="21.5546875" style="981" customWidth="1"/>
    <col min="4554" max="4555" width="14.109375" style="981" customWidth="1"/>
    <col min="4556" max="4556" width="15" style="981" customWidth="1"/>
    <col min="4557" max="4557" width="13.33203125" style="981" customWidth="1"/>
    <col min="4558" max="4558" width="17" style="981" customWidth="1"/>
    <col min="4559" max="4559" width="24.88671875" style="981" customWidth="1"/>
    <col min="4560" max="4560" width="14.44140625" style="981" customWidth="1"/>
    <col min="4561" max="4561" width="23.109375" style="981" customWidth="1"/>
    <col min="4562" max="4562" width="13.109375" style="981" customWidth="1"/>
    <col min="4563" max="4566" width="0" style="981" hidden="1" customWidth="1"/>
    <col min="4567" max="4802" width="10.33203125" style="981"/>
    <col min="4803" max="4803" width="7" style="981" customWidth="1"/>
    <col min="4804" max="4804" width="13" style="981" customWidth="1"/>
    <col min="4805" max="4805" width="14.109375" style="981" customWidth="1"/>
    <col min="4806" max="4806" width="17.33203125" style="981" customWidth="1"/>
    <col min="4807" max="4807" width="18.88671875" style="981" customWidth="1"/>
    <col min="4808" max="4808" width="14.109375" style="981" customWidth="1"/>
    <col min="4809" max="4809" width="21.5546875" style="981" customWidth="1"/>
    <col min="4810" max="4811" width="14.109375" style="981" customWidth="1"/>
    <col min="4812" max="4812" width="15" style="981" customWidth="1"/>
    <col min="4813" max="4813" width="13.33203125" style="981" customWidth="1"/>
    <col min="4814" max="4814" width="17" style="981" customWidth="1"/>
    <col min="4815" max="4815" width="24.88671875" style="981" customWidth="1"/>
    <col min="4816" max="4816" width="14.44140625" style="981" customWidth="1"/>
    <col min="4817" max="4817" width="23.109375" style="981" customWidth="1"/>
    <col min="4818" max="4818" width="13.109375" style="981" customWidth="1"/>
    <col min="4819" max="4822" width="0" style="981" hidden="1" customWidth="1"/>
    <col min="4823" max="5058" width="10.33203125" style="981"/>
    <col min="5059" max="5059" width="7" style="981" customWidth="1"/>
    <col min="5060" max="5060" width="13" style="981" customWidth="1"/>
    <col min="5061" max="5061" width="14.109375" style="981" customWidth="1"/>
    <col min="5062" max="5062" width="17.33203125" style="981" customWidth="1"/>
    <col min="5063" max="5063" width="18.88671875" style="981" customWidth="1"/>
    <col min="5064" max="5064" width="14.109375" style="981" customWidth="1"/>
    <col min="5065" max="5065" width="21.5546875" style="981" customWidth="1"/>
    <col min="5066" max="5067" width="14.109375" style="981" customWidth="1"/>
    <col min="5068" max="5068" width="15" style="981" customWidth="1"/>
    <col min="5069" max="5069" width="13.33203125" style="981" customWidth="1"/>
    <col min="5070" max="5070" width="17" style="981" customWidth="1"/>
    <col min="5071" max="5071" width="24.88671875" style="981" customWidth="1"/>
    <col min="5072" max="5072" width="14.44140625" style="981" customWidth="1"/>
    <col min="5073" max="5073" width="23.109375" style="981" customWidth="1"/>
    <col min="5074" max="5074" width="13.109375" style="981" customWidth="1"/>
    <col min="5075" max="5078" width="0" style="981" hidden="1" customWidth="1"/>
    <col min="5079" max="5314" width="10.33203125" style="981"/>
    <col min="5315" max="5315" width="7" style="981" customWidth="1"/>
    <col min="5316" max="5316" width="13" style="981" customWidth="1"/>
    <col min="5317" max="5317" width="14.109375" style="981" customWidth="1"/>
    <col min="5318" max="5318" width="17.33203125" style="981" customWidth="1"/>
    <col min="5319" max="5319" width="18.88671875" style="981" customWidth="1"/>
    <col min="5320" max="5320" width="14.109375" style="981" customWidth="1"/>
    <col min="5321" max="5321" width="21.5546875" style="981" customWidth="1"/>
    <col min="5322" max="5323" width="14.109375" style="981" customWidth="1"/>
    <col min="5324" max="5324" width="15" style="981" customWidth="1"/>
    <col min="5325" max="5325" width="13.33203125" style="981" customWidth="1"/>
    <col min="5326" max="5326" width="17" style="981" customWidth="1"/>
    <col min="5327" max="5327" width="24.88671875" style="981" customWidth="1"/>
    <col min="5328" max="5328" width="14.44140625" style="981" customWidth="1"/>
    <col min="5329" max="5329" width="23.109375" style="981" customWidth="1"/>
    <col min="5330" max="5330" width="13.109375" style="981" customWidth="1"/>
    <col min="5331" max="5334" width="0" style="981" hidden="1" customWidth="1"/>
    <col min="5335" max="5570" width="10.33203125" style="981"/>
    <col min="5571" max="5571" width="7" style="981" customWidth="1"/>
    <col min="5572" max="5572" width="13" style="981" customWidth="1"/>
    <col min="5573" max="5573" width="14.109375" style="981" customWidth="1"/>
    <col min="5574" max="5574" width="17.33203125" style="981" customWidth="1"/>
    <col min="5575" max="5575" width="18.88671875" style="981" customWidth="1"/>
    <col min="5576" max="5576" width="14.109375" style="981" customWidth="1"/>
    <col min="5577" max="5577" width="21.5546875" style="981" customWidth="1"/>
    <col min="5578" max="5579" width="14.109375" style="981" customWidth="1"/>
    <col min="5580" max="5580" width="15" style="981" customWidth="1"/>
    <col min="5581" max="5581" width="13.33203125" style="981" customWidth="1"/>
    <col min="5582" max="5582" width="17" style="981" customWidth="1"/>
    <col min="5583" max="5583" width="24.88671875" style="981" customWidth="1"/>
    <col min="5584" max="5584" width="14.44140625" style="981" customWidth="1"/>
    <col min="5585" max="5585" width="23.109375" style="981" customWidth="1"/>
    <col min="5586" max="5586" width="13.109375" style="981" customWidth="1"/>
    <col min="5587" max="5590" width="0" style="981" hidden="1" customWidth="1"/>
    <col min="5591" max="5826" width="10.33203125" style="981"/>
    <col min="5827" max="5827" width="7" style="981" customWidth="1"/>
    <col min="5828" max="5828" width="13" style="981" customWidth="1"/>
    <col min="5829" max="5829" width="14.109375" style="981" customWidth="1"/>
    <col min="5830" max="5830" width="17.33203125" style="981" customWidth="1"/>
    <col min="5831" max="5831" width="18.88671875" style="981" customWidth="1"/>
    <col min="5832" max="5832" width="14.109375" style="981" customWidth="1"/>
    <col min="5833" max="5833" width="21.5546875" style="981" customWidth="1"/>
    <col min="5834" max="5835" width="14.109375" style="981" customWidth="1"/>
    <col min="5836" max="5836" width="15" style="981" customWidth="1"/>
    <col min="5837" max="5837" width="13.33203125" style="981" customWidth="1"/>
    <col min="5838" max="5838" width="17" style="981" customWidth="1"/>
    <col min="5839" max="5839" width="24.88671875" style="981" customWidth="1"/>
    <col min="5840" max="5840" width="14.44140625" style="981" customWidth="1"/>
    <col min="5841" max="5841" width="23.109375" style="981" customWidth="1"/>
    <col min="5842" max="5842" width="13.109375" style="981" customWidth="1"/>
    <col min="5843" max="5846" width="0" style="981" hidden="1" customWidth="1"/>
    <col min="5847" max="6082" width="10.33203125" style="981"/>
    <col min="6083" max="6083" width="7" style="981" customWidth="1"/>
    <col min="6084" max="6084" width="13" style="981" customWidth="1"/>
    <col min="6085" max="6085" width="14.109375" style="981" customWidth="1"/>
    <col min="6086" max="6086" width="17.33203125" style="981" customWidth="1"/>
    <col min="6087" max="6087" width="18.88671875" style="981" customWidth="1"/>
    <col min="6088" max="6088" width="14.109375" style="981" customWidth="1"/>
    <col min="6089" max="6089" width="21.5546875" style="981" customWidth="1"/>
    <col min="6090" max="6091" width="14.109375" style="981" customWidth="1"/>
    <col min="6092" max="6092" width="15" style="981" customWidth="1"/>
    <col min="6093" max="6093" width="13.33203125" style="981" customWidth="1"/>
    <col min="6094" max="6094" width="17" style="981" customWidth="1"/>
    <col min="6095" max="6095" width="24.88671875" style="981" customWidth="1"/>
    <col min="6096" max="6096" width="14.44140625" style="981" customWidth="1"/>
    <col min="6097" max="6097" width="23.109375" style="981" customWidth="1"/>
    <col min="6098" max="6098" width="13.109375" style="981" customWidth="1"/>
    <col min="6099" max="6102" width="0" style="981" hidden="1" customWidth="1"/>
    <col min="6103" max="6338" width="10.33203125" style="981"/>
    <col min="6339" max="6339" width="7" style="981" customWidth="1"/>
    <col min="6340" max="6340" width="13" style="981" customWidth="1"/>
    <col min="6341" max="6341" width="14.109375" style="981" customWidth="1"/>
    <col min="6342" max="6342" width="17.33203125" style="981" customWidth="1"/>
    <col min="6343" max="6343" width="18.88671875" style="981" customWidth="1"/>
    <col min="6344" max="6344" width="14.109375" style="981" customWidth="1"/>
    <col min="6345" max="6345" width="21.5546875" style="981" customWidth="1"/>
    <col min="6346" max="6347" width="14.109375" style="981" customWidth="1"/>
    <col min="6348" max="6348" width="15" style="981" customWidth="1"/>
    <col min="6349" max="6349" width="13.33203125" style="981" customWidth="1"/>
    <col min="6350" max="6350" width="17" style="981" customWidth="1"/>
    <col min="6351" max="6351" width="24.88671875" style="981" customWidth="1"/>
    <col min="6352" max="6352" width="14.44140625" style="981" customWidth="1"/>
    <col min="6353" max="6353" width="23.109375" style="981" customWidth="1"/>
    <col min="6354" max="6354" width="13.109375" style="981" customWidth="1"/>
    <col min="6355" max="6358" width="0" style="981" hidden="1" customWidth="1"/>
    <col min="6359" max="6594" width="10.33203125" style="981"/>
    <col min="6595" max="6595" width="7" style="981" customWidth="1"/>
    <col min="6596" max="6596" width="13" style="981" customWidth="1"/>
    <col min="6597" max="6597" width="14.109375" style="981" customWidth="1"/>
    <col min="6598" max="6598" width="17.33203125" style="981" customWidth="1"/>
    <col min="6599" max="6599" width="18.88671875" style="981" customWidth="1"/>
    <col min="6600" max="6600" width="14.109375" style="981" customWidth="1"/>
    <col min="6601" max="6601" width="21.5546875" style="981" customWidth="1"/>
    <col min="6602" max="6603" width="14.109375" style="981" customWidth="1"/>
    <col min="6604" max="6604" width="15" style="981" customWidth="1"/>
    <col min="6605" max="6605" width="13.33203125" style="981" customWidth="1"/>
    <col min="6606" max="6606" width="17" style="981" customWidth="1"/>
    <col min="6607" max="6607" width="24.88671875" style="981" customWidth="1"/>
    <col min="6608" max="6608" width="14.44140625" style="981" customWidth="1"/>
    <col min="6609" max="6609" width="23.109375" style="981" customWidth="1"/>
    <col min="6610" max="6610" width="13.109375" style="981" customWidth="1"/>
    <col min="6611" max="6614" width="0" style="981" hidden="1" customWidth="1"/>
    <col min="6615" max="6850" width="10.33203125" style="981"/>
    <col min="6851" max="6851" width="7" style="981" customWidth="1"/>
    <col min="6852" max="6852" width="13" style="981" customWidth="1"/>
    <col min="6853" max="6853" width="14.109375" style="981" customWidth="1"/>
    <col min="6854" max="6854" width="17.33203125" style="981" customWidth="1"/>
    <col min="6855" max="6855" width="18.88671875" style="981" customWidth="1"/>
    <col min="6856" max="6856" width="14.109375" style="981" customWidth="1"/>
    <col min="6857" max="6857" width="21.5546875" style="981" customWidth="1"/>
    <col min="6858" max="6859" width="14.109375" style="981" customWidth="1"/>
    <col min="6860" max="6860" width="15" style="981" customWidth="1"/>
    <col min="6861" max="6861" width="13.33203125" style="981" customWidth="1"/>
    <col min="6862" max="6862" width="17" style="981" customWidth="1"/>
    <col min="6863" max="6863" width="24.88671875" style="981" customWidth="1"/>
    <col min="6864" max="6864" width="14.44140625" style="981" customWidth="1"/>
    <col min="6865" max="6865" width="23.109375" style="981" customWidth="1"/>
    <col min="6866" max="6866" width="13.109375" style="981" customWidth="1"/>
    <col min="6867" max="6870" width="0" style="981" hidden="1" customWidth="1"/>
    <col min="6871" max="7106" width="10.33203125" style="981"/>
    <col min="7107" max="7107" width="7" style="981" customWidth="1"/>
    <col min="7108" max="7108" width="13" style="981" customWidth="1"/>
    <col min="7109" max="7109" width="14.109375" style="981" customWidth="1"/>
    <col min="7110" max="7110" width="17.33203125" style="981" customWidth="1"/>
    <col min="7111" max="7111" width="18.88671875" style="981" customWidth="1"/>
    <col min="7112" max="7112" width="14.109375" style="981" customWidth="1"/>
    <col min="7113" max="7113" width="21.5546875" style="981" customWidth="1"/>
    <col min="7114" max="7115" width="14.109375" style="981" customWidth="1"/>
    <col min="7116" max="7116" width="15" style="981" customWidth="1"/>
    <col min="7117" max="7117" width="13.33203125" style="981" customWidth="1"/>
    <col min="7118" max="7118" width="17" style="981" customWidth="1"/>
    <col min="7119" max="7119" width="24.88671875" style="981" customWidth="1"/>
    <col min="7120" max="7120" width="14.44140625" style="981" customWidth="1"/>
    <col min="7121" max="7121" width="23.109375" style="981" customWidth="1"/>
    <col min="7122" max="7122" width="13.109375" style="981" customWidth="1"/>
    <col min="7123" max="7126" width="0" style="981" hidden="1" customWidth="1"/>
    <col min="7127" max="7362" width="10.33203125" style="981"/>
    <col min="7363" max="7363" width="7" style="981" customWidth="1"/>
    <col min="7364" max="7364" width="13" style="981" customWidth="1"/>
    <col min="7365" max="7365" width="14.109375" style="981" customWidth="1"/>
    <col min="7366" max="7366" width="17.33203125" style="981" customWidth="1"/>
    <col min="7367" max="7367" width="18.88671875" style="981" customWidth="1"/>
    <col min="7368" max="7368" width="14.109375" style="981" customWidth="1"/>
    <col min="7369" max="7369" width="21.5546875" style="981" customWidth="1"/>
    <col min="7370" max="7371" width="14.109375" style="981" customWidth="1"/>
    <col min="7372" max="7372" width="15" style="981" customWidth="1"/>
    <col min="7373" max="7373" width="13.33203125" style="981" customWidth="1"/>
    <col min="7374" max="7374" width="17" style="981" customWidth="1"/>
    <col min="7375" max="7375" width="24.88671875" style="981" customWidth="1"/>
    <col min="7376" max="7376" width="14.44140625" style="981" customWidth="1"/>
    <col min="7377" max="7377" width="23.109375" style="981" customWidth="1"/>
    <col min="7378" max="7378" width="13.109375" style="981" customWidth="1"/>
    <col min="7379" max="7382" width="0" style="981" hidden="1" customWidth="1"/>
    <col min="7383" max="7618" width="10.33203125" style="981"/>
    <col min="7619" max="7619" width="7" style="981" customWidth="1"/>
    <col min="7620" max="7620" width="13" style="981" customWidth="1"/>
    <col min="7621" max="7621" width="14.109375" style="981" customWidth="1"/>
    <col min="7622" max="7622" width="17.33203125" style="981" customWidth="1"/>
    <col min="7623" max="7623" width="18.88671875" style="981" customWidth="1"/>
    <col min="7624" max="7624" width="14.109375" style="981" customWidth="1"/>
    <col min="7625" max="7625" width="21.5546875" style="981" customWidth="1"/>
    <col min="7626" max="7627" width="14.109375" style="981" customWidth="1"/>
    <col min="7628" max="7628" width="15" style="981" customWidth="1"/>
    <col min="7629" max="7629" width="13.33203125" style="981" customWidth="1"/>
    <col min="7630" max="7630" width="17" style="981" customWidth="1"/>
    <col min="7631" max="7631" width="24.88671875" style="981" customWidth="1"/>
    <col min="7632" max="7632" width="14.44140625" style="981" customWidth="1"/>
    <col min="7633" max="7633" width="23.109375" style="981" customWidth="1"/>
    <col min="7634" max="7634" width="13.109375" style="981" customWidth="1"/>
    <col min="7635" max="7638" width="0" style="981" hidden="1" customWidth="1"/>
    <col min="7639" max="7874" width="10.33203125" style="981"/>
    <col min="7875" max="7875" width="7" style="981" customWidth="1"/>
    <col min="7876" max="7876" width="13" style="981" customWidth="1"/>
    <col min="7877" max="7877" width="14.109375" style="981" customWidth="1"/>
    <col min="7878" max="7878" width="17.33203125" style="981" customWidth="1"/>
    <col min="7879" max="7879" width="18.88671875" style="981" customWidth="1"/>
    <col min="7880" max="7880" width="14.109375" style="981" customWidth="1"/>
    <col min="7881" max="7881" width="21.5546875" style="981" customWidth="1"/>
    <col min="7882" max="7883" width="14.109375" style="981" customWidth="1"/>
    <col min="7884" max="7884" width="15" style="981" customWidth="1"/>
    <col min="7885" max="7885" width="13.33203125" style="981" customWidth="1"/>
    <col min="7886" max="7886" width="17" style="981" customWidth="1"/>
    <col min="7887" max="7887" width="24.88671875" style="981" customWidth="1"/>
    <col min="7888" max="7888" width="14.44140625" style="981" customWidth="1"/>
    <col min="7889" max="7889" width="23.109375" style="981" customWidth="1"/>
    <col min="7890" max="7890" width="13.109375" style="981" customWidth="1"/>
    <col min="7891" max="7894" width="0" style="981" hidden="1" customWidth="1"/>
    <col min="7895" max="8130" width="10.33203125" style="981"/>
    <col min="8131" max="8131" width="7" style="981" customWidth="1"/>
    <col min="8132" max="8132" width="13" style="981" customWidth="1"/>
    <col min="8133" max="8133" width="14.109375" style="981" customWidth="1"/>
    <col min="8134" max="8134" width="17.33203125" style="981" customWidth="1"/>
    <col min="8135" max="8135" width="18.88671875" style="981" customWidth="1"/>
    <col min="8136" max="8136" width="14.109375" style="981" customWidth="1"/>
    <col min="8137" max="8137" width="21.5546875" style="981" customWidth="1"/>
    <col min="8138" max="8139" width="14.109375" style="981" customWidth="1"/>
    <col min="8140" max="8140" width="15" style="981" customWidth="1"/>
    <col min="8141" max="8141" width="13.33203125" style="981" customWidth="1"/>
    <col min="8142" max="8142" width="17" style="981" customWidth="1"/>
    <col min="8143" max="8143" width="24.88671875" style="981" customWidth="1"/>
    <col min="8144" max="8144" width="14.44140625" style="981" customWidth="1"/>
    <col min="8145" max="8145" width="23.109375" style="981" customWidth="1"/>
    <col min="8146" max="8146" width="13.109375" style="981" customWidth="1"/>
    <col min="8147" max="8150" width="0" style="981" hidden="1" customWidth="1"/>
    <col min="8151" max="8386" width="10.33203125" style="981"/>
    <col min="8387" max="8387" width="7" style="981" customWidth="1"/>
    <col min="8388" max="8388" width="13" style="981" customWidth="1"/>
    <col min="8389" max="8389" width="14.109375" style="981" customWidth="1"/>
    <col min="8390" max="8390" width="17.33203125" style="981" customWidth="1"/>
    <col min="8391" max="8391" width="18.88671875" style="981" customWidth="1"/>
    <col min="8392" max="8392" width="14.109375" style="981" customWidth="1"/>
    <col min="8393" max="8393" width="21.5546875" style="981" customWidth="1"/>
    <col min="8394" max="8395" width="14.109375" style="981" customWidth="1"/>
    <col min="8396" max="8396" width="15" style="981" customWidth="1"/>
    <col min="8397" max="8397" width="13.33203125" style="981" customWidth="1"/>
    <col min="8398" max="8398" width="17" style="981" customWidth="1"/>
    <col min="8399" max="8399" width="24.88671875" style="981" customWidth="1"/>
    <col min="8400" max="8400" width="14.44140625" style="981" customWidth="1"/>
    <col min="8401" max="8401" width="23.109375" style="981" customWidth="1"/>
    <col min="8402" max="8402" width="13.109375" style="981" customWidth="1"/>
    <col min="8403" max="8406" width="0" style="981" hidden="1" customWidth="1"/>
    <col min="8407" max="8642" width="10.33203125" style="981"/>
    <col min="8643" max="8643" width="7" style="981" customWidth="1"/>
    <col min="8644" max="8644" width="13" style="981" customWidth="1"/>
    <col min="8645" max="8645" width="14.109375" style="981" customWidth="1"/>
    <col min="8646" max="8646" width="17.33203125" style="981" customWidth="1"/>
    <col min="8647" max="8647" width="18.88671875" style="981" customWidth="1"/>
    <col min="8648" max="8648" width="14.109375" style="981" customWidth="1"/>
    <col min="8649" max="8649" width="21.5546875" style="981" customWidth="1"/>
    <col min="8650" max="8651" width="14.109375" style="981" customWidth="1"/>
    <col min="8652" max="8652" width="15" style="981" customWidth="1"/>
    <col min="8653" max="8653" width="13.33203125" style="981" customWidth="1"/>
    <col min="8654" max="8654" width="17" style="981" customWidth="1"/>
    <col min="8655" max="8655" width="24.88671875" style="981" customWidth="1"/>
    <col min="8656" max="8656" width="14.44140625" style="981" customWidth="1"/>
    <col min="8657" max="8657" width="23.109375" style="981" customWidth="1"/>
    <col min="8658" max="8658" width="13.109375" style="981" customWidth="1"/>
    <col min="8659" max="8662" width="0" style="981" hidden="1" customWidth="1"/>
    <col min="8663" max="8898" width="10.33203125" style="981"/>
    <col min="8899" max="8899" width="7" style="981" customWidth="1"/>
    <col min="8900" max="8900" width="13" style="981" customWidth="1"/>
    <col min="8901" max="8901" width="14.109375" style="981" customWidth="1"/>
    <col min="8902" max="8902" width="17.33203125" style="981" customWidth="1"/>
    <col min="8903" max="8903" width="18.88671875" style="981" customWidth="1"/>
    <col min="8904" max="8904" width="14.109375" style="981" customWidth="1"/>
    <col min="8905" max="8905" width="21.5546875" style="981" customWidth="1"/>
    <col min="8906" max="8907" width="14.109375" style="981" customWidth="1"/>
    <col min="8908" max="8908" width="15" style="981" customWidth="1"/>
    <col min="8909" max="8909" width="13.33203125" style="981" customWidth="1"/>
    <col min="8910" max="8910" width="17" style="981" customWidth="1"/>
    <col min="8911" max="8911" width="24.88671875" style="981" customWidth="1"/>
    <col min="8912" max="8912" width="14.44140625" style="981" customWidth="1"/>
    <col min="8913" max="8913" width="23.109375" style="981" customWidth="1"/>
    <col min="8914" max="8914" width="13.109375" style="981" customWidth="1"/>
    <col min="8915" max="8918" width="0" style="981" hidden="1" customWidth="1"/>
    <col min="8919" max="9154" width="10.33203125" style="981"/>
    <col min="9155" max="9155" width="7" style="981" customWidth="1"/>
    <col min="9156" max="9156" width="13" style="981" customWidth="1"/>
    <col min="9157" max="9157" width="14.109375" style="981" customWidth="1"/>
    <col min="9158" max="9158" width="17.33203125" style="981" customWidth="1"/>
    <col min="9159" max="9159" width="18.88671875" style="981" customWidth="1"/>
    <col min="9160" max="9160" width="14.109375" style="981" customWidth="1"/>
    <col min="9161" max="9161" width="21.5546875" style="981" customWidth="1"/>
    <col min="9162" max="9163" width="14.109375" style="981" customWidth="1"/>
    <col min="9164" max="9164" width="15" style="981" customWidth="1"/>
    <col min="9165" max="9165" width="13.33203125" style="981" customWidth="1"/>
    <col min="9166" max="9166" width="17" style="981" customWidth="1"/>
    <col min="9167" max="9167" width="24.88671875" style="981" customWidth="1"/>
    <col min="9168" max="9168" width="14.44140625" style="981" customWidth="1"/>
    <col min="9169" max="9169" width="23.109375" style="981" customWidth="1"/>
    <col min="9170" max="9170" width="13.109375" style="981" customWidth="1"/>
    <col min="9171" max="9174" width="0" style="981" hidden="1" customWidth="1"/>
    <col min="9175" max="9410" width="10.33203125" style="981"/>
    <col min="9411" max="9411" width="7" style="981" customWidth="1"/>
    <col min="9412" max="9412" width="13" style="981" customWidth="1"/>
    <col min="9413" max="9413" width="14.109375" style="981" customWidth="1"/>
    <col min="9414" max="9414" width="17.33203125" style="981" customWidth="1"/>
    <col min="9415" max="9415" width="18.88671875" style="981" customWidth="1"/>
    <col min="9416" max="9416" width="14.109375" style="981" customWidth="1"/>
    <col min="9417" max="9417" width="21.5546875" style="981" customWidth="1"/>
    <col min="9418" max="9419" width="14.109375" style="981" customWidth="1"/>
    <col min="9420" max="9420" width="15" style="981" customWidth="1"/>
    <col min="9421" max="9421" width="13.33203125" style="981" customWidth="1"/>
    <col min="9422" max="9422" width="17" style="981" customWidth="1"/>
    <col min="9423" max="9423" width="24.88671875" style="981" customWidth="1"/>
    <col min="9424" max="9424" width="14.44140625" style="981" customWidth="1"/>
    <col min="9425" max="9425" width="23.109375" style="981" customWidth="1"/>
    <col min="9426" max="9426" width="13.109375" style="981" customWidth="1"/>
    <col min="9427" max="9430" width="0" style="981" hidden="1" customWidth="1"/>
    <col min="9431" max="9666" width="10.33203125" style="981"/>
    <col min="9667" max="9667" width="7" style="981" customWidth="1"/>
    <col min="9668" max="9668" width="13" style="981" customWidth="1"/>
    <col min="9669" max="9669" width="14.109375" style="981" customWidth="1"/>
    <col min="9670" max="9670" width="17.33203125" style="981" customWidth="1"/>
    <col min="9671" max="9671" width="18.88671875" style="981" customWidth="1"/>
    <col min="9672" max="9672" width="14.109375" style="981" customWidth="1"/>
    <col min="9673" max="9673" width="21.5546875" style="981" customWidth="1"/>
    <col min="9674" max="9675" width="14.109375" style="981" customWidth="1"/>
    <col min="9676" max="9676" width="15" style="981" customWidth="1"/>
    <col min="9677" max="9677" width="13.33203125" style="981" customWidth="1"/>
    <col min="9678" max="9678" width="17" style="981" customWidth="1"/>
    <col min="9679" max="9679" width="24.88671875" style="981" customWidth="1"/>
    <col min="9680" max="9680" width="14.44140625" style="981" customWidth="1"/>
    <col min="9681" max="9681" width="23.109375" style="981" customWidth="1"/>
    <col min="9682" max="9682" width="13.109375" style="981" customWidth="1"/>
    <col min="9683" max="9686" width="0" style="981" hidden="1" customWidth="1"/>
    <col min="9687" max="9922" width="10.33203125" style="981"/>
    <col min="9923" max="9923" width="7" style="981" customWidth="1"/>
    <col min="9924" max="9924" width="13" style="981" customWidth="1"/>
    <col min="9925" max="9925" width="14.109375" style="981" customWidth="1"/>
    <col min="9926" max="9926" width="17.33203125" style="981" customWidth="1"/>
    <col min="9927" max="9927" width="18.88671875" style="981" customWidth="1"/>
    <col min="9928" max="9928" width="14.109375" style="981" customWidth="1"/>
    <col min="9929" max="9929" width="21.5546875" style="981" customWidth="1"/>
    <col min="9930" max="9931" width="14.109375" style="981" customWidth="1"/>
    <col min="9932" max="9932" width="15" style="981" customWidth="1"/>
    <col min="9933" max="9933" width="13.33203125" style="981" customWidth="1"/>
    <col min="9934" max="9934" width="17" style="981" customWidth="1"/>
    <col min="9935" max="9935" width="24.88671875" style="981" customWidth="1"/>
    <col min="9936" max="9936" width="14.44140625" style="981" customWidth="1"/>
    <col min="9937" max="9937" width="23.109375" style="981" customWidth="1"/>
    <col min="9938" max="9938" width="13.109375" style="981" customWidth="1"/>
    <col min="9939" max="9942" width="0" style="981" hidden="1" customWidth="1"/>
    <col min="9943" max="10178" width="10.33203125" style="981"/>
    <col min="10179" max="10179" width="7" style="981" customWidth="1"/>
    <col min="10180" max="10180" width="13" style="981" customWidth="1"/>
    <col min="10181" max="10181" width="14.109375" style="981" customWidth="1"/>
    <col min="10182" max="10182" width="17.33203125" style="981" customWidth="1"/>
    <col min="10183" max="10183" width="18.88671875" style="981" customWidth="1"/>
    <col min="10184" max="10184" width="14.109375" style="981" customWidth="1"/>
    <col min="10185" max="10185" width="21.5546875" style="981" customWidth="1"/>
    <col min="10186" max="10187" width="14.109375" style="981" customWidth="1"/>
    <col min="10188" max="10188" width="15" style="981" customWidth="1"/>
    <col min="10189" max="10189" width="13.33203125" style="981" customWidth="1"/>
    <col min="10190" max="10190" width="17" style="981" customWidth="1"/>
    <col min="10191" max="10191" width="24.88671875" style="981" customWidth="1"/>
    <col min="10192" max="10192" width="14.44140625" style="981" customWidth="1"/>
    <col min="10193" max="10193" width="23.109375" style="981" customWidth="1"/>
    <col min="10194" max="10194" width="13.109375" style="981" customWidth="1"/>
    <col min="10195" max="10198" width="0" style="981" hidden="1" customWidth="1"/>
    <col min="10199" max="10434" width="10.33203125" style="981"/>
    <col min="10435" max="10435" width="7" style="981" customWidth="1"/>
    <col min="10436" max="10436" width="13" style="981" customWidth="1"/>
    <col min="10437" max="10437" width="14.109375" style="981" customWidth="1"/>
    <col min="10438" max="10438" width="17.33203125" style="981" customWidth="1"/>
    <col min="10439" max="10439" width="18.88671875" style="981" customWidth="1"/>
    <col min="10440" max="10440" width="14.109375" style="981" customWidth="1"/>
    <col min="10441" max="10441" width="21.5546875" style="981" customWidth="1"/>
    <col min="10442" max="10443" width="14.109375" style="981" customWidth="1"/>
    <col min="10444" max="10444" width="15" style="981" customWidth="1"/>
    <col min="10445" max="10445" width="13.33203125" style="981" customWidth="1"/>
    <col min="10446" max="10446" width="17" style="981" customWidth="1"/>
    <col min="10447" max="10447" width="24.88671875" style="981" customWidth="1"/>
    <col min="10448" max="10448" width="14.44140625" style="981" customWidth="1"/>
    <col min="10449" max="10449" width="23.109375" style="981" customWidth="1"/>
    <col min="10450" max="10450" width="13.109375" style="981" customWidth="1"/>
    <col min="10451" max="10454" width="0" style="981" hidden="1" customWidth="1"/>
    <col min="10455" max="10690" width="10.33203125" style="981"/>
    <col min="10691" max="10691" width="7" style="981" customWidth="1"/>
    <col min="10692" max="10692" width="13" style="981" customWidth="1"/>
    <col min="10693" max="10693" width="14.109375" style="981" customWidth="1"/>
    <col min="10694" max="10694" width="17.33203125" style="981" customWidth="1"/>
    <col min="10695" max="10695" width="18.88671875" style="981" customWidth="1"/>
    <col min="10696" max="10696" width="14.109375" style="981" customWidth="1"/>
    <col min="10697" max="10697" width="21.5546875" style="981" customWidth="1"/>
    <col min="10698" max="10699" width="14.109375" style="981" customWidth="1"/>
    <col min="10700" max="10700" width="15" style="981" customWidth="1"/>
    <col min="10701" max="10701" width="13.33203125" style="981" customWidth="1"/>
    <col min="10702" max="10702" width="17" style="981" customWidth="1"/>
    <col min="10703" max="10703" width="24.88671875" style="981" customWidth="1"/>
    <col min="10704" max="10704" width="14.44140625" style="981" customWidth="1"/>
    <col min="10705" max="10705" width="23.109375" style="981" customWidth="1"/>
    <col min="10706" max="10706" width="13.109375" style="981" customWidth="1"/>
    <col min="10707" max="10710" width="0" style="981" hidden="1" customWidth="1"/>
    <col min="10711" max="10946" width="10.33203125" style="981"/>
    <col min="10947" max="10947" width="7" style="981" customWidth="1"/>
    <col min="10948" max="10948" width="13" style="981" customWidth="1"/>
    <col min="10949" max="10949" width="14.109375" style="981" customWidth="1"/>
    <col min="10950" max="10950" width="17.33203125" style="981" customWidth="1"/>
    <col min="10951" max="10951" width="18.88671875" style="981" customWidth="1"/>
    <col min="10952" max="10952" width="14.109375" style="981" customWidth="1"/>
    <col min="10953" max="10953" width="21.5546875" style="981" customWidth="1"/>
    <col min="10954" max="10955" width="14.109375" style="981" customWidth="1"/>
    <col min="10956" max="10956" width="15" style="981" customWidth="1"/>
    <col min="10957" max="10957" width="13.33203125" style="981" customWidth="1"/>
    <col min="10958" max="10958" width="17" style="981" customWidth="1"/>
    <col min="10959" max="10959" width="24.88671875" style="981" customWidth="1"/>
    <col min="10960" max="10960" width="14.44140625" style="981" customWidth="1"/>
    <col min="10961" max="10961" width="23.109375" style="981" customWidth="1"/>
    <col min="10962" max="10962" width="13.109375" style="981" customWidth="1"/>
    <col min="10963" max="10966" width="0" style="981" hidden="1" customWidth="1"/>
    <col min="10967" max="11202" width="10.33203125" style="981"/>
    <col min="11203" max="11203" width="7" style="981" customWidth="1"/>
    <col min="11204" max="11204" width="13" style="981" customWidth="1"/>
    <col min="11205" max="11205" width="14.109375" style="981" customWidth="1"/>
    <col min="11206" max="11206" width="17.33203125" style="981" customWidth="1"/>
    <col min="11207" max="11207" width="18.88671875" style="981" customWidth="1"/>
    <col min="11208" max="11208" width="14.109375" style="981" customWidth="1"/>
    <col min="11209" max="11209" width="21.5546875" style="981" customWidth="1"/>
    <col min="11210" max="11211" width="14.109375" style="981" customWidth="1"/>
    <col min="11212" max="11212" width="15" style="981" customWidth="1"/>
    <col min="11213" max="11213" width="13.33203125" style="981" customWidth="1"/>
    <col min="11214" max="11214" width="17" style="981" customWidth="1"/>
    <col min="11215" max="11215" width="24.88671875" style="981" customWidth="1"/>
    <col min="11216" max="11216" width="14.44140625" style="981" customWidth="1"/>
    <col min="11217" max="11217" width="23.109375" style="981" customWidth="1"/>
    <col min="11218" max="11218" width="13.109375" style="981" customWidth="1"/>
    <col min="11219" max="11222" width="0" style="981" hidden="1" customWidth="1"/>
    <col min="11223" max="11458" width="10.33203125" style="981"/>
    <col min="11459" max="11459" width="7" style="981" customWidth="1"/>
    <col min="11460" max="11460" width="13" style="981" customWidth="1"/>
    <col min="11461" max="11461" width="14.109375" style="981" customWidth="1"/>
    <col min="11462" max="11462" width="17.33203125" style="981" customWidth="1"/>
    <col min="11463" max="11463" width="18.88671875" style="981" customWidth="1"/>
    <col min="11464" max="11464" width="14.109375" style="981" customWidth="1"/>
    <col min="11465" max="11465" width="21.5546875" style="981" customWidth="1"/>
    <col min="11466" max="11467" width="14.109375" style="981" customWidth="1"/>
    <col min="11468" max="11468" width="15" style="981" customWidth="1"/>
    <col min="11469" max="11469" width="13.33203125" style="981" customWidth="1"/>
    <col min="11470" max="11470" width="17" style="981" customWidth="1"/>
    <col min="11471" max="11471" width="24.88671875" style="981" customWidth="1"/>
    <col min="11472" max="11472" width="14.44140625" style="981" customWidth="1"/>
    <col min="11473" max="11473" width="23.109375" style="981" customWidth="1"/>
    <col min="11474" max="11474" width="13.109375" style="981" customWidth="1"/>
    <col min="11475" max="11478" width="0" style="981" hidden="1" customWidth="1"/>
    <col min="11479" max="11714" width="10.33203125" style="981"/>
    <col min="11715" max="11715" width="7" style="981" customWidth="1"/>
    <col min="11716" max="11716" width="13" style="981" customWidth="1"/>
    <col min="11717" max="11717" width="14.109375" style="981" customWidth="1"/>
    <col min="11718" max="11718" width="17.33203125" style="981" customWidth="1"/>
    <col min="11719" max="11719" width="18.88671875" style="981" customWidth="1"/>
    <col min="11720" max="11720" width="14.109375" style="981" customWidth="1"/>
    <col min="11721" max="11721" width="21.5546875" style="981" customWidth="1"/>
    <col min="11722" max="11723" width="14.109375" style="981" customWidth="1"/>
    <col min="11724" max="11724" width="15" style="981" customWidth="1"/>
    <col min="11725" max="11725" width="13.33203125" style="981" customWidth="1"/>
    <col min="11726" max="11726" width="17" style="981" customWidth="1"/>
    <col min="11727" max="11727" width="24.88671875" style="981" customWidth="1"/>
    <col min="11728" max="11728" width="14.44140625" style="981" customWidth="1"/>
    <col min="11729" max="11729" width="23.109375" style="981" customWidth="1"/>
    <col min="11730" max="11730" width="13.109375" style="981" customWidth="1"/>
    <col min="11731" max="11734" width="0" style="981" hidden="1" customWidth="1"/>
    <col min="11735" max="11970" width="10.33203125" style="981"/>
    <col min="11971" max="11971" width="7" style="981" customWidth="1"/>
    <col min="11972" max="11972" width="13" style="981" customWidth="1"/>
    <col min="11973" max="11973" width="14.109375" style="981" customWidth="1"/>
    <col min="11974" max="11974" width="17.33203125" style="981" customWidth="1"/>
    <col min="11975" max="11975" width="18.88671875" style="981" customWidth="1"/>
    <col min="11976" max="11976" width="14.109375" style="981" customWidth="1"/>
    <col min="11977" max="11977" width="21.5546875" style="981" customWidth="1"/>
    <col min="11978" max="11979" width="14.109375" style="981" customWidth="1"/>
    <col min="11980" max="11980" width="15" style="981" customWidth="1"/>
    <col min="11981" max="11981" width="13.33203125" style="981" customWidth="1"/>
    <col min="11982" max="11982" width="17" style="981" customWidth="1"/>
    <col min="11983" max="11983" width="24.88671875" style="981" customWidth="1"/>
    <col min="11984" max="11984" width="14.44140625" style="981" customWidth="1"/>
    <col min="11985" max="11985" width="23.109375" style="981" customWidth="1"/>
    <col min="11986" max="11986" width="13.109375" style="981" customWidth="1"/>
    <col min="11987" max="11990" width="0" style="981" hidden="1" customWidth="1"/>
    <col min="11991" max="12226" width="10.33203125" style="981"/>
    <col min="12227" max="12227" width="7" style="981" customWidth="1"/>
    <col min="12228" max="12228" width="13" style="981" customWidth="1"/>
    <col min="12229" max="12229" width="14.109375" style="981" customWidth="1"/>
    <col min="12230" max="12230" width="17.33203125" style="981" customWidth="1"/>
    <col min="12231" max="12231" width="18.88671875" style="981" customWidth="1"/>
    <col min="12232" max="12232" width="14.109375" style="981" customWidth="1"/>
    <col min="12233" max="12233" width="21.5546875" style="981" customWidth="1"/>
    <col min="12234" max="12235" width="14.109375" style="981" customWidth="1"/>
    <col min="12236" max="12236" width="15" style="981" customWidth="1"/>
    <col min="12237" max="12237" width="13.33203125" style="981" customWidth="1"/>
    <col min="12238" max="12238" width="17" style="981" customWidth="1"/>
    <col min="12239" max="12239" width="24.88671875" style="981" customWidth="1"/>
    <col min="12240" max="12240" width="14.44140625" style="981" customWidth="1"/>
    <col min="12241" max="12241" width="23.109375" style="981" customWidth="1"/>
    <col min="12242" max="12242" width="13.109375" style="981" customWidth="1"/>
    <col min="12243" max="12246" width="0" style="981" hidden="1" customWidth="1"/>
    <col min="12247" max="12482" width="10.33203125" style="981"/>
    <col min="12483" max="12483" width="7" style="981" customWidth="1"/>
    <col min="12484" max="12484" width="13" style="981" customWidth="1"/>
    <col min="12485" max="12485" width="14.109375" style="981" customWidth="1"/>
    <col min="12486" max="12486" width="17.33203125" style="981" customWidth="1"/>
    <col min="12487" max="12487" width="18.88671875" style="981" customWidth="1"/>
    <col min="12488" max="12488" width="14.109375" style="981" customWidth="1"/>
    <col min="12489" max="12489" width="21.5546875" style="981" customWidth="1"/>
    <col min="12490" max="12491" width="14.109375" style="981" customWidth="1"/>
    <col min="12492" max="12492" width="15" style="981" customWidth="1"/>
    <col min="12493" max="12493" width="13.33203125" style="981" customWidth="1"/>
    <col min="12494" max="12494" width="17" style="981" customWidth="1"/>
    <col min="12495" max="12495" width="24.88671875" style="981" customWidth="1"/>
    <col min="12496" max="12496" width="14.44140625" style="981" customWidth="1"/>
    <col min="12497" max="12497" width="23.109375" style="981" customWidth="1"/>
    <col min="12498" max="12498" width="13.109375" style="981" customWidth="1"/>
    <col min="12499" max="12502" width="0" style="981" hidden="1" customWidth="1"/>
    <col min="12503" max="12738" width="10.33203125" style="981"/>
    <col min="12739" max="12739" width="7" style="981" customWidth="1"/>
    <col min="12740" max="12740" width="13" style="981" customWidth="1"/>
    <col min="12741" max="12741" width="14.109375" style="981" customWidth="1"/>
    <col min="12742" max="12742" width="17.33203125" style="981" customWidth="1"/>
    <col min="12743" max="12743" width="18.88671875" style="981" customWidth="1"/>
    <col min="12744" max="12744" width="14.109375" style="981" customWidth="1"/>
    <col min="12745" max="12745" width="21.5546875" style="981" customWidth="1"/>
    <col min="12746" max="12747" width="14.109375" style="981" customWidth="1"/>
    <col min="12748" max="12748" width="15" style="981" customWidth="1"/>
    <col min="12749" max="12749" width="13.33203125" style="981" customWidth="1"/>
    <col min="12750" max="12750" width="17" style="981" customWidth="1"/>
    <col min="12751" max="12751" width="24.88671875" style="981" customWidth="1"/>
    <col min="12752" max="12752" width="14.44140625" style="981" customWidth="1"/>
    <col min="12753" max="12753" width="23.109375" style="981" customWidth="1"/>
    <col min="12754" max="12754" width="13.109375" style="981" customWidth="1"/>
    <col min="12755" max="12758" width="0" style="981" hidden="1" customWidth="1"/>
    <col min="12759" max="12994" width="10.33203125" style="981"/>
    <col min="12995" max="12995" width="7" style="981" customWidth="1"/>
    <col min="12996" max="12996" width="13" style="981" customWidth="1"/>
    <col min="12997" max="12997" width="14.109375" style="981" customWidth="1"/>
    <col min="12998" max="12998" width="17.33203125" style="981" customWidth="1"/>
    <col min="12999" max="12999" width="18.88671875" style="981" customWidth="1"/>
    <col min="13000" max="13000" width="14.109375" style="981" customWidth="1"/>
    <col min="13001" max="13001" width="21.5546875" style="981" customWidth="1"/>
    <col min="13002" max="13003" width="14.109375" style="981" customWidth="1"/>
    <col min="13004" max="13004" width="15" style="981" customWidth="1"/>
    <col min="13005" max="13005" width="13.33203125" style="981" customWidth="1"/>
    <col min="13006" max="13006" width="17" style="981" customWidth="1"/>
    <col min="13007" max="13007" width="24.88671875" style="981" customWidth="1"/>
    <col min="13008" max="13008" width="14.44140625" style="981" customWidth="1"/>
    <col min="13009" max="13009" width="23.109375" style="981" customWidth="1"/>
    <col min="13010" max="13010" width="13.109375" style="981" customWidth="1"/>
    <col min="13011" max="13014" width="0" style="981" hidden="1" customWidth="1"/>
    <col min="13015" max="13250" width="10.33203125" style="981"/>
    <col min="13251" max="13251" width="7" style="981" customWidth="1"/>
    <col min="13252" max="13252" width="13" style="981" customWidth="1"/>
    <col min="13253" max="13253" width="14.109375" style="981" customWidth="1"/>
    <col min="13254" max="13254" width="17.33203125" style="981" customWidth="1"/>
    <col min="13255" max="13255" width="18.88671875" style="981" customWidth="1"/>
    <col min="13256" max="13256" width="14.109375" style="981" customWidth="1"/>
    <col min="13257" max="13257" width="21.5546875" style="981" customWidth="1"/>
    <col min="13258" max="13259" width="14.109375" style="981" customWidth="1"/>
    <col min="13260" max="13260" width="15" style="981" customWidth="1"/>
    <col min="13261" max="13261" width="13.33203125" style="981" customWidth="1"/>
    <col min="13262" max="13262" width="17" style="981" customWidth="1"/>
    <col min="13263" max="13263" width="24.88671875" style="981" customWidth="1"/>
    <col min="13264" max="13264" width="14.44140625" style="981" customWidth="1"/>
    <col min="13265" max="13265" width="23.109375" style="981" customWidth="1"/>
    <col min="13266" max="13266" width="13.109375" style="981" customWidth="1"/>
    <col min="13267" max="13270" width="0" style="981" hidden="1" customWidth="1"/>
    <col min="13271" max="13506" width="10.33203125" style="981"/>
    <col min="13507" max="13507" width="7" style="981" customWidth="1"/>
    <col min="13508" max="13508" width="13" style="981" customWidth="1"/>
    <col min="13509" max="13509" width="14.109375" style="981" customWidth="1"/>
    <col min="13510" max="13510" width="17.33203125" style="981" customWidth="1"/>
    <col min="13511" max="13511" width="18.88671875" style="981" customWidth="1"/>
    <col min="13512" max="13512" width="14.109375" style="981" customWidth="1"/>
    <col min="13513" max="13513" width="21.5546875" style="981" customWidth="1"/>
    <col min="13514" max="13515" width="14.109375" style="981" customWidth="1"/>
    <col min="13516" max="13516" width="15" style="981" customWidth="1"/>
    <col min="13517" max="13517" width="13.33203125" style="981" customWidth="1"/>
    <col min="13518" max="13518" width="17" style="981" customWidth="1"/>
    <col min="13519" max="13519" width="24.88671875" style="981" customWidth="1"/>
    <col min="13520" max="13520" width="14.44140625" style="981" customWidth="1"/>
    <col min="13521" max="13521" width="23.109375" style="981" customWidth="1"/>
    <col min="13522" max="13522" width="13.109375" style="981" customWidth="1"/>
    <col min="13523" max="13526" width="0" style="981" hidden="1" customWidth="1"/>
    <col min="13527" max="13762" width="10.33203125" style="981"/>
    <col min="13763" max="13763" width="7" style="981" customWidth="1"/>
    <col min="13764" max="13764" width="13" style="981" customWidth="1"/>
    <col min="13765" max="13765" width="14.109375" style="981" customWidth="1"/>
    <col min="13766" max="13766" width="17.33203125" style="981" customWidth="1"/>
    <col min="13767" max="13767" width="18.88671875" style="981" customWidth="1"/>
    <col min="13768" max="13768" width="14.109375" style="981" customWidth="1"/>
    <col min="13769" max="13769" width="21.5546875" style="981" customWidth="1"/>
    <col min="13770" max="13771" width="14.109375" style="981" customWidth="1"/>
    <col min="13772" max="13772" width="15" style="981" customWidth="1"/>
    <col min="13773" max="13773" width="13.33203125" style="981" customWidth="1"/>
    <col min="13774" max="13774" width="17" style="981" customWidth="1"/>
    <col min="13775" max="13775" width="24.88671875" style="981" customWidth="1"/>
    <col min="13776" max="13776" width="14.44140625" style="981" customWidth="1"/>
    <col min="13777" max="13777" width="23.109375" style="981" customWidth="1"/>
    <col min="13778" max="13778" width="13.109375" style="981" customWidth="1"/>
    <col min="13779" max="13782" width="0" style="981" hidden="1" customWidth="1"/>
    <col min="13783" max="14018" width="10.33203125" style="981"/>
    <col min="14019" max="14019" width="7" style="981" customWidth="1"/>
    <col min="14020" max="14020" width="13" style="981" customWidth="1"/>
    <col min="14021" max="14021" width="14.109375" style="981" customWidth="1"/>
    <col min="14022" max="14022" width="17.33203125" style="981" customWidth="1"/>
    <col min="14023" max="14023" width="18.88671875" style="981" customWidth="1"/>
    <col min="14024" max="14024" width="14.109375" style="981" customWidth="1"/>
    <col min="14025" max="14025" width="21.5546875" style="981" customWidth="1"/>
    <col min="14026" max="14027" width="14.109375" style="981" customWidth="1"/>
    <col min="14028" max="14028" width="15" style="981" customWidth="1"/>
    <col min="14029" max="14029" width="13.33203125" style="981" customWidth="1"/>
    <col min="14030" max="14030" width="17" style="981" customWidth="1"/>
    <col min="14031" max="14031" width="24.88671875" style="981" customWidth="1"/>
    <col min="14032" max="14032" width="14.44140625" style="981" customWidth="1"/>
    <col min="14033" max="14033" width="23.109375" style="981" customWidth="1"/>
    <col min="14034" max="14034" width="13.109375" style="981" customWidth="1"/>
    <col min="14035" max="14038" width="0" style="981" hidden="1" customWidth="1"/>
    <col min="14039" max="14274" width="10.33203125" style="981"/>
    <col min="14275" max="14275" width="7" style="981" customWidth="1"/>
    <col min="14276" max="14276" width="13" style="981" customWidth="1"/>
    <col min="14277" max="14277" width="14.109375" style="981" customWidth="1"/>
    <col min="14278" max="14278" width="17.33203125" style="981" customWidth="1"/>
    <col min="14279" max="14279" width="18.88671875" style="981" customWidth="1"/>
    <col min="14280" max="14280" width="14.109375" style="981" customWidth="1"/>
    <col min="14281" max="14281" width="21.5546875" style="981" customWidth="1"/>
    <col min="14282" max="14283" width="14.109375" style="981" customWidth="1"/>
    <col min="14284" max="14284" width="15" style="981" customWidth="1"/>
    <col min="14285" max="14285" width="13.33203125" style="981" customWidth="1"/>
    <col min="14286" max="14286" width="17" style="981" customWidth="1"/>
    <col min="14287" max="14287" width="24.88671875" style="981" customWidth="1"/>
    <col min="14288" max="14288" width="14.44140625" style="981" customWidth="1"/>
    <col min="14289" max="14289" width="23.109375" style="981" customWidth="1"/>
    <col min="14290" max="14290" width="13.109375" style="981" customWidth="1"/>
    <col min="14291" max="14294" width="0" style="981" hidden="1" customWidth="1"/>
    <col min="14295" max="14530" width="10.33203125" style="981"/>
    <col min="14531" max="14531" width="7" style="981" customWidth="1"/>
    <col min="14532" max="14532" width="13" style="981" customWidth="1"/>
    <col min="14533" max="14533" width="14.109375" style="981" customWidth="1"/>
    <col min="14534" max="14534" width="17.33203125" style="981" customWidth="1"/>
    <col min="14535" max="14535" width="18.88671875" style="981" customWidth="1"/>
    <col min="14536" max="14536" width="14.109375" style="981" customWidth="1"/>
    <col min="14537" max="14537" width="21.5546875" style="981" customWidth="1"/>
    <col min="14538" max="14539" width="14.109375" style="981" customWidth="1"/>
    <col min="14540" max="14540" width="15" style="981" customWidth="1"/>
    <col min="14541" max="14541" width="13.33203125" style="981" customWidth="1"/>
    <col min="14542" max="14542" width="17" style="981" customWidth="1"/>
    <col min="14543" max="14543" width="24.88671875" style="981" customWidth="1"/>
    <col min="14544" max="14544" width="14.44140625" style="981" customWidth="1"/>
    <col min="14545" max="14545" width="23.109375" style="981" customWidth="1"/>
    <col min="14546" max="14546" width="13.109375" style="981" customWidth="1"/>
    <col min="14547" max="14550" width="0" style="981" hidden="1" customWidth="1"/>
    <col min="14551" max="14786" width="10.33203125" style="981"/>
    <col min="14787" max="14787" width="7" style="981" customWidth="1"/>
    <col min="14788" max="14788" width="13" style="981" customWidth="1"/>
    <col min="14789" max="14789" width="14.109375" style="981" customWidth="1"/>
    <col min="14790" max="14790" width="17.33203125" style="981" customWidth="1"/>
    <col min="14791" max="14791" width="18.88671875" style="981" customWidth="1"/>
    <col min="14792" max="14792" width="14.109375" style="981" customWidth="1"/>
    <col min="14793" max="14793" width="21.5546875" style="981" customWidth="1"/>
    <col min="14794" max="14795" width="14.109375" style="981" customWidth="1"/>
    <col min="14796" max="14796" width="15" style="981" customWidth="1"/>
    <col min="14797" max="14797" width="13.33203125" style="981" customWidth="1"/>
    <col min="14798" max="14798" width="17" style="981" customWidth="1"/>
    <col min="14799" max="14799" width="24.88671875" style="981" customWidth="1"/>
    <col min="14800" max="14800" width="14.44140625" style="981" customWidth="1"/>
    <col min="14801" max="14801" width="23.109375" style="981" customWidth="1"/>
    <col min="14802" max="14802" width="13.109375" style="981" customWidth="1"/>
    <col min="14803" max="14806" width="0" style="981" hidden="1" customWidth="1"/>
    <col min="14807" max="15042" width="10.33203125" style="981"/>
    <col min="15043" max="15043" width="7" style="981" customWidth="1"/>
    <col min="15044" max="15044" width="13" style="981" customWidth="1"/>
    <col min="15045" max="15045" width="14.109375" style="981" customWidth="1"/>
    <col min="15046" max="15046" width="17.33203125" style="981" customWidth="1"/>
    <col min="15047" max="15047" width="18.88671875" style="981" customWidth="1"/>
    <col min="15048" max="15048" width="14.109375" style="981" customWidth="1"/>
    <col min="15049" max="15049" width="21.5546875" style="981" customWidth="1"/>
    <col min="15050" max="15051" width="14.109375" style="981" customWidth="1"/>
    <col min="15052" max="15052" width="15" style="981" customWidth="1"/>
    <col min="15053" max="15053" width="13.33203125" style="981" customWidth="1"/>
    <col min="15054" max="15054" width="17" style="981" customWidth="1"/>
    <col min="15055" max="15055" width="24.88671875" style="981" customWidth="1"/>
    <col min="15056" max="15056" width="14.44140625" style="981" customWidth="1"/>
    <col min="15057" max="15057" width="23.109375" style="981" customWidth="1"/>
    <col min="15058" max="15058" width="13.109375" style="981" customWidth="1"/>
    <col min="15059" max="15062" width="0" style="981" hidden="1" customWidth="1"/>
    <col min="15063" max="15298" width="10.33203125" style="981"/>
    <col min="15299" max="15299" width="7" style="981" customWidth="1"/>
    <col min="15300" max="15300" width="13" style="981" customWidth="1"/>
    <col min="15301" max="15301" width="14.109375" style="981" customWidth="1"/>
    <col min="15302" max="15302" width="17.33203125" style="981" customWidth="1"/>
    <col min="15303" max="15303" width="18.88671875" style="981" customWidth="1"/>
    <col min="15304" max="15304" width="14.109375" style="981" customWidth="1"/>
    <col min="15305" max="15305" width="21.5546875" style="981" customWidth="1"/>
    <col min="15306" max="15307" width="14.109375" style="981" customWidth="1"/>
    <col min="15308" max="15308" width="15" style="981" customWidth="1"/>
    <col min="15309" max="15309" width="13.33203125" style="981" customWidth="1"/>
    <col min="15310" max="15310" width="17" style="981" customWidth="1"/>
    <col min="15311" max="15311" width="24.88671875" style="981" customWidth="1"/>
    <col min="15312" max="15312" width="14.44140625" style="981" customWidth="1"/>
    <col min="15313" max="15313" width="23.109375" style="981" customWidth="1"/>
    <col min="15314" max="15314" width="13.109375" style="981" customWidth="1"/>
    <col min="15315" max="15318" width="0" style="981" hidden="1" customWidth="1"/>
    <col min="15319" max="15554" width="10.33203125" style="981"/>
    <col min="15555" max="15555" width="7" style="981" customWidth="1"/>
    <col min="15556" max="15556" width="13" style="981" customWidth="1"/>
    <col min="15557" max="15557" width="14.109375" style="981" customWidth="1"/>
    <col min="15558" max="15558" width="17.33203125" style="981" customWidth="1"/>
    <col min="15559" max="15559" width="18.88671875" style="981" customWidth="1"/>
    <col min="15560" max="15560" width="14.109375" style="981" customWidth="1"/>
    <col min="15561" max="15561" width="21.5546875" style="981" customWidth="1"/>
    <col min="15562" max="15563" width="14.109375" style="981" customWidth="1"/>
    <col min="15564" max="15564" width="15" style="981" customWidth="1"/>
    <col min="15565" max="15565" width="13.33203125" style="981" customWidth="1"/>
    <col min="15566" max="15566" width="17" style="981" customWidth="1"/>
    <col min="15567" max="15567" width="24.88671875" style="981" customWidth="1"/>
    <col min="15568" max="15568" width="14.44140625" style="981" customWidth="1"/>
    <col min="15569" max="15569" width="23.109375" style="981" customWidth="1"/>
    <col min="15570" max="15570" width="13.109375" style="981" customWidth="1"/>
    <col min="15571" max="15574" width="0" style="981" hidden="1" customWidth="1"/>
    <col min="15575" max="15810" width="10.33203125" style="981"/>
    <col min="15811" max="15811" width="7" style="981" customWidth="1"/>
    <col min="15812" max="15812" width="13" style="981" customWidth="1"/>
    <col min="15813" max="15813" width="14.109375" style="981" customWidth="1"/>
    <col min="15814" max="15814" width="17.33203125" style="981" customWidth="1"/>
    <col min="15815" max="15815" width="18.88671875" style="981" customWidth="1"/>
    <col min="15816" max="15816" width="14.109375" style="981" customWidth="1"/>
    <col min="15817" max="15817" width="21.5546875" style="981" customWidth="1"/>
    <col min="15818" max="15819" width="14.109375" style="981" customWidth="1"/>
    <col min="15820" max="15820" width="15" style="981" customWidth="1"/>
    <col min="15821" max="15821" width="13.33203125" style="981" customWidth="1"/>
    <col min="15822" max="15822" width="17" style="981" customWidth="1"/>
    <col min="15823" max="15823" width="24.88671875" style="981" customWidth="1"/>
    <col min="15824" max="15824" width="14.44140625" style="981" customWidth="1"/>
    <col min="15825" max="15825" width="23.109375" style="981" customWidth="1"/>
    <col min="15826" max="15826" width="13.109375" style="981" customWidth="1"/>
    <col min="15827" max="15830" width="0" style="981" hidden="1" customWidth="1"/>
    <col min="15831" max="16066" width="10.33203125" style="981"/>
    <col min="16067" max="16067" width="7" style="981" customWidth="1"/>
    <col min="16068" max="16068" width="13" style="981" customWidth="1"/>
    <col min="16069" max="16069" width="14.109375" style="981" customWidth="1"/>
    <col min="16070" max="16070" width="17.33203125" style="981" customWidth="1"/>
    <col min="16071" max="16071" width="18.88671875" style="981" customWidth="1"/>
    <col min="16072" max="16072" width="14.109375" style="981" customWidth="1"/>
    <col min="16073" max="16073" width="21.5546875" style="981" customWidth="1"/>
    <col min="16074" max="16075" width="14.109375" style="981" customWidth="1"/>
    <col min="16076" max="16076" width="15" style="981" customWidth="1"/>
    <col min="16077" max="16077" width="13.33203125" style="981" customWidth="1"/>
    <col min="16078" max="16078" width="17" style="981" customWidth="1"/>
    <col min="16079" max="16079" width="24.88671875" style="981" customWidth="1"/>
    <col min="16080" max="16080" width="14.44140625" style="981" customWidth="1"/>
    <col min="16081" max="16081" width="23.109375" style="981" customWidth="1"/>
    <col min="16082" max="16082" width="13.109375" style="981" customWidth="1"/>
    <col min="16083" max="16086" width="0" style="981" hidden="1" customWidth="1"/>
    <col min="16087" max="16384" width="10.33203125" style="981"/>
  </cols>
  <sheetData>
    <row r="1" spans="1:31" s="13" customFormat="1" ht="15" customHeight="1">
      <c r="A1" s="1"/>
      <c r="B1" s="125"/>
      <c r="C1" s="4"/>
      <c r="D1" s="3"/>
      <c r="E1" s="4"/>
      <c r="F1" s="4"/>
      <c r="G1" s="6"/>
      <c r="H1" s="6"/>
      <c r="I1" s="7"/>
      <c r="J1" s="7"/>
      <c r="K1" s="11"/>
      <c r="L1" s="5"/>
      <c r="M1" s="980"/>
      <c r="N1" s="1030"/>
      <c r="O1" s="6"/>
      <c r="P1" s="2117"/>
      <c r="Q1" s="2102"/>
      <c r="R1" s="277"/>
      <c r="S1" s="277"/>
      <c r="T1" s="277"/>
      <c r="U1" s="278"/>
      <c r="V1" s="814"/>
      <c r="W1" s="278"/>
      <c r="X1" s="278"/>
      <c r="Y1" s="278"/>
      <c r="Z1" s="282"/>
      <c r="AA1" s="278"/>
      <c r="AB1" s="278"/>
      <c r="AC1" s="283"/>
      <c r="AD1" s="5"/>
    </row>
    <row r="2" spans="1:31" s="13" customFormat="1" ht="20.25" customHeight="1">
      <c r="A2" s="3719" t="s">
        <v>646</v>
      </c>
      <c r="B2" s="3720"/>
      <c r="C2" s="3720"/>
      <c r="D2" s="3720"/>
      <c r="E2" s="3720"/>
      <c r="F2" s="3720"/>
      <c r="G2" s="3720"/>
      <c r="H2" s="3720"/>
      <c r="I2" s="3720"/>
      <c r="J2" s="3720"/>
      <c r="K2" s="3720"/>
      <c r="L2" s="3720"/>
      <c r="M2" s="3720"/>
      <c r="N2" s="3720"/>
      <c r="O2" s="3720"/>
      <c r="P2" s="2075"/>
      <c r="Q2" s="322"/>
      <c r="R2" s="322"/>
      <c r="S2" s="322"/>
      <c r="T2" s="322"/>
      <c r="U2" s="322"/>
      <c r="V2" s="812"/>
      <c r="W2" s="322"/>
      <c r="X2" s="322"/>
      <c r="Y2" s="322"/>
      <c r="Z2" s="322"/>
      <c r="AA2" s="322"/>
      <c r="AB2" s="322"/>
      <c r="AC2" s="322"/>
    </row>
    <row r="3" spans="1:31" s="13" customFormat="1">
      <c r="A3" s="1"/>
      <c r="B3" s="478"/>
      <c r="C3" s="4" t="s">
        <v>754</v>
      </c>
      <c r="D3" s="768" t="s">
        <v>3110</v>
      </c>
      <c r="E3" s="4"/>
      <c r="F3" s="4"/>
      <c r="G3" s="6"/>
      <c r="H3" s="6"/>
      <c r="I3" s="7"/>
      <c r="J3" s="7"/>
      <c r="K3" s="11"/>
      <c r="L3" s="2839" t="s">
        <v>6266</v>
      </c>
      <c r="M3" s="478"/>
      <c r="N3" s="478"/>
      <c r="O3" s="6"/>
      <c r="P3" s="2117"/>
      <c r="Q3" s="268"/>
      <c r="R3" s="268"/>
      <c r="S3" s="268"/>
      <c r="T3" s="268"/>
      <c r="U3" s="264"/>
      <c r="V3" s="264"/>
      <c r="W3" s="268"/>
      <c r="X3" s="268"/>
      <c r="Y3" s="269"/>
      <c r="Z3" s="270"/>
      <c r="AA3" s="271"/>
      <c r="AB3" s="272"/>
      <c r="AC3" s="273"/>
      <c r="AD3" s="5"/>
    </row>
    <row r="4" spans="1:31" s="13" customFormat="1" ht="36.75" customHeight="1">
      <c r="A4" s="33" t="s">
        <v>2</v>
      </c>
      <c r="B4" s="483" t="s">
        <v>2773</v>
      </c>
      <c r="C4" s="2478" t="s">
        <v>3</v>
      </c>
      <c r="D4" s="2479" t="s">
        <v>4</v>
      </c>
      <c r="E4" s="2478" t="s">
        <v>5</v>
      </c>
      <c r="F4" s="2478" t="s">
        <v>401</v>
      </c>
      <c r="G4" s="33" t="s">
        <v>8</v>
      </c>
      <c r="H4" s="33" t="s">
        <v>9</v>
      </c>
      <c r="I4" s="839" t="s">
        <v>3265</v>
      </c>
      <c r="J4" s="323" t="s">
        <v>3266</v>
      </c>
      <c r="K4" s="323" t="s">
        <v>63</v>
      </c>
      <c r="L4" s="323" t="s">
        <v>2776</v>
      </c>
      <c r="M4" s="323" t="s">
        <v>2777</v>
      </c>
      <c r="N4" s="33" t="s">
        <v>1583</v>
      </c>
      <c r="O4" s="33" t="s">
        <v>15</v>
      </c>
      <c r="P4" s="2477" t="s">
        <v>5939</v>
      </c>
      <c r="Q4" s="2103" t="s">
        <v>1291</v>
      </c>
      <c r="R4" s="217" t="s">
        <v>190</v>
      </c>
      <c r="S4" s="217" t="s">
        <v>191</v>
      </c>
      <c r="T4" s="218" t="s">
        <v>192</v>
      </c>
      <c r="U4" s="218" t="s">
        <v>193</v>
      </c>
      <c r="V4" s="813" t="s">
        <v>1313</v>
      </c>
      <c r="W4" s="219" t="s">
        <v>6076</v>
      </c>
      <c r="X4" s="219" t="s">
        <v>195</v>
      </c>
      <c r="Y4" s="220" t="s">
        <v>196</v>
      </c>
      <c r="Z4" s="221" t="s">
        <v>197</v>
      </c>
      <c r="AA4" s="218" t="s">
        <v>198</v>
      </c>
      <c r="AB4" s="219" t="s">
        <v>199</v>
      </c>
      <c r="AC4" s="222" t="s">
        <v>200</v>
      </c>
      <c r="AD4" s="36" t="s">
        <v>204</v>
      </c>
    </row>
    <row r="5" spans="1:31" s="13" customFormat="1" ht="31.2">
      <c r="A5" s="44">
        <v>1</v>
      </c>
      <c r="B5" s="295"/>
      <c r="C5" s="348">
        <v>105246037150</v>
      </c>
      <c r="D5" s="141">
        <v>44959</v>
      </c>
      <c r="E5" s="362" t="s">
        <v>101</v>
      </c>
      <c r="F5" s="126" t="s">
        <v>206</v>
      </c>
      <c r="G5" s="167"/>
      <c r="H5" s="167"/>
      <c r="I5" s="160" t="s">
        <v>102</v>
      </c>
      <c r="J5" s="160"/>
      <c r="K5" s="53"/>
      <c r="L5" s="296">
        <v>44963</v>
      </c>
      <c r="M5" s="656"/>
      <c r="N5" s="128"/>
      <c r="O5" s="129" t="s">
        <v>103</v>
      </c>
      <c r="P5" s="2116"/>
      <c r="Q5" s="2104"/>
      <c r="R5" s="324">
        <v>49920</v>
      </c>
      <c r="S5" s="248"/>
      <c r="T5" s="248"/>
      <c r="U5" s="325">
        <v>5471664</v>
      </c>
      <c r="V5" s="815"/>
      <c r="W5" s="248"/>
      <c r="X5" s="340">
        <f>+B5+R5+S5+T5+Q5+W5</f>
        <v>49920</v>
      </c>
      <c r="Y5" s="344">
        <f>+U5</f>
        <v>5471664</v>
      </c>
      <c r="Z5" s="208" t="s">
        <v>383</v>
      </c>
      <c r="AA5" s="341">
        <f>2290000*1.1</f>
        <v>2519000</v>
      </c>
      <c r="AB5" s="342">
        <f>+AA5+Y5+X5</f>
        <v>8040584</v>
      </c>
      <c r="AC5" s="252"/>
      <c r="AD5" s="130"/>
      <c r="AE5" s="13">
        <v>2519000</v>
      </c>
    </row>
    <row r="6" spans="1:31" s="13" customFormat="1" ht="66">
      <c r="A6" s="44">
        <v>2</v>
      </c>
      <c r="B6" s="295"/>
      <c r="C6" s="348">
        <v>105267870960</v>
      </c>
      <c r="D6" s="46" t="s">
        <v>279</v>
      </c>
      <c r="E6" s="47" t="s">
        <v>280</v>
      </c>
      <c r="F6" s="126" t="s">
        <v>206</v>
      </c>
      <c r="G6" s="167">
        <v>5</v>
      </c>
      <c r="H6" s="167"/>
      <c r="I6" s="160"/>
      <c r="J6" s="160" t="s">
        <v>431</v>
      </c>
      <c r="K6" s="320" t="s">
        <v>136</v>
      </c>
      <c r="L6" s="127" t="s">
        <v>388</v>
      </c>
      <c r="M6" s="657"/>
      <c r="N6" s="128"/>
      <c r="O6" s="129" t="s">
        <v>281</v>
      </c>
      <c r="P6" s="2116"/>
      <c r="Q6" s="2104"/>
      <c r="R6" s="373">
        <v>3932500</v>
      </c>
      <c r="S6" s="373">
        <f>1760000+1760000+880000</f>
        <v>4400000</v>
      </c>
      <c r="T6" s="248"/>
      <c r="U6" s="247"/>
      <c r="V6" s="816"/>
      <c r="W6" s="248"/>
      <c r="X6" s="340">
        <f>+B6+R6+S6+T6+Q6+W6</f>
        <v>8332500</v>
      </c>
      <c r="Y6" s="344">
        <f t="shared" ref="Y6:Y55" si="0">+U6</f>
        <v>0</v>
      </c>
      <c r="Z6" s="249"/>
      <c r="AA6" s="341">
        <f>((G6*5160000)+(H6*5560000))*1.1</f>
        <v>28380000.000000004</v>
      </c>
      <c r="AB6" s="342">
        <f t="shared" ref="AB6:AB55" si="1">+AA6+Y6+X6</f>
        <v>36712500</v>
      </c>
      <c r="AC6" s="248">
        <f>+R6+S6</f>
        <v>8332500</v>
      </c>
      <c r="AD6" s="130"/>
      <c r="AE6" s="13">
        <v>28380000.000000004</v>
      </c>
    </row>
    <row r="7" spans="1:31" s="13" customFormat="1" ht="31.2">
      <c r="A7" s="44">
        <v>3</v>
      </c>
      <c r="B7" s="295"/>
      <c r="C7" s="179">
        <v>105282102110</v>
      </c>
      <c r="D7" s="46" t="s">
        <v>291</v>
      </c>
      <c r="E7" s="47" t="s">
        <v>285</v>
      </c>
      <c r="F7" s="126" t="s">
        <v>206</v>
      </c>
      <c r="G7" s="167"/>
      <c r="H7" s="167"/>
      <c r="I7" s="160" t="s">
        <v>102</v>
      </c>
      <c r="J7" s="160"/>
      <c r="K7" s="53"/>
      <c r="L7" s="127" t="s">
        <v>388</v>
      </c>
      <c r="M7" s="657"/>
      <c r="N7" s="128"/>
      <c r="O7" s="129" t="s">
        <v>284</v>
      </c>
      <c r="P7" s="2116"/>
      <c r="Q7" s="2104"/>
      <c r="R7" s="324">
        <v>36000</v>
      </c>
      <c r="S7" s="248"/>
      <c r="T7" s="324">
        <v>3331625</v>
      </c>
      <c r="U7" s="247"/>
      <c r="V7" s="816"/>
      <c r="W7" s="248"/>
      <c r="X7" s="340">
        <f>+B7+R7+S7+T7+Q7+W7</f>
        <v>3367625</v>
      </c>
      <c r="Y7" s="344">
        <f t="shared" si="0"/>
        <v>0</v>
      </c>
      <c r="Z7" s="208" t="s">
        <v>384</v>
      </c>
      <c r="AA7" s="341">
        <f>2090000*1.1</f>
        <v>2299000</v>
      </c>
      <c r="AB7" s="342">
        <f t="shared" si="1"/>
        <v>5666625</v>
      </c>
      <c r="AC7" s="252"/>
      <c r="AD7" s="130"/>
      <c r="AE7" s="13">
        <v>2299000</v>
      </c>
    </row>
    <row r="8" spans="1:31" s="13" customFormat="1" ht="36" customHeight="1">
      <c r="A8" s="44">
        <v>4</v>
      </c>
      <c r="B8" s="295"/>
      <c r="C8" s="345" t="s">
        <v>381</v>
      </c>
      <c r="D8" s="46" t="s">
        <v>382</v>
      </c>
      <c r="E8" s="47" t="s">
        <v>432</v>
      </c>
      <c r="F8" s="126" t="s">
        <v>206</v>
      </c>
      <c r="G8" s="167"/>
      <c r="H8" s="167"/>
      <c r="I8" s="161"/>
      <c r="J8" s="161"/>
      <c r="K8" s="61"/>
      <c r="L8" s="127"/>
      <c r="M8" s="657"/>
      <c r="N8" s="132"/>
      <c r="O8" s="133"/>
      <c r="P8" s="2116"/>
      <c r="Q8" s="2104"/>
      <c r="R8" s="248"/>
      <c r="S8" s="248"/>
      <c r="T8" s="324">
        <v>200000</v>
      </c>
      <c r="U8" s="247"/>
      <c r="V8" s="816"/>
      <c r="W8" s="248"/>
      <c r="X8" s="340">
        <f>+B8+R8+S8+T8+Q8+W8</f>
        <v>200000</v>
      </c>
      <c r="Y8" s="344">
        <f t="shared" si="0"/>
        <v>0</v>
      </c>
      <c r="Z8" s="249" t="s">
        <v>405</v>
      </c>
      <c r="AA8" s="341">
        <f>(800000*2)*1.1</f>
        <v>1760000.0000000002</v>
      </c>
      <c r="AB8" s="342">
        <f t="shared" si="1"/>
        <v>1960000.0000000002</v>
      </c>
      <c r="AC8" s="252"/>
      <c r="AD8" s="321" t="s">
        <v>282</v>
      </c>
      <c r="AE8" s="13">
        <v>1760000.0000000002</v>
      </c>
    </row>
    <row r="9" spans="1:31" s="13" customFormat="1" ht="36" customHeight="1">
      <c r="A9" s="3701" t="s">
        <v>436</v>
      </c>
      <c r="B9" s="3718"/>
      <c r="C9" s="3718"/>
      <c r="D9" s="3718"/>
      <c r="E9" s="3718"/>
      <c r="F9" s="3718"/>
      <c r="G9" s="3718"/>
      <c r="H9" s="3718"/>
      <c r="I9" s="3718"/>
      <c r="J9" s="3718"/>
      <c r="K9" s="3718"/>
      <c r="L9" s="3718"/>
      <c r="M9" s="655"/>
      <c r="N9" s="346"/>
      <c r="O9" s="1987"/>
      <c r="P9" s="2054"/>
      <c r="Q9" s="346"/>
      <c r="R9" s="346"/>
      <c r="S9" s="346"/>
      <c r="T9" s="346"/>
      <c r="U9" s="346"/>
      <c r="V9" s="346"/>
      <c r="W9" s="346"/>
      <c r="X9" s="354">
        <f>SUM(X5:X8)</f>
        <v>11950045</v>
      </c>
      <c r="Y9" s="355">
        <f>SUM(Y5:Y8)</f>
        <v>5471664</v>
      </c>
      <c r="Z9" s="356"/>
      <c r="AA9" s="355">
        <f>SUM(AA5:AA8)</f>
        <v>34958000.000000007</v>
      </c>
      <c r="AB9" s="354">
        <f>+X9+Y9+AA9</f>
        <v>52379709.000000007</v>
      </c>
      <c r="AC9" s="353"/>
      <c r="AD9" s="346"/>
    </row>
    <row r="10" spans="1:31" s="13" customFormat="1" ht="31.2">
      <c r="A10" s="44">
        <v>1</v>
      </c>
      <c r="B10" s="295"/>
      <c r="C10" s="179">
        <v>105327699960</v>
      </c>
      <c r="D10" s="46" t="s">
        <v>520</v>
      </c>
      <c r="E10" s="362" t="s">
        <v>292</v>
      </c>
      <c r="F10" s="126" t="s">
        <v>206</v>
      </c>
      <c r="G10" s="167"/>
      <c r="H10" s="167"/>
      <c r="I10" s="160" t="s">
        <v>102</v>
      </c>
      <c r="J10" s="160"/>
      <c r="K10" s="374" t="s">
        <v>123</v>
      </c>
      <c r="L10" s="127" t="s">
        <v>388</v>
      </c>
      <c r="M10" s="657"/>
      <c r="N10" s="128"/>
      <c r="O10" s="129" t="s">
        <v>293</v>
      </c>
      <c r="P10" s="2116"/>
      <c r="Q10" s="2104"/>
      <c r="R10" s="324">
        <f>1399440+114241</f>
        <v>1513681</v>
      </c>
      <c r="S10" s="248"/>
      <c r="T10" s="248"/>
      <c r="U10" s="325">
        <v>5266581</v>
      </c>
      <c r="V10" s="815"/>
      <c r="W10" s="248"/>
      <c r="X10" s="340">
        <f>+B10+R10+S10+T10+Q10+W10</f>
        <v>1513681</v>
      </c>
      <c r="Y10" s="344">
        <f>+U10</f>
        <v>5266581</v>
      </c>
      <c r="Z10" s="208" t="s">
        <v>385</v>
      </c>
      <c r="AA10" s="341">
        <f>2090000*1.1</f>
        <v>2299000</v>
      </c>
      <c r="AB10" s="342">
        <f>+AA10+Y10+X10</f>
        <v>9079262</v>
      </c>
      <c r="AC10" s="252"/>
      <c r="AD10" s="130"/>
    </row>
    <row r="11" spans="1:31" s="13" customFormat="1" ht="39.75" customHeight="1">
      <c r="A11" s="326">
        <v>2</v>
      </c>
      <c r="B11" s="295"/>
      <c r="C11" s="179">
        <v>105317575640</v>
      </c>
      <c r="D11" s="46" t="s">
        <v>520</v>
      </c>
      <c r="E11" s="47" t="s">
        <v>406</v>
      </c>
      <c r="F11" s="126" t="s">
        <v>206</v>
      </c>
      <c r="G11" s="167"/>
      <c r="H11" s="167"/>
      <c r="I11" s="160" t="s">
        <v>102</v>
      </c>
      <c r="J11" s="832"/>
      <c r="K11" s="846" t="s">
        <v>123</v>
      </c>
      <c r="L11" s="847" t="s">
        <v>535</v>
      </c>
      <c r="M11" s="522"/>
      <c r="N11" s="328"/>
      <c r="O11" s="2086" t="s">
        <v>407</v>
      </c>
      <c r="P11" s="2081"/>
      <c r="Q11" s="2104"/>
      <c r="R11" s="324">
        <f>49920+74880</f>
        <v>124800</v>
      </c>
      <c r="S11" s="248"/>
      <c r="T11" s="248"/>
      <c r="U11" s="325">
        <v>3686443</v>
      </c>
      <c r="V11" s="815"/>
      <c r="W11" s="248"/>
      <c r="X11" s="340">
        <f>+B11+R11+S11+T11+Q11+W11</f>
        <v>124800</v>
      </c>
      <c r="Y11" s="344">
        <f>+U11</f>
        <v>3686443</v>
      </c>
      <c r="Z11" s="208" t="s">
        <v>550</v>
      </c>
      <c r="AA11" s="341">
        <f>2290000*1.1</f>
        <v>2519000</v>
      </c>
      <c r="AB11" s="342">
        <f t="shared" si="1"/>
        <v>6330243</v>
      </c>
      <c r="AC11" s="252"/>
      <c r="AD11" s="130"/>
    </row>
    <row r="12" spans="1:31" s="13" customFormat="1" ht="34.5" customHeight="1">
      <c r="A12" s="326">
        <v>3</v>
      </c>
      <c r="B12" s="295"/>
      <c r="C12" s="345" t="s">
        <v>551</v>
      </c>
      <c r="D12" s="46"/>
      <c r="E12" s="47"/>
      <c r="F12" s="126"/>
      <c r="G12" s="167"/>
      <c r="H12" s="167"/>
      <c r="I12" s="845"/>
      <c r="J12" s="828"/>
      <c r="K12" s="848"/>
      <c r="L12" s="847"/>
      <c r="M12" s="522"/>
      <c r="N12" s="328"/>
      <c r="O12" s="2086"/>
      <c r="P12" s="2081"/>
      <c r="Q12" s="2104"/>
      <c r="R12" s="248"/>
      <c r="S12" s="248"/>
      <c r="T12" s="324">
        <v>900000</v>
      </c>
      <c r="U12" s="247"/>
      <c r="V12" s="816"/>
      <c r="W12" s="248"/>
      <c r="X12" s="340">
        <f>+B12+R12+S12+T12+Q12+W12</f>
        <v>900000</v>
      </c>
      <c r="Y12" s="344">
        <f t="shared" si="0"/>
        <v>0</v>
      </c>
      <c r="Z12" s="249" t="s">
        <v>552</v>
      </c>
      <c r="AA12" s="341">
        <f>(800000*9)*1.1</f>
        <v>7920000.0000000009</v>
      </c>
      <c r="AB12" s="342">
        <f t="shared" si="1"/>
        <v>8820000</v>
      </c>
      <c r="AC12" s="252"/>
      <c r="AD12" s="130"/>
    </row>
    <row r="13" spans="1:31" s="13" customFormat="1" ht="36" customHeight="1">
      <c r="A13" s="3701" t="s">
        <v>654</v>
      </c>
      <c r="B13" s="3718"/>
      <c r="C13" s="3718"/>
      <c r="D13" s="3718"/>
      <c r="E13" s="3718"/>
      <c r="F13" s="3718"/>
      <c r="G13" s="3718"/>
      <c r="H13" s="3718"/>
      <c r="I13" s="3718"/>
      <c r="J13" s="3718"/>
      <c r="K13" s="3718"/>
      <c r="L13" s="3718"/>
      <c r="M13" s="655"/>
      <c r="N13" s="346"/>
      <c r="O13" s="1987"/>
      <c r="P13" s="2054"/>
      <c r="Q13" s="346"/>
      <c r="R13" s="346"/>
      <c r="S13" s="346"/>
      <c r="T13" s="346"/>
      <c r="U13" s="346"/>
      <c r="V13" s="346"/>
      <c r="W13" s="346"/>
      <c r="X13" s="354">
        <f>SUM(X10:X12)</f>
        <v>2538481</v>
      </c>
      <c r="Y13" s="354">
        <f>SUM(Y10:Y12)</f>
        <v>8953024</v>
      </c>
      <c r="Z13" s="356"/>
      <c r="AA13" s="354">
        <f>SUM(AA10:AA12)</f>
        <v>12738000</v>
      </c>
      <c r="AB13" s="354">
        <f>+X13+Y13+AA13</f>
        <v>24229505</v>
      </c>
      <c r="AC13" s="353"/>
      <c r="AD13" s="346"/>
    </row>
    <row r="14" spans="1:31" s="13" customFormat="1" ht="72" customHeight="1">
      <c r="A14" s="326">
        <v>1</v>
      </c>
      <c r="B14" s="295"/>
      <c r="C14" s="389" t="s">
        <v>969</v>
      </c>
      <c r="D14" s="46" t="s">
        <v>559</v>
      </c>
      <c r="E14" s="47" t="s">
        <v>675</v>
      </c>
      <c r="F14" s="126" t="s">
        <v>206</v>
      </c>
      <c r="G14" s="167">
        <v>5</v>
      </c>
      <c r="H14" s="167"/>
      <c r="I14" s="327" t="s">
        <v>656</v>
      </c>
      <c r="J14" s="827"/>
      <c r="K14" s="374" t="s">
        <v>123</v>
      </c>
      <c r="L14" s="383" t="s">
        <v>745</v>
      </c>
      <c r="M14" s="658"/>
      <c r="N14" s="328"/>
      <c r="O14" s="2086" t="s">
        <v>655</v>
      </c>
      <c r="P14" s="2081"/>
      <c r="Q14" s="2104"/>
      <c r="R14" s="324">
        <v>3300000</v>
      </c>
      <c r="S14" s="248"/>
      <c r="T14" s="248"/>
      <c r="U14" s="247"/>
      <c r="V14" s="816"/>
      <c r="W14" s="324">
        <v>1193000</v>
      </c>
      <c r="X14" s="340">
        <f>+B14+R14+S14+T14+Q14+W14</f>
        <v>4493000</v>
      </c>
      <c r="Y14" s="344">
        <f t="shared" si="0"/>
        <v>0</v>
      </c>
      <c r="Z14" s="249"/>
      <c r="AA14" s="341">
        <f>((G14*5160000)+(H14*5560000))*1.1</f>
        <v>28380000.000000004</v>
      </c>
      <c r="AB14" s="342">
        <f>+AA14+Y14+X14</f>
        <v>32873000.000000004</v>
      </c>
      <c r="AC14" s="252"/>
      <c r="AD14" s="130"/>
    </row>
    <row r="15" spans="1:31" s="13" customFormat="1" ht="33.75" customHeight="1">
      <c r="A15" s="326">
        <v>2</v>
      </c>
      <c r="B15" s="295"/>
      <c r="C15" s="179">
        <v>105386507810</v>
      </c>
      <c r="D15" s="386" t="s">
        <v>768</v>
      </c>
      <c r="E15" s="47" t="s">
        <v>759</v>
      </c>
      <c r="F15" s="126"/>
      <c r="G15" s="167"/>
      <c r="H15" s="167"/>
      <c r="I15" s="160" t="s">
        <v>102</v>
      </c>
      <c r="J15" s="160"/>
      <c r="K15" s="436" t="s">
        <v>136</v>
      </c>
      <c r="L15" s="127" t="s">
        <v>886</v>
      </c>
      <c r="M15" s="522"/>
      <c r="N15" s="328"/>
      <c r="O15" s="2086" t="s">
        <v>758</v>
      </c>
      <c r="P15" s="2081"/>
      <c r="Q15" s="2104"/>
      <c r="R15" s="324">
        <v>105840</v>
      </c>
      <c r="S15" s="248"/>
      <c r="T15" s="248"/>
      <c r="U15" s="325">
        <v>3875529</v>
      </c>
      <c r="V15" s="815"/>
      <c r="W15" s="248"/>
      <c r="X15" s="340">
        <f>+B15+R15+S15+T15+Q15+W15</f>
        <v>105840</v>
      </c>
      <c r="Y15" s="344">
        <f t="shared" si="0"/>
        <v>3875529</v>
      </c>
      <c r="Z15" s="208" t="s">
        <v>970</v>
      </c>
      <c r="AA15" s="341">
        <f>2090000*1.1</f>
        <v>2299000</v>
      </c>
      <c r="AB15" s="342">
        <f t="shared" si="1"/>
        <v>6280369</v>
      </c>
      <c r="AC15" s="252"/>
      <c r="AD15" s="130"/>
    </row>
    <row r="16" spans="1:31" s="13" customFormat="1" ht="26.25" customHeight="1">
      <c r="A16" s="326">
        <v>3</v>
      </c>
      <c r="B16" s="295"/>
      <c r="C16" s="345" t="s">
        <v>865</v>
      </c>
      <c r="D16" s="46"/>
      <c r="E16" s="47" t="s">
        <v>864</v>
      </c>
      <c r="F16" s="126"/>
      <c r="G16" s="167"/>
      <c r="H16" s="167"/>
      <c r="I16" s="327"/>
      <c r="J16" s="827"/>
      <c r="K16" s="53"/>
      <c r="L16" s="127"/>
      <c r="M16" s="522"/>
      <c r="N16" s="328"/>
      <c r="O16" s="2086"/>
      <c r="P16" s="2081"/>
      <c r="Q16" s="2104"/>
      <c r="R16" s="248"/>
      <c r="S16" s="248"/>
      <c r="T16" s="324">
        <f>100000+100000</f>
        <v>200000</v>
      </c>
      <c r="U16" s="247"/>
      <c r="V16" s="816"/>
      <c r="W16" s="248"/>
      <c r="X16" s="340">
        <f>+B16+R16+S16+T16+Q16+W16</f>
        <v>200000</v>
      </c>
      <c r="Y16" s="344">
        <f t="shared" si="0"/>
        <v>0</v>
      </c>
      <c r="Z16" s="249" t="s">
        <v>866</v>
      </c>
      <c r="AA16" s="341">
        <f>(800000*2)*1.1</f>
        <v>1760000.0000000002</v>
      </c>
      <c r="AB16" s="342">
        <f t="shared" si="1"/>
        <v>1960000.0000000002</v>
      </c>
      <c r="AC16" s="252"/>
      <c r="AD16" s="130"/>
    </row>
    <row r="17" spans="1:30" s="13" customFormat="1" ht="36" customHeight="1">
      <c r="A17" s="3701" t="s">
        <v>867</v>
      </c>
      <c r="B17" s="3718"/>
      <c r="C17" s="3718"/>
      <c r="D17" s="3718"/>
      <c r="E17" s="3718"/>
      <c r="F17" s="3718"/>
      <c r="G17" s="3718"/>
      <c r="H17" s="3718"/>
      <c r="I17" s="3718"/>
      <c r="J17" s="3718"/>
      <c r="K17" s="3718"/>
      <c r="L17" s="3718"/>
      <c r="M17" s="655"/>
      <c r="N17" s="346"/>
      <c r="O17" s="1987"/>
      <c r="P17" s="2054"/>
      <c r="Q17" s="346"/>
      <c r="R17" s="346"/>
      <c r="S17" s="346"/>
      <c r="T17" s="346"/>
      <c r="U17" s="346"/>
      <c r="V17" s="346"/>
      <c r="W17" s="346"/>
      <c r="X17" s="354">
        <f>SUM(X14:X16)</f>
        <v>4798840</v>
      </c>
      <c r="Y17" s="354">
        <f>SUM(Y14:Y16)</f>
        <v>3875529</v>
      </c>
      <c r="Z17" s="356"/>
      <c r="AA17" s="354">
        <f>SUM(AA14:AA16)</f>
        <v>32439000.000000004</v>
      </c>
      <c r="AB17" s="354">
        <f>+X17+Y17+AA17</f>
        <v>41113369</v>
      </c>
      <c r="AC17" s="353"/>
      <c r="AD17" s="346"/>
    </row>
    <row r="18" spans="1:30" s="13" customFormat="1" ht="173.25" customHeight="1">
      <c r="A18" s="849">
        <v>1</v>
      </c>
      <c r="B18" s="295"/>
      <c r="C18" s="850">
        <v>105413665560</v>
      </c>
      <c r="D18" s="851" t="s">
        <v>878</v>
      </c>
      <c r="E18" s="852" t="s">
        <v>879</v>
      </c>
      <c r="F18" s="853" t="s">
        <v>206</v>
      </c>
      <c r="G18" s="431">
        <v>10</v>
      </c>
      <c r="H18" s="167"/>
      <c r="I18" s="829"/>
      <c r="J18" s="829" t="s">
        <v>1232</v>
      </c>
      <c r="K18" s="854"/>
      <c r="L18" s="127" t="s">
        <v>965</v>
      </c>
      <c r="M18" s="522"/>
      <c r="N18" s="855"/>
      <c r="O18" s="2086" t="s">
        <v>949</v>
      </c>
      <c r="P18" s="2081"/>
      <c r="Q18" s="2105"/>
      <c r="R18" s="857">
        <f>5720000+440000</f>
        <v>6160000</v>
      </c>
      <c r="S18" s="858">
        <f>900000+900000+900000+900000+900000</f>
        <v>4500000</v>
      </c>
      <c r="T18" s="856"/>
      <c r="U18" s="859"/>
      <c r="V18" s="859"/>
      <c r="W18" s="857">
        <f>295250+590500</f>
        <v>885750</v>
      </c>
      <c r="X18" s="860">
        <f>+B18+R18+S18+T18+Q18+W18</f>
        <v>11545750</v>
      </c>
      <c r="Y18" s="861">
        <f>+U18</f>
        <v>0</v>
      </c>
      <c r="Z18" s="862"/>
      <c r="AA18" s="863">
        <f>((G18*5160000)+(H18*5560000))*1.1</f>
        <v>56760000.000000007</v>
      </c>
      <c r="AB18" s="864">
        <f>+AA18+Y18+X18</f>
        <v>68305750</v>
      </c>
      <c r="AC18" s="856">
        <f>+S18</f>
        <v>4500000</v>
      </c>
      <c r="AD18" s="865"/>
    </row>
    <row r="19" spans="1:30" s="885" customFormat="1" ht="32.25" customHeight="1">
      <c r="A19" s="868">
        <f>+A18+1</f>
        <v>2</v>
      </c>
      <c r="B19" s="869"/>
      <c r="C19" s="870" t="s">
        <v>1032</v>
      </c>
      <c r="D19" s="871" t="s">
        <v>1035</v>
      </c>
      <c r="E19" s="872" t="s">
        <v>1034</v>
      </c>
      <c r="F19" s="873"/>
      <c r="G19" s="874"/>
      <c r="H19" s="874"/>
      <c r="I19" s="828"/>
      <c r="J19" s="828"/>
      <c r="K19" s="848"/>
      <c r="L19" s="847"/>
      <c r="M19" s="847"/>
      <c r="N19" s="875"/>
      <c r="O19" s="2087"/>
      <c r="P19" s="2081"/>
      <c r="Q19" s="2104"/>
      <c r="R19" s="876"/>
      <c r="S19" s="876"/>
      <c r="T19" s="877">
        <v>100000</v>
      </c>
      <c r="U19" s="816"/>
      <c r="V19" s="816"/>
      <c r="W19" s="876"/>
      <c r="X19" s="878">
        <f>+B19+R19+S19+T19+Q19+W19</f>
        <v>100000</v>
      </c>
      <c r="Y19" s="879">
        <f t="shared" si="0"/>
        <v>0</v>
      </c>
      <c r="Z19" s="880" t="s">
        <v>1033</v>
      </c>
      <c r="AA19" s="881">
        <f>(800000*1)*1.1</f>
        <v>880000.00000000012</v>
      </c>
      <c r="AB19" s="882">
        <f t="shared" si="1"/>
        <v>980000.00000000012</v>
      </c>
      <c r="AC19" s="883"/>
      <c r="AD19" s="884"/>
    </row>
    <row r="20" spans="1:30" s="13" customFormat="1" ht="36" customHeight="1">
      <c r="A20" s="3701" t="s">
        <v>1036</v>
      </c>
      <c r="B20" s="3718"/>
      <c r="C20" s="3718"/>
      <c r="D20" s="3718"/>
      <c r="E20" s="3718"/>
      <c r="F20" s="3718"/>
      <c r="G20" s="3718"/>
      <c r="H20" s="3718"/>
      <c r="I20" s="3718"/>
      <c r="J20" s="3718"/>
      <c r="K20" s="3718"/>
      <c r="L20" s="3718"/>
      <c r="M20" s="655"/>
      <c r="N20" s="346"/>
      <c r="O20" s="1987"/>
      <c r="P20" s="2054"/>
      <c r="Q20" s="346"/>
      <c r="R20" s="346"/>
      <c r="S20" s="346"/>
      <c r="T20" s="346"/>
      <c r="U20" s="346"/>
      <c r="V20" s="346"/>
      <c r="W20" s="346"/>
      <c r="X20" s="886">
        <f>SUM(X18:X19)</f>
        <v>11645750</v>
      </c>
      <c r="Y20" s="886">
        <f>SUM(Y18:Y19)</f>
        <v>0</v>
      </c>
      <c r="Z20" s="887"/>
      <c r="AA20" s="886">
        <f>SUM(AA18:AA19)</f>
        <v>57640000.000000007</v>
      </c>
      <c r="AB20" s="886">
        <f>+X20+Y20+AA20</f>
        <v>69285750</v>
      </c>
      <c r="AC20" s="353"/>
      <c r="AD20" s="346"/>
    </row>
    <row r="21" spans="1:30" s="885" customFormat="1" ht="173.25" customHeight="1">
      <c r="A21" s="868">
        <v>1</v>
      </c>
      <c r="B21" s="869"/>
      <c r="C21" s="895">
        <v>105413665560</v>
      </c>
      <c r="D21" s="896" t="s">
        <v>878</v>
      </c>
      <c r="E21" s="897" t="s">
        <v>879</v>
      </c>
      <c r="F21" s="898" t="s">
        <v>206</v>
      </c>
      <c r="G21" s="899">
        <v>10</v>
      </c>
      <c r="H21" s="874"/>
      <c r="I21" s="830"/>
      <c r="J21" s="830" t="s">
        <v>1232</v>
      </c>
      <c r="K21" s="848"/>
      <c r="L21" s="847" t="s">
        <v>965</v>
      </c>
      <c r="M21" s="847"/>
      <c r="N21" s="875"/>
      <c r="O21" s="2087" t="s">
        <v>949</v>
      </c>
      <c r="P21" s="2081"/>
      <c r="Q21" s="2104"/>
      <c r="R21" s="876"/>
      <c r="S21" s="900">
        <f>900000+900000+900000+900000+900000</f>
        <v>4500000</v>
      </c>
      <c r="T21" s="876"/>
      <c r="U21" s="816"/>
      <c r="V21" s="816"/>
      <c r="W21" s="816"/>
      <c r="X21" s="878">
        <f>+B21+R21+S21+T21+Q21+W21</f>
        <v>4500000</v>
      </c>
      <c r="Y21" s="879">
        <f>+U21</f>
        <v>0</v>
      </c>
      <c r="Z21" s="880"/>
      <c r="AA21" s="881">
        <v>0</v>
      </c>
      <c r="AB21" s="882">
        <f>+AA21+Y21+X21</f>
        <v>4500000</v>
      </c>
      <c r="AC21" s="901" t="s">
        <v>1211</v>
      </c>
      <c r="AD21" s="3728" t="s">
        <v>1342</v>
      </c>
    </row>
    <row r="22" spans="1:30" s="13" customFormat="1" ht="138" customHeight="1">
      <c r="A22" s="447">
        <v>2</v>
      </c>
      <c r="B22" s="888"/>
      <c r="C22" s="889">
        <v>105502742000</v>
      </c>
      <c r="D22" s="448" t="s">
        <v>1200</v>
      </c>
      <c r="E22" s="449" t="s">
        <v>1199</v>
      </c>
      <c r="F22" s="450" t="s">
        <v>206</v>
      </c>
      <c r="G22" s="451">
        <v>10</v>
      </c>
      <c r="H22" s="445"/>
      <c r="I22" s="446"/>
      <c r="J22" s="831" t="s">
        <v>1236</v>
      </c>
      <c r="K22" s="890" t="s">
        <v>123</v>
      </c>
      <c r="L22" s="522"/>
      <c r="M22" s="522"/>
      <c r="N22" s="891"/>
      <c r="O22" s="2088" t="s">
        <v>1213</v>
      </c>
      <c r="P22" s="2082"/>
      <c r="Q22" s="2106"/>
      <c r="R22" s="892">
        <f>379500+6600000</f>
        <v>6979500</v>
      </c>
      <c r="S22" s="893">
        <f>900000+800000+800000+800000+800000+800000+800000+800000+800000+800000</f>
        <v>8100000</v>
      </c>
      <c r="T22" s="892">
        <f>446870+295125</f>
        <v>741995</v>
      </c>
      <c r="U22" s="426"/>
      <c r="V22" s="426"/>
      <c r="W22" s="894">
        <v>2361000</v>
      </c>
      <c r="X22" s="674">
        <f>+B22+R22+S22+T22+Q22+W22</f>
        <v>18182495</v>
      </c>
      <c r="Y22" s="675">
        <f>+U22+W22</f>
        <v>2361000</v>
      </c>
      <c r="Z22" s="826"/>
      <c r="AA22" s="676">
        <f>((G22*5160000)+(H22*5560000))*1.1</f>
        <v>56760000.000000007</v>
      </c>
      <c r="AB22" s="677">
        <f t="shared" si="1"/>
        <v>77303495</v>
      </c>
      <c r="AC22" s="808"/>
      <c r="AD22" s="3729"/>
    </row>
    <row r="23" spans="1:30" s="13" customFormat="1" ht="24" customHeight="1">
      <c r="A23" s="849">
        <v>3</v>
      </c>
      <c r="B23" s="295"/>
      <c r="C23" s="850">
        <v>105527782400</v>
      </c>
      <c r="D23" s="902" t="s">
        <v>1238</v>
      </c>
      <c r="E23" s="903" t="s">
        <v>1235</v>
      </c>
      <c r="F23" s="904" t="s">
        <v>206</v>
      </c>
      <c r="G23" s="167" t="s">
        <v>102</v>
      </c>
      <c r="H23" s="167"/>
      <c r="I23" s="905" t="s">
        <v>102</v>
      </c>
      <c r="J23" s="905"/>
      <c r="K23" s="841" t="s">
        <v>123</v>
      </c>
      <c r="L23" s="127"/>
      <c r="M23" s="522"/>
      <c r="N23" s="855"/>
      <c r="O23" s="2089" t="s">
        <v>1234</v>
      </c>
      <c r="P23" s="2082"/>
      <c r="Q23" s="2105"/>
      <c r="R23" s="856"/>
      <c r="S23" s="856"/>
      <c r="T23" s="856"/>
      <c r="U23" s="906">
        <v>3798190</v>
      </c>
      <c r="V23" s="906"/>
      <c r="W23" s="856"/>
      <c r="X23" s="860">
        <f>+B23+R23+S23+T23+Q23+W23</f>
        <v>0</v>
      </c>
      <c r="Y23" s="861">
        <f>+U23</f>
        <v>3798190</v>
      </c>
      <c r="Z23" s="862"/>
      <c r="AA23" s="863">
        <f>2090000*1.1</f>
        <v>2299000</v>
      </c>
      <c r="AB23" s="864">
        <f>+AA23+Y23+X23</f>
        <v>6097190</v>
      </c>
      <c r="AC23" s="907"/>
      <c r="AD23" s="3729"/>
    </row>
    <row r="24" spans="1:30" s="885" customFormat="1" ht="26.4">
      <c r="A24" s="868">
        <v>4</v>
      </c>
      <c r="B24" s="869"/>
      <c r="C24" s="870" t="s">
        <v>1212</v>
      </c>
      <c r="D24" s="871">
        <v>45085</v>
      </c>
      <c r="E24" s="872" t="s">
        <v>1237</v>
      </c>
      <c r="F24" s="873"/>
      <c r="G24" s="874"/>
      <c r="H24" s="874"/>
      <c r="I24" s="832"/>
      <c r="J24" s="832"/>
      <c r="K24" s="908"/>
      <c r="L24" s="847"/>
      <c r="M24" s="847"/>
      <c r="N24" s="875"/>
      <c r="O24" s="2090"/>
      <c r="P24" s="2082"/>
      <c r="Q24" s="2104"/>
      <c r="R24" s="876"/>
      <c r="S24" s="876"/>
      <c r="T24" s="877">
        <v>200000</v>
      </c>
      <c r="U24" s="816"/>
      <c r="V24" s="816"/>
      <c r="W24" s="876"/>
      <c r="X24" s="878">
        <f>+B24+R24+S24+T24+Q24+W24</f>
        <v>200000</v>
      </c>
      <c r="Y24" s="879">
        <f>+U24</f>
        <v>0</v>
      </c>
      <c r="Z24" s="880"/>
      <c r="AA24" s="881">
        <f>(800000*2)*1.1</f>
        <v>1760000.0000000002</v>
      </c>
      <c r="AB24" s="882">
        <f>+AA24+Y24+X24</f>
        <v>1960000.0000000002</v>
      </c>
      <c r="AC24" s="883"/>
      <c r="AD24" s="3730"/>
    </row>
    <row r="25" spans="1:30" s="13" customFormat="1" ht="36" customHeight="1">
      <c r="A25" s="909" t="s">
        <v>1239</v>
      </c>
      <c r="B25" s="346"/>
      <c r="C25" s="909"/>
      <c r="D25" s="909"/>
      <c r="E25" s="909"/>
      <c r="F25" s="909"/>
      <c r="G25" s="909"/>
      <c r="H25" s="909"/>
      <c r="I25" s="909"/>
      <c r="J25" s="824"/>
      <c r="K25" s="346"/>
      <c r="L25" s="369"/>
      <c r="M25" s="369"/>
      <c r="N25" s="346"/>
      <c r="O25" s="1987"/>
      <c r="P25" s="2054"/>
      <c r="Q25" s="346"/>
      <c r="R25" s="346"/>
      <c r="S25" s="346"/>
      <c r="T25" s="346"/>
      <c r="U25" s="346"/>
      <c r="V25" s="346"/>
      <c r="W25" s="346"/>
      <c r="X25" s="886">
        <f>SUM(X21:X24)</f>
        <v>22882495</v>
      </c>
      <c r="Y25" s="886">
        <f>SUM(Y21:Y24)</f>
        <v>6159190</v>
      </c>
      <c r="Z25" s="887"/>
      <c r="AA25" s="886">
        <f>SUM(AA21:AA24)</f>
        <v>60819000.000000007</v>
      </c>
      <c r="AB25" s="886">
        <f>+X25+Y25+AA25</f>
        <v>89860685</v>
      </c>
      <c r="AC25" s="353"/>
      <c r="AD25" s="346"/>
    </row>
    <row r="26" spans="1:30" s="885" customFormat="1" ht="24" customHeight="1">
      <c r="A26" s="868">
        <v>1</v>
      </c>
      <c r="B26" s="869" t="s">
        <v>1426</v>
      </c>
      <c r="C26" s="910">
        <v>105527782400</v>
      </c>
      <c r="D26" s="871" t="s">
        <v>1238</v>
      </c>
      <c r="E26" s="872" t="s">
        <v>1235</v>
      </c>
      <c r="F26" s="873" t="s">
        <v>206</v>
      </c>
      <c r="G26" s="874" t="s">
        <v>102</v>
      </c>
      <c r="H26" s="874"/>
      <c r="I26" s="832" t="s">
        <v>102</v>
      </c>
      <c r="J26" s="832"/>
      <c r="K26" s="908"/>
      <c r="L26" s="847"/>
      <c r="M26" s="847"/>
      <c r="N26" s="875"/>
      <c r="O26" s="2090" t="s">
        <v>1234</v>
      </c>
      <c r="P26" s="2082"/>
      <c r="Q26" s="2104"/>
      <c r="R26" s="877">
        <v>108000</v>
      </c>
      <c r="S26" s="876"/>
      <c r="T26" s="876"/>
      <c r="U26" s="817"/>
      <c r="V26" s="817"/>
      <c r="W26" s="876"/>
      <c r="X26" s="878">
        <f t="shared" ref="X26:X31" si="2">R26+S26+T26+Q26+W26</f>
        <v>108000</v>
      </c>
      <c r="Y26" s="879">
        <f>+U26</f>
        <v>0</v>
      </c>
      <c r="Z26" s="880"/>
      <c r="AA26" s="881">
        <v>0</v>
      </c>
      <c r="AB26" s="882">
        <f>+AA26+Y26+X26</f>
        <v>108000</v>
      </c>
      <c r="AC26" s="901" t="s">
        <v>1211</v>
      </c>
      <c r="AD26" s="911"/>
    </row>
    <row r="27" spans="1:30" s="885" customFormat="1">
      <c r="A27" s="868">
        <v>2</v>
      </c>
      <c r="B27" s="869"/>
      <c r="C27" s="895">
        <v>105533383760</v>
      </c>
      <c r="D27" s="871" t="s">
        <v>1251</v>
      </c>
      <c r="E27" s="872" t="s">
        <v>1250</v>
      </c>
      <c r="F27" s="873" t="s">
        <v>206</v>
      </c>
      <c r="G27" s="874" t="s">
        <v>102</v>
      </c>
      <c r="H27" s="874"/>
      <c r="I27" s="832" t="s">
        <v>102</v>
      </c>
      <c r="J27" s="832"/>
      <c r="K27" s="846" t="s">
        <v>123</v>
      </c>
      <c r="L27" s="847" t="s">
        <v>1325</v>
      </c>
      <c r="M27" s="847"/>
      <c r="N27" s="875"/>
      <c r="O27" s="2090" t="s">
        <v>1249</v>
      </c>
      <c r="P27" s="2082"/>
      <c r="Q27" s="2104"/>
      <c r="R27" s="877">
        <v>24000</v>
      </c>
      <c r="S27" s="876"/>
      <c r="T27" s="877">
        <v>3592215</v>
      </c>
      <c r="U27" s="816"/>
      <c r="V27" s="816"/>
      <c r="W27" s="876"/>
      <c r="X27" s="878">
        <f t="shared" si="2"/>
        <v>3616215</v>
      </c>
      <c r="Y27" s="879">
        <f t="shared" si="0"/>
        <v>0</v>
      </c>
      <c r="Z27" s="880"/>
      <c r="AA27" s="881">
        <f>2090000*1.08</f>
        <v>2257200</v>
      </c>
      <c r="AB27" s="882">
        <f t="shared" si="1"/>
        <v>5873415</v>
      </c>
      <c r="AC27" s="883"/>
      <c r="AD27" s="3736" t="s">
        <v>1341</v>
      </c>
    </row>
    <row r="28" spans="1:30" s="885" customFormat="1">
      <c r="A28" s="868">
        <f t="shared" ref="A28:A88" si="3">+A27+1</f>
        <v>3</v>
      </c>
      <c r="B28" s="869"/>
      <c r="C28" s="895">
        <v>105546953740</v>
      </c>
      <c r="D28" s="871" t="s">
        <v>1262</v>
      </c>
      <c r="E28" s="872" t="s">
        <v>1264</v>
      </c>
      <c r="F28" s="873" t="s">
        <v>206</v>
      </c>
      <c r="G28" s="874" t="s">
        <v>102</v>
      </c>
      <c r="H28" s="874"/>
      <c r="I28" s="832" t="s">
        <v>102</v>
      </c>
      <c r="J28" s="832"/>
      <c r="K28" s="846" t="s">
        <v>123</v>
      </c>
      <c r="L28" s="847" t="s">
        <v>1323</v>
      </c>
      <c r="M28" s="847"/>
      <c r="N28" s="875"/>
      <c r="O28" s="2090" t="s">
        <v>1267</v>
      </c>
      <c r="P28" s="2082"/>
      <c r="Q28" s="2104"/>
      <c r="R28" s="877">
        <v>186000</v>
      </c>
      <c r="S28" s="876"/>
      <c r="T28" s="876"/>
      <c r="U28" s="816"/>
      <c r="V28" s="816"/>
      <c r="W28" s="876"/>
      <c r="X28" s="878">
        <f t="shared" si="2"/>
        <v>186000</v>
      </c>
      <c r="Y28" s="879">
        <f t="shared" si="0"/>
        <v>0</v>
      </c>
      <c r="Z28" s="880"/>
      <c r="AA28" s="881">
        <f>2090000*1.08</f>
        <v>2257200</v>
      </c>
      <c r="AB28" s="882">
        <f t="shared" si="1"/>
        <v>2443200</v>
      </c>
      <c r="AC28" s="883"/>
      <c r="AD28" s="3736"/>
    </row>
    <row r="29" spans="1:30" s="885" customFormat="1" ht="147" customHeight="1">
      <c r="A29" s="868">
        <f t="shared" si="3"/>
        <v>4</v>
      </c>
      <c r="B29" s="869"/>
      <c r="C29" s="895">
        <v>105569787960</v>
      </c>
      <c r="D29" s="871">
        <v>45206</v>
      </c>
      <c r="E29" s="872" t="s">
        <v>1322</v>
      </c>
      <c r="F29" s="873" t="s">
        <v>206</v>
      </c>
      <c r="G29" s="874">
        <v>10</v>
      </c>
      <c r="H29" s="874"/>
      <c r="I29" s="913"/>
      <c r="J29" s="913" t="s">
        <v>1330</v>
      </c>
      <c r="K29" s="846" t="s">
        <v>123</v>
      </c>
      <c r="L29" s="847"/>
      <c r="M29" s="847"/>
      <c r="N29" s="875"/>
      <c r="O29" s="2090" t="s">
        <v>1292</v>
      </c>
      <c r="P29" s="2082"/>
      <c r="Q29" s="2107">
        <v>1674000</v>
      </c>
      <c r="R29" s="877">
        <v>3942000</v>
      </c>
      <c r="S29" s="900">
        <f>900000+900000+900000+900000+900000+900000+900000+900000+900000+900000</f>
        <v>9000000</v>
      </c>
      <c r="T29" s="876"/>
      <c r="U29" s="816"/>
      <c r="V29" s="816"/>
      <c r="W29" s="876"/>
      <c r="X29" s="878">
        <f t="shared" si="2"/>
        <v>14616000</v>
      </c>
      <c r="Y29" s="879">
        <f t="shared" si="0"/>
        <v>0</v>
      </c>
      <c r="Z29" s="880"/>
      <c r="AA29" s="881">
        <f>((G29*5160000)+(H29*5560000))*1.08</f>
        <v>55728000</v>
      </c>
      <c r="AB29" s="882">
        <f>+AA29+Y29+X29</f>
        <v>70344000</v>
      </c>
      <c r="AC29" s="883"/>
      <c r="AD29" s="3736"/>
    </row>
    <row r="30" spans="1:30" s="885" customFormat="1" ht="22.5" customHeight="1">
      <c r="A30" s="868">
        <f t="shared" si="3"/>
        <v>5</v>
      </c>
      <c r="B30" s="869"/>
      <c r="C30" s="895">
        <v>105578665030</v>
      </c>
      <c r="D30" s="871" t="s">
        <v>1321</v>
      </c>
      <c r="E30" s="872" t="s">
        <v>1295</v>
      </c>
      <c r="F30" s="873" t="s">
        <v>206</v>
      </c>
      <c r="G30" s="874" t="s">
        <v>102</v>
      </c>
      <c r="H30" s="874"/>
      <c r="I30" s="832" t="s">
        <v>102</v>
      </c>
      <c r="J30" s="832"/>
      <c r="K30" s="846" t="s">
        <v>123</v>
      </c>
      <c r="L30" s="847" t="s">
        <v>1324</v>
      </c>
      <c r="M30" s="847"/>
      <c r="N30" s="875"/>
      <c r="O30" s="2090" t="s">
        <v>1293</v>
      </c>
      <c r="P30" s="2082"/>
      <c r="Q30" s="2104"/>
      <c r="R30" s="877">
        <v>82472</v>
      </c>
      <c r="S30" s="876"/>
      <c r="T30" s="876"/>
      <c r="U30" s="815">
        <v>5104944</v>
      </c>
      <c r="V30" s="815"/>
      <c r="W30" s="876"/>
      <c r="X30" s="878">
        <f t="shared" si="2"/>
        <v>82472</v>
      </c>
      <c r="Y30" s="879">
        <f t="shared" si="0"/>
        <v>5104944</v>
      </c>
      <c r="Z30" s="880"/>
      <c r="AA30" s="881">
        <f>2090000*1.08</f>
        <v>2257200</v>
      </c>
      <c r="AB30" s="882">
        <f t="shared" si="1"/>
        <v>7444616</v>
      </c>
      <c r="AC30" s="883"/>
      <c r="AD30" s="3736"/>
    </row>
    <row r="31" spans="1:30" s="885" customFormat="1" ht="26.4">
      <c r="A31" s="868">
        <f t="shared" si="3"/>
        <v>6</v>
      </c>
      <c r="B31" s="869"/>
      <c r="C31" s="870" t="s">
        <v>1331</v>
      </c>
      <c r="D31" s="871" t="s">
        <v>1327</v>
      </c>
      <c r="E31" s="872" t="s">
        <v>1332</v>
      </c>
      <c r="F31" s="873"/>
      <c r="G31" s="874"/>
      <c r="H31" s="874"/>
      <c r="I31" s="833"/>
      <c r="J31" s="833"/>
      <c r="K31" s="908"/>
      <c r="L31" s="847"/>
      <c r="M31" s="847"/>
      <c r="N31" s="875"/>
      <c r="O31" s="2091">
        <v>31303205</v>
      </c>
      <c r="P31" s="1613"/>
      <c r="Q31" s="2104"/>
      <c r="R31" s="876"/>
      <c r="S31" s="876"/>
      <c r="T31" s="877">
        <v>100000</v>
      </c>
      <c r="U31" s="816"/>
      <c r="V31" s="816"/>
      <c r="W31" s="876"/>
      <c r="X31" s="878">
        <f t="shared" si="2"/>
        <v>100000</v>
      </c>
      <c r="Y31" s="879">
        <f t="shared" si="0"/>
        <v>0</v>
      </c>
      <c r="Z31" s="880"/>
      <c r="AA31" s="881">
        <f>(800000)*1.08</f>
        <v>864000</v>
      </c>
      <c r="AB31" s="882">
        <f t="shared" si="1"/>
        <v>964000</v>
      </c>
      <c r="AC31" s="883"/>
      <c r="AD31" s="3736"/>
    </row>
    <row r="32" spans="1:30" s="13" customFormat="1">
      <c r="A32" s="3701" t="s">
        <v>1374</v>
      </c>
      <c r="B32" s="3718"/>
      <c r="C32" s="3718"/>
      <c r="D32" s="3718"/>
      <c r="E32" s="3718"/>
      <c r="F32" s="3718"/>
      <c r="G32" s="3718"/>
      <c r="H32" s="3718"/>
      <c r="I32" s="3718"/>
      <c r="J32" s="3718"/>
      <c r="K32" s="3718"/>
      <c r="L32" s="3718"/>
      <c r="M32" s="655"/>
      <c r="N32" s="346"/>
      <c r="O32" s="1987"/>
      <c r="P32" s="2054"/>
      <c r="Q32" s="346"/>
      <c r="R32" s="346"/>
      <c r="S32" s="346"/>
      <c r="T32" s="346"/>
      <c r="U32" s="346"/>
      <c r="V32" s="346"/>
      <c r="W32" s="346"/>
      <c r="X32" s="886">
        <f>SUM(X26:X31)</f>
        <v>18708687</v>
      </c>
      <c r="Y32" s="886">
        <f>SUM(Y26:Y31)</f>
        <v>5104944</v>
      </c>
      <c r="Z32" s="887"/>
      <c r="AA32" s="886">
        <f>SUM(AA26:AA31)</f>
        <v>63363600</v>
      </c>
      <c r="AB32" s="886">
        <f>+X32+Y32+AA32</f>
        <v>87177231</v>
      </c>
      <c r="AC32" s="353"/>
      <c r="AD32" s="914"/>
    </row>
    <row r="33" spans="1:30" s="885" customFormat="1">
      <c r="A33" s="868">
        <v>1</v>
      </c>
      <c r="B33" s="869"/>
      <c r="C33" s="915">
        <v>105608687810</v>
      </c>
      <c r="D33" s="916" t="s">
        <v>1378</v>
      </c>
      <c r="E33" s="872" t="s">
        <v>1377</v>
      </c>
      <c r="F33" s="873" t="s">
        <v>206</v>
      </c>
      <c r="G33" s="874" t="s">
        <v>102</v>
      </c>
      <c r="H33" s="874"/>
      <c r="I33" s="832" t="s">
        <v>102</v>
      </c>
      <c r="J33" s="832"/>
      <c r="K33" s="846" t="s">
        <v>123</v>
      </c>
      <c r="L33" s="847" t="s">
        <v>1376</v>
      </c>
      <c r="M33" s="847"/>
      <c r="N33" s="875"/>
      <c r="O33" s="2090" t="s">
        <v>1375</v>
      </c>
      <c r="P33" s="2082"/>
      <c r="Q33" s="2104"/>
      <c r="R33" s="876"/>
      <c r="S33" s="876"/>
      <c r="T33" s="876"/>
      <c r="U33" s="815">
        <v>6586058</v>
      </c>
      <c r="V33" s="815"/>
      <c r="W33" s="876"/>
      <c r="X33" s="878">
        <f t="shared" ref="X33:X40" si="4">R33+S33+T33+Q33+W33</f>
        <v>0</v>
      </c>
      <c r="Y33" s="879">
        <f t="shared" si="0"/>
        <v>6586058</v>
      </c>
      <c r="Z33" s="880"/>
      <c r="AA33" s="881">
        <f>3090000*1.08</f>
        <v>3337200</v>
      </c>
      <c r="AB33" s="882">
        <f t="shared" si="1"/>
        <v>9923258</v>
      </c>
      <c r="AC33" s="883"/>
      <c r="AD33" s="3734" t="s">
        <v>1506</v>
      </c>
    </row>
    <row r="34" spans="1:30" s="885" customFormat="1" ht="132">
      <c r="A34" s="868">
        <f t="shared" si="3"/>
        <v>2</v>
      </c>
      <c r="B34" s="869"/>
      <c r="C34" s="915">
        <v>105607363300</v>
      </c>
      <c r="D34" s="871" t="s">
        <v>1383</v>
      </c>
      <c r="E34" s="872" t="s">
        <v>1385</v>
      </c>
      <c r="F34" s="873" t="s">
        <v>206</v>
      </c>
      <c r="G34" s="874">
        <v>10</v>
      </c>
      <c r="H34" s="874"/>
      <c r="I34" s="836"/>
      <c r="J34" s="836" t="s">
        <v>1384</v>
      </c>
      <c r="K34" s="846" t="s">
        <v>123</v>
      </c>
      <c r="L34" s="847"/>
      <c r="M34" s="847"/>
      <c r="N34" s="875"/>
      <c r="O34" s="2091" t="s">
        <v>1480</v>
      </c>
      <c r="P34" s="1613"/>
      <c r="Q34" s="2107">
        <f>1134000+108000</f>
        <v>1242000</v>
      </c>
      <c r="R34" s="877">
        <v>5886000</v>
      </c>
      <c r="S34" s="900">
        <f>1800000+1800000+1800000+1800000+900000+900000</f>
        <v>9000000</v>
      </c>
      <c r="T34" s="876"/>
      <c r="U34" s="816"/>
      <c r="V34" s="816"/>
      <c r="W34" s="877">
        <v>263158</v>
      </c>
      <c r="X34" s="878">
        <f t="shared" si="4"/>
        <v>16391158</v>
      </c>
      <c r="Y34" s="879">
        <f t="shared" si="0"/>
        <v>0</v>
      </c>
      <c r="Z34" s="880"/>
      <c r="AA34" s="881">
        <f>((G34*5160000)+(H34*5560000))*1.08</f>
        <v>55728000</v>
      </c>
      <c r="AB34" s="882">
        <f t="shared" si="1"/>
        <v>72119158</v>
      </c>
      <c r="AC34" s="883" t="s">
        <v>1492</v>
      </c>
      <c r="AD34" s="3735"/>
    </row>
    <row r="35" spans="1:30" s="885" customFormat="1">
      <c r="A35" s="868">
        <f t="shared" si="3"/>
        <v>3</v>
      </c>
      <c r="B35" s="869"/>
      <c r="C35" s="915">
        <v>105629140740</v>
      </c>
      <c r="D35" s="871">
        <v>45145</v>
      </c>
      <c r="E35" s="872" t="s">
        <v>1443</v>
      </c>
      <c r="F35" s="873" t="s">
        <v>206</v>
      </c>
      <c r="G35" s="874" t="s">
        <v>102</v>
      </c>
      <c r="H35" s="874"/>
      <c r="I35" s="835" t="s">
        <v>102</v>
      </c>
      <c r="J35" s="835"/>
      <c r="K35" s="846" t="s">
        <v>123</v>
      </c>
      <c r="L35" s="847" t="s">
        <v>1444</v>
      </c>
      <c r="M35" s="847"/>
      <c r="N35" s="875"/>
      <c r="O35" s="2091" t="s">
        <v>1442</v>
      </c>
      <c r="P35" s="1613"/>
      <c r="Q35" s="2104"/>
      <c r="R35" s="876"/>
      <c r="S35" s="876"/>
      <c r="T35" s="876"/>
      <c r="U35" s="815">
        <v>3839712</v>
      </c>
      <c r="V35" s="815"/>
      <c r="W35" s="876"/>
      <c r="X35" s="878">
        <f t="shared" si="4"/>
        <v>0</v>
      </c>
      <c r="Y35" s="879">
        <f t="shared" si="0"/>
        <v>3839712</v>
      </c>
      <c r="Z35" s="880"/>
      <c r="AA35" s="881">
        <f>2090000*1.08</f>
        <v>2257200</v>
      </c>
      <c r="AB35" s="882">
        <f t="shared" si="1"/>
        <v>6096912</v>
      </c>
      <c r="AC35" s="883"/>
      <c r="AD35" s="3735"/>
    </row>
    <row r="36" spans="1:30" s="885" customFormat="1" ht="16.5" customHeight="1">
      <c r="A36" s="868">
        <f t="shared" si="3"/>
        <v>4</v>
      </c>
      <c r="B36" s="869"/>
      <c r="C36" s="915">
        <v>105629106002</v>
      </c>
      <c r="D36" s="871">
        <v>45141</v>
      </c>
      <c r="E36" s="872" t="s">
        <v>1454</v>
      </c>
      <c r="F36" s="873" t="s">
        <v>1345</v>
      </c>
      <c r="G36" s="874" t="s">
        <v>102</v>
      </c>
      <c r="H36" s="874"/>
      <c r="I36" s="835" t="s">
        <v>102</v>
      </c>
      <c r="J36" s="835"/>
      <c r="K36" s="846" t="s">
        <v>123</v>
      </c>
      <c r="L36" s="847" t="s">
        <v>1452</v>
      </c>
      <c r="M36" s="847"/>
      <c r="N36" s="875"/>
      <c r="O36" s="2091" t="s">
        <v>1453</v>
      </c>
      <c r="P36" s="1613"/>
      <c r="Q36" s="2107">
        <v>478342</v>
      </c>
      <c r="R36" s="876"/>
      <c r="S36" s="876"/>
      <c r="T36" s="877">
        <v>3768638</v>
      </c>
      <c r="U36" s="816"/>
      <c r="V36" s="816"/>
      <c r="W36" s="876"/>
      <c r="X36" s="878">
        <f t="shared" si="4"/>
        <v>4246980</v>
      </c>
      <c r="Y36" s="879">
        <f t="shared" si="0"/>
        <v>0</v>
      </c>
      <c r="Z36" s="880"/>
      <c r="AA36" s="881">
        <f>2290000*1.08</f>
        <v>2473200</v>
      </c>
      <c r="AB36" s="882">
        <f t="shared" si="1"/>
        <v>6720180</v>
      </c>
      <c r="AC36" s="883"/>
      <c r="AD36" s="3735"/>
    </row>
    <row r="37" spans="1:30" s="885" customFormat="1">
      <c r="A37" s="868">
        <f t="shared" si="3"/>
        <v>5</v>
      </c>
      <c r="B37" s="869"/>
      <c r="C37" s="915">
        <v>105639536220</v>
      </c>
      <c r="D37" s="871">
        <v>45147</v>
      </c>
      <c r="E37" s="872" t="s">
        <v>1455</v>
      </c>
      <c r="F37" s="873" t="s">
        <v>206</v>
      </c>
      <c r="G37" s="874" t="s">
        <v>102</v>
      </c>
      <c r="H37" s="874"/>
      <c r="I37" s="835" t="s">
        <v>102</v>
      </c>
      <c r="J37" s="835"/>
      <c r="K37" s="917" t="s">
        <v>210</v>
      </c>
      <c r="L37" s="847" t="s">
        <v>1457</v>
      </c>
      <c r="M37" s="847"/>
      <c r="N37" s="875"/>
      <c r="O37" s="2091" t="s">
        <v>1456</v>
      </c>
      <c r="P37" s="1613"/>
      <c r="Q37" s="2104"/>
      <c r="R37" s="876"/>
      <c r="S37" s="876"/>
      <c r="T37" s="876"/>
      <c r="U37" s="815">
        <v>4377718</v>
      </c>
      <c r="V37" s="815"/>
      <c r="W37" s="876"/>
      <c r="X37" s="878">
        <f t="shared" si="4"/>
        <v>0</v>
      </c>
      <c r="Y37" s="879">
        <f t="shared" si="0"/>
        <v>4377718</v>
      </c>
      <c r="Z37" s="880"/>
      <c r="AA37" s="881">
        <f>2290000*1.08</f>
        <v>2473200</v>
      </c>
      <c r="AB37" s="882">
        <f t="shared" si="1"/>
        <v>6850918</v>
      </c>
      <c r="AC37" s="883"/>
      <c r="AD37" s="3735"/>
    </row>
    <row r="38" spans="1:30" s="885" customFormat="1">
      <c r="A38" s="868">
        <f t="shared" si="3"/>
        <v>6</v>
      </c>
      <c r="B38" s="869"/>
      <c r="C38" s="915">
        <v>105640277850</v>
      </c>
      <c r="D38" s="871">
        <v>45147</v>
      </c>
      <c r="E38" s="872" t="s">
        <v>1459</v>
      </c>
      <c r="F38" s="873" t="s">
        <v>206</v>
      </c>
      <c r="G38" s="874" t="s">
        <v>102</v>
      </c>
      <c r="H38" s="874"/>
      <c r="I38" s="835" t="s">
        <v>102</v>
      </c>
      <c r="J38" s="835"/>
      <c r="K38" s="846" t="s">
        <v>123</v>
      </c>
      <c r="L38" s="847" t="s">
        <v>1460</v>
      </c>
      <c r="M38" s="847"/>
      <c r="N38" s="875"/>
      <c r="O38" s="2091" t="s">
        <v>1458</v>
      </c>
      <c r="P38" s="1613"/>
      <c r="Q38" s="2107">
        <v>23563</v>
      </c>
      <c r="R38" s="876"/>
      <c r="S38" s="876"/>
      <c r="T38" s="876"/>
      <c r="U38" s="815">
        <v>3575794</v>
      </c>
      <c r="V38" s="815"/>
      <c r="W38" s="876"/>
      <c r="X38" s="878">
        <f t="shared" si="4"/>
        <v>23563</v>
      </c>
      <c r="Y38" s="879">
        <f t="shared" si="0"/>
        <v>3575794</v>
      </c>
      <c r="Z38" s="880"/>
      <c r="AA38" s="881">
        <f>2090000*1.08</f>
        <v>2257200</v>
      </c>
      <c r="AB38" s="882">
        <f t="shared" si="1"/>
        <v>5856557</v>
      </c>
      <c r="AC38" s="883"/>
      <c r="AD38" s="3735"/>
    </row>
    <row r="39" spans="1:30" s="885" customFormat="1">
      <c r="A39" s="868">
        <f t="shared" si="3"/>
        <v>7</v>
      </c>
      <c r="B39" s="869"/>
      <c r="C39" s="915">
        <v>105658896010</v>
      </c>
      <c r="D39" s="871" t="s">
        <v>1489</v>
      </c>
      <c r="E39" s="872" t="s">
        <v>1487</v>
      </c>
      <c r="F39" s="873" t="s">
        <v>206</v>
      </c>
      <c r="G39" s="874" t="s">
        <v>102</v>
      </c>
      <c r="H39" s="874"/>
      <c r="I39" s="835" t="s">
        <v>102</v>
      </c>
      <c r="J39" s="835"/>
      <c r="K39" s="846" t="s">
        <v>123</v>
      </c>
      <c r="L39" s="847" t="s">
        <v>1488</v>
      </c>
      <c r="M39" s="847"/>
      <c r="N39" s="875"/>
      <c r="O39" s="2091" t="s">
        <v>1486</v>
      </c>
      <c r="P39" s="1613"/>
      <c r="Q39" s="2104"/>
      <c r="R39" s="876"/>
      <c r="S39" s="876"/>
      <c r="T39" s="876"/>
      <c r="U39" s="815">
        <v>3454942</v>
      </c>
      <c r="V39" s="815"/>
      <c r="W39" s="876"/>
      <c r="X39" s="878">
        <f t="shared" si="4"/>
        <v>0</v>
      </c>
      <c r="Y39" s="879">
        <f t="shared" si="0"/>
        <v>3454942</v>
      </c>
      <c r="Z39" s="880"/>
      <c r="AA39" s="881">
        <f>2090000*1.08</f>
        <v>2257200</v>
      </c>
      <c r="AB39" s="882">
        <f t="shared" si="1"/>
        <v>5712142</v>
      </c>
      <c r="AC39" s="883"/>
      <c r="AD39" s="3737" t="s">
        <v>1535</v>
      </c>
    </row>
    <row r="40" spans="1:30" s="885" customFormat="1">
      <c r="A40" s="868">
        <f t="shared" si="3"/>
        <v>8</v>
      </c>
      <c r="B40" s="869"/>
      <c r="C40" s="918">
        <v>105668713510</v>
      </c>
      <c r="D40" s="871" t="s">
        <v>1501</v>
      </c>
      <c r="E40" s="872" t="s">
        <v>1508</v>
      </c>
      <c r="F40" s="873" t="s">
        <v>206</v>
      </c>
      <c r="G40" s="874" t="s">
        <v>102</v>
      </c>
      <c r="H40" s="874"/>
      <c r="I40" s="835" t="s">
        <v>102</v>
      </c>
      <c r="J40" s="835"/>
      <c r="K40" s="846" t="s">
        <v>123</v>
      </c>
      <c r="L40" s="847" t="s">
        <v>1510</v>
      </c>
      <c r="M40" s="847"/>
      <c r="N40" s="875"/>
      <c r="O40" s="2091" t="s">
        <v>1509</v>
      </c>
      <c r="P40" s="1613"/>
      <c r="Q40" s="2107">
        <v>11782</v>
      </c>
      <c r="R40" s="876"/>
      <c r="S40" s="876"/>
      <c r="T40" s="877">
        <v>3454942</v>
      </c>
      <c r="U40" s="816"/>
      <c r="V40" s="816"/>
      <c r="W40" s="876"/>
      <c r="X40" s="878">
        <f t="shared" si="4"/>
        <v>3466724</v>
      </c>
      <c r="Y40" s="879">
        <f t="shared" si="0"/>
        <v>0</v>
      </c>
      <c r="Z40" s="880"/>
      <c r="AA40" s="881">
        <f>2090000*1.08</f>
        <v>2257200</v>
      </c>
      <c r="AB40" s="882">
        <f t="shared" si="1"/>
        <v>5723924</v>
      </c>
      <c r="AC40" s="883"/>
      <c r="AD40" s="3737"/>
    </row>
    <row r="41" spans="1:30" s="13" customFormat="1">
      <c r="A41" s="3701" t="s">
        <v>1507</v>
      </c>
      <c r="B41" s="3718"/>
      <c r="C41" s="3718"/>
      <c r="D41" s="3718"/>
      <c r="E41" s="3718"/>
      <c r="F41" s="3718"/>
      <c r="G41" s="3718"/>
      <c r="H41" s="3718"/>
      <c r="I41" s="3718"/>
      <c r="J41" s="3718"/>
      <c r="K41" s="3718"/>
      <c r="L41" s="3718"/>
      <c r="M41" s="655"/>
      <c r="N41" s="346"/>
      <c r="O41" s="1987"/>
      <c r="P41" s="2054"/>
      <c r="Q41" s="346"/>
      <c r="R41" s="346"/>
      <c r="S41" s="346"/>
      <c r="T41" s="346"/>
      <c r="U41" s="346"/>
      <c r="V41" s="346"/>
      <c r="W41" s="501"/>
      <c r="X41" s="866">
        <f>SUM(X33:X40)</f>
        <v>24128425</v>
      </c>
      <c r="Y41" s="866">
        <f>SUM(Y33:Y40)</f>
        <v>21834224</v>
      </c>
      <c r="Z41" s="867"/>
      <c r="AA41" s="866">
        <f>SUM(AA33:AA40)</f>
        <v>73040400</v>
      </c>
      <c r="AB41" s="866">
        <f>+X41+Y41+AA41</f>
        <v>119003049</v>
      </c>
      <c r="AC41" s="353"/>
      <c r="AD41" s="912"/>
    </row>
    <row r="42" spans="1:30" s="13" customFormat="1" ht="135.75" customHeight="1">
      <c r="A42" s="849">
        <v>1</v>
      </c>
      <c r="B42" s="295"/>
      <c r="C42" s="919">
        <v>105671433120</v>
      </c>
      <c r="D42" s="902" t="s">
        <v>1539</v>
      </c>
      <c r="E42" s="903" t="s">
        <v>1541</v>
      </c>
      <c r="F42" s="904" t="s">
        <v>206</v>
      </c>
      <c r="G42" s="167">
        <v>10</v>
      </c>
      <c r="H42" s="167"/>
      <c r="I42" s="920"/>
      <c r="J42" s="834" t="s">
        <v>1542</v>
      </c>
      <c r="K42" s="374" t="s">
        <v>123</v>
      </c>
      <c r="L42" s="127"/>
      <c r="M42" s="522"/>
      <c r="N42" s="921"/>
      <c r="O42" s="2092" t="s">
        <v>1540</v>
      </c>
      <c r="P42" s="1613"/>
      <c r="Q42" s="2108">
        <v>1674000</v>
      </c>
      <c r="R42" s="857">
        <v>3942000</v>
      </c>
      <c r="S42" s="858">
        <f>1800000+1800000+1800000+1800000+1800000</f>
        <v>9000000</v>
      </c>
      <c r="T42" s="856"/>
      <c r="U42" s="859"/>
      <c r="V42" s="859"/>
      <c r="W42" s="856"/>
      <c r="X42" s="860">
        <f>R42+S42+T42+Q42+W42</f>
        <v>14616000</v>
      </c>
      <c r="Y42" s="861">
        <f t="shared" si="0"/>
        <v>0</v>
      </c>
      <c r="Z42" s="862"/>
      <c r="AA42" s="863">
        <f>((G42*5160000)+(H42*5560000))*1.08</f>
        <v>55728000</v>
      </c>
      <c r="AB42" s="864">
        <f t="shared" si="1"/>
        <v>70344000</v>
      </c>
      <c r="AC42" s="907"/>
      <c r="AD42" s="3731" t="s">
        <v>1630</v>
      </c>
    </row>
    <row r="43" spans="1:30" s="885" customFormat="1">
      <c r="A43" s="868">
        <f t="shared" si="3"/>
        <v>2</v>
      </c>
      <c r="B43" s="869"/>
      <c r="C43" s="915">
        <v>105693335640</v>
      </c>
      <c r="D43" s="871">
        <v>45174</v>
      </c>
      <c r="E43" s="872" t="s">
        <v>1562</v>
      </c>
      <c r="F43" s="873" t="s">
        <v>206</v>
      </c>
      <c r="G43" s="874" t="s">
        <v>102</v>
      </c>
      <c r="H43" s="874"/>
      <c r="I43" s="836" t="s">
        <v>102</v>
      </c>
      <c r="J43" s="836"/>
      <c r="K43" s="846" t="s">
        <v>123</v>
      </c>
      <c r="L43" s="847" t="s">
        <v>1568</v>
      </c>
      <c r="M43" s="847"/>
      <c r="N43" s="922"/>
      <c r="O43" s="2091" t="s">
        <v>1563</v>
      </c>
      <c r="P43" s="1613"/>
      <c r="Q43" s="2104"/>
      <c r="R43" s="876"/>
      <c r="S43" s="876"/>
      <c r="T43" s="876"/>
      <c r="U43" s="815">
        <v>8369482</v>
      </c>
      <c r="V43" s="815"/>
      <c r="W43" s="876"/>
      <c r="X43" s="878">
        <f>R43+S43+T43+Q43+W43</f>
        <v>0</v>
      </c>
      <c r="Y43" s="879">
        <f t="shared" si="0"/>
        <v>8369482</v>
      </c>
      <c r="Z43" s="880"/>
      <c r="AA43" s="881">
        <f>3090000*1.08</f>
        <v>3337200</v>
      </c>
      <c r="AB43" s="882">
        <f t="shared" si="1"/>
        <v>11706682</v>
      </c>
      <c r="AC43" s="883" t="s">
        <v>1627</v>
      </c>
      <c r="AD43" s="3732"/>
    </row>
    <row r="44" spans="1:30" s="885" customFormat="1">
      <c r="A44" s="868">
        <f t="shared" si="3"/>
        <v>3</v>
      </c>
      <c r="B44" s="869"/>
      <c r="C44" s="923">
        <v>105700803610</v>
      </c>
      <c r="D44" s="871">
        <v>45176</v>
      </c>
      <c r="E44" s="872" t="s">
        <v>1565</v>
      </c>
      <c r="F44" s="873" t="s">
        <v>206</v>
      </c>
      <c r="G44" s="874" t="s">
        <v>102</v>
      </c>
      <c r="H44" s="874"/>
      <c r="I44" s="836" t="s">
        <v>102</v>
      </c>
      <c r="J44" s="836"/>
      <c r="K44" s="846" t="s">
        <v>123</v>
      </c>
      <c r="L44" s="871" t="s">
        <v>1569</v>
      </c>
      <c r="M44" s="871"/>
      <c r="N44" s="924" t="s">
        <v>1582</v>
      </c>
      <c r="O44" s="2091" t="s">
        <v>1564</v>
      </c>
      <c r="P44" s="1613"/>
      <c r="Q44" s="2107">
        <v>11782</v>
      </c>
      <c r="R44" s="876"/>
      <c r="S44" s="876"/>
      <c r="T44" s="876"/>
      <c r="U44" s="815">
        <v>3300620</v>
      </c>
      <c r="V44" s="815"/>
      <c r="W44" s="876"/>
      <c r="X44" s="878">
        <f>R44+S44+T44+Q44+W44</f>
        <v>11782</v>
      </c>
      <c r="Y44" s="879">
        <f t="shared" si="0"/>
        <v>3300620</v>
      </c>
      <c r="Z44" s="880"/>
      <c r="AA44" s="881">
        <f>+(2090000*1.08)+(500000*1.08)</f>
        <v>2797200</v>
      </c>
      <c r="AB44" s="882">
        <f t="shared" si="1"/>
        <v>6109602</v>
      </c>
      <c r="AC44" s="883"/>
      <c r="AD44" s="3732"/>
    </row>
    <row r="45" spans="1:30" s="885" customFormat="1">
      <c r="A45" s="868">
        <f t="shared" si="3"/>
        <v>4</v>
      </c>
      <c r="B45" s="869"/>
      <c r="C45" s="923">
        <v>105704634120</v>
      </c>
      <c r="D45" s="871">
        <v>45177</v>
      </c>
      <c r="E45" s="872" t="s">
        <v>1578</v>
      </c>
      <c r="F45" s="873" t="s">
        <v>206</v>
      </c>
      <c r="G45" s="874" t="s">
        <v>102</v>
      </c>
      <c r="H45" s="874"/>
      <c r="I45" s="836" t="s">
        <v>102</v>
      </c>
      <c r="J45" s="836"/>
      <c r="K45" s="846" t="s">
        <v>123</v>
      </c>
      <c r="L45" s="847" t="s">
        <v>1579</v>
      </c>
      <c r="M45" s="847"/>
      <c r="N45" s="922"/>
      <c r="O45" s="2091" t="s">
        <v>1573</v>
      </c>
      <c r="P45" s="1613"/>
      <c r="Q45" s="2107">
        <v>37113</v>
      </c>
      <c r="R45" s="876"/>
      <c r="S45" s="876"/>
      <c r="T45" s="877">
        <v>4605881</v>
      </c>
      <c r="U45" s="816"/>
      <c r="V45" s="816"/>
      <c r="W45" s="876"/>
      <c r="X45" s="878">
        <f>R45+S45+T45+Q45+W45</f>
        <v>4642994</v>
      </c>
      <c r="Y45" s="879">
        <f t="shared" si="0"/>
        <v>0</v>
      </c>
      <c r="Z45" s="880"/>
      <c r="AA45" s="881">
        <f>2290000*1.08</f>
        <v>2473200</v>
      </c>
      <c r="AB45" s="882">
        <f t="shared" si="1"/>
        <v>7116194</v>
      </c>
      <c r="AC45" s="883"/>
      <c r="AD45" s="3732"/>
    </row>
    <row r="46" spans="1:30" s="885" customFormat="1" ht="26.4">
      <c r="A46" s="868">
        <f t="shared" si="3"/>
        <v>5</v>
      </c>
      <c r="B46" s="869"/>
      <c r="C46" s="925" t="s">
        <v>1580</v>
      </c>
      <c r="D46" s="871">
        <v>45177</v>
      </c>
      <c r="E46" s="872" t="s">
        <v>1581</v>
      </c>
      <c r="F46" s="926"/>
      <c r="G46" s="874"/>
      <c r="H46" s="874"/>
      <c r="I46" s="836"/>
      <c r="J46" s="836"/>
      <c r="K46" s="927"/>
      <c r="L46" s="847"/>
      <c r="M46" s="847"/>
      <c r="N46" s="922"/>
      <c r="O46" s="2091"/>
      <c r="P46" s="1613"/>
      <c r="Q46" s="2104"/>
      <c r="R46" s="876"/>
      <c r="S46" s="876"/>
      <c r="T46" s="877">
        <f>196364+98182</f>
        <v>294546</v>
      </c>
      <c r="U46" s="816"/>
      <c r="V46" s="816"/>
      <c r="W46" s="876"/>
      <c r="X46" s="878">
        <f>R46+S46+T46+Q46+W46</f>
        <v>294546</v>
      </c>
      <c r="Y46" s="879">
        <f t="shared" si="0"/>
        <v>0</v>
      </c>
      <c r="Z46" s="880"/>
      <c r="AA46" s="881">
        <f>(800000*3)*1.08</f>
        <v>2592000</v>
      </c>
      <c r="AB46" s="882">
        <f t="shared" si="1"/>
        <v>2886546</v>
      </c>
      <c r="AC46" s="883"/>
      <c r="AD46" s="3733"/>
    </row>
    <row r="47" spans="1:30" s="13" customFormat="1">
      <c r="A47" s="3701" t="s">
        <v>1626</v>
      </c>
      <c r="B47" s="3718"/>
      <c r="C47" s="3718"/>
      <c r="D47" s="3718"/>
      <c r="E47" s="3718"/>
      <c r="F47" s="3718"/>
      <c r="G47" s="3718"/>
      <c r="H47" s="3718"/>
      <c r="I47" s="3718"/>
      <c r="J47" s="3718"/>
      <c r="K47" s="3718"/>
      <c r="L47" s="3718"/>
      <c r="M47" s="655"/>
      <c r="N47" s="346"/>
      <c r="O47" s="1987"/>
      <c r="P47" s="2054"/>
      <c r="Q47" s="346"/>
      <c r="R47" s="346"/>
      <c r="S47" s="346"/>
      <c r="T47" s="346"/>
      <c r="U47" s="346"/>
      <c r="V47" s="346"/>
      <c r="W47" s="501"/>
      <c r="X47" s="886">
        <f>SUM(X42:X46)</f>
        <v>19565322</v>
      </c>
      <c r="Y47" s="886">
        <f>SUM(Y42:Y46)</f>
        <v>11670102</v>
      </c>
      <c r="Z47" s="887"/>
      <c r="AA47" s="886">
        <f>SUM(AA42:AA46)</f>
        <v>66927600</v>
      </c>
      <c r="AB47" s="886">
        <f>+X47+Y47+AA47</f>
        <v>98163024</v>
      </c>
      <c r="AC47" s="353"/>
      <c r="AD47" s="914"/>
    </row>
    <row r="48" spans="1:30" s="885" customFormat="1" ht="106.5" customHeight="1">
      <c r="A48" s="868">
        <v>1</v>
      </c>
      <c r="B48" s="869"/>
      <c r="C48" s="918">
        <v>105770254440</v>
      </c>
      <c r="D48" s="871">
        <v>45204</v>
      </c>
      <c r="E48" s="872" t="s">
        <v>1680</v>
      </c>
      <c r="F48" s="873" t="s">
        <v>206</v>
      </c>
      <c r="G48" s="874">
        <v>8</v>
      </c>
      <c r="H48" s="874"/>
      <c r="I48" s="836"/>
      <c r="J48" s="836" t="s">
        <v>1716</v>
      </c>
      <c r="K48" s="846" t="s">
        <v>123</v>
      </c>
      <c r="L48" s="847"/>
      <c r="M48" s="847"/>
      <c r="N48" s="875"/>
      <c r="O48" s="2091">
        <v>231358240</v>
      </c>
      <c r="P48" s="1613"/>
      <c r="Q48" s="2104"/>
      <c r="R48" s="877">
        <v>3153600</v>
      </c>
      <c r="S48" s="900">
        <f>834545+834545+1669090+834545+834545+1669090</f>
        <v>6676360</v>
      </c>
      <c r="T48" s="876"/>
      <c r="U48" s="816"/>
      <c r="V48" s="816"/>
      <c r="W48" s="876"/>
      <c r="X48" s="878">
        <f>R48+S48+T48+Q48+W48</f>
        <v>9829960</v>
      </c>
      <c r="Y48" s="879">
        <f t="shared" si="0"/>
        <v>0</v>
      </c>
      <c r="Z48" s="880"/>
      <c r="AA48" s="881">
        <f>((G48*5160000)+(H48*5560000))*1.08</f>
        <v>44582400</v>
      </c>
      <c r="AB48" s="882">
        <f t="shared" si="1"/>
        <v>54412360</v>
      </c>
      <c r="AC48" s="929">
        <f>+AA48/1.08</f>
        <v>41280000</v>
      </c>
      <c r="AD48" s="3738" t="s">
        <v>1777</v>
      </c>
    </row>
    <row r="49" spans="1:30" s="13" customFormat="1">
      <c r="A49" s="670">
        <f t="shared" si="3"/>
        <v>2</v>
      </c>
      <c r="B49" s="888"/>
      <c r="C49" s="928">
        <v>105783808760</v>
      </c>
      <c r="D49" s="930">
        <v>45211</v>
      </c>
      <c r="E49" s="931" t="s">
        <v>1689</v>
      </c>
      <c r="F49" s="932" t="s">
        <v>206</v>
      </c>
      <c r="G49" s="445" t="s">
        <v>102</v>
      </c>
      <c r="H49" s="445"/>
      <c r="I49" s="933"/>
      <c r="J49" s="834"/>
      <c r="K49" s="890" t="s">
        <v>123</v>
      </c>
      <c r="L49" s="522" t="s">
        <v>1691</v>
      </c>
      <c r="M49" s="522"/>
      <c r="N49" s="934"/>
      <c r="O49" s="2093" t="s">
        <v>1690</v>
      </c>
      <c r="P49" s="1613"/>
      <c r="Q49" s="2109">
        <v>23563</v>
      </c>
      <c r="R49" s="937"/>
      <c r="S49" s="937"/>
      <c r="T49" s="937"/>
      <c r="U49" s="938">
        <v>3395196</v>
      </c>
      <c r="V49" s="938"/>
      <c r="W49" s="937"/>
      <c r="X49" s="939">
        <f>R49+S49+T49+Q49+W49</f>
        <v>23563</v>
      </c>
      <c r="Y49" s="940">
        <f t="shared" si="0"/>
        <v>3395196</v>
      </c>
      <c r="Z49" s="941"/>
      <c r="AA49" s="942">
        <f>2090000*1.08</f>
        <v>2257200</v>
      </c>
      <c r="AB49" s="943">
        <f t="shared" si="1"/>
        <v>5675959</v>
      </c>
      <c r="AC49" s="944">
        <f>+AA49/1.08</f>
        <v>2089999.9999999998</v>
      </c>
      <c r="AD49" s="3739"/>
    </row>
    <row r="50" spans="1:30" s="885" customFormat="1" ht="26.4">
      <c r="A50" s="868">
        <f t="shared" si="3"/>
        <v>3</v>
      </c>
      <c r="B50" s="869"/>
      <c r="C50" s="925" t="s">
        <v>1715</v>
      </c>
      <c r="D50" s="871">
        <v>45208</v>
      </c>
      <c r="E50" s="872" t="s">
        <v>1725</v>
      </c>
      <c r="F50" s="945"/>
      <c r="G50" s="874"/>
      <c r="H50" s="874"/>
      <c r="I50" s="836"/>
      <c r="J50" s="836"/>
      <c r="K50" s="927"/>
      <c r="L50" s="847"/>
      <c r="M50" s="847"/>
      <c r="N50" s="875"/>
      <c r="O50" s="2091"/>
      <c r="P50" s="1613"/>
      <c r="Q50" s="2104"/>
      <c r="R50" s="876"/>
      <c r="S50" s="876"/>
      <c r="T50" s="877">
        <v>98182</v>
      </c>
      <c r="U50" s="816"/>
      <c r="V50" s="816"/>
      <c r="W50" s="876"/>
      <c r="X50" s="878">
        <f>R50+S50+T50+Q50+W50</f>
        <v>98182</v>
      </c>
      <c r="Y50" s="879">
        <f t="shared" si="0"/>
        <v>0</v>
      </c>
      <c r="Z50" s="880"/>
      <c r="AA50" s="881">
        <f>800000*1.08</f>
        <v>864000</v>
      </c>
      <c r="AB50" s="882">
        <f t="shared" si="1"/>
        <v>962182</v>
      </c>
      <c r="AC50" s="929">
        <f>+AA50/1.08</f>
        <v>800000</v>
      </c>
      <c r="AD50" s="3740"/>
    </row>
    <row r="51" spans="1:30" s="885" customFormat="1">
      <c r="A51" s="3724" t="s">
        <v>1721</v>
      </c>
      <c r="B51" s="3724"/>
      <c r="C51" s="3724"/>
      <c r="D51" s="3724"/>
      <c r="E51" s="3724"/>
      <c r="F51" s="3724"/>
      <c r="G51" s="3724"/>
      <c r="H51" s="3724"/>
      <c r="I51" s="3724"/>
      <c r="J51" s="3724"/>
      <c r="K51" s="3724"/>
      <c r="L51" s="3724"/>
      <c r="M51" s="946"/>
      <c r="N51" s="947"/>
      <c r="O51" s="2094"/>
      <c r="P51" s="2054"/>
      <c r="Q51" s="2110"/>
      <c r="R51" s="947"/>
      <c r="S51" s="947"/>
      <c r="T51" s="947"/>
      <c r="U51" s="947"/>
      <c r="V51" s="947"/>
      <c r="W51" s="948"/>
      <c r="X51" s="949">
        <f>SUM(X48:X50)</f>
        <v>9951705</v>
      </c>
      <c r="Y51" s="949">
        <f>SUM(Y48:Y50)</f>
        <v>3395196</v>
      </c>
      <c r="Z51" s="950"/>
      <c r="AA51" s="949">
        <f>SUM(AA48:AA50)</f>
        <v>47703600</v>
      </c>
      <c r="AB51" s="949">
        <f>+X51+Y51+AA51</f>
        <v>61050501</v>
      </c>
      <c r="AC51" s="950"/>
      <c r="AD51" s="951"/>
    </row>
    <row r="52" spans="1:30" s="885" customFormat="1">
      <c r="A52" s="868">
        <v>1</v>
      </c>
      <c r="B52" s="869"/>
      <c r="C52" s="918">
        <v>105830073750</v>
      </c>
      <c r="D52" s="871" t="s">
        <v>1769</v>
      </c>
      <c r="E52" s="872" t="s">
        <v>1754</v>
      </c>
      <c r="F52" s="873" t="s">
        <v>206</v>
      </c>
      <c r="G52" s="874" t="s">
        <v>102</v>
      </c>
      <c r="H52" s="874"/>
      <c r="I52" s="836"/>
      <c r="J52" s="836"/>
      <c r="K52" s="846" t="s">
        <v>123</v>
      </c>
      <c r="L52" s="847" t="s">
        <v>1753</v>
      </c>
      <c r="M52" s="847"/>
      <c r="N52" s="875"/>
      <c r="O52" s="2091" t="s">
        <v>1752</v>
      </c>
      <c r="P52" s="1613"/>
      <c r="Q52" s="2107">
        <v>35345</v>
      </c>
      <c r="R52" s="876"/>
      <c r="S52" s="876"/>
      <c r="T52" s="876"/>
      <c r="U52" s="815">
        <v>3537000</v>
      </c>
      <c r="V52" s="815"/>
      <c r="W52" s="876"/>
      <c r="X52" s="878">
        <f>R52+S52+T52+Q52+W52</f>
        <v>35345</v>
      </c>
      <c r="Y52" s="879">
        <f t="shared" si="0"/>
        <v>3537000</v>
      </c>
      <c r="Z52" s="880"/>
      <c r="AA52" s="881">
        <f>2090000*1.08</f>
        <v>2257200</v>
      </c>
      <c r="AB52" s="882">
        <f t="shared" si="1"/>
        <v>5829545</v>
      </c>
      <c r="AC52" s="929">
        <f>+AA52/1.08</f>
        <v>2089999.9999999998</v>
      </c>
      <c r="AD52" s="3738" t="s">
        <v>1873</v>
      </c>
    </row>
    <row r="53" spans="1:30" s="885" customFormat="1">
      <c r="A53" s="868">
        <f t="shared" si="3"/>
        <v>2</v>
      </c>
      <c r="B53" s="869"/>
      <c r="C53" s="918">
        <v>105823299150</v>
      </c>
      <c r="D53" s="871" t="s">
        <v>1772</v>
      </c>
      <c r="E53" s="872" t="s">
        <v>1756</v>
      </c>
      <c r="F53" s="873" t="s">
        <v>206</v>
      </c>
      <c r="G53" s="874" t="s">
        <v>102</v>
      </c>
      <c r="H53" s="874"/>
      <c r="I53" s="836"/>
      <c r="J53" s="836"/>
      <c r="K53" s="846" t="s">
        <v>123</v>
      </c>
      <c r="L53" s="847" t="s">
        <v>1757</v>
      </c>
      <c r="M53" s="847"/>
      <c r="N53" s="875"/>
      <c r="O53" s="2091" t="s">
        <v>1755</v>
      </c>
      <c r="P53" s="1613"/>
      <c r="Q53" s="2107">
        <v>528062</v>
      </c>
      <c r="R53" s="876"/>
      <c r="S53" s="876"/>
      <c r="T53" s="876"/>
      <c r="U53" s="815">
        <v>10140503</v>
      </c>
      <c r="V53" s="815"/>
      <c r="W53" s="876"/>
      <c r="X53" s="878">
        <f>R53+S53+T53+Q53+W53</f>
        <v>528062</v>
      </c>
      <c r="Y53" s="879">
        <f t="shared" si="0"/>
        <v>10140503</v>
      </c>
      <c r="Z53" s="880"/>
      <c r="AA53" s="881">
        <f>3240000*1.08</f>
        <v>3499200</v>
      </c>
      <c r="AB53" s="882">
        <f t="shared" si="1"/>
        <v>14167765</v>
      </c>
      <c r="AC53" s="929">
        <f>+AA53/1.08</f>
        <v>3240000</v>
      </c>
      <c r="AD53" s="3739"/>
    </row>
    <row r="54" spans="1:30" s="885" customFormat="1">
      <c r="A54" s="868">
        <f t="shared" si="3"/>
        <v>3</v>
      </c>
      <c r="B54" s="869"/>
      <c r="C54" s="918">
        <v>105844222630</v>
      </c>
      <c r="D54" s="871">
        <v>45233</v>
      </c>
      <c r="E54" s="872" t="s">
        <v>1787</v>
      </c>
      <c r="F54" s="873" t="s">
        <v>206</v>
      </c>
      <c r="G54" s="874" t="s">
        <v>102</v>
      </c>
      <c r="H54" s="874"/>
      <c r="I54" s="836"/>
      <c r="J54" s="836"/>
      <c r="K54" s="846" t="s">
        <v>123</v>
      </c>
      <c r="L54" s="847" t="s">
        <v>1786</v>
      </c>
      <c r="M54" s="847"/>
      <c r="N54" s="875"/>
      <c r="O54" s="2091" t="s">
        <v>1785</v>
      </c>
      <c r="P54" s="1613"/>
      <c r="Q54" s="2107">
        <v>49013</v>
      </c>
      <c r="R54" s="876"/>
      <c r="S54" s="876"/>
      <c r="T54" s="876"/>
      <c r="U54" s="815">
        <v>8555998</v>
      </c>
      <c r="V54" s="815"/>
      <c r="W54" s="876"/>
      <c r="X54" s="878">
        <f>R54+S54+T54+Q54+W54</f>
        <v>49013</v>
      </c>
      <c r="Y54" s="879">
        <f t="shared" si="0"/>
        <v>8555998</v>
      </c>
      <c r="Z54" s="880"/>
      <c r="AA54" s="881">
        <f>3090000*1.08</f>
        <v>3337200</v>
      </c>
      <c r="AB54" s="882">
        <f t="shared" si="1"/>
        <v>11942211</v>
      </c>
      <c r="AC54" s="929">
        <f>+AA54/1.08</f>
        <v>3090000</v>
      </c>
      <c r="AD54" s="3739"/>
    </row>
    <row r="55" spans="1:30" s="885" customFormat="1" ht="109.5" customHeight="1">
      <c r="A55" s="868">
        <f t="shared" si="3"/>
        <v>4</v>
      </c>
      <c r="B55" s="869"/>
      <c r="C55" s="918">
        <v>105853064660</v>
      </c>
      <c r="D55" s="871">
        <v>45236</v>
      </c>
      <c r="E55" s="872" t="s">
        <v>1801</v>
      </c>
      <c r="F55" s="873" t="s">
        <v>206</v>
      </c>
      <c r="G55" s="874">
        <v>8</v>
      </c>
      <c r="H55" s="874"/>
      <c r="I55" s="836"/>
      <c r="J55" s="836" t="s">
        <v>3269</v>
      </c>
      <c r="K55" s="846" t="s">
        <v>123</v>
      </c>
      <c r="L55" s="847"/>
      <c r="M55" s="847"/>
      <c r="N55" s="875"/>
      <c r="O55" s="2091" t="s">
        <v>1800</v>
      </c>
      <c r="P55" s="1613"/>
      <c r="Q55" s="2107">
        <f>561600+27000</f>
        <v>588600</v>
      </c>
      <c r="R55" s="877">
        <v>4492800</v>
      </c>
      <c r="S55" s="900">
        <f>950000+900000+900000+900000+1085000+1085000+900000+900000+185000</f>
        <v>7805000</v>
      </c>
      <c r="T55" s="876"/>
      <c r="U55" s="816"/>
      <c r="V55" s="816"/>
      <c r="W55" s="876"/>
      <c r="X55" s="878">
        <f>R55+S55+T55+Q55+W55</f>
        <v>12886400</v>
      </c>
      <c r="Y55" s="879">
        <f t="shared" si="0"/>
        <v>0</v>
      </c>
      <c r="Z55" s="880"/>
      <c r="AA55" s="881">
        <f>((G55*5160000)+(H55*5560000))*1.08</f>
        <v>44582400</v>
      </c>
      <c r="AB55" s="882">
        <f t="shared" si="1"/>
        <v>57468800</v>
      </c>
      <c r="AC55" s="929">
        <f>+AA55/1.08</f>
        <v>41280000</v>
      </c>
      <c r="AD55" s="3739"/>
    </row>
    <row r="56" spans="1:30" s="13" customFormat="1" ht="26.4">
      <c r="A56" s="670">
        <f t="shared" si="3"/>
        <v>5</v>
      </c>
      <c r="B56" s="888"/>
      <c r="C56" s="952" t="s">
        <v>1870</v>
      </c>
      <c r="D56" s="930">
        <v>45233</v>
      </c>
      <c r="E56" s="931" t="s">
        <v>1872</v>
      </c>
      <c r="F56" s="954"/>
      <c r="G56" s="445"/>
      <c r="H56" s="445"/>
      <c r="I56" s="933"/>
      <c r="J56" s="933"/>
      <c r="K56" s="955"/>
      <c r="L56" s="522"/>
      <c r="M56" s="522"/>
      <c r="N56" s="934"/>
      <c r="O56" s="2093"/>
      <c r="P56" s="1613"/>
      <c r="Q56" s="2111"/>
      <c r="R56" s="937"/>
      <c r="S56" s="937"/>
      <c r="T56" s="936">
        <v>294545</v>
      </c>
      <c r="U56" s="956"/>
      <c r="V56" s="956"/>
      <c r="W56" s="937"/>
      <c r="X56" s="939">
        <f>R56+S56+T56+Q56+W56</f>
        <v>294545</v>
      </c>
      <c r="Y56" s="940">
        <f>+U56</f>
        <v>0</v>
      </c>
      <c r="Z56" s="941"/>
      <c r="AA56" s="942">
        <f>800000*3*1.08</f>
        <v>2592000</v>
      </c>
      <c r="AB56" s="943">
        <f>+AA56+Y56+X56</f>
        <v>2886545</v>
      </c>
      <c r="AC56" s="944">
        <f>+AA56/1.08</f>
        <v>2400000</v>
      </c>
      <c r="AD56" s="3740"/>
    </row>
    <row r="57" spans="1:30" s="885" customFormat="1" ht="16.5" customHeight="1">
      <c r="A57" s="3724" t="s">
        <v>1869</v>
      </c>
      <c r="B57" s="3724"/>
      <c r="C57" s="3724"/>
      <c r="D57" s="3724"/>
      <c r="E57" s="3724"/>
      <c r="F57" s="3724"/>
      <c r="G57" s="3724"/>
      <c r="H57" s="3724"/>
      <c r="I57" s="3724"/>
      <c r="J57" s="3724"/>
      <c r="K57" s="3724"/>
      <c r="L57" s="3724"/>
      <c r="M57" s="946"/>
      <c r="N57" s="947"/>
      <c r="O57" s="2094"/>
      <c r="P57" s="2054"/>
      <c r="Q57" s="2110"/>
      <c r="R57" s="947"/>
      <c r="S57" s="947"/>
      <c r="T57" s="947"/>
      <c r="U57" s="947"/>
      <c r="V57" s="947"/>
      <c r="W57" s="948"/>
      <c r="X57" s="949">
        <f>SUM(X52:X56)</f>
        <v>13793365</v>
      </c>
      <c r="Y57" s="949">
        <f>SUM(Y52:Y56)</f>
        <v>22233501</v>
      </c>
      <c r="Z57" s="950"/>
      <c r="AA57" s="949">
        <f>SUM(AA52:AA56)</f>
        <v>56268000</v>
      </c>
      <c r="AB57" s="949">
        <f>+X57+Y57+AA57</f>
        <v>92294866</v>
      </c>
      <c r="AC57" s="950"/>
      <c r="AD57" s="951"/>
    </row>
    <row r="58" spans="1:30" s="13" customFormat="1" ht="316.8">
      <c r="A58" s="670">
        <v>1</v>
      </c>
      <c r="B58" s="888"/>
      <c r="C58" s="796">
        <v>105853064660</v>
      </c>
      <c r="D58" s="825">
        <v>45236</v>
      </c>
      <c r="E58" s="672" t="s">
        <v>1801</v>
      </c>
      <c r="F58" s="673" t="s">
        <v>206</v>
      </c>
      <c r="G58" s="445"/>
      <c r="H58" s="445"/>
      <c r="I58" s="580" t="s">
        <v>1871</v>
      </c>
      <c r="J58" s="580"/>
      <c r="K58" s="953"/>
      <c r="L58" s="577"/>
      <c r="M58" s="577"/>
      <c r="N58" s="806"/>
      <c r="O58" s="2095" t="s">
        <v>1800</v>
      </c>
      <c r="P58" s="1613"/>
      <c r="Q58" s="2106"/>
      <c r="R58" s="425"/>
      <c r="S58" s="425"/>
      <c r="T58" s="425"/>
      <c r="U58" s="426"/>
      <c r="V58" s="426"/>
      <c r="W58" s="892">
        <v>6931854</v>
      </c>
      <c r="X58" s="674">
        <f>R58+S58+T58+Q58+W58</f>
        <v>6931854</v>
      </c>
      <c r="Y58" s="675">
        <f t="shared" ref="Y58:Y72" si="5">+U58</f>
        <v>0</v>
      </c>
      <c r="Z58" s="826"/>
      <c r="AA58" s="676">
        <v>0</v>
      </c>
      <c r="AB58" s="677">
        <f t="shared" ref="AB58:AB72" si="6">+AA58+Y58+X58</f>
        <v>6931854</v>
      </c>
      <c r="AC58" s="808" t="s">
        <v>1211</v>
      </c>
      <c r="AD58" s="3743" t="s">
        <v>1993</v>
      </c>
    </row>
    <row r="59" spans="1:30" s="13" customFormat="1" ht="117.75" customHeight="1">
      <c r="A59" s="326">
        <f t="shared" si="3"/>
        <v>2</v>
      </c>
      <c r="B59" s="295"/>
      <c r="C59" s="45">
        <v>105949426550</v>
      </c>
      <c r="D59" s="46">
        <v>45271</v>
      </c>
      <c r="E59" s="47" t="s">
        <v>1958</v>
      </c>
      <c r="F59" s="126" t="s">
        <v>206</v>
      </c>
      <c r="G59" s="167">
        <v>8</v>
      </c>
      <c r="H59" s="167"/>
      <c r="I59" s="151" t="s">
        <v>2102</v>
      </c>
      <c r="J59" s="834"/>
      <c r="K59" s="374" t="s">
        <v>123</v>
      </c>
      <c r="L59" s="154"/>
      <c r="M59" s="577"/>
      <c r="N59" s="158"/>
      <c r="O59" s="2091" t="s">
        <v>1971</v>
      </c>
      <c r="P59" s="1613"/>
      <c r="Q59" s="2104"/>
      <c r="R59" s="324">
        <v>3153600</v>
      </c>
      <c r="S59" s="373">
        <f>900000*8</f>
        <v>7200000</v>
      </c>
      <c r="T59" s="248"/>
      <c r="U59" s="247"/>
      <c r="V59" s="816"/>
      <c r="W59" s="248"/>
      <c r="X59" s="340">
        <f>R59+S59+T59+Q59+W59</f>
        <v>10353600</v>
      </c>
      <c r="Y59" s="344">
        <f t="shared" si="5"/>
        <v>0</v>
      </c>
      <c r="Z59" s="249"/>
      <c r="AA59" s="341">
        <f>((G59*5160000)+(H59*5560000))*1.08</f>
        <v>44582400</v>
      </c>
      <c r="AB59" s="342">
        <f t="shared" si="6"/>
        <v>54936000</v>
      </c>
      <c r="AC59" s="546">
        <f t="shared" ref="AC59:AC70" si="7">+AA59/1.08</f>
        <v>41280000</v>
      </c>
      <c r="AD59" s="3744"/>
    </row>
    <row r="60" spans="1:30" s="13" customFormat="1" ht="26.4">
      <c r="A60" s="326">
        <f t="shared" si="3"/>
        <v>3</v>
      </c>
      <c r="B60" s="295"/>
      <c r="C60" s="531" t="s">
        <v>1989</v>
      </c>
      <c r="D60" s="46" t="s">
        <v>1990</v>
      </c>
      <c r="E60" s="47" t="s">
        <v>1992</v>
      </c>
      <c r="F60" s="126"/>
      <c r="G60" s="167"/>
      <c r="H60" s="167"/>
      <c r="I60" s="151"/>
      <c r="J60" s="836"/>
      <c r="K60" s="79"/>
      <c r="L60" s="154"/>
      <c r="M60" s="577"/>
      <c r="N60" s="158"/>
      <c r="O60" s="2091"/>
      <c r="P60" s="1613"/>
      <c r="Q60" s="2104"/>
      <c r="R60" s="248"/>
      <c r="S60" s="248"/>
      <c r="T60" s="324">
        <f>98182+196363</f>
        <v>294545</v>
      </c>
      <c r="U60" s="247"/>
      <c r="V60" s="816"/>
      <c r="W60" s="248"/>
      <c r="X60" s="340">
        <f>R60+S60+T60+Q60+W60</f>
        <v>294545</v>
      </c>
      <c r="Y60" s="344">
        <f t="shared" si="5"/>
        <v>0</v>
      </c>
      <c r="Z60" s="249"/>
      <c r="AA60" s="341">
        <f>800000*3*1.08</f>
        <v>2592000</v>
      </c>
      <c r="AB60" s="342">
        <f t="shared" si="6"/>
        <v>2886545</v>
      </c>
      <c r="AC60" s="546">
        <f t="shared" si="7"/>
        <v>2400000</v>
      </c>
      <c r="AD60" s="3745"/>
    </row>
    <row r="61" spans="1:30" s="13" customFormat="1" ht="16.5" customHeight="1">
      <c r="A61" s="3701" t="s">
        <v>1991</v>
      </c>
      <c r="B61" s="3718"/>
      <c r="C61" s="3718"/>
      <c r="D61" s="3718"/>
      <c r="E61" s="3718"/>
      <c r="F61" s="3718"/>
      <c r="G61" s="3718"/>
      <c r="H61" s="3718"/>
      <c r="I61" s="3718"/>
      <c r="J61" s="3718"/>
      <c r="K61" s="3718"/>
      <c r="L61" s="3718"/>
      <c r="M61" s="655"/>
      <c r="N61" s="346"/>
      <c r="O61" s="1987"/>
      <c r="P61" s="2054"/>
      <c r="Q61" s="346"/>
      <c r="R61" s="346"/>
      <c r="S61" s="346"/>
      <c r="T61" s="346"/>
      <c r="U61" s="346"/>
      <c r="V61" s="346"/>
      <c r="W61" s="501"/>
      <c r="X61" s="354">
        <f>SUM(X58:X60)</f>
        <v>17579999</v>
      </c>
      <c r="Y61" s="354">
        <f>SUM(Y58:Y60)</f>
        <v>0</v>
      </c>
      <c r="Z61" s="356"/>
      <c r="AA61" s="354">
        <f>SUM(AA58:AA60)</f>
        <v>47174400</v>
      </c>
      <c r="AB61" s="354">
        <f>+X61+Y61+AA61</f>
        <v>64754399</v>
      </c>
      <c r="AC61" s="578">
        <f t="shared" si="7"/>
        <v>43680000</v>
      </c>
      <c r="AD61" s="303"/>
    </row>
    <row r="62" spans="1:30" s="13" customFormat="1" ht="135.75" customHeight="1">
      <c r="A62" s="326">
        <v>1</v>
      </c>
      <c r="B62" s="295"/>
      <c r="C62" s="1992">
        <v>105994521250</v>
      </c>
      <c r="D62" s="46">
        <v>45293</v>
      </c>
      <c r="E62" s="47" t="s">
        <v>2061</v>
      </c>
      <c r="F62" s="126" t="s">
        <v>206</v>
      </c>
      <c r="G62" s="167">
        <v>10</v>
      </c>
      <c r="H62" s="167"/>
      <c r="I62" s="151" t="s">
        <v>2062</v>
      </c>
      <c r="J62" s="834"/>
      <c r="K62" s="374" t="s">
        <v>123</v>
      </c>
      <c r="L62" s="154"/>
      <c r="M62" s="577"/>
      <c r="N62" s="158"/>
      <c r="O62" s="2091" t="s">
        <v>2060</v>
      </c>
      <c r="P62" s="1613"/>
      <c r="Q62" s="2112">
        <f>27000+453600</f>
        <v>480600</v>
      </c>
      <c r="R62" s="324">
        <v>5616000</v>
      </c>
      <c r="S62" s="373">
        <f>900000+900000+900000+900000+900000+900000+900000+900000+900000+900000</f>
        <v>9000000</v>
      </c>
      <c r="T62" s="248"/>
      <c r="U62" s="247"/>
      <c r="V62" s="816"/>
      <c r="W62" s="248"/>
      <c r="X62" s="340">
        <f>R62+S62+T62+Q62+W62</f>
        <v>15096600</v>
      </c>
      <c r="Y62" s="344">
        <f t="shared" si="5"/>
        <v>0</v>
      </c>
      <c r="Z62" s="249"/>
      <c r="AA62" s="341">
        <f>((G62*5160000)+(H62*5560000))*1.08</f>
        <v>55728000</v>
      </c>
      <c r="AB62" s="342">
        <f t="shared" si="6"/>
        <v>70824600</v>
      </c>
      <c r="AC62" s="546">
        <f t="shared" si="7"/>
        <v>51600000</v>
      </c>
      <c r="AD62" s="3741"/>
    </row>
    <row r="63" spans="1:30" s="13" customFormat="1" ht="26.4">
      <c r="A63" s="326">
        <f t="shared" si="3"/>
        <v>2</v>
      </c>
      <c r="B63" s="295"/>
      <c r="C63" s="531" t="s">
        <v>2103</v>
      </c>
      <c r="D63" s="46">
        <v>45566</v>
      </c>
      <c r="E63" s="47" t="s">
        <v>2105</v>
      </c>
      <c r="F63" s="126"/>
      <c r="G63" s="167"/>
      <c r="H63" s="167"/>
      <c r="I63" s="151"/>
      <c r="J63" s="836"/>
      <c r="K63" s="79"/>
      <c r="L63" s="154"/>
      <c r="M63" s="577"/>
      <c r="N63" s="158"/>
      <c r="O63" s="2091"/>
      <c r="P63" s="1613"/>
      <c r="Q63" s="2104"/>
      <c r="R63" s="248"/>
      <c r="S63" s="248"/>
      <c r="T63" s="324">
        <v>98182</v>
      </c>
      <c r="U63" s="247"/>
      <c r="V63" s="816"/>
      <c r="W63" s="248"/>
      <c r="X63" s="340">
        <f>R63+S63+T63+Q63+W63</f>
        <v>98182</v>
      </c>
      <c r="Y63" s="344">
        <f t="shared" si="5"/>
        <v>0</v>
      </c>
      <c r="Z63" s="249"/>
      <c r="AA63" s="341">
        <f>800000*1*1.08</f>
        <v>864000</v>
      </c>
      <c r="AB63" s="342">
        <f t="shared" si="6"/>
        <v>962182</v>
      </c>
      <c r="AC63" s="546">
        <f t="shared" si="7"/>
        <v>800000</v>
      </c>
      <c r="AD63" s="3742"/>
    </row>
    <row r="64" spans="1:30" s="13" customFormat="1">
      <c r="A64" s="3701" t="s">
        <v>2104</v>
      </c>
      <c r="B64" s="3718"/>
      <c r="C64" s="3718"/>
      <c r="D64" s="3718"/>
      <c r="E64" s="3718"/>
      <c r="F64" s="3718"/>
      <c r="G64" s="3718"/>
      <c r="H64" s="3718"/>
      <c r="I64" s="3718"/>
      <c r="J64" s="3718"/>
      <c r="K64" s="3718"/>
      <c r="L64" s="3718"/>
      <c r="M64" s="655"/>
      <c r="N64" s="346"/>
      <c r="O64" s="1987"/>
      <c r="P64" s="2054"/>
      <c r="Q64" s="346"/>
      <c r="R64" s="501">
        <f>+R62+T63</f>
        <v>5714182</v>
      </c>
      <c r="S64" s="346"/>
      <c r="T64" s="346"/>
      <c r="U64" s="346"/>
      <c r="V64" s="346"/>
      <c r="W64" s="501"/>
      <c r="X64" s="354">
        <f>SUM(X61:X63)</f>
        <v>32774781</v>
      </c>
      <c r="Y64" s="354">
        <f>SUM(Y61:Y63)</f>
        <v>0</v>
      </c>
      <c r="Z64" s="356"/>
      <c r="AA64" s="354">
        <f>SUM(AA61:AA63)</f>
        <v>103766400</v>
      </c>
      <c r="AB64" s="354">
        <f>+X64+Y64+AA64</f>
        <v>136541181</v>
      </c>
      <c r="AC64" s="578">
        <f t="shared" si="7"/>
        <v>96080000</v>
      </c>
      <c r="AD64" s="303"/>
    </row>
    <row r="65" spans="1:30" s="13" customFormat="1">
      <c r="A65" s="326">
        <v>1</v>
      </c>
      <c r="B65" s="295"/>
      <c r="C65" s="1992">
        <v>106071146420</v>
      </c>
      <c r="D65" s="46">
        <v>45327</v>
      </c>
      <c r="E65" s="47" t="s">
        <v>2171</v>
      </c>
      <c r="F65" s="126" t="s">
        <v>206</v>
      </c>
      <c r="G65" s="167" t="s">
        <v>102</v>
      </c>
      <c r="H65" s="167"/>
      <c r="I65" s="151"/>
      <c r="J65" s="834"/>
      <c r="K65" s="374" t="s">
        <v>123</v>
      </c>
      <c r="L65" s="154" t="s">
        <v>2188</v>
      </c>
      <c r="M65" s="577"/>
      <c r="N65" s="158"/>
      <c r="O65" s="2091" t="s">
        <v>2169</v>
      </c>
      <c r="P65" s="1613"/>
      <c r="Q65" s="2107">
        <v>23564</v>
      </c>
      <c r="R65" s="248"/>
      <c r="S65" s="248"/>
      <c r="T65" s="324">
        <v>3432618</v>
      </c>
      <c r="U65" s="247"/>
      <c r="V65" s="816"/>
      <c r="W65" s="248"/>
      <c r="X65" s="340">
        <f t="shared" ref="X65:X70" si="8">R65+S65+T65+Q65+W65</f>
        <v>3456182</v>
      </c>
      <c r="Y65" s="344">
        <f t="shared" si="5"/>
        <v>0</v>
      </c>
      <c r="Z65" s="249"/>
      <c r="AA65" s="341">
        <f>2090000*1.08</f>
        <v>2257200</v>
      </c>
      <c r="AB65" s="342">
        <f t="shared" si="6"/>
        <v>5713382</v>
      </c>
      <c r="AC65" s="546">
        <f t="shared" si="7"/>
        <v>2089999.9999999998</v>
      </c>
      <c r="AD65" s="3746"/>
    </row>
    <row r="66" spans="1:30" s="13" customFormat="1">
      <c r="A66" s="326">
        <f t="shared" si="3"/>
        <v>2</v>
      </c>
      <c r="B66" s="295"/>
      <c r="C66" s="1992">
        <v>106071142550</v>
      </c>
      <c r="D66" s="46">
        <v>45327</v>
      </c>
      <c r="E66" s="47" t="s">
        <v>2172</v>
      </c>
      <c r="F66" s="126" t="s">
        <v>206</v>
      </c>
      <c r="G66" s="167" t="s">
        <v>102</v>
      </c>
      <c r="H66" s="167"/>
      <c r="I66" s="151"/>
      <c r="J66" s="834"/>
      <c r="K66" s="374" t="s">
        <v>123</v>
      </c>
      <c r="L66" s="154" t="s">
        <v>2187</v>
      </c>
      <c r="M66" s="577"/>
      <c r="N66" s="158"/>
      <c r="O66" s="2091" t="s">
        <v>2170</v>
      </c>
      <c r="P66" s="1613"/>
      <c r="Q66" s="2104"/>
      <c r="R66" s="248"/>
      <c r="S66" s="248"/>
      <c r="T66" s="324">
        <v>3874941</v>
      </c>
      <c r="U66" s="247"/>
      <c r="V66" s="816"/>
      <c r="W66" s="248"/>
      <c r="X66" s="340">
        <f t="shared" si="8"/>
        <v>3874941</v>
      </c>
      <c r="Y66" s="344">
        <f t="shared" si="5"/>
        <v>0</v>
      </c>
      <c r="Z66" s="249"/>
      <c r="AA66" s="341">
        <f>3090000*1.08</f>
        <v>3337200</v>
      </c>
      <c r="AB66" s="342">
        <f t="shared" si="6"/>
        <v>7212141</v>
      </c>
      <c r="AC66" s="546">
        <f t="shared" si="7"/>
        <v>3090000</v>
      </c>
      <c r="AD66" s="3747"/>
    </row>
    <row r="67" spans="1:30" s="13" customFormat="1">
      <c r="A67" s="326">
        <f t="shared" si="3"/>
        <v>3</v>
      </c>
      <c r="B67" s="295"/>
      <c r="C67" s="1992">
        <v>106087529550</v>
      </c>
      <c r="D67" s="46" t="s">
        <v>2184</v>
      </c>
      <c r="E67" s="47" t="s">
        <v>2179</v>
      </c>
      <c r="F67" s="126" t="s">
        <v>206</v>
      </c>
      <c r="G67" s="167" t="s">
        <v>102</v>
      </c>
      <c r="H67" s="167"/>
      <c r="I67" s="151"/>
      <c r="J67" s="834"/>
      <c r="K67" s="374" t="s">
        <v>123</v>
      </c>
      <c r="L67" s="154" t="s">
        <v>2189</v>
      </c>
      <c r="M67" s="577"/>
      <c r="N67" s="158"/>
      <c r="O67" s="2091" t="s">
        <v>2178</v>
      </c>
      <c r="P67" s="1613"/>
      <c r="Q67" s="2107">
        <v>58909</v>
      </c>
      <c r="R67" s="248"/>
      <c r="S67" s="248"/>
      <c r="T67" s="248"/>
      <c r="U67" s="325">
        <v>3494556</v>
      </c>
      <c r="V67" s="815"/>
      <c r="W67" s="248"/>
      <c r="X67" s="340">
        <f t="shared" si="8"/>
        <v>58909</v>
      </c>
      <c r="Y67" s="344">
        <f t="shared" si="5"/>
        <v>3494556</v>
      </c>
      <c r="Z67" s="249"/>
      <c r="AA67" s="341">
        <f>2090000*1.08</f>
        <v>2257200</v>
      </c>
      <c r="AB67" s="342">
        <f t="shared" si="6"/>
        <v>5810665</v>
      </c>
      <c r="AC67" s="546">
        <f t="shared" si="7"/>
        <v>2089999.9999999998</v>
      </c>
      <c r="AD67" s="3747"/>
    </row>
    <row r="68" spans="1:30" s="13" customFormat="1">
      <c r="A68" s="326">
        <f t="shared" si="3"/>
        <v>4</v>
      </c>
      <c r="B68" s="295"/>
      <c r="C68" s="1992">
        <v>106087491420</v>
      </c>
      <c r="D68" s="46" t="s">
        <v>2184</v>
      </c>
      <c r="E68" s="47" t="s">
        <v>2180</v>
      </c>
      <c r="F68" s="126" t="s">
        <v>206</v>
      </c>
      <c r="G68" s="167" t="s">
        <v>102</v>
      </c>
      <c r="H68" s="167"/>
      <c r="I68" s="151"/>
      <c r="J68" s="834"/>
      <c r="K68" s="374" t="s">
        <v>123</v>
      </c>
      <c r="L68" s="154" t="s">
        <v>2190</v>
      </c>
      <c r="M68" s="577"/>
      <c r="N68" s="158"/>
      <c r="O68" s="2091" t="s">
        <v>2181</v>
      </c>
      <c r="P68" s="1613"/>
      <c r="Q68" s="2107">
        <v>119467</v>
      </c>
      <c r="R68" s="248"/>
      <c r="S68" s="248"/>
      <c r="T68" s="248"/>
      <c r="U68" s="325">
        <v>7367377</v>
      </c>
      <c r="V68" s="815"/>
      <c r="W68" s="248"/>
      <c r="X68" s="340">
        <f t="shared" si="8"/>
        <v>119467</v>
      </c>
      <c r="Y68" s="344">
        <f t="shared" si="5"/>
        <v>7367377</v>
      </c>
      <c r="Z68" s="249"/>
      <c r="AA68" s="341">
        <f>3090000*1.08</f>
        <v>3337200</v>
      </c>
      <c r="AB68" s="342">
        <f t="shared" si="6"/>
        <v>10824044</v>
      </c>
      <c r="AC68" s="546">
        <f t="shared" si="7"/>
        <v>3090000</v>
      </c>
      <c r="AD68" s="3747"/>
    </row>
    <row r="69" spans="1:30" s="13" customFormat="1">
      <c r="A69" s="326">
        <f t="shared" si="3"/>
        <v>5</v>
      </c>
      <c r="B69" s="295"/>
      <c r="C69" s="45">
        <v>106087514850</v>
      </c>
      <c r="D69" s="46" t="s">
        <v>2184</v>
      </c>
      <c r="E69" s="47" t="s">
        <v>2183</v>
      </c>
      <c r="F69" s="126" t="s">
        <v>206</v>
      </c>
      <c r="G69" s="167" t="s">
        <v>102</v>
      </c>
      <c r="H69" s="167"/>
      <c r="I69" s="151"/>
      <c r="J69" s="834"/>
      <c r="K69" s="374" t="s">
        <v>123</v>
      </c>
      <c r="L69" s="154" t="s">
        <v>2191</v>
      </c>
      <c r="M69" s="577"/>
      <c r="N69" s="158"/>
      <c r="O69" s="2091" t="s">
        <v>2182</v>
      </c>
      <c r="P69" s="1613"/>
      <c r="Q69" s="2104"/>
      <c r="R69" s="248"/>
      <c r="S69" s="248"/>
      <c r="T69" s="248"/>
      <c r="U69" s="325">
        <v>3414528</v>
      </c>
      <c r="V69" s="815"/>
      <c r="W69" s="248"/>
      <c r="X69" s="340">
        <f t="shared" si="8"/>
        <v>0</v>
      </c>
      <c r="Y69" s="344">
        <f t="shared" si="5"/>
        <v>3414528</v>
      </c>
      <c r="Z69" s="249"/>
      <c r="AA69" s="341">
        <f>2090000*1.08</f>
        <v>2257200</v>
      </c>
      <c r="AB69" s="342">
        <f t="shared" si="6"/>
        <v>5671728</v>
      </c>
      <c r="AC69" s="546">
        <f t="shared" si="7"/>
        <v>2089999.9999999998</v>
      </c>
      <c r="AD69" s="3747"/>
    </row>
    <row r="70" spans="1:30" s="13" customFormat="1" ht="26.4">
      <c r="A70" s="326">
        <f t="shared" si="3"/>
        <v>6</v>
      </c>
      <c r="B70" s="295"/>
      <c r="C70" s="531" t="s">
        <v>2186</v>
      </c>
      <c r="D70" s="46"/>
      <c r="E70" s="47" t="s">
        <v>2193</v>
      </c>
      <c r="F70" s="126"/>
      <c r="G70" s="167"/>
      <c r="H70" s="167"/>
      <c r="I70" s="151"/>
      <c r="J70" s="836"/>
      <c r="K70" s="79"/>
      <c r="L70" s="154"/>
      <c r="M70" s="577"/>
      <c r="N70" s="158"/>
      <c r="O70" s="2091"/>
      <c r="P70" s="1613"/>
      <c r="Q70" s="2104"/>
      <c r="R70" s="248"/>
      <c r="S70" s="248"/>
      <c r="T70" s="324">
        <v>98182</v>
      </c>
      <c r="U70" s="247"/>
      <c r="V70" s="816"/>
      <c r="W70" s="248"/>
      <c r="X70" s="340">
        <f t="shared" si="8"/>
        <v>98182</v>
      </c>
      <c r="Y70" s="344">
        <f t="shared" si="5"/>
        <v>0</v>
      </c>
      <c r="Z70" s="249"/>
      <c r="AA70" s="341">
        <f>800000*1*1.08</f>
        <v>864000</v>
      </c>
      <c r="AB70" s="342">
        <f t="shared" si="6"/>
        <v>962182</v>
      </c>
      <c r="AC70" s="546">
        <f t="shared" si="7"/>
        <v>800000</v>
      </c>
      <c r="AD70" s="3748"/>
    </row>
    <row r="71" spans="1:30" s="13" customFormat="1">
      <c r="A71" s="3701" t="s">
        <v>2192</v>
      </c>
      <c r="B71" s="3718"/>
      <c r="C71" s="3718"/>
      <c r="D71" s="3718"/>
      <c r="E71" s="3718"/>
      <c r="F71" s="3718"/>
      <c r="G71" s="3718"/>
      <c r="H71" s="3718"/>
      <c r="I71" s="3718"/>
      <c r="J71" s="3718"/>
      <c r="K71" s="3718"/>
      <c r="L71" s="3718"/>
      <c r="M71" s="655"/>
      <c r="N71" s="346"/>
      <c r="O71" s="1987"/>
      <c r="P71" s="2054"/>
      <c r="Q71" s="346"/>
      <c r="R71" s="501">
        <f>+Q65+T65+T66+Q67+Q68+T70</f>
        <v>7607681</v>
      </c>
      <c r="S71" s="346"/>
      <c r="T71" s="346"/>
      <c r="U71" s="346"/>
      <c r="V71" s="346"/>
      <c r="W71" s="501"/>
      <c r="X71" s="354">
        <f>SUM(X68:X70)</f>
        <v>217649</v>
      </c>
      <c r="Y71" s="354">
        <f>SUM(Y68:Y70)</f>
        <v>10781905</v>
      </c>
      <c r="Z71" s="356"/>
      <c r="AA71" s="354">
        <f>SUM(AA65:AA70)</f>
        <v>14310000</v>
      </c>
      <c r="AB71" s="354">
        <f>+X71+Y71+AA71</f>
        <v>25309554</v>
      </c>
      <c r="AC71" s="578">
        <f>+AA71/1.08</f>
        <v>13250000</v>
      </c>
      <c r="AD71" s="303"/>
    </row>
    <row r="72" spans="1:30" s="13" customFormat="1" ht="105.6">
      <c r="A72" s="326">
        <v>1</v>
      </c>
      <c r="B72" s="295"/>
      <c r="C72" s="45">
        <v>106114704400</v>
      </c>
      <c r="D72" s="386" t="s">
        <v>2239</v>
      </c>
      <c r="E72" s="47" t="s">
        <v>2242</v>
      </c>
      <c r="F72" s="126" t="s">
        <v>206</v>
      </c>
      <c r="G72" s="167">
        <v>8</v>
      </c>
      <c r="H72" s="167"/>
      <c r="I72" s="151"/>
      <c r="J72" s="836" t="s">
        <v>2241</v>
      </c>
      <c r="K72" s="79"/>
      <c r="L72" s="154"/>
      <c r="M72" s="577"/>
      <c r="N72" s="158"/>
      <c r="O72" s="2091" t="s">
        <v>2240</v>
      </c>
      <c r="P72" s="1613"/>
      <c r="Q72" s="2107">
        <v>842400</v>
      </c>
      <c r="R72" s="324">
        <v>7076160</v>
      </c>
      <c r="S72" s="373">
        <f>750000*8</f>
        <v>6000000</v>
      </c>
      <c r="T72" s="248"/>
      <c r="U72" s="247"/>
      <c r="V72" s="816"/>
      <c r="W72" s="248"/>
      <c r="X72" s="340">
        <f>R72+S72+T72+Q72+W72</f>
        <v>13918560</v>
      </c>
      <c r="Y72" s="344">
        <f t="shared" si="5"/>
        <v>0</v>
      </c>
      <c r="Z72" s="249"/>
      <c r="AA72" s="341">
        <f>((G72*5160000)+(H72*5560000))*1.08</f>
        <v>44582400</v>
      </c>
      <c r="AB72" s="342">
        <f t="shared" si="6"/>
        <v>58500960</v>
      </c>
      <c r="AC72" s="546">
        <f>(AA72/1.08)+(S72/1.08)</f>
        <v>46835555.555555552</v>
      </c>
      <c r="AD72" s="5"/>
    </row>
    <row r="73" spans="1:30" s="13" customFormat="1">
      <c r="A73" s="326">
        <f t="shared" si="3"/>
        <v>2</v>
      </c>
      <c r="B73" s="295"/>
      <c r="C73" s="45">
        <v>106150687160</v>
      </c>
      <c r="D73" s="46" t="s">
        <v>2275</v>
      </c>
      <c r="E73" s="47" t="s">
        <v>2279</v>
      </c>
      <c r="F73" s="126" t="s">
        <v>206</v>
      </c>
      <c r="G73" s="167"/>
      <c r="H73" s="167"/>
      <c r="I73" s="170" t="s">
        <v>102</v>
      </c>
      <c r="J73" s="837"/>
      <c r="K73" s="79"/>
      <c r="L73" s="154" t="s">
        <v>2292</v>
      </c>
      <c r="M73" s="577"/>
      <c r="N73" s="158"/>
      <c r="O73" s="2091" t="s">
        <v>2280</v>
      </c>
      <c r="P73" s="1613"/>
      <c r="Q73" s="2104"/>
      <c r="R73" s="248"/>
      <c r="S73" s="248"/>
      <c r="T73" s="324">
        <v>3746120</v>
      </c>
      <c r="U73" s="247"/>
      <c r="V73" s="816"/>
      <c r="W73" s="248"/>
      <c r="X73" s="340">
        <f>R73+S73+T73+Q73+W73</f>
        <v>3746120</v>
      </c>
      <c r="Y73" s="344">
        <f>+U73</f>
        <v>0</v>
      </c>
      <c r="Z73" s="249"/>
      <c r="AA73" s="341">
        <f>2290000*1.08</f>
        <v>2473200</v>
      </c>
      <c r="AB73" s="342">
        <f>+AA73+Y73+X73</f>
        <v>6219320</v>
      </c>
      <c r="AC73" s="546">
        <f>+AA73/1.08</f>
        <v>2290000</v>
      </c>
      <c r="AD73" s="5"/>
    </row>
    <row r="74" spans="1:30" s="13" customFormat="1" ht="26.4">
      <c r="A74" s="326">
        <f t="shared" si="3"/>
        <v>3</v>
      </c>
      <c r="B74" s="295"/>
      <c r="C74" s="531" t="s">
        <v>2290</v>
      </c>
      <c r="D74" s="46"/>
      <c r="E74" s="47" t="s">
        <v>2291</v>
      </c>
      <c r="F74" s="126"/>
      <c r="G74" s="167"/>
      <c r="H74" s="167"/>
      <c r="I74" s="151"/>
      <c r="J74" s="836"/>
      <c r="K74" s="79"/>
      <c r="L74" s="154"/>
      <c r="M74" s="577"/>
      <c r="N74" s="158"/>
      <c r="O74" s="2091"/>
      <c r="P74" s="1613"/>
      <c r="Q74" s="2104"/>
      <c r="R74" s="248"/>
      <c r="S74" s="248"/>
      <c r="T74" s="324">
        <f>98182*2</f>
        <v>196364</v>
      </c>
      <c r="U74" s="247"/>
      <c r="V74" s="816"/>
      <c r="W74" s="248"/>
      <c r="X74" s="340">
        <f>R74+S74+T74+Q74+W74</f>
        <v>196364</v>
      </c>
      <c r="Y74" s="344">
        <f>+U74</f>
        <v>0</v>
      </c>
      <c r="Z74" s="249"/>
      <c r="AA74" s="341">
        <f>800000*2*1.08</f>
        <v>1728000</v>
      </c>
      <c r="AB74" s="342">
        <f>+AA74+Y74+X74</f>
        <v>1924364</v>
      </c>
      <c r="AC74" s="546">
        <f>+AA74/1.08</f>
        <v>1600000</v>
      </c>
      <c r="AD74" s="5"/>
    </row>
    <row r="75" spans="1:30" s="13" customFormat="1">
      <c r="A75" s="3701" t="s">
        <v>2293</v>
      </c>
      <c r="B75" s="3718"/>
      <c r="C75" s="3718"/>
      <c r="D75" s="3718"/>
      <c r="E75" s="3718"/>
      <c r="F75" s="3718"/>
      <c r="G75" s="3718"/>
      <c r="H75" s="3718"/>
      <c r="I75" s="3718"/>
      <c r="J75" s="3718"/>
      <c r="K75" s="3718"/>
      <c r="L75" s="3718"/>
      <c r="M75" s="655"/>
      <c r="N75" s="346"/>
      <c r="O75" s="1987"/>
      <c r="P75" s="2054"/>
      <c r="Q75" s="346"/>
      <c r="R75" s="501">
        <f>+Q72+R72+T73+T74</f>
        <v>11861044</v>
      </c>
      <c r="S75" s="346"/>
      <c r="T75" s="346"/>
      <c r="U75" s="346"/>
      <c r="V75" s="346"/>
      <c r="W75" s="501"/>
      <c r="X75" s="354">
        <f>SUM(X72:X74)</f>
        <v>17861044</v>
      </c>
      <c r="Y75" s="354">
        <f>SUM(Y72:Y74)</f>
        <v>0</v>
      </c>
      <c r="Z75" s="356"/>
      <c r="AA75" s="354">
        <f>SUM(AA72:AA74)</f>
        <v>48783600</v>
      </c>
      <c r="AB75" s="354">
        <f>+X75+Y75+AA75</f>
        <v>66644644</v>
      </c>
      <c r="AC75" s="578">
        <f>SUM(AC72:AC74)</f>
        <v>50725555.555555552</v>
      </c>
      <c r="AD75" s="303"/>
    </row>
    <row r="76" spans="1:30" s="13" customFormat="1" ht="179.25" customHeight="1">
      <c r="A76" s="326">
        <v>1</v>
      </c>
      <c r="B76" s="295"/>
      <c r="C76" s="1992">
        <v>106188833000</v>
      </c>
      <c r="D76" s="46">
        <v>45386</v>
      </c>
      <c r="E76" s="47" t="s">
        <v>2357</v>
      </c>
      <c r="F76" s="126" t="s">
        <v>206</v>
      </c>
      <c r="G76" s="167">
        <v>13</v>
      </c>
      <c r="H76" s="167"/>
      <c r="I76" s="151"/>
      <c r="J76" s="836" t="s">
        <v>3268</v>
      </c>
      <c r="K76" s="841" t="s">
        <v>123</v>
      </c>
      <c r="L76" s="154"/>
      <c r="M76" s="577"/>
      <c r="N76" s="158"/>
      <c r="O76" s="2091">
        <v>237407817</v>
      </c>
      <c r="P76" s="1613"/>
      <c r="Q76" s="2104"/>
      <c r="R76" s="324">
        <v>5616000</v>
      </c>
      <c r="S76" s="373">
        <f>415800+415800+415800+415800+415800+415800+415800+415800+415800+415800+415800+415800+415800</f>
        <v>5405400</v>
      </c>
      <c r="T76" s="248"/>
      <c r="U76" s="247"/>
      <c r="V76" s="816"/>
      <c r="W76" s="248"/>
      <c r="X76" s="340">
        <f t="shared" ref="X76:X81" si="9">R76+S76+T76+Q76+W76</f>
        <v>11021400</v>
      </c>
      <c r="Y76" s="344">
        <f t="shared" ref="Y76:Y81" si="10">+U76</f>
        <v>0</v>
      </c>
      <c r="Z76" s="249"/>
      <c r="AA76" s="341">
        <f>((G76*5160000)+(H76*5560000))*1.08</f>
        <v>72446400</v>
      </c>
      <c r="AB76" s="342">
        <f t="shared" ref="AB76:AB81" si="11">+AA76+Y76+X76</f>
        <v>83467800</v>
      </c>
      <c r="AC76" s="252"/>
      <c r="AD76" s="5"/>
    </row>
    <row r="77" spans="1:30" s="13" customFormat="1">
      <c r="A77" s="326">
        <f t="shared" si="3"/>
        <v>2</v>
      </c>
      <c r="B77" s="295"/>
      <c r="C77" s="1992">
        <v>106192562930</v>
      </c>
      <c r="D77" s="46">
        <v>45387</v>
      </c>
      <c r="E77" s="47" t="s">
        <v>2383</v>
      </c>
      <c r="F77" s="126" t="s">
        <v>206</v>
      </c>
      <c r="G77" s="167"/>
      <c r="H77" s="167"/>
      <c r="I77" s="170" t="s">
        <v>102</v>
      </c>
      <c r="J77" s="837"/>
      <c r="K77" s="841" t="s">
        <v>123</v>
      </c>
      <c r="L77" s="154" t="s">
        <v>2382</v>
      </c>
      <c r="M77" s="577"/>
      <c r="N77" s="158"/>
      <c r="O77" s="2091" t="s">
        <v>2381</v>
      </c>
      <c r="P77" s="1613"/>
      <c r="Q77" s="2104"/>
      <c r="R77" s="248"/>
      <c r="S77" s="248"/>
      <c r="T77" s="248"/>
      <c r="U77" s="325">
        <v>3505810</v>
      </c>
      <c r="V77" s="815"/>
      <c r="W77" s="248"/>
      <c r="X77" s="340">
        <f t="shared" si="9"/>
        <v>0</v>
      </c>
      <c r="Y77" s="344">
        <f t="shared" si="10"/>
        <v>3505810</v>
      </c>
      <c r="Z77" s="249"/>
      <c r="AA77" s="341">
        <f>2090000*1.08</f>
        <v>2257200</v>
      </c>
      <c r="AB77" s="342">
        <f t="shared" si="11"/>
        <v>5763010</v>
      </c>
      <c r="AC77" s="252"/>
      <c r="AD77" s="5"/>
    </row>
    <row r="78" spans="1:30" s="13" customFormat="1">
      <c r="A78" s="326">
        <f t="shared" si="3"/>
        <v>3</v>
      </c>
      <c r="B78" s="295"/>
      <c r="C78" s="1992">
        <v>106192299620</v>
      </c>
      <c r="D78" s="46">
        <v>45387</v>
      </c>
      <c r="E78" s="47" t="s">
        <v>2386</v>
      </c>
      <c r="F78" s="126" t="s">
        <v>206</v>
      </c>
      <c r="G78" s="167"/>
      <c r="H78" s="167"/>
      <c r="I78" s="170" t="s">
        <v>102</v>
      </c>
      <c r="J78" s="837"/>
      <c r="K78" s="841" t="s">
        <v>123</v>
      </c>
      <c r="L78" s="154" t="s">
        <v>2385</v>
      </c>
      <c r="M78" s="577"/>
      <c r="N78" s="158"/>
      <c r="O78" s="2091" t="s">
        <v>2384</v>
      </c>
      <c r="P78" s="1613"/>
      <c r="Q78" s="2104"/>
      <c r="R78" s="248"/>
      <c r="S78" s="248"/>
      <c r="T78" s="248"/>
      <c r="U78" s="325">
        <v>7186081</v>
      </c>
      <c r="V78" s="815"/>
      <c r="W78" s="248"/>
      <c r="X78" s="340">
        <f t="shared" si="9"/>
        <v>0</v>
      </c>
      <c r="Y78" s="344">
        <f t="shared" si="10"/>
        <v>7186081</v>
      </c>
      <c r="Z78" s="249"/>
      <c r="AA78" s="341">
        <f>3090000*1.08</f>
        <v>3337200</v>
      </c>
      <c r="AB78" s="342">
        <f t="shared" si="11"/>
        <v>10523281</v>
      </c>
      <c r="AC78" s="252"/>
      <c r="AD78" s="5"/>
    </row>
    <row r="79" spans="1:30" s="13" customFormat="1">
      <c r="A79" s="326">
        <f t="shared" si="3"/>
        <v>4</v>
      </c>
      <c r="B79" s="295"/>
      <c r="C79" s="1992">
        <v>106212243910</v>
      </c>
      <c r="D79" s="46" t="s">
        <v>2438</v>
      </c>
      <c r="E79" s="47" t="s">
        <v>2437</v>
      </c>
      <c r="F79" s="126" t="s">
        <v>206</v>
      </c>
      <c r="G79" s="167"/>
      <c r="H79" s="167"/>
      <c r="I79" s="170" t="s">
        <v>102</v>
      </c>
      <c r="J79" s="837"/>
      <c r="K79" s="841" t="s">
        <v>123</v>
      </c>
      <c r="L79" s="154" t="s">
        <v>2439</v>
      </c>
      <c r="M79" s="577"/>
      <c r="N79" s="158"/>
      <c r="O79" s="2091" t="s">
        <v>2440</v>
      </c>
      <c r="P79" s="1613"/>
      <c r="Q79" s="2104"/>
      <c r="R79" s="248"/>
      <c r="S79" s="248"/>
      <c r="T79" s="324">
        <v>3623303</v>
      </c>
      <c r="U79" s="247"/>
      <c r="V79" s="816"/>
      <c r="W79" s="248"/>
      <c r="X79" s="340">
        <f t="shared" si="9"/>
        <v>3623303</v>
      </c>
      <c r="Y79" s="344">
        <f t="shared" si="10"/>
        <v>0</v>
      </c>
      <c r="Z79" s="249"/>
      <c r="AA79" s="341">
        <f>2090000*1.08</f>
        <v>2257200</v>
      </c>
      <c r="AB79" s="342">
        <f t="shared" si="11"/>
        <v>5880503</v>
      </c>
      <c r="AC79" s="252"/>
      <c r="AD79" s="5"/>
    </row>
    <row r="80" spans="1:30" s="13" customFormat="1">
      <c r="A80" s="326">
        <f t="shared" si="3"/>
        <v>5</v>
      </c>
      <c r="B80" s="295"/>
      <c r="C80" s="1992">
        <v>106213254120</v>
      </c>
      <c r="D80" s="46" t="s">
        <v>2441</v>
      </c>
      <c r="E80" s="47" t="s">
        <v>2436</v>
      </c>
      <c r="F80" s="126" t="s">
        <v>206</v>
      </c>
      <c r="G80" s="167"/>
      <c r="H80" s="167"/>
      <c r="I80" s="170" t="s">
        <v>102</v>
      </c>
      <c r="J80" s="837"/>
      <c r="K80" s="841" t="s">
        <v>123</v>
      </c>
      <c r="L80" s="154" t="s">
        <v>2435</v>
      </c>
      <c r="M80" s="577"/>
      <c r="N80" s="158"/>
      <c r="O80" s="2091" t="s">
        <v>2434</v>
      </c>
      <c r="P80" s="1613"/>
      <c r="Q80" s="2107">
        <v>194635</v>
      </c>
      <c r="R80" s="248"/>
      <c r="S80" s="248"/>
      <c r="T80" s="248"/>
      <c r="U80" s="325">
        <v>7402056</v>
      </c>
      <c r="V80" s="815"/>
      <c r="W80" s="248"/>
      <c r="X80" s="340">
        <f t="shared" si="9"/>
        <v>194635</v>
      </c>
      <c r="Y80" s="344">
        <f t="shared" si="10"/>
        <v>7402056</v>
      </c>
      <c r="Z80" s="249"/>
      <c r="AA80" s="341">
        <f>3090000*1.08</f>
        <v>3337200</v>
      </c>
      <c r="AB80" s="342">
        <f t="shared" si="11"/>
        <v>10933891</v>
      </c>
      <c r="AC80" s="252"/>
      <c r="AD80" s="5"/>
    </row>
    <row r="81" spans="1:30" s="13" customFormat="1" ht="26.4">
      <c r="A81" s="326">
        <f t="shared" si="3"/>
        <v>6</v>
      </c>
      <c r="B81" s="295"/>
      <c r="C81" s="531" t="s">
        <v>2468</v>
      </c>
      <c r="D81" s="46"/>
      <c r="E81" s="47" t="s">
        <v>2470</v>
      </c>
      <c r="F81" s="126"/>
      <c r="G81" s="167"/>
      <c r="H81" s="167"/>
      <c r="I81" s="151"/>
      <c r="J81" s="836"/>
      <c r="K81" s="79"/>
      <c r="L81" s="154"/>
      <c r="M81" s="577"/>
      <c r="N81" s="158"/>
      <c r="O81" s="2091"/>
      <c r="P81" s="1613"/>
      <c r="Q81" s="2104"/>
      <c r="R81" s="248"/>
      <c r="S81" s="248"/>
      <c r="T81" s="324">
        <v>98182</v>
      </c>
      <c r="U81" s="247"/>
      <c r="V81" s="816"/>
      <c r="W81" s="248"/>
      <c r="X81" s="340">
        <f t="shared" si="9"/>
        <v>98182</v>
      </c>
      <c r="Y81" s="344">
        <f t="shared" si="10"/>
        <v>0</v>
      </c>
      <c r="Z81" s="249"/>
      <c r="AA81" s="341">
        <f>800000*1*1.08</f>
        <v>864000</v>
      </c>
      <c r="AB81" s="342">
        <f t="shared" si="11"/>
        <v>962182</v>
      </c>
      <c r="AC81" s="252"/>
      <c r="AD81" s="5"/>
    </row>
    <row r="82" spans="1:30" s="13" customFormat="1">
      <c r="A82" s="3701" t="s">
        <v>2469</v>
      </c>
      <c r="B82" s="3718"/>
      <c r="C82" s="3718"/>
      <c r="D82" s="3718"/>
      <c r="E82" s="3718"/>
      <c r="F82" s="3718"/>
      <c r="G82" s="3718"/>
      <c r="H82" s="3718"/>
      <c r="I82" s="3718"/>
      <c r="J82" s="3718"/>
      <c r="K82" s="3718"/>
      <c r="L82" s="3718"/>
      <c r="M82" s="655"/>
      <c r="N82" s="346"/>
      <c r="O82" s="1987"/>
      <c r="P82" s="2054"/>
      <c r="Q82" s="501">
        <v>19337950</v>
      </c>
      <c r="R82" s="501">
        <f>+R76+Q80+T79+T81</f>
        <v>9532120</v>
      </c>
      <c r="S82" s="346"/>
      <c r="T82" s="346"/>
      <c r="U82" s="346"/>
      <c r="V82" s="346"/>
      <c r="W82" s="501"/>
      <c r="X82" s="354">
        <f>SUM(X76:X81)</f>
        <v>14937520</v>
      </c>
      <c r="Y82" s="354">
        <f>SUM(Y76:Y81)</f>
        <v>18093947</v>
      </c>
      <c r="Z82" s="356"/>
      <c r="AA82" s="354">
        <f>SUM(AA76:AA81)</f>
        <v>84499200</v>
      </c>
      <c r="AB82" s="354">
        <f>+X82+Y82+AA82</f>
        <v>117530667</v>
      </c>
      <c r="AC82" s="578">
        <f>SUM(AC79:AC81)</f>
        <v>0</v>
      </c>
      <c r="AD82" s="5"/>
    </row>
    <row r="83" spans="1:30" s="13" customFormat="1">
      <c r="A83" s="326">
        <v>1</v>
      </c>
      <c r="B83" s="295"/>
      <c r="C83" s="45">
        <v>106251068120</v>
      </c>
      <c r="D83" s="46">
        <v>45415</v>
      </c>
      <c r="E83" s="47" t="s">
        <v>2479</v>
      </c>
      <c r="F83" s="126" t="s">
        <v>206</v>
      </c>
      <c r="G83" s="167"/>
      <c r="H83" s="167"/>
      <c r="I83" s="170" t="s">
        <v>102</v>
      </c>
      <c r="J83" s="837"/>
      <c r="K83" s="841" t="s">
        <v>123</v>
      </c>
      <c r="L83" s="154" t="s">
        <v>2480</v>
      </c>
      <c r="M83" s="577"/>
      <c r="N83" s="158"/>
      <c r="O83" s="2091" t="s">
        <v>2478</v>
      </c>
      <c r="P83" s="1613"/>
      <c r="Q83" s="2107">
        <v>122531</v>
      </c>
      <c r="R83" s="248"/>
      <c r="S83" s="248"/>
      <c r="T83" s="248"/>
      <c r="U83" s="325">
        <v>7614677</v>
      </c>
      <c r="V83" s="815"/>
      <c r="W83" s="248"/>
      <c r="X83" s="340">
        <f t="shared" ref="X83:X88" si="12">R83+S83+T83+Q83+W83</f>
        <v>122531</v>
      </c>
      <c r="Y83" s="344">
        <f t="shared" ref="Y83:Y88" si="13">+U83</f>
        <v>7614677</v>
      </c>
      <c r="Z83" s="249"/>
      <c r="AA83" s="341">
        <f>3090000*1.08</f>
        <v>3337200</v>
      </c>
      <c r="AB83" s="342">
        <f t="shared" ref="AB83:AB88" si="14">+AA83+Y83+X83</f>
        <v>11074408</v>
      </c>
      <c r="AC83" s="252"/>
      <c r="AD83" s="5"/>
    </row>
    <row r="84" spans="1:30" s="13" customFormat="1">
      <c r="A84" s="326">
        <f t="shared" si="3"/>
        <v>2</v>
      </c>
      <c r="B84" s="295"/>
      <c r="C84" s="1992">
        <v>106246790420</v>
      </c>
      <c r="D84" s="46">
        <v>45414</v>
      </c>
      <c r="E84" s="47" t="s">
        <v>2523</v>
      </c>
      <c r="F84" s="126" t="s">
        <v>206</v>
      </c>
      <c r="G84" s="167"/>
      <c r="H84" s="167"/>
      <c r="I84" s="170" t="s">
        <v>102</v>
      </c>
      <c r="J84" s="837"/>
      <c r="K84" s="841" t="s">
        <v>123</v>
      </c>
      <c r="L84" s="154" t="s">
        <v>2515</v>
      </c>
      <c r="M84" s="577"/>
      <c r="N84" s="158"/>
      <c r="O84" s="2091" t="s">
        <v>2514</v>
      </c>
      <c r="P84" s="1613"/>
      <c r="Q84" s="2104"/>
      <c r="R84" s="248"/>
      <c r="S84" s="248"/>
      <c r="T84" s="248"/>
      <c r="U84" s="325">
        <v>10827898</v>
      </c>
      <c r="V84" s="815"/>
      <c r="W84" s="248"/>
      <c r="X84" s="340">
        <f t="shared" si="12"/>
        <v>0</v>
      </c>
      <c r="Y84" s="344">
        <f t="shared" si="13"/>
        <v>10827898</v>
      </c>
      <c r="Z84" s="249"/>
      <c r="AA84" s="341">
        <f>3240000*1.08</f>
        <v>3499200</v>
      </c>
      <c r="AB84" s="342">
        <f t="shared" si="14"/>
        <v>14327098</v>
      </c>
      <c r="AC84" s="252"/>
      <c r="AD84" s="5"/>
    </row>
    <row r="85" spans="1:30" s="13" customFormat="1">
      <c r="A85" s="326">
        <f t="shared" si="3"/>
        <v>3</v>
      </c>
      <c r="B85" s="295"/>
      <c r="C85" s="1992">
        <v>106253134520</v>
      </c>
      <c r="D85" s="46">
        <v>45418</v>
      </c>
      <c r="E85" s="47" t="s">
        <v>2565</v>
      </c>
      <c r="F85" s="126" t="s">
        <v>206</v>
      </c>
      <c r="G85" s="167"/>
      <c r="H85" s="167"/>
      <c r="I85" s="170" t="s">
        <v>102</v>
      </c>
      <c r="J85" s="837"/>
      <c r="K85" s="841" t="s">
        <v>123</v>
      </c>
      <c r="L85" s="154" t="s">
        <v>2567</v>
      </c>
      <c r="M85" s="577"/>
      <c r="N85" s="158"/>
      <c r="O85" s="2091" t="s">
        <v>2566</v>
      </c>
      <c r="P85" s="1613"/>
      <c r="Q85" s="2107">
        <v>153163</v>
      </c>
      <c r="R85" s="248"/>
      <c r="S85" s="248"/>
      <c r="T85" s="324">
        <v>3674943</v>
      </c>
      <c r="U85" s="247"/>
      <c r="V85" s="816"/>
      <c r="W85" s="248"/>
      <c r="X85" s="340">
        <f t="shared" si="12"/>
        <v>3828106</v>
      </c>
      <c r="Y85" s="344">
        <f t="shared" si="13"/>
        <v>0</v>
      </c>
      <c r="Z85" s="249"/>
      <c r="AA85" s="341">
        <f>2090000*1.08</f>
        <v>2257200</v>
      </c>
      <c r="AB85" s="342">
        <f t="shared" si="14"/>
        <v>6085306</v>
      </c>
      <c r="AC85" s="252"/>
      <c r="AD85" s="5"/>
    </row>
    <row r="86" spans="1:30" s="13" customFormat="1">
      <c r="A86" s="326">
        <f t="shared" si="3"/>
        <v>4</v>
      </c>
      <c r="B86" s="295"/>
      <c r="C86" s="1992">
        <v>106252968510</v>
      </c>
      <c r="D86" s="46">
        <v>45419</v>
      </c>
      <c r="E86" s="47" t="s">
        <v>2525</v>
      </c>
      <c r="F86" s="126" t="s">
        <v>206</v>
      </c>
      <c r="G86" s="167"/>
      <c r="H86" s="167"/>
      <c r="I86" s="170" t="s">
        <v>102</v>
      </c>
      <c r="J86" s="837"/>
      <c r="K86" s="841" t="s">
        <v>123</v>
      </c>
      <c r="L86" s="154" t="s">
        <v>2526</v>
      </c>
      <c r="M86" s="577"/>
      <c r="N86" s="158"/>
      <c r="O86" s="2091" t="s">
        <v>2524</v>
      </c>
      <c r="P86" s="1613"/>
      <c r="Q86" s="2104"/>
      <c r="R86" s="248"/>
      <c r="S86" s="248"/>
      <c r="T86" s="248"/>
      <c r="U86" s="325">
        <v>10793672</v>
      </c>
      <c r="V86" s="815"/>
      <c r="W86" s="248"/>
      <c r="X86" s="340">
        <f t="shared" si="12"/>
        <v>0</v>
      </c>
      <c r="Y86" s="344">
        <f t="shared" si="13"/>
        <v>10793672</v>
      </c>
      <c r="Z86" s="249"/>
      <c r="AA86" s="341">
        <f>3240000*1.08</f>
        <v>3499200</v>
      </c>
      <c r="AB86" s="342">
        <f t="shared" si="14"/>
        <v>14292872</v>
      </c>
      <c r="AC86" s="252"/>
      <c r="AD86" s="5"/>
    </row>
    <row r="87" spans="1:30" s="13" customFormat="1" ht="162.75" customHeight="1">
      <c r="A87" s="326">
        <f t="shared" si="3"/>
        <v>5</v>
      </c>
      <c r="B87" s="295"/>
      <c r="C87" s="1992">
        <v>106252934100</v>
      </c>
      <c r="D87" s="46">
        <v>45421</v>
      </c>
      <c r="E87" s="47" t="s">
        <v>2530</v>
      </c>
      <c r="F87" s="126" t="s">
        <v>206</v>
      </c>
      <c r="G87" s="167">
        <v>12</v>
      </c>
      <c r="H87" s="167"/>
      <c r="I87" s="620"/>
      <c r="J87" s="844" t="s">
        <v>3267</v>
      </c>
      <c r="K87" s="841" t="s">
        <v>123</v>
      </c>
      <c r="L87" s="154"/>
      <c r="M87" s="577"/>
      <c r="N87" s="158"/>
      <c r="O87" s="2096" t="s">
        <v>2531</v>
      </c>
      <c r="P87" s="2084"/>
      <c r="Q87" s="2107">
        <v>907200</v>
      </c>
      <c r="R87" s="324">
        <v>8812800</v>
      </c>
      <c r="S87" s="373">
        <f>900000*12</f>
        <v>10800000</v>
      </c>
      <c r="T87" s="248"/>
      <c r="U87" s="247"/>
      <c r="V87" s="816"/>
      <c r="W87" s="324">
        <v>3820950</v>
      </c>
      <c r="X87" s="340">
        <f t="shared" si="12"/>
        <v>24340950</v>
      </c>
      <c r="Y87" s="344">
        <f t="shared" si="13"/>
        <v>0</v>
      </c>
      <c r="Z87" s="249"/>
      <c r="AA87" s="341">
        <f>((G87*5160000)+(H87*5560000))*1.08</f>
        <v>66873600.000000007</v>
      </c>
      <c r="AB87" s="342">
        <f t="shared" si="14"/>
        <v>91214550</v>
      </c>
      <c r="AC87" s="252"/>
      <c r="AD87" s="5"/>
    </row>
    <row r="88" spans="1:30" s="13" customFormat="1" ht="26.4">
      <c r="A88" s="326">
        <f t="shared" si="3"/>
        <v>6</v>
      </c>
      <c r="B88" s="295"/>
      <c r="C88" s="531" t="s">
        <v>2568</v>
      </c>
      <c r="D88" s="46"/>
      <c r="E88" s="47" t="s">
        <v>2585</v>
      </c>
      <c r="F88" s="126"/>
      <c r="G88" s="167"/>
      <c r="H88" s="167"/>
      <c r="I88" s="151"/>
      <c r="J88" s="836"/>
      <c r="K88" s="842"/>
      <c r="L88" s="154"/>
      <c r="M88" s="577"/>
      <c r="N88" s="158"/>
      <c r="O88" s="2091"/>
      <c r="P88" s="1613"/>
      <c r="Q88" s="2104"/>
      <c r="R88" s="248"/>
      <c r="S88" s="248"/>
      <c r="T88" s="324">
        <v>98182</v>
      </c>
      <c r="U88" s="247"/>
      <c r="V88" s="816"/>
      <c r="W88" s="248"/>
      <c r="X88" s="340">
        <f t="shared" si="12"/>
        <v>98182</v>
      </c>
      <c r="Y88" s="344">
        <f t="shared" si="13"/>
        <v>0</v>
      </c>
      <c r="Z88" s="249"/>
      <c r="AA88" s="341">
        <f>800000*1*1.08</f>
        <v>864000</v>
      </c>
      <c r="AB88" s="342">
        <f t="shared" si="14"/>
        <v>962182</v>
      </c>
      <c r="AC88" s="252"/>
      <c r="AD88" s="5"/>
    </row>
    <row r="89" spans="1:30" s="13" customFormat="1">
      <c r="A89" s="3722" t="s">
        <v>2586</v>
      </c>
      <c r="B89" s="3723"/>
      <c r="C89" s="3723"/>
      <c r="D89" s="3723"/>
      <c r="E89" s="3723"/>
      <c r="F89" s="3723"/>
      <c r="G89" s="3723"/>
      <c r="H89" s="3723"/>
      <c r="I89" s="3723"/>
      <c r="J89" s="3723"/>
      <c r="K89" s="3723"/>
      <c r="L89" s="3723"/>
      <c r="M89" s="655"/>
      <c r="N89" s="346"/>
      <c r="O89" s="1987"/>
      <c r="P89" s="2054"/>
      <c r="Q89" s="501"/>
      <c r="R89" s="501">
        <f>+Q83+Q85+T85+Q87+R87+W87+T88</f>
        <v>17589769</v>
      </c>
      <c r="S89" s="346"/>
      <c r="T89" s="346"/>
      <c r="U89" s="346"/>
      <c r="V89" s="346"/>
      <c r="W89" s="501"/>
      <c r="X89" s="354">
        <f>SUM(X83:X88)</f>
        <v>28389769</v>
      </c>
      <c r="Y89" s="354">
        <f>SUM(Y83:Y88)</f>
        <v>29236247</v>
      </c>
      <c r="Z89" s="356"/>
      <c r="AA89" s="354">
        <f>SUM(AA83:AA88)</f>
        <v>80330400</v>
      </c>
      <c r="AB89" s="354">
        <f>+X89+Y89+AA89</f>
        <v>137956416</v>
      </c>
      <c r="AC89" s="578">
        <f>SUM(AC86:AC88)</f>
        <v>0</v>
      </c>
      <c r="AD89" s="5"/>
    </row>
    <row r="90" spans="1:30" s="13" customFormat="1">
      <c r="A90" s="1363">
        <v>1</v>
      </c>
      <c r="B90" s="2191"/>
      <c r="C90" s="1992">
        <v>106294668650</v>
      </c>
      <c r="D90" s="1292" t="s">
        <v>2617</v>
      </c>
      <c r="E90" s="1748" t="s">
        <v>2587</v>
      </c>
      <c r="F90" s="2297" t="s">
        <v>206</v>
      </c>
      <c r="G90" s="2177"/>
      <c r="H90" s="2177"/>
      <c r="I90" s="2298" t="s">
        <v>102</v>
      </c>
      <c r="J90" s="2299"/>
      <c r="K90" s="2300" t="s">
        <v>123</v>
      </c>
      <c r="L90" s="2176" t="s">
        <v>2588</v>
      </c>
      <c r="M90" s="577"/>
      <c r="N90" s="158"/>
      <c r="O90" s="2091" t="s">
        <v>2589</v>
      </c>
      <c r="P90" s="1613"/>
      <c r="Q90" s="2104"/>
      <c r="R90" s="248"/>
      <c r="S90" s="248"/>
      <c r="T90" s="248"/>
      <c r="U90" s="325">
        <v>3674801</v>
      </c>
      <c r="V90" s="815"/>
      <c r="W90" s="248"/>
      <c r="X90" s="340">
        <f t="shared" ref="X90:X95" si="15">R90+S90+T90+Q90+W90</f>
        <v>0</v>
      </c>
      <c r="Y90" s="344">
        <f>+U90</f>
        <v>3674801</v>
      </c>
      <c r="Z90" s="249"/>
      <c r="AA90" s="341">
        <f>2090000*1.08</f>
        <v>2257200</v>
      </c>
      <c r="AB90" s="342">
        <f>+AA90+Y90+X90</f>
        <v>5932001</v>
      </c>
      <c r="AC90" s="252"/>
      <c r="AD90" s="5"/>
    </row>
    <row r="91" spans="1:30" s="13" customFormat="1">
      <c r="A91" s="1363">
        <f>+A90+1</f>
        <v>2</v>
      </c>
      <c r="B91" s="2191"/>
      <c r="C91" s="1992">
        <v>106309229830</v>
      </c>
      <c r="D91" s="1292" t="s">
        <v>2616</v>
      </c>
      <c r="E91" s="1748" t="s">
        <v>2619</v>
      </c>
      <c r="F91" s="2297" t="s">
        <v>206</v>
      </c>
      <c r="G91" s="2177"/>
      <c r="H91" s="2177"/>
      <c r="I91" s="2298" t="s">
        <v>102</v>
      </c>
      <c r="J91" s="2299"/>
      <c r="K91" s="2300" t="s">
        <v>123</v>
      </c>
      <c r="L91" s="2176" t="s">
        <v>2737</v>
      </c>
      <c r="M91" s="577"/>
      <c r="N91" s="158"/>
      <c r="O91" s="2097" t="s">
        <v>2618</v>
      </c>
      <c r="P91" s="2085"/>
      <c r="Q91" s="2104"/>
      <c r="R91" s="248"/>
      <c r="S91" s="248"/>
      <c r="T91" s="248"/>
      <c r="U91" s="325">
        <v>3559165</v>
      </c>
      <c r="V91" s="815"/>
      <c r="W91" s="248"/>
      <c r="X91" s="340">
        <f t="shared" si="15"/>
        <v>0</v>
      </c>
      <c r="Y91" s="344">
        <f t="shared" ref="Y91:Y98" si="16">+U91</f>
        <v>3559165</v>
      </c>
      <c r="Z91" s="249"/>
      <c r="AA91" s="341">
        <f>2090000*1.08</f>
        <v>2257200</v>
      </c>
      <c r="AB91" s="342">
        <f t="shared" ref="AB91:AB98" si="17">+AA91+Y91+X91</f>
        <v>5816365</v>
      </c>
      <c r="AC91" s="252"/>
      <c r="AD91" s="5"/>
    </row>
    <row r="92" spans="1:30" s="13" customFormat="1">
      <c r="A92" s="1363">
        <f>+A91+1</f>
        <v>3</v>
      </c>
      <c r="B92" s="2191"/>
      <c r="C92" s="1992">
        <v>106319783250</v>
      </c>
      <c r="D92" s="1292" t="s">
        <v>2633</v>
      </c>
      <c r="E92" s="1748" t="s">
        <v>2635</v>
      </c>
      <c r="F92" s="2297" t="s">
        <v>206</v>
      </c>
      <c r="G92" s="2177"/>
      <c r="H92" s="2177"/>
      <c r="I92" s="2298" t="s">
        <v>102</v>
      </c>
      <c r="J92" s="2301"/>
      <c r="K92" s="2302" t="s">
        <v>210</v>
      </c>
      <c r="L92" s="2176" t="s">
        <v>2738</v>
      </c>
      <c r="M92" s="577"/>
      <c r="N92" s="158"/>
      <c r="O92" s="2097" t="s">
        <v>2634</v>
      </c>
      <c r="P92" s="2085"/>
      <c r="Q92" s="2107">
        <v>12017</v>
      </c>
      <c r="R92" s="248"/>
      <c r="S92" s="248"/>
      <c r="T92" s="248"/>
      <c r="U92" s="325">
        <v>3708596</v>
      </c>
      <c r="V92" s="815"/>
      <c r="W92" s="248"/>
      <c r="X92" s="340">
        <f t="shared" si="15"/>
        <v>12017</v>
      </c>
      <c r="Y92" s="344">
        <f t="shared" si="16"/>
        <v>3708596</v>
      </c>
      <c r="Z92" s="249"/>
      <c r="AA92" s="341">
        <f>2290000*1.08</f>
        <v>2473200</v>
      </c>
      <c r="AB92" s="342">
        <f t="shared" si="17"/>
        <v>6193813</v>
      </c>
      <c r="AC92" s="252"/>
      <c r="AD92" s="5"/>
    </row>
    <row r="93" spans="1:30" s="13" customFormat="1">
      <c r="A93" s="1363">
        <f>+A92+1</f>
        <v>4</v>
      </c>
      <c r="B93" s="2191"/>
      <c r="C93" s="1992">
        <v>106341993920</v>
      </c>
      <c r="D93" s="1292">
        <v>45453</v>
      </c>
      <c r="E93" s="1748" t="s">
        <v>2689</v>
      </c>
      <c r="F93" s="2297" t="s">
        <v>206</v>
      </c>
      <c r="G93" s="2177"/>
      <c r="H93" s="2177"/>
      <c r="I93" s="2298" t="s">
        <v>102</v>
      </c>
      <c r="J93" s="2301"/>
      <c r="K93" s="2302" t="s">
        <v>210</v>
      </c>
      <c r="L93" s="2176" t="s">
        <v>2739</v>
      </c>
      <c r="M93" s="577"/>
      <c r="N93" s="158"/>
      <c r="O93" s="2091" t="s">
        <v>2681</v>
      </c>
      <c r="P93" s="1613"/>
      <c r="Q93" s="2104"/>
      <c r="R93" s="248"/>
      <c r="S93" s="248"/>
      <c r="T93" s="248"/>
      <c r="U93" s="325">
        <v>3673387</v>
      </c>
      <c r="V93" s="815"/>
      <c r="W93" s="248"/>
      <c r="X93" s="340">
        <f t="shared" si="15"/>
        <v>0</v>
      </c>
      <c r="Y93" s="344">
        <f t="shared" si="16"/>
        <v>3673387</v>
      </c>
      <c r="Z93" s="249"/>
      <c r="AA93" s="341">
        <f>2090000*1.08</f>
        <v>2257200</v>
      </c>
      <c r="AB93" s="342">
        <f t="shared" si="17"/>
        <v>5930587</v>
      </c>
      <c r="AC93" s="252"/>
      <c r="AD93" s="5"/>
    </row>
    <row r="94" spans="1:30" s="13" customFormat="1">
      <c r="A94" s="1363">
        <f>+A93+1</f>
        <v>5</v>
      </c>
      <c r="B94" s="2191"/>
      <c r="C94" s="1992">
        <v>106342629740</v>
      </c>
      <c r="D94" s="1291" t="s">
        <v>2683</v>
      </c>
      <c r="E94" s="1748" t="s">
        <v>2690</v>
      </c>
      <c r="F94" s="2297" t="s">
        <v>206</v>
      </c>
      <c r="G94" s="2177"/>
      <c r="H94" s="2177"/>
      <c r="I94" s="2298" t="s">
        <v>102</v>
      </c>
      <c r="J94" s="2299"/>
      <c r="K94" s="2300" t="s">
        <v>123</v>
      </c>
      <c r="L94" s="2176" t="s">
        <v>2740</v>
      </c>
      <c r="M94" s="577"/>
      <c r="N94" s="158"/>
      <c r="O94" s="2091" t="s">
        <v>2682</v>
      </c>
      <c r="P94" s="1613"/>
      <c r="Q94" s="2104"/>
      <c r="R94" s="248"/>
      <c r="S94" s="248"/>
      <c r="T94" s="248"/>
      <c r="U94" s="325">
        <v>5691787</v>
      </c>
      <c r="V94" s="815"/>
      <c r="W94" s="248"/>
      <c r="X94" s="340">
        <f t="shared" si="15"/>
        <v>0</v>
      </c>
      <c r="Y94" s="344">
        <f t="shared" si="16"/>
        <v>5691787</v>
      </c>
      <c r="Z94" s="249"/>
      <c r="AA94" s="341">
        <f>3090000*1.08</f>
        <v>3337200</v>
      </c>
      <c r="AB94" s="342">
        <f t="shared" si="17"/>
        <v>9028987</v>
      </c>
      <c r="AC94" s="252"/>
      <c r="AD94" s="5"/>
    </row>
    <row r="95" spans="1:30" s="13" customFormat="1" ht="26.4">
      <c r="A95" s="849">
        <f>+A94+1</f>
        <v>6</v>
      </c>
      <c r="B95" s="295"/>
      <c r="C95" s="1145" t="s">
        <v>2735</v>
      </c>
      <c r="D95" s="1102"/>
      <c r="E95" s="1077" t="s">
        <v>2736</v>
      </c>
      <c r="F95" s="1146"/>
      <c r="G95" s="1147"/>
      <c r="H95" s="1147"/>
      <c r="I95" s="1148"/>
      <c r="J95" s="1148"/>
      <c r="K95" s="1149"/>
      <c r="L95" s="127"/>
      <c r="M95" s="577"/>
      <c r="N95" s="158"/>
      <c r="O95" s="2091"/>
      <c r="P95" s="1613"/>
      <c r="Q95" s="2104"/>
      <c r="R95" s="248"/>
      <c r="S95" s="248"/>
      <c r="T95" s="324">
        <f>98182+589090</f>
        <v>687272</v>
      </c>
      <c r="U95" s="247"/>
      <c r="V95" s="816"/>
      <c r="W95" s="248"/>
      <c r="X95" s="340">
        <f t="shared" si="15"/>
        <v>687272</v>
      </c>
      <c r="Y95" s="344">
        <f t="shared" si="16"/>
        <v>0</v>
      </c>
      <c r="Z95" s="249"/>
      <c r="AA95" s="341">
        <f>800000*7*1.08</f>
        <v>6048000</v>
      </c>
      <c r="AB95" s="342">
        <f t="shared" si="17"/>
        <v>6735272</v>
      </c>
      <c r="AC95" s="252"/>
      <c r="AD95" s="5"/>
    </row>
    <row r="96" spans="1:30" s="13" customFormat="1">
      <c r="A96" s="3721" t="s">
        <v>2756</v>
      </c>
      <c r="B96" s="3721"/>
      <c r="C96" s="3721"/>
      <c r="D96" s="3721"/>
      <c r="E96" s="3721"/>
      <c r="F96" s="3721"/>
      <c r="G96" s="3721"/>
      <c r="H96" s="3721"/>
      <c r="I96" s="3721"/>
      <c r="J96" s="3721"/>
      <c r="K96" s="3721"/>
      <c r="L96" s="3721"/>
      <c r="M96" s="1143"/>
      <c r="N96" s="346"/>
      <c r="O96" s="1987"/>
      <c r="P96" s="2054"/>
      <c r="Q96" s="501"/>
      <c r="R96" s="501">
        <f>+Q92+T95</f>
        <v>699289</v>
      </c>
      <c r="S96" s="346"/>
      <c r="T96" s="346"/>
      <c r="U96" s="346"/>
      <c r="V96" s="346"/>
      <c r="W96" s="501"/>
      <c r="X96" s="354">
        <f>SUM(X90:X95)</f>
        <v>699289</v>
      </c>
      <c r="Y96" s="354">
        <f>SUM(Y90:Y95)</f>
        <v>20307736</v>
      </c>
      <c r="Z96" s="356"/>
      <c r="AA96" s="354">
        <f>SUM(AA90:AA95)</f>
        <v>18630000</v>
      </c>
      <c r="AB96" s="354">
        <f>+X96+Y96+AA96</f>
        <v>39637025</v>
      </c>
      <c r="AC96" s="578">
        <f>SUM(AC93:AC95)</f>
        <v>0</v>
      </c>
      <c r="AD96" s="5"/>
    </row>
    <row r="97" spans="1:30" s="13" customFormat="1">
      <c r="A97" s="670">
        <v>1</v>
      </c>
      <c r="B97" s="577" t="s">
        <v>2826</v>
      </c>
      <c r="C97" s="2296">
        <v>106398346460</v>
      </c>
      <c r="D97" s="1142">
        <v>45476</v>
      </c>
      <c r="E97" s="672" t="s">
        <v>2789</v>
      </c>
      <c r="F97" s="673" t="s">
        <v>206</v>
      </c>
      <c r="G97" s="445"/>
      <c r="H97" s="445"/>
      <c r="I97" s="1141" t="s">
        <v>102</v>
      </c>
      <c r="J97" s="1141"/>
      <c r="K97" s="1150" t="s">
        <v>123</v>
      </c>
      <c r="L97" s="577" t="s">
        <v>2774</v>
      </c>
      <c r="M97" s="577" t="s">
        <v>2783</v>
      </c>
      <c r="N97" s="158" t="s">
        <v>2775</v>
      </c>
      <c r="O97" s="2091" t="s">
        <v>2772</v>
      </c>
      <c r="P97" s="1613"/>
      <c r="Q97" s="2104"/>
      <c r="R97" s="248"/>
      <c r="S97" s="248"/>
      <c r="T97" s="248"/>
      <c r="U97" s="325">
        <v>10119246</v>
      </c>
      <c r="V97" s="815"/>
      <c r="W97" s="248"/>
      <c r="X97" s="340">
        <f t="shared" ref="X97:X104" si="18">R97+S97+T97+Q97+W97</f>
        <v>0</v>
      </c>
      <c r="Y97" s="344">
        <f t="shared" si="16"/>
        <v>10119246</v>
      </c>
      <c r="Z97" s="249"/>
      <c r="AA97" s="341">
        <f>2940000*1.08</f>
        <v>3175200</v>
      </c>
      <c r="AB97" s="342">
        <f t="shared" si="17"/>
        <v>13294446</v>
      </c>
      <c r="AC97" s="252"/>
      <c r="AD97" s="5"/>
    </row>
    <row r="98" spans="1:30" s="13" customFormat="1" ht="39.6">
      <c r="A98" s="326">
        <f t="shared" ref="A98:A104" si="19">+A97+1</f>
        <v>2</v>
      </c>
      <c r="B98" s="1144" t="s">
        <v>2850</v>
      </c>
      <c r="C98" s="1992">
        <v>106416460400</v>
      </c>
      <c r="D98" s="46">
        <v>45483</v>
      </c>
      <c r="E98" s="47" t="s">
        <v>2839</v>
      </c>
      <c r="F98" s="126" t="s">
        <v>206</v>
      </c>
      <c r="G98" s="167">
        <v>1</v>
      </c>
      <c r="H98" s="167"/>
      <c r="I98" s="170" t="s">
        <v>2829</v>
      </c>
      <c r="J98" s="837"/>
      <c r="K98" s="841" t="s">
        <v>123</v>
      </c>
      <c r="L98" s="154"/>
      <c r="M98" s="577" t="s">
        <v>2830</v>
      </c>
      <c r="N98" s="158" t="s">
        <v>2840</v>
      </c>
      <c r="O98" s="2091" t="s">
        <v>2828</v>
      </c>
      <c r="P98" s="1613"/>
      <c r="Q98" s="2104"/>
      <c r="R98" s="324">
        <v>432000</v>
      </c>
      <c r="S98" s="373">
        <v>900000</v>
      </c>
      <c r="T98" s="248"/>
      <c r="U98" s="325">
        <v>5966526</v>
      </c>
      <c r="V98" s="815"/>
      <c r="W98" s="248"/>
      <c r="X98" s="340">
        <f t="shared" si="18"/>
        <v>1332000</v>
      </c>
      <c r="Y98" s="344">
        <f t="shared" si="16"/>
        <v>5966526</v>
      </c>
      <c r="Z98" s="249"/>
      <c r="AA98" s="341">
        <f>((G98*4750000)+(H98*5150000))*1.08</f>
        <v>5130000</v>
      </c>
      <c r="AB98" s="342">
        <f t="shared" si="17"/>
        <v>12428526</v>
      </c>
      <c r="AC98" s="252"/>
      <c r="AD98" s="5"/>
    </row>
    <row r="99" spans="1:30" s="13" customFormat="1">
      <c r="A99" s="326">
        <f t="shared" si="19"/>
        <v>3</v>
      </c>
      <c r="B99" s="577" t="s">
        <v>2915</v>
      </c>
      <c r="C99" s="485">
        <v>106431298410</v>
      </c>
      <c r="D99" s="46" t="s">
        <v>2920</v>
      </c>
      <c r="E99" s="47" t="s">
        <v>2906</v>
      </c>
      <c r="F99" s="126" t="s">
        <v>206</v>
      </c>
      <c r="G99" s="167"/>
      <c r="H99" s="167"/>
      <c r="I99" s="170" t="s">
        <v>102</v>
      </c>
      <c r="J99" s="837"/>
      <c r="K99" s="841" t="s">
        <v>123</v>
      </c>
      <c r="L99" s="154" t="s">
        <v>2900</v>
      </c>
      <c r="M99" s="577" t="s">
        <v>2907</v>
      </c>
      <c r="N99" s="158" t="s">
        <v>2937</v>
      </c>
      <c r="O99" s="2091" t="s">
        <v>2901</v>
      </c>
      <c r="P99" s="1613"/>
      <c r="Q99" s="2107">
        <v>23564</v>
      </c>
      <c r="R99" s="248"/>
      <c r="S99" s="248"/>
      <c r="T99" s="248"/>
      <c r="U99" s="325">
        <v>2859330</v>
      </c>
      <c r="V99" s="815"/>
      <c r="W99" s="248"/>
      <c r="X99" s="340">
        <f t="shared" si="18"/>
        <v>23564</v>
      </c>
      <c r="Y99" s="344">
        <f t="shared" ref="Y99:Y112" si="20">+U99</f>
        <v>2859330</v>
      </c>
      <c r="Z99" s="249"/>
      <c r="AA99" s="341">
        <f>1790000*1.08</f>
        <v>1933200.0000000002</v>
      </c>
      <c r="AB99" s="342">
        <f t="shared" ref="AB99:AB104" si="21">+AA99+Y99+X99</f>
        <v>4816094</v>
      </c>
      <c r="AC99" s="252"/>
      <c r="AD99" s="5"/>
    </row>
    <row r="100" spans="1:30" s="13" customFormat="1">
      <c r="A100" s="326">
        <f t="shared" si="19"/>
        <v>4</v>
      </c>
      <c r="B100" s="577" t="s">
        <v>2925</v>
      </c>
      <c r="C100" s="45">
        <v>106437185630</v>
      </c>
      <c r="D100" s="46" t="s">
        <v>2920</v>
      </c>
      <c r="E100" s="47" t="s">
        <v>2911</v>
      </c>
      <c r="F100" s="126" t="s">
        <v>206</v>
      </c>
      <c r="G100" s="167"/>
      <c r="H100" s="167"/>
      <c r="I100" s="170" t="s">
        <v>102</v>
      </c>
      <c r="J100" s="837"/>
      <c r="K100" s="496" t="s">
        <v>210</v>
      </c>
      <c r="L100" s="154" t="s">
        <v>2902</v>
      </c>
      <c r="M100" s="577" t="s">
        <v>2887</v>
      </c>
      <c r="N100" s="158" t="s">
        <v>2903</v>
      </c>
      <c r="O100" s="2091" t="s">
        <v>2904</v>
      </c>
      <c r="P100" s="1613"/>
      <c r="Q100" s="2104"/>
      <c r="R100" s="248"/>
      <c r="S100" s="248"/>
      <c r="T100" s="248"/>
      <c r="U100" s="325">
        <v>3215862</v>
      </c>
      <c r="V100" s="815"/>
      <c r="W100" s="248"/>
      <c r="X100" s="340">
        <f t="shared" si="18"/>
        <v>0</v>
      </c>
      <c r="Y100" s="344">
        <f t="shared" si="20"/>
        <v>3215862</v>
      </c>
      <c r="Z100" s="249"/>
      <c r="AA100" s="341">
        <f>1790000*1.08</f>
        <v>1933200.0000000002</v>
      </c>
      <c r="AB100" s="342">
        <f t="shared" si="21"/>
        <v>5149062</v>
      </c>
      <c r="AC100" s="252"/>
      <c r="AD100" s="5"/>
    </row>
    <row r="101" spans="1:30" s="13" customFormat="1">
      <c r="A101" s="326">
        <f t="shared" si="19"/>
        <v>5</v>
      </c>
      <c r="B101" s="577" t="s">
        <v>2925</v>
      </c>
      <c r="C101" s="45">
        <v>106440481120</v>
      </c>
      <c r="D101" s="46" t="s">
        <v>2920</v>
      </c>
      <c r="E101" s="47" t="s">
        <v>2921</v>
      </c>
      <c r="F101" s="126" t="s">
        <v>206</v>
      </c>
      <c r="G101" s="167"/>
      <c r="H101" s="167"/>
      <c r="I101" s="170" t="s">
        <v>102</v>
      </c>
      <c r="J101" s="838"/>
      <c r="K101" s="374" t="s">
        <v>123</v>
      </c>
      <c r="L101" s="154" t="s">
        <v>2938</v>
      </c>
      <c r="M101" s="577" t="s">
        <v>2887</v>
      </c>
      <c r="N101" s="158" t="s">
        <v>2840</v>
      </c>
      <c r="O101" s="2091" t="s">
        <v>2905</v>
      </c>
      <c r="P101" s="1613"/>
      <c r="Q101" s="2104"/>
      <c r="R101" s="248"/>
      <c r="S101" s="248"/>
      <c r="T101" s="248"/>
      <c r="U101" s="325">
        <v>14159740</v>
      </c>
      <c r="V101" s="815"/>
      <c r="W101" s="248"/>
      <c r="X101" s="340">
        <f t="shared" si="18"/>
        <v>0</v>
      </c>
      <c r="Y101" s="344">
        <f t="shared" si="20"/>
        <v>14159740</v>
      </c>
      <c r="Z101" s="249"/>
      <c r="AA101" s="341">
        <f>2940000*1.08</f>
        <v>3175200</v>
      </c>
      <c r="AB101" s="342">
        <f t="shared" si="21"/>
        <v>17334940</v>
      </c>
      <c r="AC101" s="252"/>
      <c r="AD101" s="5"/>
    </row>
    <row r="102" spans="1:30" s="13" customFormat="1">
      <c r="A102" s="326">
        <f t="shared" si="19"/>
        <v>6</v>
      </c>
      <c r="B102" s="295"/>
      <c r="C102" s="442" t="s">
        <v>2942</v>
      </c>
      <c r="D102" s="46"/>
      <c r="E102" s="47" t="s">
        <v>2912</v>
      </c>
      <c r="F102" s="126"/>
      <c r="G102" s="167"/>
      <c r="H102" s="167"/>
      <c r="I102" s="151"/>
      <c r="J102" s="836"/>
      <c r="K102" s="496" t="s">
        <v>210</v>
      </c>
      <c r="L102" s="154" t="s">
        <v>2996</v>
      </c>
      <c r="M102" s="577"/>
      <c r="N102" s="158"/>
      <c r="O102" s="2091"/>
      <c r="P102" s="1613"/>
      <c r="Q102" s="2104"/>
      <c r="R102" s="248"/>
      <c r="S102" s="248"/>
      <c r="T102" s="248"/>
      <c r="U102" s="247"/>
      <c r="V102" s="816"/>
      <c r="W102" s="248"/>
      <c r="X102" s="340">
        <f t="shared" si="18"/>
        <v>0</v>
      </c>
      <c r="Y102" s="344">
        <f>+U102</f>
        <v>0</v>
      </c>
      <c r="Z102" s="249"/>
      <c r="AA102" s="341">
        <f>600000*9*1.08</f>
        <v>5832000</v>
      </c>
      <c r="AB102" s="342">
        <f t="shared" si="21"/>
        <v>5832000</v>
      </c>
      <c r="AC102" s="252"/>
      <c r="AD102" s="5"/>
    </row>
    <row r="103" spans="1:30" s="13" customFormat="1">
      <c r="A103" s="849">
        <f t="shared" si="19"/>
        <v>7</v>
      </c>
      <c r="B103" s="295"/>
      <c r="C103" s="990" t="s">
        <v>2943</v>
      </c>
      <c r="D103" s="902"/>
      <c r="E103" s="903" t="s">
        <v>2945</v>
      </c>
      <c r="F103" s="904"/>
      <c r="G103" s="167"/>
      <c r="H103" s="167"/>
      <c r="I103" s="920"/>
      <c r="J103" s="920"/>
      <c r="K103" s="978"/>
      <c r="L103" s="127"/>
      <c r="M103" s="522"/>
      <c r="N103" s="964"/>
      <c r="O103" s="2092"/>
      <c r="P103" s="1613"/>
      <c r="Q103" s="2105"/>
      <c r="R103" s="856"/>
      <c r="S103" s="856"/>
      <c r="T103" s="856"/>
      <c r="U103" s="859"/>
      <c r="V103" s="859"/>
      <c r="W103" s="856"/>
      <c r="X103" s="860">
        <f t="shared" si="18"/>
        <v>0</v>
      </c>
      <c r="Y103" s="861">
        <f>+U103</f>
        <v>0</v>
      </c>
      <c r="Z103" s="862"/>
      <c r="AA103" s="863">
        <f>3400000*4*1.08</f>
        <v>14688000.000000002</v>
      </c>
      <c r="AB103" s="864">
        <f t="shared" si="21"/>
        <v>14688000.000000002</v>
      </c>
      <c r="AC103" s="907"/>
      <c r="AD103" s="5"/>
    </row>
    <row r="104" spans="1:30" s="885" customFormat="1" ht="16.5" customHeight="1">
      <c r="A104" s="868">
        <f t="shared" si="19"/>
        <v>8</v>
      </c>
      <c r="B104" s="869"/>
      <c r="C104" s="925" t="s">
        <v>2940</v>
      </c>
      <c r="D104" s="871"/>
      <c r="E104" s="872" t="s">
        <v>2944</v>
      </c>
      <c r="F104" s="873"/>
      <c r="G104" s="874"/>
      <c r="H104" s="874"/>
      <c r="I104" s="836"/>
      <c r="J104" s="836"/>
      <c r="K104" s="927"/>
      <c r="L104" s="847" t="s">
        <v>2995</v>
      </c>
      <c r="M104" s="847"/>
      <c r="N104" s="875"/>
      <c r="O104" s="2091"/>
      <c r="P104" s="1613"/>
      <c r="Q104" s="2104"/>
      <c r="R104" s="876"/>
      <c r="S104" s="876"/>
      <c r="T104" s="877">
        <v>98182</v>
      </c>
      <c r="U104" s="816"/>
      <c r="V104" s="816"/>
      <c r="W104" s="876"/>
      <c r="X104" s="878">
        <f t="shared" si="18"/>
        <v>98182</v>
      </c>
      <c r="Y104" s="879">
        <f>+U104</f>
        <v>0</v>
      </c>
      <c r="Z104" s="880"/>
      <c r="AA104" s="881">
        <f>800000*1*1.08</f>
        <v>864000</v>
      </c>
      <c r="AB104" s="882">
        <f t="shared" si="21"/>
        <v>962182</v>
      </c>
      <c r="AC104" s="883"/>
      <c r="AD104" s="871"/>
    </row>
    <row r="105" spans="1:30" s="13" customFormat="1">
      <c r="A105" s="3701" t="s">
        <v>2941</v>
      </c>
      <c r="B105" s="3718"/>
      <c r="C105" s="3718"/>
      <c r="D105" s="3718"/>
      <c r="E105" s="3718"/>
      <c r="F105" s="3718"/>
      <c r="G105" s="3718"/>
      <c r="H105" s="3718"/>
      <c r="I105" s="3718"/>
      <c r="J105" s="3718"/>
      <c r="K105" s="3718"/>
      <c r="L105" s="3718"/>
      <c r="M105" s="1143"/>
      <c r="N105" s="346"/>
      <c r="O105" s="1987"/>
      <c r="P105" s="2054"/>
      <c r="Q105" s="501"/>
      <c r="R105" s="501">
        <f>+R98+Q99+T104</f>
        <v>553746</v>
      </c>
      <c r="S105" s="346"/>
      <c r="T105" s="346"/>
      <c r="U105" s="346"/>
      <c r="V105" s="346"/>
      <c r="W105" s="501"/>
      <c r="X105" s="866">
        <f>SUM(X97:X104)</f>
        <v>1453746</v>
      </c>
      <c r="Y105" s="866">
        <f>SUM(Y97:Y104)</f>
        <v>36320704</v>
      </c>
      <c r="Z105" s="867"/>
      <c r="AA105" s="866">
        <f>SUM(AA97:AA104)</f>
        <v>36730800</v>
      </c>
      <c r="AB105" s="866">
        <f>+X105+Y105+AA105</f>
        <v>74505250</v>
      </c>
      <c r="AC105" s="578">
        <f>SUM(AC102:AC103)</f>
        <v>0</v>
      </c>
      <c r="AD105" s="5"/>
    </row>
    <row r="106" spans="1:30" s="13" customFormat="1" ht="166.5" customHeight="1">
      <c r="A106" s="326">
        <v>1</v>
      </c>
      <c r="B106" s="295" t="s">
        <v>2953</v>
      </c>
      <c r="C106" s="45">
        <v>106438889760</v>
      </c>
      <c r="D106" s="46" t="s">
        <v>2915</v>
      </c>
      <c r="E106" s="47" t="s">
        <v>2975</v>
      </c>
      <c r="F106" s="126" t="s">
        <v>206</v>
      </c>
      <c r="G106" s="167">
        <v>12</v>
      </c>
      <c r="H106" s="167"/>
      <c r="I106" s="170"/>
      <c r="J106" s="837" t="s">
        <v>2931</v>
      </c>
      <c r="K106" s="841" t="s">
        <v>123</v>
      </c>
      <c r="L106" s="154"/>
      <c r="M106" s="577"/>
      <c r="N106" s="158" t="s">
        <v>2946</v>
      </c>
      <c r="O106" s="2091" t="s">
        <v>2930</v>
      </c>
      <c r="P106" s="1613"/>
      <c r="Q106" s="2107">
        <f>399600+1798200</f>
        <v>2197800</v>
      </c>
      <c r="R106" s="324">
        <v>5184000</v>
      </c>
      <c r="S106" s="373">
        <f>1800000+1800000+1800000+1800000+1800000+1800000</f>
        <v>10800000</v>
      </c>
      <c r="T106" s="248"/>
      <c r="U106" s="247"/>
      <c r="V106" s="816"/>
      <c r="W106" s="248"/>
      <c r="X106" s="340">
        <f>R106+S106+T106+Q106+W106</f>
        <v>18181800</v>
      </c>
      <c r="Y106" s="344">
        <f>+U106</f>
        <v>0</v>
      </c>
      <c r="Z106" s="249"/>
      <c r="AA106" s="341">
        <f>((G106*4750000)+(H106*5150000))*1.08</f>
        <v>61560000.000000007</v>
      </c>
      <c r="AB106" s="342">
        <f t="shared" ref="AB106:AB112" si="22">+AA106+Y106+X106</f>
        <v>79741800</v>
      </c>
      <c r="AC106" s="252"/>
      <c r="AD106" s="5"/>
    </row>
    <row r="107" spans="1:30" s="13" customFormat="1">
      <c r="A107" s="326">
        <v>2</v>
      </c>
      <c r="B107" s="722" t="s">
        <v>2979</v>
      </c>
      <c r="C107" s="45">
        <v>106453588730</v>
      </c>
      <c r="D107" s="386" t="s">
        <v>2981</v>
      </c>
      <c r="E107" s="47" t="s">
        <v>2974</v>
      </c>
      <c r="F107" s="126" t="s">
        <v>206</v>
      </c>
      <c r="G107" s="167"/>
      <c r="H107" s="167"/>
      <c r="I107" s="170" t="s">
        <v>102</v>
      </c>
      <c r="J107" s="837"/>
      <c r="K107" s="841" t="s">
        <v>123</v>
      </c>
      <c r="L107" s="154" t="s">
        <v>2961</v>
      </c>
      <c r="M107" s="577" t="s">
        <v>2973</v>
      </c>
      <c r="N107" s="158" t="s">
        <v>2775</v>
      </c>
      <c r="O107" s="2091" t="s">
        <v>2960</v>
      </c>
      <c r="P107" s="1613"/>
      <c r="Q107" s="2104"/>
      <c r="R107" s="248"/>
      <c r="S107" s="248"/>
      <c r="T107" s="248"/>
      <c r="U107" s="325">
        <v>3215862</v>
      </c>
      <c r="V107" s="815"/>
      <c r="W107" s="248"/>
      <c r="X107" s="340">
        <f t="shared" ref="X107:X112" si="23">R107+S107+T107+Q107+W107</f>
        <v>0</v>
      </c>
      <c r="Y107" s="344">
        <f t="shared" si="20"/>
        <v>3215862</v>
      </c>
      <c r="Z107" s="249"/>
      <c r="AA107" s="341">
        <f>1990000*1.08</f>
        <v>2149200</v>
      </c>
      <c r="AB107" s="342">
        <f t="shared" si="22"/>
        <v>5365062</v>
      </c>
      <c r="AC107" s="252"/>
      <c r="AD107" s="5"/>
    </row>
    <row r="108" spans="1:30" s="13" customFormat="1">
      <c r="A108" s="326">
        <f>+A107+1</f>
        <v>3</v>
      </c>
      <c r="B108" s="722" t="s">
        <v>3003</v>
      </c>
      <c r="C108" s="45">
        <v>106476278640</v>
      </c>
      <c r="D108" s="386" t="s">
        <v>3007</v>
      </c>
      <c r="E108" s="47" t="s">
        <v>2993</v>
      </c>
      <c r="F108" s="126" t="s">
        <v>206</v>
      </c>
      <c r="G108" s="167"/>
      <c r="H108" s="167"/>
      <c r="I108" s="170" t="s">
        <v>102</v>
      </c>
      <c r="J108" s="837"/>
      <c r="K108" s="841" t="s">
        <v>123</v>
      </c>
      <c r="L108" s="154" t="s">
        <v>2988</v>
      </c>
      <c r="M108" s="577" t="s">
        <v>2994</v>
      </c>
      <c r="N108" s="158" t="s">
        <v>3052</v>
      </c>
      <c r="O108" s="2091" t="s">
        <v>2987</v>
      </c>
      <c r="P108" s="1613"/>
      <c r="Q108" s="2104"/>
      <c r="R108" s="248"/>
      <c r="S108" s="248"/>
      <c r="T108" s="248"/>
      <c r="U108" s="325">
        <v>3215862</v>
      </c>
      <c r="V108" s="815"/>
      <c r="W108" s="248"/>
      <c r="X108" s="340">
        <f t="shared" si="23"/>
        <v>0</v>
      </c>
      <c r="Y108" s="344">
        <f t="shared" si="20"/>
        <v>3215862</v>
      </c>
      <c r="Z108" s="249"/>
      <c r="AA108" s="341">
        <f>1790000*1.08</f>
        <v>1933200.0000000002</v>
      </c>
      <c r="AB108" s="342">
        <f t="shared" si="22"/>
        <v>5149062</v>
      </c>
      <c r="AC108" s="252"/>
      <c r="AD108" s="5"/>
    </row>
    <row r="109" spans="1:30" s="13" customFormat="1" ht="171" customHeight="1">
      <c r="A109" s="326">
        <f>+A108+1</f>
        <v>4</v>
      </c>
      <c r="B109" s="770" t="s">
        <v>3106</v>
      </c>
      <c r="C109" s="45">
        <v>106503025640</v>
      </c>
      <c r="D109" s="46" t="s">
        <v>3098</v>
      </c>
      <c r="E109" s="47" t="s">
        <v>3138</v>
      </c>
      <c r="F109" s="126" t="s">
        <v>206</v>
      </c>
      <c r="G109" s="167">
        <v>13</v>
      </c>
      <c r="H109" s="167"/>
      <c r="I109" s="170"/>
      <c r="J109" s="837" t="s">
        <v>3080</v>
      </c>
      <c r="K109" s="841" t="s">
        <v>123</v>
      </c>
      <c r="L109" s="154"/>
      <c r="M109" s="577"/>
      <c r="N109" s="158" t="s">
        <v>2946</v>
      </c>
      <c r="O109" s="2091" t="s">
        <v>3079</v>
      </c>
      <c r="P109" s="1613"/>
      <c r="Q109" s="2107">
        <v>2597400</v>
      </c>
      <c r="R109" s="324">
        <v>5616000</v>
      </c>
      <c r="S109" s="373">
        <f>900000*13</f>
        <v>11700000</v>
      </c>
      <c r="T109" s="248"/>
      <c r="U109" s="247"/>
      <c r="V109" s="816"/>
      <c r="W109" s="248"/>
      <c r="X109" s="340">
        <f t="shared" si="23"/>
        <v>19913400</v>
      </c>
      <c r="Y109" s="344">
        <f t="shared" si="20"/>
        <v>0</v>
      </c>
      <c r="Z109" s="249"/>
      <c r="AA109" s="341">
        <f>((G109*4750000)+(H109*5150000))*1.08</f>
        <v>66690000.000000007</v>
      </c>
      <c r="AB109" s="342">
        <f t="shared" si="22"/>
        <v>86603400</v>
      </c>
      <c r="AC109" s="252"/>
      <c r="AD109" s="5"/>
    </row>
    <row r="110" spans="1:30" s="13" customFormat="1">
      <c r="A110" s="326">
        <f>+A109+1</f>
        <v>5</v>
      </c>
      <c r="B110" s="722"/>
      <c r="C110" s="442" t="s">
        <v>3126</v>
      </c>
      <c r="D110" s="46"/>
      <c r="E110" s="47" t="s">
        <v>3123</v>
      </c>
      <c r="F110" s="126"/>
      <c r="G110" s="167"/>
      <c r="H110" s="167"/>
      <c r="I110" s="170"/>
      <c r="J110" s="837"/>
      <c r="K110" s="842"/>
      <c r="L110" s="154" t="s">
        <v>3131</v>
      </c>
      <c r="M110" s="577"/>
      <c r="N110" s="158"/>
      <c r="O110" s="2091"/>
      <c r="P110" s="1613"/>
      <c r="Q110" s="2104"/>
      <c r="R110" s="248"/>
      <c r="S110" s="248"/>
      <c r="T110" s="248"/>
      <c r="U110" s="247"/>
      <c r="V110" s="816"/>
      <c r="W110" s="248"/>
      <c r="X110" s="340">
        <f t="shared" si="23"/>
        <v>0</v>
      </c>
      <c r="Y110" s="344">
        <f t="shared" si="20"/>
        <v>0</v>
      </c>
      <c r="Z110" s="249"/>
      <c r="AA110" s="341">
        <f>600000*12*1.08</f>
        <v>7776000.0000000009</v>
      </c>
      <c r="AB110" s="342">
        <f t="shared" si="22"/>
        <v>7776000.0000000009</v>
      </c>
      <c r="AC110" s="252"/>
      <c r="AD110" s="5"/>
    </row>
    <row r="111" spans="1:30" s="13" customFormat="1">
      <c r="A111" s="326">
        <f>+A110+1</f>
        <v>6</v>
      </c>
      <c r="B111" s="722"/>
      <c r="C111" s="442" t="s">
        <v>3127</v>
      </c>
      <c r="D111" s="46"/>
      <c r="E111" s="47" t="s">
        <v>3129</v>
      </c>
      <c r="F111" s="126"/>
      <c r="G111" s="167"/>
      <c r="H111" s="167"/>
      <c r="I111" s="170"/>
      <c r="J111" s="837"/>
      <c r="K111" s="842"/>
      <c r="L111" s="154"/>
      <c r="M111" s="577"/>
      <c r="N111" s="158"/>
      <c r="O111" s="2091"/>
      <c r="P111" s="1613"/>
      <c r="Q111" s="2104"/>
      <c r="R111" s="248"/>
      <c r="S111" s="248"/>
      <c r="T111" s="248"/>
      <c r="U111" s="247"/>
      <c r="V111" s="816"/>
      <c r="W111" s="248"/>
      <c r="X111" s="340">
        <f t="shared" si="23"/>
        <v>0</v>
      </c>
      <c r="Y111" s="344">
        <f t="shared" si="20"/>
        <v>0</v>
      </c>
      <c r="Z111" s="249"/>
      <c r="AA111" s="341">
        <f>3400000*1*1.08</f>
        <v>3672000.0000000005</v>
      </c>
      <c r="AB111" s="342">
        <f t="shared" si="22"/>
        <v>3672000.0000000005</v>
      </c>
      <c r="AC111" s="252"/>
      <c r="AD111" s="5"/>
    </row>
    <row r="112" spans="1:30" s="13" customFormat="1" ht="26.4">
      <c r="A112" s="326">
        <f>+A111+1</f>
        <v>7</v>
      </c>
      <c r="B112" s="722"/>
      <c r="C112" s="790" t="s">
        <v>3128</v>
      </c>
      <c r="D112" s="791"/>
      <c r="E112" s="792" t="s">
        <v>3130</v>
      </c>
      <c r="F112" s="793"/>
      <c r="G112" s="167"/>
      <c r="H112" s="167"/>
      <c r="I112" s="794"/>
      <c r="J112" s="837"/>
      <c r="K112" s="843"/>
      <c r="L112" s="127" t="s">
        <v>2995</v>
      </c>
      <c r="M112" s="577"/>
      <c r="N112" s="158"/>
      <c r="O112" s="2091"/>
      <c r="P112" s="1613"/>
      <c r="Q112" s="2104"/>
      <c r="R112" s="248"/>
      <c r="S112" s="248"/>
      <c r="T112" s="324">
        <v>98182</v>
      </c>
      <c r="U112" s="247"/>
      <c r="V112" s="816"/>
      <c r="W112" s="248"/>
      <c r="X112" s="340">
        <f t="shared" si="23"/>
        <v>98182</v>
      </c>
      <c r="Y112" s="344">
        <f t="shared" si="20"/>
        <v>0</v>
      </c>
      <c r="Z112" s="249"/>
      <c r="AA112" s="341">
        <f>800000*1*1.08</f>
        <v>864000</v>
      </c>
      <c r="AB112" s="342">
        <f t="shared" si="22"/>
        <v>962182</v>
      </c>
      <c r="AC112" s="252"/>
      <c r="AD112" s="5"/>
    </row>
    <row r="113" spans="1:30" s="13" customFormat="1">
      <c r="A113" s="3715" t="s">
        <v>3132</v>
      </c>
      <c r="B113" s="3716"/>
      <c r="C113" s="3716"/>
      <c r="D113" s="3716"/>
      <c r="E113" s="3716"/>
      <c r="F113" s="3716"/>
      <c r="G113" s="3716"/>
      <c r="H113" s="3716"/>
      <c r="I113" s="3716"/>
      <c r="J113" s="3716"/>
      <c r="K113" s="3716"/>
      <c r="L113" s="3717"/>
      <c r="M113" s="774"/>
      <c r="N113" s="346"/>
      <c r="O113" s="1987"/>
      <c r="P113" s="2054"/>
      <c r="Q113" s="501">
        <f>+MPF!V332+MPF!W336+MPF!W339+MPF!V340</f>
        <v>2044077</v>
      </c>
      <c r="R113" s="501">
        <f>+Q106+R106+Q109+R109+T112</f>
        <v>15693382</v>
      </c>
      <c r="S113" s="501">
        <f>+R113+Q113</f>
        <v>17737459</v>
      </c>
      <c r="T113" s="501">
        <f>+S113+'CHÍNH NGUYÊN'!R149</f>
        <v>20941459</v>
      </c>
      <c r="U113" s="346"/>
      <c r="V113" s="346"/>
      <c r="W113" s="501"/>
      <c r="X113" s="354">
        <f>SUM(X106:X112)</f>
        <v>38193382</v>
      </c>
      <c r="Y113" s="354">
        <f>SUM(Y106:Y112)</f>
        <v>6431724</v>
      </c>
      <c r="Z113" s="356"/>
      <c r="AA113" s="354">
        <f>SUM(AA106:AA112)</f>
        <v>144644400.00000003</v>
      </c>
      <c r="AB113" s="354">
        <f>+X113+Y113+AA113</f>
        <v>189269506.00000003</v>
      </c>
      <c r="AC113" s="578">
        <f>SUM(AC110:AC111)</f>
        <v>0</v>
      </c>
      <c r="AD113" s="5"/>
    </row>
    <row r="114" spans="1:30" s="13" customFormat="1" ht="26.4">
      <c r="A114" s="670">
        <v>1</v>
      </c>
      <c r="B114" s="1012" t="s">
        <v>3237</v>
      </c>
      <c r="C114" s="796">
        <v>106551607261</v>
      </c>
      <c r="D114" s="1014" t="s">
        <v>3214</v>
      </c>
      <c r="E114" s="672" t="s">
        <v>3196</v>
      </c>
      <c r="F114" s="673" t="s">
        <v>206</v>
      </c>
      <c r="G114" s="445"/>
      <c r="H114" s="445"/>
      <c r="I114" s="787" t="s">
        <v>973</v>
      </c>
      <c r="J114" s="823"/>
      <c r="K114" s="797" t="s">
        <v>136</v>
      </c>
      <c r="L114" s="959" t="s">
        <v>3285</v>
      </c>
      <c r="M114" s="958" t="s">
        <v>3270</v>
      </c>
      <c r="N114" s="150" t="s">
        <v>3178</v>
      </c>
      <c r="O114" s="2098" t="s">
        <v>3288</v>
      </c>
      <c r="P114" s="1652"/>
      <c r="Q114" s="2104"/>
      <c r="R114" s="248"/>
      <c r="S114" s="248"/>
      <c r="T114" s="248"/>
      <c r="U114" s="325">
        <v>4586194</v>
      </c>
      <c r="V114" s="815">
        <v>16800</v>
      </c>
      <c r="W114" s="819">
        <v>26391</v>
      </c>
      <c r="X114" s="340">
        <f>R114+S114+T114+Q114+W114</f>
        <v>26391</v>
      </c>
      <c r="Y114" s="344">
        <f t="shared" ref="Y114:Y120" si="24">+U114+V114</f>
        <v>4602994</v>
      </c>
      <c r="Z114" s="391" t="s">
        <v>3259</v>
      </c>
      <c r="AA114" s="341">
        <f>(1990000+500000+(2000000*1.03))*1.08</f>
        <v>4914000</v>
      </c>
      <c r="AB114" s="342">
        <f t="shared" ref="AB114:AB121" si="25">+AA114+Y114+X114</f>
        <v>9543385</v>
      </c>
      <c r="AC114" s="250">
        <f>2000000*1.03</f>
        <v>2060000</v>
      </c>
      <c r="AD114" s="5"/>
    </row>
    <row r="115" spans="1:30" s="13" customFormat="1" ht="26.4">
      <c r="A115" s="326">
        <f>+A114+1</f>
        <v>2</v>
      </c>
      <c r="B115" s="1013" t="s">
        <v>3258</v>
      </c>
      <c r="C115" s="45">
        <v>106564885340</v>
      </c>
      <c r="D115" s="821" t="s">
        <v>3257</v>
      </c>
      <c r="E115" s="47" t="s">
        <v>3202</v>
      </c>
      <c r="F115" s="126" t="s">
        <v>206</v>
      </c>
      <c r="G115" s="167"/>
      <c r="H115" s="167"/>
      <c r="I115" s="170" t="s">
        <v>973</v>
      </c>
      <c r="J115" s="837"/>
      <c r="K115" s="822" t="s">
        <v>123</v>
      </c>
      <c r="L115" s="820" t="s">
        <v>3286</v>
      </c>
      <c r="M115" s="958" t="s">
        <v>3270</v>
      </c>
      <c r="N115" s="158" t="s">
        <v>3271</v>
      </c>
      <c r="O115" s="2096" t="s">
        <v>3289</v>
      </c>
      <c r="P115" s="2084"/>
      <c r="Q115" s="2104"/>
      <c r="R115" s="248"/>
      <c r="S115" s="248"/>
      <c r="T115" s="248"/>
      <c r="U115" s="785">
        <v>10058408</v>
      </c>
      <c r="V115" s="818">
        <v>41700</v>
      </c>
      <c r="W115" s="819">
        <v>229274</v>
      </c>
      <c r="X115" s="340">
        <f t="shared" ref="X115:X145" si="26">R115+S115+T115+Q115+W115</f>
        <v>229274</v>
      </c>
      <c r="Y115" s="344">
        <f t="shared" si="24"/>
        <v>10100108</v>
      </c>
      <c r="Z115" s="249"/>
      <c r="AA115" s="341">
        <f>2790000*1.08</f>
        <v>3013200</v>
      </c>
      <c r="AB115" s="342">
        <f t="shared" si="25"/>
        <v>13342582</v>
      </c>
      <c r="AC115" s="250">
        <f>+AC114+1990000+500000</f>
        <v>4550000</v>
      </c>
      <c r="AD115" s="5"/>
    </row>
    <row r="116" spans="1:30" s="13" customFormat="1" ht="158.4">
      <c r="A116" s="326">
        <f>+A115+1</f>
        <v>3</v>
      </c>
      <c r="B116" s="960" t="s">
        <v>3277</v>
      </c>
      <c r="C116" s="166">
        <v>106572122900</v>
      </c>
      <c r="D116" s="821" t="s">
        <v>3244</v>
      </c>
      <c r="E116" s="47" t="s">
        <v>3278</v>
      </c>
      <c r="F116" s="126" t="s">
        <v>206</v>
      </c>
      <c r="G116" s="167">
        <v>12</v>
      </c>
      <c r="H116" s="167"/>
      <c r="I116" s="840"/>
      <c r="J116" s="170" t="s">
        <v>3255</v>
      </c>
      <c r="K116" s="822" t="s">
        <v>123</v>
      </c>
      <c r="L116" s="820"/>
      <c r="M116" s="577" t="s">
        <v>3248</v>
      </c>
      <c r="N116" s="158" t="s">
        <v>3252</v>
      </c>
      <c r="O116" s="2096" t="s">
        <v>3293</v>
      </c>
      <c r="P116" s="2084"/>
      <c r="Q116" s="2104"/>
      <c r="R116" s="324">
        <v>5184000</v>
      </c>
      <c r="S116" s="373">
        <f>918000*12</f>
        <v>11016000</v>
      </c>
      <c r="T116" s="248"/>
      <c r="U116" s="247"/>
      <c r="V116" s="818">
        <v>3000000</v>
      </c>
      <c r="W116" s="248"/>
      <c r="X116" s="340">
        <f>R116+S116+T116+Q116+W116</f>
        <v>16200000</v>
      </c>
      <c r="Y116" s="344">
        <f t="shared" si="24"/>
        <v>3000000</v>
      </c>
      <c r="Z116" s="249"/>
      <c r="AA116" s="341">
        <f>((G116*4750000)+(H116*5150000))*1.08</f>
        <v>61560000.000000007</v>
      </c>
      <c r="AB116" s="342">
        <f t="shared" si="25"/>
        <v>80760000</v>
      </c>
      <c r="AC116" s="252"/>
      <c r="AD116" s="5"/>
    </row>
    <row r="117" spans="1:30" s="13" customFormat="1" ht="26.4">
      <c r="A117" s="326">
        <v>4</v>
      </c>
      <c r="B117" s="975" t="s">
        <v>3281</v>
      </c>
      <c r="C117" s="166">
        <v>106576205150</v>
      </c>
      <c r="D117" s="821" t="s">
        <v>3279</v>
      </c>
      <c r="E117" s="47" t="s">
        <v>3254</v>
      </c>
      <c r="F117" s="126" t="s">
        <v>206</v>
      </c>
      <c r="G117" s="167"/>
      <c r="H117" s="167">
        <v>2</v>
      </c>
      <c r="I117" s="840"/>
      <c r="J117" s="170" t="s">
        <v>3253</v>
      </c>
      <c r="K117" s="86" t="s">
        <v>210</v>
      </c>
      <c r="L117" s="154"/>
      <c r="M117" s="577" t="s">
        <v>3248</v>
      </c>
      <c r="N117" s="158" t="s">
        <v>3247</v>
      </c>
      <c r="O117" s="2096" t="s">
        <v>3290</v>
      </c>
      <c r="P117" s="2084"/>
      <c r="Q117" s="2104"/>
      <c r="R117" s="324">
        <v>2257200</v>
      </c>
      <c r="S117" s="373">
        <f>1450000*2</f>
        <v>2900000</v>
      </c>
      <c r="T117" s="248"/>
      <c r="U117" s="785">
        <f>11080000+4968000</f>
        <v>16048000</v>
      </c>
      <c r="V117" s="785">
        <v>1000000</v>
      </c>
      <c r="W117" s="248"/>
      <c r="X117" s="340">
        <f t="shared" si="26"/>
        <v>5157200</v>
      </c>
      <c r="Y117" s="344">
        <f t="shared" si="24"/>
        <v>17048000</v>
      </c>
      <c r="Z117" s="391" t="s">
        <v>2101</v>
      </c>
      <c r="AA117" s="989">
        <f>((G117*5350000)+(H117*5650000))*1.08</f>
        <v>12204000</v>
      </c>
      <c r="AB117" s="342">
        <f t="shared" si="25"/>
        <v>34409200</v>
      </c>
      <c r="AC117" s="252"/>
      <c r="AD117" s="5"/>
    </row>
    <row r="118" spans="1:30" s="13" customFormat="1" ht="39.6">
      <c r="A118" s="326">
        <v>5</v>
      </c>
      <c r="B118" s="975" t="s">
        <v>3281</v>
      </c>
      <c r="C118" s="166">
        <v>106576350750</v>
      </c>
      <c r="D118" s="821" t="s">
        <v>3279</v>
      </c>
      <c r="E118" s="47" t="s">
        <v>3308</v>
      </c>
      <c r="F118" s="126" t="s">
        <v>206</v>
      </c>
      <c r="G118" s="167"/>
      <c r="H118" s="167">
        <v>3</v>
      </c>
      <c r="I118" s="840"/>
      <c r="J118" s="820" t="s">
        <v>3251</v>
      </c>
      <c r="K118" s="86" t="s">
        <v>210</v>
      </c>
      <c r="L118" s="5"/>
      <c r="M118" s="577" t="s">
        <v>3248</v>
      </c>
      <c r="N118" s="158" t="s">
        <v>3247</v>
      </c>
      <c r="O118" s="2096" t="s">
        <v>3292</v>
      </c>
      <c r="P118" s="2084"/>
      <c r="Q118" s="2107">
        <v>1085400</v>
      </c>
      <c r="R118" s="324">
        <v>2300400</v>
      </c>
      <c r="S118" s="373">
        <v>1458000</v>
      </c>
      <c r="T118" s="248"/>
      <c r="U118" s="247"/>
      <c r="V118" s="785">
        <v>1500000</v>
      </c>
      <c r="W118" s="248"/>
      <c r="X118" s="340">
        <f>R118+S118+T118+Q118+W118</f>
        <v>4843800</v>
      </c>
      <c r="Y118" s="344">
        <f t="shared" si="24"/>
        <v>1500000</v>
      </c>
      <c r="Z118" s="391" t="s">
        <v>2101</v>
      </c>
      <c r="AA118" s="989">
        <f>((G118*5350000)+(H118*5650000))*1.08+(1350000*2*1.08)</f>
        <v>21222000</v>
      </c>
      <c r="AB118" s="342">
        <f t="shared" si="25"/>
        <v>27565800</v>
      </c>
      <c r="AC118" s="252"/>
      <c r="AD118" s="5"/>
    </row>
    <row r="119" spans="1:30" s="13" customFormat="1" ht="26.4">
      <c r="A119" s="326">
        <v>6</v>
      </c>
      <c r="B119" s="991" t="s">
        <v>3315</v>
      </c>
      <c r="C119" s="45">
        <v>106579339420</v>
      </c>
      <c r="D119" s="821" t="s">
        <v>3298</v>
      </c>
      <c r="E119" s="47" t="s">
        <v>3272</v>
      </c>
      <c r="F119" s="126" t="s">
        <v>206</v>
      </c>
      <c r="G119" s="167"/>
      <c r="H119" s="167"/>
      <c r="I119" s="170" t="s">
        <v>973</v>
      </c>
      <c r="J119" s="837"/>
      <c r="K119" s="86" t="s">
        <v>210</v>
      </c>
      <c r="L119" s="820" t="s">
        <v>3287</v>
      </c>
      <c r="M119" s="959" t="s">
        <v>3276</v>
      </c>
      <c r="N119" s="158" t="s">
        <v>3264</v>
      </c>
      <c r="O119" s="2096" t="s">
        <v>3291</v>
      </c>
      <c r="P119" s="2084"/>
      <c r="Q119" s="2104"/>
      <c r="R119" s="248"/>
      <c r="S119" s="248"/>
      <c r="T119" s="248"/>
      <c r="U119" s="785">
        <v>3184272</v>
      </c>
      <c r="V119" s="785">
        <v>6000</v>
      </c>
      <c r="W119" s="248"/>
      <c r="X119" s="340">
        <f>R119+S119+T119+Q119+W119</f>
        <v>0</v>
      </c>
      <c r="Y119" s="344">
        <f t="shared" si="24"/>
        <v>3190272</v>
      </c>
      <c r="Z119" s="391" t="s">
        <v>2101</v>
      </c>
      <c r="AA119" s="341">
        <f>+(1790000+500000)*1.08</f>
        <v>2473200</v>
      </c>
      <c r="AB119" s="342">
        <f t="shared" si="25"/>
        <v>5663472</v>
      </c>
      <c r="AC119" s="252"/>
      <c r="AD119" s="5"/>
    </row>
    <row r="120" spans="1:30" s="13" customFormat="1" ht="26.4">
      <c r="A120" s="326">
        <v>7</v>
      </c>
      <c r="B120" s="991" t="s">
        <v>3320</v>
      </c>
      <c r="C120" s="45">
        <v>106581803310</v>
      </c>
      <c r="D120" s="821" t="s">
        <v>3315</v>
      </c>
      <c r="E120" s="47" t="s">
        <v>3297</v>
      </c>
      <c r="F120" s="126" t="s">
        <v>206</v>
      </c>
      <c r="G120" s="167"/>
      <c r="H120" s="167"/>
      <c r="I120" s="170" t="s">
        <v>973</v>
      </c>
      <c r="J120" s="837" t="s">
        <v>3369</v>
      </c>
      <c r="K120" s="86" t="s">
        <v>210</v>
      </c>
      <c r="L120" s="154" t="s">
        <v>3329</v>
      </c>
      <c r="M120" s="577" t="s">
        <v>3281</v>
      </c>
      <c r="N120" s="158" t="s">
        <v>3294</v>
      </c>
      <c r="O120" s="2096" t="s">
        <v>3307</v>
      </c>
      <c r="P120" s="2084"/>
      <c r="Q120" s="2107">
        <v>2973437</v>
      </c>
      <c r="R120" s="324">
        <v>1414800</v>
      </c>
      <c r="S120" s="248"/>
      <c r="T120" s="248"/>
      <c r="U120" s="979">
        <v>15468651</v>
      </c>
      <c r="V120" s="785">
        <v>30300</v>
      </c>
      <c r="W120" s="248"/>
      <c r="X120" s="340">
        <f>R120+S120+T120+Q120+W120</f>
        <v>4388237</v>
      </c>
      <c r="Y120" s="344">
        <f t="shared" si="24"/>
        <v>15498951</v>
      </c>
      <c r="Z120" s="391" t="s">
        <v>2101</v>
      </c>
      <c r="AA120" s="341">
        <f>5650000*1.08</f>
        <v>6102000</v>
      </c>
      <c r="AB120" s="342">
        <f t="shared" si="25"/>
        <v>25989188</v>
      </c>
      <c r="AC120" s="252"/>
      <c r="AD120" s="5"/>
    </row>
    <row r="121" spans="1:30" s="13" customFormat="1">
      <c r="A121" s="326">
        <f>+A120+1</f>
        <v>8</v>
      </c>
      <c r="B121" s="722"/>
      <c r="C121" s="442" t="s">
        <v>3331</v>
      </c>
      <c r="D121" s="46"/>
      <c r="E121" s="47" t="s">
        <v>3332</v>
      </c>
      <c r="F121" s="126"/>
      <c r="G121" s="167"/>
      <c r="H121" s="167"/>
      <c r="I121" s="170"/>
      <c r="J121" s="837"/>
      <c r="K121" s="842"/>
      <c r="L121" s="154"/>
      <c r="M121" s="577"/>
      <c r="N121" s="158"/>
      <c r="O121" s="2091"/>
      <c r="P121" s="1613"/>
      <c r="Q121" s="2104"/>
      <c r="R121" s="248"/>
      <c r="S121" s="248"/>
      <c r="T121" s="248"/>
      <c r="U121" s="247"/>
      <c r="V121" s="816"/>
      <c r="W121" s="248"/>
      <c r="X121" s="340">
        <f t="shared" si="26"/>
        <v>0</v>
      </c>
      <c r="Y121" s="344">
        <f>+U121</f>
        <v>0</v>
      </c>
      <c r="Z121" s="249" t="s">
        <v>3131</v>
      </c>
      <c r="AA121" s="341">
        <f>600000*12*1.08</f>
        <v>7776000.0000000009</v>
      </c>
      <c r="AB121" s="342">
        <f t="shared" si="25"/>
        <v>7776000.0000000009</v>
      </c>
      <c r="AC121" s="252"/>
      <c r="AD121" s="5"/>
    </row>
    <row r="122" spans="1:30" s="13" customFormat="1">
      <c r="A122" s="326">
        <f>+A121+1</f>
        <v>9</v>
      </c>
      <c r="B122" s="722"/>
      <c r="C122" s="442" t="s">
        <v>3356</v>
      </c>
      <c r="D122" s="46"/>
      <c r="E122" s="47" t="s">
        <v>3357</v>
      </c>
      <c r="F122" s="126"/>
      <c r="G122" s="167"/>
      <c r="H122" s="167"/>
      <c r="I122" s="170"/>
      <c r="J122" s="837"/>
      <c r="K122" s="842"/>
      <c r="L122" s="154" t="s">
        <v>2995</v>
      </c>
      <c r="M122" s="577"/>
      <c r="N122" s="158"/>
      <c r="O122" s="2091"/>
      <c r="P122" s="1613"/>
      <c r="Q122" s="2104"/>
      <c r="R122" s="248"/>
      <c r="S122" s="248"/>
      <c r="T122" s="324">
        <v>98182</v>
      </c>
      <c r="U122" s="247"/>
      <c r="V122" s="816"/>
      <c r="W122" s="248"/>
      <c r="X122" s="340">
        <f t="shared" si="26"/>
        <v>98182</v>
      </c>
      <c r="Y122" s="344">
        <f>+U122</f>
        <v>0</v>
      </c>
      <c r="Z122" s="249"/>
      <c r="AA122" s="341">
        <v>864000</v>
      </c>
      <c r="AB122" s="342">
        <v>962182</v>
      </c>
      <c r="AC122" s="252"/>
      <c r="AD122" s="5"/>
    </row>
    <row r="123" spans="1:30" s="13" customFormat="1" ht="26.4">
      <c r="A123" s="849"/>
      <c r="B123" s="991"/>
      <c r="C123" s="918">
        <v>106596485660</v>
      </c>
      <c r="D123" s="1038" t="s">
        <v>3361</v>
      </c>
      <c r="E123" s="872"/>
      <c r="F123" s="126" t="s">
        <v>206</v>
      </c>
      <c r="G123" s="167">
        <v>1</v>
      </c>
      <c r="H123" s="167"/>
      <c r="I123" s="837"/>
      <c r="J123" s="977" t="s">
        <v>3371</v>
      </c>
      <c r="K123" s="715" t="s">
        <v>3423</v>
      </c>
      <c r="L123" s="154"/>
      <c r="M123" s="577" t="s">
        <v>3317</v>
      </c>
      <c r="N123" s="964" t="s">
        <v>3271</v>
      </c>
      <c r="O123" s="2099" t="s">
        <v>3316</v>
      </c>
      <c r="P123" s="2084"/>
      <c r="Q123" s="2104"/>
      <c r="R123" s="248"/>
      <c r="S123" s="248"/>
      <c r="T123" s="248"/>
      <c r="U123" s="247"/>
      <c r="V123" s="816"/>
      <c r="W123" s="248"/>
      <c r="X123" s="876"/>
      <c r="Y123" s="1040"/>
      <c r="Z123" s="1039"/>
      <c r="AA123" s="969"/>
      <c r="AB123" s="1041"/>
      <c r="AC123" s="883"/>
      <c r="AD123" s="5"/>
    </row>
    <row r="124" spans="1:30" s="13" customFormat="1">
      <c r="A124" s="3715" t="s">
        <v>3330</v>
      </c>
      <c r="B124" s="3716"/>
      <c r="C124" s="3716"/>
      <c r="D124" s="3716"/>
      <c r="E124" s="3716"/>
      <c r="F124" s="3716"/>
      <c r="G124" s="3716"/>
      <c r="H124" s="3716"/>
      <c r="I124" s="3716"/>
      <c r="J124" s="3716"/>
      <c r="K124" s="3716"/>
      <c r="L124" s="3717"/>
      <c r="M124" s="1002"/>
      <c r="N124" s="346"/>
      <c r="O124" s="1987"/>
      <c r="P124" s="2054"/>
      <c r="Q124" s="501"/>
      <c r="R124" s="501"/>
      <c r="S124" s="501"/>
      <c r="T124" s="501"/>
      <c r="U124" s="346"/>
      <c r="V124" s="346"/>
      <c r="W124" s="501"/>
      <c r="X124" s="354">
        <f>SUM(X114:X122)</f>
        <v>30943084</v>
      </c>
      <c r="Y124" s="354">
        <f>SUM(Y114:Y122)</f>
        <v>54940325</v>
      </c>
      <c r="Z124" s="356"/>
      <c r="AA124" s="354">
        <f>SUM(AA114:AA122)</f>
        <v>120128400</v>
      </c>
      <c r="AB124" s="354">
        <f>+X124+Y124+AA124</f>
        <v>206011809</v>
      </c>
      <c r="AC124" s="578">
        <f>SUM(AC121:AC122)</f>
        <v>0</v>
      </c>
      <c r="AD124" s="5"/>
    </row>
    <row r="125" spans="1:30" s="13" customFormat="1" ht="26.4">
      <c r="A125" s="326">
        <v>1</v>
      </c>
      <c r="B125" s="1046" t="s">
        <v>3416</v>
      </c>
      <c r="C125" s="976">
        <v>106600695020</v>
      </c>
      <c r="D125" s="1023" t="s">
        <v>3397</v>
      </c>
      <c r="E125" s="903" t="s">
        <v>3318</v>
      </c>
      <c r="F125" s="126" t="s">
        <v>206</v>
      </c>
      <c r="G125" s="167">
        <v>1</v>
      </c>
      <c r="H125" s="167"/>
      <c r="I125" s="977"/>
      <c r="J125" s="977" t="s">
        <v>3371</v>
      </c>
      <c r="K125" s="822" t="s">
        <v>123</v>
      </c>
      <c r="L125" s="1036" t="s">
        <v>3420</v>
      </c>
      <c r="M125" s="847" t="s">
        <v>3317</v>
      </c>
      <c r="N125" s="964" t="s">
        <v>3271</v>
      </c>
      <c r="O125" s="2099" t="s">
        <v>3316</v>
      </c>
      <c r="P125" s="2084"/>
      <c r="Q125" s="2107">
        <v>270000</v>
      </c>
      <c r="R125" s="324">
        <v>825120</v>
      </c>
      <c r="S125" s="373">
        <v>880000</v>
      </c>
      <c r="T125" s="876"/>
      <c r="U125" s="979">
        <v>6720000</v>
      </c>
      <c r="V125" s="979">
        <v>250000</v>
      </c>
      <c r="W125" s="324">
        <f>2200000+550000+760000</f>
        <v>3510000</v>
      </c>
      <c r="X125" s="860">
        <f>R125+S125+T125+Q125+W125</f>
        <v>5485120</v>
      </c>
      <c r="Y125" s="861">
        <f t="shared" ref="Y125:Y130" si="27">+U125+V125</f>
        <v>6970000</v>
      </c>
      <c r="Z125" s="862"/>
      <c r="AA125" s="341">
        <f>((G125*4750000)+(H125*5150000))*1.08</f>
        <v>5130000</v>
      </c>
      <c r="AB125" s="864">
        <f t="shared" ref="AB125:AB130" si="28">+AA125+Y125+X125</f>
        <v>17585120</v>
      </c>
      <c r="AC125" s="907"/>
      <c r="AD125" s="5"/>
    </row>
    <row r="126" spans="1:30" s="13" customFormat="1" ht="26.4">
      <c r="A126" s="326">
        <v>2</v>
      </c>
      <c r="B126" s="1052" t="s">
        <v>3449</v>
      </c>
      <c r="C126" s="45">
        <v>106619073040</v>
      </c>
      <c r="D126" s="821" t="s">
        <v>3412</v>
      </c>
      <c r="E126" s="47" t="s">
        <v>3427</v>
      </c>
      <c r="F126" s="126" t="s">
        <v>206</v>
      </c>
      <c r="G126" s="167"/>
      <c r="H126" s="167"/>
      <c r="I126" s="170" t="s">
        <v>973</v>
      </c>
      <c r="J126" s="837"/>
      <c r="K126" s="822" t="s">
        <v>123</v>
      </c>
      <c r="L126" s="154" t="s">
        <v>3429</v>
      </c>
      <c r="M126" s="847" t="s">
        <v>3416</v>
      </c>
      <c r="N126" s="158" t="s">
        <v>3408</v>
      </c>
      <c r="O126" s="2096" t="s">
        <v>3405</v>
      </c>
      <c r="P126" s="2084"/>
      <c r="Q126" s="2107">
        <v>69159</v>
      </c>
      <c r="R126" s="248"/>
      <c r="S126" s="248"/>
      <c r="T126" s="876"/>
      <c r="U126" s="979">
        <v>18995173</v>
      </c>
      <c r="V126" s="979">
        <v>78000</v>
      </c>
      <c r="W126" s="248"/>
      <c r="X126" s="860">
        <f>R126+S126+T126+Q126+W126</f>
        <v>69159</v>
      </c>
      <c r="Y126" s="861">
        <f t="shared" si="27"/>
        <v>19073173</v>
      </c>
      <c r="Z126" s="249"/>
      <c r="AA126" s="341">
        <f>(2940000+1790000)*1.08</f>
        <v>5108400</v>
      </c>
      <c r="AB126" s="342">
        <f t="shared" si="28"/>
        <v>24250732</v>
      </c>
      <c r="AC126" s="252"/>
      <c r="AD126" s="5"/>
    </row>
    <row r="127" spans="1:30" ht="26.4">
      <c r="A127" s="868">
        <v>3</v>
      </c>
      <c r="B127" s="1053" t="s">
        <v>3450</v>
      </c>
      <c r="C127" s="918">
        <v>106624179060</v>
      </c>
      <c r="D127" s="984" t="s">
        <v>3424</v>
      </c>
      <c r="E127" s="872" t="s">
        <v>3438</v>
      </c>
      <c r="F127" s="126" t="s">
        <v>206</v>
      </c>
      <c r="G127" s="968"/>
      <c r="H127" s="968"/>
      <c r="I127" s="967">
        <v>1</v>
      </c>
      <c r="J127" s="840"/>
      <c r="K127" s="868" t="s">
        <v>210</v>
      </c>
      <c r="L127" s="1016" t="s">
        <v>3444</v>
      </c>
      <c r="M127" s="1047" t="s">
        <v>3443</v>
      </c>
      <c r="N127" s="968" t="s">
        <v>2903</v>
      </c>
      <c r="O127" s="2098" t="s">
        <v>3406</v>
      </c>
      <c r="P127" s="1652"/>
      <c r="Q127" s="2113"/>
      <c r="R127" s="1032"/>
      <c r="S127" s="876"/>
      <c r="T127" s="876"/>
      <c r="U127" s="979">
        <v>6615567</v>
      </c>
      <c r="V127" s="979">
        <v>54450</v>
      </c>
      <c r="W127" s="876"/>
      <c r="X127" s="878">
        <f>R127+S127+T127+Q127+W127</f>
        <v>0</v>
      </c>
      <c r="Y127" s="861">
        <f t="shared" si="27"/>
        <v>6670017</v>
      </c>
      <c r="Z127" s="880"/>
      <c r="AA127" s="341">
        <f>2940000*1.08</f>
        <v>3175200</v>
      </c>
      <c r="AB127" s="882">
        <f t="shared" si="28"/>
        <v>9845217</v>
      </c>
      <c r="AC127" s="883"/>
    </row>
    <row r="128" spans="1:30" s="13" customFormat="1" ht="26.4">
      <c r="A128" s="670">
        <v>4</v>
      </c>
      <c r="B128" s="1053" t="s">
        <v>3450</v>
      </c>
      <c r="C128" s="796">
        <v>106624232260</v>
      </c>
      <c r="D128" s="984" t="s">
        <v>3424</v>
      </c>
      <c r="E128" s="672" t="s">
        <v>3439</v>
      </c>
      <c r="F128" s="126" t="s">
        <v>206</v>
      </c>
      <c r="G128" s="445"/>
      <c r="H128" s="445"/>
      <c r="I128" s="973" t="s">
        <v>973</v>
      </c>
      <c r="J128" s="973"/>
      <c r="K128" s="822" t="s">
        <v>123</v>
      </c>
      <c r="L128" s="577" t="s">
        <v>3445</v>
      </c>
      <c r="M128" s="1047" t="s">
        <v>3443</v>
      </c>
      <c r="N128" s="806" t="s">
        <v>3052</v>
      </c>
      <c r="O128" s="2098" t="s">
        <v>3407</v>
      </c>
      <c r="P128" s="1652"/>
      <c r="Q128" s="2106"/>
      <c r="R128" s="425"/>
      <c r="S128" s="425"/>
      <c r="T128" s="425"/>
      <c r="U128" s="979">
        <v>3086370</v>
      </c>
      <c r="V128" s="979">
        <v>750</v>
      </c>
      <c r="W128" s="425"/>
      <c r="X128" s="674">
        <f t="shared" si="26"/>
        <v>0</v>
      </c>
      <c r="Y128" s="861">
        <f t="shared" si="27"/>
        <v>3087120</v>
      </c>
      <c r="Z128" s="974"/>
      <c r="AA128" s="341">
        <f>1790000*1.08</f>
        <v>1933200.0000000002</v>
      </c>
      <c r="AB128" s="677">
        <f t="shared" si="28"/>
        <v>5020320</v>
      </c>
      <c r="AC128" s="808"/>
      <c r="AD128" s="5"/>
    </row>
    <row r="129" spans="1:30" s="13" customFormat="1" ht="132">
      <c r="A129" s="326">
        <v>5</v>
      </c>
      <c r="B129" s="960" t="s">
        <v>3519</v>
      </c>
      <c r="C129" s="45">
        <v>106640908030</v>
      </c>
      <c r="D129" s="542" t="s">
        <v>3508</v>
      </c>
      <c r="E129" s="47" t="s">
        <v>3520</v>
      </c>
      <c r="F129" s="126" t="s">
        <v>206</v>
      </c>
      <c r="G129" s="167">
        <v>10</v>
      </c>
      <c r="H129" s="167"/>
      <c r="I129" s="170"/>
      <c r="J129" s="837" t="s">
        <v>3492</v>
      </c>
      <c r="K129" s="822" t="s">
        <v>123</v>
      </c>
      <c r="L129" s="154"/>
      <c r="M129" s="577" t="s">
        <v>3490</v>
      </c>
      <c r="N129" s="158" t="s">
        <v>3252</v>
      </c>
      <c r="O129" s="2096" t="s">
        <v>3491</v>
      </c>
      <c r="P129" s="2084"/>
      <c r="Q129" s="2107">
        <v>999000</v>
      </c>
      <c r="R129" s="324">
        <v>4320000</v>
      </c>
      <c r="S129" s="373">
        <f>900000*10</f>
        <v>9000000</v>
      </c>
      <c r="T129" s="248"/>
      <c r="U129" s="247"/>
      <c r="V129" s="979">
        <v>2500000</v>
      </c>
      <c r="W129" s="248"/>
      <c r="X129" s="340">
        <f t="shared" si="26"/>
        <v>14319000</v>
      </c>
      <c r="Y129" s="861">
        <f t="shared" si="27"/>
        <v>2500000</v>
      </c>
      <c r="Z129" s="249" t="s">
        <v>3512</v>
      </c>
      <c r="AA129" s="341">
        <f>((G129*4750000)+(H129*5150000))*1.08+((500000*1.03)*1.08)</f>
        <v>51856200</v>
      </c>
      <c r="AB129" s="342">
        <f t="shared" si="28"/>
        <v>68675200</v>
      </c>
      <c r="AC129" s="808"/>
      <c r="AD129" s="5"/>
    </row>
    <row r="130" spans="1:30" s="13" customFormat="1">
      <c r="A130" s="326">
        <v>6</v>
      </c>
      <c r="B130" s="786"/>
      <c r="C130" s="442" t="s">
        <v>3559</v>
      </c>
      <c r="D130" s="542"/>
      <c r="E130" s="47" t="s">
        <v>3561</v>
      </c>
      <c r="F130" s="126"/>
      <c r="G130" s="167"/>
      <c r="H130" s="167"/>
      <c r="I130" s="170"/>
      <c r="J130" s="837"/>
      <c r="K130" s="79"/>
      <c r="L130" s="154"/>
      <c r="M130" s="577"/>
      <c r="N130" s="158"/>
      <c r="O130" s="2091"/>
      <c r="P130" s="1613"/>
      <c r="Q130" s="2104"/>
      <c r="R130" s="248"/>
      <c r="S130" s="248"/>
      <c r="T130" s="248"/>
      <c r="U130" s="247"/>
      <c r="V130" s="816"/>
      <c r="W130" s="248"/>
      <c r="X130" s="340">
        <f t="shared" si="26"/>
        <v>0</v>
      </c>
      <c r="Y130" s="861">
        <f t="shared" si="27"/>
        <v>0</v>
      </c>
      <c r="Z130" s="249" t="s">
        <v>3896</v>
      </c>
      <c r="AA130" s="341">
        <f>600000*16*1.08</f>
        <v>10368000</v>
      </c>
      <c r="AB130" s="342">
        <f t="shared" si="28"/>
        <v>10368000</v>
      </c>
      <c r="AC130" s="252"/>
      <c r="AD130" s="5"/>
    </row>
    <row r="131" spans="1:30" s="13" customFormat="1">
      <c r="A131" s="3715" t="s">
        <v>3560</v>
      </c>
      <c r="B131" s="3716"/>
      <c r="C131" s="3716"/>
      <c r="D131" s="3716"/>
      <c r="E131" s="3716"/>
      <c r="F131" s="3716"/>
      <c r="G131" s="3716"/>
      <c r="H131" s="3716"/>
      <c r="I131" s="3716"/>
      <c r="J131" s="3716"/>
      <c r="K131" s="3716"/>
      <c r="L131" s="3717"/>
      <c r="M131" s="1062"/>
      <c r="N131" s="346"/>
      <c r="O131" s="1987"/>
      <c r="P131" s="2054"/>
      <c r="Q131" s="501"/>
      <c r="R131" s="501"/>
      <c r="S131" s="501"/>
      <c r="T131" s="501"/>
      <c r="U131" s="346"/>
      <c r="V131" s="1123">
        <f>SUM(V125:V130)</f>
        <v>2883200</v>
      </c>
      <c r="W131" s="501"/>
      <c r="X131" s="354">
        <f>SUM(X125:X130)</f>
        <v>19873279</v>
      </c>
      <c r="Y131" s="354">
        <f>SUM(Y125:Y130)</f>
        <v>38300310</v>
      </c>
      <c r="Z131" s="356"/>
      <c r="AA131" s="354">
        <f>SUM(AA125:AA130)</f>
        <v>77571000</v>
      </c>
      <c r="AB131" s="354">
        <f>SUM(AB125:AB130)</f>
        <v>135744589</v>
      </c>
      <c r="AC131" s="578">
        <f>SUM(AC129:AC130)</f>
        <v>0</v>
      </c>
      <c r="AD131" s="5"/>
    </row>
    <row r="132" spans="1:30" s="13" customFormat="1" ht="26.4">
      <c r="A132" s="326">
        <v>1</v>
      </c>
      <c r="B132" s="1013" t="s">
        <v>3915</v>
      </c>
      <c r="C132" s="45">
        <v>106675113530</v>
      </c>
      <c r="D132" s="1135" t="s">
        <v>3917</v>
      </c>
      <c r="E132" s="47" t="s">
        <v>3902</v>
      </c>
      <c r="F132" s="126" t="s">
        <v>206</v>
      </c>
      <c r="G132" s="167"/>
      <c r="H132" s="167"/>
      <c r="I132" s="170" t="s">
        <v>973</v>
      </c>
      <c r="J132" s="7"/>
      <c r="K132" s="86" t="s">
        <v>210</v>
      </c>
      <c r="L132" s="837" t="s">
        <v>3912</v>
      </c>
      <c r="M132" s="959" t="s">
        <v>3914</v>
      </c>
      <c r="N132" s="968" t="s">
        <v>2903</v>
      </c>
      <c r="O132" s="2091" t="s">
        <v>3916</v>
      </c>
      <c r="P132" s="1613"/>
      <c r="Q132" s="2104"/>
      <c r="R132" s="248"/>
      <c r="S132" s="248"/>
      <c r="T132" s="248"/>
      <c r="U132" s="979">
        <v>3105000</v>
      </c>
      <c r="V132" s="979">
        <v>8250</v>
      </c>
      <c r="W132" s="248"/>
      <c r="X132" s="340">
        <f t="shared" si="26"/>
        <v>0</v>
      </c>
      <c r="Y132" s="344">
        <f t="shared" ref="Y132:Y145" si="29">+U132+V132</f>
        <v>3113250</v>
      </c>
      <c r="Z132" s="249"/>
      <c r="AA132" s="341">
        <f>1790000*1.08</f>
        <v>1933200.0000000002</v>
      </c>
      <c r="AB132" s="342">
        <f>+AA132+Y132+X132</f>
        <v>5046450</v>
      </c>
      <c r="AC132" s="252"/>
      <c r="AD132" s="5"/>
    </row>
    <row r="133" spans="1:30" s="13" customFormat="1" ht="26.4">
      <c r="A133" s="326">
        <f>+A132+1</f>
        <v>2</v>
      </c>
      <c r="B133" s="1013" t="s">
        <v>3996</v>
      </c>
      <c r="C133" s="45">
        <v>106709034941</v>
      </c>
      <c r="D133" s="821" t="s">
        <v>3971</v>
      </c>
      <c r="E133" s="47" t="s">
        <v>3986</v>
      </c>
      <c r="F133" s="126" t="s">
        <v>206</v>
      </c>
      <c r="G133" s="167"/>
      <c r="H133" s="167"/>
      <c r="I133" s="170" t="s">
        <v>973</v>
      </c>
      <c r="J133" s="837"/>
      <c r="K133" s="715" t="s">
        <v>136</v>
      </c>
      <c r="L133" s="154" t="s">
        <v>3964</v>
      </c>
      <c r="M133" s="1140" t="s">
        <v>3971</v>
      </c>
      <c r="N133" s="158" t="s">
        <v>3962</v>
      </c>
      <c r="O133" s="2096" t="s">
        <v>3976</v>
      </c>
      <c r="P133" s="2084"/>
      <c r="Q133" s="2107">
        <v>19911</v>
      </c>
      <c r="R133" s="248"/>
      <c r="S133" s="248"/>
      <c r="T133" s="248"/>
      <c r="U133" s="979">
        <v>3976309</v>
      </c>
      <c r="V133" s="979">
        <v>25320</v>
      </c>
      <c r="W133" s="248"/>
      <c r="X133" s="340">
        <f t="shared" si="26"/>
        <v>19911</v>
      </c>
      <c r="Y133" s="344">
        <f t="shared" si="29"/>
        <v>4001629</v>
      </c>
      <c r="Z133" s="249"/>
      <c r="AA133" s="341">
        <f>1990000*1.08</f>
        <v>2149200</v>
      </c>
      <c r="AB133" s="342">
        <f>+AA133+Y133+X133</f>
        <v>6170740</v>
      </c>
      <c r="AC133" s="252"/>
      <c r="AD133" s="5"/>
    </row>
    <row r="134" spans="1:30" s="13" customFormat="1" ht="26.4">
      <c r="A134" s="326">
        <v>3</v>
      </c>
      <c r="B134" s="991" t="s">
        <v>3999</v>
      </c>
      <c r="C134" s="45">
        <v>106710427941</v>
      </c>
      <c r="D134" s="821" t="s">
        <v>3971</v>
      </c>
      <c r="E134" s="47" t="s">
        <v>3985</v>
      </c>
      <c r="F134" s="126" t="s">
        <v>206</v>
      </c>
      <c r="G134" s="167"/>
      <c r="H134" s="167"/>
      <c r="I134" s="170" t="s">
        <v>973</v>
      </c>
      <c r="J134" s="837"/>
      <c r="K134" s="822" t="s">
        <v>123</v>
      </c>
      <c r="L134" s="154" t="s">
        <v>3972</v>
      </c>
      <c r="M134" s="1140" t="s">
        <v>3971</v>
      </c>
      <c r="N134" s="158" t="s">
        <v>2840</v>
      </c>
      <c r="O134" s="2096" t="s">
        <v>3977</v>
      </c>
      <c r="P134" s="2084"/>
      <c r="Q134" s="2104"/>
      <c r="R134" s="248"/>
      <c r="S134" s="248"/>
      <c r="T134" s="248"/>
      <c r="U134" s="979">
        <v>15530734</v>
      </c>
      <c r="V134" s="979">
        <v>78000</v>
      </c>
      <c r="W134" s="248"/>
      <c r="X134" s="340">
        <f t="shared" si="26"/>
        <v>0</v>
      </c>
      <c r="Y134" s="344">
        <f t="shared" si="29"/>
        <v>15608734</v>
      </c>
      <c r="Z134" s="249"/>
      <c r="AA134" s="341">
        <f>(2940000+1790000)*1.08</f>
        <v>5108400</v>
      </c>
      <c r="AB134" s="342">
        <f>+AA134+Y134+X134</f>
        <v>20717134</v>
      </c>
      <c r="AC134" s="252"/>
      <c r="AD134" s="5"/>
    </row>
    <row r="135" spans="1:30" s="13" customFormat="1">
      <c r="A135" s="326">
        <v>4</v>
      </c>
      <c r="B135" s="786"/>
      <c r="C135" s="442" t="s">
        <v>4037</v>
      </c>
      <c r="D135" s="542"/>
      <c r="E135" s="179" t="s">
        <v>4036</v>
      </c>
      <c r="F135" s="126"/>
      <c r="G135" s="167"/>
      <c r="H135" s="167"/>
      <c r="I135" s="170"/>
      <c r="J135" s="837"/>
      <c r="K135" s="79"/>
      <c r="L135" s="154"/>
      <c r="M135" s="577"/>
      <c r="N135" s="158"/>
      <c r="O135" s="2091"/>
      <c r="P135" s="1613"/>
      <c r="Q135" s="2104"/>
      <c r="R135" s="248"/>
      <c r="S135" s="248"/>
      <c r="T135" s="248"/>
      <c r="U135" s="247"/>
      <c r="V135" s="816"/>
      <c r="W135" s="248"/>
      <c r="X135" s="340">
        <f t="shared" si="26"/>
        <v>0</v>
      </c>
      <c r="Y135" s="344">
        <f t="shared" si="29"/>
        <v>0</v>
      </c>
      <c r="Z135" s="249" t="s">
        <v>4060</v>
      </c>
      <c r="AA135" s="341">
        <f>600000*17*1.08</f>
        <v>11016000</v>
      </c>
      <c r="AB135" s="342">
        <f>+AA135+Y135+X135</f>
        <v>11016000</v>
      </c>
      <c r="AC135" s="252"/>
      <c r="AD135" s="5"/>
    </row>
    <row r="136" spans="1:30" s="13" customFormat="1">
      <c r="A136" s="3715" t="s">
        <v>4087</v>
      </c>
      <c r="B136" s="3716"/>
      <c r="C136" s="3716"/>
      <c r="D136" s="3716"/>
      <c r="E136" s="3716"/>
      <c r="F136" s="3716"/>
      <c r="G136" s="3716"/>
      <c r="H136" s="3716"/>
      <c r="I136" s="3716"/>
      <c r="J136" s="3716"/>
      <c r="K136" s="3716"/>
      <c r="L136" s="3717"/>
      <c r="M136" s="1204"/>
      <c r="N136" s="346"/>
      <c r="O136" s="1987"/>
      <c r="P136" s="2054"/>
      <c r="Q136" s="501"/>
      <c r="R136" s="501"/>
      <c r="S136" s="501"/>
      <c r="T136" s="501"/>
      <c r="U136" s="346"/>
      <c r="V136" s="1123"/>
      <c r="W136" s="501"/>
      <c r="X136" s="354">
        <f>SUM(X132:X135)</f>
        <v>19911</v>
      </c>
      <c r="Y136" s="354">
        <f>SUM(Y132:Y135)</f>
        <v>22723613</v>
      </c>
      <c r="Z136" s="356"/>
      <c r="AA136" s="354">
        <f>SUM(AA132:AA135)</f>
        <v>20206800</v>
      </c>
      <c r="AB136" s="354">
        <f>SUM(AB132:AB135)</f>
        <v>42950324</v>
      </c>
      <c r="AC136" s="578"/>
      <c r="AD136" s="5"/>
    </row>
    <row r="137" spans="1:30" s="13" customFormat="1" ht="132">
      <c r="A137" s="326">
        <f>+A135+1</f>
        <v>5</v>
      </c>
      <c r="B137" s="960" t="s">
        <v>4139</v>
      </c>
      <c r="C137" s="45">
        <v>106775785211</v>
      </c>
      <c r="D137" s="821" t="s">
        <v>4137</v>
      </c>
      <c r="E137" s="47" t="s">
        <v>4142</v>
      </c>
      <c r="F137" s="126" t="s">
        <v>206</v>
      </c>
      <c r="G137" s="167">
        <v>10</v>
      </c>
      <c r="H137" s="167"/>
      <c r="I137" s="170"/>
      <c r="J137" s="837" t="s">
        <v>4159</v>
      </c>
      <c r="K137" s="822" t="s">
        <v>123</v>
      </c>
      <c r="L137" s="154"/>
      <c r="M137" s="577" t="s">
        <v>4127</v>
      </c>
      <c r="N137" s="1262" t="s">
        <v>4129</v>
      </c>
      <c r="O137" s="2096" t="s">
        <v>4126</v>
      </c>
      <c r="P137" s="2084"/>
      <c r="Q137" s="2107">
        <v>799200</v>
      </c>
      <c r="R137" s="324">
        <v>4320000</v>
      </c>
      <c r="S137" s="373">
        <v>9000000</v>
      </c>
      <c r="T137" s="248"/>
      <c r="U137" s="247"/>
      <c r="V137" s="979">
        <v>2500000</v>
      </c>
      <c r="W137" s="248"/>
      <c r="X137" s="340">
        <f>R137+S137+T137+Q137+W137</f>
        <v>14119200</v>
      </c>
      <c r="Y137" s="344">
        <f>+U137+V137</f>
        <v>2500000</v>
      </c>
      <c r="Z137" s="249"/>
      <c r="AA137" s="341">
        <f>((G137*4750000)+(H137*5150000))*1.08</f>
        <v>51300000</v>
      </c>
      <c r="AB137" s="342">
        <f>+AA137+Y137+X137</f>
        <v>67919200</v>
      </c>
      <c r="AC137" s="252"/>
      <c r="AD137" s="5"/>
    </row>
    <row r="138" spans="1:30" s="13" customFormat="1" ht="26.4">
      <c r="A138" s="326">
        <f>+A137+1</f>
        <v>6</v>
      </c>
      <c r="B138" s="1013" t="s">
        <v>4259</v>
      </c>
      <c r="C138" s="45">
        <v>106817862100</v>
      </c>
      <c r="D138" s="542" t="s">
        <v>4218</v>
      </c>
      <c r="E138" s="47" t="s">
        <v>4230</v>
      </c>
      <c r="F138" s="126" t="s">
        <v>206</v>
      </c>
      <c r="G138" s="167"/>
      <c r="H138" s="167"/>
      <c r="I138" s="170" t="s">
        <v>973</v>
      </c>
      <c r="J138" s="837"/>
      <c r="K138" s="822" t="s">
        <v>123</v>
      </c>
      <c r="L138" s="154" t="s">
        <v>4241</v>
      </c>
      <c r="M138" s="577" t="s">
        <v>4218</v>
      </c>
      <c r="N138" s="1262" t="s">
        <v>4254</v>
      </c>
      <c r="O138" s="2096" t="s">
        <v>4227</v>
      </c>
      <c r="P138" s="2084"/>
      <c r="Q138" s="2104"/>
      <c r="R138" s="248"/>
      <c r="S138" s="248"/>
      <c r="T138" s="248"/>
      <c r="U138" s="979">
        <v>3201120</v>
      </c>
      <c r="V138" s="815">
        <v>1125</v>
      </c>
      <c r="W138" s="248"/>
      <c r="X138" s="340">
        <f t="shared" si="26"/>
        <v>0</v>
      </c>
      <c r="Y138" s="344">
        <f t="shared" si="29"/>
        <v>3202245</v>
      </c>
      <c r="Z138" s="249"/>
      <c r="AA138" s="341">
        <f>1790000*1.08</f>
        <v>1933200.0000000002</v>
      </c>
      <c r="AB138" s="342">
        <f>+AA138+Y138+X138</f>
        <v>5135445</v>
      </c>
      <c r="AC138" s="252"/>
      <c r="AD138" s="5"/>
    </row>
    <row r="139" spans="1:30" s="13" customFormat="1">
      <c r="A139" s="326">
        <v>4</v>
      </c>
      <c r="B139" s="786"/>
      <c r="C139" s="442" t="s">
        <v>4266</v>
      </c>
      <c r="D139" s="542"/>
      <c r="E139" s="47" t="s">
        <v>4269</v>
      </c>
      <c r="F139" s="126"/>
      <c r="G139" s="167"/>
      <c r="H139" s="167"/>
      <c r="I139" s="170"/>
      <c r="J139" s="837"/>
      <c r="K139" s="79"/>
      <c r="L139" s="154"/>
      <c r="M139" s="577"/>
      <c r="N139" s="158"/>
      <c r="O139" s="2091"/>
      <c r="P139" s="1613"/>
      <c r="Q139" s="2104"/>
      <c r="R139" s="248"/>
      <c r="S139" s="248"/>
      <c r="T139" s="248"/>
      <c r="U139" s="247"/>
      <c r="V139" s="816"/>
      <c r="W139" s="248"/>
      <c r="X139" s="340">
        <f>R139+S139+T139+Q139+W139</f>
        <v>0</v>
      </c>
      <c r="Y139" s="344">
        <f>+U139+V139</f>
        <v>0</v>
      </c>
      <c r="Z139" s="249" t="s">
        <v>3896</v>
      </c>
      <c r="AA139" s="341">
        <v>10368000</v>
      </c>
      <c r="AB139" s="342">
        <f>+AA139+Y139+X139</f>
        <v>10368000</v>
      </c>
      <c r="AC139" s="252"/>
      <c r="AD139" s="5"/>
    </row>
    <row r="140" spans="1:30" s="13" customFormat="1">
      <c r="A140" s="3715" t="s">
        <v>4264</v>
      </c>
      <c r="B140" s="3716"/>
      <c r="C140" s="3716"/>
      <c r="D140" s="3716"/>
      <c r="E140" s="3716"/>
      <c r="F140" s="3716"/>
      <c r="G140" s="3716"/>
      <c r="H140" s="3716"/>
      <c r="I140" s="3716"/>
      <c r="J140" s="3716"/>
      <c r="K140" s="3716"/>
      <c r="L140" s="3717"/>
      <c r="M140" s="1281"/>
      <c r="N140" s="346"/>
      <c r="O140" s="1987"/>
      <c r="P140" s="2054"/>
      <c r="Q140" s="501"/>
      <c r="R140" s="501"/>
      <c r="S140" s="501"/>
      <c r="T140" s="501"/>
      <c r="U140" s="346"/>
      <c r="V140" s="1123"/>
      <c r="W140" s="501"/>
      <c r="X140" s="354">
        <f>SUM(X137:X138)</f>
        <v>14119200</v>
      </c>
      <c r="Y140" s="354">
        <f>SUM(Y137:Y138)</f>
        <v>5702245</v>
      </c>
      <c r="Z140" s="356"/>
      <c r="AA140" s="354">
        <f>SUM(AA137:AA139)</f>
        <v>63601200</v>
      </c>
      <c r="AB140" s="354">
        <f>SUM(AB137:AB139)</f>
        <v>83422645</v>
      </c>
      <c r="AC140" s="252"/>
      <c r="AD140" s="1567">
        <f>+AB140-AC140</f>
        <v>83422645</v>
      </c>
    </row>
    <row r="141" spans="1:30" s="13" customFormat="1" ht="158.4">
      <c r="A141" s="326">
        <v>1</v>
      </c>
      <c r="B141" s="1540" t="s">
        <v>4685</v>
      </c>
      <c r="C141" s="45">
        <v>106886159110</v>
      </c>
      <c r="D141" s="821" t="s">
        <v>4478</v>
      </c>
      <c r="E141" s="47" t="s">
        <v>4521</v>
      </c>
      <c r="F141" s="126" t="s">
        <v>206</v>
      </c>
      <c r="G141" s="167">
        <v>12</v>
      </c>
      <c r="H141" s="167"/>
      <c r="I141" s="170"/>
      <c r="J141" s="837" t="s">
        <v>4480</v>
      </c>
      <c r="K141" s="79"/>
      <c r="L141" s="154"/>
      <c r="M141" s="577" t="s">
        <v>4483</v>
      </c>
      <c r="N141" s="1262" t="s">
        <v>4129</v>
      </c>
      <c r="O141" s="2096" t="s">
        <v>4479</v>
      </c>
      <c r="P141" s="2084"/>
      <c r="Q141" s="2104"/>
      <c r="R141" s="324">
        <v>5184000</v>
      </c>
      <c r="S141" s="373">
        <f>900000*12</f>
        <v>10800000</v>
      </c>
      <c r="T141" s="248"/>
      <c r="U141" s="247"/>
      <c r="V141" s="815">
        <v>3000000</v>
      </c>
      <c r="W141" s="248"/>
      <c r="X141" s="340">
        <f t="shared" si="26"/>
        <v>15984000</v>
      </c>
      <c r="Y141" s="344">
        <f t="shared" si="29"/>
        <v>3000000</v>
      </c>
      <c r="Z141" s="249"/>
      <c r="AA141" s="341">
        <f>((G141*4750000)+(H141*5150000))*1.08</f>
        <v>61560000.000000007</v>
      </c>
      <c r="AB141" s="342">
        <f>+AA141+Y141+X141</f>
        <v>80544000</v>
      </c>
      <c r="AC141" s="252"/>
      <c r="AD141" s="5"/>
    </row>
    <row r="142" spans="1:30" s="13" customFormat="1">
      <c r="A142" s="326">
        <f>+A141+1</f>
        <v>2</v>
      </c>
      <c r="B142" s="786" t="s">
        <v>4686</v>
      </c>
      <c r="C142" s="45">
        <v>106889226840</v>
      </c>
      <c r="D142" s="542" t="s">
        <v>4515</v>
      </c>
      <c r="E142" s="47" t="s">
        <v>4510</v>
      </c>
      <c r="F142" s="126" t="s">
        <v>206</v>
      </c>
      <c r="G142" s="167"/>
      <c r="H142" s="167"/>
      <c r="I142" s="170" t="s">
        <v>973</v>
      </c>
      <c r="J142" s="837"/>
      <c r="K142" s="79"/>
      <c r="L142" s="154" t="s">
        <v>4629</v>
      </c>
      <c r="M142" s="577" t="s">
        <v>4494</v>
      </c>
      <c r="N142" s="158" t="s">
        <v>3962</v>
      </c>
      <c r="O142" s="2091" t="s">
        <v>4481</v>
      </c>
      <c r="P142" s="1613"/>
      <c r="Q142" s="2104"/>
      <c r="R142" s="248"/>
      <c r="S142" s="248"/>
      <c r="T142" s="248"/>
      <c r="U142" s="979">
        <v>3697451</v>
      </c>
      <c r="V142" s="324">
        <v>22200</v>
      </c>
      <c r="W142" s="248"/>
      <c r="X142" s="340">
        <f t="shared" si="26"/>
        <v>0</v>
      </c>
      <c r="Y142" s="344">
        <f t="shared" si="29"/>
        <v>3719651</v>
      </c>
      <c r="Z142" s="249"/>
      <c r="AA142" s="341">
        <f>1990000*1.08</f>
        <v>2149200</v>
      </c>
      <c r="AB142" s="342">
        <f>+AA142+Y142+X142</f>
        <v>5868851</v>
      </c>
      <c r="AC142" s="252"/>
      <c r="AD142" s="5"/>
    </row>
    <row r="143" spans="1:30" s="13" customFormat="1">
      <c r="A143" s="326">
        <f>+A142+1</f>
        <v>3</v>
      </c>
      <c r="B143" s="786"/>
      <c r="C143" s="442" t="s">
        <v>4630</v>
      </c>
      <c r="D143" s="542"/>
      <c r="E143" s="47" t="s">
        <v>4628</v>
      </c>
      <c r="F143" s="126"/>
      <c r="G143" s="167"/>
      <c r="H143" s="167"/>
      <c r="I143" s="170"/>
      <c r="J143" s="837"/>
      <c r="K143" s="79"/>
      <c r="L143" s="154"/>
      <c r="M143" s="577"/>
      <c r="N143" s="158"/>
      <c r="O143" s="2091"/>
      <c r="P143" s="1613"/>
      <c r="Q143" s="2104"/>
      <c r="R143" s="248"/>
      <c r="S143" s="248"/>
      <c r="T143" s="248"/>
      <c r="U143" s="247"/>
      <c r="V143" s="816"/>
      <c r="W143" s="248"/>
      <c r="X143" s="340">
        <f t="shared" si="26"/>
        <v>0</v>
      </c>
      <c r="Y143" s="344">
        <f t="shared" si="29"/>
        <v>0</v>
      </c>
      <c r="Z143" s="249" t="s">
        <v>3131</v>
      </c>
      <c r="AA143" s="341">
        <v>7776000</v>
      </c>
      <c r="AB143" s="342">
        <f>+AA143+Y143+X143</f>
        <v>7776000</v>
      </c>
      <c r="AC143" s="252"/>
      <c r="AD143" s="5"/>
    </row>
    <row r="144" spans="1:30" s="13" customFormat="1">
      <c r="A144" s="3715" t="s">
        <v>4667</v>
      </c>
      <c r="B144" s="3716"/>
      <c r="C144" s="3716"/>
      <c r="D144" s="3716"/>
      <c r="E144" s="3716"/>
      <c r="F144" s="3716"/>
      <c r="G144" s="3716"/>
      <c r="H144" s="3716"/>
      <c r="I144" s="3716"/>
      <c r="J144" s="3716"/>
      <c r="K144" s="3716"/>
      <c r="L144" s="3717"/>
      <c r="M144" s="1506"/>
      <c r="N144" s="346"/>
      <c r="O144" s="1987"/>
      <c r="P144" s="2054"/>
      <c r="Q144" s="501"/>
      <c r="R144" s="501"/>
      <c r="S144" s="501"/>
      <c r="T144" s="501"/>
      <c r="U144" s="346"/>
      <c r="V144" s="1123">
        <f>SUM(V141:V141)</f>
        <v>3000000</v>
      </c>
      <c r="W144" s="501"/>
      <c r="X144" s="354">
        <f>SUM(X141:X143)</f>
        <v>15984000</v>
      </c>
      <c r="Y144" s="354">
        <f>SUM(Y141:Y143)</f>
        <v>6719651</v>
      </c>
      <c r="Z144" s="356"/>
      <c r="AA144" s="354">
        <f>SUM(AA141:AA143)</f>
        <v>71485200</v>
      </c>
      <c r="AB144" s="354">
        <f>SUM(AB141:AB143)</f>
        <v>94188851</v>
      </c>
      <c r="AC144" s="252" t="s">
        <v>4694</v>
      </c>
      <c r="AD144" s="1567">
        <v>83373651</v>
      </c>
    </row>
    <row r="145" spans="1:30" s="13" customFormat="1" ht="26.4">
      <c r="A145" s="326">
        <v>1</v>
      </c>
      <c r="B145" s="786"/>
      <c r="C145" s="45" t="s">
        <v>4696</v>
      </c>
      <c r="D145" s="821" t="s">
        <v>4500</v>
      </c>
      <c r="E145" s="47" t="s">
        <v>4712</v>
      </c>
      <c r="F145" s="1535" t="s">
        <v>4680</v>
      </c>
      <c r="G145" s="167"/>
      <c r="H145" s="167"/>
      <c r="I145" s="170"/>
      <c r="J145" s="837"/>
      <c r="K145" s="79"/>
      <c r="L145" s="154"/>
      <c r="M145" s="577"/>
      <c r="N145" s="158"/>
      <c r="O145" s="2091" t="s">
        <v>4679</v>
      </c>
      <c r="P145" s="1613"/>
      <c r="Q145" s="2104"/>
      <c r="R145" s="248"/>
      <c r="S145" s="248"/>
      <c r="T145" s="248"/>
      <c r="U145" s="247"/>
      <c r="V145" s="816"/>
      <c r="W145" s="248"/>
      <c r="X145" s="340">
        <f t="shared" si="26"/>
        <v>0</v>
      </c>
      <c r="Y145" s="344">
        <f t="shared" si="29"/>
        <v>0</v>
      </c>
      <c r="Z145" s="391" t="s">
        <v>4950</v>
      </c>
      <c r="AA145" s="341">
        <f>1800000*1.08</f>
        <v>1944000.0000000002</v>
      </c>
      <c r="AB145" s="342">
        <f>+AA145+Y145+X145</f>
        <v>1944000.0000000002</v>
      </c>
      <c r="AC145" s="252"/>
      <c r="AD145" s="5"/>
    </row>
    <row r="146" spans="1:30" s="13" customFormat="1" ht="52.8">
      <c r="A146" s="326">
        <f>+A145+1</f>
        <v>2</v>
      </c>
      <c r="B146" s="786"/>
      <c r="C146" s="1715" t="s">
        <v>4767</v>
      </c>
      <c r="D146" s="821" t="s">
        <v>4748</v>
      </c>
      <c r="E146" s="47" t="s">
        <v>4778</v>
      </c>
      <c r="F146" s="126" t="s">
        <v>206</v>
      </c>
      <c r="G146" s="167"/>
      <c r="H146" s="167">
        <v>4</v>
      </c>
      <c r="I146" s="170"/>
      <c r="J146" s="837" t="s">
        <v>4713</v>
      </c>
      <c r="K146" s="86" t="s">
        <v>210</v>
      </c>
      <c r="L146" s="154"/>
      <c r="M146" s="577" t="s">
        <v>4711</v>
      </c>
      <c r="N146" s="158" t="s">
        <v>4743</v>
      </c>
      <c r="O146" s="2096" t="s">
        <v>4710</v>
      </c>
      <c r="P146" s="2084"/>
      <c r="Q146" s="2107">
        <f>2181600+1080000</f>
        <v>3261600</v>
      </c>
      <c r="R146" s="324">
        <v>3067200</v>
      </c>
      <c r="S146" s="1658">
        <f>1500000+1500000+1500000+1500000</f>
        <v>6000000</v>
      </c>
      <c r="T146" s="248"/>
      <c r="U146" s="247"/>
      <c r="V146" s="815">
        <v>2000000</v>
      </c>
      <c r="W146" s="324">
        <f>2293200+458640</f>
        <v>2751840</v>
      </c>
      <c r="X146" s="340">
        <f t="shared" ref="X146:X183" si="30">R146+S146+T146+Q146+W146</f>
        <v>15080640</v>
      </c>
      <c r="Y146" s="344">
        <f>+U146+V146</f>
        <v>2000000</v>
      </c>
      <c r="Z146" s="1607" t="s">
        <v>4769</v>
      </c>
      <c r="AA146" s="341">
        <f>((G146*5350000)+(H146*5650000))*1.08+((12000000*1.03)*1.08)</f>
        <v>37756800</v>
      </c>
      <c r="AB146" s="342">
        <f>+AA146+Y146+X146</f>
        <v>54837440</v>
      </c>
      <c r="AC146" s="252"/>
      <c r="AD146" s="5"/>
    </row>
    <row r="147" spans="1:30" s="13" customFormat="1">
      <c r="A147" s="326">
        <v>3</v>
      </c>
      <c r="B147" s="1585"/>
      <c r="C147" s="1716" t="s">
        <v>4730</v>
      </c>
      <c r="D147" s="1585"/>
      <c r="E147" s="47" t="s">
        <v>4859</v>
      </c>
      <c r="F147" s="126"/>
      <c r="G147" s="167"/>
      <c r="H147" s="167"/>
      <c r="I147" s="170"/>
      <c r="J147" s="837"/>
      <c r="K147" s="79"/>
      <c r="L147" s="154" t="s">
        <v>4860</v>
      </c>
      <c r="M147" s="577"/>
      <c r="N147" s="158"/>
      <c r="O147" s="2091"/>
      <c r="P147" s="1613"/>
      <c r="Q147" s="2104"/>
      <c r="R147" s="248"/>
      <c r="S147" s="248"/>
      <c r="T147" s="248"/>
      <c r="U147" s="247"/>
      <c r="V147" s="816"/>
      <c r="W147" s="248"/>
      <c r="X147" s="340">
        <v>80000</v>
      </c>
      <c r="Y147" s="344">
        <f t="shared" ref="Y147:Y183" si="31">+U147+V147</f>
        <v>0</v>
      </c>
      <c r="Z147" s="249"/>
      <c r="AA147" s="341"/>
      <c r="AB147" s="342">
        <f t="shared" ref="AB147:AB153" si="32">+AA147+Y147+X147</f>
        <v>80000</v>
      </c>
      <c r="AC147" s="252"/>
      <c r="AD147" s="5"/>
    </row>
    <row r="148" spans="1:30" s="13" customFormat="1">
      <c r="A148" s="326">
        <v>4</v>
      </c>
      <c r="B148" s="1583"/>
      <c r="C148" s="442" t="s">
        <v>4863</v>
      </c>
      <c r="D148" s="1584"/>
      <c r="E148" s="672" t="s">
        <v>4872</v>
      </c>
      <c r="F148" s="126"/>
      <c r="G148" s="167"/>
      <c r="H148" s="167"/>
      <c r="I148" s="170"/>
      <c r="J148" s="837"/>
      <c r="K148" s="79"/>
      <c r="L148" s="154" t="s">
        <v>4864</v>
      </c>
      <c r="M148" s="577"/>
      <c r="N148" s="158"/>
      <c r="O148" s="2091"/>
      <c r="P148" s="1613"/>
      <c r="Q148" s="2104"/>
      <c r="R148" s="248"/>
      <c r="S148" s="248"/>
      <c r="T148" s="248"/>
      <c r="U148" s="247"/>
      <c r="V148" s="816"/>
      <c r="W148" s="248"/>
      <c r="X148" s="340">
        <f t="shared" si="30"/>
        <v>0</v>
      </c>
      <c r="Y148" s="344">
        <f t="shared" si="31"/>
        <v>0</v>
      </c>
      <c r="Z148" s="249"/>
      <c r="AA148" s="341">
        <v>9720000</v>
      </c>
      <c r="AB148" s="342">
        <f t="shared" si="32"/>
        <v>9720000</v>
      </c>
      <c r="AC148" s="252"/>
      <c r="AD148" s="5"/>
    </row>
    <row r="149" spans="1:30" s="13" customFormat="1">
      <c r="A149" s="3715" t="s">
        <v>4865</v>
      </c>
      <c r="B149" s="3716"/>
      <c r="C149" s="3716"/>
      <c r="D149" s="3716"/>
      <c r="E149" s="3716"/>
      <c r="F149" s="3716"/>
      <c r="G149" s="3716"/>
      <c r="H149" s="3716"/>
      <c r="I149" s="3716"/>
      <c r="J149" s="3716"/>
      <c r="K149" s="3716"/>
      <c r="L149" s="3717"/>
      <c r="M149" s="1629"/>
      <c r="N149" s="346"/>
      <c r="O149" s="1987"/>
      <c r="P149" s="2054"/>
      <c r="Q149" s="501"/>
      <c r="R149" s="501"/>
      <c r="S149" s="1780"/>
      <c r="T149" s="501"/>
      <c r="U149" s="501"/>
      <c r="V149" s="1123"/>
      <c r="W149" s="501"/>
      <c r="X149" s="354">
        <f>SUM(X145:X148)</f>
        <v>15160640</v>
      </c>
      <c r="Y149" s="354">
        <f>SUM(Y145:Y148)</f>
        <v>2000000</v>
      </c>
      <c r="Z149" s="356"/>
      <c r="AA149" s="354">
        <f>SUM(AA145:AA148)</f>
        <v>49420800</v>
      </c>
      <c r="AB149" s="354">
        <f>SUM(AB145:AB148)</f>
        <v>66581440</v>
      </c>
      <c r="AC149" s="252"/>
      <c r="AD149" s="1567"/>
    </row>
    <row r="150" spans="1:30" s="13" customFormat="1" ht="132">
      <c r="A150" s="326">
        <v>1</v>
      </c>
      <c r="B150" s="1966" t="s">
        <v>4926</v>
      </c>
      <c r="C150" s="45">
        <v>106963656000</v>
      </c>
      <c r="D150" s="821" t="s">
        <v>4888</v>
      </c>
      <c r="E150" s="1748" t="s">
        <v>4965</v>
      </c>
      <c r="F150" s="126" t="s">
        <v>206</v>
      </c>
      <c r="G150" s="167">
        <v>10</v>
      </c>
      <c r="H150" s="167"/>
      <c r="I150" s="170"/>
      <c r="J150" s="837" t="s">
        <v>4964</v>
      </c>
      <c r="K150" s="86" t="s">
        <v>123</v>
      </c>
      <c r="L150" s="1782"/>
      <c r="M150" s="577" t="s">
        <v>4841</v>
      </c>
      <c r="N150" s="1262" t="s">
        <v>4129</v>
      </c>
      <c r="O150" s="2096" t="s">
        <v>4875</v>
      </c>
      <c r="P150" s="2084"/>
      <c r="Q150" s="2104"/>
      <c r="R150" s="324">
        <v>6318000</v>
      </c>
      <c r="S150" s="1658">
        <f>1944000+972000+972000+1944000+1944000+972000+972000</f>
        <v>9720000</v>
      </c>
      <c r="T150" s="248"/>
      <c r="U150" s="247"/>
      <c r="V150" s="815">
        <v>2500000</v>
      </c>
      <c r="W150" s="324">
        <v>320000</v>
      </c>
      <c r="X150" s="340">
        <f>R150+S150+T150+Q150+W150</f>
        <v>16358000</v>
      </c>
      <c r="Y150" s="344">
        <f t="shared" si="31"/>
        <v>2500000</v>
      </c>
      <c r="Z150" s="249"/>
      <c r="AA150" s="341">
        <f>((G150*5130000)+(H150*5530000))*1.08</f>
        <v>55404000</v>
      </c>
      <c r="AB150" s="342">
        <f t="shared" si="32"/>
        <v>74262000</v>
      </c>
      <c r="AC150" s="252"/>
      <c r="AD150" s="5"/>
    </row>
    <row r="151" spans="1:30" s="13" customFormat="1" ht="26.4">
      <c r="A151" s="326">
        <v>2</v>
      </c>
      <c r="B151" s="1967" t="s">
        <v>4991</v>
      </c>
      <c r="C151" s="45">
        <v>106987156620</v>
      </c>
      <c r="D151" s="821" t="s">
        <v>4936</v>
      </c>
      <c r="E151" s="1748" t="s">
        <v>4963</v>
      </c>
      <c r="F151" s="126" t="s">
        <v>206</v>
      </c>
      <c r="G151" s="167"/>
      <c r="H151" s="167"/>
      <c r="I151" s="170" t="s">
        <v>973</v>
      </c>
      <c r="J151" s="837"/>
      <c r="K151" s="86" t="s">
        <v>210</v>
      </c>
      <c r="L151" s="154" t="s">
        <v>4902</v>
      </c>
      <c r="M151" s="1741" t="s">
        <v>5023</v>
      </c>
      <c r="N151" s="158" t="s">
        <v>2903</v>
      </c>
      <c r="O151" s="2096" t="s">
        <v>4903</v>
      </c>
      <c r="P151" s="2084"/>
      <c r="Q151" s="2104"/>
      <c r="R151" s="248"/>
      <c r="S151" s="248"/>
      <c r="T151" s="248"/>
      <c r="U151" s="815">
        <v>3222180</v>
      </c>
      <c r="V151" s="815">
        <v>15750</v>
      </c>
      <c r="W151" s="248"/>
      <c r="X151" s="340">
        <f t="shared" si="30"/>
        <v>0</v>
      </c>
      <c r="Y151" s="344">
        <f t="shared" si="31"/>
        <v>3237930</v>
      </c>
      <c r="Z151" s="249" t="s">
        <v>5002</v>
      </c>
      <c r="AA151" s="341">
        <f>2140000*1.08</f>
        <v>2311200</v>
      </c>
      <c r="AB151" s="342">
        <f t="shared" si="32"/>
        <v>5549130</v>
      </c>
      <c r="AC151" s="252"/>
      <c r="AD151" s="5"/>
    </row>
    <row r="152" spans="1:30" s="13" customFormat="1" ht="26.4">
      <c r="A152" s="326">
        <f>+A151+1</f>
        <v>3</v>
      </c>
      <c r="B152" s="1967" t="s">
        <v>4952</v>
      </c>
      <c r="C152" s="45">
        <v>106998429310</v>
      </c>
      <c r="D152" s="821" t="s">
        <v>5011</v>
      </c>
      <c r="E152" s="1748" t="s">
        <v>5012</v>
      </c>
      <c r="F152" s="126" t="s">
        <v>206</v>
      </c>
      <c r="G152" s="167"/>
      <c r="H152" s="167"/>
      <c r="I152" s="170" t="s">
        <v>973</v>
      </c>
      <c r="J152" s="837"/>
      <c r="K152" s="86" t="s">
        <v>123</v>
      </c>
      <c r="L152" s="154" t="s">
        <v>4982</v>
      </c>
      <c r="M152" s="959" t="s">
        <v>5013</v>
      </c>
      <c r="N152" s="158" t="s">
        <v>4983</v>
      </c>
      <c r="O152" s="2096" t="s">
        <v>4981</v>
      </c>
      <c r="P152" s="2084"/>
      <c r="Q152" s="2104"/>
      <c r="R152" s="248"/>
      <c r="S152" s="248"/>
      <c r="T152" s="248"/>
      <c r="U152" s="815">
        <v>3222180</v>
      </c>
      <c r="V152" s="815">
        <v>6300</v>
      </c>
      <c r="W152" s="248"/>
      <c r="X152" s="340">
        <f t="shared" si="30"/>
        <v>0</v>
      </c>
      <c r="Y152" s="344">
        <f t="shared" si="31"/>
        <v>3228480</v>
      </c>
      <c r="Z152" s="249"/>
      <c r="AA152" s="341">
        <f>1940000*1.08</f>
        <v>2095200.0000000002</v>
      </c>
      <c r="AB152" s="342">
        <f t="shared" si="32"/>
        <v>5323680</v>
      </c>
      <c r="AC152" s="252"/>
      <c r="AD152" s="5"/>
    </row>
    <row r="153" spans="1:30" s="13" customFormat="1" ht="26.4">
      <c r="A153" s="326">
        <f>+A152+1</f>
        <v>4</v>
      </c>
      <c r="B153" s="1965" t="s">
        <v>5118</v>
      </c>
      <c r="C153" s="1992">
        <v>107023431320</v>
      </c>
      <c r="D153" s="821" t="s">
        <v>5094</v>
      </c>
      <c r="E153" s="1748" t="s">
        <v>5095</v>
      </c>
      <c r="F153" s="126" t="s">
        <v>206</v>
      </c>
      <c r="G153" s="167"/>
      <c r="H153" s="167"/>
      <c r="I153" s="170" t="s">
        <v>973</v>
      </c>
      <c r="J153" s="837"/>
      <c r="K153" s="86" t="s">
        <v>210</v>
      </c>
      <c r="L153" s="154" t="s">
        <v>5057</v>
      </c>
      <c r="M153" s="577" t="s">
        <v>5094</v>
      </c>
      <c r="N153" s="158" t="s">
        <v>2903</v>
      </c>
      <c r="O153" s="2096" t="s">
        <v>5056</v>
      </c>
      <c r="P153" s="2084"/>
      <c r="Q153" s="2104"/>
      <c r="R153" s="248"/>
      <c r="S153" s="248"/>
      <c r="T153" s="248"/>
      <c r="U153" s="815">
        <v>4994136</v>
      </c>
      <c r="V153" s="1964">
        <v>36000</v>
      </c>
      <c r="W153" s="248"/>
      <c r="X153" s="340">
        <f t="shared" si="30"/>
        <v>0</v>
      </c>
      <c r="Y153" s="344">
        <f t="shared" si="31"/>
        <v>5030136</v>
      </c>
      <c r="Z153" s="249"/>
      <c r="AA153" s="341">
        <f>2940000*1.08</f>
        <v>3175200</v>
      </c>
      <c r="AB153" s="342">
        <f t="shared" si="32"/>
        <v>8205336</v>
      </c>
      <c r="AC153" s="252"/>
      <c r="AD153" s="5"/>
    </row>
    <row r="154" spans="1:30" s="13" customFormat="1">
      <c r="A154" s="326">
        <v>5</v>
      </c>
      <c r="B154" s="1583"/>
      <c r="C154" s="442" t="s">
        <v>5137</v>
      </c>
      <c r="D154" s="1584"/>
      <c r="E154" s="672" t="s">
        <v>5150</v>
      </c>
      <c r="F154" s="126"/>
      <c r="G154" s="167"/>
      <c r="H154" s="167"/>
      <c r="I154" s="170"/>
      <c r="J154" s="837"/>
      <c r="K154" s="79"/>
      <c r="L154" s="154" t="s">
        <v>5138</v>
      </c>
      <c r="M154" s="577"/>
      <c r="N154" s="158"/>
      <c r="O154" s="2091"/>
      <c r="P154" s="1613"/>
      <c r="Q154" s="2104"/>
      <c r="R154" s="248"/>
      <c r="S154" s="248"/>
      <c r="T154" s="248"/>
      <c r="U154" s="247"/>
      <c r="V154" s="816"/>
      <c r="W154" s="248"/>
      <c r="X154" s="340">
        <f>R154+S154+T154+Q154+W154</f>
        <v>0</v>
      </c>
      <c r="Y154" s="344">
        <f>+U154+V154</f>
        <v>0</v>
      </c>
      <c r="Z154" s="249"/>
      <c r="AA154" s="341">
        <v>9072000</v>
      </c>
      <c r="AB154" s="342">
        <f>+AA154+Y154+X154</f>
        <v>9072000</v>
      </c>
      <c r="AC154" s="252"/>
      <c r="AD154" s="5"/>
    </row>
    <row r="155" spans="1:30" s="13" customFormat="1">
      <c r="A155" s="3714" t="s">
        <v>5135</v>
      </c>
      <c r="B155" s="3714"/>
      <c r="C155" s="3714"/>
      <c r="D155" s="3714"/>
      <c r="E155" s="3714"/>
      <c r="F155" s="3714"/>
      <c r="G155" s="3714"/>
      <c r="H155" s="3714"/>
      <c r="I155" s="3714"/>
      <c r="J155" s="3714"/>
      <c r="K155" s="3714"/>
      <c r="L155" s="3714"/>
      <c r="M155" s="2053"/>
      <c r="N155" s="1708"/>
      <c r="O155" s="2094"/>
      <c r="P155" s="2054"/>
      <c r="Q155" s="2114"/>
      <c r="R155" s="2055"/>
      <c r="S155" s="2055"/>
      <c r="T155" s="2055"/>
      <c r="U155" s="2055"/>
      <c r="V155" s="2056"/>
      <c r="W155" s="2055"/>
      <c r="X155" s="2046">
        <f>SUM(X150:X153)</f>
        <v>16358000</v>
      </c>
      <c r="Y155" s="2046">
        <f>SUM(Y150:Y153)</f>
        <v>13996546</v>
      </c>
      <c r="Z155" s="2047"/>
      <c r="AA155" s="2046">
        <f>SUM(AA150:AA154)</f>
        <v>72057600</v>
      </c>
      <c r="AB155" s="2046">
        <f>SUM(AB150:AB154)</f>
        <v>102412146</v>
      </c>
      <c r="AC155" s="1606"/>
      <c r="AD155" s="1567"/>
    </row>
    <row r="156" spans="1:30" s="2051" customFormat="1">
      <c r="A156" s="1742">
        <v>1</v>
      </c>
      <c r="B156" s="1742"/>
      <c r="C156" s="179">
        <v>30722763930</v>
      </c>
      <c r="D156" s="2060" t="s">
        <v>5257</v>
      </c>
      <c r="E156" s="2067" t="s">
        <v>5439</v>
      </c>
      <c r="F156" s="3725" t="s">
        <v>5258</v>
      </c>
      <c r="G156" s="3726"/>
      <c r="H156" s="3726"/>
      <c r="I156" s="3727"/>
      <c r="J156" s="1742"/>
      <c r="K156" s="1742"/>
      <c r="L156" s="1742"/>
      <c r="M156" s="1742"/>
      <c r="N156" s="1743"/>
      <c r="O156" s="2100"/>
      <c r="P156" s="2057"/>
      <c r="Q156" s="2115"/>
      <c r="R156" s="2058"/>
      <c r="S156" s="2058"/>
      <c r="T156" s="2058"/>
      <c r="U156" s="2058"/>
      <c r="V156" s="2059"/>
      <c r="W156" s="2058"/>
      <c r="X156" s="674">
        <v>20000</v>
      </c>
      <c r="Y156" s="675">
        <f t="shared" si="31"/>
        <v>0</v>
      </c>
      <c r="Z156" s="2048"/>
      <c r="AA156" s="341"/>
      <c r="AB156" s="342">
        <f>+AA156+Y156+X156</f>
        <v>20000</v>
      </c>
      <c r="AC156" s="2049"/>
      <c r="AD156" s="2050"/>
    </row>
    <row r="157" spans="1:30" s="13" customFormat="1" ht="26.4">
      <c r="A157" s="670">
        <v>2</v>
      </c>
      <c r="B157" s="2068" t="s">
        <v>5274</v>
      </c>
      <c r="C157" s="2065">
        <v>107065041860</v>
      </c>
      <c r="D157" s="2061" t="s">
        <v>5221</v>
      </c>
      <c r="E157" s="2067" t="s">
        <v>5194</v>
      </c>
      <c r="F157" s="673" t="s">
        <v>206</v>
      </c>
      <c r="G157" s="445"/>
      <c r="H157" s="445"/>
      <c r="I157" s="2044" t="s">
        <v>973</v>
      </c>
      <c r="J157" s="2044"/>
      <c r="K157" s="953" t="s">
        <v>123</v>
      </c>
      <c r="L157" s="959" t="s">
        <v>5119</v>
      </c>
      <c r="M157" s="959" t="s">
        <v>5181</v>
      </c>
      <c r="N157" s="806" t="s">
        <v>2946</v>
      </c>
      <c r="O157" s="2101" t="s">
        <v>5117</v>
      </c>
      <c r="P157" s="2139"/>
      <c r="Q157" s="2107">
        <v>106037</v>
      </c>
      <c r="R157" s="425"/>
      <c r="S157" s="425"/>
      <c r="T157" s="425"/>
      <c r="U157" s="2052">
        <v>3382948</v>
      </c>
      <c r="V157" s="2145">
        <v>15000</v>
      </c>
      <c r="W157" s="425"/>
      <c r="X157" s="674">
        <f t="shared" si="30"/>
        <v>106037</v>
      </c>
      <c r="Y157" s="675">
        <f t="shared" si="31"/>
        <v>3397948</v>
      </c>
      <c r="Z157" s="2045"/>
      <c r="AA157" s="341">
        <f>1940000*1.08</f>
        <v>2095200.0000000002</v>
      </c>
      <c r="AB157" s="342">
        <f t="shared" ref="AB157:AB169" si="33">+AA157+Y157+X157</f>
        <v>5599185</v>
      </c>
      <c r="AC157" s="808"/>
      <c r="AD157" s="5"/>
    </row>
    <row r="158" spans="1:30" s="13" customFormat="1" ht="158.4">
      <c r="A158" s="326">
        <f>+A157+1</f>
        <v>3</v>
      </c>
      <c r="B158" s="960" t="s">
        <v>5262</v>
      </c>
      <c r="C158" s="166">
        <v>107064562730</v>
      </c>
      <c r="D158" s="821" t="s">
        <v>5212</v>
      </c>
      <c r="E158" s="1748" t="s">
        <v>5266</v>
      </c>
      <c r="F158" s="126" t="s">
        <v>206</v>
      </c>
      <c r="G158" s="167">
        <v>12</v>
      </c>
      <c r="H158" s="167"/>
      <c r="I158" s="170"/>
      <c r="J158" s="837" t="s">
        <v>5261</v>
      </c>
      <c r="K158" s="953" t="s">
        <v>123</v>
      </c>
      <c r="L158" s="154"/>
      <c r="M158" s="959" t="s">
        <v>5260</v>
      </c>
      <c r="N158" s="1262" t="s">
        <v>4129</v>
      </c>
      <c r="O158" s="2096" t="s">
        <v>5213</v>
      </c>
      <c r="P158" s="2139"/>
      <c r="Q158" s="2104"/>
      <c r="R158" s="324">
        <v>5964000</v>
      </c>
      <c r="S158" s="1658">
        <f>1000000*12</f>
        <v>12000000</v>
      </c>
      <c r="T158" s="248"/>
      <c r="U158" s="247"/>
      <c r="V158" s="815">
        <v>3000000</v>
      </c>
      <c r="W158" s="248"/>
      <c r="X158" s="340">
        <f t="shared" si="30"/>
        <v>17964000</v>
      </c>
      <c r="Y158" s="344">
        <f t="shared" si="31"/>
        <v>3000000</v>
      </c>
      <c r="Z158" s="249"/>
      <c r="AA158" s="341">
        <f>((G158*5130000)+(H158*5530000))*1.08</f>
        <v>66484800.000000007</v>
      </c>
      <c r="AB158" s="342">
        <f t="shared" si="33"/>
        <v>87448800</v>
      </c>
      <c r="AC158" s="252"/>
      <c r="AD158" s="5"/>
    </row>
    <row r="159" spans="1:30" s="13" customFormat="1" ht="26.4">
      <c r="A159" s="326">
        <f>+A158+1</f>
        <v>4</v>
      </c>
      <c r="B159" s="1013" t="s">
        <v>5273</v>
      </c>
      <c r="C159" s="166">
        <v>107071737030</v>
      </c>
      <c r="D159" s="821" t="s">
        <v>5265</v>
      </c>
      <c r="E159" s="1748" t="s">
        <v>5252</v>
      </c>
      <c r="F159" s="126" t="s">
        <v>206</v>
      </c>
      <c r="G159" s="167"/>
      <c r="H159" s="167"/>
      <c r="I159" s="170" t="s">
        <v>973</v>
      </c>
      <c r="J159" s="837"/>
      <c r="K159" s="953" t="s">
        <v>123</v>
      </c>
      <c r="L159" s="154" t="s">
        <v>5254</v>
      </c>
      <c r="M159" s="577" t="s">
        <v>5221</v>
      </c>
      <c r="N159" s="158" t="s">
        <v>2946</v>
      </c>
      <c r="O159" s="2096" t="s">
        <v>5253</v>
      </c>
      <c r="P159" s="2139"/>
      <c r="Q159" s="2104"/>
      <c r="R159" s="248"/>
      <c r="S159" s="248"/>
      <c r="T159" s="248"/>
      <c r="U159" s="815">
        <v>13735562</v>
      </c>
      <c r="V159" s="815">
        <v>76500</v>
      </c>
      <c r="W159" s="248"/>
      <c r="X159" s="340">
        <f>R159+S159+T159+Q159+W159</f>
        <v>0</v>
      </c>
      <c r="Y159" s="344">
        <f t="shared" si="31"/>
        <v>13812062</v>
      </c>
      <c r="Z159" s="249"/>
      <c r="AA159" s="341">
        <f>+(3090000+1940000)*1.08</f>
        <v>5432400</v>
      </c>
      <c r="AB159" s="342">
        <f t="shared" si="33"/>
        <v>19244462</v>
      </c>
      <c r="AC159" s="252"/>
      <c r="AD159" s="5"/>
    </row>
    <row r="160" spans="1:30" s="13" customFormat="1" ht="26.4">
      <c r="A160" s="326">
        <f>+A159+1</f>
        <v>5</v>
      </c>
      <c r="B160" s="1013" t="s">
        <v>5310</v>
      </c>
      <c r="C160" s="166">
        <v>107081408450</v>
      </c>
      <c r="D160" s="821">
        <v>45755</v>
      </c>
      <c r="E160" s="1748" t="s">
        <v>5308</v>
      </c>
      <c r="F160" s="126" t="s">
        <v>206</v>
      </c>
      <c r="G160" s="167"/>
      <c r="H160" s="167"/>
      <c r="I160" s="170" t="s">
        <v>973</v>
      </c>
      <c r="J160" s="837"/>
      <c r="K160" s="953" t="s">
        <v>123</v>
      </c>
      <c r="L160" s="154" t="s">
        <v>5256</v>
      </c>
      <c r="M160" s="577" t="s">
        <v>5287</v>
      </c>
      <c r="N160" s="158" t="s">
        <v>2946</v>
      </c>
      <c r="O160" s="2096" t="s">
        <v>5255</v>
      </c>
      <c r="P160" s="2139"/>
      <c r="Q160" s="2104"/>
      <c r="R160" s="248"/>
      <c r="S160" s="248"/>
      <c r="T160" s="248"/>
      <c r="U160" s="815">
        <v>13117386</v>
      </c>
      <c r="V160" s="815">
        <v>63000</v>
      </c>
      <c r="W160" s="248"/>
      <c r="X160" s="340">
        <f t="shared" si="30"/>
        <v>0</v>
      </c>
      <c r="Y160" s="344">
        <f t="shared" si="31"/>
        <v>13180386</v>
      </c>
      <c r="Z160" s="249"/>
      <c r="AA160" s="341">
        <f>3090000*1.08</f>
        <v>3337200</v>
      </c>
      <c r="AB160" s="342">
        <f t="shared" si="33"/>
        <v>16517586</v>
      </c>
      <c r="AC160" s="252"/>
      <c r="AD160" s="5"/>
    </row>
    <row r="161" spans="1:30" s="13" customFormat="1" ht="46.8">
      <c r="A161" s="326">
        <f t="shared" ref="A161:A226" si="34">+A160+1</f>
        <v>6</v>
      </c>
      <c r="B161" s="1013" t="s">
        <v>5351</v>
      </c>
      <c r="C161" s="166">
        <v>107091223961</v>
      </c>
      <c r="D161" s="821" t="s">
        <v>5310</v>
      </c>
      <c r="E161" s="2073" t="s">
        <v>5309</v>
      </c>
      <c r="F161" s="126" t="s">
        <v>206</v>
      </c>
      <c r="G161" s="167"/>
      <c r="H161" s="167"/>
      <c r="I161" s="170" t="s">
        <v>973</v>
      </c>
      <c r="J161" s="837"/>
      <c r="K161" s="715" t="s">
        <v>136</v>
      </c>
      <c r="L161" s="154" t="s">
        <v>5286</v>
      </c>
      <c r="M161" s="577" t="s">
        <v>5272</v>
      </c>
      <c r="N161" s="158" t="s">
        <v>2101</v>
      </c>
      <c r="O161" s="2096" t="s">
        <v>5285</v>
      </c>
      <c r="P161" s="2139"/>
      <c r="Q161" s="2107">
        <v>187331</v>
      </c>
      <c r="R161" s="268"/>
      <c r="S161" s="248"/>
      <c r="T161" s="248"/>
      <c r="U161" s="815">
        <v>17160274</v>
      </c>
      <c r="V161" s="815">
        <v>14970</v>
      </c>
      <c r="W161" s="248"/>
      <c r="X161" s="340">
        <f t="shared" si="30"/>
        <v>187331</v>
      </c>
      <c r="Y161" s="344">
        <f t="shared" si="31"/>
        <v>17175244</v>
      </c>
      <c r="Z161" s="208" t="s">
        <v>5366</v>
      </c>
      <c r="AA161" s="341">
        <f>+((3090000+2940000+500000)*1.08)+(1200000*1.03*1.08)</f>
        <v>8387280</v>
      </c>
      <c r="AB161" s="342">
        <f t="shared" si="33"/>
        <v>25749855</v>
      </c>
      <c r="AC161" s="252"/>
      <c r="AD161" s="5"/>
    </row>
    <row r="162" spans="1:30" s="13" customFormat="1" ht="26.4">
      <c r="A162" s="326">
        <f t="shared" si="34"/>
        <v>7</v>
      </c>
      <c r="B162" s="786" t="s">
        <v>5431</v>
      </c>
      <c r="C162" s="166">
        <v>107113162330</v>
      </c>
      <c r="D162" s="821" t="s">
        <v>5335</v>
      </c>
      <c r="E162" s="2073" t="s">
        <v>5365</v>
      </c>
      <c r="F162" s="126" t="s">
        <v>206</v>
      </c>
      <c r="G162" s="167"/>
      <c r="H162" s="167"/>
      <c r="I162" s="170" t="s">
        <v>973</v>
      </c>
      <c r="J162" s="837"/>
      <c r="K162" s="953" t="s">
        <v>123</v>
      </c>
      <c r="L162" s="154" t="s">
        <v>5359</v>
      </c>
      <c r="M162" s="577" t="s">
        <v>5332</v>
      </c>
      <c r="N162" s="158" t="s">
        <v>4254</v>
      </c>
      <c r="O162" s="2096" t="s">
        <v>5358</v>
      </c>
      <c r="P162" s="2084"/>
      <c r="Q162" s="2146">
        <v>23563</v>
      </c>
      <c r="R162" s="248"/>
      <c r="S162" s="248"/>
      <c r="T162" s="248"/>
      <c r="U162" s="815">
        <v>3107290</v>
      </c>
      <c r="V162" s="815">
        <v>1500</v>
      </c>
      <c r="W162" s="248"/>
      <c r="X162" s="340">
        <f t="shared" si="30"/>
        <v>23563</v>
      </c>
      <c r="Y162" s="344">
        <f t="shared" si="31"/>
        <v>3108790</v>
      </c>
      <c r="Z162" s="249"/>
      <c r="AA162" s="341">
        <f>1940000*1.08</f>
        <v>2095200.0000000002</v>
      </c>
      <c r="AB162" s="342">
        <f t="shared" si="33"/>
        <v>5227553</v>
      </c>
      <c r="AC162" s="252"/>
      <c r="AD162" s="5"/>
    </row>
    <row r="163" spans="1:30" s="13" customFormat="1">
      <c r="A163" s="326">
        <f t="shared" si="34"/>
        <v>8</v>
      </c>
      <c r="B163" s="786"/>
      <c r="C163" s="442" t="s">
        <v>5421</v>
      </c>
      <c r="D163" s="542"/>
      <c r="E163" s="47"/>
      <c r="F163" s="126"/>
      <c r="G163" s="167"/>
      <c r="H163" s="167"/>
      <c r="I163" s="170"/>
      <c r="J163" s="837"/>
      <c r="K163" s="79"/>
      <c r="L163" s="154" t="s">
        <v>5422</v>
      </c>
      <c r="M163" s="577"/>
      <c r="N163" s="158"/>
      <c r="O163" s="2091"/>
      <c r="P163" s="1613"/>
      <c r="Q163" s="2104"/>
      <c r="R163" s="248"/>
      <c r="S163" s="248"/>
      <c r="T163" s="248"/>
      <c r="U163" s="247"/>
      <c r="V163" s="816"/>
      <c r="W163" s="248"/>
      <c r="X163" s="340">
        <f t="shared" si="30"/>
        <v>0</v>
      </c>
      <c r="Y163" s="344">
        <f t="shared" si="31"/>
        <v>0</v>
      </c>
      <c r="Z163" s="249" t="s">
        <v>5422</v>
      </c>
      <c r="AA163" s="341">
        <f>600000*13*1.08</f>
        <v>8424000</v>
      </c>
      <c r="AB163" s="342">
        <f t="shared" si="33"/>
        <v>8424000</v>
      </c>
      <c r="AC163" s="252"/>
      <c r="AD163" s="5"/>
    </row>
    <row r="164" spans="1:30" s="13" customFormat="1">
      <c r="A164" s="3714" t="s">
        <v>5420</v>
      </c>
      <c r="B164" s="3714"/>
      <c r="C164" s="3714"/>
      <c r="D164" s="3714"/>
      <c r="E164" s="3714"/>
      <c r="F164" s="3714"/>
      <c r="G164" s="3714"/>
      <c r="H164" s="3714"/>
      <c r="I164" s="3714"/>
      <c r="J164" s="3714"/>
      <c r="K164" s="3714"/>
      <c r="L164" s="3714"/>
      <c r="M164" s="2077"/>
      <c r="N164" s="1708"/>
      <c r="O164" s="2094"/>
      <c r="P164" s="2054"/>
      <c r="Q164" s="2114"/>
      <c r="R164" s="2055"/>
      <c r="S164" s="2055"/>
      <c r="T164" s="2055"/>
      <c r="U164" s="2055"/>
      <c r="V164" s="2056"/>
      <c r="W164" s="2055"/>
      <c r="X164" s="2046">
        <f>SUM(X159:X162)</f>
        <v>210894</v>
      </c>
      <c r="Y164" s="2046">
        <f>SUM(Y159:Y162)</f>
        <v>47276482</v>
      </c>
      <c r="Z164" s="2047"/>
      <c r="AA164" s="2046">
        <f>SUM(AA156:AA163)</f>
        <v>96256080.000000015</v>
      </c>
      <c r="AB164" s="2046">
        <f>SUM(AB156:AB163)</f>
        <v>168231441</v>
      </c>
      <c r="AC164" s="1606"/>
      <c r="AD164" s="1567"/>
    </row>
    <row r="165" spans="1:30" s="13" customFormat="1" ht="26.4">
      <c r="A165" s="326">
        <v>1</v>
      </c>
      <c r="B165" s="1967" t="s">
        <v>5552</v>
      </c>
      <c r="C165" s="166">
        <v>107133457210</v>
      </c>
      <c r="D165" s="821" t="s">
        <v>5468</v>
      </c>
      <c r="E165" s="1748" t="s">
        <v>5486</v>
      </c>
      <c r="F165" s="126" t="s">
        <v>206</v>
      </c>
      <c r="G165" s="167"/>
      <c r="H165" s="167"/>
      <c r="I165" s="170" t="s">
        <v>973</v>
      </c>
      <c r="J165" s="837"/>
      <c r="K165" s="1474" t="s">
        <v>123</v>
      </c>
      <c r="L165" s="154" t="s">
        <v>5463</v>
      </c>
      <c r="M165" s="577" t="s">
        <v>5478</v>
      </c>
      <c r="N165" s="158" t="s">
        <v>4983</v>
      </c>
      <c r="O165" s="2096" t="s">
        <v>5462</v>
      </c>
      <c r="P165" s="1613"/>
      <c r="Q165" s="2104"/>
      <c r="R165" s="248"/>
      <c r="S165" s="248"/>
      <c r="T165" s="248"/>
      <c r="U165" s="815">
        <v>3112560</v>
      </c>
      <c r="V165" s="1964">
        <v>6000</v>
      </c>
      <c r="W165" s="248"/>
      <c r="X165" s="340">
        <f t="shared" si="30"/>
        <v>0</v>
      </c>
      <c r="Y165" s="344">
        <f t="shared" si="31"/>
        <v>3118560</v>
      </c>
      <c r="Z165" s="249"/>
      <c r="AA165" s="341">
        <f>1940000*1.08</f>
        <v>2095200.0000000002</v>
      </c>
      <c r="AB165" s="342">
        <f t="shared" si="33"/>
        <v>5213760</v>
      </c>
      <c r="AC165" s="252"/>
      <c r="AD165" s="5"/>
    </row>
    <row r="166" spans="1:30" s="13" customFormat="1" ht="26.4">
      <c r="A166" s="326">
        <f t="shared" si="34"/>
        <v>2</v>
      </c>
      <c r="B166" s="1967" t="s">
        <v>5607</v>
      </c>
      <c r="C166" s="166">
        <v>107158574720</v>
      </c>
      <c r="D166" s="821" t="s">
        <v>5574</v>
      </c>
      <c r="E166" s="1748" t="s">
        <v>5555</v>
      </c>
      <c r="F166" s="126" t="s">
        <v>206</v>
      </c>
      <c r="G166" s="167">
        <v>1</v>
      </c>
      <c r="H166" s="167"/>
      <c r="I166" s="170"/>
      <c r="J166" s="837"/>
      <c r="K166" s="1474" t="s">
        <v>123</v>
      </c>
      <c r="L166" s="154" t="s">
        <v>5608</v>
      </c>
      <c r="M166" s="577" t="s">
        <v>5526</v>
      </c>
      <c r="N166" s="158" t="s">
        <v>5533</v>
      </c>
      <c r="O166" s="2096" t="s">
        <v>5534</v>
      </c>
      <c r="P166" s="2355"/>
      <c r="Q166" s="2104"/>
      <c r="R166" s="2146">
        <v>447300</v>
      </c>
      <c r="S166" s="1658">
        <v>999000</v>
      </c>
      <c r="T166" s="248"/>
      <c r="U166" s="815">
        <v>6193601</v>
      </c>
      <c r="V166" s="1964">
        <v>250000</v>
      </c>
      <c r="W166" s="248"/>
      <c r="X166" s="340">
        <f t="shared" si="30"/>
        <v>1446300</v>
      </c>
      <c r="Y166" s="344">
        <f t="shared" si="31"/>
        <v>6443601</v>
      </c>
      <c r="Z166" s="249"/>
      <c r="AA166" s="341">
        <f>((G166*5130000)+(H166*5530000))*1.08+(1000000*1.08)</f>
        <v>6620400</v>
      </c>
      <c r="AB166" s="342">
        <f t="shared" si="33"/>
        <v>14510301</v>
      </c>
      <c r="AC166" s="252"/>
      <c r="AD166" s="5"/>
    </row>
    <row r="167" spans="1:30" s="13" customFormat="1" ht="26.4">
      <c r="A167" s="326">
        <f t="shared" si="34"/>
        <v>3</v>
      </c>
      <c r="B167" s="1967" t="s">
        <v>5717</v>
      </c>
      <c r="C167" s="166">
        <v>107186126830</v>
      </c>
      <c r="D167" s="542" t="s">
        <v>5654</v>
      </c>
      <c r="E167" s="1748" t="s">
        <v>5668</v>
      </c>
      <c r="F167" s="126" t="s">
        <v>206</v>
      </c>
      <c r="G167" s="167"/>
      <c r="H167" s="167"/>
      <c r="I167" s="170" t="s">
        <v>973</v>
      </c>
      <c r="J167" s="837"/>
      <c r="K167" s="86" t="s">
        <v>210</v>
      </c>
      <c r="L167" s="154" t="s">
        <v>5619</v>
      </c>
      <c r="M167" s="959" t="s">
        <v>5697</v>
      </c>
      <c r="N167" s="158" t="s">
        <v>2903</v>
      </c>
      <c r="O167" s="2096" t="s">
        <v>5618</v>
      </c>
      <c r="P167" s="1613"/>
      <c r="Q167" s="2104"/>
      <c r="R167" s="248"/>
      <c r="S167" s="248"/>
      <c r="T167" s="248"/>
      <c r="U167" s="815">
        <v>3178197</v>
      </c>
      <c r="V167" s="1964">
        <v>15825</v>
      </c>
      <c r="W167" s="248"/>
      <c r="X167" s="340">
        <f t="shared" si="30"/>
        <v>0</v>
      </c>
      <c r="Y167" s="344">
        <f t="shared" si="31"/>
        <v>3194022</v>
      </c>
      <c r="Z167" s="249"/>
      <c r="AA167" s="341">
        <f>2140000*1.08</f>
        <v>2311200</v>
      </c>
      <c r="AB167" s="342">
        <f t="shared" si="33"/>
        <v>5505222</v>
      </c>
      <c r="AC167" s="252"/>
      <c r="AD167" s="5"/>
    </row>
    <row r="168" spans="1:30" s="13" customFormat="1" ht="26.4">
      <c r="A168" s="326">
        <f t="shared" si="34"/>
        <v>4</v>
      </c>
      <c r="B168" s="2520" t="s">
        <v>5758</v>
      </c>
      <c r="C168" s="166">
        <v>107202131960</v>
      </c>
      <c r="D168" s="821" t="s">
        <v>5714</v>
      </c>
      <c r="E168" s="1748" t="s">
        <v>5686</v>
      </c>
      <c r="F168" s="126" t="s">
        <v>206</v>
      </c>
      <c r="G168" s="167"/>
      <c r="H168" s="167"/>
      <c r="I168" s="170" t="s">
        <v>973</v>
      </c>
      <c r="J168" s="837"/>
      <c r="K168" s="1474" t="s">
        <v>123</v>
      </c>
      <c r="L168" s="154" t="s">
        <v>5681</v>
      </c>
      <c r="M168" s="577" t="s">
        <v>5714</v>
      </c>
      <c r="N168" s="158" t="s">
        <v>4254</v>
      </c>
      <c r="O168" s="2096" t="s">
        <v>5680</v>
      </c>
      <c r="P168" s="1613"/>
      <c r="Q168" s="2146">
        <v>11782</v>
      </c>
      <c r="R168" s="248"/>
      <c r="S168" s="248"/>
      <c r="T168" s="248"/>
      <c r="U168" s="815">
        <v>3456486</v>
      </c>
      <c r="V168" s="1964">
        <v>1500</v>
      </c>
      <c r="W168" s="248"/>
      <c r="X168" s="340">
        <f t="shared" si="30"/>
        <v>11782</v>
      </c>
      <c r="Y168" s="344">
        <f t="shared" si="31"/>
        <v>3457986</v>
      </c>
      <c r="Z168" s="249"/>
      <c r="AA168" s="341">
        <f>1940000*1.08</f>
        <v>2095200.0000000002</v>
      </c>
      <c r="AB168" s="342">
        <f t="shared" si="33"/>
        <v>5564968</v>
      </c>
      <c r="AC168" s="252"/>
      <c r="AD168" s="5"/>
    </row>
    <row r="169" spans="1:30" s="13" customFormat="1">
      <c r="A169" s="326">
        <f t="shared" si="34"/>
        <v>5</v>
      </c>
      <c r="B169" s="786"/>
      <c r="C169" s="442" t="s">
        <v>5723</v>
      </c>
      <c r="D169" s="542"/>
      <c r="E169" s="47"/>
      <c r="F169" s="126"/>
      <c r="G169" s="167"/>
      <c r="H169" s="167"/>
      <c r="I169" s="170"/>
      <c r="J169" s="837"/>
      <c r="K169" s="79"/>
      <c r="L169" s="154" t="s">
        <v>5138</v>
      </c>
      <c r="M169" s="577"/>
      <c r="N169" s="158"/>
      <c r="O169" s="2091"/>
      <c r="P169" s="1613"/>
      <c r="Q169" s="2104"/>
      <c r="R169" s="248"/>
      <c r="S169" s="248"/>
      <c r="T169" s="248"/>
      <c r="U169" s="247"/>
      <c r="V169" s="816"/>
      <c r="W169" s="248"/>
      <c r="X169" s="340">
        <f t="shared" si="30"/>
        <v>0</v>
      </c>
      <c r="Y169" s="344">
        <f t="shared" si="31"/>
        <v>0</v>
      </c>
      <c r="Z169" s="249" t="s">
        <v>5138</v>
      </c>
      <c r="AA169" s="341">
        <f>600000*14*1.08</f>
        <v>9072000</v>
      </c>
      <c r="AB169" s="342">
        <f t="shared" si="33"/>
        <v>9072000</v>
      </c>
      <c r="AC169" s="252"/>
      <c r="AD169" s="5"/>
    </row>
    <row r="170" spans="1:30" s="13" customFormat="1">
      <c r="A170" s="3714" t="s">
        <v>5724</v>
      </c>
      <c r="B170" s="3714"/>
      <c r="C170" s="3714"/>
      <c r="D170" s="3714"/>
      <c r="E170" s="3714"/>
      <c r="F170" s="3714"/>
      <c r="G170" s="3714"/>
      <c r="H170" s="3714"/>
      <c r="I170" s="3714"/>
      <c r="J170" s="3714"/>
      <c r="K170" s="3714"/>
      <c r="L170" s="3714"/>
      <c r="M170" s="2363"/>
      <c r="N170" s="1708"/>
      <c r="O170" s="2094"/>
      <c r="P170" s="2054"/>
      <c r="Q170" s="2114"/>
      <c r="R170" s="2055"/>
      <c r="S170" s="2055"/>
      <c r="T170" s="2055"/>
      <c r="U170" s="2055"/>
      <c r="V170" s="2056"/>
      <c r="W170" s="2055"/>
      <c r="X170" s="2046">
        <f>SUM(X165:X168)</f>
        <v>1458082</v>
      </c>
      <c r="Y170" s="2046">
        <f>SUM(Y165:Y168)</f>
        <v>16214169</v>
      </c>
      <c r="Z170" s="2047"/>
      <c r="AA170" s="2046">
        <f>SUM(AA165:AA169)</f>
        <v>22194000</v>
      </c>
      <c r="AB170" s="2046">
        <f>SUM(AB165:AB169)</f>
        <v>39866251</v>
      </c>
      <c r="AC170" s="1606"/>
      <c r="AD170" s="1567"/>
    </row>
    <row r="171" spans="1:30" s="13" customFormat="1" ht="26.4">
      <c r="A171" s="326">
        <v>1</v>
      </c>
      <c r="B171" s="1966" t="s">
        <v>5837</v>
      </c>
      <c r="C171" s="166">
        <v>107212748860</v>
      </c>
      <c r="D171" s="542" t="s">
        <v>5758</v>
      </c>
      <c r="E171" s="47" t="s">
        <v>5778</v>
      </c>
      <c r="F171" s="126" t="s">
        <v>206</v>
      </c>
      <c r="G171" s="167">
        <v>1</v>
      </c>
      <c r="H171" s="167">
        <v>1</v>
      </c>
      <c r="I171" s="170"/>
      <c r="J171" s="837"/>
      <c r="K171" s="1474" t="s">
        <v>123</v>
      </c>
      <c r="L171" s="820" t="s">
        <v>5759</v>
      </c>
      <c r="M171" s="577" t="s">
        <v>5802</v>
      </c>
      <c r="N171" s="158" t="s">
        <v>2946</v>
      </c>
      <c r="O171" s="2096" t="s">
        <v>5757</v>
      </c>
      <c r="P171" s="2673" t="s">
        <v>6021</v>
      </c>
      <c r="Q171" s="2104"/>
      <c r="R171" s="2146">
        <v>1379000</v>
      </c>
      <c r="S171" s="2670">
        <f>1512000+999000</f>
        <v>2511000</v>
      </c>
      <c r="T171" s="248"/>
      <c r="U171" s="815">
        <v>14969988</v>
      </c>
      <c r="V171" s="815">
        <v>750000</v>
      </c>
      <c r="W171" s="248"/>
      <c r="X171" s="340">
        <f t="shared" si="30"/>
        <v>3890000</v>
      </c>
      <c r="Y171" s="344">
        <f t="shared" si="31"/>
        <v>15719988</v>
      </c>
      <c r="Z171" s="391"/>
      <c r="AA171" s="341">
        <f t="shared" ref="AA171:AA180" si="35">((G171*5130000)+(H171*5530000))*1.08</f>
        <v>11512800</v>
      </c>
      <c r="AB171" s="342">
        <f t="shared" ref="AB171:AB180" si="36">+AA171+Y171+X171</f>
        <v>31122788</v>
      </c>
      <c r="AC171" s="252"/>
      <c r="AD171" s="5"/>
    </row>
    <row r="172" spans="1:30" s="13" customFormat="1" ht="26.4">
      <c r="A172" s="326">
        <f t="shared" si="34"/>
        <v>2</v>
      </c>
      <c r="B172" s="1967" t="s">
        <v>5916</v>
      </c>
      <c r="C172" s="166">
        <v>107242266720</v>
      </c>
      <c r="D172" s="821" t="s">
        <v>5898</v>
      </c>
      <c r="E172" s="47" t="s">
        <v>5866</v>
      </c>
      <c r="F172" s="126" t="s">
        <v>206</v>
      </c>
      <c r="G172" s="167"/>
      <c r="H172" s="167"/>
      <c r="I172" s="170" t="s">
        <v>973</v>
      </c>
      <c r="J172" s="837"/>
      <c r="K172" s="1474" t="s">
        <v>123</v>
      </c>
      <c r="L172" s="154" t="s">
        <v>5865</v>
      </c>
      <c r="M172" s="959" t="s">
        <v>5884</v>
      </c>
      <c r="N172" s="158" t="s">
        <v>4983</v>
      </c>
      <c r="O172" s="2096" t="s">
        <v>5863</v>
      </c>
      <c r="P172" s="2674" t="s">
        <v>6022</v>
      </c>
      <c r="Q172" s="2104"/>
      <c r="R172" s="248"/>
      <c r="S172" s="248"/>
      <c r="T172" s="248"/>
      <c r="U172" s="815">
        <v>3100680</v>
      </c>
      <c r="V172" s="815">
        <v>7650</v>
      </c>
      <c r="W172" s="248"/>
      <c r="X172" s="340">
        <f t="shared" si="30"/>
        <v>0</v>
      </c>
      <c r="Y172" s="344">
        <f t="shared" si="31"/>
        <v>3108330</v>
      </c>
      <c r="Z172" s="391"/>
      <c r="AA172" s="341">
        <f>1940000*1.08</f>
        <v>2095200.0000000002</v>
      </c>
      <c r="AB172" s="342">
        <f t="shared" si="36"/>
        <v>5203530</v>
      </c>
      <c r="AC172" s="252"/>
      <c r="AD172" s="5"/>
    </row>
    <row r="173" spans="1:30" s="13" customFormat="1" ht="158.4">
      <c r="A173" s="1611">
        <f t="shared" si="34"/>
        <v>3</v>
      </c>
      <c r="B173" s="1046" t="s">
        <v>6016</v>
      </c>
      <c r="C173" s="2701">
        <v>107255414230</v>
      </c>
      <c r="D173" s="2702" t="s">
        <v>5887</v>
      </c>
      <c r="E173" s="1727" t="s">
        <v>5985</v>
      </c>
      <c r="F173" s="1728" t="s">
        <v>206</v>
      </c>
      <c r="G173" s="167">
        <v>12</v>
      </c>
      <c r="H173" s="167"/>
      <c r="I173" s="1729"/>
      <c r="J173" s="1729"/>
      <c r="K173" s="2689" t="s">
        <v>123</v>
      </c>
      <c r="L173" s="2703" t="s">
        <v>5888</v>
      </c>
      <c r="M173" s="522" t="s">
        <v>5887</v>
      </c>
      <c r="N173" s="2704" t="s">
        <v>4129</v>
      </c>
      <c r="O173" s="2705" t="s">
        <v>5886</v>
      </c>
      <c r="P173" s="2706" t="s">
        <v>6023</v>
      </c>
      <c r="Q173" s="2104"/>
      <c r="R173" s="2146">
        <v>5964000</v>
      </c>
      <c r="S173" s="2670">
        <f>1000000*12</f>
        <v>12000000</v>
      </c>
      <c r="T173" s="248"/>
      <c r="U173" s="247"/>
      <c r="V173" s="815">
        <v>3000000</v>
      </c>
      <c r="W173" s="248"/>
      <c r="X173" s="340">
        <f t="shared" si="30"/>
        <v>17964000</v>
      </c>
      <c r="Y173" s="344">
        <f t="shared" si="31"/>
        <v>3000000</v>
      </c>
      <c r="Z173" s="391"/>
      <c r="AA173" s="341">
        <f t="shared" si="35"/>
        <v>66484800.000000007</v>
      </c>
      <c r="AB173" s="342">
        <f t="shared" si="36"/>
        <v>87448800</v>
      </c>
      <c r="AC173" s="252"/>
      <c r="AD173" s="5"/>
    </row>
    <row r="174" spans="1:30" s="13" customFormat="1" ht="26.4">
      <c r="A174" s="1599">
        <f t="shared" si="34"/>
        <v>4</v>
      </c>
      <c r="B174" s="2700" t="s">
        <v>6020</v>
      </c>
      <c r="C174" s="2039">
        <v>107266806360</v>
      </c>
      <c r="D174" s="2696" t="s">
        <v>5931</v>
      </c>
      <c r="E174" s="2386" t="s">
        <v>6003</v>
      </c>
      <c r="F174" s="1601" t="s">
        <v>206</v>
      </c>
      <c r="G174" s="1745">
        <v>1</v>
      </c>
      <c r="H174" s="1745"/>
      <c r="I174" s="1612"/>
      <c r="J174" s="1612"/>
      <c r="K174" s="2690" t="s">
        <v>123</v>
      </c>
      <c r="L174" s="1587" t="s">
        <v>5982</v>
      </c>
      <c r="M174" s="1587" t="s">
        <v>5981</v>
      </c>
      <c r="N174" s="2697" t="s">
        <v>2946</v>
      </c>
      <c r="O174" s="2707" t="s">
        <v>5980</v>
      </c>
      <c r="P174" s="2686" t="s">
        <v>6056</v>
      </c>
      <c r="Q174" s="2104"/>
      <c r="R174" s="2146">
        <v>497000</v>
      </c>
      <c r="S174" s="2670">
        <v>1009000</v>
      </c>
      <c r="T174" s="248"/>
      <c r="U174" s="815">
        <v>6204011</v>
      </c>
      <c r="V174" s="815">
        <v>250000</v>
      </c>
      <c r="W174" s="776"/>
      <c r="X174" s="340">
        <f t="shared" si="30"/>
        <v>1506000</v>
      </c>
      <c r="Y174" s="344">
        <f t="shared" si="31"/>
        <v>6454011</v>
      </c>
      <c r="Z174" s="391"/>
      <c r="AA174" s="341">
        <f t="shared" si="35"/>
        <v>5540400</v>
      </c>
      <c r="AB174" s="342">
        <f t="shared" si="36"/>
        <v>13500411</v>
      </c>
      <c r="AC174" s="252"/>
      <c r="AD174" s="5"/>
    </row>
    <row r="175" spans="1:30" s="13" customFormat="1">
      <c r="A175" s="1599"/>
      <c r="B175" s="2700"/>
      <c r="C175" s="442" t="s">
        <v>6078</v>
      </c>
      <c r="D175" s="2696"/>
      <c r="E175" s="2386" t="s">
        <v>6071</v>
      </c>
      <c r="F175" s="1601"/>
      <c r="G175" s="1745"/>
      <c r="H175" s="1745"/>
      <c r="I175" s="1612"/>
      <c r="J175" s="1612"/>
      <c r="K175" s="2690"/>
      <c r="L175" s="1587" t="s">
        <v>6079</v>
      </c>
      <c r="M175" s="1587"/>
      <c r="N175" s="2697"/>
      <c r="O175" s="2707"/>
      <c r="P175" s="2686"/>
      <c r="Q175" s="2104"/>
      <c r="R175" s="2146"/>
      <c r="S175" s="1603"/>
      <c r="T175" s="1603"/>
      <c r="U175" s="2709"/>
      <c r="V175" s="2709"/>
      <c r="W175" s="2382"/>
      <c r="X175" s="2698"/>
      <c r="Y175" s="2699"/>
      <c r="Z175" s="1614" t="s">
        <v>6079</v>
      </c>
      <c r="AA175" s="2374">
        <f>600000*16*1.08</f>
        <v>10368000</v>
      </c>
      <c r="AB175" s="342">
        <f t="shared" si="36"/>
        <v>10368000</v>
      </c>
      <c r="AC175" s="1606"/>
      <c r="AD175" s="5"/>
    </row>
    <row r="176" spans="1:30" s="13" customFormat="1">
      <c r="A176" s="3714" t="s">
        <v>6077</v>
      </c>
      <c r="B176" s="3714"/>
      <c r="C176" s="3714"/>
      <c r="D176" s="3714"/>
      <c r="E176" s="3714"/>
      <c r="F176" s="3714"/>
      <c r="G176" s="3714"/>
      <c r="H176" s="3714"/>
      <c r="I176" s="3714"/>
      <c r="J176" s="3714"/>
      <c r="K176" s="3714"/>
      <c r="L176" s="3714"/>
      <c r="M176" s="2688"/>
      <c r="N176" s="1708"/>
      <c r="O176" s="2094"/>
      <c r="P176" s="2054"/>
      <c r="Q176" s="2114"/>
      <c r="R176" s="2055"/>
      <c r="S176" s="2055"/>
      <c r="T176" s="2055"/>
      <c r="U176" s="2055"/>
      <c r="V176" s="2056"/>
      <c r="W176" s="2055"/>
      <c r="X176" s="2046">
        <f>SUM(X170:X173)</f>
        <v>23312082</v>
      </c>
      <c r="Y176" s="2046">
        <f>SUM(Y170:Y173)</f>
        <v>38042487</v>
      </c>
      <c r="Z176" s="2047"/>
      <c r="AA176" s="2046">
        <f>SUM(AA170:AA174)</f>
        <v>107827200</v>
      </c>
      <c r="AB176" s="2046">
        <f>SUM(AB170:AB174)</f>
        <v>177141780</v>
      </c>
      <c r="AC176" s="1606"/>
      <c r="AD176" s="1567"/>
    </row>
    <row r="177" spans="1:38" s="13" customFormat="1" ht="31.2">
      <c r="A177" s="326">
        <v>1</v>
      </c>
      <c r="B177" s="1013" t="s">
        <v>6090</v>
      </c>
      <c r="C177" s="45">
        <v>107284996120</v>
      </c>
      <c r="D177" s="821" t="s">
        <v>6073</v>
      </c>
      <c r="E177" s="1748" t="s">
        <v>6075</v>
      </c>
      <c r="F177" s="126" t="s">
        <v>206</v>
      </c>
      <c r="G177" s="167">
        <v>2</v>
      </c>
      <c r="H177" s="167"/>
      <c r="I177" s="170"/>
      <c r="J177" s="837"/>
      <c r="K177" s="2695" t="s">
        <v>123</v>
      </c>
      <c r="L177" s="820" t="s">
        <v>6460</v>
      </c>
      <c r="M177" s="577" t="s">
        <v>6062</v>
      </c>
      <c r="N177" s="158" t="s">
        <v>2840</v>
      </c>
      <c r="O177" s="2096" t="s">
        <v>6061</v>
      </c>
      <c r="P177" s="2673" t="s">
        <v>6118</v>
      </c>
      <c r="Q177" s="2104"/>
      <c r="R177" s="2146">
        <v>1454000</v>
      </c>
      <c r="S177" s="2670">
        <f>999000*2</f>
        <v>1998000</v>
      </c>
      <c r="T177" s="248"/>
      <c r="U177" s="815">
        <v>11121960</v>
      </c>
      <c r="V177" s="815">
        <v>500000</v>
      </c>
      <c r="W177" s="776"/>
      <c r="X177" s="340">
        <f t="shared" si="30"/>
        <v>3452000</v>
      </c>
      <c r="Y177" s="344">
        <f t="shared" si="31"/>
        <v>11621960</v>
      </c>
      <c r="Z177" s="208" t="s">
        <v>6294</v>
      </c>
      <c r="AA177" s="341">
        <f t="shared" si="35"/>
        <v>11080800</v>
      </c>
      <c r="AB177" s="342">
        <f t="shared" si="36"/>
        <v>26154760</v>
      </c>
      <c r="AC177" s="252"/>
      <c r="AD177" s="5"/>
    </row>
    <row r="178" spans="1:38" s="13" customFormat="1" ht="26.4">
      <c r="A178" s="326">
        <f t="shared" si="34"/>
        <v>2</v>
      </c>
      <c r="B178" s="1013" t="s">
        <v>6192</v>
      </c>
      <c r="C178" s="45">
        <v>107302147850</v>
      </c>
      <c r="D178" s="821" t="s">
        <v>6124</v>
      </c>
      <c r="E178" s="47" t="s">
        <v>6069</v>
      </c>
      <c r="F178" s="126" t="s">
        <v>206</v>
      </c>
      <c r="G178" s="167">
        <v>2</v>
      </c>
      <c r="H178" s="167"/>
      <c r="I178" s="170"/>
      <c r="J178" s="837"/>
      <c r="K178" s="2795" t="s">
        <v>123</v>
      </c>
      <c r="L178" s="820" t="s">
        <v>6070</v>
      </c>
      <c r="M178" s="577" t="s">
        <v>6060</v>
      </c>
      <c r="N178" s="1262" t="s">
        <v>2946</v>
      </c>
      <c r="O178" s="2096" t="s">
        <v>6059</v>
      </c>
      <c r="P178" s="2673" t="s">
        <v>6118</v>
      </c>
      <c r="Q178" s="2104"/>
      <c r="R178" s="2146">
        <v>994000</v>
      </c>
      <c r="S178" s="2670">
        <v>1998000</v>
      </c>
      <c r="T178" s="248"/>
      <c r="U178" s="815">
        <v>11529572</v>
      </c>
      <c r="V178" s="815">
        <v>500000</v>
      </c>
      <c r="W178" s="776"/>
      <c r="X178" s="340">
        <f t="shared" si="30"/>
        <v>2992000</v>
      </c>
      <c r="Y178" s="344">
        <f t="shared" si="31"/>
        <v>12029572</v>
      </c>
      <c r="Z178" s="391"/>
      <c r="AA178" s="341">
        <f t="shared" si="35"/>
        <v>11080800</v>
      </c>
      <c r="AB178" s="342">
        <f t="shared" si="36"/>
        <v>26102372</v>
      </c>
      <c r="AC178" s="252"/>
      <c r="AD178" s="5"/>
    </row>
    <row r="179" spans="1:38" s="13" customFormat="1" ht="26.4">
      <c r="A179" s="326">
        <f t="shared" si="34"/>
        <v>3</v>
      </c>
      <c r="B179" s="1013" t="s">
        <v>6053</v>
      </c>
      <c r="C179" s="45">
        <v>107308632100</v>
      </c>
      <c r="D179" s="821" t="s">
        <v>6143</v>
      </c>
      <c r="E179" s="47" t="s">
        <v>6154</v>
      </c>
      <c r="F179" s="126" t="s">
        <v>206</v>
      </c>
      <c r="G179" s="167"/>
      <c r="H179" s="167"/>
      <c r="I179" s="170" t="s">
        <v>973</v>
      </c>
      <c r="J179" s="837"/>
      <c r="K179" s="86" t="s">
        <v>210</v>
      </c>
      <c r="L179" s="154"/>
      <c r="M179" s="577" t="s">
        <v>6124</v>
      </c>
      <c r="N179" s="158" t="s">
        <v>2903</v>
      </c>
      <c r="O179" s="2096" t="s">
        <v>6123</v>
      </c>
      <c r="P179" s="2674" t="s">
        <v>6224</v>
      </c>
      <c r="Q179" s="2104"/>
      <c r="R179" s="2146">
        <v>35345</v>
      </c>
      <c r="S179" s="248"/>
      <c r="T179" s="248"/>
      <c r="U179" s="815">
        <v>3125272</v>
      </c>
      <c r="V179" s="815">
        <v>7500</v>
      </c>
      <c r="W179" s="248"/>
      <c r="X179" s="340">
        <f t="shared" si="30"/>
        <v>35345</v>
      </c>
      <c r="Y179" s="344">
        <f t="shared" si="31"/>
        <v>3132772</v>
      </c>
      <c r="Z179" s="391"/>
      <c r="AA179" s="341">
        <f t="shared" si="35"/>
        <v>0</v>
      </c>
      <c r="AB179" s="342">
        <f t="shared" si="36"/>
        <v>3168117</v>
      </c>
      <c r="AC179" s="252"/>
      <c r="AD179" s="5"/>
    </row>
    <row r="180" spans="1:38" s="13" customFormat="1" ht="26.4">
      <c r="A180" s="326">
        <f t="shared" si="34"/>
        <v>4</v>
      </c>
      <c r="B180" s="1013" t="s">
        <v>6192</v>
      </c>
      <c r="C180" s="45">
        <v>107316188710</v>
      </c>
      <c r="D180" s="542">
        <v>45664</v>
      </c>
      <c r="E180" s="47" t="s">
        <v>6155</v>
      </c>
      <c r="F180" s="126" t="s">
        <v>206</v>
      </c>
      <c r="G180" s="167"/>
      <c r="H180" s="167"/>
      <c r="I180" s="170" t="s">
        <v>973</v>
      </c>
      <c r="J180" s="837"/>
      <c r="K180" s="2823" t="s">
        <v>123</v>
      </c>
      <c r="L180" s="154"/>
      <c r="M180" s="959" t="s">
        <v>6197</v>
      </c>
      <c r="N180" s="158" t="s">
        <v>4983</v>
      </c>
      <c r="O180" s="2096" t="s">
        <v>6142</v>
      </c>
      <c r="P180" s="2674" t="s">
        <v>6254</v>
      </c>
      <c r="Q180" s="2104"/>
      <c r="S180" s="248">
        <f>SUM(R178:S179)</f>
        <v>3027345</v>
      </c>
      <c r="T180" s="248"/>
      <c r="U180" s="815">
        <v>3100680</v>
      </c>
      <c r="V180" s="815">
        <v>3600</v>
      </c>
      <c r="W180" s="248"/>
      <c r="X180" s="340">
        <f>R178+S180+T180+Q180+W180</f>
        <v>4021345</v>
      </c>
      <c r="Y180" s="344">
        <f t="shared" si="31"/>
        <v>3104280</v>
      </c>
      <c r="Z180" s="391"/>
      <c r="AA180" s="341">
        <f t="shared" si="35"/>
        <v>0</v>
      </c>
      <c r="AB180" s="342">
        <f t="shared" si="36"/>
        <v>7125625</v>
      </c>
      <c r="AC180" s="252"/>
      <c r="AD180" s="5"/>
    </row>
    <row r="181" spans="1:38" s="13" customFormat="1">
      <c r="A181" s="326">
        <f t="shared" si="34"/>
        <v>5</v>
      </c>
      <c r="B181" s="786"/>
      <c r="C181" s="45"/>
      <c r="D181" s="542"/>
      <c r="E181" s="47"/>
      <c r="F181" s="126"/>
      <c r="G181" s="167"/>
      <c r="H181" s="167"/>
      <c r="I181" s="170"/>
      <c r="J181" s="837"/>
      <c r="K181" s="79"/>
      <c r="L181" s="154"/>
      <c r="M181" s="577"/>
      <c r="N181" s="158"/>
      <c r="O181" s="2091"/>
      <c r="P181" s="1613"/>
      <c r="Q181" s="2104"/>
      <c r="R181" s="248"/>
      <c r="S181" s="248"/>
      <c r="T181" s="248"/>
      <c r="U181" s="247"/>
      <c r="V181" s="816"/>
      <c r="W181" s="248"/>
      <c r="X181" s="340">
        <f t="shared" si="30"/>
        <v>0</v>
      </c>
      <c r="Y181" s="344">
        <f t="shared" si="31"/>
        <v>0</v>
      </c>
      <c r="Z181" s="249"/>
      <c r="AA181" s="250"/>
      <c r="AB181" s="251"/>
      <c r="AC181" s="252"/>
      <c r="AD181" s="5"/>
    </row>
    <row r="182" spans="1:38" s="13" customFormat="1">
      <c r="A182" s="326">
        <f t="shared" si="34"/>
        <v>6</v>
      </c>
      <c r="B182" s="786"/>
      <c r="C182" s="45"/>
      <c r="D182" s="542"/>
      <c r="E182" s="47"/>
      <c r="F182" s="126"/>
      <c r="G182" s="167"/>
      <c r="H182" s="167"/>
      <c r="I182" s="170"/>
      <c r="J182" s="837"/>
      <c r="K182" s="79"/>
      <c r="L182" s="154"/>
      <c r="M182" s="577"/>
      <c r="N182" s="158"/>
      <c r="O182" s="2091"/>
      <c r="P182" s="1613"/>
      <c r="Q182" s="2104"/>
      <c r="R182" s="248"/>
      <c r="S182" s="248"/>
      <c r="T182" s="248"/>
      <c r="U182" s="247"/>
      <c r="V182" s="816"/>
      <c r="W182" s="248"/>
      <c r="X182" s="340">
        <f t="shared" si="30"/>
        <v>0</v>
      </c>
      <c r="Y182" s="344">
        <f t="shared" si="31"/>
        <v>0</v>
      </c>
      <c r="Z182" s="249"/>
      <c r="AA182" s="250"/>
      <c r="AB182" s="251"/>
      <c r="AC182" s="252"/>
      <c r="AD182" s="5"/>
    </row>
    <row r="183" spans="1:38" s="13" customFormat="1">
      <c r="A183" s="326">
        <f t="shared" si="34"/>
        <v>7</v>
      </c>
      <c r="B183" s="786"/>
      <c r="C183" s="45"/>
      <c r="D183" s="542"/>
      <c r="E183" s="47"/>
      <c r="F183" s="126"/>
      <c r="G183" s="167"/>
      <c r="H183" s="167"/>
      <c r="I183" s="170"/>
      <c r="J183" s="837"/>
      <c r="K183" s="79"/>
      <c r="L183" s="659"/>
      <c r="M183" s="577"/>
      <c r="N183" s="158"/>
      <c r="O183" s="2091"/>
      <c r="P183" s="1613"/>
      <c r="Q183" s="2104"/>
      <c r="R183" s="248"/>
      <c r="S183" s="248"/>
      <c r="T183" s="248"/>
      <c r="U183" s="247"/>
      <c r="V183" s="816"/>
      <c r="W183" s="248"/>
      <c r="X183" s="340">
        <f t="shared" si="30"/>
        <v>0</v>
      </c>
      <c r="Y183" s="344">
        <f t="shared" si="31"/>
        <v>0</v>
      </c>
      <c r="Z183" s="249"/>
      <c r="AA183" s="250"/>
      <c r="AB183" s="251"/>
      <c r="AC183" s="252"/>
      <c r="AD183" s="5"/>
    </row>
    <row r="184" spans="1:38" s="13" customFormat="1">
      <c r="A184" s="326">
        <f t="shared" si="34"/>
        <v>8</v>
      </c>
      <c r="B184" s="786"/>
      <c r="C184" s="45"/>
      <c r="D184" s="542"/>
      <c r="E184" s="47"/>
      <c r="F184" s="126"/>
      <c r="G184" s="167"/>
      <c r="H184" s="167"/>
      <c r="I184" s="170"/>
      <c r="J184" s="837"/>
      <c r="K184" s="79"/>
      <c r="L184" s="2512"/>
      <c r="M184" s="522"/>
      <c r="N184" s="1591"/>
      <c r="O184" s="2281"/>
      <c r="P184" s="1592"/>
      <c r="Q184" s="2282"/>
      <c r="R184" s="1593"/>
      <c r="S184" s="1593"/>
      <c r="T184" s="1593"/>
      <c r="U184" s="1594"/>
      <c r="V184" s="1594"/>
      <c r="W184" s="1593"/>
      <c r="X184" s="1593"/>
      <c r="Y184" s="2283"/>
      <c r="Z184" s="1595"/>
      <c r="AA184" s="2284"/>
      <c r="AB184" s="2285"/>
      <c r="AC184" s="1596"/>
      <c r="AD184" s="5"/>
    </row>
    <row r="185" spans="1:38" s="13" customFormat="1" ht="12.75" customHeight="1">
      <c r="A185" s="326">
        <f t="shared" si="34"/>
        <v>9</v>
      </c>
      <c r="B185" s="786"/>
      <c r="C185" s="45"/>
      <c r="D185" s="542"/>
      <c r="E185" s="47"/>
      <c r="F185" s="126"/>
      <c r="G185" s="167"/>
      <c r="H185" s="167"/>
      <c r="I185" s="170"/>
      <c r="J185" s="837"/>
      <c r="K185" s="79"/>
      <c r="L185" s="1579"/>
      <c r="M185" s="1579"/>
      <c r="N185" s="1579"/>
      <c r="O185" s="1579"/>
      <c r="P185" s="1579"/>
      <c r="Q185" s="1579"/>
      <c r="R185" s="1579"/>
      <c r="S185" s="1579"/>
      <c r="T185" s="1579"/>
      <c r="U185" s="1579"/>
      <c r="V185" s="1579"/>
      <c r="W185" s="1579"/>
      <c r="X185" s="1579"/>
      <c r="Y185" s="1579"/>
      <c r="Z185" s="1579"/>
      <c r="AA185" s="1579"/>
      <c r="AB185" s="1579"/>
      <c r="AC185" s="1579"/>
      <c r="AD185" s="1579"/>
      <c r="AE185" s="1579"/>
      <c r="AF185" s="1579"/>
      <c r="AG185" s="1579"/>
      <c r="AH185" s="1579"/>
      <c r="AI185" s="1579"/>
      <c r="AJ185" s="1579"/>
      <c r="AK185" s="1579"/>
      <c r="AL185" s="1579"/>
    </row>
    <row r="186" spans="1:38" s="13" customFormat="1" ht="13.2">
      <c r="A186" s="326">
        <f t="shared" si="34"/>
        <v>10</v>
      </c>
      <c r="B186" s="786"/>
      <c r="C186" s="45"/>
      <c r="D186" s="542"/>
      <c r="E186" s="47"/>
      <c r="F186" s="126"/>
      <c r="G186" s="167"/>
      <c r="H186" s="167"/>
      <c r="I186" s="170"/>
      <c r="J186" s="837"/>
      <c r="K186" s="79"/>
      <c r="L186" s="1579"/>
      <c r="M186" s="1579"/>
      <c r="N186" s="1579"/>
      <c r="O186" s="1579"/>
      <c r="P186" s="1579"/>
      <c r="Q186" s="1579"/>
      <c r="R186" s="1579"/>
      <c r="S186" s="1579"/>
      <c r="T186" s="1579"/>
      <c r="U186" s="1579"/>
      <c r="V186" s="1579"/>
      <c r="W186" s="1579"/>
      <c r="X186" s="1579"/>
      <c r="Y186" s="1579"/>
      <c r="Z186" s="1579"/>
      <c r="AA186" s="1579"/>
      <c r="AB186" s="1579"/>
      <c r="AC186" s="1579"/>
      <c r="AD186" s="1579"/>
      <c r="AE186" s="1579"/>
      <c r="AF186" s="1579"/>
      <c r="AG186" s="1579"/>
      <c r="AH186" s="1579"/>
      <c r="AI186" s="1579"/>
      <c r="AJ186" s="1579"/>
      <c r="AK186" s="1579"/>
      <c r="AL186" s="1579"/>
    </row>
    <row r="187" spans="1:38" s="13" customFormat="1">
      <c r="A187" s="326">
        <f t="shared" si="34"/>
        <v>11</v>
      </c>
      <c r="B187" s="786"/>
      <c r="C187" s="45"/>
      <c r="D187" s="542"/>
      <c r="E187" s="47"/>
      <c r="F187" s="126"/>
      <c r="G187" s="167"/>
      <c r="H187" s="167"/>
      <c r="I187" s="170"/>
      <c r="J187" s="837"/>
      <c r="K187" s="79"/>
      <c r="L187" s="577"/>
      <c r="M187" s="577"/>
      <c r="N187" s="806"/>
      <c r="O187" s="2095"/>
      <c r="P187" s="807"/>
      <c r="Q187" s="2106"/>
      <c r="R187" s="425"/>
      <c r="S187" s="425"/>
      <c r="T187" s="425"/>
      <c r="U187" s="426"/>
      <c r="V187" s="426"/>
      <c r="W187" s="425"/>
      <c r="X187" s="425"/>
      <c r="Y187" s="427"/>
      <c r="Z187" s="2278"/>
      <c r="AA187" s="2286"/>
      <c r="AB187" s="2287"/>
      <c r="AC187" s="808"/>
      <c r="AD187" s="5"/>
    </row>
    <row r="188" spans="1:38" s="13" customFormat="1">
      <c r="A188" s="326">
        <f t="shared" si="34"/>
        <v>12</v>
      </c>
      <c r="B188" s="786"/>
      <c r="C188" s="45"/>
      <c r="D188" s="542"/>
      <c r="E188" s="47"/>
      <c r="F188" s="126"/>
      <c r="G188" s="167"/>
      <c r="H188" s="167"/>
      <c r="I188" s="170"/>
      <c r="J188" s="837"/>
      <c r="K188" s="79"/>
      <c r="L188" s="154"/>
      <c r="M188" s="577"/>
      <c r="N188" s="158"/>
      <c r="O188" s="2091"/>
      <c r="P188" s="1613"/>
      <c r="Q188" s="2104"/>
      <c r="R188" s="248"/>
      <c r="S188" s="248"/>
      <c r="T188" s="248"/>
      <c r="U188" s="247"/>
      <c r="V188" s="816"/>
      <c r="W188" s="248"/>
      <c r="X188" s="248"/>
      <c r="Y188" s="194"/>
      <c r="Z188" s="249"/>
      <c r="AA188" s="250"/>
      <c r="AB188" s="251"/>
      <c r="AC188" s="252"/>
      <c r="AD188" s="5"/>
    </row>
    <row r="189" spans="1:38" s="13" customFormat="1">
      <c r="A189" s="326">
        <f t="shared" si="34"/>
        <v>13</v>
      </c>
      <c r="B189" s="786"/>
      <c r="C189" s="45"/>
      <c r="D189" s="542"/>
      <c r="E189" s="47"/>
      <c r="F189" s="126"/>
      <c r="G189" s="167"/>
      <c r="H189" s="167"/>
      <c r="I189" s="170"/>
      <c r="J189" s="837"/>
      <c r="K189" s="79"/>
      <c r="L189" s="154"/>
      <c r="M189" s="577"/>
      <c r="N189" s="158"/>
      <c r="O189" s="2091"/>
      <c r="P189" s="1613"/>
      <c r="Q189" s="2104"/>
      <c r="R189" s="248"/>
      <c r="S189" s="248"/>
      <c r="T189" s="248"/>
      <c r="U189" s="247"/>
      <c r="V189" s="816"/>
      <c r="W189" s="248"/>
      <c r="X189" s="248"/>
      <c r="Y189" s="194"/>
      <c r="Z189" s="249"/>
      <c r="AA189" s="250"/>
      <c r="AB189" s="251"/>
      <c r="AC189" s="252"/>
      <c r="AD189" s="5"/>
    </row>
    <row r="190" spans="1:38" s="13" customFormat="1">
      <c r="A190" s="326">
        <f t="shared" si="34"/>
        <v>14</v>
      </c>
      <c r="B190" s="786"/>
      <c r="C190" s="45"/>
      <c r="D190" s="542"/>
      <c r="E190" s="47"/>
      <c r="F190" s="126"/>
      <c r="G190" s="167"/>
      <c r="H190" s="167"/>
      <c r="I190" s="170"/>
      <c r="J190" s="837"/>
      <c r="K190" s="79"/>
      <c r="L190" s="154"/>
      <c r="M190" s="577"/>
      <c r="N190" s="158"/>
      <c r="O190" s="2091"/>
      <c r="P190" s="1613"/>
      <c r="Q190" s="2104"/>
      <c r="R190" s="248"/>
      <c r="S190" s="248"/>
      <c r="T190" s="248"/>
      <c r="U190" s="247"/>
      <c r="V190" s="816"/>
      <c r="W190" s="248"/>
      <c r="X190" s="248"/>
      <c r="Y190" s="194"/>
      <c r="Z190" s="249"/>
      <c r="AA190" s="250"/>
      <c r="AB190" s="251"/>
      <c r="AC190" s="252"/>
      <c r="AD190" s="5"/>
    </row>
    <row r="191" spans="1:38" s="13" customFormat="1">
      <c r="A191" s="326">
        <f t="shared" si="34"/>
        <v>15</v>
      </c>
      <c r="B191" s="786"/>
      <c r="C191" s="45"/>
      <c r="D191" s="542"/>
      <c r="E191" s="47"/>
      <c r="F191" s="126"/>
      <c r="G191" s="167"/>
      <c r="H191" s="167"/>
      <c r="I191" s="170"/>
      <c r="J191" s="837"/>
      <c r="K191" s="79"/>
      <c r="L191" s="154"/>
      <c r="M191" s="577"/>
      <c r="N191" s="158"/>
      <c r="O191" s="2091"/>
      <c r="P191" s="1613"/>
      <c r="Q191" s="2104"/>
      <c r="R191" s="248"/>
      <c r="S191" s="248"/>
      <c r="T191" s="248"/>
      <c r="U191" s="247"/>
      <c r="V191" s="816"/>
      <c r="W191" s="248"/>
      <c r="X191" s="248"/>
      <c r="Y191" s="194"/>
      <c r="Z191" s="249"/>
      <c r="AA191" s="250"/>
      <c r="AB191" s="251"/>
      <c r="AC191" s="252"/>
      <c r="AD191" s="5"/>
    </row>
    <row r="192" spans="1:38" s="13" customFormat="1">
      <c r="A192" s="326">
        <f t="shared" si="34"/>
        <v>16</v>
      </c>
      <c r="B192" s="786"/>
      <c r="C192" s="45"/>
      <c r="D192" s="542"/>
      <c r="E192" s="47"/>
      <c r="F192" s="126"/>
      <c r="G192" s="167"/>
      <c r="H192" s="167"/>
      <c r="I192" s="170"/>
      <c r="J192" s="837"/>
      <c r="K192" s="79"/>
      <c r="L192" s="154"/>
      <c r="M192" s="577"/>
      <c r="N192" s="158"/>
      <c r="O192" s="2091"/>
      <c r="P192" s="1613"/>
      <c r="Q192" s="2104"/>
      <c r="R192" s="248"/>
      <c r="S192" s="248"/>
      <c r="T192" s="248"/>
      <c r="U192" s="247"/>
      <c r="V192" s="816"/>
      <c r="W192" s="248"/>
      <c r="X192" s="248"/>
      <c r="Y192" s="194"/>
      <c r="Z192" s="249"/>
      <c r="AA192" s="250"/>
      <c r="AB192" s="251"/>
      <c r="AC192" s="252"/>
      <c r="AD192" s="5"/>
    </row>
    <row r="193" spans="1:30" s="13" customFormat="1">
      <c r="A193" s="326">
        <f t="shared" si="34"/>
        <v>17</v>
      </c>
      <c r="B193" s="786"/>
      <c r="C193" s="45"/>
      <c r="D193" s="542"/>
      <c r="E193" s="47"/>
      <c r="F193" s="126"/>
      <c r="G193" s="167"/>
      <c r="H193" s="167"/>
      <c r="I193" s="170"/>
      <c r="J193" s="837"/>
      <c r="K193" s="79"/>
      <c r="L193" s="154"/>
      <c r="M193" s="577"/>
      <c r="N193" s="158"/>
      <c r="O193" s="2091"/>
      <c r="P193" s="1613"/>
      <c r="Q193" s="2104"/>
      <c r="R193" s="248"/>
      <c r="S193" s="248"/>
      <c r="T193" s="248"/>
      <c r="U193" s="247"/>
      <c r="V193" s="816"/>
      <c r="W193" s="248"/>
      <c r="X193" s="248"/>
      <c r="Y193" s="194"/>
      <c r="Z193" s="249"/>
      <c r="AA193" s="250"/>
      <c r="AB193" s="251"/>
      <c r="AC193" s="252"/>
      <c r="AD193" s="5"/>
    </row>
    <row r="194" spans="1:30" s="13" customFormat="1">
      <c r="A194" s="326">
        <f t="shared" si="34"/>
        <v>18</v>
      </c>
      <c r="B194" s="786"/>
      <c r="C194" s="45"/>
      <c r="D194" s="542"/>
      <c r="E194" s="47"/>
      <c r="F194" s="126"/>
      <c r="G194" s="167"/>
      <c r="H194" s="167"/>
      <c r="I194" s="170"/>
      <c r="J194" s="837"/>
      <c r="K194" s="79"/>
      <c r="L194" s="154"/>
      <c r="M194" s="577"/>
      <c r="N194" s="158"/>
      <c r="O194" s="2091"/>
      <c r="P194" s="1613"/>
      <c r="Q194" s="2104"/>
      <c r="R194" s="248"/>
      <c r="S194" s="248"/>
      <c r="T194" s="248"/>
      <c r="U194" s="247"/>
      <c r="V194" s="816"/>
      <c r="W194" s="248"/>
      <c r="X194" s="248"/>
      <c r="Y194" s="194"/>
      <c r="Z194" s="249"/>
      <c r="AA194" s="250"/>
      <c r="AB194" s="251"/>
      <c r="AC194" s="252"/>
      <c r="AD194" s="5"/>
    </row>
    <row r="195" spans="1:30" s="13" customFormat="1">
      <c r="A195" s="326">
        <f t="shared" si="34"/>
        <v>19</v>
      </c>
      <c r="B195" s="786"/>
      <c r="C195" s="45"/>
      <c r="D195" s="542"/>
      <c r="E195" s="47"/>
      <c r="F195" s="126"/>
      <c r="G195" s="167"/>
      <c r="H195" s="167"/>
      <c r="I195" s="170"/>
      <c r="J195" s="837"/>
      <c r="K195" s="79"/>
      <c r="L195" s="154"/>
      <c r="M195" s="577"/>
      <c r="N195" s="158"/>
      <c r="O195" s="2091"/>
      <c r="P195" s="1613"/>
      <c r="Q195" s="2104"/>
      <c r="R195" s="248"/>
      <c r="S195" s="248"/>
      <c r="T195" s="248"/>
      <c r="U195" s="247"/>
      <c r="V195" s="816"/>
      <c r="W195" s="248"/>
      <c r="X195" s="248"/>
      <c r="Y195" s="194"/>
      <c r="Z195" s="249"/>
      <c r="AA195" s="250"/>
      <c r="AB195" s="251"/>
      <c r="AC195" s="252"/>
      <c r="AD195" s="5"/>
    </row>
    <row r="196" spans="1:30" s="13" customFormat="1">
      <c r="A196" s="326">
        <f t="shared" si="34"/>
        <v>20</v>
      </c>
      <c r="B196" s="786"/>
      <c r="C196" s="45"/>
      <c r="D196" s="542"/>
      <c r="E196" s="47"/>
      <c r="F196" s="126"/>
      <c r="G196" s="167"/>
      <c r="H196" s="167"/>
      <c r="I196" s="170"/>
      <c r="J196" s="837"/>
      <c r="K196" s="79"/>
      <c r="L196" s="154"/>
      <c r="M196" s="577"/>
      <c r="N196" s="158"/>
      <c r="O196" s="2091"/>
      <c r="P196" s="1613"/>
      <c r="Q196" s="2104"/>
      <c r="R196" s="248"/>
      <c r="S196" s="248"/>
      <c r="T196" s="248"/>
      <c r="U196" s="247"/>
      <c r="V196" s="816"/>
      <c r="W196" s="248"/>
      <c r="X196" s="248"/>
      <c r="Y196" s="194"/>
      <c r="Z196" s="249"/>
      <c r="AA196" s="250"/>
      <c r="AB196" s="251"/>
      <c r="AC196" s="252"/>
      <c r="AD196" s="5"/>
    </row>
    <row r="197" spans="1:30" s="13" customFormat="1">
      <c r="A197" s="326">
        <f t="shared" si="34"/>
        <v>21</v>
      </c>
      <c r="B197" s="786"/>
      <c r="C197" s="45"/>
      <c r="D197" s="542"/>
      <c r="E197" s="47"/>
      <c r="F197" s="126"/>
      <c r="G197" s="167"/>
      <c r="H197" s="167"/>
      <c r="I197" s="170"/>
      <c r="J197" s="837"/>
      <c r="K197" s="79"/>
      <c r="L197" s="154"/>
      <c r="M197" s="577"/>
      <c r="N197" s="158"/>
      <c r="O197" s="2091"/>
      <c r="P197" s="1613"/>
      <c r="Q197" s="2104"/>
      <c r="R197" s="248"/>
      <c r="S197" s="248"/>
      <c r="T197" s="248"/>
      <c r="U197" s="247"/>
      <c r="V197" s="816"/>
      <c r="W197" s="248"/>
      <c r="X197" s="248"/>
      <c r="Y197" s="194"/>
      <c r="Z197" s="249"/>
      <c r="AA197" s="250"/>
      <c r="AB197" s="251"/>
      <c r="AC197" s="252"/>
      <c r="AD197" s="5"/>
    </row>
    <row r="198" spans="1:30" s="13" customFormat="1">
      <c r="A198" s="326">
        <f t="shared" si="34"/>
        <v>22</v>
      </c>
      <c r="B198" s="786"/>
      <c r="C198" s="45"/>
      <c r="D198" s="542"/>
      <c r="E198" s="47"/>
      <c r="F198" s="126"/>
      <c r="G198" s="167"/>
      <c r="H198" s="167"/>
      <c r="I198" s="170"/>
      <c r="J198" s="837"/>
      <c r="K198" s="79"/>
      <c r="L198" s="154"/>
      <c r="M198" s="577"/>
      <c r="N198" s="158"/>
      <c r="O198" s="2091"/>
      <c r="P198" s="1613"/>
      <c r="Q198" s="2104"/>
      <c r="R198" s="248"/>
      <c r="S198" s="248"/>
      <c r="T198" s="248"/>
      <c r="U198" s="247"/>
      <c r="V198" s="816"/>
      <c r="W198" s="248"/>
      <c r="X198" s="248"/>
      <c r="Y198" s="194"/>
      <c r="Z198" s="249"/>
      <c r="AA198" s="250"/>
      <c r="AB198" s="251"/>
      <c r="AC198" s="252"/>
      <c r="AD198" s="5"/>
    </row>
    <row r="199" spans="1:30" s="13" customFormat="1">
      <c r="A199" s="326">
        <f t="shared" si="34"/>
        <v>23</v>
      </c>
      <c r="B199" s="786"/>
      <c r="C199" s="45"/>
      <c r="D199" s="542"/>
      <c r="E199" s="47"/>
      <c r="F199" s="126"/>
      <c r="G199" s="167"/>
      <c r="H199" s="167"/>
      <c r="I199" s="170"/>
      <c r="J199" s="837"/>
      <c r="K199" s="79"/>
      <c r="L199" s="154"/>
      <c r="M199" s="577"/>
      <c r="N199" s="158"/>
      <c r="O199" s="2091"/>
      <c r="P199" s="1613"/>
      <c r="Q199" s="2104"/>
      <c r="R199" s="248"/>
      <c r="S199" s="248"/>
      <c r="T199" s="248"/>
      <c r="U199" s="247"/>
      <c r="V199" s="816"/>
      <c r="W199" s="248"/>
      <c r="X199" s="248"/>
      <c r="Y199" s="194"/>
      <c r="Z199" s="249"/>
      <c r="AA199" s="250"/>
      <c r="AB199" s="251"/>
      <c r="AC199" s="252"/>
      <c r="AD199" s="5"/>
    </row>
    <row r="200" spans="1:30" s="13" customFormat="1">
      <c r="A200" s="326">
        <f t="shared" si="34"/>
        <v>24</v>
      </c>
      <c r="B200" s="786"/>
      <c r="C200" s="45"/>
      <c r="D200" s="542"/>
      <c r="E200" s="47"/>
      <c r="F200" s="126"/>
      <c r="G200" s="167"/>
      <c r="H200" s="167"/>
      <c r="I200" s="170"/>
      <c r="J200" s="837"/>
      <c r="K200" s="79"/>
      <c r="L200" s="154"/>
      <c r="M200" s="577"/>
      <c r="N200" s="158"/>
      <c r="O200" s="2091"/>
      <c r="P200" s="1613"/>
      <c r="Q200" s="2104"/>
      <c r="R200" s="248"/>
      <c r="S200" s="248"/>
      <c r="T200" s="248"/>
      <c r="U200" s="247"/>
      <c r="V200" s="816"/>
      <c r="W200" s="248"/>
      <c r="X200" s="248"/>
      <c r="Y200" s="194"/>
      <c r="Z200" s="249"/>
      <c r="AA200" s="250"/>
      <c r="AB200" s="251"/>
      <c r="AC200" s="252"/>
      <c r="AD200" s="5"/>
    </row>
    <row r="201" spans="1:30" s="13" customFormat="1">
      <c r="A201" s="326">
        <f t="shared" si="34"/>
        <v>25</v>
      </c>
      <c r="B201" s="786"/>
      <c r="C201" s="45"/>
      <c r="D201" s="542"/>
      <c r="E201" s="47"/>
      <c r="F201" s="126"/>
      <c r="G201" s="167"/>
      <c r="H201" s="167"/>
      <c r="I201" s="170"/>
      <c r="J201" s="837"/>
      <c r="K201" s="79"/>
      <c r="L201" s="154"/>
      <c r="M201" s="577"/>
      <c r="N201" s="158"/>
      <c r="O201" s="2091"/>
      <c r="P201" s="1613"/>
      <c r="Q201" s="2104"/>
      <c r="R201" s="248"/>
      <c r="S201" s="248"/>
      <c r="T201" s="248"/>
      <c r="U201" s="247"/>
      <c r="V201" s="816"/>
      <c r="W201" s="248"/>
      <c r="X201" s="248"/>
      <c r="Y201" s="194"/>
      <c r="Z201" s="249"/>
      <c r="AA201" s="250"/>
      <c r="AB201" s="251"/>
      <c r="AC201" s="252"/>
      <c r="AD201" s="5"/>
    </row>
    <row r="202" spans="1:30" s="13" customFormat="1">
      <c r="A202" s="326">
        <f t="shared" si="34"/>
        <v>26</v>
      </c>
      <c r="B202" s="786"/>
      <c r="C202" s="45"/>
      <c r="D202" s="542"/>
      <c r="E202" s="47"/>
      <c r="F202" s="126"/>
      <c r="G202" s="167"/>
      <c r="H202" s="167"/>
      <c r="I202" s="170"/>
      <c r="J202" s="837"/>
      <c r="K202" s="79"/>
      <c r="L202" s="154"/>
      <c r="M202" s="577"/>
      <c r="N202" s="158"/>
      <c r="O202" s="2091"/>
      <c r="P202" s="1613"/>
      <c r="Q202" s="2104"/>
      <c r="R202" s="248"/>
      <c r="S202" s="248"/>
      <c r="T202" s="248"/>
      <c r="U202" s="247"/>
      <c r="V202" s="816"/>
      <c r="W202" s="248"/>
      <c r="X202" s="248"/>
      <c r="Y202" s="194"/>
      <c r="Z202" s="249"/>
      <c r="AA202" s="250"/>
      <c r="AB202" s="251"/>
      <c r="AC202" s="252"/>
      <c r="AD202" s="5"/>
    </row>
    <row r="203" spans="1:30" s="13" customFormat="1">
      <c r="A203" s="326">
        <f t="shared" si="34"/>
        <v>27</v>
      </c>
      <c r="B203" s="786"/>
      <c r="C203" s="45"/>
      <c r="D203" s="542"/>
      <c r="E203" s="47"/>
      <c r="F203" s="126"/>
      <c r="G203" s="167"/>
      <c r="H203" s="167"/>
      <c r="I203" s="170"/>
      <c r="J203" s="837"/>
      <c r="K203" s="79"/>
      <c r="L203" s="154"/>
      <c r="M203" s="577"/>
      <c r="N203" s="158"/>
      <c r="O203" s="2091"/>
      <c r="P203" s="1613"/>
      <c r="Q203" s="2104"/>
      <c r="R203" s="248"/>
      <c r="S203" s="248"/>
      <c r="T203" s="248"/>
      <c r="U203" s="247"/>
      <c r="V203" s="816"/>
      <c r="W203" s="248"/>
      <c r="X203" s="248"/>
      <c r="Y203" s="194"/>
      <c r="Z203" s="249"/>
      <c r="AA203" s="250"/>
      <c r="AB203" s="251"/>
      <c r="AC203" s="252"/>
      <c r="AD203" s="5"/>
    </row>
    <row r="204" spans="1:30" s="13" customFormat="1">
      <c r="A204" s="326">
        <f t="shared" si="34"/>
        <v>28</v>
      </c>
      <c r="B204" s="786"/>
      <c r="C204" s="45"/>
      <c r="D204" s="542"/>
      <c r="E204" s="47"/>
      <c r="F204" s="126"/>
      <c r="G204" s="167"/>
      <c r="H204" s="167"/>
      <c r="I204" s="170"/>
      <c r="J204" s="837"/>
      <c r="K204" s="79"/>
      <c r="L204" s="154"/>
      <c r="M204" s="577"/>
      <c r="N204" s="158"/>
      <c r="O204" s="2091"/>
      <c r="P204" s="1613"/>
      <c r="Q204" s="2104"/>
      <c r="R204" s="248"/>
      <c r="S204" s="248"/>
      <c r="T204" s="248"/>
      <c r="U204" s="247"/>
      <c r="V204" s="816"/>
      <c r="W204" s="248"/>
      <c r="X204" s="248"/>
      <c r="Y204" s="194"/>
      <c r="Z204" s="249"/>
      <c r="AA204" s="250"/>
      <c r="AB204" s="251"/>
      <c r="AC204" s="252"/>
      <c r="AD204" s="5"/>
    </row>
    <row r="205" spans="1:30" s="13" customFormat="1">
      <c r="A205" s="326">
        <f t="shared" si="34"/>
        <v>29</v>
      </c>
      <c r="B205" s="786"/>
      <c r="C205" s="45"/>
      <c r="D205" s="542"/>
      <c r="E205" s="47"/>
      <c r="F205" s="126"/>
      <c r="G205" s="167"/>
      <c r="H205" s="167"/>
      <c r="I205" s="170"/>
      <c r="J205" s="837"/>
      <c r="K205" s="79"/>
      <c r="L205" s="154"/>
      <c r="M205" s="577"/>
      <c r="N205" s="158"/>
      <c r="O205" s="2091"/>
      <c r="P205" s="1613"/>
      <c r="Q205" s="2104"/>
      <c r="R205" s="248"/>
      <c r="S205" s="248"/>
      <c r="T205" s="248"/>
      <c r="U205" s="247"/>
      <c r="V205" s="816"/>
      <c r="W205" s="248"/>
      <c r="X205" s="248"/>
      <c r="Y205" s="194"/>
      <c r="Z205" s="249"/>
      <c r="AA205" s="250"/>
      <c r="AB205" s="251"/>
      <c r="AC205" s="252"/>
      <c r="AD205" s="5"/>
    </row>
    <row r="206" spans="1:30" s="13" customFormat="1">
      <c r="A206" s="326">
        <f t="shared" si="34"/>
        <v>30</v>
      </c>
      <c r="B206" s="786"/>
      <c r="C206" s="45"/>
      <c r="D206" s="542"/>
      <c r="E206" s="47"/>
      <c r="F206" s="126"/>
      <c r="G206" s="167"/>
      <c r="H206" s="167"/>
      <c r="I206" s="170"/>
      <c r="J206" s="837"/>
      <c r="K206" s="79"/>
      <c r="L206" s="154"/>
      <c r="M206" s="577"/>
      <c r="N206" s="158"/>
      <c r="O206" s="2091"/>
      <c r="P206" s="1613"/>
      <c r="Q206" s="2104"/>
      <c r="R206" s="248"/>
      <c r="S206" s="248"/>
      <c r="T206" s="248"/>
      <c r="U206" s="247"/>
      <c r="V206" s="816"/>
      <c r="W206" s="248"/>
      <c r="X206" s="248"/>
      <c r="Y206" s="194"/>
      <c r="Z206" s="249"/>
      <c r="AA206" s="250"/>
      <c r="AB206" s="251"/>
      <c r="AC206" s="252"/>
      <c r="AD206" s="5"/>
    </row>
    <row r="207" spans="1:30" s="13" customFormat="1">
      <c r="A207" s="326">
        <f t="shared" si="34"/>
        <v>31</v>
      </c>
      <c r="B207" s="786"/>
      <c r="C207" s="45"/>
      <c r="D207" s="542"/>
      <c r="E207" s="47"/>
      <c r="F207" s="126"/>
      <c r="G207" s="167"/>
      <c r="H207" s="167"/>
      <c r="I207" s="170"/>
      <c r="J207" s="837"/>
      <c r="K207" s="79"/>
      <c r="L207" s="154"/>
      <c r="M207" s="577"/>
      <c r="N207" s="158"/>
      <c r="O207" s="2091"/>
      <c r="P207" s="1613"/>
      <c r="Q207" s="2104"/>
      <c r="R207" s="248"/>
      <c r="S207" s="248"/>
      <c r="T207" s="248"/>
      <c r="U207" s="247"/>
      <c r="V207" s="816"/>
      <c r="W207" s="248"/>
      <c r="X207" s="248"/>
      <c r="Y207" s="194"/>
      <c r="Z207" s="249"/>
      <c r="AA207" s="250"/>
      <c r="AB207" s="251"/>
      <c r="AC207" s="252"/>
      <c r="AD207" s="5"/>
    </row>
    <row r="208" spans="1:30" s="13" customFormat="1">
      <c r="A208" s="326">
        <f t="shared" si="34"/>
        <v>32</v>
      </c>
      <c r="B208" s="786"/>
      <c r="C208" s="45"/>
      <c r="D208" s="542"/>
      <c r="E208" s="47"/>
      <c r="F208" s="126"/>
      <c r="G208" s="167"/>
      <c r="H208" s="167"/>
      <c r="I208" s="170"/>
      <c r="J208" s="837"/>
      <c r="K208" s="79"/>
      <c r="L208" s="154"/>
      <c r="M208" s="577"/>
      <c r="N208" s="158"/>
      <c r="O208" s="2091"/>
      <c r="P208" s="1613"/>
      <c r="Q208" s="2104"/>
      <c r="R208" s="248"/>
      <c r="S208" s="248"/>
      <c r="T208" s="248"/>
      <c r="U208" s="247"/>
      <c r="V208" s="816"/>
      <c r="W208" s="248"/>
      <c r="X208" s="248"/>
      <c r="Y208" s="194"/>
      <c r="Z208" s="249"/>
      <c r="AA208" s="250"/>
      <c r="AB208" s="251"/>
      <c r="AC208" s="252"/>
      <c r="AD208" s="5"/>
    </row>
    <row r="209" spans="1:30" s="13" customFormat="1">
      <c r="A209" s="326">
        <f t="shared" si="34"/>
        <v>33</v>
      </c>
      <c r="B209" s="786"/>
      <c r="C209" s="45"/>
      <c r="D209" s="542"/>
      <c r="E209" s="47"/>
      <c r="F209" s="126"/>
      <c r="G209" s="167"/>
      <c r="H209" s="167"/>
      <c r="I209" s="170"/>
      <c r="J209" s="837"/>
      <c r="K209" s="79"/>
      <c r="L209" s="154"/>
      <c r="M209" s="577"/>
      <c r="N209" s="158"/>
      <c r="O209" s="2091"/>
      <c r="P209" s="1613"/>
      <c r="Q209" s="2104"/>
      <c r="R209" s="248"/>
      <c r="S209" s="248"/>
      <c r="T209" s="248"/>
      <c r="U209" s="247"/>
      <c r="V209" s="816"/>
      <c r="W209" s="248"/>
      <c r="X209" s="248"/>
      <c r="Y209" s="194"/>
      <c r="Z209" s="249"/>
      <c r="AA209" s="250"/>
      <c r="AB209" s="251"/>
      <c r="AC209" s="252"/>
      <c r="AD209" s="5"/>
    </row>
    <row r="210" spans="1:30" s="13" customFormat="1">
      <c r="A210" s="326">
        <f t="shared" si="34"/>
        <v>34</v>
      </c>
      <c r="B210" s="786"/>
      <c r="C210" s="45"/>
      <c r="D210" s="542"/>
      <c r="E210" s="47"/>
      <c r="F210" s="126"/>
      <c r="G210" s="167"/>
      <c r="H210" s="167"/>
      <c r="I210" s="170"/>
      <c r="J210" s="837"/>
      <c r="K210" s="79"/>
      <c r="L210" s="154"/>
      <c r="M210" s="577"/>
      <c r="N210" s="158"/>
      <c r="O210" s="2091"/>
      <c r="P210" s="1613"/>
      <c r="Q210" s="2104"/>
      <c r="R210" s="248"/>
      <c r="S210" s="248"/>
      <c r="T210" s="248"/>
      <c r="U210" s="247"/>
      <c r="V210" s="816"/>
      <c r="W210" s="248"/>
      <c r="X210" s="248"/>
      <c r="Y210" s="194"/>
      <c r="Z210" s="249"/>
      <c r="AA210" s="250"/>
      <c r="AB210" s="251"/>
      <c r="AC210" s="252"/>
      <c r="AD210" s="5"/>
    </row>
    <row r="211" spans="1:30" s="13" customFormat="1">
      <c r="A211" s="326">
        <f t="shared" si="34"/>
        <v>35</v>
      </c>
      <c r="B211" s="786"/>
      <c r="C211" s="45"/>
      <c r="D211" s="542"/>
      <c r="E211" s="47"/>
      <c r="F211" s="126"/>
      <c r="G211" s="167"/>
      <c r="H211" s="167"/>
      <c r="I211" s="170"/>
      <c r="J211" s="837"/>
      <c r="K211" s="79"/>
      <c r="L211" s="154"/>
      <c r="M211" s="577"/>
      <c r="N211" s="158"/>
      <c r="O211" s="2091"/>
      <c r="P211" s="1613"/>
      <c r="Q211" s="2104"/>
      <c r="R211" s="248"/>
      <c r="S211" s="248"/>
      <c r="T211" s="248"/>
      <c r="U211" s="247"/>
      <c r="V211" s="816"/>
      <c r="W211" s="248"/>
      <c r="X211" s="248"/>
      <c r="Y211" s="194"/>
      <c r="Z211" s="249"/>
      <c r="AA211" s="250"/>
      <c r="AB211" s="251"/>
      <c r="AC211" s="252"/>
      <c r="AD211" s="5"/>
    </row>
    <row r="212" spans="1:30" s="13" customFormat="1">
      <c r="A212" s="326">
        <f t="shared" si="34"/>
        <v>36</v>
      </c>
      <c r="B212" s="786"/>
      <c r="C212" s="45"/>
      <c r="D212" s="542"/>
      <c r="E212" s="47"/>
      <c r="F212" s="126"/>
      <c r="G212" s="167"/>
      <c r="H212" s="167"/>
      <c r="I212" s="170"/>
      <c r="J212" s="837"/>
      <c r="K212" s="79"/>
      <c r="L212" s="154"/>
      <c r="M212" s="577"/>
      <c r="N212" s="158"/>
      <c r="O212" s="2091"/>
      <c r="P212" s="1613"/>
      <c r="Q212" s="2104"/>
      <c r="R212" s="248"/>
      <c r="S212" s="248"/>
      <c r="T212" s="248"/>
      <c r="U212" s="247"/>
      <c r="V212" s="816"/>
      <c r="W212" s="248"/>
      <c r="X212" s="248"/>
      <c r="Y212" s="194"/>
      <c r="Z212" s="249"/>
      <c r="AA212" s="250"/>
      <c r="AB212" s="251"/>
      <c r="AC212" s="252"/>
      <c r="AD212" s="5"/>
    </row>
    <row r="213" spans="1:30" s="13" customFormat="1">
      <c r="A213" s="326">
        <f t="shared" si="34"/>
        <v>37</v>
      </c>
      <c r="B213" s="786"/>
      <c r="C213" s="45"/>
      <c r="D213" s="542"/>
      <c r="E213" s="47"/>
      <c r="F213" s="126"/>
      <c r="G213" s="167"/>
      <c r="H213" s="167"/>
      <c r="I213" s="170"/>
      <c r="J213" s="837"/>
      <c r="K213" s="79"/>
      <c r="L213" s="154"/>
      <c r="M213" s="577"/>
      <c r="N213" s="158"/>
      <c r="O213" s="2091"/>
      <c r="P213" s="1613"/>
      <c r="Q213" s="2104"/>
      <c r="R213" s="248"/>
      <c r="S213" s="248"/>
      <c r="T213" s="248"/>
      <c r="U213" s="247"/>
      <c r="V213" s="816"/>
      <c r="W213" s="248"/>
      <c r="X213" s="248"/>
      <c r="Y213" s="194"/>
      <c r="Z213" s="249"/>
      <c r="AA213" s="250"/>
      <c r="AB213" s="251"/>
      <c r="AC213" s="252"/>
      <c r="AD213" s="5"/>
    </row>
    <row r="214" spans="1:30" s="13" customFormat="1">
      <c r="A214" s="326">
        <f t="shared" si="34"/>
        <v>38</v>
      </c>
      <c r="B214" s="786"/>
      <c r="C214" s="45"/>
      <c r="D214" s="542"/>
      <c r="E214" s="47"/>
      <c r="F214" s="126"/>
      <c r="G214" s="167"/>
      <c r="H214" s="167"/>
      <c r="I214" s="170"/>
      <c r="J214" s="837"/>
      <c r="K214" s="79"/>
      <c r="L214" s="154"/>
      <c r="M214" s="577"/>
      <c r="N214" s="158"/>
      <c r="O214" s="2091"/>
      <c r="P214" s="1613"/>
      <c r="Q214" s="2104"/>
      <c r="R214" s="248"/>
      <c r="S214" s="248"/>
      <c r="T214" s="248"/>
      <c r="U214" s="247"/>
      <c r="V214" s="816"/>
      <c r="W214" s="248"/>
      <c r="X214" s="248"/>
      <c r="Y214" s="194"/>
      <c r="Z214" s="249"/>
      <c r="AA214" s="250"/>
      <c r="AB214" s="251"/>
      <c r="AC214" s="252"/>
      <c r="AD214" s="5"/>
    </row>
    <row r="215" spans="1:30" s="13" customFormat="1">
      <c r="A215" s="326">
        <f t="shared" si="34"/>
        <v>39</v>
      </c>
      <c r="B215" s="786"/>
      <c r="C215" s="45"/>
      <c r="D215" s="542"/>
      <c r="E215" s="47"/>
      <c r="F215" s="126"/>
      <c r="G215" s="167"/>
      <c r="H215" s="167"/>
      <c r="I215" s="170"/>
      <c r="J215" s="837"/>
      <c r="K215" s="79"/>
      <c r="L215" s="154"/>
      <c r="M215" s="577"/>
      <c r="N215" s="158"/>
      <c r="O215" s="2091"/>
      <c r="P215" s="1613"/>
      <c r="Q215" s="2104"/>
      <c r="R215" s="248"/>
      <c r="S215" s="248"/>
      <c r="T215" s="248"/>
      <c r="U215" s="247"/>
      <c r="V215" s="816"/>
      <c r="W215" s="248"/>
      <c r="X215" s="248"/>
      <c r="Y215" s="194"/>
      <c r="Z215" s="249"/>
      <c r="AA215" s="250"/>
      <c r="AB215" s="251"/>
      <c r="AC215" s="252"/>
      <c r="AD215" s="5"/>
    </row>
    <row r="216" spans="1:30" s="13" customFormat="1">
      <c r="A216" s="326">
        <f t="shared" si="34"/>
        <v>40</v>
      </c>
      <c r="B216" s="786"/>
      <c r="C216" s="45"/>
      <c r="D216" s="542"/>
      <c r="E216" s="47"/>
      <c r="F216" s="126"/>
      <c r="G216" s="167"/>
      <c r="H216" s="167"/>
      <c r="I216" s="170"/>
      <c r="J216" s="837"/>
      <c r="K216" s="79"/>
      <c r="L216" s="154"/>
      <c r="M216" s="577"/>
      <c r="N216" s="158"/>
      <c r="O216" s="2091"/>
      <c r="P216" s="1613"/>
      <c r="Q216" s="2104"/>
      <c r="R216" s="248"/>
      <c r="S216" s="248"/>
      <c r="T216" s="248"/>
      <c r="U216" s="247"/>
      <c r="V216" s="816"/>
      <c r="W216" s="248"/>
      <c r="X216" s="248"/>
      <c r="Y216" s="194"/>
      <c r="Z216" s="249"/>
      <c r="AA216" s="250"/>
      <c r="AB216" s="251"/>
      <c r="AC216" s="252"/>
      <c r="AD216" s="5"/>
    </row>
    <row r="217" spans="1:30" s="13" customFormat="1">
      <c r="A217" s="326">
        <f t="shared" si="34"/>
        <v>41</v>
      </c>
      <c r="B217" s="786"/>
      <c r="C217" s="45"/>
      <c r="D217" s="542"/>
      <c r="E217" s="47"/>
      <c r="F217" s="126"/>
      <c r="G217" s="167"/>
      <c r="H217" s="167"/>
      <c r="I217" s="170"/>
      <c r="J217" s="837"/>
      <c r="K217" s="79"/>
      <c r="L217" s="154"/>
      <c r="M217" s="577"/>
      <c r="N217" s="158"/>
      <c r="O217" s="2091"/>
      <c r="P217" s="1613"/>
      <c r="Q217" s="2104"/>
      <c r="R217" s="248"/>
      <c r="S217" s="248"/>
      <c r="T217" s="248"/>
      <c r="U217" s="247"/>
      <c r="V217" s="816"/>
      <c r="W217" s="248"/>
      <c r="X217" s="248"/>
      <c r="Y217" s="194"/>
      <c r="Z217" s="249"/>
      <c r="AA217" s="250"/>
      <c r="AB217" s="251"/>
      <c r="AC217" s="252"/>
      <c r="AD217" s="5"/>
    </row>
    <row r="218" spans="1:30" s="13" customFormat="1">
      <c r="A218" s="326">
        <f t="shared" si="34"/>
        <v>42</v>
      </c>
      <c r="B218" s="786"/>
      <c r="C218" s="45"/>
      <c r="D218" s="542"/>
      <c r="E218" s="47"/>
      <c r="F218" s="126"/>
      <c r="G218" s="167"/>
      <c r="H218" s="167"/>
      <c r="I218" s="170"/>
      <c r="J218" s="837"/>
      <c r="K218" s="79"/>
      <c r="L218" s="154"/>
      <c r="M218" s="577"/>
      <c r="N218" s="158"/>
      <c r="O218" s="2091"/>
      <c r="P218" s="1613"/>
      <c r="Q218" s="2104"/>
      <c r="R218" s="248"/>
      <c r="S218" s="248"/>
      <c r="T218" s="248"/>
      <c r="U218" s="247"/>
      <c r="V218" s="816"/>
      <c r="W218" s="248"/>
      <c r="X218" s="248"/>
      <c r="Y218" s="194"/>
      <c r="Z218" s="249"/>
      <c r="AA218" s="250"/>
      <c r="AB218" s="251"/>
      <c r="AC218" s="252"/>
      <c r="AD218" s="5"/>
    </row>
    <row r="219" spans="1:30" s="13" customFormat="1">
      <c r="A219" s="326">
        <f t="shared" si="34"/>
        <v>43</v>
      </c>
      <c r="B219" s="786"/>
      <c r="C219" s="45"/>
      <c r="D219" s="542"/>
      <c r="E219" s="47"/>
      <c r="F219" s="126"/>
      <c r="G219" s="167"/>
      <c r="H219" s="167"/>
      <c r="I219" s="170"/>
      <c r="J219" s="837"/>
      <c r="K219" s="79"/>
      <c r="L219" s="154"/>
      <c r="M219" s="577"/>
      <c r="N219" s="158"/>
      <c r="O219" s="2091"/>
      <c r="P219" s="1613"/>
      <c r="Q219" s="2104"/>
      <c r="R219" s="248"/>
      <c r="S219" s="248"/>
      <c r="T219" s="248"/>
      <c r="U219" s="247"/>
      <c r="V219" s="816"/>
      <c r="W219" s="248"/>
      <c r="X219" s="248"/>
      <c r="Y219" s="194"/>
      <c r="Z219" s="249"/>
      <c r="AA219" s="250"/>
      <c r="AB219" s="251"/>
      <c r="AC219" s="252"/>
      <c r="AD219" s="5"/>
    </row>
    <row r="220" spans="1:30" s="13" customFormat="1">
      <c r="A220" s="326">
        <f t="shared" si="34"/>
        <v>44</v>
      </c>
      <c r="B220" s="786"/>
      <c r="C220" s="45"/>
      <c r="D220" s="542"/>
      <c r="E220" s="47"/>
      <c r="F220" s="126"/>
      <c r="G220" s="167"/>
      <c r="H220" s="167"/>
      <c r="I220" s="170"/>
      <c r="J220" s="837"/>
      <c r="K220" s="79"/>
      <c r="L220" s="154"/>
      <c r="M220" s="577"/>
      <c r="N220" s="158"/>
      <c r="O220" s="2091"/>
      <c r="P220" s="1613"/>
      <c r="Q220" s="2104"/>
      <c r="R220" s="248"/>
      <c r="S220" s="248"/>
      <c r="T220" s="248"/>
      <c r="U220" s="247"/>
      <c r="V220" s="816"/>
      <c r="W220" s="248"/>
      <c r="X220" s="248"/>
      <c r="Y220" s="194"/>
      <c r="Z220" s="249"/>
      <c r="AA220" s="250"/>
      <c r="AB220" s="251"/>
      <c r="AC220" s="252"/>
      <c r="AD220" s="5"/>
    </row>
    <row r="221" spans="1:30" s="13" customFormat="1">
      <c r="A221" s="326">
        <f t="shared" si="34"/>
        <v>45</v>
      </c>
      <c r="B221" s="786"/>
      <c r="C221" s="45"/>
      <c r="D221" s="542"/>
      <c r="E221" s="47"/>
      <c r="F221" s="126"/>
      <c r="G221" s="167"/>
      <c r="H221" s="167"/>
      <c r="I221" s="170"/>
      <c r="J221" s="837"/>
      <c r="K221" s="79"/>
      <c r="L221" s="154"/>
      <c r="M221" s="577"/>
      <c r="N221" s="158"/>
      <c r="O221" s="2091"/>
      <c r="P221" s="1613"/>
      <c r="Q221" s="2104"/>
      <c r="R221" s="248"/>
      <c r="S221" s="248"/>
      <c r="T221" s="248"/>
      <c r="U221" s="247"/>
      <c r="V221" s="816"/>
      <c r="W221" s="248"/>
      <c r="X221" s="248"/>
      <c r="Y221" s="194"/>
      <c r="Z221" s="249"/>
      <c r="AA221" s="250"/>
      <c r="AB221" s="251"/>
      <c r="AC221" s="252"/>
      <c r="AD221" s="5"/>
    </row>
    <row r="222" spans="1:30" s="13" customFormat="1">
      <c r="A222" s="326">
        <f t="shared" si="34"/>
        <v>46</v>
      </c>
      <c r="B222" s="786"/>
      <c r="C222" s="45"/>
      <c r="D222" s="542"/>
      <c r="E222" s="47"/>
      <c r="F222" s="126"/>
      <c r="G222" s="167"/>
      <c r="H222" s="167"/>
      <c r="I222" s="170"/>
      <c r="J222" s="837"/>
      <c r="K222" s="79"/>
      <c r="L222" s="154"/>
      <c r="M222" s="577"/>
      <c r="N222" s="158"/>
      <c r="O222" s="2091"/>
      <c r="P222" s="1613"/>
      <c r="Q222" s="2104"/>
      <c r="R222" s="248"/>
      <c r="S222" s="248"/>
      <c r="T222" s="248"/>
      <c r="U222" s="247"/>
      <c r="V222" s="816"/>
      <c r="W222" s="248"/>
      <c r="X222" s="248"/>
      <c r="Y222" s="194"/>
      <c r="Z222" s="249"/>
      <c r="AA222" s="250"/>
      <c r="AB222" s="251"/>
      <c r="AC222" s="252"/>
      <c r="AD222" s="5"/>
    </row>
    <row r="223" spans="1:30" s="13" customFormat="1">
      <c r="A223" s="326">
        <f t="shared" si="34"/>
        <v>47</v>
      </c>
      <c r="B223" s="786"/>
      <c r="C223" s="45"/>
      <c r="D223" s="542"/>
      <c r="E223" s="47"/>
      <c r="F223" s="126"/>
      <c r="G223" s="167"/>
      <c r="H223" s="167"/>
      <c r="I223" s="170"/>
      <c r="J223" s="837"/>
      <c r="K223" s="79"/>
      <c r="L223" s="154"/>
      <c r="M223" s="577"/>
      <c r="N223" s="158"/>
      <c r="O223" s="2091"/>
      <c r="P223" s="1613"/>
      <c r="Q223" s="2104"/>
      <c r="R223" s="248"/>
      <c r="S223" s="248"/>
      <c r="T223" s="248"/>
      <c r="U223" s="247"/>
      <c r="V223" s="816"/>
      <c r="W223" s="248"/>
      <c r="X223" s="248"/>
      <c r="Y223" s="194"/>
      <c r="Z223" s="249"/>
      <c r="AA223" s="250"/>
      <c r="AB223" s="251"/>
      <c r="AC223" s="252"/>
      <c r="AD223" s="5"/>
    </row>
    <row r="224" spans="1:30" s="13" customFormat="1">
      <c r="A224" s="326">
        <f t="shared" si="34"/>
        <v>48</v>
      </c>
      <c r="B224" s="786"/>
      <c r="C224" s="45"/>
      <c r="D224" s="542"/>
      <c r="E224" s="47"/>
      <c r="F224" s="126"/>
      <c r="G224" s="167"/>
      <c r="H224" s="167"/>
      <c r="I224" s="170"/>
      <c r="J224" s="837"/>
      <c r="K224" s="79"/>
      <c r="L224" s="154"/>
      <c r="M224" s="577"/>
      <c r="N224" s="158"/>
      <c r="O224" s="2091"/>
      <c r="P224" s="1613"/>
      <c r="Q224" s="2104"/>
      <c r="R224" s="248"/>
      <c r="S224" s="248"/>
      <c r="T224" s="248"/>
      <c r="U224" s="247"/>
      <c r="V224" s="816"/>
      <c r="W224" s="248"/>
      <c r="X224" s="248"/>
      <c r="Y224" s="194"/>
      <c r="Z224" s="249"/>
      <c r="AA224" s="250"/>
      <c r="AB224" s="251"/>
      <c r="AC224" s="252"/>
      <c r="AD224" s="5"/>
    </row>
    <row r="225" spans="1:30" s="13" customFormat="1">
      <c r="A225" s="326">
        <f t="shared" si="34"/>
        <v>49</v>
      </c>
      <c r="B225" s="786"/>
      <c r="C225" s="45"/>
      <c r="D225" s="542"/>
      <c r="E225" s="47"/>
      <c r="F225" s="126"/>
      <c r="G225" s="167"/>
      <c r="H225" s="167"/>
      <c r="I225" s="170"/>
      <c r="J225" s="837"/>
      <c r="K225" s="79"/>
      <c r="L225" s="154"/>
      <c r="M225" s="577"/>
      <c r="N225" s="158"/>
      <c r="O225" s="2091"/>
      <c r="P225" s="1613"/>
      <c r="Q225" s="2104"/>
      <c r="R225" s="248"/>
      <c r="S225" s="248"/>
      <c r="T225" s="248"/>
      <c r="U225" s="247"/>
      <c r="V225" s="816"/>
      <c r="W225" s="248"/>
      <c r="X225" s="248"/>
      <c r="Y225" s="194"/>
      <c r="Z225" s="249"/>
      <c r="AA225" s="250"/>
      <c r="AB225" s="251"/>
      <c r="AC225" s="252"/>
      <c r="AD225" s="5"/>
    </row>
    <row r="226" spans="1:30" s="13" customFormat="1">
      <c r="A226" s="326">
        <f t="shared" si="34"/>
        <v>50</v>
      </c>
      <c r="B226" s="786"/>
      <c r="C226" s="45"/>
      <c r="D226" s="542"/>
      <c r="E226" s="47"/>
      <c r="F226" s="126"/>
      <c r="G226" s="167"/>
      <c r="H226" s="167"/>
      <c r="I226" s="170"/>
      <c r="J226" s="837"/>
      <c r="K226" s="79"/>
      <c r="L226" s="154"/>
      <c r="M226" s="577"/>
      <c r="N226" s="158"/>
      <c r="O226" s="2091"/>
      <c r="P226" s="1613"/>
      <c r="Q226" s="2104"/>
      <c r="R226" s="248"/>
      <c r="S226" s="248"/>
      <c r="T226" s="248"/>
      <c r="U226" s="247"/>
      <c r="V226" s="816"/>
      <c r="W226" s="248"/>
      <c r="X226" s="248"/>
      <c r="Y226" s="194"/>
      <c r="Z226" s="249"/>
      <c r="AA226" s="250"/>
      <c r="AB226" s="251"/>
      <c r="AC226" s="252"/>
      <c r="AD226" s="5"/>
    </row>
    <row r="227" spans="1:30" s="13" customFormat="1">
      <c r="A227" s="326">
        <f t="shared" ref="A227:A246" si="37">+A226+1</f>
        <v>51</v>
      </c>
      <c r="B227" s="786"/>
      <c r="C227" s="45"/>
      <c r="D227" s="542"/>
      <c r="E227" s="47"/>
      <c r="F227" s="126"/>
      <c r="G227" s="167"/>
      <c r="H227" s="167"/>
      <c r="I227" s="170"/>
      <c r="J227" s="837"/>
      <c r="K227" s="79"/>
      <c r="L227" s="154"/>
      <c r="M227" s="577"/>
      <c r="N227" s="158"/>
      <c r="O227" s="2091"/>
      <c r="P227" s="1613"/>
      <c r="Q227" s="2104"/>
      <c r="R227" s="248"/>
      <c r="S227" s="248"/>
      <c r="T227" s="248"/>
      <c r="U227" s="247"/>
      <c r="V227" s="816"/>
      <c r="W227" s="248"/>
      <c r="X227" s="248"/>
      <c r="Y227" s="194"/>
      <c r="Z227" s="249"/>
      <c r="AA227" s="250"/>
      <c r="AB227" s="251"/>
      <c r="AC227" s="252"/>
      <c r="AD227" s="5"/>
    </row>
    <row r="228" spans="1:30" s="13" customFormat="1">
      <c r="A228" s="326">
        <f t="shared" si="37"/>
        <v>52</v>
      </c>
      <c r="B228" s="786"/>
      <c r="C228" s="45"/>
      <c r="D228" s="542"/>
      <c r="E228" s="47"/>
      <c r="F228" s="126"/>
      <c r="G228" s="167"/>
      <c r="H228" s="167"/>
      <c r="I228" s="170"/>
      <c r="J228" s="837"/>
      <c r="K228" s="79"/>
      <c r="L228" s="154"/>
      <c r="M228" s="577"/>
      <c r="N228" s="158"/>
      <c r="O228" s="2091"/>
      <c r="P228" s="1613"/>
      <c r="Q228" s="2104"/>
      <c r="R228" s="248"/>
      <c r="S228" s="248"/>
      <c r="T228" s="248"/>
      <c r="U228" s="247"/>
      <c r="V228" s="816"/>
      <c r="W228" s="248"/>
      <c r="X228" s="248"/>
      <c r="Y228" s="194"/>
      <c r="Z228" s="249"/>
      <c r="AA228" s="250"/>
      <c r="AB228" s="251"/>
      <c r="AC228" s="252"/>
      <c r="AD228" s="5"/>
    </row>
    <row r="229" spans="1:30" s="13" customFormat="1">
      <c r="A229" s="326">
        <f t="shared" si="37"/>
        <v>53</v>
      </c>
      <c r="B229" s="786"/>
      <c r="C229" s="45"/>
      <c r="D229" s="542"/>
      <c r="E229" s="47"/>
      <c r="F229" s="126"/>
      <c r="G229" s="167"/>
      <c r="H229" s="167"/>
      <c r="I229" s="170"/>
      <c r="J229" s="837"/>
      <c r="K229" s="79"/>
      <c r="L229" s="154"/>
      <c r="M229" s="577"/>
      <c r="N229" s="158"/>
      <c r="O229" s="2091"/>
      <c r="P229" s="1613"/>
      <c r="Q229" s="2104"/>
      <c r="R229" s="248"/>
      <c r="S229" s="248"/>
      <c r="T229" s="248"/>
      <c r="U229" s="247"/>
      <c r="V229" s="816"/>
      <c r="W229" s="248"/>
      <c r="X229" s="248"/>
      <c r="Y229" s="194"/>
      <c r="Z229" s="249"/>
      <c r="AA229" s="250"/>
      <c r="AB229" s="251"/>
      <c r="AC229" s="252"/>
      <c r="AD229" s="5"/>
    </row>
    <row r="230" spans="1:30" s="13" customFormat="1">
      <c r="A230" s="326">
        <f t="shared" si="37"/>
        <v>54</v>
      </c>
      <c r="B230" s="786"/>
      <c r="C230" s="45"/>
      <c r="D230" s="542"/>
      <c r="E230" s="47"/>
      <c r="F230" s="126"/>
      <c r="G230" s="167"/>
      <c r="H230" s="167"/>
      <c r="I230" s="170"/>
      <c r="J230" s="837"/>
      <c r="K230" s="79"/>
      <c r="L230" s="154"/>
      <c r="M230" s="577"/>
      <c r="N230" s="158"/>
      <c r="O230" s="2091"/>
      <c r="P230" s="1613"/>
      <c r="Q230" s="2104"/>
      <c r="R230" s="248"/>
      <c r="S230" s="248"/>
      <c r="T230" s="248"/>
      <c r="U230" s="247"/>
      <c r="V230" s="816"/>
      <c r="W230" s="248"/>
      <c r="X230" s="248"/>
      <c r="Y230" s="194"/>
      <c r="Z230" s="249"/>
      <c r="AA230" s="250"/>
      <c r="AB230" s="251"/>
      <c r="AC230" s="252"/>
      <c r="AD230" s="5"/>
    </row>
    <row r="231" spans="1:30" s="13" customFormat="1">
      <c r="A231" s="326">
        <f t="shared" si="37"/>
        <v>55</v>
      </c>
      <c r="B231" s="786"/>
      <c r="C231" s="45"/>
      <c r="D231" s="542"/>
      <c r="E231" s="47"/>
      <c r="F231" s="126"/>
      <c r="G231" s="167"/>
      <c r="H231" s="167"/>
      <c r="I231" s="170"/>
      <c r="J231" s="837"/>
      <c r="K231" s="79"/>
      <c r="L231" s="154"/>
      <c r="M231" s="577"/>
      <c r="N231" s="158"/>
      <c r="O231" s="2091"/>
      <c r="P231" s="1613"/>
      <c r="Q231" s="2104"/>
      <c r="R231" s="248"/>
      <c r="S231" s="248"/>
      <c r="T231" s="248"/>
      <c r="U231" s="247"/>
      <c r="V231" s="816"/>
      <c r="W231" s="248"/>
      <c r="X231" s="248"/>
      <c r="Y231" s="194"/>
      <c r="Z231" s="249"/>
      <c r="AA231" s="250"/>
      <c r="AB231" s="251"/>
      <c r="AC231" s="252"/>
      <c r="AD231" s="5"/>
    </row>
    <row r="232" spans="1:30" s="13" customFormat="1">
      <c r="A232" s="326">
        <f t="shared" si="37"/>
        <v>56</v>
      </c>
      <c r="B232" s="786"/>
      <c r="C232" s="45"/>
      <c r="D232" s="542"/>
      <c r="E232" s="47"/>
      <c r="F232" s="126"/>
      <c r="G232" s="167"/>
      <c r="H232" s="167"/>
      <c r="I232" s="170"/>
      <c r="J232" s="837"/>
      <c r="K232" s="79"/>
      <c r="L232" s="154"/>
      <c r="M232" s="577"/>
      <c r="N232" s="158"/>
      <c r="O232" s="2091"/>
      <c r="P232" s="1613"/>
      <c r="Q232" s="2104"/>
      <c r="R232" s="248"/>
      <c r="S232" s="248"/>
      <c r="T232" s="248"/>
      <c r="U232" s="247"/>
      <c r="V232" s="816"/>
      <c r="W232" s="248"/>
      <c r="X232" s="248"/>
      <c r="Y232" s="194"/>
      <c r="Z232" s="249"/>
      <c r="AA232" s="250"/>
      <c r="AB232" s="251"/>
      <c r="AC232" s="252"/>
      <c r="AD232" s="5"/>
    </row>
    <row r="233" spans="1:30" s="13" customFormat="1">
      <c r="A233" s="326">
        <f t="shared" si="37"/>
        <v>57</v>
      </c>
      <c r="B233" s="786"/>
      <c r="C233" s="45"/>
      <c r="D233" s="542"/>
      <c r="E233" s="47"/>
      <c r="F233" s="126"/>
      <c r="G233" s="167"/>
      <c r="H233" s="167"/>
      <c r="I233" s="170"/>
      <c r="J233" s="837"/>
      <c r="K233" s="79"/>
      <c r="L233" s="154"/>
      <c r="M233" s="577"/>
      <c r="N233" s="158"/>
      <c r="O233" s="2091"/>
      <c r="P233" s="1613"/>
      <c r="Q233" s="2104"/>
      <c r="R233" s="248"/>
      <c r="S233" s="248"/>
      <c r="T233" s="248"/>
      <c r="U233" s="247"/>
      <c r="V233" s="816"/>
      <c r="W233" s="248"/>
      <c r="X233" s="248"/>
      <c r="Y233" s="194"/>
      <c r="Z233" s="249"/>
      <c r="AA233" s="250"/>
      <c r="AB233" s="251"/>
      <c r="AC233" s="252"/>
      <c r="AD233" s="5"/>
    </row>
    <row r="234" spans="1:30" s="13" customFormat="1">
      <c r="A234" s="326">
        <f t="shared" si="37"/>
        <v>58</v>
      </c>
      <c r="B234" s="786"/>
      <c r="C234" s="45"/>
      <c r="D234" s="542"/>
      <c r="E234" s="47"/>
      <c r="F234" s="126"/>
      <c r="G234" s="167"/>
      <c r="H234" s="167"/>
      <c r="I234" s="170"/>
      <c r="J234" s="837"/>
      <c r="K234" s="79"/>
      <c r="L234" s="154"/>
      <c r="M234" s="577"/>
      <c r="N234" s="158"/>
      <c r="O234" s="2091"/>
      <c r="P234" s="1613"/>
      <c r="Q234" s="2104"/>
      <c r="R234" s="248"/>
      <c r="S234" s="248"/>
      <c r="T234" s="248"/>
      <c r="U234" s="247"/>
      <c r="V234" s="816"/>
      <c r="W234" s="248"/>
      <c r="X234" s="248"/>
      <c r="Y234" s="194"/>
      <c r="Z234" s="249"/>
      <c r="AA234" s="250"/>
      <c r="AB234" s="251"/>
      <c r="AC234" s="252"/>
      <c r="AD234" s="5"/>
    </row>
    <row r="235" spans="1:30" s="13" customFormat="1">
      <c r="A235" s="326">
        <f t="shared" si="37"/>
        <v>59</v>
      </c>
      <c r="B235" s="786"/>
      <c r="C235" s="45"/>
      <c r="D235" s="542"/>
      <c r="E235" s="47"/>
      <c r="F235" s="126"/>
      <c r="G235" s="167"/>
      <c r="H235" s="167"/>
      <c r="I235" s="170"/>
      <c r="J235" s="837"/>
      <c r="K235" s="79"/>
      <c r="L235" s="154"/>
      <c r="M235" s="577"/>
      <c r="N235" s="158"/>
      <c r="O235" s="2091"/>
      <c r="P235" s="1613"/>
      <c r="Q235" s="2104"/>
      <c r="R235" s="248"/>
      <c r="S235" s="248"/>
      <c r="T235" s="248"/>
      <c r="U235" s="247"/>
      <c r="V235" s="816"/>
      <c r="W235" s="248"/>
      <c r="X235" s="248"/>
      <c r="Y235" s="194"/>
      <c r="Z235" s="249"/>
      <c r="AA235" s="250"/>
      <c r="AB235" s="251"/>
      <c r="AC235" s="252"/>
      <c r="AD235" s="5"/>
    </row>
    <row r="236" spans="1:30" s="13" customFormat="1">
      <c r="A236" s="326">
        <f t="shared" si="37"/>
        <v>60</v>
      </c>
      <c r="B236" s="786"/>
      <c r="C236" s="45"/>
      <c r="D236" s="542"/>
      <c r="E236" s="47"/>
      <c r="F236" s="126"/>
      <c r="G236" s="167"/>
      <c r="H236" s="167"/>
      <c r="I236" s="170"/>
      <c r="J236" s="837"/>
      <c r="K236" s="79"/>
      <c r="L236" s="154"/>
      <c r="M236" s="577"/>
      <c r="N236" s="158"/>
      <c r="O236" s="2091"/>
      <c r="P236" s="1613"/>
      <c r="Q236" s="2104"/>
      <c r="R236" s="248"/>
      <c r="S236" s="248"/>
      <c r="T236" s="248"/>
      <c r="U236" s="247"/>
      <c r="V236" s="816"/>
      <c r="W236" s="248"/>
      <c r="X236" s="248"/>
      <c r="Y236" s="194"/>
      <c r="Z236" s="249"/>
      <c r="AA236" s="250"/>
      <c r="AB236" s="251"/>
      <c r="AC236" s="252"/>
      <c r="AD236" s="5"/>
    </row>
    <row r="237" spans="1:30" s="13" customFormat="1">
      <c r="A237" s="326">
        <f t="shared" si="37"/>
        <v>61</v>
      </c>
      <c r="B237" s="786"/>
      <c r="C237" s="45"/>
      <c r="D237" s="542"/>
      <c r="E237" s="47"/>
      <c r="F237" s="126"/>
      <c r="G237" s="167"/>
      <c r="H237" s="167"/>
      <c r="I237" s="170"/>
      <c r="J237" s="837"/>
      <c r="K237" s="79"/>
      <c r="L237" s="154"/>
      <c r="M237" s="577"/>
      <c r="N237" s="158"/>
      <c r="O237" s="2091"/>
      <c r="P237" s="1613"/>
      <c r="Q237" s="2104"/>
      <c r="R237" s="248"/>
      <c r="S237" s="248"/>
      <c r="T237" s="248"/>
      <c r="U237" s="247"/>
      <c r="V237" s="816"/>
      <c r="W237" s="248"/>
      <c r="X237" s="248"/>
      <c r="Y237" s="194"/>
      <c r="Z237" s="249"/>
      <c r="AA237" s="250"/>
      <c r="AB237" s="251"/>
      <c r="AC237" s="252"/>
      <c r="AD237" s="5"/>
    </row>
    <row r="238" spans="1:30" s="13" customFormat="1">
      <c r="A238" s="326">
        <f t="shared" si="37"/>
        <v>62</v>
      </c>
      <c r="B238" s="786"/>
      <c r="C238" s="45"/>
      <c r="D238" s="542"/>
      <c r="E238" s="47"/>
      <c r="F238" s="126"/>
      <c r="G238" s="167"/>
      <c r="H238" s="167"/>
      <c r="I238" s="170"/>
      <c r="J238" s="837"/>
      <c r="K238" s="79"/>
      <c r="L238" s="154"/>
      <c r="M238" s="577"/>
      <c r="N238" s="158"/>
      <c r="O238" s="2091"/>
      <c r="P238" s="1613"/>
      <c r="Q238" s="2104"/>
      <c r="R238" s="248"/>
      <c r="S238" s="248"/>
      <c r="T238" s="248"/>
      <c r="U238" s="247"/>
      <c r="V238" s="816"/>
      <c r="W238" s="248"/>
      <c r="X238" s="248"/>
      <c r="Y238" s="194"/>
      <c r="Z238" s="249"/>
      <c r="AA238" s="250"/>
      <c r="AB238" s="251"/>
      <c r="AC238" s="252"/>
      <c r="AD238" s="5"/>
    </row>
    <row r="239" spans="1:30" s="13" customFormat="1">
      <c r="A239" s="326">
        <f t="shared" si="37"/>
        <v>63</v>
      </c>
      <c r="B239" s="786"/>
      <c r="C239" s="45"/>
      <c r="D239" s="542"/>
      <c r="E239" s="47"/>
      <c r="F239" s="126"/>
      <c r="G239" s="167"/>
      <c r="H239" s="167"/>
      <c r="I239" s="170"/>
      <c r="J239" s="837"/>
      <c r="K239" s="79"/>
      <c r="L239" s="154"/>
      <c r="M239" s="577"/>
      <c r="N239" s="158"/>
      <c r="O239" s="2091"/>
      <c r="P239" s="1613"/>
      <c r="Q239" s="2104"/>
      <c r="R239" s="248"/>
      <c r="S239" s="248"/>
      <c r="T239" s="248"/>
      <c r="U239" s="247"/>
      <c r="V239" s="816"/>
      <c r="W239" s="248"/>
      <c r="X239" s="248"/>
      <c r="Y239" s="194"/>
      <c r="Z239" s="249"/>
      <c r="AA239" s="250"/>
      <c r="AB239" s="251"/>
      <c r="AC239" s="252"/>
      <c r="AD239" s="5"/>
    </row>
    <row r="240" spans="1:30" s="13" customFormat="1">
      <c r="A240" s="326">
        <f t="shared" si="37"/>
        <v>64</v>
      </c>
      <c r="B240" s="786"/>
      <c r="C240" s="45"/>
      <c r="D240" s="542"/>
      <c r="E240" s="47"/>
      <c r="F240" s="126"/>
      <c r="G240" s="167"/>
      <c r="H240" s="167"/>
      <c r="I240" s="170"/>
      <c r="J240" s="837"/>
      <c r="K240" s="79"/>
      <c r="L240" s="154"/>
      <c r="M240" s="577"/>
      <c r="N240" s="158"/>
      <c r="O240" s="2091"/>
      <c r="P240" s="1613"/>
      <c r="Q240" s="2104"/>
      <c r="R240" s="248"/>
      <c r="S240" s="248"/>
      <c r="T240" s="248"/>
      <c r="U240" s="247"/>
      <c r="V240" s="816"/>
      <c r="W240" s="248"/>
      <c r="X240" s="248"/>
      <c r="Y240" s="194"/>
      <c r="Z240" s="249"/>
      <c r="AA240" s="250"/>
      <c r="AB240" s="251"/>
      <c r="AC240" s="252"/>
      <c r="AD240" s="5"/>
    </row>
    <row r="241" spans="1:30" s="13" customFormat="1">
      <c r="A241" s="326">
        <f t="shared" si="37"/>
        <v>65</v>
      </c>
      <c r="B241" s="786"/>
      <c r="C241" s="45"/>
      <c r="D241" s="542"/>
      <c r="E241" s="47"/>
      <c r="F241" s="126"/>
      <c r="G241" s="167"/>
      <c r="H241" s="167"/>
      <c r="I241" s="170"/>
      <c r="J241" s="837"/>
      <c r="K241" s="79"/>
      <c r="L241" s="154"/>
      <c r="M241" s="577"/>
      <c r="N241" s="158"/>
      <c r="O241" s="2091"/>
      <c r="P241" s="1613"/>
      <c r="Q241" s="2104"/>
      <c r="R241" s="248"/>
      <c r="S241" s="248"/>
      <c r="T241" s="248"/>
      <c r="U241" s="247"/>
      <c r="V241" s="816"/>
      <c r="W241" s="248"/>
      <c r="X241" s="248"/>
      <c r="Y241" s="194"/>
      <c r="Z241" s="249"/>
      <c r="AA241" s="250"/>
      <c r="AB241" s="251"/>
      <c r="AC241" s="252"/>
      <c r="AD241" s="5"/>
    </row>
    <row r="242" spans="1:30" s="13" customFormat="1">
      <c r="A242" s="326">
        <f t="shared" si="37"/>
        <v>66</v>
      </c>
      <c r="B242" s="786"/>
      <c r="C242" s="45"/>
      <c r="D242" s="542"/>
      <c r="E242" s="47"/>
      <c r="F242" s="126"/>
      <c r="G242" s="167"/>
      <c r="H242" s="167"/>
      <c r="I242" s="170"/>
      <c r="J242" s="837"/>
      <c r="K242" s="79"/>
      <c r="L242" s="154"/>
      <c r="M242" s="577"/>
      <c r="N242" s="158"/>
      <c r="O242" s="2091"/>
      <c r="P242" s="1613"/>
      <c r="Q242" s="2104"/>
      <c r="R242" s="248"/>
      <c r="S242" s="248"/>
      <c r="T242" s="248"/>
      <c r="U242" s="247"/>
      <c r="V242" s="816"/>
      <c r="W242" s="248"/>
      <c r="X242" s="248"/>
      <c r="Y242" s="194"/>
      <c r="Z242" s="249"/>
      <c r="AA242" s="250"/>
      <c r="AB242" s="251"/>
      <c r="AC242" s="252"/>
      <c r="AD242" s="5"/>
    </row>
    <row r="243" spans="1:30" s="13" customFormat="1">
      <c r="A243" s="326">
        <f t="shared" si="37"/>
        <v>67</v>
      </c>
      <c r="B243" s="786"/>
      <c r="C243" s="45"/>
      <c r="D243" s="542"/>
      <c r="E243" s="47"/>
      <c r="F243" s="126"/>
      <c r="G243" s="167"/>
      <c r="H243" s="167"/>
      <c r="I243" s="170"/>
      <c r="J243" s="837"/>
      <c r="K243" s="79"/>
      <c r="L243" s="154"/>
      <c r="M243" s="577"/>
      <c r="N243" s="158"/>
      <c r="O243" s="2091"/>
      <c r="P243" s="1613"/>
      <c r="Q243" s="2104"/>
      <c r="R243" s="248"/>
      <c r="S243" s="248"/>
      <c r="T243" s="248"/>
      <c r="U243" s="247"/>
      <c r="V243" s="816"/>
      <c r="W243" s="248"/>
      <c r="X243" s="248"/>
      <c r="Y243" s="194"/>
      <c r="Z243" s="249"/>
      <c r="AA243" s="250"/>
      <c r="AB243" s="251"/>
      <c r="AC243" s="252"/>
      <c r="AD243" s="5"/>
    </row>
    <row r="244" spans="1:30" s="13" customFormat="1">
      <c r="A244" s="326">
        <f t="shared" si="37"/>
        <v>68</v>
      </c>
      <c r="B244" s="786"/>
      <c r="C244" s="45"/>
      <c r="D244" s="542"/>
      <c r="E244" s="47"/>
      <c r="F244" s="126"/>
      <c r="G244" s="167"/>
      <c r="H244" s="167"/>
      <c r="I244" s="170"/>
      <c r="J244" s="837"/>
      <c r="K244" s="79"/>
      <c r="L244" s="154"/>
      <c r="M244" s="577"/>
      <c r="N244" s="158"/>
      <c r="O244" s="2091"/>
      <c r="P244" s="1613"/>
      <c r="Q244" s="2104"/>
      <c r="R244" s="248"/>
      <c r="S244" s="248"/>
      <c r="T244" s="248"/>
      <c r="U244" s="247"/>
      <c r="V244" s="816"/>
      <c r="W244" s="248"/>
      <c r="X244" s="248"/>
      <c r="Y244" s="194"/>
      <c r="Z244" s="249"/>
      <c r="AA244" s="250"/>
      <c r="AB244" s="251"/>
      <c r="AC244" s="252"/>
      <c r="AD244" s="5"/>
    </row>
    <row r="245" spans="1:30" s="13" customFormat="1">
      <c r="A245" s="326">
        <f t="shared" si="37"/>
        <v>69</v>
      </c>
      <c r="B245" s="786"/>
      <c r="C245" s="45"/>
      <c r="D245" s="542"/>
      <c r="E245" s="47"/>
      <c r="F245" s="126"/>
      <c r="G245" s="167"/>
      <c r="H245" s="167"/>
      <c r="I245" s="170"/>
      <c r="J245" s="837"/>
      <c r="K245" s="79"/>
      <c r="L245" s="154"/>
      <c r="M245" s="577"/>
      <c r="N245" s="158"/>
      <c r="O245" s="2091"/>
      <c r="P245" s="1613"/>
      <c r="Q245" s="2104"/>
      <c r="R245" s="248"/>
      <c r="S245" s="248"/>
      <c r="T245" s="248"/>
      <c r="U245" s="247"/>
      <c r="V245" s="816"/>
      <c r="W245" s="248"/>
      <c r="X245" s="248"/>
      <c r="Y245" s="194"/>
      <c r="Z245" s="249"/>
      <c r="AA245" s="250"/>
      <c r="AB245" s="251"/>
      <c r="AC245" s="252"/>
      <c r="AD245" s="5"/>
    </row>
    <row r="246" spans="1:30" s="13" customFormat="1">
      <c r="A246" s="849">
        <f t="shared" si="37"/>
        <v>70</v>
      </c>
      <c r="B246" s="786"/>
      <c r="C246" s="2118"/>
      <c r="D246" s="2119"/>
      <c r="E246" s="2120"/>
      <c r="F246" s="2121"/>
      <c r="G246" s="167"/>
      <c r="H246" s="167"/>
      <c r="I246" s="2076"/>
      <c r="J246" s="2076"/>
      <c r="K246" s="1357"/>
      <c r="L246" s="127"/>
      <c r="M246" s="522"/>
      <c r="N246" s="2122"/>
      <c r="O246" s="2092"/>
      <c r="P246" s="2083"/>
      <c r="Q246" s="2105"/>
      <c r="R246" s="2123"/>
      <c r="S246" s="2123"/>
      <c r="T246" s="2123"/>
      <c r="U246" s="2124"/>
      <c r="V246" s="2124"/>
      <c r="W246" s="2123"/>
      <c r="X246" s="2123"/>
      <c r="Y246" s="2125"/>
      <c r="Z246" s="2126"/>
      <c r="AA246" s="2127"/>
      <c r="AB246" s="2128"/>
      <c r="AC246" s="2129"/>
      <c r="AD246" s="5"/>
    </row>
    <row r="247" spans="1:30">
      <c r="B247" s="2131"/>
    </row>
  </sheetData>
  <mergeCells count="40">
    <mergeCell ref="A124:L124"/>
    <mergeCell ref="A113:L113"/>
    <mergeCell ref="A71:L71"/>
    <mergeCell ref="A105:L105"/>
    <mergeCell ref="AD52:AD56"/>
    <mergeCell ref="AD65:AD70"/>
    <mergeCell ref="A32:L32"/>
    <mergeCell ref="A41:L41"/>
    <mergeCell ref="A47:L47"/>
    <mergeCell ref="AD48:AD50"/>
    <mergeCell ref="AD62:AD63"/>
    <mergeCell ref="AD58:AD60"/>
    <mergeCell ref="AD21:AD24"/>
    <mergeCell ref="AD42:AD46"/>
    <mergeCell ref="AD33:AD38"/>
    <mergeCell ref="AD27:AD31"/>
    <mergeCell ref="AD39:AD40"/>
    <mergeCell ref="A164:L164"/>
    <mergeCell ref="A149:L149"/>
    <mergeCell ref="A155:L155"/>
    <mergeCell ref="F156:I156"/>
    <mergeCell ref="A131:L131"/>
    <mergeCell ref="A140:L140"/>
    <mergeCell ref="A136:L136"/>
    <mergeCell ref="A176:L176"/>
    <mergeCell ref="A144:L144"/>
    <mergeCell ref="A64:L64"/>
    <mergeCell ref="A170:L170"/>
    <mergeCell ref="A2:O2"/>
    <mergeCell ref="A96:L96"/>
    <mergeCell ref="A9:L9"/>
    <mergeCell ref="A13:L13"/>
    <mergeCell ref="A17:L17"/>
    <mergeCell ref="A20:L20"/>
    <mergeCell ref="A75:L75"/>
    <mergeCell ref="A82:L82"/>
    <mergeCell ref="A89:L89"/>
    <mergeCell ref="A51:L51"/>
    <mergeCell ref="A57:L57"/>
    <mergeCell ref="A61:L61"/>
  </mergeCells>
  <hyperlinks>
    <hyperlink ref="C5" r:id="rId1" display="javascript:void(0)"/>
    <hyperlink ref="E6" r:id="rId2" display="javascript:void(0)"/>
    <hyperlink ref="E7" r:id="rId3" display="javascript:void(0)"/>
    <hyperlink ref="C22" r:id="rId4" display="javascript:void(0)"/>
    <hyperlink ref="C39" r:id="rId5" display="javascript:void(0)"/>
    <hyperlink ref="E40" r:id="rId6" display="javascript:void(0)"/>
    <hyperlink ref="C45" r:id="rId7" display="javascript:void(0)"/>
    <hyperlink ref="C62" r:id="rId8" display="javascript:void(0)"/>
    <hyperlink ref="C67" r:id="rId9" display="javascript:void(0)"/>
    <hyperlink ref="C92" r:id="rId10" display="javascript:void(0)"/>
    <hyperlink ref="E150" r:id="rId11" display="javascript:void(0)"/>
  </hyperlinks>
  <pageMargins left="0.7" right="0.7" top="0.75" bottom="0.75" header="0.3" footer="0.3"/>
  <pageSetup paperSize="9" orientation="portrait" r:id="rId12"/>
  <legacy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42"/>
  <sheetViews>
    <sheetView zoomScale="115" zoomScaleNormal="115" workbookViewId="0">
      <pane xSplit="9" ySplit="4" topLeftCell="J153" activePane="bottomRight" state="frozen"/>
      <selection activeCell="J262" sqref="J262"/>
      <selection pane="topRight" activeCell="J262" sqref="J262"/>
      <selection pane="bottomLeft" activeCell="J262" sqref="J262"/>
      <selection pane="bottomRight" activeCell="I161" sqref="I161:I163"/>
    </sheetView>
  </sheetViews>
  <sheetFormatPr defaultColWidth="10.33203125" defaultRowHeight="15.6"/>
  <cols>
    <col min="1" max="1" width="7" style="1" customWidth="1"/>
    <col min="2" max="2" width="15.5546875" style="6" hidden="1" customWidth="1"/>
    <col min="3" max="3" width="19.109375" style="663" customWidth="1"/>
    <col min="4" max="4" width="14.109375" style="3" customWidth="1"/>
    <col min="5" max="5" width="13.33203125" style="4" customWidth="1"/>
    <col min="6" max="6" width="6.33203125" style="4" customWidth="1"/>
    <col min="7" max="8" width="5.109375" style="6" hidden="1" customWidth="1"/>
    <col min="9" max="9" width="43.88671875" style="5" customWidth="1"/>
    <col min="10" max="10" width="12.44140625" style="5" customWidth="1"/>
    <col min="11" max="11" width="14.44140625" style="7" customWidth="1"/>
    <col min="12" max="12" width="7.5546875" style="5" customWidth="1"/>
    <col min="13" max="13" width="9.5546875" style="11" customWidth="1"/>
    <col min="14" max="14" width="19.109375" style="6" hidden="1" customWidth="1"/>
    <col min="15" max="15" width="17.33203125" style="6" hidden="1" customWidth="1"/>
    <col min="16" max="16" width="11.88671875" style="268" hidden="1" customWidth="1"/>
    <col min="17" max="17" width="13.109375" style="268" hidden="1" customWidth="1"/>
    <col min="18" max="18" width="13" style="268" hidden="1" customWidth="1"/>
    <col min="19" max="19" width="11.88671875" style="268" hidden="1" customWidth="1"/>
    <col min="20" max="20" width="15.33203125" style="264" hidden="1" customWidth="1"/>
    <col min="21" max="21" width="11.88671875" style="268" hidden="1" customWidth="1"/>
    <col min="22" max="22" width="19.44140625" style="268" customWidth="1"/>
    <col min="23" max="23" width="15.5546875" style="269" customWidth="1"/>
    <col min="24" max="24" width="34.33203125" style="270" hidden="1" customWidth="1"/>
    <col min="25" max="25" width="18.6640625" style="271" customWidth="1"/>
    <col min="26" max="26" width="16.6640625" style="272" customWidth="1"/>
    <col min="27" max="27" width="18.5546875" style="273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28" ht="15" customHeight="1">
      <c r="B1" s="125"/>
      <c r="N1" s="125"/>
      <c r="P1" s="277"/>
      <c r="Q1" s="277"/>
      <c r="R1" s="277"/>
      <c r="S1" s="277"/>
      <c r="T1" s="278"/>
      <c r="U1" s="278"/>
      <c r="V1" s="278"/>
      <c r="W1" s="278"/>
      <c r="X1" s="282"/>
      <c r="Y1" s="278"/>
      <c r="Z1" s="278"/>
      <c r="AA1" s="283"/>
    </row>
    <row r="2" spans="1:28" ht="20.25" customHeight="1">
      <c r="A2" s="3719" t="s">
        <v>5954</v>
      </c>
      <c r="B2" s="3720"/>
      <c r="C2" s="3720"/>
      <c r="D2" s="3720"/>
      <c r="E2" s="3720"/>
      <c r="F2" s="3720"/>
      <c r="G2" s="3720"/>
      <c r="H2" s="3720"/>
      <c r="I2" s="3720"/>
      <c r="J2" s="3720"/>
      <c r="K2" s="3720"/>
      <c r="L2" s="294"/>
      <c r="N2" s="294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662"/>
      <c r="AA2" s="662"/>
      <c r="AB2" s="13"/>
    </row>
    <row r="3" spans="1:28">
      <c r="B3" s="478"/>
      <c r="C3" s="665" t="s">
        <v>754</v>
      </c>
      <c r="I3" s="478"/>
      <c r="J3" s="478"/>
      <c r="L3" s="478"/>
      <c r="N3" s="478"/>
    </row>
    <row r="4" spans="1:28" ht="39.6">
      <c r="A4" s="29" t="s">
        <v>2</v>
      </c>
      <c r="B4" s="483" t="s">
        <v>2773</v>
      </c>
      <c r="C4" s="30" t="s">
        <v>3</v>
      </c>
      <c r="D4" s="31" t="s">
        <v>4</v>
      </c>
      <c r="E4" s="30" t="s">
        <v>5</v>
      </c>
      <c r="F4" s="30" t="s">
        <v>401</v>
      </c>
      <c r="G4" s="33" t="s">
        <v>8</v>
      </c>
      <c r="H4" s="33" t="s">
        <v>9</v>
      </c>
      <c r="I4" s="323" t="s">
        <v>2793</v>
      </c>
      <c r="J4" s="323" t="s">
        <v>2884</v>
      </c>
      <c r="K4" s="323" t="s">
        <v>2791</v>
      </c>
      <c r="L4" s="323" t="s">
        <v>2883</v>
      </c>
      <c r="M4" s="323" t="s">
        <v>63</v>
      </c>
      <c r="N4" s="33" t="s">
        <v>1583</v>
      </c>
      <c r="O4" s="29" t="s">
        <v>15</v>
      </c>
      <c r="P4" s="217" t="s">
        <v>1291</v>
      </c>
      <c r="Q4" s="217" t="s">
        <v>190</v>
      </c>
      <c r="R4" s="217" t="s">
        <v>191</v>
      </c>
      <c r="S4" s="218" t="s">
        <v>192</v>
      </c>
      <c r="T4" s="218" t="s">
        <v>193</v>
      </c>
      <c r="U4" s="219" t="s">
        <v>194</v>
      </c>
      <c r="V4" s="219" t="s">
        <v>195</v>
      </c>
      <c r="W4" s="220" t="s">
        <v>196</v>
      </c>
      <c r="X4" s="221" t="s">
        <v>197</v>
      </c>
      <c r="Y4" s="218" t="s">
        <v>198</v>
      </c>
      <c r="Z4" s="219" t="s">
        <v>199</v>
      </c>
      <c r="AA4" s="222" t="s">
        <v>200</v>
      </c>
      <c r="AB4" s="36" t="s">
        <v>204</v>
      </c>
    </row>
    <row r="5" spans="1:28">
      <c r="A5" s="326">
        <v>1</v>
      </c>
      <c r="B5" s="666" t="s">
        <v>2778</v>
      </c>
      <c r="C5" s="179">
        <v>306543480960</v>
      </c>
      <c r="D5" s="666" t="s">
        <v>2778</v>
      </c>
      <c r="E5" s="47" t="s">
        <v>2912</v>
      </c>
      <c r="F5" s="126" t="s">
        <v>2790</v>
      </c>
      <c r="G5" s="167"/>
      <c r="H5" s="167"/>
      <c r="I5" s="154" t="s">
        <v>2794</v>
      </c>
      <c r="J5" s="706" t="s">
        <v>2895</v>
      </c>
      <c r="K5" s="170" t="s">
        <v>2792</v>
      </c>
      <c r="L5" s="705">
        <v>436</v>
      </c>
      <c r="M5" s="86" t="s">
        <v>2891</v>
      </c>
      <c r="N5" s="158"/>
      <c r="O5" s="150"/>
      <c r="P5" s="248"/>
      <c r="Q5" s="248"/>
      <c r="R5" s="248"/>
      <c r="S5" s="248"/>
      <c r="T5" s="247"/>
      <c r="U5" s="248"/>
      <c r="V5" s="340">
        <f t="shared" ref="V5:V13" si="0">Q5+R5+S5+P5+U5</f>
        <v>0</v>
      </c>
      <c r="W5" s="344">
        <f t="shared" ref="W5:W13" si="1">+T5</f>
        <v>0</v>
      </c>
      <c r="X5" s="249"/>
      <c r="Y5" s="341">
        <f>600000*1.08</f>
        <v>648000</v>
      </c>
      <c r="Z5" s="342">
        <f t="shared" ref="Z5:Z17" si="2">+Y5+W5+V5</f>
        <v>648000</v>
      </c>
      <c r="AA5" s="252"/>
    </row>
    <row r="6" spans="1:28">
      <c r="A6" s="326">
        <f t="shared" ref="A6:A68" si="3">+A5+1</f>
        <v>2</v>
      </c>
      <c r="B6" s="666" t="s">
        <v>2778</v>
      </c>
      <c r="C6" s="179">
        <v>306545165050</v>
      </c>
      <c r="D6" s="666" t="s">
        <v>2778</v>
      </c>
      <c r="E6" s="47" t="s">
        <v>2912</v>
      </c>
      <c r="F6" s="126" t="s">
        <v>2795</v>
      </c>
      <c r="G6" s="167"/>
      <c r="H6" s="167"/>
      <c r="I6" s="154" t="s">
        <v>2796</v>
      </c>
      <c r="J6" s="707" t="s">
        <v>2894</v>
      </c>
      <c r="K6" s="170" t="s">
        <v>2886</v>
      </c>
      <c r="L6" s="705">
        <v>418</v>
      </c>
      <c r="M6" s="86" t="s">
        <v>2891</v>
      </c>
      <c r="N6" s="158"/>
      <c r="O6" s="150"/>
      <c r="P6" s="248"/>
      <c r="Q6" s="248"/>
      <c r="R6" s="248"/>
      <c r="S6" s="248"/>
      <c r="T6" s="247"/>
      <c r="U6" s="248"/>
      <c r="V6" s="340">
        <f t="shared" si="0"/>
        <v>0</v>
      </c>
      <c r="W6" s="344">
        <f t="shared" si="1"/>
        <v>0</v>
      </c>
      <c r="X6" s="249"/>
      <c r="Y6" s="341">
        <f t="shared" ref="Y6:Y38" si="4">600000*1.08</f>
        <v>648000</v>
      </c>
      <c r="Z6" s="342">
        <f t="shared" si="2"/>
        <v>648000</v>
      </c>
      <c r="AA6" s="252"/>
    </row>
    <row r="7" spans="1:28" ht="26.4">
      <c r="A7" s="326">
        <f t="shared" si="3"/>
        <v>3</v>
      </c>
      <c r="B7" s="666" t="s">
        <v>2827</v>
      </c>
      <c r="C7" s="179">
        <v>306553811930</v>
      </c>
      <c r="D7" s="666" t="s">
        <v>2826</v>
      </c>
      <c r="E7" s="47" t="s">
        <v>2912</v>
      </c>
      <c r="F7" s="126" t="s">
        <v>2795</v>
      </c>
      <c r="G7" s="167"/>
      <c r="H7" s="167"/>
      <c r="I7" s="154" t="s">
        <v>2808</v>
      </c>
      <c r="J7" s="707" t="s">
        <v>2892</v>
      </c>
      <c r="K7" s="170" t="s">
        <v>2807</v>
      </c>
      <c r="L7" s="705">
        <v>1306</v>
      </c>
      <c r="M7" s="86" t="s">
        <v>2891</v>
      </c>
      <c r="N7" s="158"/>
      <c r="O7" s="150"/>
      <c r="P7" s="248"/>
      <c r="Q7" s="248"/>
      <c r="R7" s="248"/>
      <c r="S7" s="248"/>
      <c r="T7" s="247"/>
      <c r="U7" s="248"/>
      <c r="V7" s="340">
        <f t="shared" si="0"/>
        <v>0</v>
      </c>
      <c r="W7" s="344">
        <f t="shared" si="1"/>
        <v>0</v>
      </c>
      <c r="X7" s="249"/>
      <c r="Y7" s="341">
        <f t="shared" si="4"/>
        <v>648000</v>
      </c>
      <c r="Z7" s="342">
        <f t="shared" si="2"/>
        <v>648000</v>
      </c>
      <c r="AA7" s="252"/>
    </row>
    <row r="8" spans="1:28">
      <c r="A8" s="326">
        <f t="shared" si="3"/>
        <v>4</v>
      </c>
      <c r="B8" s="666" t="s">
        <v>2847</v>
      </c>
      <c r="C8" s="179">
        <v>306565840950</v>
      </c>
      <c r="D8" s="666" t="s">
        <v>2847</v>
      </c>
      <c r="E8" s="47" t="s">
        <v>2912</v>
      </c>
      <c r="F8" s="126" t="s">
        <v>2795</v>
      </c>
      <c r="G8" s="167"/>
      <c r="H8" s="167"/>
      <c r="I8" s="154" t="s">
        <v>2796</v>
      </c>
      <c r="J8" s="707" t="s">
        <v>2893</v>
      </c>
      <c r="K8" s="170" t="s">
        <v>2885</v>
      </c>
      <c r="L8" s="705">
        <v>482</v>
      </c>
      <c r="M8" s="86" t="s">
        <v>2891</v>
      </c>
      <c r="N8" s="158"/>
      <c r="O8" s="150"/>
      <c r="P8" s="248"/>
      <c r="Q8" s="248"/>
      <c r="R8" s="248"/>
      <c r="S8" s="248"/>
      <c r="T8" s="247"/>
      <c r="U8" s="248"/>
      <c r="V8" s="340">
        <f t="shared" si="0"/>
        <v>0</v>
      </c>
      <c r="W8" s="344">
        <f t="shared" si="1"/>
        <v>0</v>
      </c>
      <c r="X8" s="249"/>
      <c r="Y8" s="341">
        <f t="shared" si="4"/>
        <v>648000</v>
      </c>
      <c r="Z8" s="342">
        <f t="shared" si="2"/>
        <v>648000</v>
      </c>
      <c r="AA8" s="252"/>
    </row>
    <row r="9" spans="1:28">
      <c r="A9" s="326">
        <f t="shared" si="3"/>
        <v>5</v>
      </c>
      <c r="B9" s="666" t="s">
        <v>2846</v>
      </c>
      <c r="C9" s="179">
        <v>306574008220</v>
      </c>
      <c r="D9" s="666" t="s">
        <v>2846</v>
      </c>
      <c r="E9" s="47" t="s">
        <v>2912</v>
      </c>
      <c r="F9" s="126" t="s">
        <v>2795</v>
      </c>
      <c r="G9" s="167"/>
      <c r="H9" s="167"/>
      <c r="I9" s="154" t="s">
        <v>2794</v>
      </c>
      <c r="J9" s="707" t="s">
        <v>2896</v>
      </c>
      <c r="K9" s="170" t="s">
        <v>2897</v>
      </c>
      <c r="L9" s="705">
        <v>139</v>
      </c>
      <c r="M9" s="86" t="s">
        <v>2891</v>
      </c>
      <c r="N9" s="158"/>
      <c r="O9" s="150"/>
      <c r="P9" s="248"/>
      <c r="Q9" s="248"/>
      <c r="R9" s="248"/>
      <c r="S9" s="248"/>
      <c r="T9" s="247"/>
      <c r="U9" s="248"/>
      <c r="V9" s="340">
        <f t="shared" si="0"/>
        <v>0</v>
      </c>
      <c r="W9" s="344">
        <f t="shared" si="1"/>
        <v>0</v>
      </c>
      <c r="X9" s="249"/>
      <c r="Y9" s="341">
        <f t="shared" si="4"/>
        <v>648000</v>
      </c>
      <c r="Z9" s="342">
        <f>+Y9+W9+V9</f>
        <v>648000</v>
      </c>
      <c r="AA9" s="252"/>
    </row>
    <row r="10" spans="1:28">
      <c r="A10" s="326">
        <f t="shared" si="3"/>
        <v>6</v>
      </c>
      <c r="B10" s="666" t="s">
        <v>2846</v>
      </c>
      <c r="C10" s="179">
        <v>306568543060</v>
      </c>
      <c r="D10" s="666" t="s">
        <v>2850</v>
      </c>
      <c r="E10" s="47" t="s">
        <v>2912</v>
      </c>
      <c r="F10" s="126" t="s">
        <v>2795</v>
      </c>
      <c r="G10" s="167"/>
      <c r="H10" s="167"/>
      <c r="I10" s="154" t="s">
        <v>2808</v>
      </c>
      <c r="J10" s="707" t="s">
        <v>2890</v>
      </c>
      <c r="K10" s="170" t="s">
        <v>2848</v>
      </c>
      <c r="L10" s="705">
        <v>1021</v>
      </c>
      <c r="M10" s="86" t="s">
        <v>2891</v>
      </c>
      <c r="N10" s="158"/>
      <c r="O10" s="150"/>
      <c r="P10" s="248"/>
      <c r="Q10" s="248"/>
      <c r="R10" s="248"/>
      <c r="S10" s="248"/>
      <c r="T10" s="247"/>
      <c r="U10" s="248"/>
      <c r="V10" s="340">
        <f t="shared" si="0"/>
        <v>0</v>
      </c>
      <c r="W10" s="344">
        <f t="shared" si="1"/>
        <v>0</v>
      </c>
      <c r="X10" s="249"/>
      <c r="Y10" s="341">
        <f t="shared" si="4"/>
        <v>648000</v>
      </c>
      <c r="Z10" s="342">
        <f t="shared" si="2"/>
        <v>648000</v>
      </c>
      <c r="AA10" s="252"/>
    </row>
    <row r="11" spans="1:28">
      <c r="A11" s="326">
        <f t="shared" si="3"/>
        <v>7</v>
      </c>
      <c r="B11" s="666" t="s">
        <v>2882</v>
      </c>
      <c r="C11" s="179">
        <v>306580604430</v>
      </c>
      <c r="D11" s="46" t="s">
        <v>2909</v>
      </c>
      <c r="E11" s="47" t="s">
        <v>2912</v>
      </c>
      <c r="F11" s="126" t="s">
        <v>2795</v>
      </c>
      <c r="G11" s="167"/>
      <c r="H11" s="167"/>
      <c r="I11" s="154" t="s">
        <v>2796</v>
      </c>
      <c r="J11" s="707" t="s">
        <v>2908</v>
      </c>
      <c r="K11" s="170" t="s">
        <v>2898</v>
      </c>
      <c r="L11" s="705">
        <v>931</v>
      </c>
      <c r="M11" s="86" t="s">
        <v>2891</v>
      </c>
      <c r="N11" s="158"/>
      <c r="O11" s="150"/>
      <c r="P11" s="248"/>
      <c r="Q11" s="248"/>
      <c r="R11" s="248"/>
      <c r="S11" s="248"/>
      <c r="T11" s="247"/>
      <c r="U11" s="248"/>
      <c r="V11" s="340">
        <f t="shared" si="0"/>
        <v>0</v>
      </c>
      <c r="W11" s="344">
        <f t="shared" si="1"/>
        <v>0</v>
      </c>
      <c r="X11" s="249"/>
      <c r="Y11" s="341">
        <f t="shared" si="4"/>
        <v>648000</v>
      </c>
      <c r="Z11" s="342">
        <f t="shared" si="2"/>
        <v>648000</v>
      </c>
      <c r="AA11" s="252"/>
    </row>
    <row r="12" spans="1:28">
      <c r="A12" s="326">
        <f t="shared" si="3"/>
        <v>8</v>
      </c>
      <c r="B12" s="666" t="s">
        <v>2907</v>
      </c>
      <c r="C12" s="179">
        <v>306592569530</v>
      </c>
      <c r="D12" s="46" t="s">
        <v>2920</v>
      </c>
      <c r="E12" s="47" t="s">
        <v>2912</v>
      </c>
      <c r="F12" s="126" t="s">
        <v>2795</v>
      </c>
      <c r="G12" s="167"/>
      <c r="H12" s="167"/>
      <c r="I12" s="154" t="s">
        <v>2808</v>
      </c>
      <c r="J12" s="707" t="s">
        <v>2924</v>
      </c>
      <c r="K12" s="170" t="s">
        <v>2922</v>
      </c>
      <c r="L12" s="705">
        <v>737</v>
      </c>
      <c r="M12" s="86" t="s">
        <v>2891</v>
      </c>
      <c r="N12" s="158"/>
      <c r="O12" s="150"/>
      <c r="P12" s="248"/>
      <c r="Q12" s="248"/>
      <c r="R12" s="248"/>
      <c r="S12" s="248"/>
      <c r="T12" s="247"/>
      <c r="U12" s="248"/>
      <c r="V12" s="340">
        <f t="shared" si="0"/>
        <v>0</v>
      </c>
      <c r="W12" s="344">
        <f t="shared" si="1"/>
        <v>0</v>
      </c>
      <c r="X12" s="249"/>
      <c r="Y12" s="341">
        <f t="shared" si="4"/>
        <v>648000</v>
      </c>
      <c r="Z12" s="342">
        <f t="shared" si="2"/>
        <v>648000</v>
      </c>
      <c r="AA12" s="252"/>
    </row>
    <row r="13" spans="1:28">
      <c r="A13" s="326">
        <f t="shared" si="3"/>
        <v>9</v>
      </c>
      <c r="B13" s="666" t="s">
        <v>2920</v>
      </c>
      <c r="C13" s="179">
        <v>306594925620</v>
      </c>
      <c r="D13" s="46" t="s">
        <v>2915</v>
      </c>
      <c r="E13" s="47" t="s">
        <v>2912</v>
      </c>
      <c r="F13" s="126" t="s">
        <v>2795</v>
      </c>
      <c r="G13" s="167"/>
      <c r="H13" s="167"/>
      <c r="I13" s="154" t="s">
        <v>2796</v>
      </c>
      <c r="J13" s="707" t="s">
        <v>2939</v>
      </c>
      <c r="K13" s="170" t="s">
        <v>2923</v>
      </c>
      <c r="L13" s="705">
        <v>273</v>
      </c>
      <c r="M13" s="86" t="s">
        <v>2891</v>
      </c>
      <c r="N13" s="158"/>
      <c r="O13" s="150"/>
      <c r="P13" s="248"/>
      <c r="Q13" s="248"/>
      <c r="R13" s="248"/>
      <c r="S13" s="248"/>
      <c r="T13" s="247"/>
      <c r="U13" s="248"/>
      <c r="V13" s="340">
        <f t="shared" si="0"/>
        <v>0</v>
      </c>
      <c r="W13" s="344">
        <f t="shared" si="1"/>
        <v>0</v>
      </c>
      <c r="X13" s="249"/>
      <c r="Y13" s="341">
        <f t="shared" si="4"/>
        <v>648000</v>
      </c>
      <c r="Z13" s="342">
        <f t="shared" si="2"/>
        <v>648000</v>
      </c>
      <c r="AA13" s="252"/>
    </row>
    <row r="14" spans="1:28" s="357" customFormat="1">
      <c r="A14" s="3778" t="s">
        <v>2941</v>
      </c>
      <c r="B14" s="3779"/>
      <c r="C14" s="3779"/>
      <c r="D14" s="3779"/>
      <c r="E14" s="3779"/>
      <c r="F14" s="3779"/>
      <c r="G14" s="3779"/>
      <c r="H14" s="3779"/>
      <c r="I14" s="3779"/>
      <c r="J14" s="3779"/>
      <c r="K14" s="3779"/>
      <c r="L14" s="3779"/>
      <c r="M14" s="3780"/>
      <c r="N14" s="777"/>
      <c r="O14" s="660"/>
      <c r="P14" s="486"/>
      <c r="Q14" s="486"/>
      <c r="R14" s="486"/>
      <c r="S14" s="486"/>
      <c r="T14" s="487"/>
      <c r="U14" s="486"/>
      <c r="V14" s="486"/>
      <c r="W14" s="489"/>
      <c r="X14" s="490"/>
      <c r="Y14" s="488"/>
      <c r="Z14" s="491">
        <f>SUM(Z5:Z13)</f>
        <v>5832000</v>
      </c>
      <c r="AA14" s="492"/>
      <c r="AB14" s="972"/>
    </row>
    <row r="15" spans="1:28">
      <c r="A15" s="326">
        <v>1</v>
      </c>
      <c r="B15" s="729" t="s">
        <v>2953</v>
      </c>
      <c r="C15" s="179">
        <v>306605516840</v>
      </c>
      <c r="D15" s="386" t="s">
        <v>2953</v>
      </c>
      <c r="E15" s="47" t="s">
        <v>3123</v>
      </c>
      <c r="F15" s="126" t="s">
        <v>2795</v>
      </c>
      <c r="G15" s="167"/>
      <c r="H15" s="167"/>
      <c r="I15" s="154" t="s">
        <v>2796</v>
      </c>
      <c r="J15" s="707" t="s">
        <v>2982</v>
      </c>
      <c r="K15" s="170" t="s">
        <v>2983</v>
      </c>
      <c r="L15" s="705" t="s">
        <v>2984</v>
      </c>
      <c r="M15" s="86" t="s">
        <v>2891</v>
      </c>
      <c r="N15" s="158"/>
      <c r="O15" s="150"/>
      <c r="P15" s="248"/>
      <c r="Q15" s="248"/>
      <c r="R15" s="248"/>
      <c r="S15" s="248"/>
      <c r="T15" s="247"/>
      <c r="U15" s="248"/>
      <c r="V15" s="340">
        <f t="shared" ref="V15:V25" si="5">Q15+R15+S15+P15+U15</f>
        <v>0</v>
      </c>
      <c r="W15" s="344">
        <f t="shared" ref="W15:W25" si="6">+T15</f>
        <v>0</v>
      </c>
      <c r="X15" s="249"/>
      <c r="Y15" s="341">
        <f t="shared" si="4"/>
        <v>648000</v>
      </c>
      <c r="Z15" s="342">
        <f t="shared" si="2"/>
        <v>648000</v>
      </c>
      <c r="AA15" s="252"/>
    </row>
    <row r="16" spans="1:28">
      <c r="A16" s="326">
        <f t="shared" si="3"/>
        <v>2</v>
      </c>
      <c r="B16" s="729" t="s">
        <v>2979</v>
      </c>
      <c r="C16" s="179">
        <v>306624655650</v>
      </c>
      <c r="D16" s="46">
        <v>45506</v>
      </c>
      <c r="E16" s="47" t="s">
        <v>3123</v>
      </c>
      <c r="F16" s="126" t="s">
        <v>2795</v>
      </c>
      <c r="G16" s="167"/>
      <c r="H16" s="167"/>
      <c r="I16" s="154" t="s">
        <v>2796</v>
      </c>
      <c r="J16" s="707" t="s">
        <v>3005</v>
      </c>
      <c r="K16" s="170" t="s">
        <v>3006</v>
      </c>
      <c r="L16" s="705">
        <v>246</v>
      </c>
      <c r="M16" s="86" t="s">
        <v>2891</v>
      </c>
      <c r="N16" s="158"/>
      <c r="O16" s="150"/>
      <c r="P16" s="248"/>
      <c r="Q16" s="248"/>
      <c r="R16" s="248"/>
      <c r="S16" s="248"/>
      <c r="T16" s="247"/>
      <c r="U16" s="248"/>
      <c r="V16" s="340">
        <f t="shared" si="5"/>
        <v>0</v>
      </c>
      <c r="W16" s="344">
        <f t="shared" si="6"/>
        <v>0</v>
      </c>
      <c r="X16" s="249"/>
      <c r="Y16" s="341">
        <f t="shared" si="4"/>
        <v>648000</v>
      </c>
      <c r="Z16" s="342">
        <f t="shared" si="2"/>
        <v>648000</v>
      </c>
      <c r="AA16" s="252"/>
    </row>
    <row r="17" spans="1:28">
      <c r="A17" s="326">
        <f t="shared" si="3"/>
        <v>3</v>
      </c>
      <c r="B17" s="729" t="s">
        <v>2979</v>
      </c>
      <c r="C17" s="179">
        <v>306624514400</v>
      </c>
      <c r="D17" s="46">
        <v>45505</v>
      </c>
      <c r="E17" s="47" t="s">
        <v>3123</v>
      </c>
      <c r="F17" s="126" t="s">
        <v>2795</v>
      </c>
      <c r="G17" s="167"/>
      <c r="H17" s="167"/>
      <c r="I17" s="154" t="s">
        <v>2794</v>
      </c>
      <c r="J17" s="707" t="s">
        <v>3004</v>
      </c>
      <c r="K17" s="170" t="s">
        <v>2989</v>
      </c>
      <c r="L17" s="705">
        <v>399</v>
      </c>
      <c r="M17" s="86" t="s">
        <v>2891</v>
      </c>
      <c r="N17" s="158"/>
      <c r="O17" s="150"/>
      <c r="P17" s="248"/>
      <c r="Q17" s="248"/>
      <c r="R17" s="248"/>
      <c r="S17" s="248"/>
      <c r="T17" s="247"/>
      <c r="U17" s="248"/>
      <c r="V17" s="340">
        <f t="shared" si="5"/>
        <v>0</v>
      </c>
      <c r="W17" s="344">
        <f t="shared" si="6"/>
        <v>0</v>
      </c>
      <c r="X17" s="249"/>
      <c r="Y17" s="341">
        <f t="shared" si="4"/>
        <v>648000</v>
      </c>
      <c r="Z17" s="342">
        <f t="shared" si="2"/>
        <v>648000</v>
      </c>
      <c r="AA17" s="252"/>
    </row>
    <row r="18" spans="1:28">
      <c r="A18" s="326">
        <f t="shared" si="3"/>
        <v>4</v>
      </c>
      <c r="B18" s="731" t="s">
        <v>3007</v>
      </c>
      <c r="C18" s="179">
        <v>306634616320</v>
      </c>
      <c r="D18" s="386" t="s">
        <v>3009</v>
      </c>
      <c r="E18" s="47" t="s">
        <v>3123</v>
      </c>
      <c r="F18" s="126" t="s">
        <v>2795</v>
      </c>
      <c r="G18" s="167"/>
      <c r="H18" s="167"/>
      <c r="I18" s="154" t="s">
        <v>2796</v>
      </c>
      <c r="J18" s="707" t="s">
        <v>3029</v>
      </c>
      <c r="K18" s="170" t="s">
        <v>3019</v>
      </c>
      <c r="L18" s="705">
        <v>379</v>
      </c>
      <c r="M18" s="86" t="s">
        <v>2891</v>
      </c>
      <c r="N18" s="158"/>
      <c r="O18" s="150"/>
      <c r="P18" s="248"/>
      <c r="Q18" s="248"/>
      <c r="R18" s="248"/>
      <c r="S18" s="248"/>
      <c r="T18" s="247"/>
      <c r="U18" s="248"/>
      <c r="V18" s="340">
        <f t="shared" si="5"/>
        <v>0</v>
      </c>
      <c r="W18" s="344">
        <f t="shared" si="6"/>
        <v>0</v>
      </c>
      <c r="X18" s="249"/>
      <c r="Y18" s="341">
        <f t="shared" si="4"/>
        <v>648000</v>
      </c>
      <c r="Z18" s="342">
        <f t="shared" ref="Z18:Z25" si="7">+Y18+W18+V18</f>
        <v>648000</v>
      </c>
      <c r="AA18" s="252"/>
    </row>
    <row r="19" spans="1:28">
      <c r="A19" s="326">
        <f t="shared" si="3"/>
        <v>5</v>
      </c>
      <c r="B19" s="731" t="s">
        <v>3009</v>
      </c>
      <c r="C19" s="179">
        <v>306639318550</v>
      </c>
      <c r="D19" s="386" t="s">
        <v>3011</v>
      </c>
      <c r="E19" s="47" t="s">
        <v>3123</v>
      </c>
      <c r="F19" s="126" t="s">
        <v>2795</v>
      </c>
      <c r="G19" s="167"/>
      <c r="H19" s="167"/>
      <c r="I19" s="154" t="s">
        <v>2808</v>
      </c>
      <c r="J19" s="386" t="s">
        <v>3041</v>
      </c>
      <c r="K19" s="117" t="s">
        <v>3037</v>
      </c>
      <c r="L19" s="761">
        <v>1020</v>
      </c>
      <c r="M19" s="86" t="s">
        <v>2891</v>
      </c>
      <c r="N19" s="158"/>
      <c r="O19" s="150"/>
      <c r="P19" s="248"/>
      <c r="Q19" s="248"/>
      <c r="R19" s="248"/>
      <c r="S19" s="248"/>
      <c r="T19" s="247"/>
      <c r="U19" s="248"/>
      <c r="V19" s="340">
        <f t="shared" si="5"/>
        <v>0</v>
      </c>
      <c r="W19" s="344">
        <f t="shared" si="6"/>
        <v>0</v>
      </c>
      <c r="X19" s="249"/>
      <c r="Y19" s="341">
        <f t="shared" si="4"/>
        <v>648000</v>
      </c>
      <c r="Z19" s="342">
        <f t="shared" si="7"/>
        <v>648000</v>
      </c>
      <c r="AA19" s="252"/>
    </row>
    <row r="20" spans="1:28">
      <c r="A20" s="326">
        <f t="shared" si="3"/>
        <v>6</v>
      </c>
      <c r="B20" s="731" t="s">
        <v>3003</v>
      </c>
      <c r="C20" s="179">
        <v>306642012300</v>
      </c>
      <c r="D20" s="386" t="s">
        <v>3049</v>
      </c>
      <c r="E20" s="47" t="s">
        <v>3123</v>
      </c>
      <c r="F20" s="126" t="s">
        <v>2795</v>
      </c>
      <c r="G20" s="167"/>
      <c r="H20" s="167"/>
      <c r="I20" s="577" t="s">
        <v>3035</v>
      </c>
      <c r="J20" s="707" t="s">
        <v>3051</v>
      </c>
      <c r="K20" s="759" t="s">
        <v>3036</v>
      </c>
      <c r="L20" s="760">
        <v>488</v>
      </c>
      <c r="M20" s="86" t="s">
        <v>2891</v>
      </c>
      <c r="N20" s="158"/>
      <c r="O20" s="150"/>
      <c r="P20" s="248"/>
      <c r="Q20" s="248"/>
      <c r="R20" s="248"/>
      <c r="S20" s="248"/>
      <c r="T20" s="247"/>
      <c r="U20" s="248"/>
      <c r="V20" s="340">
        <f t="shared" si="5"/>
        <v>0</v>
      </c>
      <c r="W20" s="344">
        <f t="shared" si="6"/>
        <v>0</v>
      </c>
      <c r="X20" s="249"/>
      <c r="Y20" s="341">
        <f t="shared" si="4"/>
        <v>648000</v>
      </c>
      <c r="Z20" s="342">
        <f t="shared" si="7"/>
        <v>648000</v>
      </c>
      <c r="AA20" s="252"/>
    </row>
    <row r="21" spans="1:28">
      <c r="A21" s="326">
        <f t="shared" si="3"/>
        <v>7</v>
      </c>
      <c r="B21" s="731" t="s">
        <v>3011</v>
      </c>
      <c r="C21" s="179">
        <v>306648700060</v>
      </c>
      <c r="D21" s="386" t="s">
        <v>3016</v>
      </c>
      <c r="E21" s="47" t="s">
        <v>3123</v>
      </c>
      <c r="F21" s="126" t="s">
        <v>2795</v>
      </c>
      <c r="G21" s="167"/>
      <c r="H21" s="167"/>
      <c r="I21" s="154" t="s">
        <v>2808</v>
      </c>
      <c r="J21" s="707" t="s">
        <v>3058</v>
      </c>
      <c r="K21" s="117" t="s">
        <v>3050</v>
      </c>
      <c r="L21" s="705">
        <v>1129</v>
      </c>
      <c r="M21" s="86" t="s">
        <v>2891</v>
      </c>
      <c r="N21" s="158"/>
      <c r="O21" s="150"/>
      <c r="P21" s="248"/>
      <c r="Q21" s="248"/>
      <c r="R21" s="248"/>
      <c r="S21" s="248"/>
      <c r="T21" s="247"/>
      <c r="U21" s="248"/>
      <c r="V21" s="340">
        <f t="shared" si="5"/>
        <v>0</v>
      </c>
      <c r="W21" s="344">
        <f t="shared" si="6"/>
        <v>0</v>
      </c>
      <c r="X21" s="249"/>
      <c r="Y21" s="341">
        <f t="shared" si="4"/>
        <v>648000</v>
      </c>
      <c r="Z21" s="342">
        <f t="shared" si="7"/>
        <v>648000</v>
      </c>
      <c r="AA21" s="252"/>
    </row>
    <row r="22" spans="1:28">
      <c r="A22" s="326">
        <f t="shared" si="3"/>
        <v>8</v>
      </c>
      <c r="B22" s="731" t="s">
        <v>3059</v>
      </c>
      <c r="C22" s="765">
        <v>306656551960</v>
      </c>
      <c r="D22" s="386" t="s">
        <v>3069</v>
      </c>
      <c r="E22" s="47" t="s">
        <v>3123</v>
      </c>
      <c r="F22" s="126" t="s">
        <v>2795</v>
      </c>
      <c r="G22" s="167"/>
      <c r="H22" s="167"/>
      <c r="I22" s="154" t="s">
        <v>2796</v>
      </c>
      <c r="J22" s="707" t="s">
        <v>3081</v>
      </c>
      <c r="K22" s="170" t="s">
        <v>3082</v>
      </c>
      <c r="L22" s="705">
        <v>243</v>
      </c>
      <c r="M22" s="86" t="s">
        <v>2891</v>
      </c>
      <c r="N22" s="158"/>
      <c r="O22" s="150"/>
      <c r="P22" s="248"/>
      <c r="Q22" s="248"/>
      <c r="R22" s="248"/>
      <c r="S22" s="248"/>
      <c r="T22" s="247"/>
      <c r="U22" s="248"/>
      <c r="V22" s="340">
        <f t="shared" si="5"/>
        <v>0</v>
      </c>
      <c r="W22" s="344">
        <f t="shared" si="6"/>
        <v>0</v>
      </c>
      <c r="X22" s="249"/>
      <c r="Y22" s="341">
        <f t="shared" si="4"/>
        <v>648000</v>
      </c>
      <c r="Z22" s="342">
        <f t="shared" si="7"/>
        <v>648000</v>
      </c>
      <c r="AA22" s="252"/>
    </row>
    <row r="23" spans="1:28">
      <c r="A23" s="326">
        <f t="shared" si="3"/>
        <v>9</v>
      </c>
      <c r="B23" s="731" t="s">
        <v>3102</v>
      </c>
      <c r="C23" s="179">
        <v>306667953010</v>
      </c>
      <c r="D23" s="386" t="s">
        <v>3102</v>
      </c>
      <c r="E23" s="47" t="s">
        <v>3123</v>
      </c>
      <c r="F23" s="126" t="s">
        <v>2795</v>
      </c>
      <c r="G23" s="167"/>
      <c r="H23" s="167"/>
      <c r="I23" s="154" t="s">
        <v>2794</v>
      </c>
      <c r="J23" s="707" t="s">
        <v>3103</v>
      </c>
      <c r="K23" s="170" t="s">
        <v>3099</v>
      </c>
      <c r="L23" s="705">
        <v>171</v>
      </c>
      <c r="M23" s="86" t="s">
        <v>2891</v>
      </c>
      <c r="N23" s="158"/>
      <c r="O23" s="150"/>
      <c r="P23" s="248"/>
      <c r="Q23" s="248"/>
      <c r="R23" s="248"/>
      <c r="S23" s="248"/>
      <c r="T23" s="247"/>
      <c r="U23" s="248"/>
      <c r="V23" s="340">
        <f>Q23+R23+S23+P23+U23</f>
        <v>0</v>
      </c>
      <c r="W23" s="344">
        <f>+T23</f>
        <v>0</v>
      </c>
      <c r="X23" s="249"/>
      <c r="Y23" s="341">
        <f t="shared" si="4"/>
        <v>648000</v>
      </c>
      <c r="Z23" s="342">
        <f>+Y23+W23+V23</f>
        <v>648000</v>
      </c>
      <c r="AA23" s="252"/>
    </row>
    <row r="24" spans="1:28">
      <c r="A24" s="326">
        <f t="shared" si="3"/>
        <v>10</v>
      </c>
      <c r="B24" s="731" t="s">
        <v>3098</v>
      </c>
      <c r="C24" s="179">
        <v>306668669550</v>
      </c>
      <c r="D24" s="386" t="s">
        <v>3098</v>
      </c>
      <c r="E24" s="47" t="s">
        <v>3123</v>
      </c>
      <c r="F24" s="126" t="s">
        <v>2795</v>
      </c>
      <c r="G24" s="167"/>
      <c r="H24" s="167"/>
      <c r="I24" s="154" t="s">
        <v>2796</v>
      </c>
      <c r="J24" s="707" t="s">
        <v>3108</v>
      </c>
      <c r="K24" s="170" t="s">
        <v>3109</v>
      </c>
      <c r="L24" s="705">
        <v>665</v>
      </c>
      <c r="M24" s="86" t="s">
        <v>2891</v>
      </c>
      <c r="N24" s="158"/>
      <c r="O24" s="150"/>
      <c r="P24" s="248"/>
      <c r="Q24" s="248"/>
      <c r="R24" s="248"/>
      <c r="S24" s="248"/>
      <c r="T24" s="247"/>
      <c r="U24" s="248"/>
      <c r="V24" s="340">
        <f>Q24+R24+S24+P24+U24</f>
        <v>0</v>
      </c>
      <c r="W24" s="344">
        <f>+T24</f>
        <v>0</v>
      </c>
      <c r="X24" s="249"/>
      <c r="Y24" s="341">
        <f t="shared" si="4"/>
        <v>648000</v>
      </c>
      <c r="Z24" s="342">
        <f>+Y24+W24+V24</f>
        <v>648000</v>
      </c>
      <c r="AA24" s="252"/>
    </row>
    <row r="25" spans="1:28">
      <c r="A25" s="326">
        <f t="shared" si="3"/>
        <v>11</v>
      </c>
      <c r="B25" s="731" t="s">
        <v>3106</v>
      </c>
      <c r="C25" s="179">
        <v>306665950160</v>
      </c>
      <c r="D25" s="386" t="s">
        <v>3106</v>
      </c>
      <c r="E25" s="47" t="s">
        <v>3123</v>
      </c>
      <c r="F25" s="126" t="s">
        <v>2795</v>
      </c>
      <c r="G25" s="167"/>
      <c r="H25" s="167"/>
      <c r="I25" s="154" t="s">
        <v>2808</v>
      </c>
      <c r="J25" s="707" t="s">
        <v>3119</v>
      </c>
      <c r="K25" s="170" t="s">
        <v>3120</v>
      </c>
      <c r="L25" s="705">
        <v>639</v>
      </c>
      <c r="M25" s="86" t="s">
        <v>2891</v>
      </c>
      <c r="N25" s="158"/>
      <c r="O25" s="150"/>
      <c r="P25" s="248"/>
      <c r="Q25" s="248"/>
      <c r="R25" s="248"/>
      <c r="S25" s="248"/>
      <c r="T25" s="247"/>
      <c r="U25" s="248"/>
      <c r="V25" s="340">
        <f t="shared" si="5"/>
        <v>0</v>
      </c>
      <c r="W25" s="344">
        <f t="shared" si="6"/>
        <v>0</v>
      </c>
      <c r="X25" s="249"/>
      <c r="Y25" s="341">
        <f t="shared" si="4"/>
        <v>648000</v>
      </c>
      <c r="Z25" s="342">
        <f t="shared" si="7"/>
        <v>648000</v>
      </c>
      <c r="AA25" s="252"/>
    </row>
    <row r="26" spans="1:28">
      <c r="A26" s="326">
        <f t="shared" si="3"/>
        <v>12</v>
      </c>
      <c r="B26" s="729" t="s">
        <v>3111</v>
      </c>
      <c r="C26" s="179">
        <v>306675092860</v>
      </c>
      <c r="D26" s="386" t="s">
        <v>3111</v>
      </c>
      <c r="E26" s="47" t="s">
        <v>3123</v>
      </c>
      <c r="F26" s="126" t="s">
        <v>2795</v>
      </c>
      <c r="G26" s="167"/>
      <c r="H26" s="167"/>
      <c r="I26" s="577" t="s">
        <v>3035</v>
      </c>
      <c r="J26" s="707" t="s">
        <v>3121</v>
      </c>
      <c r="K26" s="170" t="s">
        <v>3122</v>
      </c>
      <c r="L26" s="705">
        <v>122</v>
      </c>
      <c r="M26" s="86" t="s">
        <v>2891</v>
      </c>
      <c r="N26" s="158"/>
      <c r="O26" s="150"/>
      <c r="P26" s="248"/>
      <c r="Q26" s="248"/>
      <c r="R26" s="248"/>
      <c r="S26" s="248"/>
      <c r="T26" s="247"/>
      <c r="U26" s="248"/>
      <c r="V26" s="340">
        <f>Q26+R26+S26+P26+U26</f>
        <v>0</v>
      </c>
      <c r="W26" s="344">
        <f>+T26</f>
        <v>0</v>
      </c>
      <c r="X26" s="249"/>
      <c r="Y26" s="341">
        <f t="shared" si="4"/>
        <v>648000</v>
      </c>
      <c r="Z26" s="342">
        <f>+Y26+W26+V26</f>
        <v>648000</v>
      </c>
      <c r="AA26" s="252"/>
    </row>
    <row r="27" spans="1:28">
      <c r="A27" s="3778" t="s">
        <v>3132</v>
      </c>
      <c r="B27" s="3779"/>
      <c r="C27" s="3779"/>
      <c r="D27" s="3779"/>
      <c r="E27" s="3779"/>
      <c r="F27" s="3779"/>
      <c r="G27" s="3779"/>
      <c r="H27" s="3779"/>
      <c r="I27" s="3779"/>
      <c r="J27" s="3779"/>
      <c r="K27" s="3779"/>
      <c r="L27" s="3779"/>
      <c r="M27" s="3780"/>
      <c r="N27" s="777"/>
      <c r="O27" s="660"/>
      <c r="P27" s="486"/>
      <c r="Q27" s="486"/>
      <c r="R27" s="248"/>
      <c r="S27" s="248"/>
      <c r="T27" s="247"/>
      <c r="U27" s="248"/>
      <c r="V27" s="486"/>
      <c r="W27" s="489"/>
      <c r="X27" s="490"/>
      <c r="Y27" s="488"/>
      <c r="Z27" s="491">
        <f>SUM(Z18:Z26)</f>
        <v>5832000</v>
      </c>
      <c r="AA27" s="252"/>
    </row>
    <row r="28" spans="1:28">
      <c r="A28" s="326">
        <v>1</v>
      </c>
      <c r="B28" s="731" t="s">
        <v>3133</v>
      </c>
      <c r="C28" s="179">
        <v>306680992350</v>
      </c>
      <c r="D28" s="386" t="s">
        <v>3105</v>
      </c>
      <c r="E28" s="47" t="s">
        <v>3332</v>
      </c>
      <c r="F28" s="126" t="s">
        <v>2795</v>
      </c>
      <c r="G28" s="167"/>
      <c r="H28" s="167"/>
      <c r="I28" s="154" t="s">
        <v>3383</v>
      </c>
      <c r="J28" s="707" t="s">
        <v>3142</v>
      </c>
      <c r="K28" s="170" t="s">
        <v>3134</v>
      </c>
      <c r="L28" s="705">
        <v>482</v>
      </c>
      <c r="M28" s="86" t="s">
        <v>2891</v>
      </c>
      <c r="N28" s="158"/>
      <c r="O28" s="150"/>
      <c r="P28" s="248"/>
      <c r="Q28" s="248"/>
      <c r="R28" s="248"/>
      <c r="S28" s="248"/>
      <c r="T28" s="247"/>
      <c r="U28" s="248"/>
      <c r="V28" s="340">
        <f>Q28+R28+S28+P28+U28</f>
        <v>0</v>
      </c>
      <c r="W28" s="344">
        <f>+T28</f>
        <v>0</v>
      </c>
      <c r="X28" s="249"/>
      <c r="Y28" s="341">
        <f t="shared" si="4"/>
        <v>648000</v>
      </c>
      <c r="Z28" s="342">
        <f>+Y28+W28+V28</f>
        <v>648000</v>
      </c>
      <c r="AA28" s="252"/>
    </row>
    <row r="29" spans="1:28">
      <c r="A29" s="326">
        <v>2</v>
      </c>
      <c r="B29" s="731" t="s">
        <v>3105</v>
      </c>
      <c r="C29" s="765" t="s">
        <v>3143</v>
      </c>
      <c r="D29" s="386" t="s">
        <v>3179</v>
      </c>
      <c r="E29" s="47" t="s">
        <v>3332</v>
      </c>
      <c r="F29" s="126" t="s">
        <v>2795</v>
      </c>
      <c r="G29" s="167"/>
      <c r="H29" s="167"/>
      <c r="I29" s="154" t="s">
        <v>2796</v>
      </c>
      <c r="J29" s="707" t="s">
        <v>3183</v>
      </c>
      <c r="K29" s="170" t="s">
        <v>3141</v>
      </c>
      <c r="L29" s="705">
        <v>172</v>
      </c>
      <c r="M29" s="86" t="s">
        <v>2891</v>
      </c>
      <c r="N29" s="158"/>
      <c r="O29" s="150"/>
      <c r="P29" s="248"/>
      <c r="Q29" s="248"/>
      <c r="R29" s="248"/>
      <c r="S29" s="248"/>
      <c r="T29" s="247"/>
      <c r="U29" s="248"/>
      <c r="V29" s="340">
        <f t="shared" ref="V29:V39" si="8">Q29+R29+S29+P29+U29</f>
        <v>0</v>
      </c>
      <c r="W29" s="344">
        <f t="shared" ref="W29:W39" si="9">+T29</f>
        <v>0</v>
      </c>
      <c r="X29" s="249"/>
      <c r="Y29" s="341">
        <f t="shared" si="4"/>
        <v>648000</v>
      </c>
      <c r="Z29" s="342">
        <f t="shared" ref="Z29:Z38" si="10">+Y29+W29+V29</f>
        <v>648000</v>
      </c>
      <c r="AA29" s="252"/>
    </row>
    <row r="30" spans="1:28">
      <c r="A30" s="326">
        <f t="shared" si="3"/>
        <v>3</v>
      </c>
      <c r="B30" s="729" t="s">
        <v>3203</v>
      </c>
      <c r="C30" s="798">
        <v>306707268250</v>
      </c>
      <c r="D30" s="791" t="s">
        <v>3204</v>
      </c>
      <c r="E30" s="47" t="s">
        <v>3332</v>
      </c>
      <c r="F30" s="793" t="s">
        <v>2795</v>
      </c>
      <c r="G30" s="167"/>
      <c r="H30" s="167"/>
      <c r="I30" s="127" t="s">
        <v>2794</v>
      </c>
      <c r="J30" s="706" t="s">
        <v>3205</v>
      </c>
      <c r="K30" s="794" t="s">
        <v>3201</v>
      </c>
      <c r="L30" s="799">
        <v>300</v>
      </c>
      <c r="M30" s="800" t="s">
        <v>2891</v>
      </c>
      <c r="N30" s="734"/>
      <c r="O30" s="735"/>
      <c r="P30" s="801"/>
      <c r="Q30" s="801"/>
      <c r="R30" s="801"/>
      <c r="S30" s="801"/>
      <c r="T30" s="802"/>
      <c r="U30" s="801"/>
      <c r="V30" s="340">
        <f t="shared" si="8"/>
        <v>0</v>
      </c>
      <c r="W30" s="344">
        <f t="shared" si="9"/>
        <v>0</v>
      </c>
      <c r="X30" s="803"/>
      <c r="Y30" s="341">
        <f t="shared" si="4"/>
        <v>648000</v>
      </c>
      <c r="Z30" s="342">
        <f t="shared" si="10"/>
        <v>648000</v>
      </c>
      <c r="AA30" s="804"/>
    </row>
    <row r="31" spans="1:28" s="678" customFormat="1">
      <c r="A31" s="98">
        <f t="shared" si="3"/>
        <v>4</v>
      </c>
      <c r="B31" s="98" t="s">
        <v>3203</v>
      </c>
      <c r="C31" s="179">
        <v>306707420410</v>
      </c>
      <c r="D31" s="684" t="s">
        <v>3194</v>
      </c>
      <c r="E31" s="47" t="s">
        <v>3332</v>
      </c>
      <c r="F31" s="117" t="s">
        <v>2795</v>
      </c>
      <c r="G31" s="87"/>
      <c r="H31" s="87"/>
      <c r="I31" s="46" t="s">
        <v>2796</v>
      </c>
      <c r="J31" s="706" t="s">
        <v>3217</v>
      </c>
      <c r="K31" s="117" t="s">
        <v>3200</v>
      </c>
      <c r="L31" s="810" t="s">
        <v>3218</v>
      </c>
      <c r="M31" s="800" t="s">
        <v>2891</v>
      </c>
      <c r="N31" s="158"/>
      <c r="O31" s="150"/>
      <c r="P31" s="248"/>
      <c r="Q31" s="248"/>
      <c r="R31" s="248"/>
      <c r="S31" s="248"/>
      <c r="T31" s="247"/>
      <c r="U31" s="248"/>
      <c r="V31" s="340">
        <f t="shared" si="8"/>
        <v>0</v>
      </c>
      <c r="W31" s="344">
        <f t="shared" si="9"/>
        <v>0</v>
      </c>
      <c r="X31" s="249"/>
      <c r="Y31" s="341">
        <f t="shared" si="4"/>
        <v>648000</v>
      </c>
      <c r="Z31" s="342">
        <f t="shared" si="10"/>
        <v>648000</v>
      </c>
      <c r="AA31" s="252"/>
      <c r="AB31" s="46"/>
    </row>
    <row r="32" spans="1:28">
      <c r="A32" s="670">
        <f t="shared" si="3"/>
        <v>5</v>
      </c>
      <c r="B32" s="809" t="s">
        <v>3214</v>
      </c>
      <c r="C32" s="805">
        <v>306719309540</v>
      </c>
      <c r="D32" s="699" t="s">
        <v>3208</v>
      </c>
      <c r="E32" s="47" t="s">
        <v>3332</v>
      </c>
      <c r="F32" s="673" t="s">
        <v>2795</v>
      </c>
      <c r="G32" s="445"/>
      <c r="H32" s="445"/>
      <c r="I32" s="577" t="s">
        <v>2796</v>
      </c>
      <c r="J32" s="706" t="s">
        <v>3215</v>
      </c>
      <c r="K32" s="788" t="s">
        <v>3216</v>
      </c>
      <c r="L32" s="760">
        <v>691</v>
      </c>
      <c r="M32" s="800" t="s">
        <v>2891</v>
      </c>
      <c r="N32" s="806"/>
      <c r="O32" s="807"/>
      <c r="P32" s="425"/>
      <c r="Q32" s="425"/>
      <c r="R32" s="425"/>
      <c r="S32" s="425"/>
      <c r="T32" s="426"/>
      <c r="U32" s="425"/>
      <c r="V32" s="340">
        <f t="shared" si="8"/>
        <v>0</v>
      </c>
      <c r="W32" s="344">
        <f t="shared" si="9"/>
        <v>0</v>
      </c>
      <c r="X32" s="789"/>
      <c r="Y32" s="341">
        <f t="shared" si="4"/>
        <v>648000</v>
      </c>
      <c r="Z32" s="342">
        <f t="shared" si="10"/>
        <v>648000</v>
      </c>
      <c r="AA32" s="808"/>
    </row>
    <row r="33" spans="1:27">
      <c r="A33" s="326">
        <f t="shared" si="3"/>
        <v>6</v>
      </c>
      <c r="B33" s="731" t="s">
        <v>3237</v>
      </c>
      <c r="C33" s="805">
        <v>306726678000</v>
      </c>
      <c r="D33" s="386" t="s">
        <v>3257</v>
      </c>
      <c r="E33" s="47" t="s">
        <v>3332</v>
      </c>
      <c r="F33" s="673" t="s">
        <v>2795</v>
      </c>
      <c r="G33" s="167"/>
      <c r="H33" s="167"/>
      <c r="I33" s="154" t="s">
        <v>3383</v>
      </c>
      <c r="J33" s="706" t="s">
        <v>3263</v>
      </c>
      <c r="K33" s="170" t="s">
        <v>3250</v>
      </c>
      <c r="L33" s="760">
        <v>1810</v>
      </c>
      <c r="M33" s="800" t="s">
        <v>2891</v>
      </c>
      <c r="N33" s="158"/>
      <c r="O33" s="150"/>
      <c r="P33" s="248"/>
      <c r="Q33" s="248"/>
      <c r="R33" s="248"/>
      <c r="S33" s="248"/>
      <c r="T33" s="247"/>
      <c r="U33" s="248"/>
      <c r="V33" s="340">
        <f t="shared" si="8"/>
        <v>0</v>
      </c>
      <c r="W33" s="344">
        <f t="shared" si="9"/>
        <v>0</v>
      </c>
      <c r="X33" s="249"/>
      <c r="Y33" s="341">
        <f t="shared" si="4"/>
        <v>648000</v>
      </c>
      <c r="Z33" s="342">
        <f t="shared" si="10"/>
        <v>648000</v>
      </c>
      <c r="AA33" s="252"/>
    </row>
    <row r="34" spans="1:27">
      <c r="A34" s="326">
        <f t="shared" si="3"/>
        <v>7</v>
      </c>
      <c r="B34" s="731" t="s">
        <v>3279</v>
      </c>
      <c r="C34" s="179">
        <v>306733992630</v>
      </c>
      <c r="D34" s="386" t="s">
        <v>3279</v>
      </c>
      <c r="E34" s="47" t="s">
        <v>3332</v>
      </c>
      <c r="F34" s="673" t="s">
        <v>2795</v>
      </c>
      <c r="G34" s="167"/>
      <c r="H34" s="167"/>
      <c r="I34" s="154" t="s">
        <v>3383</v>
      </c>
      <c r="J34" s="707" t="s">
        <v>3295</v>
      </c>
      <c r="K34" s="973" t="s">
        <v>3296</v>
      </c>
      <c r="L34" s="705">
        <v>486</v>
      </c>
      <c r="M34" s="800" t="s">
        <v>2891</v>
      </c>
      <c r="N34" s="158"/>
      <c r="O34" s="150"/>
      <c r="P34" s="248"/>
      <c r="Q34" s="248"/>
      <c r="R34" s="248"/>
      <c r="S34" s="248"/>
      <c r="T34" s="247"/>
      <c r="U34" s="248"/>
      <c r="V34" s="340">
        <f t="shared" si="8"/>
        <v>0</v>
      </c>
      <c r="W34" s="344">
        <f t="shared" si="9"/>
        <v>0</v>
      </c>
      <c r="X34" s="249"/>
      <c r="Y34" s="341">
        <f t="shared" si="4"/>
        <v>648000</v>
      </c>
      <c r="Z34" s="342">
        <f t="shared" si="10"/>
        <v>648000</v>
      </c>
      <c r="AA34" s="252"/>
    </row>
    <row r="35" spans="1:27">
      <c r="A35" s="326">
        <v>8</v>
      </c>
      <c r="B35" s="731" t="s">
        <v>3298</v>
      </c>
      <c r="C35" s="179">
        <v>306746391730</v>
      </c>
      <c r="D35" s="386" t="s">
        <v>3281</v>
      </c>
      <c r="E35" s="47" t="s">
        <v>3332</v>
      </c>
      <c r="F35" s="673" t="s">
        <v>2795</v>
      </c>
      <c r="G35" s="167"/>
      <c r="H35" s="167"/>
      <c r="I35" s="46" t="s">
        <v>2796</v>
      </c>
      <c r="J35" s="707" t="s">
        <v>3325</v>
      </c>
      <c r="K35" s="982" t="s">
        <v>3306</v>
      </c>
      <c r="L35" s="705">
        <v>714</v>
      </c>
      <c r="M35" s="800" t="s">
        <v>2891</v>
      </c>
      <c r="N35" s="158"/>
      <c r="O35" s="150"/>
      <c r="P35" s="248"/>
      <c r="Q35" s="248"/>
      <c r="R35" s="248"/>
      <c r="S35" s="248"/>
      <c r="T35" s="247"/>
      <c r="U35" s="248"/>
      <c r="V35" s="340">
        <f t="shared" si="8"/>
        <v>0</v>
      </c>
      <c r="W35" s="344">
        <f t="shared" si="9"/>
        <v>0</v>
      </c>
      <c r="X35" s="249"/>
      <c r="Y35" s="341">
        <f t="shared" si="4"/>
        <v>648000</v>
      </c>
      <c r="Z35" s="342">
        <f t="shared" si="10"/>
        <v>648000</v>
      </c>
      <c r="AA35" s="252"/>
    </row>
    <row r="36" spans="1:27">
      <c r="A36" s="326">
        <v>9</v>
      </c>
      <c r="B36" s="729" t="s">
        <v>3279</v>
      </c>
      <c r="C36" s="179">
        <v>306742014630</v>
      </c>
      <c r="D36" s="386" t="s">
        <v>3320</v>
      </c>
      <c r="E36" s="47" t="s">
        <v>3332</v>
      </c>
      <c r="F36" s="673" t="s">
        <v>2795</v>
      </c>
      <c r="G36" s="167"/>
      <c r="H36" s="167"/>
      <c r="I36" s="154" t="s">
        <v>3383</v>
      </c>
      <c r="J36" s="707" t="s">
        <v>3355</v>
      </c>
      <c r="K36" s="170" t="s">
        <v>3305</v>
      </c>
      <c r="L36" s="705">
        <v>1784</v>
      </c>
      <c r="M36" s="800" t="s">
        <v>2891</v>
      </c>
      <c r="N36" s="158"/>
      <c r="O36" s="150"/>
      <c r="P36" s="248"/>
      <c r="Q36" s="248"/>
      <c r="R36" s="248"/>
      <c r="S36" s="248"/>
      <c r="T36" s="247"/>
      <c r="U36" s="248"/>
      <c r="V36" s="340">
        <f t="shared" si="8"/>
        <v>0</v>
      </c>
      <c r="W36" s="344">
        <f t="shared" si="9"/>
        <v>0</v>
      </c>
      <c r="X36" s="249"/>
      <c r="Y36" s="341">
        <f t="shared" si="4"/>
        <v>648000</v>
      </c>
      <c r="Z36" s="342">
        <f t="shared" si="10"/>
        <v>648000</v>
      </c>
      <c r="AA36" s="252"/>
    </row>
    <row r="37" spans="1:27">
      <c r="A37" s="326">
        <v>10</v>
      </c>
      <c r="B37" s="731" t="s">
        <v>3315</v>
      </c>
      <c r="C37" s="179">
        <v>306752675040</v>
      </c>
      <c r="D37" s="386" t="s">
        <v>3320</v>
      </c>
      <c r="E37" s="47" t="s">
        <v>3332</v>
      </c>
      <c r="F37" s="673" t="s">
        <v>2795</v>
      </c>
      <c r="G37" s="167"/>
      <c r="H37" s="167"/>
      <c r="I37" s="154" t="s">
        <v>3383</v>
      </c>
      <c r="J37" s="707" t="s">
        <v>3354</v>
      </c>
      <c r="K37" s="170" t="s">
        <v>3339</v>
      </c>
      <c r="L37" s="705">
        <v>1204</v>
      </c>
      <c r="M37" s="800" t="s">
        <v>2891</v>
      </c>
      <c r="N37" s="158"/>
      <c r="O37" s="150"/>
      <c r="P37" s="248"/>
      <c r="Q37" s="248"/>
      <c r="R37" s="248"/>
      <c r="S37" s="248"/>
      <c r="T37" s="247"/>
      <c r="U37" s="248"/>
      <c r="V37" s="340">
        <f t="shared" si="8"/>
        <v>0</v>
      </c>
      <c r="W37" s="344">
        <f t="shared" si="9"/>
        <v>0</v>
      </c>
      <c r="X37" s="249"/>
      <c r="Y37" s="341">
        <f t="shared" si="4"/>
        <v>648000</v>
      </c>
      <c r="Z37" s="342">
        <f t="shared" si="10"/>
        <v>648000</v>
      </c>
      <c r="AA37" s="252"/>
    </row>
    <row r="38" spans="1:27">
      <c r="A38" s="849">
        <f t="shared" si="3"/>
        <v>11</v>
      </c>
      <c r="B38" s="731" t="s">
        <v>3315</v>
      </c>
      <c r="C38" s="1018">
        <v>306752727100</v>
      </c>
      <c r="D38" s="985" t="s">
        <v>3320</v>
      </c>
      <c r="E38" s="903" t="s">
        <v>3332</v>
      </c>
      <c r="F38" s="673" t="s">
        <v>2795</v>
      </c>
      <c r="G38" s="167"/>
      <c r="H38" s="167"/>
      <c r="I38" s="154" t="s">
        <v>3035</v>
      </c>
      <c r="J38" s="1033" t="s">
        <v>3364</v>
      </c>
      <c r="K38" s="977" t="s">
        <v>3340</v>
      </c>
      <c r="L38" s="1019">
        <v>99</v>
      </c>
      <c r="M38" s="1020" t="s">
        <v>2891</v>
      </c>
      <c r="N38" s="1015" t="s">
        <v>3358</v>
      </c>
      <c r="O38" s="150"/>
      <c r="P38" s="248"/>
      <c r="Q38" s="248"/>
      <c r="R38" s="248"/>
      <c r="S38" s="248"/>
      <c r="T38" s="247"/>
      <c r="U38" s="248"/>
      <c r="V38" s="340">
        <f t="shared" si="8"/>
        <v>0</v>
      </c>
      <c r="W38" s="344">
        <f t="shared" si="9"/>
        <v>0</v>
      </c>
      <c r="X38" s="249"/>
      <c r="Y38" s="341">
        <f t="shared" si="4"/>
        <v>648000</v>
      </c>
      <c r="Z38" s="342">
        <f t="shared" si="10"/>
        <v>648000</v>
      </c>
      <c r="AA38" s="252"/>
    </row>
    <row r="39" spans="1:27">
      <c r="A39" s="849">
        <f t="shared" si="3"/>
        <v>12</v>
      </c>
      <c r="B39" s="731" t="s">
        <v>3345</v>
      </c>
      <c r="C39" s="1018">
        <v>306758762240</v>
      </c>
      <c r="D39" s="985" t="s">
        <v>3345</v>
      </c>
      <c r="E39" s="903" t="s">
        <v>3332</v>
      </c>
      <c r="F39" s="673" t="s">
        <v>2795</v>
      </c>
      <c r="G39" s="167"/>
      <c r="H39" s="167"/>
      <c r="I39" s="154" t="s">
        <v>3035</v>
      </c>
      <c r="J39" s="658" t="s">
        <v>3364</v>
      </c>
      <c r="K39" s="977" t="s">
        <v>3340</v>
      </c>
      <c r="L39" s="1019">
        <v>170</v>
      </c>
      <c r="M39" s="1020" t="s">
        <v>2891</v>
      </c>
      <c r="N39" s="158"/>
      <c r="O39" s="150"/>
      <c r="P39" s="248"/>
      <c r="Q39" s="248"/>
      <c r="R39" s="248"/>
      <c r="S39" s="248"/>
      <c r="T39" s="247"/>
      <c r="U39" s="248"/>
      <c r="V39" s="340">
        <f t="shared" si="8"/>
        <v>0</v>
      </c>
      <c r="W39" s="344">
        <f t="shared" si="9"/>
        <v>0</v>
      </c>
      <c r="X39" s="249"/>
      <c r="Y39" s="341">
        <f>600000*1.08</f>
        <v>648000</v>
      </c>
      <c r="Z39" s="342">
        <f>+Y39+W39+V39</f>
        <v>648000</v>
      </c>
      <c r="AA39" s="883"/>
    </row>
    <row r="40" spans="1:27">
      <c r="A40" s="3781" t="s">
        <v>3330</v>
      </c>
      <c r="B40" s="3782"/>
      <c r="C40" s="3782"/>
      <c r="D40" s="3782"/>
      <c r="E40" s="3782"/>
      <c r="F40" s="3782"/>
      <c r="G40" s="3782"/>
      <c r="H40" s="3782"/>
      <c r="I40" s="3782"/>
      <c r="J40" s="3782"/>
      <c r="K40" s="3782"/>
      <c r="L40" s="3782"/>
      <c r="M40" s="3783"/>
      <c r="N40" s="777"/>
      <c r="O40" s="660"/>
      <c r="P40" s="486"/>
      <c r="Q40" s="486"/>
      <c r="R40" s="248"/>
      <c r="S40" s="248"/>
      <c r="T40" s="247"/>
      <c r="U40" s="248"/>
      <c r="V40" s="486"/>
      <c r="W40" s="489"/>
      <c r="X40" s="490"/>
      <c r="Y40" s="488">
        <f>SUM(Y28:Y39)</f>
        <v>7776000</v>
      </c>
      <c r="Z40" s="491">
        <f>SUM(Z28:Z38)</f>
        <v>7128000</v>
      </c>
      <c r="AA40" s="252"/>
    </row>
    <row r="41" spans="1:27">
      <c r="A41" s="670">
        <v>1</v>
      </c>
      <c r="B41" s="1035" t="s">
        <v>3360</v>
      </c>
      <c r="C41" s="805">
        <v>306781693100</v>
      </c>
      <c r="D41" s="699" t="s">
        <v>3415</v>
      </c>
      <c r="E41" s="903" t="s">
        <v>3561</v>
      </c>
      <c r="F41" s="673" t="s">
        <v>2795</v>
      </c>
      <c r="G41" s="445"/>
      <c r="H41" s="445"/>
      <c r="I41" s="127" t="s">
        <v>2794</v>
      </c>
      <c r="J41" s="707" t="s">
        <v>3432</v>
      </c>
      <c r="K41" s="837" t="s">
        <v>3403</v>
      </c>
      <c r="L41" s="760">
        <v>494</v>
      </c>
      <c r="M41" s="1020" t="s">
        <v>2891</v>
      </c>
      <c r="N41" s="158"/>
      <c r="O41" s="150"/>
      <c r="P41" s="248"/>
      <c r="Q41" s="248"/>
      <c r="R41" s="248"/>
      <c r="S41" s="248"/>
      <c r="T41" s="247"/>
      <c r="U41" s="248"/>
      <c r="V41" s="340">
        <f>Q41+R41+S41+P41+U41</f>
        <v>0</v>
      </c>
      <c r="W41" s="344">
        <f>+T41</f>
        <v>0</v>
      </c>
      <c r="X41" s="249"/>
      <c r="Y41" s="341">
        <f t="shared" ref="Y41:Y107" si="11">600000*1.08</f>
        <v>648000</v>
      </c>
      <c r="Z41" s="342">
        <f>+Y41+W41+V41</f>
        <v>648000</v>
      </c>
      <c r="AA41" s="252"/>
    </row>
    <row r="42" spans="1:27">
      <c r="A42" s="326">
        <f t="shared" si="3"/>
        <v>2</v>
      </c>
      <c r="B42" s="1035" t="s">
        <v>3360</v>
      </c>
      <c r="C42" s="179">
        <v>306781970520</v>
      </c>
      <c r="D42" s="386" t="s">
        <v>3434</v>
      </c>
      <c r="E42" s="903" t="s">
        <v>3561</v>
      </c>
      <c r="F42" s="673" t="s">
        <v>2795</v>
      </c>
      <c r="G42" s="167"/>
      <c r="H42" s="167"/>
      <c r="I42" s="46" t="s">
        <v>2796</v>
      </c>
      <c r="J42" s="707" t="s">
        <v>3433</v>
      </c>
      <c r="K42" s="837" t="s">
        <v>3404</v>
      </c>
      <c r="L42" s="760">
        <v>753</v>
      </c>
      <c r="M42" s="1020" t="s">
        <v>2891</v>
      </c>
      <c r="N42" s="158"/>
      <c r="O42" s="150"/>
      <c r="P42" s="248"/>
      <c r="Q42" s="248"/>
      <c r="R42" s="248"/>
      <c r="S42" s="248"/>
      <c r="T42" s="247"/>
      <c r="U42" s="248"/>
      <c r="V42" s="340">
        <f t="shared" ref="V42:V56" si="12">Q42+R42+S42+P42+U42</f>
        <v>0</v>
      </c>
      <c r="W42" s="344">
        <f t="shared" ref="W42:W56" si="13">+T42</f>
        <v>0</v>
      </c>
      <c r="X42" s="249"/>
      <c r="Y42" s="341">
        <f t="shared" si="11"/>
        <v>648000</v>
      </c>
      <c r="Z42" s="342">
        <f t="shared" ref="Z42:Z103" si="14">+Y42+W42+V42</f>
        <v>648000</v>
      </c>
      <c r="AA42" s="252"/>
    </row>
    <row r="43" spans="1:27">
      <c r="A43" s="326">
        <f t="shared" si="3"/>
        <v>3</v>
      </c>
      <c r="B43" s="1037" t="s">
        <v>3422</v>
      </c>
      <c r="C43" s="179">
        <v>306786320210</v>
      </c>
      <c r="D43" s="386" t="s">
        <v>3434</v>
      </c>
      <c r="E43" s="903" t="s">
        <v>3561</v>
      </c>
      <c r="F43" s="673" t="s">
        <v>2795</v>
      </c>
      <c r="G43" s="167"/>
      <c r="H43" s="167"/>
      <c r="I43" s="154" t="s">
        <v>3383</v>
      </c>
      <c r="J43" s="707" t="s">
        <v>3435</v>
      </c>
      <c r="K43" s="170" t="s">
        <v>3421</v>
      </c>
      <c r="L43" s="760">
        <v>1514</v>
      </c>
      <c r="M43" s="1020" t="s">
        <v>2891</v>
      </c>
      <c r="N43" s="158"/>
      <c r="O43" s="150"/>
      <c r="P43" s="248"/>
      <c r="Q43" s="248"/>
      <c r="R43" s="248"/>
      <c r="S43" s="248"/>
      <c r="T43" s="247"/>
      <c r="U43" s="248"/>
      <c r="V43" s="340">
        <f t="shared" si="12"/>
        <v>0</v>
      </c>
      <c r="W43" s="344">
        <f t="shared" si="13"/>
        <v>0</v>
      </c>
      <c r="X43" s="249"/>
      <c r="Y43" s="341">
        <f t="shared" si="11"/>
        <v>648000</v>
      </c>
      <c r="Z43" s="342">
        <f t="shared" si="14"/>
        <v>648000</v>
      </c>
      <c r="AA43" s="252"/>
    </row>
    <row r="44" spans="1:27">
      <c r="A44" s="326">
        <f t="shared" si="3"/>
        <v>4</v>
      </c>
      <c r="B44" s="731" t="s">
        <v>3412</v>
      </c>
      <c r="C44" s="179">
        <v>306798779950</v>
      </c>
      <c r="D44" s="3769" t="s">
        <v>3462</v>
      </c>
      <c r="E44" s="903" t="s">
        <v>3561</v>
      </c>
      <c r="F44" s="673" t="s">
        <v>2795</v>
      </c>
      <c r="G44" s="167"/>
      <c r="H44" s="167"/>
      <c r="I44" s="3767" t="s">
        <v>3383</v>
      </c>
      <c r="J44" s="707" t="s">
        <v>3481</v>
      </c>
      <c r="K44" s="170" t="s">
        <v>3446</v>
      </c>
      <c r="L44" s="705">
        <v>677</v>
      </c>
      <c r="M44" s="1020" t="s">
        <v>2891</v>
      </c>
      <c r="N44" s="158"/>
      <c r="O44" s="150"/>
      <c r="P44" s="248"/>
      <c r="Q44" s="248"/>
      <c r="R44" s="248"/>
      <c r="S44" s="248"/>
      <c r="T44" s="247"/>
      <c r="U44" s="248"/>
      <c r="V44" s="340">
        <f t="shared" si="12"/>
        <v>0</v>
      </c>
      <c r="W44" s="344">
        <f t="shared" si="13"/>
        <v>0</v>
      </c>
      <c r="X44" s="249"/>
      <c r="Y44" s="341">
        <f t="shared" si="11"/>
        <v>648000</v>
      </c>
      <c r="Z44" s="342">
        <f t="shared" si="14"/>
        <v>648000</v>
      </c>
      <c r="AA44" s="252"/>
    </row>
    <row r="45" spans="1:27">
      <c r="A45" s="326">
        <f t="shared" si="3"/>
        <v>5</v>
      </c>
      <c r="B45" s="731" t="s">
        <v>3412</v>
      </c>
      <c r="C45" s="179">
        <v>306798808910</v>
      </c>
      <c r="D45" s="3771"/>
      <c r="E45" s="903" t="s">
        <v>3561</v>
      </c>
      <c r="F45" s="673" t="s">
        <v>2795</v>
      </c>
      <c r="G45" s="167"/>
      <c r="H45" s="167"/>
      <c r="I45" s="3768"/>
      <c r="J45" s="707" t="s">
        <v>3482</v>
      </c>
      <c r="K45" s="170" t="s">
        <v>3447</v>
      </c>
      <c r="L45" s="705">
        <v>486</v>
      </c>
      <c r="M45" s="1020" t="s">
        <v>2891</v>
      </c>
      <c r="N45" s="158"/>
      <c r="O45" s="150"/>
      <c r="P45" s="248"/>
      <c r="Q45" s="248"/>
      <c r="R45" s="248"/>
      <c r="S45" s="248"/>
      <c r="T45" s="247"/>
      <c r="U45" s="248"/>
      <c r="V45" s="340">
        <f t="shared" si="12"/>
        <v>0</v>
      </c>
      <c r="W45" s="344">
        <f t="shared" si="13"/>
        <v>0</v>
      </c>
      <c r="X45" s="249"/>
      <c r="Y45" s="341">
        <f t="shared" si="11"/>
        <v>648000</v>
      </c>
      <c r="Z45" s="342">
        <f t="shared" si="14"/>
        <v>648000</v>
      </c>
      <c r="AA45" s="252"/>
    </row>
    <row r="46" spans="1:27">
      <c r="A46" s="326">
        <f t="shared" si="3"/>
        <v>6</v>
      </c>
      <c r="B46" s="731" t="s">
        <v>3424</v>
      </c>
      <c r="C46" s="179">
        <v>306799810500</v>
      </c>
      <c r="D46" s="386" t="s">
        <v>3450</v>
      </c>
      <c r="E46" s="903" t="s">
        <v>3561</v>
      </c>
      <c r="F46" s="673" t="s">
        <v>2795</v>
      </c>
      <c r="G46" s="167"/>
      <c r="H46" s="167"/>
      <c r="I46" s="46" t="s">
        <v>2796</v>
      </c>
      <c r="J46" s="707" t="s">
        <v>3483</v>
      </c>
      <c r="K46" s="837" t="s">
        <v>3448</v>
      </c>
      <c r="L46" s="760">
        <v>1115</v>
      </c>
      <c r="M46" s="1020" t="s">
        <v>2891</v>
      </c>
      <c r="N46" s="158"/>
      <c r="O46" s="150"/>
      <c r="P46" s="248"/>
      <c r="Q46" s="248"/>
      <c r="R46" s="248"/>
      <c r="S46" s="248"/>
      <c r="T46" s="247"/>
      <c r="U46" s="248"/>
      <c r="V46" s="340">
        <f t="shared" si="12"/>
        <v>0</v>
      </c>
      <c r="W46" s="344">
        <f t="shared" si="13"/>
        <v>0</v>
      </c>
      <c r="X46" s="249"/>
      <c r="Y46" s="341">
        <f t="shared" si="11"/>
        <v>648000</v>
      </c>
      <c r="Z46" s="342">
        <f t="shared" si="14"/>
        <v>648000</v>
      </c>
      <c r="AA46" s="252"/>
    </row>
    <row r="47" spans="1:27">
      <c r="A47" s="326">
        <f t="shared" si="3"/>
        <v>7</v>
      </c>
      <c r="B47" s="3763" t="s">
        <v>3489</v>
      </c>
      <c r="C47" s="179">
        <v>306816248820</v>
      </c>
      <c r="D47" s="3769" t="s">
        <v>3507</v>
      </c>
      <c r="E47" s="903" t="s">
        <v>3561</v>
      </c>
      <c r="F47" s="673" t="s">
        <v>2795</v>
      </c>
      <c r="G47" s="167"/>
      <c r="H47" s="167"/>
      <c r="I47" s="3767" t="s">
        <v>3383</v>
      </c>
      <c r="J47" s="707" t="s">
        <v>3523</v>
      </c>
      <c r="K47" s="170" t="s">
        <v>3503</v>
      </c>
      <c r="L47" s="760">
        <v>270</v>
      </c>
      <c r="M47" s="1020" t="s">
        <v>2891</v>
      </c>
      <c r="N47" s="158"/>
      <c r="O47" s="150"/>
      <c r="P47" s="248"/>
      <c r="Q47" s="248"/>
      <c r="R47" s="248"/>
      <c r="S47" s="248"/>
      <c r="T47" s="247"/>
      <c r="U47" s="248"/>
      <c r="V47" s="340">
        <f t="shared" si="12"/>
        <v>0</v>
      </c>
      <c r="W47" s="344">
        <f t="shared" si="13"/>
        <v>0</v>
      </c>
      <c r="X47" s="249"/>
      <c r="Y47" s="341">
        <f t="shared" si="11"/>
        <v>648000</v>
      </c>
      <c r="Z47" s="342">
        <f t="shared" si="14"/>
        <v>648000</v>
      </c>
      <c r="AA47" s="252"/>
    </row>
    <row r="48" spans="1:27">
      <c r="A48" s="326">
        <f t="shared" si="3"/>
        <v>8</v>
      </c>
      <c r="B48" s="3757"/>
      <c r="C48" s="179">
        <v>306816259910</v>
      </c>
      <c r="D48" s="3770"/>
      <c r="E48" s="903" t="s">
        <v>3561</v>
      </c>
      <c r="F48" s="673" t="s">
        <v>2795</v>
      </c>
      <c r="G48" s="167"/>
      <c r="H48" s="167"/>
      <c r="I48" s="3760"/>
      <c r="J48" s="707" t="s">
        <v>3524</v>
      </c>
      <c r="K48" s="170" t="s">
        <v>3504</v>
      </c>
      <c r="L48" s="760">
        <v>623</v>
      </c>
      <c r="M48" s="1020" t="s">
        <v>2891</v>
      </c>
      <c r="N48" s="158"/>
      <c r="O48" s="150"/>
      <c r="P48" s="248"/>
      <c r="Q48" s="248"/>
      <c r="R48" s="248"/>
      <c r="S48" s="248"/>
      <c r="T48" s="247"/>
      <c r="U48" s="248"/>
      <c r="V48" s="340">
        <f t="shared" si="12"/>
        <v>0</v>
      </c>
      <c r="W48" s="344">
        <f t="shared" si="13"/>
        <v>0</v>
      </c>
      <c r="X48" s="249"/>
      <c r="Y48" s="341">
        <f t="shared" si="11"/>
        <v>648000</v>
      </c>
      <c r="Z48" s="342">
        <f t="shared" si="14"/>
        <v>648000</v>
      </c>
      <c r="AA48" s="252"/>
    </row>
    <row r="49" spans="1:28">
      <c r="A49" s="326">
        <f t="shared" si="3"/>
        <v>9</v>
      </c>
      <c r="B49" s="3758"/>
      <c r="C49" s="179">
        <v>306816269230</v>
      </c>
      <c r="D49" s="3771"/>
      <c r="E49" s="903" t="s">
        <v>3561</v>
      </c>
      <c r="F49" s="673" t="s">
        <v>2795</v>
      </c>
      <c r="G49" s="167"/>
      <c r="H49" s="167"/>
      <c r="I49" s="3768"/>
      <c r="J49" s="707" t="s">
        <v>3525</v>
      </c>
      <c r="K49" s="170" t="s">
        <v>3505</v>
      </c>
      <c r="L49" s="760">
        <v>297</v>
      </c>
      <c r="M49" s="1020" t="s">
        <v>2891</v>
      </c>
      <c r="N49" s="158"/>
      <c r="O49" s="150"/>
      <c r="P49" s="248"/>
      <c r="Q49" s="248"/>
      <c r="R49" s="248"/>
      <c r="S49" s="248"/>
      <c r="T49" s="247"/>
      <c r="U49" s="248"/>
      <c r="V49" s="340">
        <f t="shared" si="12"/>
        <v>0</v>
      </c>
      <c r="W49" s="344">
        <f t="shared" si="13"/>
        <v>0</v>
      </c>
      <c r="X49" s="249"/>
      <c r="Y49" s="341">
        <f t="shared" si="11"/>
        <v>648000</v>
      </c>
      <c r="Z49" s="342">
        <f t="shared" si="14"/>
        <v>648000</v>
      </c>
      <c r="AA49" s="252"/>
    </row>
    <row r="50" spans="1:28">
      <c r="A50" s="326">
        <f t="shared" si="3"/>
        <v>10</v>
      </c>
      <c r="B50" s="731" t="s">
        <v>3490</v>
      </c>
      <c r="C50" s="179">
        <v>306817016500</v>
      </c>
      <c r="D50" s="386" t="s">
        <v>3508</v>
      </c>
      <c r="E50" s="903" t="s">
        <v>3561</v>
      </c>
      <c r="F50" s="673" t="s">
        <v>2795</v>
      </c>
      <c r="G50" s="167"/>
      <c r="H50" s="167"/>
      <c r="I50" s="127" t="s">
        <v>2794</v>
      </c>
      <c r="J50" s="707" t="s">
        <v>3510</v>
      </c>
      <c r="K50" s="837" t="s">
        <v>3509</v>
      </c>
      <c r="L50" s="760">
        <v>465</v>
      </c>
      <c r="M50" s="1020" t="s">
        <v>2891</v>
      </c>
      <c r="N50" s="158"/>
      <c r="O50" s="150"/>
      <c r="P50" s="248"/>
      <c r="Q50" s="248"/>
      <c r="R50" s="248"/>
      <c r="S50" s="248"/>
      <c r="T50" s="247"/>
      <c r="U50" s="248"/>
      <c r="V50" s="340">
        <f t="shared" si="12"/>
        <v>0</v>
      </c>
      <c r="W50" s="344">
        <f t="shared" si="13"/>
        <v>0</v>
      </c>
      <c r="X50" s="249"/>
      <c r="Y50" s="341">
        <f t="shared" si="11"/>
        <v>648000</v>
      </c>
      <c r="Z50" s="342">
        <f t="shared" si="14"/>
        <v>648000</v>
      </c>
      <c r="AA50" s="252"/>
    </row>
    <row r="51" spans="1:28">
      <c r="A51" s="326">
        <f t="shared" si="3"/>
        <v>11</v>
      </c>
      <c r="B51" s="3763" t="s">
        <v>3507</v>
      </c>
      <c r="C51" s="179" t="s">
        <v>3533</v>
      </c>
      <c r="D51" s="3769" t="s">
        <v>3529</v>
      </c>
      <c r="E51" s="903" t="s">
        <v>3561</v>
      </c>
      <c r="F51" s="673" t="s">
        <v>2795</v>
      </c>
      <c r="G51" s="167"/>
      <c r="H51" s="167"/>
      <c r="I51" s="3767" t="s">
        <v>3383</v>
      </c>
      <c r="J51" s="707" t="s">
        <v>3555</v>
      </c>
      <c r="K51" s="170" t="s">
        <v>3530</v>
      </c>
      <c r="L51" s="760">
        <v>66406</v>
      </c>
      <c r="M51" s="1020" t="s">
        <v>2891</v>
      </c>
      <c r="N51" s="158"/>
      <c r="O51" s="150"/>
      <c r="P51" s="248"/>
      <c r="Q51" s="248"/>
      <c r="R51" s="248"/>
      <c r="S51" s="248"/>
      <c r="T51" s="247"/>
      <c r="U51" s="248"/>
      <c r="V51" s="340">
        <f t="shared" si="12"/>
        <v>0</v>
      </c>
      <c r="W51" s="344">
        <f t="shared" si="13"/>
        <v>0</v>
      </c>
      <c r="X51" s="249"/>
      <c r="Y51" s="341">
        <f t="shared" si="11"/>
        <v>648000</v>
      </c>
      <c r="Z51" s="342">
        <f t="shared" si="14"/>
        <v>648000</v>
      </c>
      <c r="AA51" s="252"/>
    </row>
    <row r="52" spans="1:28">
      <c r="A52" s="326">
        <f t="shared" si="3"/>
        <v>12</v>
      </c>
      <c r="B52" s="3757"/>
      <c r="C52" s="179" t="s">
        <v>3534</v>
      </c>
      <c r="D52" s="3770"/>
      <c r="E52" s="903" t="s">
        <v>3561</v>
      </c>
      <c r="F52" s="673" t="s">
        <v>2795</v>
      </c>
      <c r="G52" s="167"/>
      <c r="H52" s="167"/>
      <c r="I52" s="3760"/>
      <c r="J52" s="707" t="s">
        <v>3556</v>
      </c>
      <c r="K52" s="170" t="s">
        <v>3531</v>
      </c>
      <c r="L52" s="760">
        <v>61334</v>
      </c>
      <c r="M52" s="1020" t="s">
        <v>2891</v>
      </c>
      <c r="N52" s="158"/>
      <c r="O52" s="150"/>
      <c r="P52" s="248"/>
      <c r="Q52" s="248"/>
      <c r="R52" s="248"/>
      <c r="S52" s="248"/>
      <c r="T52" s="247"/>
      <c r="U52" s="248"/>
      <c r="V52" s="340">
        <f t="shared" si="12"/>
        <v>0</v>
      </c>
      <c r="W52" s="344">
        <f t="shared" si="13"/>
        <v>0</v>
      </c>
      <c r="X52" s="249"/>
      <c r="Y52" s="341">
        <f t="shared" si="11"/>
        <v>648000</v>
      </c>
      <c r="Z52" s="342">
        <f t="shared" si="14"/>
        <v>648000</v>
      </c>
      <c r="AA52" s="252"/>
    </row>
    <row r="53" spans="1:28">
      <c r="A53" s="326">
        <f t="shared" si="3"/>
        <v>13</v>
      </c>
      <c r="B53" s="3758"/>
      <c r="C53" s="179" t="s">
        <v>3535</v>
      </c>
      <c r="D53" s="3771"/>
      <c r="E53" s="903" t="s">
        <v>3561</v>
      </c>
      <c r="F53" s="673" t="s">
        <v>2795</v>
      </c>
      <c r="G53" s="167"/>
      <c r="H53" s="167"/>
      <c r="I53" s="3768"/>
      <c r="J53" s="707" t="s">
        <v>3557</v>
      </c>
      <c r="K53" s="170" t="s">
        <v>3532</v>
      </c>
      <c r="L53" s="760">
        <v>52503</v>
      </c>
      <c r="M53" s="1020" t="s">
        <v>2891</v>
      </c>
      <c r="N53" s="158"/>
      <c r="O53" s="150"/>
      <c r="P53" s="248"/>
      <c r="Q53" s="248"/>
      <c r="R53" s="248"/>
      <c r="S53" s="248"/>
      <c r="T53" s="247"/>
      <c r="U53" s="248"/>
      <c r="V53" s="340">
        <f t="shared" si="12"/>
        <v>0</v>
      </c>
      <c r="W53" s="344">
        <f t="shared" si="13"/>
        <v>0</v>
      </c>
      <c r="X53" s="249"/>
      <c r="Y53" s="341">
        <f t="shared" si="11"/>
        <v>648000</v>
      </c>
      <c r="Z53" s="342">
        <f t="shared" si="14"/>
        <v>648000</v>
      </c>
      <c r="AA53" s="252"/>
    </row>
    <row r="54" spans="1:28">
      <c r="A54" s="64">
        <f>+A53+1</f>
        <v>14</v>
      </c>
      <c r="B54" s="729" t="s">
        <v>3507</v>
      </c>
      <c r="C54" s="1079">
        <v>306830800420</v>
      </c>
      <c r="D54" s="69" t="s">
        <v>3539</v>
      </c>
      <c r="E54" s="1097" t="s">
        <v>3561</v>
      </c>
      <c r="F54" s="1098" t="s">
        <v>2795</v>
      </c>
      <c r="G54" s="728"/>
      <c r="H54" s="167"/>
      <c r="I54" s="1093" t="s">
        <v>2796</v>
      </c>
      <c r="J54" s="1094" t="s">
        <v>3564</v>
      </c>
      <c r="K54" s="1078" t="s">
        <v>3548</v>
      </c>
      <c r="L54" s="1095">
        <v>358</v>
      </c>
      <c r="M54" s="1096" t="s">
        <v>2891</v>
      </c>
      <c r="N54" s="1080"/>
      <c r="O54" s="1081"/>
      <c r="P54" s="1082"/>
      <c r="Q54" s="1082"/>
      <c r="R54" s="1082"/>
      <c r="S54" s="1082"/>
      <c r="T54" s="1083"/>
      <c r="U54" s="1082"/>
      <c r="V54" s="340">
        <f t="shared" si="12"/>
        <v>0</v>
      </c>
      <c r="W54" s="344">
        <f t="shared" si="13"/>
        <v>0</v>
      </c>
      <c r="X54" s="1084"/>
      <c r="Y54" s="341">
        <f t="shared" si="11"/>
        <v>648000</v>
      </c>
      <c r="Z54" s="342">
        <f t="shared" si="14"/>
        <v>648000</v>
      </c>
      <c r="AA54" s="1085"/>
    </row>
    <row r="55" spans="1:28" s="1119" customFormat="1">
      <c r="A55" s="1116">
        <v>16</v>
      </c>
      <c r="B55" s="1116" t="s">
        <v>3539</v>
      </c>
      <c r="C55" s="1120">
        <v>306838707140</v>
      </c>
      <c r="D55" s="1118" t="s">
        <v>3542</v>
      </c>
      <c r="E55" s="1106" t="s">
        <v>3561</v>
      </c>
      <c r="F55" s="1107" t="s">
        <v>2795</v>
      </c>
      <c r="G55" s="1117"/>
      <c r="H55" s="1117"/>
      <c r="I55" s="154" t="s">
        <v>3035</v>
      </c>
      <c r="J55" s="1094" t="s">
        <v>3895</v>
      </c>
      <c r="K55" s="1109" t="s">
        <v>3894</v>
      </c>
      <c r="L55" s="1110">
        <v>114</v>
      </c>
      <c r="M55" s="1096" t="s">
        <v>2891</v>
      </c>
      <c r="N55" s="1117"/>
      <c r="O55" s="1117"/>
      <c r="P55" s="1070"/>
      <c r="Q55" s="1070"/>
      <c r="R55" s="1070"/>
      <c r="S55" s="1070"/>
      <c r="T55" s="1071"/>
      <c r="U55" s="1070"/>
      <c r="V55" s="340">
        <f t="shared" si="12"/>
        <v>0</v>
      </c>
      <c r="W55" s="344">
        <f t="shared" si="13"/>
        <v>0</v>
      </c>
      <c r="X55" s="1073"/>
      <c r="Y55" s="341">
        <f t="shared" si="11"/>
        <v>648000</v>
      </c>
      <c r="Z55" s="342">
        <f t="shared" si="14"/>
        <v>648000</v>
      </c>
      <c r="AA55" s="1074"/>
      <c r="AB55" s="1108"/>
    </row>
    <row r="56" spans="1:28" s="1115" customFormat="1">
      <c r="A56" s="1116">
        <v>15</v>
      </c>
      <c r="B56" s="1128" t="s">
        <v>3539</v>
      </c>
      <c r="C56" s="1120">
        <v>306838281540</v>
      </c>
      <c r="D56" s="1129" t="s">
        <v>3553</v>
      </c>
      <c r="E56" s="1106" t="s">
        <v>3561</v>
      </c>
      <c r="F56" s="1107" t="s">
        <v>2795</v>
      </c>
      <c r="G56" s="1117"/>
      <c r="H56" s="1117"/>
      <c r="I56" s="1108" t="s">
        <v>2796</v>
      </c>
      <c r="J56" s="1130" t="s">
        <v>3903</v>
      </c>
      <c r="K56" s="1109" t="s">
        <v>3565</v>
      </c>
      <c r="L56" s="1110">
        <v>826</v>
      </c>
      <c r="M56" s="1131" t="s">
        <v>2891</v>
      </c>
      <c r="N56" s="1117"/>
      <c r="O56" s="1117"/>
      <c r="P56" s="1111"/>
      <c r="Q56" s="1111"/>
      <c r="R56" s="1111"/>
      <c r="S56" s="1111"/>
      <c r="T56" s="1112"/>
      <c r="U56" s="1111"/>
      <c r="V56" s="340">
        <f t="shared" si="12"/>
        <v>0</v>
      </c>
      <c r="W56" s="344">
        <f t="shared" si="13"/>
        <v>0</v>
      </c>
      <c r="X56" s="1113"/>
      <c r="Y56" s="341">
        <f t="shared" si="11"/>
        <v>648000</v>
      </c>
      <c r="Z56" s="342">
        <f t="shared" si="14"/>
        <v>648000</v>
      </c>
      <c r="AA56" s="1114"/>
      <c r="AB56" s="1102"/>
    </row>
    <row r="57" spans="1:28">
      <c r="A57" s="3775" t="s">
        <v>3560</v>
      </c>
      <c r="B57" s="3776"/>
      <c r="C57" s="3776"/>
      <c r="D57" s="3776"/>
      <c r="E57" s="3776"/>
      <c r="F57" s="3776"/>
      <c r="G57" s="3776"/>
      <c r="H57" s="3776"/>
      <c r="I57" s="3776"/>
      <c r="J57" s="3776"/>
      <c r="K57" s="3776"/>
      <c r="L57" s="3776"/>
      <c r="M57" s="3777"/>
      <c r="N57" s="1086"/>
      <c r="O57" s="1087"/>
      <c r="P57" s="1088"/>
      <c r="Q57" s="1088"/>
      <c r="R57" s="425"/>
      <c r="S57" s="425"/>
      <c r="T57" s="426"/>
      <c r="U57" s="425"/>
      <c r="V57" s="1088"/>
      <c r="W57" s="1089"/>
      <c r="X57" s="1090"/>
      <c r="Y57" s="1091">
        <f>SUM(Y43:Y54)</f>
        <v>7776000</v>
      </c>
      <c r="Z57" s="1092">
        <f>SUM(Z43:Z53)</f>
        <v>7128000</v>
      </c>
      <c r="AA57" s="808"/>
    </row>
    <row r="58" spans="1:28">
      <c r="A58" s="326">
        <v>1</v>
      </c>
      <c r="B58" s="731" t="s">
        <v>3933</v>
      </c>
      <c r="C58" s="1120">
        <v>306854337000</v>
      </c>
      <c r="D58" s="46" t="s">
        <v>3921</v>
      </c>
      <c r="E58" s="47" t="s">
        <v>4036</v>
      </c>
      <c r="F58" s="1107" t="s">
        <v>2795</v>
      </c>
      <c r="G58" s="167"/>
      <c r="H58" s="167"/>
      <c r="I58" s="1108" t="s">
        <v>2796</v>
      </c>
      <c r="J58" s="1130" t="s">
        <v>3935</v>
      </c>
      <c r="K58" s="1109" t="s">
        <v>3932</v>
      </c>
      <c r="L58" s="1110">
        <v>3216</v>
      </c>
      <c r="M58" s="1131" t="s">
        <v>2891</v>
      </c>
      <c r="N58" s="158"/>
      <c r="O58" s="150"/>
      <c r="P58" s="248"/>
      <c r="Q58" s="248"/>
      <c r="R58" s="248"/>
      <c r="S58" s="248"/>
      <c r="T58" s="247"/>
      <c r="U58" s="248"/>
      <c r="V58" s="340">
        <f>Q58+R58+S58+P58+U58</f>
        <v>0</v>
      </c>
      <c r="W58" s="344">
        <f>+T58</f>
        <v>0</v>
      </c>
      <c r="X58" s="249"/>
      <c r="Y58" s="341">
        <f t="shared" si="11"/>
        <v>648000</v>
      </c>
      <c r="Z58" s="342">
        <f t="shared" si="14"/>
        <v>648000</v>
      </c>
      <c r="AA58" s="252"/>
    </row>
    <row r="59" spans="1:28">
      <c r="A59" s="326">
        <v>2</v>
      </c>
      <c r="B59" s="729" t="s">
        <v>3923</v>
      </c>
      <c r="C59" s="179">
        <v>306864047250</v>
      </c>
      <c r="D59" s="46" t="s">
        <v>3923</v>
      </c>
      <c r="E59" s="47" t="s">
        <v>4036</v>
      </c>
      <c r="F59" s="1107" t="s">
        <v>2795</v>
      </c>
      <c r="G59" s="167"/>
      <c r="H59" s="167"/>
      <c r="I59" s="127" t="s">
        <v>2794</v>
      </c>
      <c r="J59" s="1130" t="s">
        <v>3952</v>
      </c>
      <c r="K59" s="837" t="s">
        <v>3950</v>
      </c>
      <c r="L59" s="1110">
        <v>355</v>
      </c>
      <c r="M59" s="1131" t="s">
        <v>2891</v>
      </c>
      <c r="N59" s="158"/>
      <c r="O59" s="150"/>
      <c r="P59" s="248"/>
      <c r="Q59" s="248"/>
      <c r="R59" s="248"/>
      <c r="S59" s="248"/>
      <c r="T59" s="247"/>
      <c r="U59" s="248"/>
      <c r="V59" s="340">
        <f t="shared" ref="V59:V74" si="15">Q59+R59+S59+P59+U59</f>
        <v>0</v>
      </c>
      <c r="W59" s="344">
        <f t="shared" ref="W59:W74" si="16">+T59</f>
        <v>0</v>
      </c>
      <c r="X59" s="249"/>
      <c r="Y59" s="341">
        <f t="shared" si="11"/>
        <v>648000</v>
      </c>
      <c r="Z59" s="342">
        <f t="shared" si="14"/>
        <v>648000</v>
      </c>
      <c r="AA59" s="252"/>
    </row>
    <row r="60" spans="1:28">
      <c r="A60" s="326">
        <f>+A63+1</f>
        <v>6</v>
      </c>
      <c r="B60" s="729" t="s">
        <v>3934</v>
      </c>
      <c r="C60" s="179">
        <v>306866633310</v>
      </c>
      <c r="D60" s="386" t="s">
        <v>3961</v>
      </c>
      <c r="E60" s="47" t="s">
        <v>4036</v>
      </c>
      <c r="F60" s="1107" t="s">
        <v>2795</v>
      </c>
      <c r="G60" s="167"/>
      <c r="H60" s="167"/>
      <c r="I60" s="1108" t="s">
        <v>2796</v>
      </c>
      <c r="J60" s="1130" t="s">
        <v>3960</v>
      </c>
      <c r="K60" s="1109" t="s">
        <v>3951</v>
      </c>
      <c r="L60" s="1110">
        <v>1022</v>
      </c>
      <c r="M60" s="1131" t="s">
        <v>2891</v>
      </c>
      <c r="N60" s="158"/>
      <c r="O60" s="150"/>
      <c r="P60" s="248"/>
      <c r="Q60" s="248"/>
      <c r="R60" s="248"/>
      <c r="S60" s="248"/>
      <c r="T60" s="247"/>
      <c r="U60" s="248"/>
      <c r="V60" s="340">
        <f t="shared" si="15"/>
        <v>0</v>
      </c>
      <c r="W60" s="344">
        <f t="shared" si="16"/>
        <v>0</v>
      </c>
      <c r="X60" s="249"/>
      <c r="Y60" s="341">
        <f t="shared" si="11"/>
        <v>648000</v>
      </c>
      <c r="Z60" s="342">
        <f t="shared" si="14"/>
        <v>648000</v>
      </c>
      <c r="AA60" s="252"/>
    </row>
    <row r="61" spans="1:28">
      <c r="A61" s="326">
        <v>3</v>
      </c>
      <c r="B61" s="3756" t="s">
        <v>3915</v>
      </c>
      <c r="C61" s="1120">
        <v>306861229900</v>
      </c>
      <c r="D61" s="386" t="s">
        <v>3965</v>
      </c>
      <c r="E61" s="47" t="s">
        <v>4036</v>
      </c>
      <c r="F61" s="1107" t="s">
        <v>2795</v>
      </c>
      <c r="G61" s="167"/>
      <c r="H61" s="167"/>
      <c r="I61" s="3759" t="s">
        <v>3383</v>
      </c>
      <c r="J61" s="1130" t="s">
        <v>3968</v>
      </c>
      <c r="K61" s="170" t="s">
        <v>3937</v>
      </c>
      <c r="L61" s="1110">
        <v>391</v>
      </c>
      <c r="M61" s="1131" t="s">
        <v>2891</v>
      </c>
      <c r="N61" s="158"/>
      <c r="O61" s="150"/>
      <c r="P61" s="248"/>
      <c r="Q61" s="248"/>
      <c r="R61" s="248"/>
      <c r="S61" s="248"/>
      <c r="T61" s="247"/>
      <c r="U61" s="248"/>
      <c r="V61" s="340">
        <f t="shared" si="15"/>
        <v>0</v>
      </c>
      <c r="W61" s="344">
        <f t="shared" si="16"/>
        <v>0</v>
      </c>
      <c r="X61" s="249"/>
      <c r="Y61" s="341">
        <f t="shared" si="11"/>
        <v>648000</v>
      </c>
      <c r="Z61" s="342">
        <f t="shared" si="14"/>
        <v>648000</v>
      </c>
      <c r="AA61" s="252"/>
    </row>
    <row r="62" spans="1:28">
      <c r="A62" s="326">
        <f t="shared" si="3"/>
        <v>4</v>
      </c>
      <c r="B62" s="3757"/>
      <c r="C62" s="1120">
        <v>306861274660</v>
      </c>
      <c r="D62" s="386" t="s">
        <v>3965</v>
      </c>
      <c r="E62" s="47" t="s">
        <v>4036</v>
      </c>
      <c r="F62" s="1107" t="s">
        <v>2795</v>
      </c>
      <c r="G62" s="167"/>
      <c r="H62" s="167"/>
      <c r="I62" s="3760"/>
      <c r="J62" s="1130" t="s">
        <v>3969</v>
      </c>
      <c r="K62" s="170" t="s">
        <v>3938</v>
      </c>
      <c r="L62" s="1110">
        <v>351</v>
      </c>
      <c r="M62" s="1131" t="s">
        <v>2891</v>
      </c>
      <c r="N62" s="158"/>
      <c r="O62" s="150"/>
      <c r="P62" s="248"/>
      <c r="Q62" s="248"/>
      <c r="R62" s="248"/>
      <c r="S62" s="248"/>
      <c r="T62" s="247"/>
      <c r="U62" s="248"/>
      <c r="V62" s="340">
        <f t="shared" si="15"/>
        <v>0</v>
      </c>
      <c r="W62" s="344">
        <f t="shared" si="16"/>
        <v>0</v>
      </c>
      <c r="X62" s="249"/>
      <c r="Y62" s="341">
        <f t="shared" si="11"/>
        <v>648000</v>
      </c>
      <c r="Z62" s="342">
        <f t="shared" si="14"/>
        <v>648000</v>
      </c>
      <c r="AA62" s="252"/>
    </row>
    <row r="63" spans="1:28">
      <c r="A63" s="326">
        <f t="shared" si="3"/>
        <v>5</v>
      </c>
      <c r="B63" s="3758"/>
      <c r="C63" s="1120">
        <v>306861326830</v>
      </c>
      <c r="D63" s="386" t="s">
        <v>3965</v>
      </c>
      <c r="E63" s="47" t="s">
        <v>4036</v>
      </c>
      <c r="F63" s="1107" t="s">
        <v>2795</v>
      </c>
      <c r="G63" s="167"/>
      <c r="H63" s="167"/>
      <c r="I63" s="3761"/>
      <c r="J63" s="1130" t="s">
        <v>3970</v>
      </c>
      <c r="K63" s="170" t="s">
        <v>3939</v>
      </c>
      <c r="L63" s="1110">
        <v>189</v>
      </c>
      <c r="M63" s="1131" t="s">
        <v>2891</v>
      </c>
      <c r="N63" s="158"/>
      <c r="O63" s="150"/>
      <c r="P63" s="248"/>
      <c r="Q63" s="248"/>
      <c r="R63" s="248"/>
      <c r="S63" s="248"/>
      <c r="T63" s="247"/>
      <c r="U63" s="248"/>
      <c r="V63" s="340">
        <f t="shared" si="15"/>
        <v>0</v>
      </c>
      <c r="W63" s="344">
        <f t="shared" si="16"/>
        <v>0</v>
      </c>
      <c r="X63" s="249"/>
      <c r="Y63" s="341">
        <f t="shared" si="11"/>
        <v>648000</v>
      </c>
      <c r="Z63" s="342">
        <f t="shared" si="14"/>
        <v>648000</v>
      </c>
      <c r="AA63" s="252"/>
    </row>
    <row r="64" spans="1:28">
      <c r="A64" s="326">
        <f>+A60+1</f>
        <v>7</v>
      </c>
      <c r="B64" s="731" t="s">
        <v>3963</v>
      </c>
      <c r="C64" s="179">
        <v>306883487910</v>
      </c>
      <c r="D64" s="386" t="s">
        <v>3971</v>
      </c>
      <c r="E64" s="47" t="s">
        <v>4036</v>
      </c>
      <c r="F64" s="1107" t="s">
        <v>2795</v>
      </c>
      <c r="G64" s="167"/>
      <c r="H64" s="167"/>
      <c r="I64" s="1108" t="s">
        <v>2796</v>
      </c>
      <c r="J64" s="1130" t="s">
        <v>3987</v>
      </c>
      <c r="K64" s="1109" t="s">
        <v>3978</v>
      </c>
      <c r="L64" s="1151">
        <v>897</v>
      </c>
      <c r="M64" s="1131" t="s">
        <v>2891</v>
      </c>
      <c r="N64" s="158"/>
      <c r="O64" s="150"/>
      <c r="P64" s="248"/>
      <c r="Q64" s="248"/>
      <c r="R64" s="248"/>
      <c r="S64" s="248"/>
      <c r="T64" s="247"/>
      <c r="U64" s="248"/>
      <c r="V64" s="340">
        <f t="shared" si="15"/>
        <v>0</v>
      </c>
      <c r="W64" s="344">
        <f t="shared" si="16"/>
        <v>0</v>
      </c>
      <c r="X64" s="249"/>
      <c r="Y64" s="341">
        <f t="shared" si="11"/>
        <v>648000</v>
      </c>
      <c r="Z64" s="342">
        <f t="shared" si="14"/>
        <v>648000</v>
      </c>
      <c r="AA64" s="252"/>
    </row>
    <row r="65" spans="1:27">
      <c r="A65" s="326">
        <f t="shared" si="3"/>
        <v>8</v>
      </c>
      <c r="B65" s="3763" t="s">
        <v>3996</v>
      </c>
      <c r="C65" s="179">
        <v>306901610320</v>
      </c>
      <c r="D65" s="46" t="s">
        <v>4017</v>
      </c>
      <c r="E65" s="47" t="s">
        <v>4036</v>
      </c>
      <c r="F65" s="1107" t="s">
        <v>2795</v>
      </c>
      <c r="G65" s="167"/>
      <c r="H65" s="167"/>
      <c r="I65" s="3759" t="s">
        <v>3383</v>
      </c>
      <c r="J65" s="707" t="s">
        <v>4019</v>
      </c>
      <c r="K65" s="170" t="s">
        <v>4004</v>
      </c>
      <c r="L65" s="1151">
        <v>476</v>
      </c>
      <c r="M65" s="1131" t="s">
        <v>2891</v>
      </c>
      <c r="N65" s="158"/>
      <c r="O65" s="150"/>
      <c r="P65" s="248"/>
      <c r="Q65" s="248"/>
      <c r="R65" s="248"/>
      <c r="S65" s="248"/>
      <c r="T65" s="247"/>
      <c r="U65" s="248"/>
      <c r="V65" s="340">
        <f t="shared" si="15"/>
        <v>0</v>
      </c>
      <c r="W65" s="344">
        <f t="shared" si="16"/>
        <v>0</v>
      </c>
      <c r="X65" s="249"/>
      <c r="Y65" s="341">
        <f t="shared" si="11"/>
        <v>648000</v>
      </c>
      <c r="Z65" s="342">
        <f t="shared" si="14"/>
        <v>648000</v>
      </c>
      <c r="AA65" s="252"/>
    </row>
    <row r="66" spans="1:27">
      <c r="A66" s="326">
        <f t="shared" si="3"/>
        <v>9</v>
      </c>
      <c r="B66" s="3757"/>
      <c r="C66" s="179">
        <v>306901641710</v>
      </c>
      <c r="D66" s="46" t="s">
        <v>4017</v>
      </c>
      <c r="E66" s="47" t="s">
        <v>4036</v>
      </c>
      <c r="F66" s="1107" t="s">
        <v>2795</v>
      </c>
      <c r="G66" s="167"/>
      <c r="H66" s="167"/>
      <c r="I66" s="3760"/>
      <c r="J66" s="707" t="s">
        <v>4020</v>
      </c>
      <c r="K66" s="170" t="s">
        <v>4005</v>
      </c>
      <c r="L66" s="1151">
        <v>601</v>
      </c>
      <c r="M66" s="1131" t="s">
        <v>2891</v>
      </c>
      <c r="N66" s="158"/>
      <c r="O66" s="150"/>
      <c r="P66" s="248"/>
      <c r="Q66" s="248"/>
      <c r="R66" s="248"/>
      <c r="S66" s="248"/>
      <c r="T66" s="247"/>
      <c r="U66" s="248"/>
      <c r="V66" s="340">
        <f t="shared" si="15"/>
        <v>0</v>
      </c>
      <c r="W66" s="344">
        <f t="shared" si="16"/>
        <v>0</v>
      </c>
      <c r="X66" s="249"/>
      <c r="Y66" s="341">
        <f t="shared" si="11"/>
        <v>648000</v>
      </c>
      <c r="Z66" s="342">
        <f t="shared" si="14"/>
        <v>648000</v>
      </c>
      <c r="AA66" s="252"/>
    </row>
    <row r="67" spans="1:27">
      <c r="A67" s="326">
        <f t="shared" si="3"/>
        <v>10</v>
      </c>
      <c r="B67" s="3757"/>
      <c r="C67" s="179">
        <v>306901649040</v>
      </c>
      <c r="D67" s="46" t="s">
        <v>4017</v>
      </c>
      <c r="E67" s="47" t="s">
        <v>4036</v>
      </c>
      <c r="F67" s="1107" t="s">
        <v>2795</v>
      </c>
      <c r="G67" s="167"/>
      <c r="H67" s="167"/>
      <c r="I67" s="3760"/>
      <c r="J67" s="707" t="s">
        <v>4021</v>
      </c>
      <c r="K67" s="170" t="s">
        <v>4006</v>
      </c>
      <c r="L67" s="1151">
        <v>708</v>
      </c>
      <c r="M67" s="1131" t="s">
        <v>2891</v>
      </c>
      <c r="N67" s="158"/>
      <c r="O67" s="150"/>
      <c r="P67" s="248"/>
      <c r="Q67" s="248"/>
      <c r="R67" s="248"/>
      <c r="S67" s="248"/>
      <c r="T67" s="247"/>
      <c r="U67" s="248"/>
      <c r="V67" s="340">
        <f t="shared" si="15"/>
        <v>0</v>
      </c>
      <c r="W67" s="344">
        <f t="shared" si="16"/>
        <v>0</v>
      </c>
      <c r="X67" s="249"/>
      <c r="Y67" s="341">
        <f t="shared" si="11"/>
        <v>648000</v>
      </c>
      <c r="Z67" s="342">
        <f t="shared" si="14"/>
        <v>648000</v>
      </c>
      <c r="AA67" s="252"/>
    </row>
    <row r="68" spans="1:27">
      <c r="A68" s="326">
        <f t="shared" si="3"/>
        <v>11</v>
      </c>
      <c r="B68" s="3758"/>
      <c r="C68" s="179">
        <v>306901659210</v>
      </c>
      <c r="D68" s="46" t="s">
        <v>4017</v>
      </c>
      <c r="E68" s="47" t="s">
        <v>4036</v>
      </c>
      <c r="F68" s="1107" t="s">
        <v>2795</v>
      </c>
      <c r="G68" s="167"/>
      <c r="H68" s="167"/>
      <c r="I68" s="3761"/>
      <c r="J68" s="707" t="s">
        <v>4022</v>
      </c>
      <c r="K68" s="170" t="s">
        <v>4007</v>
      </c>
      <c r="L68" s="1151">
        <v>721</v>
      </c>
      <c r="M68" s="1131" t="s">
        <v>2891</v>
      </c>
      <c r="N68" s="158"/>
      <c r="O68" s="150"/>
      <c r="P68" s="248"/>
      <c r="Q68" s="248"/>
      <c r="R68" s="248"/>
      <c r="S68" s="248"/>
      <c r="T68" s="247"/>
      <c r="U68" s="248"/>
      <c r="V68" s="340">
        <f t="shared" si="15"/>
        <v>0</v>
      </c>
      <c r="W68" s="344">
        <f t="shared" si="16"/>
        <v>0</v>
      </c>
      <c r="X68" s="249"/>
      <c r="Y68" s="341">
        <f t="shared" si="11"/>
        <v>648000</v>
      </c>
      <c r="Z68" s="342">
        <f t="shared" si="14"/>
        <v>648000</v>
      </c>
      <c r="AA68" s="252"/>
    </row>
    <row r="69" spans="1:27">
      <c r="A69" s="326">
        <f>+A70+1</f>
        <v>13</v>
      </c>
      <c r="B69" s="729" t="s">
        <v>4016</v>
      </c>
      <c r="C69" s="179">
        <v>306912971100</v>
      </c>
      <c r="D69" s="46" t="s">
        <v>4024</v>
      </c>
      <c r="E69" s="47" t="s">
        <v>4036</v>
      </c>
      <c r="F69" s="1107" t="s">
        <v>2795</v>
      </c>
      <c r="G69" s="167"/>
      <c r="H69" s="167"/>
      <c r="I69" s="127" t="s">
        <v>2794</v>
      </c>
      <c r="J69" s="707" t="s">
        <v>4023</v>
      </c>
      <c r="K69" s="837" t="s">
        <v>4015</v>
      </c>
      <c r="L69" s="1151">
        <v>223</v>
      </c>
      <c r="M69" s="1131" t="s">
        <v>2891</v>
      </c>
      <c r="N69" s="158"/>
      <c r="O69" s="150"/>
      <c r="P69" s="248"/>
      <c r="Q69" s="248"/>
      <c r="R69" s="248"/>
      <c r="S69" s="248"/>
      <c r="T69" s="247"/>
      <c r="U69" s="248"/>
      <c r="V69" s="340">
        <f t="shared" si="15"/>
        <v>0</v>
      </c>
      <c r="W69" s="344">
        <f t="shared" si="16"/>
        <v>0</v>
      </c>
      <c r="X69" s="249"/>
      <c r="Y69" s="341">
        <f t="shared" si="11"/>
        <v>648000</v>
      </c>
      <c r="Z69" s="342">
        <f t="shared" si="14"/>
        <v>648000</v>
      </c>
      <c r="AA69" s="252"/>
    </row>
    <row r="70" spans="1:27">
      <c r="A70" s="326">
        <f>+A68+1</f>
        <v>12</v>
      </c>
      <c r="B70" s="729" t="s">
        <v>4016</v>
      </c>
      <c r="C70" s="179">
        <v>306913016560</v>
      </c>
      <c r="D70" s="46" t="s">
        <v>4029</v>
      </c>
      <c r="E70" s="47" t="s">
        <v>4036</v>
      </c>
      <c r="F70" s="1107" t="s">
        <v>2795</v>
      </c>
      <c r="G70" s="167"/>
      <c r="H70" s="167"/>
      <c r="I70" s="1108" t="s">
        <v>2796</v>
      </c>
      <c r="J70" s="707" t="s">
        <v>4028</v>
      </c>
      <c r="K70" s="1109" t="s">
        <v>4014</v>
      </c>
      <c r="L70" s="1151">
        <v>1076</v>
      </c>
      <c r="M70" s="1131" t="s">
        <v>2891</v>
      </c>
      <c r="N70" s="158"/>
      <c r="O70" s="150"/>
      <c r="P70" s="248"/>
      <c r="Q70" s="248"/>
      <c r="R70" s="248"/>
      <c r="S70" s="248"/>
      <c r="T70" s="247"/>
      <c r="U70" s="248"/>
      <c r="V70" s="340">
        <f t="shared" si="15"/>
        <v>0</v>
      </c>
      <c r="W70" s="344">
        <f t="shared" si="16"/>
        <v>0</v>
      </c>
      <c r="X70" s="249"/>
      <c r="Y70" s="341">
        <f t="shared" si="11"/>
        <v>648000</v>
      </c>
      <c r="Z70" s="342">
        <f t="shared" si="14"/>
        <v>648000</v>
      </c>
      <c r="AA70" s="252"/>
    </row>
    <row r="71" spans="1:27">
      <c r="A71" s="1222">
        <v>13</v>
      </c>
      <c r="B71" s="1223" t="s">
        <v>4018</v>
      </c>
      <c r="C71" s="179">
        <v>306927228110</v>
      </c>
      <c r="D71" s="46" t="s">
        <v>4018</v>
      </c>
      <c r="E71" s="47" t="s">
        <v>4036</v>
      </c>
      <c r="F71" s="126" t="s">
        <v>2795</v>
      </c>
      <c r="G71" s="167"/>
      <c r="H71" s="167"/>
      <c r="I71" s="154" t="s">
        <v>3035</v>
      </c>
      <c r="J71" s="707" t="s">
        <v>4055</v>
      </c>
      <c r="K71" s="1109" t="s">
        <v>4056</v>
      </c>
      <c r="L71" s="1151">
        <v>67</v>
      </c>
      <c r="M71" s="1131" t="s">
        <v>2891</v>
      </c>
      <c r="N71" s="158"/>
      <c r="O71" s="150"/>
      <c r="P71" s="248"/>
      <c r="Q71" s="248"/>
      <c r="R71" s="248"/>
      <c r="S71" s="248"/>
      <c r="T71" s="247"/>
      <c r="U71" s="248"/>
      <c r="V71" s="340">
        <f t="shared" si="15"/>
        <v>0</v>
      </c>
      <c r="W71" s="344">
        <f t="shared" si="16"/>
        <v>0</v>
      </c>
      <c r="X71" s="249"/>
      <c r="Y71" s="341">
        <f t="shared" si="11"/>
        <v>648000</v>
      </c>
      <c r="Z71" s="342">
        <f t="shared" si="14"/>
        <v>648000</v>
      </c>
      <c r="AA71" s="252"/>
    </row>
    <row r="72" spans="1:27">
      <c r="A72" s="326">
        <v>14</v>
      </c>
      <c r="B72" s="3756" t="s">
        <v>4029</v>
      </c>
      <c r="C72" s="179">
        <v>306922147840</v>
      </c>
      <c r="D72" s="46" t="s">
        <v>4052</v>
      </c>
      <c r="E72" s="47" t="s">
        <v>4036</v>
      </c>
      <c r="F72" s="1107" t="s">
        <v>2795</v>
      </c>
      <c r="G72" s="167"/>
      <c r="H72" s="167"/>
      <c r="I72" s="3759" t="s">
        <v>3383</v>
      </c>
      <c r="J72" s="707" t="s">
        <v>4072</v>
      </c>
      <c r="K72" s="170" t="s">
        <v>4030</v>
      </c>
      <c r="L72" s="1151">
        <v>361</v>
      </c>
      <c r="M72" s="1131" t="s">
        <v>2891</v>
      </c>
      <c r="N72" s="158"/>
      <c r="O72" s="150"/>
      <c r="P72" s="248"/>
      <c r="Q72" s="248"/>
      <c r="R72" s="248"/>
      <c r="S72" s="248"/>
      <c r="T72" s="247"/>
      <c r="U72" s="248"/>
      <c r="V72" s="340">
        <f t="shared" si="15"/>
        <v>0</v>
      </c>
      <c r="W72" s="344">
        <f t="shared" si="16"/>
        <v>0</v>
      </c>
      <c r="X72" s="249"/>
      <c r="Y72" s="341">
        <f t="shared" si="11"/>
        <v>648000</v>
      </c>
      <c r="Z72" s="342">
        <f t="shared" si="14"/>
        <v>648000</v>
      </c>
      <c r="AA72" s="252"/>
    </row>
    <row r="73" spans="1:27">
      <c r="A73" s="326">
        <v>15</v>
      </c>
      <c r="B73" s="3757"/>
      <c r="C73" s="179">
        <v>306922163020</v>
      </c>
      <c r="D73" s="46" t="s">
        <v>4052</v>
      </c>
      <c r="E73" s="47" t="s">
        <v>4036</v>
      </c>
      <c r="F73" s="1107" t="s">
        <v>2795</v>
      </c>
      <c r="G73" s="167"/>
      <c r="H73" s="167"/>
      <c r="I73" s="3760"/>
      <c r="J73" s="707" t="s">
        <v>4073</v>
      </c>
      <c r="K73" s="170" t="s">
        <v>4031</v>
      </c>
      <c r="L73" s="1151">
        <v>751</v>
      </c>
      <c r="M73" s="1131" t="s">
        <v>2891</v>
      </c>
      <c r="N73" s="158"/>
      <c r="O73" s="150"/>
      <c r="P73" s="248"/>
      <c r="Q73" s="248"/>
      <c r="R73" s="248"/>
      <c r="S73" s="248"/>
      <c r="T73" s="247"/>
      <c r="U73" s="248"/>
      <c r="V73" s="340">
        <f t="shared" si="15"/>
        <v>0</v>
      </c>
      <c r="W73" s="344">
        <f t="shared" si="16"/>
        <v>0</v>
      </c>
      <c r="X73" s="249"/>
      <c r="Y73" s="341">
        <f t="shared" si="11"/>
        <v>648000</v>
      </c>
      <c r="Z73" s="342">
        <f t="shared" si="14"/>
        <v>648000</v>
      </c>
      <c r="AA73" s="252"/>
    </row>
    <row r="74" spans="1:27">
      <c r="A74" s="1218">
        <v>16</v>
      </c>
      <c r="B74" s="3758"/>
      <c r="C74" s="179">
        <v>306922179340</v>
      </c>
      <c r="D74" s="46" t="s">
        <v>4052</v>
      </c>
      <c r="E74" s="47" t="s">
        <v>4036</v>
      </c>
      <c r="F74" s="1107" t="s">
        <v>2795</v>
      </c>
      <c r="G74" s="167"/>
      <c r="H74" s="167"/>
      <c r="I74" s="3761"/>
      <c r="J74" s="707" t="s">
        <v>4071</v>
      </c>
      <c r="K74" s="170" t="s">
        <v>4032</v>
      </c>
      <c r="L74" s="1151">
        <v>518</v>
      </c>
      <c r="M74" s="1131" t="s">
        <v>2891</v>
      </c>
      <c r="N74" s="158"/>
      <c r="O74" s="150"/>
      <c r="P74" s="248"/>
      <c r="Q74" s="248"/>
      <c r="R74" s="248"/>
      <c r="S74" s="248"/>
      <c r="T74" s="247"/>
      <c r="U74" s="248"/>
      <c r="V74" s="340">
        <f t="shared" si="15"/>
        <v>0</v>
      </c>
      <c r="W74" s="344">
        <f t="shared" si="16"/>
        <v>0</v>
      </c>
      <c r="X74" s="249"/>
      <c r="Y74" s="341">
        <f t="shared" si="11"/>
        <v>648000</v>
      </c>
      <c r="Z74" s="342">
        <f t="shared" si="14"/>
        <v>648000</v>
      </c>
      <c r="AA74" s="252"/>
    </row>
    <row r="75" spans="1:27">
      <c r="A75" s="3753" t="s">
        <v>4087</v>
      </c>
      <c r="B75" s="3754"/>
      <c r="C75" s="3754"/>
      <c r="D75" s="3754"/>
      <c r="E75" s="3754"/>
      <c r="F75" s="3754"/>
      <c r="G75" s="3754"/>
      <c r="H75" s="3754"/>
      <c r="I75" s="3754"/>
      <c r="J75" s="3754"/>
      <c r="K75" s="3754"/>
      <c r="L75" s="3754"/>
      <c r="M75" s="3755"/>
      <c r="N75" s="1086"/>
      <c r="O75" s="1087"/>
      <c r="P75" s="1088"/>
      <c r="Q75" s="1088"/>
      <c r="R75" s="425"/>
      <c r="S75" s="425"/>
      <c r="T75" s="426"/>
      <c r="U75" s="425"/>
      <c r="V75" s="1088"/>
      <c r="W75" s="1089"/>
      <c r="X75" s="1090"/>
      <c r="Y75" s="1091">
        <f>SUM(Y58:Y74)</f>
        <v>11016000</v>
      </c>
      <c r="Z75" s="1092">
        <f>SUM(Z58:Z74)</f>
        <v>11016000</v>
      </c>
      <c r="AA75" s="808"/>
    </row>
    <row r="76" spans="1:27">
      <c r="A76" s="326">
        <v>1</v>
      </c>
      <c r="B76" s="729" t="s">
        <v>4018</v>
      </c>
      <c r="C76" s="179">
        <v>306927143850</v>
      </c>
      <c r="D76" s="46" t="s">
        <v>4052</v>
      </c>
      <c r="E76" s="47" t="s">
        <v>4269</v>
      </c>
      <c r="F76" s="126" t="s">
        <v>2795</v>
      </c>
      <c r="G76" s="167"/>
      <c r="H76" s="167"/>
      <c r="I76" s="1108" t="s">
        <v>2796</v>
      </c>
      <c r="J76" s="707" t="s">
        <v>4074</v>
      </c>
      <c r="K76" s="1109" t="s">
        <v>4057</v>
      </c>
      <c r="L76" s="1151">
        <v>577</v>
      </c>
      <c r="M76" s="1131" t="s">
        <v>2891</v>
      </c>
      <c r="N76" s="158"/>
      <c r="O76" s="150"/>
      <c r="P76" s="248"/>
      <c r="Q76" s="248"/>
      <c r="R76" s="248"/>
      <c r="S76" s="248"/>
      <c r="T76" s="247"/>
      <c r="U76" s="248"/>
      <c r="V76" s="340">
        <f>Q76+R76+S76+P76+U76</f>
        <v>0</v>
      </c>
      <c r="W76" s="344">
        <f>+T76</f>
        <v>0</v>
      </c>
      <c r="X76" s="249"/>
      <c r="Y76" s="341">
        <f t="shared" si="11"/>
        <v>648000</v>
      </c>
      <c r="Z76" s="342">
        <f t="shared" si="14"/>
        <v>648000</v>
      </c>
      <c r="AA76" s="252"/>
    </row>
    <row r="77" spans="1:27">
      <c r="A77" s="326">
        <f t="shared" ref="A77:A139" si="17">+A76+1</f>
        <v>2</v>
      </c>
      <c r="B77" s="729" t="s">
        <v>4085</v>
      </c>
      <c r="C77" s="179">
        <v>306939884110</v>
      </c>
      <c r="D77" s="46" t="s">
        <v>4085</v>
      </c>
      <c r="E77" s="47" t="s">
        <v>4269</v>
      </c>
      <c r="F77" s="126" t="s">
        <v>2795</v>
      </c>
      <c r="G77" s="167"/>
      <c r="H77" s="167"/>
      <c r="I77" s="1108" t="s">
        <v>2796</v>
      </c>
      <c r="J77" s="707" t="s">
        <v>4106</v>
      </c>
      <c r="K77" s="1109" t="s">
        <v>4105</v>
      </c>
      <c r="L77" s="1151">
        <v>74</v>
      </c>
      <c r="M77" s="1131" t="s">
        <v>2891</v>
      </c>
      <c r="N77" s="158"/>
      <c r="O77" s="150"/>
      <c r="P77" s="248"/>
      <c r="Q77" s="248"/>
      <c r="R77" s="248"/>
      <c r="S77" s="248"/>
      <c r="T77" s="247"/>
      <c r="U77" s="248"/>
      <c r="V77" s="340">
        <f t="shared" ref="V77:V103" si="18">Q77+R77+S77+P77+U77</f>
        <v>0</v>
      </c>
      <c r="W77" s="344">
        <f t="shared" ref="W77:W103" si="19">+T77</f>
        <v>0</v>
      </c>
      <c r="X77" s="249"/>
      <c r="Y77" s="341">
        <f t="shared" si="11"/>
        <v>648000</v>
      </c>
      <c r="Z77" s="342">
        <f t="shared" si="14"/>
        <v>648000</v>
      </c>
      <c r="AA77" s="252"/>
    </row>
    <row r="78" spans="1:27">
      <c r="A78" s="326">
        <f t="shared" si="17"/>
        <v>3</v>
      </c>
      <c r="B78" s="729" t="s">
        <v>4068</v>
      </c>
      <c r="C78" s="179">
        <v>306950988910</v>
      </c>
      <c r="D78" s="46" t="s">
        <v>4122</v>
      </c>
      <c r="E78" s="47" t="s">
        <v>4269</v>
      </c>
      <c r="F78" s="126" t="s">
        <v>2795</v>
      </c>
      <c r="G78" s="167"/>
      <c r="H78" s="167"/>
      <c r="I78" s="127" t="s">
        <v>2794</v>
      </c>
      <c r="J78" s="707" t="s">
        <v>4123</v>
      </c>
      <c r="K78" s="837" t="s">
        <v>4120</v>
      </c>
      <c r="L78" s="1151">
        <v>306</v>
      </c>
      <c r="M78" s="1131" t="s">
        <v>2891</v>
      </c>
      <c r="N78" s="158"/>
      <c r="O78" s="150"/>
      <c r="P78" s="248"/>
      <c r="Q78" s="248"/>
      <c r="R78" s="248"/>
      <c r="S78" s="248"/>
      <c r="T78" s="247"/>
      <c r="U78" s="248"/>
      <c r="V78" s="340">
        <f t="shared" si="18"/>
        <v>0</v>
      </c>
      <c r="W78" s="344">
        <f t="shared" si="19"/>
        <v>0</v>
      </c>
      <c r="X78" s="249"/>
      <c r="Y78" s="341">
        <f t="shared" si="11"/>
        <v>648000</v>
      </c>
      <c r="Z78" s="342">
        <f t="shared" si="14"/>
        <v>648000</v>
      </c>
      <c r="AA78" s="252"/>
    </row>
    <row r="79" spans="1:27">
      <c r="A79" s="326">
        <f t="shared" si="17"/>
        <v>4</v>
      </c>
      <c r="B79" s="1265" t="s">
        <v>4130</v>
      </c>
      <c r="C79" s="179">
        <v>306956337130</v>
      </c>
      <c r="D79" s="386" t="s">
        <v>4137</v>
      </c>
      <c r="E79" s="47" t="s">
        <v>4269</v>
      </c>
      <c r="F79" s="126" t="s">
        <v>2795</v>
      </c>
      <c r="G79" s="167"/>
      <c r="H79" s="167"/>
      <c r="I79" s="1108" t="s">
        <v>2796</v>
      </c>
      <c r="J79" s="707" t="s">
        <v>4138</v>
      </c>
      <c r="K79" s="1109" t="s">
        <v>4134</v>
      </c>
      <c r="L79" s="1151">
        <v>1052</v>
      </c>
      <c r="M79" s="1131" t="s">
        <v>2891</v>
      </c>
      <c r="N79" s="158"/>
      <c r="O79" s="150"/>
      <c r="P79" s="248"/>
      <c r="Q79" s="248"/>
      <c r="R79" s="248"/>
      <c r="S79" s="248"/>
      <c r="T79" s="247"/>
      <c r="U79" s="248"/>
      <c r="V79" s="340">
        <f t="shared" si="18"/>
        <v>0</v>
      </c>
      <c r="W79" s="344">
        <f t="shared" si="19"/>
        <v>0</v>
      </c>
      <c r="X79" s="249"/>
      <c r="Y79" s="341">
        <f t="shared" si="11"/>
        <v>648000</v>
      </c>
      <c r="Z79" s="342">
        <f t="shared" si="14"/>
        <v>648000</v>
      </c>
      <c r="AA79" s="252"/>
    </row>
    <row r="80" spans="1:27">
      <c r="A80" s="326">
        <f t="shared" si="17"/>
        <v>5</v>
      </c>
      <c r="B80" s="3772" t="s">
        <v>4130</v>
      </c>
      <c r="C80" s="179">
        <v>306968450150</v>
      </c>
      <c r="D80" s="386" t="s">
        <v>4172</v>
      </c>
      <c r="E80" s="47" t="s">
        <v>4269</v>
      </c>
      <c r="F80" s="126" t="s">
        <v>2795</v>
      </c>
      <c r="G80" s="167"/>
      <c r="H80" s="167"/>
      <c r="I80" s="3762" t="s">
        <v>3383</v>
      </c>
      <c r="J80" s="707" t="s">
        <v>4199</v>
      </c>
      <c r="K80" s="170" t="s">
        <v>4167</v>
      </c>
      <c r="L80" s="1151">
        <v>721</v>
      </c>
      <c r="M80" s="1131" t="s">
        <v>2891</v>
      </c>
      <c r="N80" s="158"/>
      <c r="O80" s="150"/>
      <c r="P80" s="248"/>
      <c r="Q80" s="248"/>
      <c r="R80" s="248"/>
      <c r="S80" s="248"/>
      <c r="T80" s="247"/>
      <c r="U80" s="248"/>
      <c r="V80" s="340">
        <f t="shared" si="18"/>
        <v>0</v>
      </c>
      <c r="W80" s="344">
        <f t="shared" si="19"/>
        <v>0</v>
      </c>
      <c r="X80" s="249"/>
      <c r="Y80" s="341">
        <f t="shared" si="11"/>
        <v>648000</v>
      </c>
      <c r="Z80" s="342">
        <f t="shared" si="14"/>
        <v>648000</v>
      </c>
      <c r="AA80" s="252"/>
    </row>
    <row r="81" spans="1:27">
      <c r="A81" s="326">
        <f t="shared" si="17"/>
        <v>6</v>
      </c>
      <c r="B81" s="3773"/>
      <c r="C81" s="179">
        <v>306968464850</v>
      </c>
      <c r="D81" s="386" t="s">
        <v>4172</v>
      </c>
      <c r="E81" s="47" t="s">
        <v>4269</v>
      </c>
      <c r="F81" s="126" t="s">
        <v>2795</v>
      </c>
      <c r="G81" s="167"/>
      <c r="H81" s="167"/>
      <c r="I81" s="3760"/>
      <c r="J81" s="707" t="s">
        <v>4200</v>
      </c>
      <c r="K81" s="170" t="s">
        <v>4168</v>
      </c>
      <c r="L81" s="1151">
        <v>240</v>
      </c>
      <c r="M81" s="1131" t="s">
        <v>2891</v>
      </c>
      <c r="N81" s="158"/>
      <c r="O81" s="150"/>
      <c r="P81" s="248"/>
      <c r="Q81" s="248"/>
      <c r="R81" s="248"/>
      <c r="S81" s="248"/>
      <c r="T81" s="247"/>
      <c r="U81" s="248"/>
      <c r="V81" s="340">
        <f t="shared" si="18"/>
        <v>0</v>
      </c>
      <c r="W81" s="344">
        <f t="shared" si="19"/>
        <v>0</v>
      </c>
      <c r="X81" s="249"/>
      <c r="Y81" s="341">
        <f t="shared" si="11"/>
        <v>648000</v>
      </c>
      <c r="Z81" s="342">
        <f t="shared" si="14"/>
        <v>648000</v>
      </c>
      <c r="AA81" s="252"/>
    </row>
    <row r="82" spans="1:27">
      <c r="A82" s="326">
        <f t="shared" si="17"/>
        <v>7</v>
      </c>
      <c r="B82" s="3774"/>
      <c r="C82" s="179">
        <v>306968477230</v>
      </c>
      <c r="D82" s="386" t="s">
        <v>4172</v>
      </c>
      <c r="E82" s="47" t="s">
        <v>4269</v>
      </c>
      <c r="F82" s="126" t="s">
        <v>2795</v>
      </c>
      <c r="G82" s="167"/>
      <c r="H82" s="167"/>
      <c r="I82" s="3761"/>
      <c r="J82" s="707" t="s">
        <v>4201</v>
      </c>
      <c r="K82" s="170" t="s">
        <v>4169</v>
      </c>
      <c r="L82" s="1151">
        <v>526</v>
      </c>
      <c r="M82" s="1131" t="s">
        <v>2891</v>
      </c>
      <c r="N82" s="158"/>
      <c r="O82" s="150"/>
      <c r="P82" s="248"/>
      <c r="Q82" s="248"/>
      <c r="R82" s="248"/>
      <c r="S82" s="248"/>
      <c r="T82" s="247"/>
      <c r="U82" s="248"/>
      <c r="V82" s="340">
        <f t="shared" si="18"/>
        <v>0</v>
      </c>
      <c r="W82" s="344">
        <f t="shared" si="19"/>
        <v>0</v>
      </c>
      <c r="X82" s="249"/>
      <c r="Y82" s="341">
        <f t="shared" si="11"/>
        <v>648000</v>
      </c>
      <c r="Z82" s="342">
        <f t="shared" si="14"/>
        <v>648000</v>
      </c>
      <c r="AA82" s="252"/>
    </row>
    <row r="83" spans="1:27">
      <c r="A83" s="326">
        <f>+A84+1</f>
        <v>9</v>
      </c>
      <c r="B83" s="731" t="s">
        <v>4154</v>
      </c>
      <c r="C83" s="179">
        <v>306983428420</v>
      </c>
      <c r="D83" s="386" t="s">
        <v>4154</v>
      </c>
      <c r="E83" s="47" t="s">
        <v>4269</v>
      </c>
      <c r="F83" s="126" t="s">
        <v>2795</v>
      </c>
      <c r="G83" s="167"/>
      <c r="H83" s="167"/>
      <c r="I83" s="127" t="s">
        <v>2794</v>
      </c>
      <c r="J83" s="707" t="s">
        <v>4214</v>
      </c>
      <c r="K83" s="837" t="s">
        <v>4211</v>
      </c>
      <c r="L83" s="1151">
        <v>223</v>
      </c>
      <c r="M83" s="1131" t="s">
        <v>2891</v>
      </c>
      <c r="N83" s="158"/>
      <c r="O83" s="150"/>
      <c r="P83" s="248"/>
      <c r="Q83" s="248"/>
      <c r="R83" s="248"/>
      <c r="S83" s="248"/>
      <c r="T83" s="247"/>
      <c r="U83" s="248"/>
      <c r="V83" s="340">
        <f t="shared" si="18"/>
        <v>0</v>
      </c>
      <c r="W83" s="344">
        <f t="shared" si="19"/>
        <v>0</v>
      </c>
      <c r="X83" s="249"/>
      <c r="Y83" s="341">
        <f t="shared" si="11"/>
        <v>648000</v>
      </c>
      <c r="Z83" s="342">
        <f t="shared" si="14"/>
        <v>648000</v>
      </c>
      <c r="AA83" s="252"/>
    </row>
    <row r="84" spans="1:27">
      <c r="A84" s="326">
        <f>+A82+1</f>
        <v>8</v>
      </c>
      <c r="B84" s="729"/>
      <c r="C84" s="179">
        <v>306978697820</v>
      </c>
      <c r="D84" s="386" t="s">
        <v>2874</v>
      </c>
      <c r="E84" s="47" t="s">
        <v>4269</v>
      </c>
      <c r="F84" s="126" t="s">
        <v>2795</v>
      </c>
      <c r="G84" s="167"/>
      <c r="H84" s="167"/>
      <c r="I84" s="154" t="s">
        <v>2796</v>
      </c>
      <c r="J84" s="707" t="s">
        <v>4226</v>
      </c>
      <c r="K84" s="170" t="s">
        <v>4275</v>
      </c>
      <c r="L84" s="1151">
        <v>1103</v>
      </c>
      <c r="M84" s="1131" t="s">
        <v>2891</v>
      </c>
      <c r="N84" s="158"/>
      <c r="O84" s="150"/>
      <c r="P84" s="248"/>
      <c r="Q84" s="248"/>
      <c r="R84" s="248"/>
      <c r="S84" s="248"/>
      <c r="T84" s="247"/>
      <c r="U84" s="248"/>
      <c r="V84" s="340">
        <f t="shared" si="18"/>
        <v>0</v>
      </c>
      <c r="W84" s="344">
        <f t="shared" si="19"/>
        <v>0</v>
      </c>
      <c r="X84" s="249"/>
      <c r="Y84" s="341">
        <f t="shared" si="11"/>
        <v>648000</v>
      </c>
      <c r="Z84" s="342">
        <f t="shared" si="14"/>
        <v>648000</v>
      </c>
      <c r="AA84" s="252"/>
    </row>
    <row r="85" spans="1:27">
      <c r="A85" s="326">
        <f>+A83+1</f>
        <v>10</v>
      </c>
      <c r="B85" s="3756" t="s">
        <v>4220</v>
      </c>
      <c r="C85" s="179">
        <v>306991963150</v>
      </c>
      <c r="D85" s="386" t="s">
        <v>4221</v>
      </c>
      <c r="E85" s="47" t="s">
        <v>4269</v>
      </c>
      <c r="F85" s="126" t="s">
        <v>2795</v>
      </c>
      <c r="G85" s="167"/>
      <c r="H85" s="167"/>
      <c r="I85" s="3762" t="s">
        <v>3383</v>
      </c>
      <c r="J85" s="707" t="s">
        <v>4242</v>
      </c>
      <c r="K85" s="170" t="s">
        <v>4231</v>
      </c>
      <c r="L85" s="1151">
        <v>772</v>
      </c>
      <c r="M85" s="1131" t="s">
        <v>2891</v>
      </c>
      <c r="N85" s="158"/>
      <c r="O85" s="150"/>
      <c r="P85" s="248"/>
      <c r="Q85" s="248"/>
      <c r="R85" s="248"/>
      <c r="S85" s="248"/>
      <c r="T85" s="247"/>
      <c r="U85" s="248"/>
      <c r="V85" s="340">
        <f t="shared" si="18"/>
        <v>0</v>
      </c>
      <c r="W85" s="344">
        <f t="shared" si="19"/>
        <v>0</v>
      </c>
      <c r="X85" s="249"/>
      <c r="Y85" s="341">
        <f t="shared" si="11"/>
        <v>648000</v>
      </c>
      <c r="Z85" s="342">
        <f t="shared" si="14"/>
        <v>648000</v>
      </c>
      <c r="AA85" s="252"/>
    </row>
    <row r="86" spans="1:27">
      <c r="A86" s="326">
        <f t="shared" si="17"/>
        <v>11</v>
      </c>
      <c r="B86" s="3757"/>
      <c r="C86" s="179">
        <v>306991984520</v>
      </c>
      <c r="D86" s="386" t="s">
        <v>4221</v>
      </c>
      <c r="E86" s="47" t="s">
        <v>4269</v>
      </c>
      <c r="F86" s="126" t="s">
        <v>2795</v>
      </c>
      <c r="G86" s="167"/>
      <c r="H86" s="167"/>
      <c r="I86" s="3760"/>
      <c r="J86" s="707" t="s">
        <v>4243</v>
      </c>
      <c r="K86" s="170" t="s">
        <v>4232</v>
      </c>
      <c r="L86" s="1151">
        <v>432</v>
      </c>
      <c r="M86" s="1131" t="s">
        <v>2891</v>
      </c>
      <c r="N86" s="158"/>
      <c r="O86" s="150"/>
      <c r="P86" s="248"/>
      <c r="Q86" s="248"/>
      <c r="R86" s="248"/>
      <c r="S86" s="248"/>
      <c r="T86" s="247"/>
      <c r="U86" s="248"/>
      <c r="V86" s="340">
        <f t="shared" si="18"/>
        <v>0</v>
      </c>
      <c r="W86" s="344">
        <f t="shared" si="19"/>
        <v>0</v>
      </c>
      <c r="X86" s="249"/>
      <c r="Y86" s="341">
        <f t="shared" si="11"/>
        <v>648000</v>
      </c>
      <c r="Z86" s="342">
        <f t="shared" si="14"/>
        <v>648000</v>
      </c>
      <c r="AA86" s="252"/>
    </row>
    <row r="87" spans="1:27">
      <c r="A87" s="326">
        <f t="shared" si="17"/>
        <v>12</v>
      </c>
      <c r="B87" s="3758"/>
      <c r="C87" s="179">
        <v>306992007400</v>
      </c>
      <c r="D87" s="386" t="s">
        <v>4221</v>
      </c>
      <c r="E87" s="47" t="s">
        <v>4269</v>
      </c>
      <c r="F87" s="126" t="s">
        <v>2795</v>
      </c>
      <c r="G87" s="167"/>
      <c r="H87" s="167"/>
      <c r="I87" s="3761"/>
      <c r="J87" s="707" t="s">
        <v>4244</v>
      </c>
      <c r="K87" s="170" t="s">
        <v>4233</v>
      </c>
      <c r="L87" s="1151">
        <v>388</v>
      </c>
      <c r="M87" s="1131" t="s">
        <v>2891</v>
      </c>
      <c r="N87" s="158"/>
      <c r="O87" s="150"/>
      <c r="P87" s="248"/>
      <c r="Q87" s="248"/>
      <c r="R87" s="248"/>
      <c r="S87" s="248"/>
      <c r="T87" s="247"/>
      <c r="U87" s="248"/>
      <c r="V87" s="340">
        <f t="shared" si="18"/>
        <v>0</v>
      </c>
      <c r="W87" s="344">
        <f t="shared" si="19"/>
        <v>0</v>
      </c>
      <c r="X87" s="249"/>
      <c r="Y87" s="341">
        <f t="shared" si="11"/>
        <v>648000</v>
      </c>
      <c r="Z87" s="342">
        <f t="shared" si="14"/>
        <v>648000</v>
      </c>
      <c r="AA87" s="252"/>
    </row>
    <row r="88" spans="1:27">
      <c r="A88" s="326">
        <f t="shared" si="17"/>
        <v>13</v>
      </c>
      <c r="B88" s="3756" t="s">
        <v>4221</v>
      </c>
      <c r="C88" s="179">
        <v>306999582910</v>
      </c>
      <c r="D88" s="386" t="s">
        <v>4259</v>
      </c>
      <c r="E88" s="47" t="s">
        <v>4269</v>
      </c>
      <c r="F88" s="126" t="s">
        <v>2795</v>
      </c>
      <c r="G88" s="167"/>
      <c r="H88" s="167"/>
      <c r="I88" s="3762" t="s">
        <v>3383</v>
      </c>
      <c r="J88" s="707" t="s">
        <v>4272</v>
      </c>
      <c r="K88" s="170" t="s">
        <v>4245</v>
      </c>
      <c r="L88" s="1151">
        <v>303</v>
      </c>
      <c r="M88" s="1131" t="s">
        <v>2891</v>
      </c>
      <c r="N88" s="158"/>
      <c r="O88" s="150"/>
      <c r="P88" s="248"/>
      <c r="Q88" s="248"/>
      <c r="R88" s="248"/>
      <c r="S88" s="248"/>
      <c r="T88" s="247"/>
      <c r="U88" s="248"/>
      <c r="V88" s="340">
        <f t="shared" si="18"/>
        <v>0</v>
      </c>
      <c r="W88" s="344">
        <f t="shared" si="19"/>
        <v>0</v>
      </c>
      <c r="X88" s="249"/>
      <c r="Y88" s="341">
        <f t="shared" si="11"/>
        <v>648000</v>
      </c>
      <c r="Z88" s="342">
        <f t="shared" si="14"/>
        <v>648000</v>
      </c>
      <c r="AA88" s="252"/>
    </row>
    <row r="89" spans="1:27">
      <c r="A89" s="326">
        <f t="shared" si="17"/>
        <v>14</v>
      </c>
      <c r="B89" s="3757"/>
      <c r="C89" s="1287">
        <v>306999599710</v>
      </c>
      <c r="D89" s="386" t="s">
        <v>4259</v>
      </c>
      <c r="E89" s="47" t="s">
        <v>4269</v>
      </c>
      <c r="F89" s="126" t="s">
        <v>2795</v>
      </c>
      <c r="G89" s="167"/>
      <c r="H89" s="167"/>
      <c r="I89" s="3760"/>
      <c r="J89" s="707" t="s">
        <v>4273</v>
      </c>
      <c r="K89" s="170" t="s">
        <v>4246</v>
      </c>
      <c r="L89" s="1151">
        <v>421</v>
      </c>
      <c r="M89" s="1131" t="s">
        <v>2891</v>
      </c>
      <c r="N89" s="158"/>
      <c r="O89" s="150"/>
      <c r="P89" s="248"/>
      <c r="Q89" s="248"/>
      <c r="R89" s="248"/>
      <c r="S89" s="248"/>
      <c r="T89" s="247"/>
      <c r="U89" s="248"/>
      <c r="V89" s="340">
        <f t="shared" si="18"/>
        <v>0</v>
      </c>
      <c r="W89" s="344">
        <f t="shared" si="19"/>
        <v>0</v>
      </c>
      <c r="X89" s="249"/>
      <c r="Y89" s="341">
        <f t="shared" si="11"/>
        <v>648000</v>
      </c>
      <c r="Z89" s="342">
        <f t="shared" si="14"/>
        <v>648000</v>
      </c>
      <c r="AA89" s="252"/>
    </row>
    <row r="90" spans="1:27">
      <c r="A90" s="326">
        <f t="shared" si="17"/>
        <v>15</v>
      </c>
      <c r="B90" s="3758"/>
      <c r="C90" s="1287">
        <v>306999661900</v>
      </c>
      <c r="D90" s="386" t="s">
        <v>4259</v>
      </c>
      <c r="E90" s="47" t="s">
        <v>4269</v>
      </c>
      <c r="F90" s="126" t="s">
        <v>2795</v>
      </c>
      <c r="G90" s="167"/>
      <c r="H90" s="167"/>
      <c r="I90" s="3761"/>
      <c r="J90" s="707" t="s">
        <v>4274</v>
      </c>
      <c r="K90" s="170" t="s">
        <v>4247</v>
      </c>
      <c r="L90" s="1151">
        <v>718</v>
      </c>
      <c r="M90" s="1131" t="s">
        <v>2891</v>
      </c>
      <c r="N90" s="158"/>
      <c r="O90" s="150"/>
      <c r="P90" s="248"/>
      <c r="Q90" s="248"/>
      <c r="R90" s="248"/>
      <c r="S90" s="248"/>
      <c r="T90" s="247"/>
      <c r="U90" s="248"/>
      <c r="V90" s="340">
        <f t="shared" si="18"/>
        <v>0</v>
      </c>
      <c r="W90" s="344">
        <f t="shared" si="19"/>
        <v>0</v>
      </c>
      <c r="X90" s="249"/>
      <c r="Y90" s="341">
        <f t="shared" si="11"/>
        <v>648000</v>
      </c>
      <c r="Z90" s="342">
        <f t="shared" si="14"/>
        <v>648000</v>
      </c>
      <c r="AA90" s="252"/>
    </row>
    <row r="91" spans="1:27">
      <c r="A91" s="1288">
        <f t="shared" si="17"/>
        <v>16</v>
      </c>
      <c r="B91" s="1223" t="s">
        <v>4260</v>
      </c>
      <c r="C91" s="179">
        <v>307004514740</v>
      </c>
      <c r="D91" s="386" t="s">
        <v>4277</v>
      </c>
      <c r="E91" s="47" t="s">
        <v>4269</v>
      </c>
      <c r="F91" s="126" t="s">
        <v>2795</v>
      </c>
      <c r="G91" s="167"/>
      <c r="H91" s="167"/>
      <c r="I91" s="154" t="s">
        <v>3035</v>
      </c>
      <c r="J91" s="707" t="s">
        <v>4278</v>
      </c>
      <c r="K91" s="1109" t="s">
        <v>4262</v>
      </c>
      <c r="L91" s="1151">
        <v>38</v>
      </c>
      <c r="M91" s="1131" t="s">
        <v>2891</v>
      </c>
      <c r="N91" s="158"/>
      <c r="O91" s="150"/>
      <c r="P91" s="248"/>
      <c r="Q91" s="248"/>
      <c r="R91" s="248"/>
      <c r="S91" s="248"/>
      <c r="T91" s="247"/>
      <c r="U91" s="248"/>
      <c r="V91" s="340">
        <f t="shared" si="18"/>
        <v>0</v>
      </c>
      <c r="W91" s="344">
        <f t="shared" si="19"/>
        <v>0</v>
      </c>
      <c r="X91" s="249"/>
      <c r="Y91" s="341">
        <f t="shared" si="11"/>
        <v>648000</v>
      </c>
      <c r="Z91" s="342">
        <f t="shared" si="14"/>
        <v>648000</v>
      </c>
      <c r="AA91" s="252"/>
    </row>
    <row r="92" spans="1:27">
      <c r="A92" s="3753" t="s">
        <v>4265</v>
      </c>
      <c r="B92" s="3754"/>
      <c r="C92" s="3754"/>
      <c r="D92" s="3754"/>
      <c r="E92" s="3754"/>
      <c r="F92" s="3754"/>
      <c r="G92" s="3754"/>
      <c r="H92" s="3754"/>
      <c r="I92" s="3754"/>
      <c r="J92" s="3754"/>
      <c r="K92" s="3754"/>
      <c r="L92" s="3754"/>
      <c r="M92" s="3755"/>
      <c r="N92" s="1086"/>
      <c r="O92" s="1087"/>
      <c r="P92" s="1088"/>
      <c r="Q92" s="1088"/>
      <c r="R92" s="425"/>
      <c r="S92" s="425"/>
      <c r="T92" s="426"/>
      <c r="U92" s="425"/>
      <c r="V92" s="1088"/>
      <c r="W92" s="1089"/>
      <c r="X92" s="1090"/>
      <c r="Y92" s="1091">
        <f>SUM(Y76:Y91)</f>
        <v>10368000</v>
      </c>
      <c r="Z92" s="1092">
        <f>SUM(Z76:Z91)</f>
        <v>10368000</v>
      </c>
      <c r="AA92" s="252"/>
    </row>
    <row r="93" spans="1:27">
      <c r="A93" s="326">
        <v>1</v>
      </c>
      <c r="B93" s="731" t="s">
        <v>4277</v>
      </c>
      <c r="C93" s="179">
        <v>307009669540</v>
      </c>
      <c r="D93" s="386" t="s">
        <v>4283</v>
      </c>
      <c r="E93" s="47" t="s">
        <v>4628</v>
      </c>
      <c r="F93" s="126" t="s">
        <v>2795</v>
      </c>
      <c r="G93" s="167"/>
      <c r="H93" s="167"/>
      <c r="I93" s="154" t="s">
        <v>2796</v>
      </c>
      <c r="J93" s="707" t="s">
        <v>4290</v>
      </c>
      <c r="K93" s="170" t="s">
        <v>4276</v>
      </c>
      <c r="L93" s="1151">
        <v>977</v>
      </c>
      <c r="M93" s="1131" t="s">
        <v>2891</v>
      </c>
      <c r="N93" s="158"/>
      <c r="O93" s="150"/>
      <c r="P93" s="248"/>
      <c r="Q93" s="248"/>
      <c r="R93" s="248"/>
      <c r="S93" s="248"/>
      <c r="T93" s="247"/>
      <c r="U93" s="248"/>
      <c r="V93" s="340">
        <f t="shared" si="18"/>
        <v>0</v>
      </c>
      <c r="W93" s="344">
        <f t="shared" si="19"/>
        <v>0</v>
      </c>
      <c r="X93" s="249"/>
      <c r="Y93" s="341">
        <f t="shared" si="11"/>
        <v>648000</v>
      </c>
      <c r="Z93" s="342">
        <f t="shared" si="14"/>
        <v>648000</v>
      </c>
      <c r="AA93" s="252"/>
    </row>
    <row r="94" spans="1:27">
      <c r="A94" s="326">
        <f t="shared" si="17"/>
        <v>2</v>
      </c>
      <c r="B94" s="729" t="s">
        <v>4284</v>
      </c>
      <c r="C94" s="179">
        <v>307022927650</v>
      </c>
      <c r="D94" s="386" t="s">
        <v>4307</v>
      </c>
      <c r="E94" s="47" t="s">
        <v>4628</v>
      </c>
      <c r="F94" s="126" t="s">
        <v>2795</v>
      </c>
      <c r="G94" s="167"/>
      <c r="H94" s="167"/>
      <c r="I94" s="154" t="s">
        <v>2796</v>
      </c>
      <c r="J94" s="707" t="s">
        <v>4306</v>
      </c>
      <c r="K94" s="170" t="s">
        <v>4304</v>
      </c>
      <c r="L94" s="1151">
        <v>207</v>
      </c>
      <c r="M94" s="1131" t="s">
        <v>2891</v>
      </c>
      <c r="N94" s="158"/>
      <c r="O94" s="150"/>
      <c r="P94" s="248"/>
      <c r="Q94" s="248"/>
      <c r="R94" s="248"/>
      <c r="S94" s="248"/>
      <c r="T94" s="247"/>
      <c r="U94" s="248"/>
      <c r="V94" s="340">
        <f t="shared" si="18"/>
        <v>0</v>
      </c>
      <c r="W94" s="344">
        <f t="shared" si="19"/>
        <v>0</v>
      </c>
      <c r="X94" s="249"/>
      <c r="Y94" s="341">
        <f t="shared" si="11"/>
        <v>648000</v>
      </c>
      <c r="Z94" s="342">
        <f t="shared" si="14"/>
        <v>648000</v>
      </c>
      <c r="AA94" s="252"/>
    </row>
    <row r="95" spans="1:27">
      <c r="A95" s="326">
        <f t="shared" si="17"/>
        <v>3</v>
      </c>
      <c r="B95" s="729" t="s">
        <v>4313</v>
      </c>
      <c r="C95" s="179">
        <v>307037598620</v>
      </c>
      <c r="D95" s="386" t="s">
        <v>4334</v>
      </c>
      <c r="E95" s="47" t="s">
        <v>4628</v>
      </c>
      <c r="F95" s="126" t="s">
        <v>2795</v>
      </c>
      <c r="G95" s="167"/>
      <c r="H95" s="167"/>
      <c r="I95" s="154" t="s">
        <v>2796</v>
      </c>
      <c r="J95" s="707" t="s">
        <v>4353</v>
      </c>
      <c r="K95" s="170" t="s">
        <v>4332</v>
      </c>
      <c r="L95" s="1151">
        <v>1050</v>
      </c>
      <c r="M95" s="1131" t="s">
        <v>2891</v>
      </c>
      <c r="N95" s="158"/>
      <c r="O95" s="150"/>
      <c r="P95" s="248"/>
      <c r="Q95" s="248"/>
      <c r="R95" s="248"/>
      <c r="S95" s="248"/>
      <c r="T95" s="247"/>
      <c r="U95" s="248"/>
      <c r="V95" s="340">
        <f t="shared" si="18"/>
        <v>0</v>
      </c>
      <c r="W95" s="344">
        <f t="shared" si="19"/>
        <v>0</v>
      </c>
      <c r="X95" s="249"/>
      <c r="Y95" s="341">
        <f t="shared" si="11"/>
        <v>648000</v>
      </c>
      <c r="Z95" s="342">
        <f t="shared" si="14"/>
        <v>648000</v>
      </c>
      <c r="AA95" s="252"/>
    </row>
    <row r="96" spans="1:27">
      <c r="A96" s="326">
        <f t="shared" si="17"/>
        <v>4</v>
      </c>
      <c r="B96" s="731" t="s">
        <v>4334</v>
      </c>
      <c r="C96" s="179">
        <v>307044861340</v>
      </c>
      <c r="D96" s="386" t="s">
        <v>4391</v>
      </c>
      <c r="E96" s="47" t="s">
        <v>4628</v>
      </c>
      <c r="F96" s="126" t="s">
        <v>2795</v>
      </c>
      <c r="G96" s="167"/>
      <c r="H96" s="167"/>
      <c r="I96" s="3762" t="s">
        <v>3383</v>
      </c>
      <c r="J96" s="707" t="s">
        <v>4438</v>
      </c>
      <c r="K96" s="170" t="s">
        <v>4362</v>
      </c>
      <c r="L96" s="1151">
        <v>227</v>
      </c>
      <c r="M96" s="1131" t="s">
        <v>2891</v>
      </c>
      <c r="N96" s="158"/>
      <c r="O96" s="150"/>
      <c r="P96" s="248"/>
      <c r="Q96" s="248"/>
      <c r="R96" s="248"/>
      <c r="S96" s="248"/>
      <c r="T96" s="247"/>
      <c r="U96" s="248"/>
      <c r="V96" s="340">
        <f t="shared" si="18"/>
        <v>0</v>
      </c>
      <c r="W96" s="344">
        <f t="shared" si="19"/>
        <v>0</v>
      </c>
      <c r="X96" s="249"/>
      <c r="Y96" s="341">
        <f t="shared" si="11"/>
        <v>648000</v>
      </c>
      <c r="Z96" s="342">
        <f t="shared" si="14"/>
        <v>648000</v>
      </c>
      <c r="AA96" s="252"/>
    </row>
    <row r="97" spans="1:27">
      <c r="A97" s="326">
        <f t="shared" si="17"/>
        <v>5</v>
      </c>
      <c r="B97" s="731" t="s">
        <v>4334</v>
      </c>
      <c r="C97" s="179">
        <v>307044872210</v>
      </c>
      <c r="D97" s="386" t="s">
        <v>4391</v>
      </c>
      <c r="E97" s="47" t="s">
        <v>4628</v>
      </c>
      <c r="F97" s="126" t="s">
        <v>2795</v>
      </c>
      <c r="G97" s="167"/>
      <c r="H97" s="167"/>
      <c r="I97" s="3760"/>
      <c r="J97" s="707" t="s">
        <v>4439</v>
      </c>
      <c r="K97" s="170" t="s">
        <v>4363</v>
      </c>
      <c r="L97" s="1151">
        <v>102</v>
      </c>
      <c r="M97" s="1131" t="s">
        <v>2891</v>
      </c>
      <c r="N97" s="158"/>
      <c r="O97" s="150"/>
      <c r="P97" s="248"/>
      <c r="Q97" s="248"/>
      <c r="R97" s="248"/>
      <c r="S97" s="248"/>
      <c r="T97" s="247"/>
      <c r="U97" s="248"/>
      <c r="V97" s="340">
        <f t="shared" si="18"/>
        <v>0</v>
      </c>
      <c r="W97" s="344">
        <f t="shared" si="19"/>
        <v>0</v>
      </c>
      <c r="X97" s="249"/>
      <c r="Y97" s="341">
        <f t="shared" si="11"/>
        <v>648000</v>
      </c>
      <c r="Z97" s="342">
        <f t="shared" si="14"/>
        <v>648000</v>
      </c>
      <c r="AA97" s="252"/>
    </row>
    <row r="98" spans="1:27">
      <c r="A98" s="326">
        <f t="shared" si="17"/>
        <v>6</v>
      </c>
      <c r="B98" s="731" t="s">
        <v>4334</v>
      </c>
      <c r="C98" s="179">
        <v>307044884440</v>
      </c>
      <c r="D98" s="386" t="s">
        <v>4391</v>
      </c>
      <c r="E98" s="47" t="s">
        <v>4628</v>
      </c>
      <c r="F98" s="126" t="s">
        <v>2795</v>
      </c>
      <c r="G98" s="167"/>
      <c r="H98" s="167"/>
      <c r="I98" s="3760"/>
      <c r="J98" s="707" t="s">
        <v>4440</v>
      </c>
      <c r="K98" s="170" t="s">
        <v>4364</v>
      </c>
      <c r="L98" s="1151">
        <v>501</v>
      </c>
      <c r="M98" s="1131" t="s">
        <v>2891</v>
      </c>
      <c r="N98" s="158"/>
      <c r="O98" s="150"/>
      <c r="P98" s="248"/>
      <c r="Q98" s="248"/>
      <c r="R98" s="248"/>
      <c r="S98" s="248"/>
      <c r="T98" s="247"/>
      <c r="U98" s="248"/>
      <c r="V98" s="340">
        <f t="shared" si="18"/>
        <v>0</v>
      </c>
      <c r="W98" s="344">
        <f t="shared" si="19"/>
        <v>0</v>
      </c>
      <c r="X98" s="249"/>
      <c r="Y98" s="341">
        <f t="shared" si="11"/>
        <v>648000</v>
      </c>
      <c r="Z98" s="342">
        <f t="shared" si="14"/>
        <v>648000</v>
      </c>
      <c r="AA98" s="252"/>
    </row>
    <row r="99" spans="1:27">
      <c r="A99" s="326">
        <f t="shared" si="17"/>
        <v>7</v>
      </c>
      <c r="B99" s="731" t="s">
        <v>4334</v>
      </c>
      <c r="C99" s="179">
        <v>307044896120</v>
      </c>
      <c r="D99" s="386" t="s">
        <v>4391</v>
      </c>
      <c r="E99" s="47" t="s">
        <v>4628</v>
      </c>
      <c r="F99" s="126" t="s">
        <v>2795</v>
      </c>
      <c r="G99" s="167"/>
      <c r="H99" s="167"/>
      <c r="I99" s="3761"/>
      <c r="J99" s="707" t="s">
        <v>4441</v>
      </c>
      <c r="K99" s="170" t="s">
        <v>4365</v>
      </c>
      <c r="L99" s="1151">
        <v>903</v>
      </c>
      <c r="M99" s="1131" t="s">
        <v>2891</v>
      </c>
      <c r="N99" s="158"/>
      <c r="O99" s="150"/>
      <c r="P99" s="248"/>
      <c r="Q99" s="248"/>
      <c r="R99" s="248"/>
      <c r="S99" s="248"/>
      <c r="T99" s="247"/>
      <c r="U99" s="248"/>
      <c r="V99" s="340">
        <f t="shared" si="18"/>
        <v>0</v>
      </c>
      <c r="W99" s="344">
        <f t="shared" si="19"/>
        <v>0</v>
      </c>
      <c r="X99" s="249"/>
      <c r="Y99" s="341">
        <f t="shared" si="11"/>
        <v>648000</v>
      </c>
      <c r="Z99" s="342">
        <f t="shared" si="14"/>
        <v>648000</v>
      </c>
      <c r="AA99" s="252"/>
    </row>
    <row r="100" spans="1:27">
      <c r="A100" s="326">
        <f t="shared" si="17"/>
        <v>8</v>
      </c>
      <c r="B100" s="666" t="s">
        <v>4372</v>
      </c>
      <c r="C100" s="179">
        <v>307059117910</v>
      </c>
      <c r="D100" s="386" t="s">
        <v>4461</v>
      </c>
      <c r="E100" s="47" t="s">
        <v>4628</v>
      </c>
      <c r="F100" s="126" t="s">
        <v>2795</v>
      </c>
      <c r="G100" s="167"/>
      <c r="H100" s="167"/>
      <c r="I100" s="3766" t="s">
        <v>3383</v>
      </c>
      <c r="J100" s="707" t="s">
        <v>4459</v>
      </c>
      <c r="K100" s="170" t="s">
        <v>4442</v>
      </c>
      <c r="L100" s="1151">
        <v>302</v>
      </c>
      <c r="M100" s="1131" t="s">
        <v>2891</v>
      </c>
      <c r="N100" s="158"/>
      <c r="O100" s="150"/>
      <c r="P100" s="248"/>
      <c r="Q100" s="248"/>
      <c r="R100" s="248"/>
      <c r="S100" s="248"/>
      <c r="T100" s="247"/>
      <c r="U100" s="248"/>
      <c r="V100" s="340">
        <f t="shared" si="18"/>
        <v>0</v>
      </c>
      <c r="W100" s="344">
        <f t="shared" si="19"/>
        <v>0</v>
      </c>
      <c r="X100" s="249"/>
      <c r="Y100" s="341">
        <f t="shared" si="11"/>
        <v>648000</v>
      </c>
      <c r="Z100" s="342">
        <f t="shared" si="14"/>
        <v>648000</v>
      </c>
      <c r="AA100" s="252"/>
    </row>
    <row r="101" spans="1:27">
      <c r="A101" s="326">
        <f t="shared" si="17"/>
        <v>9</v>
      </c>
      <c r="B101" s="666" t="s">
        <v>4372</v>
      </c>
      <c r="C101" s="179">
        <v>307059126420</v>
      </c>
      <c r="D101" s="386" t="s">
        <v>4461</v>
      </c>
      <c r="E101" s="47" t="s">
        <v>4628</v>
      </c>
      <c r="F101" s="126" t="s">
        <v>2795</v>
      </c>
      <c r="G101" s="167"/>
      <c r="H101" s="167"/>
      <c r="I101" s="3761"/>
      <c r="J101" s="707" t="s">
        <v>4460</v>
      </c>
      <c r="K101" s="170" t="s">
        <v>4443</v>
      </c>
      <c r="L101" s="1151">
        <v>349</v>
      </c>
      <c r="M101" s="1131" t="s">
        <v>2891</v>
      </c>
      <c r="N101" s="158"/>
      <c r="O101" s="150"/>
      <c r="P101" s="248"/>
      <c r="Q101" s="248"/>
      <c r="R101" s="248"/>
      <c r="S101" s="248"/>
      <c r="T101" s="247"/>
      <c r="U101" s="248"/>
      <c r="V101" s="340">
        <f t="shared" si="18"/>
        <v>0</v>
      </c>
      <c r="W101" s="344">
        <f t="shared" si="19"/>
        <v>0</v>
      </c>
      <c r="X101" s="249"/>
      <c r="Y101" s="341">
        <f t="shared" si="11"/>
        <v>648000</v>
      </c>
      <c r="Z101" s="342">
        <f t="shared" si="14"/>
        <v>648000</v>
      </c>
      <c r="AA101" s="252"/>
    </row>
    <row r="102" spans="1:27">
      <c r="A102" s="326">
        <f t="shared" si="17"/>
        <v>10</v>
      </c>
      <c r="B102" s="666" t="s">
        <v>4372</v>
      </c>
      <c r="C102" s="1287">
        <v>307059107260</v>
      </c>
      <c r="D102" s="46" t="s">
        <v>4467</v>
      </c>
      <c r="E102" s="47" t="s">
        <v>4628</v>
      </c>
      <c r="F102" s="126" t="s">
        <v>2795</v>
      </c>
      <c r="G102" s="167"/>
      <c r="H102" s="167"/>
      <c r="I102" s="154" t="s">
        <v>2796</v>
      </c>
      <c r="J102" s="707" t="s">
        <v>4485</v>
      </c>
      <c r="K102" s="170" t="s">
        <v>4437</v>
      </c>
      <c r="L102" s="1151">
        <v>1108</v>
      </c>
      <c r="M102" s="1131" t="s">
        <v>2891</v>
      </c>
      <c r="N102" s="158"/>
      <c r="O102" s="150"/>
      <c r="P102" s="248"/>
      <c r="Q102" s="248"/>
      <c r="R102" s="248"/>
      <c r="S102" s="248"/>
      <c r="T102" s="247"/>
      <c r="U102" s="248"/>
      <c r="V102" s="340">
        <f t="shared" si="18"/>
        <v>0</v>
      </c>
      <c r="W102" s="344">
        <f t="shared" si="19"/>
        <v>0</v>
      </c>
      <c r="X102" s="249"/>
      <c r="Y102" s="341">
        <f t="shared" si="11"/>
        <v>648000</v>
      </c>
      <c r="Z102" s="342">
        <f t="shared" si="14"/>
        <v>648000</v>
      </c>
      <c r="AA102" s="252"/>
    </row>
    <row r="103" spans="1:27">
      <c r="A103" s="326">
        <f t="shared" si="17"/>
        <v>11</v>
      </c>
      <c r="B103" s="3763" t="s">
        <v>4429</v>
      </c>
      <c r="C103" s="179">
        <v>307072233920</v>
      </c>
      <c r="D103" s="46" t="s">
        <v>4467</v>
      </c>
      <c r="E103" s="47" t="s">
        <v>4628</v>
      </c>
      <c r="F103" s="126" t="s">
        <v>2795</v>
      </c>
      <c r="G103" s="167"/>
      <c r="H103" s="167"/>
      <c r="I103" s="3764" t="s">
        <v>3383</v>
      </c>
      <c r="J103" s="707" t="s">
        <v>4622</v>
      </c>
      <c r="K103" s="170" t="s">
        <v>4490</v>
      </c>
      <c r="L103" s="1151">
        <v>296</v>
      </c>
      <c r="M103" s="1131" t="s">
        <v>2891</v>
      </c>
      <c r="N103" s="158"/>
      <c r="O103" s="150"/>
      <c r="P103" s="248"/>
      <c r="Q103" s="248"/>
      <c r="R103" s="248"/>
      <c r="S103" s="248"/>
      <c r="T103" s="247"/>
      <c r="U103" s="248"/>
      <c r="V103" s="340">
        <f t="shared" si="18"/>
        <v>0</v>
      </c>
      <c r="W103" s="344">
        <f t="shared" si="19"/>
        <v>0</v>
      </c>
      <c r="X103" s="249"/>
      <c r="Y103" s="341">
        <f t="shared" si="11"/>
        <v>648000</v>
      </c>
      <c r="Z103" s="342">
        <f t="shared" si="14"/>
        <v>648000</v>
      </c>
      <c r="AA103" s="252"/>
    </row>
    <row r="104" spans="1:27">
      <c r="A104" s="1536">
        <f t="shared" si="17"/>
        <v>12</v>
      </c>
      <c r="B104" s="3758"/>
      <c r="C104" s="179">
        <v>307072257020</v>
      </c>
      <c r="D104" s="46" t="s">
        <v>4467</v>
      </c>
      <c r="E104" s="47" t="s">
        <v>4628</v>
      </c>
      <c r="F104" s="126" t="s">
        <v>2795</v>
      </c>
      <c r="G104" s="167"/>
      <c r="H104" s="167"/>
      <c r="I104" s="3765"/>
      <c r="J104" s="707" t="s">
        <v>4623</v>
      </c>
      <c r="K104" s="170" t="s">
        <v>4491</v>
      </c>
      <c r="L104" s="1151">
        <v>502</v>
      </c>
      <c r="M104" s="1131" t="s">
        <v>2891</v>
      </c>
      <c r="N104" s="158"/>
      <c r="O104" s="150"/>
      <c r="P104" s="248"/>
      <c r="Q104" s="248"/>
      <c r="R104" s="248"/>
      <c r="S104" s="248"/>
      <c r="T104" s="247"/>
      <c r="U104" s="248"/>
      <c r="V104" s="340">
        <f>Q104+R104+S104+P104+U104</f>
        <v>0</v>
      </c>
      <c r="W104" s="344">
        <f>+T104</f>
        <v>0</v>
      </c>
      <c r="X104" s="249"/>
      <c r="Y104" s="341">
        <f t="shared" si="11"/>
        <v>648000</v>
      </c>
      <c r="Z104" s="342">
        <f t="shared" ref="Z104:Z120" si="20">+Y104+W104+V104</f>
        <v>648000</v>
      </c>
      <c r="AA104" s="252"/>
    </row>
    <row r="105" spans="1:27">
      <c r="A105" s="3753" t="s">
        <v>4666</v>
      </c>
      <c r="B105" s="3754"/>
      <c r="C105" s="3754"/>
      <c r="D105" s="3754"/>
      <c r="E105" s="3754"/>
      <c r="F105" s="3754"/>
      <c r="G105" s="3754"/>
      <c r="H105" s="3754"/>
      <c r="I105" s="3754"/>
      <c r="J105" s="3754"/>
      <c r="K105" s="3754"/>
      <c r="L105" s="3754"/>
      <c r="M105" s="3755"/>
      <c r="N105" s="1086"/>
      <c r="O105" s="1087"/>
      <c r="P105" s="1088"/>
      <c r="Q105" s="1088"/>
      <c r="R105" s="425"/>
      <c r="S105" s="425"/>
      <c r="T105" s="426"/>
      <c r="U105" s="425"/>
      <c r="V105" s="1088"/>
      <c r="W105" s="1089"/>
      <c r="X105" s="1090"/>
      <c r="Y105" s="1091">
        <f>SUM(Y93:Y104)</f>
        <v>7776000</v>
      </c>
      <c r="Z105" s="1092">
        <f>SUM(Z93:Z104)</f>
        <v>7776000</v>
      </c>
      <c r="AA105" s="252"/>
    </row>
    <row r="106" spans="1:27">
      <c r="A106" s="326">
        <v>1</v>
      </c>
      <c r="B106" s="666" t="s">
        <v>4500</v>
      </c>
      <c r="C106" s="179">
        <v>307092827110</v>
      </c>
      <c r="D106" s="386" t="s">
        <v>4686</v>
      </c>
      <c r="E106" s="47" t="s">
        <v>4872</v>
      </c>
      <c r="F106" s="126" t="s">
        <v>2795</v>
      </c>
      <c r="G106" s="167"/>
      <c r="H106" s="167"/>
      <c r="I106" s="154" t="s">
        <v>2796</v>
      </c>
      <c r="J106" s="707" t="s">
        <v>4688</v>
      </c>
      <c r="K106" s="170" t="s">
        <v>4682</v>
      </c>
      <c r="L106" s="577">
        <v>504</v>
      </c>
      <c r="M106" s="1131" t="s">
        <v>2891</v>
      </c>
      <c r="N106" s="158"/>
      <c r="O106" s="150"/>
      <c r="P106" s="248"/>
      <c r="Q106" s="248"/>
      <c r="R106" s="248"/>
      <c r="S106" s="248"/>
      <c r="T106" s="247"/>
      <c r="U106" s="248"/>
      <c r="V106" s="340">
        <v>0</v>
      </c>
      <c r="W106" s="344">
        <v>0</v>
      </c>
      <c r="X106" s="249"/>
      <c r="Y106" s="341">
        <f t="shared" si="11"/>
        <v>648000</v>
      </c>
      <c r="Z106" s="342">
        <f t="shared" si="20"/>
        <v>648000</v>
      </c>
      <c r="AA106" s="252"/>
    </row>
    <row r="107" spans="1:27">
      <c r="A107" s="326">
        <f t="shared" si="17"/>
        <v>2</v>
      </c>
      <c r="B107" s="3788" t="s">
        <v>4717</v>
      </c>
      <c r="C107" s="179">
        <v>307109639560</v>
      </c>
      <c r="D107" s="386" t="s">
        <v>4790</v>
      </c>
      <c r="E107" s="47" t="s">
        <v>4872</v>
      </c>
      <c r="F107" s="126" t="s">
        <v>2795</v>
      </c>
      <c r="G107" s="167"/>
      <c r="H107" s="167"/>
      <c r="I107" s="3784" t="s">
        <v>3383</v>
      </c>
      <c r="J107" s="707" t="s">
        <v>4774</v>
      </c>
      <c r="K107" s="170" t="s">
        <v>4714</v>
      </c>
      <c r="L107" s="577">
        <v>144</v>
      </c>
      <c r="M107" s="1131" t="s">
        <v>2891</v>
      </c>
      <c r="N107" s="158"/>
      <c r="O107" s="150"/>
      <c r="P107" s="248"/>
      <c r="Q107" s="248"/>
      <c r="R107" s="248"/>
      <c r="S107" s="248"/>
      <c r="T107" s="247"/>
      <c r="U107" s="248"/>
      <c r="V107" s="340">
        <v>0</v>
      </c>
      <c r="W107" s="344">
        <v>0</v>
      </c>
      <c r="X107" s="249"/>
      <c r="Y107" s="341">
        <f t="shared" si="11"/>
        <v>648000</v>
      </c>
      <c r="Z107" s="342">
        <f t="shared" si="20"/>
        <v>648000</v>
      </c>
      <c r="AA107" s="252"/>
    </row>
    <row r="108" spans="1:27">
      <c r="A108" s="326">
        <f t="shared" si="17"/>
        <v>3</v>
      </c>
      <c r="B108" s="3789"/>
      <c r="C108" s="179">
        <v>307109643430</v>
      </c>
      <c r="D108" s="386" t="s">
        <v>4790</v>
      </c>
      <c r="E108" s="47" t="s">
        <v>4872</v>
      </c>
      <c r="F108" s="126" t="s">
        <v>2795</v>
      </c>
      <c r="G108" s="167"/>
      <c r="H108" s="167"/>
      <c r="I108" s="3785"/>
      <c r="J108" s="707" t="s">
        <v>4775</v>
      </c>
      <c r="K108" s="170" t="s">
        <v>4716</v>
      </c>
      <c r="L108" s="577">
        <v>384</v>
      </c>
      <c r="M108" s="1131" t="s">
        <v>2891</v>
      </c>
      <c r="N108" s="158"/>
      <c r="O108" s="150"/>
      <c r="P108" s="248"/>
      <c r="Q108" s="248"/>
      <c r="R108" s="248"/>
      <c r="S108" s="248"/>
      <c r="T108" s="247"/>
      <c r="U108" s="248"/>
      <c r="V108" s="340">
        <v>0</v>
      </c>
      <c r="W108" s="344">
        <v>0</v>
      </c>
      <c r="X108" s="249"/>
      <c r="Y108" s="341">
        <f t="shared" ref="Y108:Y171" si="21">600000*1.08</f>
        <v>648000</v>
      </c>
      <c r="Z108" s="342">
        <f t="shared" si="20"/>
        <v>648000</v>
      </c>
      <c r="AA108" s="252"/>
    </row>
    <row r="109" spans="1:27">
      <c r="A109" s="326">
        <f t="shared" si="17"/>
        <v>4</v>
      </c>
      <c r="B109" s="3790"/>
      <c r="C109" s="179">
        <v>307109646230</v>
      </c>
      <c r="D109" s="386" t="s">
        <v>4790</v>
      </c>
      <c r="E109" s="47" t="s">
        <v>4872</v>
      </c>
      <c r="F109" s="126" t="s">
        <v>2795</v>
      </c>
      <c r="G109" s="167"/>
      <c r="H109" s="167"/>
      <c r="I109" s="3787"/>
      <c r="J109" s="707" t="s">
        <v>4776</v>
      </c>
      <c r="K109" s="170" t="s">
        <v>4715</v>
      </c>
      <c r="L109" s="577">
        <v>714</v>
      </c>
      <c r="M109" s="1131" t="s">
        <v>2891</v>
      </c>
      <c r="N109" s="158"/>
      <c r="O109" s="150"/>
      <c r="P109" s="248"/>
      <c r="Q109" s="248"/>
      <c r="R109" s="248"/>
      <c r="S109" s="248"/>
      <c r="T109" s="247"/>
      <c r="U109" s="248"/>
      <c r="V109" s="340">
        <v>0</v>
      </c>
      <c r="W109" s="344">
        <v>0</v>
      </c>
      <c r="X109" s="249"/>
      <c r="Y109" s="341">
        <f t="shared" si="21"/>
        <v>648000</v>
      </c>
      <c r="Z109" s="342">
        <f t="shared" si="20"/>
        <v>648000</v>
      </c>
      <c r="AA109" s="252"/>
    </row>
    <row r="110" spans="1:27">
      <c r="A110" s="326">
        <f t="shared" si="17"/>
        <v>5</v>
      </c>
      <c r="B110" s="666" t="s">
        <v>4733</v>
      </c>
      <c r="C110" s="179">
        <v>307115778560</v>
      </c>
      <c r="D110" s="386" t="s">
        <v>4748</v>
      </c>
      <c r="E110" s="47" t="s">
        <v>4872</v>
      </c>
      <c r="F110" s="126" t="s">
        <v>2795</v>
      </c>
      <c r="G110" s="167"/>
      <c r="H110" s="167"/>
      <c r="I110" s="154" t="s">
        <v>2796</v>
      </c>
      <c r="J110" s="707" t="s">
        <v>4777</v>
      </c>
      <c r="K110" s="170" t="s">
        <v>4746</v>
      </c>
      <c r="L110" s="577">
        <v>526</v>
      </c>
      <c r="M110" s="1131" t="s">
        <v>2891</v>
      </c>
      <c r="N110" s="158"/>
      <c r="O110" s="150"/>
      <c r="P110" s="248"/>
      <c r="Q110" s="248"/>
      <c r="R110" s="248"/>
      <c r="S110" s="248"/>
      <c r="T110" s="247"/>
      <c r="U110" s="248"/>
      <c r="V110" s="340">
        <v>0</v>
      </c>
      <c r="W110" s="344">
        <v>0</v>
      </c>
      <c r="X110" s="249"/>
      <c r="Y110" s="341">
        <f t="shared" si="21"/>
        <v>648000</v>
      </c>
      <c r="Z110" s="342">
        <f t="shared" si="20"/>
        <v>648000</v>
      </c>
      <c r="AA110" s="252"/>
    </row>
    <row r="111" spans="1:27">
      <c r="A111" s="326">
        <f t="shared" si="17"/>
        <v>6</v>
      </c>
      <c r="B111" s="666" t="s">
        <v>4748</v>
      </c>
      <c r="C111" s="179">
        <v>307129944130</v>
      </c>
      <c r="D111" s="386" t="s">
        <v>4794</v>
      </c>
      <c r="E111" s="47" t="s">
        <v>4872</v>
      </c>
      <c r="F111" s="126" t="s">
        <v>2795</v>
      </c>
      <c r="G111" s="167"/>
      <c r="H111" s="167"/>
      <c r="I111" s="154" t="s">
        <v>4755</v>
      </c>
      <c r="J111" s="707" t="s">
        <v>4789</v>
      </c>
      <c r="K111" s="170" t="s">
        <v>4773</v>
      </c>
      <c r="L111" s="577">
        <v>84</v>
      </c>
      <c r="M111" s="1131" t="s">
        <v>2891</v>
      </c>
      <c r="N111" s="158"/>
      <c r="O111" s="150"/>
      <c r="P111" s="248"/>
      <c r="Q111" s="248"/>
      <c r="R111" s="248"/>
      <c r="S111" s="248"/>
      <c r="T111" s="247"/>
      <c r="U111" s="248"/>
      <c r="V111" s="340">
        <v>0</v>
      </c>
      <c r="W111" s="344">
        <v>0</v>
      </c>
      <c r="X111" s="249"/>
      <c r="Y111" s="341">
        <f t="shared" si="21"/>
        <v>648000</v>
      </c>
      <c r="Z111" s="342">
        <f t="shared" si="20"/>
        <v>648000</v>
      </c>
      <c r="AA111" s="252"/>
    </row>
    <row r="112" spans="1:27">
      <c r="A112" s="1611">
        <v>7</v>
      </c>
      <c r="B112" s="666" t="s">
        <v>4790</v>
      </c>
      <c r="C112" s="179">
        <v>307124983600</v>
      </c>
      <c r="D112" s="386" t="s">
        <v>4771</v>
      </c>
      <c r="E112" s="47" t="s">
        <v>4872</v>
      </c>
      <c r="F112" s="126" t="s">
        <v>2795</v>
      </c>
      <c r="G112" s="167"/>
      <c r="H112" s="167"/>
      <c r="I112" s="127" t="s">
        <v>2794</v>
      </c>
      <c r="J112" s="707" t="s">
        <v>4792</v>
      </c>
      <c r="K112" s="1612" t="s">
        <v>4791</v>
      </c>
      <c r="L112" s="577">
        <v>183</v>
      </c>
      <c r="M112" s="1131" t="s">
        <v>2891</v>
      </c>
      <c r="N112" s="1605"/>
      <c r="O112" s="1613"/>
      <c r="P112" s="1603"/>
      <c r="Q112" s="1603"/>
      <c r="R112" s="1603"/>
      <c r="S112" s="1603"/>
      <c r="T112" s="1604"/>
      <c r="U112" s="1603"/>
      <c r="V112" s="340">
        <v>0</v>
      </c>
      <c r="W112" s="344">
        <v>0</v>
      </c>
      <c r="X112" s="1614"/>
      <c r="Y112" s="341">
        <f t="shared" si="21"/>
        <v>648000</v>
      </c>
      <c r="Z112" s="342">
        <f t="shared" si="20"/>
        <v>648000</v>
      </c>
      <c r="AA112" s="1606"/>
    </row>
    <row r="113" spans="1:35" ht="26.4">
      <c r="A113" s="326">
        <v>8</v>
      </c>
      <c r="B113" s="666" t="s">
        <v>4771</v>
      </c>
      <c r="C113" s="179">
        <v>307129261740</v>
      </c>
      <c r="D113" s="386" t="s">
        <v>4763</v>
      </c>
      <c r="E113" s="47" t="s">
        <v>4872</v>
      </c>
      <c r="F113" s="126" t="s">
        <v>2795</v>
      </c>
      <c r="G113" s="167"/>
      <c r="H113" s="167"/>
      <c r="I113" s="154" t="s">
        <v>2796</v>
      </c>
      <c r="J113" s="1618" t="s">
        <v>4808</v>
      </c>
      <c r="K113" s="170" t="s">
        <v>4772</v>
      </c>
      <c r="L113" s="577">
        <v>966</v>
      </c>
      <c r="M113" s="1131" t="s">
        <v>2891</v>
      </c>
      <c r="N113" s="158"/>
      <c r="O113" s="150"/>
      <c r="P113" s="248"/>
      <c r="Q113" s="248"/>
      <c r="R113" s="248"/>
      <c r="S113" s="248"/>
      <c r="T113" s="247"/>
      <c r="U113" s="248"/>
      <c r="V113" s="340">
        <v>0</v>
      </c>
      <c r="W113" s="344">
        <v>0</v>
      </c>
      <c r="X113" s="249"/>
      <c r="Y113" s="341">
        <f t="shared" si="21"/>
        <v>648000</v>
      </c>
      <c r="Z113" s="342">
        <f t="shared" si="20"/>
        <v>648000</v>
      </c>
      <c r="AA113" s="252"/>
    </row>
    <row r="114" spans="1:35">
      <c r="A114" s="326">
        <f t="shared" si="17"/>
        <v>9</v>
      </c>
      <c r="B114" s="666" t="s">
        <v>4793</v>
      </c>
      <c r="C114" s="179">
        <v>307133133700</v>
      </c>
      <c r="D114" s="386" t="s">
        <v>4428</v>
      </c>
      <c r="E114" s="47" t="s">
        <v>4872</v>
      </c>
      <c r="F114" s="126" t="s">
        <v>2795</v>
      </c>
      <c r="G114" s="167"/>
      <c r="H114" s="167"/>
      <c r="I114" s="154" t="s">
        <v>3035</v>
      </c>
      <c r="J114" s="707" t="s">
        <v>4800</v>
      </c>
      <c r="K114" s="1109" t="s">
        <v>4788</v>
      </c>
      <c r="L114" s="577">
        <v>81</v>
      </c>
      <c r="M114" s="1131" t="s">
        <v>2891</v>
      </c>
      <c r="N114" s="158"/>
      <c r="O114" s="150"/>
      <c r="P114" s="248"/>
      <c r="Q114" s="248"/>
      <c r="R114" s="248"/>
      <c r="S114" s="248"/>
      <c r="T114" s="247"/>
      <c r="U114" s="248"/>
      <c r="V114" s="340">
        <v>0</v>
      </c>
      <c r="W114" s="344">
        <v>0</v>
      </c>
      <c r="X114" s="249"/>
      <c r="Y114" s="341">
        <f t="shared" si="21"/>
        <v>648000</v>
      </c>
      <c r="Z114" s="342">
        <f t="shared" si="20"/>
        <v>648000</v>
      </c>
      <c r="AA114" s="252"/>
    </row>
    <row r="115" spans="1:35">
      <c r="A115" s="326">
        <f t="shared" si="17"/>
        <v>10</v>
      </c>
      <c r="B115" s="3763" t="s">
        <v>4820</v>
      </c>
      <c r="C115" s="179">
        <v>307149082350</v>
      </c>
      <c r="D115" s="386" t="s">
        <v>4840</v>
      </c>
      <c r="E115" s="47" t="s">
        <v>4872</v>
      </c>
      <c r="F115" s="126" t="s">
        <v>2795</v>
      </c>
      <c r="G115" s="167"/>
      <c r="H115" s="167"/>
      <c r="I115" s="3784" t="s">
        <v>3383</v>
      </c>
      <c r="J115" s="707" t="s">
        <v>4921</v>
      </c>
      <c r="K115" s="170" t="s">
        <v>4832</v>
      </c>
      <c r="L115" s="522">
        <v>630</v>
      </c>
      <c r="M115" s="1590" t="s">
        <v>662</v>
      </c>
      <c r="N115" s="1591"/>
      <c r="O115" s="1592"/>
      <c r="P115" s="1593"/>
      <c r="Q115" s="1593"/>
      <c r="R115" s="1593"/>
      <c r="S115" s="1593"/>
      <c r="T115" s="1594"/>
      <c r="U115" s="1593"/>
      <c r="V115" s="340">
        <v>0</v>
      </c>
      <c r="W115" s="344">
        <v>0</v>
      </c>
      <c r="X115" s="1595"/>
      <c r="Y115" s="341">
        <f t="shared" si="21"/>
        <v>648000</v>
      </c>
      <c r="Z115" s="342">
        <f t="shared" si="20"/>
        <v>648000</v>
      </c>
      <c r="AA115" s="1596"/>
    </row>
    <row r="116" spans="1:35" ht="12.75" customHeight="1">
      <c r="A116" s="326">
        <f t="shared" si="17"/>
        <v>11</v>
      </c>
      <c r="B116" s="3791"/>
      <c r="C116" s="179">
        <v>307149089020</v>
      </c>
      <c r="D116" s="386" t="s">
        <v>4840</v>
      </c>
      <c r="E116" s="47" t="s">
        <v>4872</v>
      </c>
      <c r="F116" s="126" t="s">
        <v>2795</v>
      </c>
      <c r="G116" s="167"/>
      <c r="H116" s="167"/>
      <c r="I116" s="3785"/>
      <c r="J116" s="707" t="s">
        <v>4922</v>
      </c>
      <c r="K116" s="170" t="s">
        <v>4833</v>
      </c>
      <c r="L116" s="1630" t="s">
        <v>4854</v>
      </c>
      <c r="M116" s="1131" t="s">
        <v>2891</v>
      </c>
      <c r="N116" s="1579"/>
      <c r="O116" s="1579"/>
      <c r="P116" s="1579"/>
      <c r="Q116" s="1579"/>
      <c r="R116" s="1579"/>
      <c r="S116" s="1579"/>
      <c r="T116" s="1579"/>
      <c r="U116" s="1579"/>
      <c r="V116" s="340">
        <v>0</v>
      </c>
      <c r="W116" s="344">
        <v>0</v>
      </c>
      <c r="X116" s="1579"/>
      <c r="Y116" s="341">
        <f t="shared" si="21"/>
        <v>648000</v>
      </c>
      <c r="Z116" s="342">
        <f t="shared" si="20"/>
        <v>648000</v>
      </c>
      <c r="AA116" s="1579"/>
      <c r="AB116" s="1579"/>
      <c r="AC116" s="1579"/>
      <c r="AD116" s="1579"/>
      <c r="AE116" s="1579"/>
      <c r="AF116" s="1579"/>
      <c r="AG116" s="1579"/>
      <c r="AH116" s="1579"/>
      <c r="AI116" s="1579"/>
    </row>
    <row r="117" spans="1:35">
      <c r="A117" s="326">
        <f t="shared" si="17"/>
        <v>12</v>
      </c>
      <c r="B117" s="3791"/>
      <c r="C117" s="179">
        <v>307149093440</v>
      </c>
      <c r="D117" s="386" t="s">
        <v>4840</v>
      </c>
      <c r="E117" s="47" t="s">
        <v>4872</v>
      </c>
      <c r="F117" s="126" t="s">
        <v>2795</v>
      </c>
      <c r="G117" s="167"/>
      <c r="H117" s="167"/>
      <c r="I117" s="3785"/>
      <c r="J117" s="707" t="s">
        <v>4923</v>
      </c>
      <c r="K117" s="170" t="s">
        <v>4834</v>
      </c>
      <c r="L117" s="1630" t="s">
        <v>4855</v>
      </c>
      <c r="M117" s="1131" t="s">
        <v>2891</v>
      </c>
      <c r="N117" s="1579"/>
      <c r="O117" s="1579"/>
      <c r="P117" s="1579"/>
      <c r="Q117" s="1579"/>
      <c r="R117" s="1579"/>
      <c r="S117" s="1579"/>
      <c r="T117" s="1579"/>
      <c r="U117" s="1579"/>
      <c r="V117" s="340">
        <v>0</v>
      </c>
      <c r="W117" s="344">
        <v>0</v>
      </c>
      <c r="X117" s="1579"/>
      <c r="Y117" s="341">
        <f t="shared" si="21"/>
        <v>648000</v>
      </c>
      <c r="Z117" s="342">
        <f t="shared" si="20"/>
        <v>648000</v>
      </c>
      <c r="AA117" s="1579"/>
      <c r="AB117" s="1579"/>
      <c r="AC117" s="1579"/>
      <c r="AD117" s="1579"/>
      <c r="AE117" s="1579"/>
      <c r="AF117" s="1579"/>
      <c r="AG117" s="1579"/>
      <c r="AH117" s="1579"/>
      <c r="AI117" s="1579"/>
    </row>
    <row r="118" spans="1:35">
      <c r="A118" s="326">
        <f t="shared" si="17"/>
        <v>13</v>
      </c>
      <c r="B118" s="3792"/>
      <c r="C118" s="179">
        <v>307149096610</v>
      </c>
      <c r="D118" s="386" t="s">
        <v>4840</v>
      </c>
      <c r="E118" s="47" t="s">
        <v>4872</v>
      </c>
      <c r="F118" s="126" t="s">
        <v>2795</v>
      </c>
      <c r="G118" s="167"/>
      <c r="H118" s="167"/>
      <c r="I118" s="3786"/>
      <c r="J118" s="707" t="s">
        <v>4924</v>
      </c>
      <c r="K118" s="170" t="s">
        <v>4835</v>
      </c>
      <c r="L118" s="1630">
        <v>694</v>
      </c>
      <c r="M118" s="1131" t="s">
        <v>2891</v>
      </c>
      <c r="N118" s="1597"/>
      <c r="O118" s="1597"/>
      <c r="P118" s="1597"/>
      <c r="Q118" s="1597"/>
      <c r="R118" s="1597"/>
      <c r="S118" s="1597"/>
      <c r="T118" s="1597"/>
      <c r="U118" s="1597"/>
      <c r="V118" s="340">
        <v>0</v>
      </c>
      <c r="W118" s="344">
        <v>0</v>
      </c>
      <c r="X118" s="1597"/>
      <c r="Y118" s="341">
        <f t="shared" si="21"/>
        <v>648000</v>
      </c>
      <c r="Z118" s="342">
        <f t="shared" si="20"/>
        <v>648000</v>
      </c>
      <c r="AA118" s="1597"/>
      <c r="AB118" s="1597"/>
      <c r="AC118" s="1597"/>
      <c r="AD118" s="1597"/>
      <c r="AE118" s="1597"/>
      <c r="AF118" s="1597"/>
      <c r="AG118" s="1597"/>
    </row>
    <row r="119" spans="1:35">
      <c r="A119" s="326">
        <f t="shared" si="17"/>
        <v>14</v>
      </c>
      <c r="B119" s="731" t="s">
        <v>4820</v>
      </c>
      <c r="C119" s="1287">
        <v>307149114220</v>
      </c>
      <c r="D119" s="386" t="s">
        <v>4885</v>
      </c>
      <c r="E119" s="47" t="s">
        <v>4872</v>
      </c>
      <c r="F119" s="126" t="s">
        <v>2795</v>
      </c>
      <c r="G119" s="167"/>
      <c r="H119" s="167"/>
      <c r="I119" s="154" t="s">
        <v>4755</v>
      </c>
      <c r="J119" s="707" t="s">
        <v>4886</v>
      </c>
      <c r="K119" s="170" t="s">
        <v>4836</v>
      </c>
      <c r="L119" s="577">
        <v>43</v>
      </c>
      <c r="M119" s="1131" t="s">
        <v>2891</v>
      </c>
      <c r="N119" s="806"/>
      <c r="O119" s="807"/>
      <c r="P119" s="425"/>
      <c r="Q119" s="425"/>
      <c r="R119" s="425"/>
      <c r="S119" s="425"/>
      <c r="T119" s="426"/>
      <c r="U119" s="425"/>
      <c r="V119" s="340">
        <v>0</v>
      </c>
      <c r="W119" s="344">
        <v>0</v>
      </c>
      <c r="X119" s="1589"/>
      <c r="Y119" s="341">
        <f t="shared" si="21"/>
        <v>648000</v>
      </c>
      <c r="Z119" s="342">
        <f t="shared" si="20"/>
        <v>648000</v>
      </c>
      <c r="AA119" s="808"/>
    </row>
    <row r="120" spans="1:35">
      <c r="A120" s="1611">
        <f t="shared" si="17"/>
        <v>15</v>
      </c>
      <c r="B120" s="666" t="s">
        <v>4826</v>
      </c>
      <c r="C120" s="1725">
        <v>307153408130</v>
      </c>
      <c r="D120" s="1726" t="s">
        <v>4840</v>
      </c>
      <c r="E120" s="1727" t="s">
        <v>4872</v>
      </c>
      <c r="F120" s="1728" t="s">
        <v>2795</v>
      </c>
      <c r="G120" s="167"/>
      <c r="H120" s="167"/>
      <c r="I120" s="127" t="s">
        <v>2796</v>
      </c>
      <c r="J120" s="658" t="s">
        <v>4920</v>
      </c>
      <c r="K120" s="1729" t="s">
        <v>4853</v>
      </c>
      <c r="L120" s="522">
        <v>456</v>
      </c>
      <c r="M120" s="1730" t="s">
        <v>2891</v>
      </c>
      <c r="N120" s="158"/>
      <c r="O120" s="150"/>
      <c r="P120" s="248"/>
      <c r="Q120" s="248"/>
      <c r="R120" s="248"/>
      <c r="S120" s="248"/>
      <c r="T120" s="247"/>
      <c r="U120" s="248"/>
      <c r="V120" s="340">
        <v>0</v>
      </c>
      <c r="W120" s="344">
        <v>0</v>
      </c>
      <c r="X120" s="249"/>
      <c r="Y120" s="341">
        <f t="shared" si="21"/>
        <v>648000</v>
      </c>
      <c r="Z120" s="342">
        <f t="shared" si="20"/>
        <v>648000</v>
      </c>
      <c r="AA120" s="252"/>
    </row>
    <row r="121" spans="1:35">
      <c r="A121" s="3752" t="s">
        <v>5136</v>
      </c>
      <c r="B121" s="3752"/>
      <c r="C121" s="3752"/>
      <c r="D121" s="3752"/>
      <c r="E121" s="3752"/>
      <c r="F121" s="3752"/>
      <c r="G121" s="3752"/>
      <c r="H121" s="3752"/>
      <c r="I121" s="3752"/>
      <c r="J121" s="3752"/>
      <c r="K121" s="3752"/>
      <c r="L121" s="3752"/>
      <c r="M121" s="3752"/>
      <c r="N121" s="1086"/>
      <c r="O121" s="1087"/>
      <c r="P121" s="1088"/>
      <c r="Q121" s="1088"/>
      <c r="R121" s="425"/>
      <c r="S121" s="425"/>
      <c r="T121" s="426"/>
      <c r="U121" s="425"/>
      <c r="V121" s="1088"/>
      <c r="W121" s="1089"/>
      <c r="X121" s="1090"/>
      <c r="Y121" s="1091">
        <f>SUM(Y106:Y120)</f>
        <v>9720000</v>
      </c>
      <c r="Z121" s="1091">
        <f>SUM(Z106:Z120)</f>
        <v>9720000</v>
      </c>
      <c r="AA121" s="252"/>
    </row>
    <row r="122" spans="1:35">
      <c r="A122" s="670">
        <v>1</v>
      </c>
      <c r="B122" s="888"/>
      <c r="C122" s="805">
        <v>307172272910</v>
      </c>
      <c r="D122" s="699" t="s">
        <v>4931</v>
      </c>
      <c r="E122" s="672" t="s">
        <v>5150</v>
      </c>
      <c r="F122" s="673" t="s">
        <v>2795</v>
      </c>
      <c r="G122" s="445"/>
      <c r="H122" s="445"/>
      <c r="I122" s="577" t="s">
        <v>2796</v>
      </c>
      <c r="J122" s="707" t="s">
        <v>4949</v>
      </c>
      <c r="K122" s="1722" t="s">
        <v>4948</v>
      </c>
      <c r="L122" s="577">
        <v>912</v>
      </c>
      <c r="M122" s="1474" t="s">
        <v>2891</v>
      </c>
      <c r="N122" s="158"/>
      <c r="O122" s="150"/>
      <c r="P122" s="248"/>
      <c r="Q122" s="248"/>
      <c r="R122" s="248"/>
      <c r="S122" s="248"/>
      <c r="T122" s="247"/>
      <c r="U122" s="248"/>
      <c r="V122" s="340">
        <v>0</v>
      </c>
      <c r="W122" s="344">
        <v>0</v>
      </c>
      <c r="X122" s="249"/>
      <c r="Y122" s="341">
        <f t="shared" si="21"/>
        <v>648000</v>
      </c>
      <c r="Z122" s="342">
        <f>+Y122+W122+V122</f>
        <v>648000</v>
      </c>
      <c r="AA122" s="252"/>
    </row>
    <row r="123" spans="1:35" ht="24" customHeight="1">
      <c r="A123" s="326">
        <f t="shared" si="17"/>
        <v>2</v>
      </c>
      <c r="B123" s="295"/>
      <c r="C123" s="179">
        <v>307186172110</v>
      </c>
      <c r="D123" s="386" t="s">
        <v>4936</v>
      </c>
      <c r="E123" s="672" t="s">
        <v>5150</v>
      </c>
      <c r="F123" s="126" t="s">
        <v>2795</v>
      </c>
      <c r="G123" s="167"/>
      <c r="H123" s="167"/>
      <c r="I123" s="154" t="s">
        <v>2796</v>
      </c>
      <c r="J123" s="1618" t="s">
        <v>4989</v>
      </c>
      <c r="K123" s="170" t="s">
        <v>4966</v>
      </c>
      <c r="L123" s="577">
        <v>649</v>
      </c>
      <c r="M123" s="1131" t="s">
        <v>2891</v>
      </c>
      <c r="N123" s="158"/>
      <c r="O123" s="150"/>
      <c r="P123" s="248"/>
      <c r="Q123" s="248"/>
      <c r="R123" s="248"/>
      <c r="S123" s="248"/>
      <c r="T123" s="247"/>
      <c r="U123" s="248"/>
      <c r="V123" s="340">
        <v>0</v>
      </c>
      <c r="W123" s="344">
        <v>0</v>
      </c>
      <c r="X123" s="249"/>
      <c r="Y123" s="341">
        <f t="shared" si="21"/>
        <v>648000</v>
      </c>
      <c r="Z123" s="342">
        <f t="shared" ref="Z123:Z135" si="22">+Y123+W123+V123</f>
        <v>648000</v>
      </c>
      <c r="AA123" s="252"/>
    </row>
    <row r="124" spans="1:35">
      <c r="A124" s="326">
        <f t="shared" si="17"/>
        <v>3</v>
      </c>
      <c r="B124" s="295"/>
      <c r="C124" s="179">
        <v>307186659050</v>
      </c>
      <c r="D124" s="386" t="s">
        <v>4936</v>
      </c>
      <c r="E124" s="672" t="s">
        <v>5150</v>
      </c>
      <c r="F124" s="126" t="s">
        <v>2795</v>
      </c>
      <c r="G124" s="167"/>
      <c r="H124" s="167"/>
      <c r="I124" s="154" t="s">
        <v>2794</v>
      </c>
      <c r="J124" s="707" t="s">
        <v>4979</v>
      </c>
      <c r="K124" s="170" t="s">
        <v>4967</v>
      </c>
      <c r="L124" s="577">
        <v>321</v>
      </c>
      <c r="M124" s="1131" t="s">
        <v>2891</v>
      </c>
      <c r="N124" s="158"/>
      <c r="O124" s="150"/>
      <c r="P124" s="248"/>
      <c r="Q124" s="248"/>
      <c r="R124" s="248"/>
      <c r="S124" s="248"/>
      <c r="T124" s="247"/>
      <c r="U124" s="248"/>
      <c r="V124" s="340">
        <v>0</v>
      </c>
      <c r="W124" s="344">
        <v>0</v>
      </c>
      <c r="X124" s="249"/>
      <c r="Y124" s="341">
        <f t="shared" si="21"/>
        <v>648000</v>
      </c>
      <c r="Z124" s="342">
        <f t="shared" si="22"/>
        <v>648000</v>
      </c>
      <c r="AA124" s="252"/>
    </row>
    <row r="125" spans="1:35">
      <c r="A125" s="326">
        <f t="shared" si="17"/>
        <v>4</v>
      </c>
      <c r="B125" s="295"/>
      <c r="C125" s="179">
        <v>307187644540</v>
      </c>
      <c r="D125" s="386" t="s">
        <v>4936</v>
      </c>
      <c r="E125" s="672" t="s">
        <v>5150</v>
      </c>
      <c r="F125" s="126" t="s">
        <v>2795</v>
      </c>
      <c r="G125" s="167"/>
      <c r="H125" s="167"/>
      <c r="I125" s="154" t="s">
        <v>4755</v>
      </c>
      <c r="J125" s="707" t="s">
        <v>4988</v>
      </c>
      <c r="K125" s="170" t="s">
        <v>4980</v>
      </c>
      <c r="L125" s="577">
        <v>15</v>
      </c>
      <c r="M125" s="1131" t="s">
        <v>2891</v>
      </c>
      <c r="N125" s="158"/>
      <c r="O125" s="150"/>
      <c r="P125" s="248"/>
      <c r="Q125" s="248"/>
      <c r="R125" s="248"/>
      <c r="S125" s="248"/>
      <c r="T125" s="247"/>
      <c r="U125" s="248"/>
      <c r="V125" s="340">
        <v>0</v>
      </c>
      <c r="W125" s="344">
        <v>0</v>
      </c>
      <c r="X125" s="249"/>
      <c r="Y125" s="341">
        <f t="shared" si="21"/>
        <v>648000</v>
      </c>
      <c r="Z125" s="342">
        <f t="shared" si="22"/>
        <v>648000</v>
      </c>
      <c r="AA125" s="252"/>
    </row>
    <row r="126" spans="1:35">
      <c r="A126" s="326">
        <f t="shared" si="17"/>
        <v>5</v>
      </c>
      <c r="B126" s="295"/>
      <c r="C126" s="179">
        <v>307196235860</v>
      </c>
      <c r="D126" s="386" t="s">
        <v>4944</v>
      </c>
      <c r="E126" s="672" t="s">
        <v>5150</v>
      </c>
      <c r="F126" s="126" t="s">
        <v>2795</v>
      </c>
      <c r="G126" s="167"/>
      <c r="H126" s="167"/>
      <c r="I126" s="154" t="s">
        <v>4755</v>
      </c>
      <c r="J126" s="707" t="s">
        <v>5018</v>
      </c>
      <c r="K126" s="170" t="s">
        <v>5010</v>
      </c>
      <c r="L126" s="577">
        <v>1687</v>
      </c>
      <c r="M126" s="1131" t="s">
        <v>2891</v>
      </c>
      <c r="N126" s="158"/>
      <c r="O126" s="150"/>
      <c r="P126" s="248"/>
      <c r="Q126" s="248"/>
      <c r="R126" s="248"/>
      <c r="S126" s="248"/>
      <c r="T126" s="247"/>
      <c r="U126" s="248"/>
      <c r="V126" s="340">
        <v>0</v>
      </c>
      <c r="W126" s="344">
        <v>0</v>
      </c>
      <c r="X126" s="249"/>
      <c r="Y126" s="341">
        <f t="shared" si="21"/>
        <v>648000</v>
      </c>
      <c r="Z126" s="342">
        <f t="shared" si="22"/>
        <v>648000</v>
      </c>
      <c r="AA126" s="252"/>
    </row>
    <row r="127" spans="1:35">
      <c r="A127" s="326">
        <f t="shared" si="17"/>
        <v>6</v>
      </c>
      <c r="B127" s="295"/>
      <c r="C127" s="179">
        <v>307205461900</v>
      </c>
      <c r="D127" s="386" t="s">
        <v>5037</v>
      </c>
      <c r="E127" s="672" t="s">
        <v>5150</v>
      </c>
      <c r="F127" s="126" t="s">
        <v>2795</v>
      </c>
      <c r="G127" s="167"/>
      <c r="H127" s="167"/>
      <c r="I127" s="3784" t="s">
        <v>3383</v>
      </c>
      <c r="J127" s="707" t="s">
        <v>5071</v>
      </c>
      <c r="K127" s="170" t="s">
        <v>5028</v>
      </c>
      <c r="L127" s="577">
        <v>221</v>
      </c>
      <c r="M127" s="1131" t="s">
        <v>2891</v>
      </c>
      <c r="N127" s="158"/>
      <c r="O127" s="150"/>
      <c r="P127" s="248"/>
      <c r="Q127" s="248"/>
      <c r="R127" s="248"/>
      <c r="S127" s="248"/>
      <c r="T127" s="247"/>
      <c r="U127" s="248"/>
      <c r="V127" s="340">
        <v>0</v>
      </c>
      <c r="W127" s="344">
        <v>0</v>
      </c>
      <c r="X127" s="249"/>
      <c r="Y127" s="341">
        <f t="shared" si="21"/>
        <v>648000</v>
      </c>
      <c r="Z127" s="342">
        <f t="shared" si="22"/>
        <v>648000</v>
      </c>
      <c r="AA127" s="252"/>
    </row>
    <row r="128" spans="1:35">
      <c r="A128" s="326">
        <f t="shared" si="17"/>
        <v>7</v>
      </c>
      <c r="B128" s="295"/>
      <c r="C128" s="179">
        <v>307205510050</v>
      </c>
      <c r="D128" s="386" t="s">
        <v>5037</v>
      </c>
      <c r="E128" s="672" t="s">
        <v>5150</v>
      </c>
      <c r="F128" s="126" t="s">
        <v>2795</v>
      </c>
      <c r="G128" s="167"/>
      <c r="H128" s="167"/>
      <c r="I128" s="3785"/>
      <c r="J128" s="707" t="s">
        <v>5072</v>
      </c>
      <c r="K128" s="170" t="s">
        <v>5029</v>
      </c>
      <c r="L128" s="577">
        <v>134</v>
      </c>
      <c r="M128" s="1131" t="s">
        <v>2891</v>
      </c>
      <c r="N128" s="158"/>
      <c r="O128" s="150"/>
      <c r="P128" s="248"/>
      <c r="Q128" s="248"/>
      <c r="R128" s="248"/>
      <c r="S128" s="248"/>
      <c r="T128" s="247"/>
      <c r="U128" s="248"/>
      <c r="V128" s="340">
        <v>0</v>
      </c>
      <c r="W128" s="344">
        <v>0</v>
      </c>
      <c r="X128" s="249"/>
      <c r="Y128" s="341">
        <f t="shared" si="21"/>
        <v>648000</v>
      </c>
      <c r="Z128" s="342">
        <f t="shared" si="22"/>
        <v>648000</v>
      </c>
      <c r="AA128" s="252"/>
    </row>
    <row r="129" spans="1:27">
      <c r="A129" s="326">
        <f t="shared" si="17"/>
        <v>8</v>
      </c>
      <c r="B129" s="295"/>
      <c r="C129" s="179">
        <v>307205531530</v>
      </c>
      <c r="D129" s="386" t="s">
        <v>5037</v>
      </c>
      <c r="E129" s="672" t="s">
        <v>5150</v>
      </c>
      <c r="F129" s="126" t="s">
        <v>2795</v>
      </c>
      <c r="G129" s="167"/>
      <c r="H129" s="167"/>
      <c r="I129" s="3785"/>
      <c r="J129" s="707" t="s">
        <v>5073</v>
      </c>
      <c r="K129" s="170" t="s">
        <v>5030</v>
      </c>
      <c r="L129" s="577">
        <v>1039</v>
      </c>
      <c r="M129" s="1131" t="s">
        <v>2891</v>
      </c>
      <c r="N129" s="158"/>
      <c r="O129" s="150"/>
      <c r="P129" s="248"/>
      <c r="Q129" s="248"/>
      <c r="R129" s="248"/>
      <c r="S129" s="248"/>
      <c r="T129" s="247"/>
      <c r="U129" s="248"/>
      <c r="V129" s="340">
        <v>0</v>
      </c>
      <c r="W129" s="344">
        <v>0</v>
      </c>
      <c r="X129" s="249"/>
      <c r="Y129" s="341">
        <f t="shared" si="21"/>
        <v>648000</v>
      </c>
      <c r="Z129" s="342">
        <f t="shared" si="22"/>
        <v>648000</v>
      </c>
      <c r="AA129" s="252"/>
    </row>
    <row r="130" spans="1:27">
      <c r="A130" s="326">
        <f t="shared" si="17"/>
        <v>9</v>
      </c>
      <c r="B130" s="295"/>
      <c r="C130" s="179">
        <v>307205549620</v>
      </c>
      <c r="D130" s="386" t="s">
        <v>5037</v>
      </c>
      <c r="E130" s="672" t="s">
        <v>5150</v>
      </c>
      <c r="F130" s="126" t="s">
        <v>2795</v>
      </c>
      <c r="G130" s="167"/>
      <c r="H130" s="167"/>
      <c r="I130" s="3786"/>
      <c r="J130" s="707" t="s">
        <v>5074</v>
      </c>
      <c r="K130" s="170" t="s">
        <v>5031</v>
      </c>
      <c r="L130" s="577">
        <v>867</v>
      </c>
      <c r="M130" s="1131" t="s">
        <v>2891</v>
      </c>
      <c r="N130" s="158"/>
      <c r="O130" s="150"/>
      <c r="P130" s="248"/>
      <c r="Q130" s="248"/>
      <c r="R130" s="248"/>
      <c r="S130" s="248"/>
      <c r="T130" s="247"/>
      <c r="U130" s="248"/>
      <c r="V130" s="340">
        <v>0</v>
      </c>
      <c r="W130" s="344">
        <v>0</v>
      </c>
      <c r="X130" s="249"/>
      <c r="Y130" s="341">
        <f t="shared" si="21"/>
        <v>648000</v>
      </c>
      <c r="Z130" s="342">
        <f t="shared" si="22"/>
        <v>648000</v>
      </c>
      <c r="AA130" s="252"/>
    </row>
    <row r="131" spans="1:27">
      <c r="A131" s="326">
        <f t="shared" si="17"/>
        <v>10</v>
      </c>
      <c r="B131" s="295"/>
      <c r="C131" s="179">
        <v>307207811100</v>
      </c>
      <c r="D131" s="386" t="s">
        <v>4952</v>
      </c>
      <c r="E131" s="672" t="s">
        <v>5150</v>
      </c>
      <c r="F131" s="126" t="s">
        <v>2795</v>
      </c>
      <c r="G131" s="167"/>
      <c r="H131" s="167"/>
      <c r="I131" s="154" t="s">
        <v>2796</v>
      </c>
      <c r="J131" s="707" t="s">
        <v>5059</v>
      </c>
      <c r="K131" s="170" t="s">
        <v>5043</v>
      </c>
      <c r="L131" s="577">
        <v>1349</v>
      </c>
      <c r="M131" s="1131" t="s">
        <v>2891</v>
      </c>
      <c r="N131" s="158"/>
      <c r="O131" s="150"/>
      <c r="P131" s="248"/>
      <c r="Q131" s="248"/>
      <c r="R131" s="248"/>
      <c r="S131" s="248"/>
      <c r="T131" s="247"/>
      <c r="U131" s="248"/>
      <c r="V131" s="340">
        <v>0</v>
      </c>
      <c r="W131" s="344">
        <v>0</v>
      </c>
      <c r="X131" s="249"/>
      <c r="Y131" s="341">
        <f t="shared" si="21"/>
        <v>648000</v>
      </c>
      <c r="Z131" s="342">
        <f t="shared" si="22"/>
        <v>648000</v>
      </c>
      <c r="AA131" s="252"/>
    </row>
    <row r="132" spans="1:27">
      <c r="A132" s="326">
        <f t="shared" si="17"/>
        <v>11</v>
      </c>
      <c r="B132" s="295"/>
      <c r="C132" s="179">
        <v>307210291640</v>
      </c>
      <c r="D132" s="386" t="s">
        <v>4952</v>
      </c>
      <c r="E132" s="672" t="s">
        <v>5150</v>
      </c>
      <c r="F132" s="126" t="s">
        <v>2795</v>
      </c>
      <c r="G132" s="167"/>
      <c r="H132" s="167"/>
      <c r="I132" s="154" t="s">
        <v>2794</v>
      </c>
      <c r="J132" s="707" t="s">
        <v>5060</v>
      </c>
      <c r="K132" s="170" t="s">
        <v>5058</v>
      </c>
      <c r="L132" s="577">
        <v>382</v>
      </c>
      <c r="M132" s="1131" t="s">
        <v>2891</v>
      </c>
      <c r="N132" s="158"/>
      <c r="O132" s="150"/>
      <c r="P132" s="248"/>
      <c r="Q132" s="248"/>
      <c r="R132" s="248"/>
      <c r="S132" s="248"/>
      <c r="T132" s="247"/>
      <c r="U132" s="248"/>
      <c r="V132" s="340">
        <v>0</v>
      </c>
      <c r="W132" s="344">
        <v>0</v>
      </c>
      <c r="X132" s="249"/>
      <c r="Y132" s="341">
        <f t="shared" si="21"/>
        <v>648000</v>
      </c>
      <c r="Z132" s="342">
        <f t="shared" si="22"/>
        <v>648000</v>
      </c>
      <c r="AA132" s="252"/>
    </row>
    <row r="133" spans="1:27">
      <c r="A133" s="326">
        <f t="shared" si="17"/>
        <v>12</v>
      </c>
      <c r="B133" s="295"/>
      <c r="C133" s="179">
        <v>307222745710</v>
      </c>
      <c r="D133" s="386" t="s">
        <v>5094</v>
      </c>
      <c r="E133" s="672" t="s">
        <v>5150</v>
      </c>
      <c r="F133" s="126" t="s">
        <v>2795</v>
      </c>
      <c r="G133" s="167"/>
      <c r="H133" s="167"/>
      <c r="I133" s="3784" t="s">
        <v>3383</v>
      </c>
      <c r="J133" s="707" t="s">
        <v>5120</v>
      </c>
      <c r="K133" s="170" t="s">
        <v>5099</v>
      </c>
      <c r="L133" s="577">
        <v>409</v>
      </c>
      <c r="M133" s="1131" t="s">
        <v>2891</v>
      </c>
      <c r="N133" s="158"/>
      <c r="O133" s="150"/>
      <c r="P133" s="248"/>
      <c r="Q133" s="248"/>
      <c r="R133" s="248"/>
      <c r="S133" s="248"/>
      <c r="T133" s="247"/>
      <c r="U133" s="248"/>
      <c r="V133" s="340">
        <v>0</v>
      </c>
      <c r="W133" s="344">
        <v>0</v>
      </c>
      <c r="X133" s="249"/>
      <c r="Y133" s="341">
        <f t="shared" si="21"/>
        <v>648000</v>
      </c>
      <c r="Z133" s="342">
        <f t="shared" si="22"/>
        <v>648000</v>
      </c>
      <c r="AA133" s="252"/>
    </row>
    <row r="134" spans="1:27">
      <c r="A134" s="326">
        <f t="shared" si="17"/>
        <v>13</v>
      </c>
      <c r="B134" s="295"/>
      <c r="C134" s="179">
        <v>307222773710</v>
      </c>
      <c r="D134" s="386" t="s">
        <v>5094</v>
      </c>
      <c r="E134" s="672" t="s">
        <v>5150</v>
      </c>
      <c r="F134" s="126" t="s">
        <v>2795</v>
      </c>
      <c r="G134" s="167"/>
      <c r="H134" s="167"/>
      <c r="I134" s="3785"/>
      <c r="J134" s="707" t="s">
        <v>5121</v>
      </c>
      <c r="K134" s="170" t="s">
        <v>5100</v>
      </c>
      <c r="L134" s="577">
        <v>997</v>
      </c>
      <c r="M134" s="1131" t="s">
        <v>2891</v>
      </c>
      <c r="N134" s="158"/>
      <c r="O134" s="150"/>
      <c r="P134" s="248"/>
      <c r="Q134" s="248"/>
      <c r="R134" s="248"/>
      <c r="S134" s="248"/>
      <c r="T134" s="247"/>
      <c r="U134" s="248"/>
      <c r="V134" s="340">
        <v>0</v>
      </c>
      <c r="W134" s="344">
        <v>0</v>
      </c>
      <c r="X134" s="249"/>
      <c r="Y134" s="341">
        <f t="shared" si="21"/>
        <v>648000</v>
      </c>
      <c r="Z134" s="342">
        <f t="shared" si="22"/>
        <v>648000</v>
      </c>
      <c r="AA134" s="252"/>
    </row>
    <row r="135" spans="1:27">
      <c r="A135" s="326">
        <f t="shared" si="17"/>
        <v>14</v>
      </c>
      <c r="B135" s="295"/>
      <c r="C135" s="179">
        <v>307222805650</v>
      </c>
      <c r="D135" s="386" t="s">
        <v>5094</v>
      </c>
      <c r="E135" s="672" t="s">
        <v>5150</v>
      </c>
      <c r="F135" s="126" t="s">
        <v>2795</v>
      </c>
      <c r="G135" s="167"/>
      <c r="H135" s="167"/>
      <c r="I135" s="3785"/>
      <c r="J135" s="707" t="s">
        <v>5122</v>
      </c>
      <c r="K135" s="170" t="s">
        <v>5101</v>
      </c>
      <c r="L135" s="577">
        <v>921</v>
      </c>
      <c r="M135" s="1131" t="s">
        <v>2891</v>
      </c>
      <c r="N135" s="158"/>
      <c r="O135" s="150"/>
      <c r="P135" s="248"/>
      <c r="Q135" s="248"/>
      <c r="R135" s="248"/>
      <c r="S135" s="248"/>
      <c r="T135" s="247"/>
      <c r="U135" s="248"/>
      <c r="V135" s="340">
        <v>0</v>
      </c>
      <c r="W135" s="344">
        <v>0</v>
      </c>
      <c r="X135" s="249"/>
      <c r="Y135" s="341">
        <f t="shared" si="21"/>
        <v>648000</v>
      </c>
      <c r="Z135" s="342">
        <f t="shared" si="22"/>
        <v>648000</v>
      </c>
      <c r="AA135" s="252"/>
    </row>
    <row r="136" spans="1:27">
      <c r="A136" s="3752" t="s">
        <v>5172</v>
      </c>
      <c r="B136" s="3752"/>
      <c r="C136" s="3752"/>
      <c r="D136" s="3752"/>
      <c r="E136" s="3752"/>
      <c r="F136" s="3752"/>
      <c r="G136" s="3752"/>
      <c r="H136" s="3752"/>
      <c r="I136" s="3752"/>
      <c r="J136" s="3752"/>
      <c r="K136" s="3752"/>
      <c r="L136" s="3752"/>
      <c r="M136" s="3752"/>
      <c r="N136" s="1086"/>
      <c r="O136" s="1087"/>
      <c r="P136" s="1088"/>
      <c r="Q136" s="1088"/>
      <c r="R136" s="425"/>
      <c r="S136" s="425"/>
      <c r="T136" s="426"/>
      <c r="U136" s="425"/>
      <c r="V136" s="1088"/>
      <c r="W136" s="1089"/>
      <c r="X136" s="1090"/>
      <c r="Y136" s="1091">
        <f>SUM(Y122:Y135)</f>
        <v>9072000</v>
      </c>
      <c r="Z136" s="1091">
        <f>SUM(Z122:Z135)</f>
        <v>9072000</v>
      </c>
      <c r="AA136" s="252"/>
    </row>
    <row r="137" spans="1:27">
      <c r="A137" s="326">
        <v>1</v>
      </c>
      <c r="B137" s="295"/>
      <c r="C137" s="179">
        <v>307238205060</v>
      </c>
      <c r="D137" s="386" t="s">
        <v>5157</v>
      </c>
      <c r="E137" s="47" t="s">
        <v>5440</v>
      </c>
      <c r="F137" s="126" t="s">
        <v>2795</v>
      </c>
      <c r="G137" s="167"/>
      <c r="H137" s="167"/>
      <c r="I137" s="154" t="s">
        <v>2796</v>
      </c>
      <c r="J137" s="707" t="s">
        <v>5171</v>
      </c>
      <c r="K137" s="170" t="s">
        <v>5156</v>
      </c>
      <c r="L137" s="577">
        <v>3014</v>
      </c>
      <c r="M137" s="1131" t="s">
        <v>2891</v>
      </c>
      <c r="N137" s="158"/>
      <c r="O137" s="150"/>
      <c r="P137" s="248"/>
      <c r="Q137" s="248"/>
      <c r="R137" s="248"/>
      <c r="S137" s="248"/>
      <c r="T137" s="247"/>
      <c r="U137" s="248"/>
      <c r="V137" s="340">
        <v>0</v>
      </c>
      <c r="W137" s="344">
        <v>0</v>
      </c>
      <c r="X137" s="249"/>
      <c r="Y137" s="341">
        <f t="shared" si="21"/>
        <v>648000</v>
      </c>
      <c r="Z137" s="342">
        <f>+Y137+W137+V137</f>
        <v>648000</v>
      </c>
      <c r="AA137" s="252"/>
    </row>
    <row r="138" spans="1:27">
      <c r="A138" s="326">
        <f t="shared" si="17"/>
        <v>2</v>
      </c>
      <c r="B138" s="295"/>
      <c r="C138" s="179">
        <v>307267454600</v>
      </c>
      <c r="D138" s="386" t="s">
        <v>5212</v>
      </c>
      <c r="E138" s="47" t="s">
        <v>5440</v>
      </c>
      <c r="F138" s="126" t="s">
        <v>2795</v>
      </c>
      <c r="G138" s="167"/>
      <c r="H138" s="167"/>
      <c r="I138" s="154" t="s">
        <v>2796</v>
      </c>
      <c r="J138" s="707" t="s">
        <v>5267</v>
      </c>
      <c r="K138" s="170" t="s">
        <v>5248</v>
      </c>
      <c r="L138" s="1010">
        <v>975</v>
      </c>
      <c r="M138" s="1131" t="s">
        <v>2891</v>
      </c>
      <c r="N138" s="158"/>
      <c r="O138" s="150"/>
      <c r="P138" s="248"/>
      <c r="Q138" s="248"/>
      <c r="R138" s="248"/>
      <c r="S138" s="248"/>
      <c r="T138" s="247"/>
      <c r="U138" s="248"/>
      <c r="V138" s="340">
        <v>0</v>
      </c>
      <c r="W138" s="344">
        <v>0</v>
      </c>
      <c r="X138" s="249"/>
      <c r="Y138" s="341">
        <f t="shared" si="21"/>
        <v>648000</v>
      </c>
      <c r="Z138" s="342">
        <f t="shared" ref="Z138:Z149" si="23">+Y138+W138+V138</f>
        <v>648000</v>
      </c>
      <c r="AA138" s="252"/>
    </row>
    <row r="139" spans="1:27">
      <c r="A139" s="326">
        <f t="shared" si="17"/>
        <v>3</v>
      </c>
      <c r="B139" s="295"/>
      <c r="C139" s="179">
        <v>307268997620</v>
      </c>
      <c r="D139" s="386" t="s">
        <v>5221</v>
      </c>
      <c r="E139" s="47" t="s">
        <v>5440</v>
      </c>
      <c r="F139" s="126" t="s">
        <v>2795</v>
      </c>
      <c r="G139" s="167"/>
      <c r="H139" s="167"/>
      <c r="I139" s="154" t="s">
        <v>4755</v>
      </c>
      <c r="J139" s="707" t="s">
        <v>5268</v>
      </c>
      <c r="K139" s="170" t="s">
        <v>5250</v>
      </c>
      <c r="L139" s="577">
        <v>13</v>
      </c>
      <c r="M139" s="1131" t="s">
        <v>2891</v>
      </c>
      <c r="N139" s="158"/>
      <c r="O139" s="150"/>
      <c r="P139" s="248"/>
      <c r="Q139" s="248"/>
      <c r="R139" s="248"/>
      <c r="S139" s="248"/>
      <c r="T139" s="247"/>
      <c r="U139" s="248"/>
      <c r="V139" s="340">
        <v>0</v>
      </c>
      <c r="W139" s="344">
        <v>0</v>
      </c>
      <c r="X139" s="249"/>
      <c r="Y139" s="341">
        <f t="shared" si="21"/>
        <v>648000</v>
      </c>
      <c r="Z139" s="342">
        <f t="shared" si="23"/>
        <v>648000</v>
      </c>
      <c r="AA139" s="252"/>
    </row>
    <row r="140" spans="1:27">
      <c r="A140" s="326">
        <f t="shared" ref="A140:A164" si="24">+A139+1</f>
        <v>4</v>
      </c>
      <c r="B140" s="295"/>
      <c r="C140" s="179">
        <v>307282966120</v>
      </c>
      <c r="D140" s="386" t="s">
        <v>5274</v>
      </c>
      <c r="E140" s="47" t="s">
        <v>5440</v>
      </c>
      <c r="F140" s="126" t="s">
        <v>2795</v>
      </c>
      <c r="G140" s="167"/>
      <c r="H140" s="167"/>
      <c r="I140" s="154" t="s">
        <v>2794</v>
      </c>
      <c r="J140" s="707" t="s">
        <v>5289</v>
      </c>
      <c r="K140" s="170" t="s">
        <v>5288</v>
      </c>
      <c r="L140" s="577">
        <v>415</v>
      </c>
      <c r="M140" s="1131" t="s">
        <v>2891</v>
      </c>
      <c r="N140" s="158"/>
      <c r="O140" s="150"/>
      <c r="P140" s="248"/>
      <c r="Q140" s="248"/>
      <c r="R140" s="248"/>
      <c r="S140" s="248"/>
      <c r="T140" s="247"/>
      <c r="U140" s="248"/>
      <c r="V140" s="340">
        <v>0</v>
      </c>
      <c r="W140" s="344">
        <v>0</v>
      </c>
      <c r="X140" s="249"/>
      <c r="Y140" s="341">
        <f t="shared" si="21"/>
        <v>648000</v>
      </c>
      <c r="Z140" s="342">
        <f t="shared" si="23"/>
        <v>648000</v>
      </c>
      <c r="AA140" s="252"/>
    </row>
    <row r="141" spans="1:27">
      <c r="A141" s="326">
        <f t="shared" si="24"/>
        <v>5</v>
      </c>
      <c r="B141" s="295"/>
      <c r="C141" s="179">
        <v>307293278040</v>
      </c>
      <c r="D141" s="386" t="s">
        <v>5351</v>
      </c>
      <c r="E141" s="47" t="s">
        <v>5440</v>
      </c>
      <c r="F141" s="126" t="s">
        <v>2795</v>
      </c>
      <c r="G141" s="167"/>
      <c r="H141" s="167"/>
      <c r="I141" s="3784" t="s">
        <v>3383</v>
      </c>
      <c r="J141" s="707" t="s">
        <v>5367</v>
      </c>
      <c r="K141" s="170" t="s">
        <v>5317</v>
      </c>
      <c r="L141" s="577">
        <v>761</v>
      </c>
      <c r="M141" s="1131" t="s">
        <v>2891</v>
      </c>
      <c r="N141" s="158"/>
      <c r="O141" s="150"/>
      <c r="P141" s="248"/>
      <c r="Q141" s="248"/>
      <c r="R141" s="248"/>
      <c r="S141" s="248"/>
      <c r="T141" s="247"/>
      <c r="U141" s="248"/>
      <c r="V141" s="340">
        <v>0</v>
      </c>
      <c r="W141" s="344">
        <v>0</v>
      </c>
      <c r="X141" s="249"/>
      <c r="Y141" s="341">
        <f t="shared" si="21"/>
        <v>648000</v>
      </c>
      <c r="Z141" s="342">
        <f t="shared" si="23"/>
        <v>648000</v>
      </c>
      <c r="AA141" s="252"/>
    </row>
    <row r="142" spans="1:27">
      <c r="A142" s="326">
        <f t="shared" si="24"/>
        <v>6</v>
      </c>
      <c r="B142" s="295"/>
      <c r="C142" s="179">
        <v>307293317830</v>
      </c>
      <c r="D142" s="386" t="s">
        <v>5351</v>
      </c>
      <c r="E142" s="47" t="s">
        <v>5440</v>
      </c>
      <c r="F142" s="126" t="s">
        <v>2795</v>
      </c>
      <c r="G142" s="167"/>
      <c r="H142" s="167"/>
      <c r="I142" s="3785"/>
      <c r="J142" s="707" t="s">
        <v>5368</v>
      </c>
      <c r="K142" s="170" t="s">
        <v>5318</v>
      </c>
      <c r="L142" s="577">
        <v>157</v>
      </c>
      <c r="M142" s="1131" t="s">
        <v>2891</v>
      </c>
      <c r="N142" s="158"/>
      <c r="O142" s="150"/>
      <c r="P142" s="248"/>
      <c r="Q142" s="248"/>
      <c r="R142" s="248"/>
      <c r="S142" s="248"/>
      <c r="T142" s="247"/>
      <c r="U142" s="248"/>
      <c r="V142" s="340">
        <v>0</v>
      </c>
      <c r="W142" s="344">
        <v>0</v>
      </c>
      <c r="X142" s="249"/>
      <c r="Y142" s="341">
        <f t="shared" si="21"/>
        <v>648000</v>
      </c>
      <c r="Z142" s="342">
        <f t="shared" si="23"/>
        <v>648000</v>
      </c>
      <c r="AA142" s="252"/>
    </row>
    <row r="143" spans="1:27">
      <c r="A143" s="326">
        <f t="shared" si="24"/>
        <v>7</v>
      </c>
      <c r="B143" s="295"/>
      <c r="C143" s="179">
        <v>307293342550</v>
      </c>
      <c r="D143" s="386" t="s">
        <v>5351</v>
      </c>
      <c r="E143" s="47" t="s">
        <v>5440</v>
      </c>
      <c r="F143" s="126" t="s">
        <v>2795</v>
      </c>
      <c r="G143" s="167"/>
      <c r="H143" s="167"/>
      <c r="I143" s="3785"/>
      <c r="J143" s="707" t="s">
        <v>5369</v>
      </c>
      <c r="K143" s="170" t="s">
        <v>5319</v>
      </c>
      <c r="L143" s="577">
        <v>692</v>
      </c>
      <c r="M143" s="1131" t="s">
        <v>2891</v>
      </c>
      <c r="N143" s="158"/>
      <c r="O143" s="150"/>
      <c r="P143" s="248"/>
      <c r="Q143" s="248"/>
      <c r="R143" s="248"/>
      <c r="S143" s="248"/>
      <c r="T143" s="247"/>
      <c r="U143" s="248"/>
      <c r="V143" s="340">
        <v>0</v>
      </c>
      <c r="W143" s="344">
        <v>0</v>
      </c>
      <c r="X143" s="249"/>
      <c r="Y143" s="341">
        <f t="shared" si="21"/>
        <v>648000</v>
      </c>
      <c r="Z143" s="342">
        <f t="shared" si="23"/>
        <v>648000</v>
      </c>
      <c r="AA143" s="252"/>
    </row>
    <row r="144" spans="1:27">
      <c r="A144" s="326">
        <f t="shared" si="24"/>
        <v>8</v>
      </c>
      <c r="B144" s="295"/>
      <c r="C144" s="179">
        <v>307293365800</v>
      </c>
      <c r="D144" s="386" t="s">
        <v>5351</v>
      </c>
      <c r="E144" s="47" t="s">
        <v>5440</v>
      </c>
      <c r="F144" s="126" t="s">
        <v>2795</v>
      </c>
      <c r="G144" s="167"/>
      <c r="H144" s="167"/>
      <c r="I144" s="3787"/>
      <c r="J144" s="707" t="s">
        <v>5370</v>
      </c>
      <c r="K144" s="170" t="s">
        <v>5320</v>
      </c>
      <c r="L144" s="577">
        <v>735</v>
      </c>
      <c r="M144" s="1131" t="s">
        <v>2891</v>
      </c>
      <c r="N144" s="158"/>
      <c r="O144" s="150"/>
      <c r="P144" s="248"/>
      <c r="Q144" s="248"/>
      <c r="R144" s="248"/>
      <c r="S144" s="248"/>
      <c r="T144" s="247"/>
      <c r="U144" s="248"/>
      <c r="V144" s="340">
        <v>0</v>
      </c>
      <c r="W144" s="344">
        <v>0</v>
      </c>
      <c r="X144" s="249"/>
      <c r="Y144" s="341">
        <f t="shared" si="21"/>
        <v>648000</v>
      </c>
      <c r="Z144" s="342">
        <f t="shared" si="23"/>
        <v>648000</v>
      </c>
      <c r="AA144" s="252"/>
    </row>
    <row r="145" spans="1:27">
      <c r="A145" s="326">
        <f t="shared" si="24"/>
        <v>9</v>
      </c>
      <c r="B145" s="295"/>
      <c r="C145" s="179">
        <v>307300702020</v>
      </c>
      <c r="D145" s="386" t="s">
        <v>5351</v>
      </c>
      <c r="E145" s="47" t="s">
        <v>5440</v>
      </c>
      <c r="F145" s="126" t="s">
        <v>2795</v>
      </c>
      <c r="G145" s="167"/>
      <c r="H145" s="167"/>
      <c r="I145" s="154" t="s">
        <v>2796</v>
      </c>
      <c r="J145" s="707" t="s">
        <v>5372</v>
      </c>
      <c r="K145" s="170" t="s">
        <v>5360</v>
      </c>
      <c r="L145" s="2072" t="s">
        <v>5361</v>
      </c>
      <c r="M145" s="1131" t="s">
        <v>2891</v>
      </c>
      <c r="N145" s="158"/>
      <c r="O145" s="150"/>
      <c r="P145" s="248"/>
      <c r="Q145" s="248"/>
      <c r="R145" s="248"/>
      <c r="S145" s="248"/>
      <c r="T145" s="247"/>
      <c r="U145" s="248"/>
      <c r="V145" s="340">
        <v>0</v>
      </c>
      <c r="W145" s="344">
        <v>0</v>
      </c>
      <c r="X145" s="249"/>
      <c r="Y145" s="341">
        <f t="shared" si="21"/>
        <v>648000</v>
      </c>
      <c r="Z145" s="342">
        <f t="shared" si="23"/>
        <v>648000</v>
      </c>
      <c r="AA145" s="252"/>
    </row>
    <row r="146" spans="1:27">
      <c r="A146" s="326">
        <f t="shared" si="24"/>
        <v>10</v>
      </c>
      <c r="B146" s="295"/>
      <c r="C146" s="179">
        <v>307320337720</v>
      </c>
      <c r="D146" s="386" t="s">
        <v>5393</v>
      </c>
      <c r="E146" s="47" t="s">
        <v>5440</v>
      </c>
      <c r="F146" s="126" t="s">
        <v>2795</v>
      </c>
      <c r="G146" s="167"/>
      <c r="H146" s="167"/>
      <c r="I146" s="3784" t="s">
        <v>3383</v>
      </c>
      <c r="J146" s="707" t="s">
        <v>5445</v>
      </c>
      <c r="K146" s="170" t="s">
        <v>5408</v>
      </c>
      <c r="L146" s="2072" t="s">
        <v>5412</v>
      </c>
      <c r="M146" s="1131" t="s">
        <v>2891</v>
      </c>
      <c r="N146" s="158"/>
      <c r="O146" s="150"/>
      <c r="P146" s="248"/>
      <c r="Q146" s="248"/>
      <c r="R146" s="248"/>
      <c r="S146" s="248"/>
      <c r="T146" s="247"/>
      <c r="U146" s="248"/>
      <c r="V146" s="340">
        <v>0</v>
      </c>
      <c r="W146" s="344">
        <v>0</v>
      </c>
      <c r="X146" s="249"/>
      <c r="Y146" s="341">
        <f t="shared" si="21"/>
        <v>648000</v>
      </c>
      <c r="Z146" s="342">
        <f t="shared" si="23"/>
        <v>648000</v>
      </c>
      <c r="AA146" s="252"/>
    </row>
    <row r="147" spans="1:27">
      <c r="A147" s="326">
        <f t="shared" si="24"/>
        <v>11</v>
      </c>
      <c r="B147" s="295"/>
      <c r="C147" s="179">
        <v>307320357540</v>
      </c>
      <c r="D147" s="386" t="s">
        <v>5393</v>
      </c>
      <c r="E147" s="47" t="s">
        <v>5440</v>
      </c>
      <c r="F147" s="126" t="s">
        <v>2795</v>
      </c>
      <c r="G147" s="167"/>
      <c r="H147" s="167"/>
      <c r="I147" s="3785"/>
      <c r="J147" s="707" t="s">
        <v>5446</v>
      </c>
      <c r="K147" s="170" t="s">
        <v>5409</v>
      </c>
      <c r="L147" s="2072" t="s">
        <v>4854</v>
      </c>
      <c r="M147" s="1131" t="s">
        <v>2891</v>
      </c>
      <c r="N147" s="2078"/>
      <c r="O147" s="2078"/>
      <c r="P147" s="248"/>
      <c r="Q147" s="248"/>
      <c r="R147" s="248"/>
      <c r="S147" s="248"/>
      <c r="T147" s="247"/>
      <c r="U147" s="248"/>
      <c r="V147" s="340">
        <v>0</v>
      </c>
      <c r="W147" s="344">
        <v>0</v>
      </c>
      <c r="X147" s="249"/>
      <c r="Y147" s="341">
        <f t="shared" si="21"/>
        <v>648000</v>
      </c>
      <c r="Z147" s="342">
        <f t="shared" si="23"/>
        <v>648000</v>
      </c>
      <c r="AA147" s="252"/>
    </row>
    <row r="148" spans="1:27">
      <c r="A148" s="326">
        <f t="shared" si="24"/>
        <v>12</v>
      </c>
      <c r="B148" s="295"/>
      <c r="C148" s="179">
        <v>307320372130</v>
      </c>
      <c r="D148" s="386" t="s">
        <v>5393</v>
      </c>
      <c r="E148" s="47" t="s">
        <v>5440</v>
      </c>
      <c r="F148" s="126" t="s">
        <v>2795</v>
      </c>
      <c r="G148" s="167"/>
      <c r="H148" s="167"/>
      <c r="I148" s="3785"/>
      <c r="J148" s="707" t="s">
        <v>5447</v>
      </c>
      <c r="K148" s="170" t="s">
        <v>5410</v>
      </c>
      <c r="L148" s="2072" t="s">
        <v>5413</v>
      </c>
      <c r="M148" s="1131" t="s">
        <v>2891</v>
      </c>
      <c r="N148" s="2079"/>
      <c r="O148" s="2079"/>
      <c r="P148" s="248"/>
      <c r="Q148" s="248"/>
      <c r="R148" s="248"/>
      <c r="S148" s="248"/>
      <c r="T148" s="247"/>
      <c r="U148" s="248"/>
      <c r="V148" s="340">
        <v>0</v>
      </c>
      <c r="W148" s="344">
        <v>0</v>
      </c>
      <c r="X148" s="249"/>
      <c r="Y148" s="341">
        <f t="shared" si="21"/>
        <v>648000</v>
      </c>
      <c r="Z148" s="342">
        <f t="shared" si="23"/>
        <v>648000</v>
      </c>
      <c r="AA148" s="252"/>
    </row>
    <row r="149" spans="1:27">
      <c r="A149" s="326">
        <f t="shared" si="24"/>
        <v>13</v>
      </c>
      <c r="B149" s="295"/>
      <c r="C149" s="179">
        <v>307320392320</v>
      </c>
      <c r="D149" s="386" t="s">
        <v>5393</v>
      </c>
      <c r="E149" s="47" t="s">
        <v>5440</v>
      </c>
      <c r="F149" s="126" t="s">
        <v>2795</v>
      </c>
      <c r="G149" s="167"/>
      <c r="H149" s="167"/>
      <c r="I149" s="3787"/>
      <c r="J149" s="707" t="s">
        <v>2895</v>
      </c>
      <c r="K149" s="170" t="s">
        <v>5411</v>
      </c>
      <c r="L149" s="2072">
        <v>733</v>
      </c>
      <c r="M149" s="1131" t="s">
        <v>2891</v>
      </c>
      <c r="N149" s="806"/>
      <c r="O149" s="807"/>
      <c r="P149" s="248"/>
      <c r="Q149" s="248"/>
      <c r="R149" s="248"/>
      <c r="S149" s="248"/>
      <c r="T149" s="247"/>
      <c r="U149" s="248"/>
      <c r="V149" s="340">
        <v>0</v>
      </c>
      <c r="W149" s="344">
        <v>0</v>
      </c>
      <c r="X149" s="249"/>
      <c r="Y149" s="341">
        <f t="shared" si="21"/>
        <v>648000</v>
      </c>
      <c r="Z149" s="342">
        <f t="shared" si="23"/>
        <v>648000</v>
      </c>
      <c r="AA149" s="252"/>
    </row>
    <row r="150" spans="1:27">
      <c r="A150" s="3752" t="s">
        <v>5739</v>
      </c>
      <c r="B150" s="3752"/>
      <c r="C150" s="3752"/>
      <c r="D150" s="3752"/>
      <c r="E150" s="3752"/>
      <c r="F150" s="3752"/>
      <c r="G150" s="3752"/>
      <c r="H150" s="3752"/>
      <c r="I150" s="3752"/>
      <c r="J150" s="3752"/>
      <c r="K150" s="3752"/>
      <c r="L150" s="3752"/>
      <c r="M150" s="3752"/>
      <c r="N150" s="1086"/>
      <c r="O150" s="1087"/>
      <c r="P150" s="1088"/>
      <c r="Q150" s="1088"/>
      <c r="R150" s="425"/>
      <c r="S150" s="425"/>
      <c r="T150" s="426"/>
      <c r="U150" s="425"/>
      <c r="V150" s="1088"/>
      <c r="W150" s="1089"/>
      <c r="X150" s="1090"/>
      <c r="Y150" s="1091">
        <f>SUM(Y137:Y149)</f>
        <v>8424000</v>
      </c>
      <c r="Z150" s="1091">
        <f>SUM(Z137:Z149)</f>
        <v>8424000</v>
      </c>
      <c r="AA150" s="252"/>
    </row>
    <row r="151" spans="1:27">
      <c r="A151" s="1599">
        <v>1</v>
      </c>
      <c r="B151" s="2035"/>
      <c r="C151" s="179">
        <v>307328604020</v>
      </c>
      <c r="D151" s="2159" t="s">
        <v>5501</v>
      </c>
      <c r="E151" s="47" t="s">
        <v>5725</v>
      </c>
      <c r="F151" s="126" t="s">
        <v>2795</v>
      </c>
      <c r="G151" s="1745"/>
      <c r="H151" s="1745"/>
      <c r="I151" s="154" t="s">
        <v>2796</v>
      </c>
      <c r="J151" s="2037" t="s">
        <v>2892</v>
      </c>
      <c r="K151" s="170" t="s">
        <v>5470</v>
      </c>
      <c r="L151" s="1587">
        <v>347</v>
      </c>
      <c r="M151" s="1131" t="s">
        <v>2891</v>
      </c>
      <c r="N151" s="2034"/>
      <c r="O151" s="150"/>
      <c r="P151" s="248"/>
      <c r="Q151" s="248"/>
      <c r="R151" s="248"/>
      <c r="S151" s="248"/>
      <c r="T151" s="247"/>
      <c r="U151" s="248"/>
      <c r="V151" s="340">
        <v>0</v>
      </c>
      <c r="W151" s="344">
        <v>0</v>
      </c>
      <c r="X151" s="249"/>
      <c r="Y151" s="341">
        <f t="shared" si="21"/>
        <v>648000</v>
      </c>
      <c r="Z151" s="342">
        <f>+Y151/1.08</f>
        <v>600000</v>
      </c>
      <c r="AA151" s="252"/>
    </row>
    <row r="152" spans="1:27">
      <c r="A152" s="326">
        <f t="shared" si="24"/>
        <v>2</v>
      </c>
      <c r="B152" s="1647"/>
      <c r="C152" s="179">
        <v>307337421110</v>
      </c>
      <c r="D152" s="2159" t="s">
        <v>5460</v>
      </c>
      <c r="E152" s="47" t="s">
        <v>5725</v>
      </c>
      <c r="F152" s="126" t="s">
        <v>2795</v>
      </c>
      <c r="G152" s="1647"/>
      <c r="H152" s="1647"/>
      <c r="I152" s="154" t="s">
        <v>2794</v>
      </c>
      <c r="J152" s="707" t="s">
        <v>2894</v>
      </c>
      <c r="K152" s="170" t="s">
        <v>5471</v>
      </c>
      <c r="L152" s="2072" t="s">
        <v>5469</v>
      </c>
      <c r="M152" s="1131" t="s">
        <v>2891</v>
      </c>
      <c r="P152" s="248"/>
      <c r="Q152" s="248"/>
      <c r="R152" s="248"/>
      <c r="S152" s="248"/>
      <c r="T152" s="247"/>
      <c r="U152" s="248"/>
      <c r="V152" s="340">
        <v>0</v>
      </c>
      <c r="W152" s="344">
        <v>0</v>
      </c>
      <c r="X152" s="249"/>
      <c r="Y152" s="341">
        <f t="shared" si="21"/>
        <v>648000</v>
      </c>
      <c r="Z152" s="342">
        <f t="shared" ref="Z152:Z164" si="25">+Y152/1.08</f>
        <v>600000</v>
      </c>
      <c r="AA152" s="252"/>
    </row>
    <row r="153" spans="1:27">
      <c r="A153" s="326">
        <f t="shared" si="24"/>
        <v>3</v>
      </c>
      <c r="B153" s="1647"/>
      <c r="C153" s="179">
        <v>307390996310</v>
      </c>
      <c r="D153" s="2159" t="s">
        <v>5638</v>
      </c>
      <c r="E153" s="47" t="s">
        <v>5725</v>
      </c>
      <c r="F153" s="126" t="s">
        <v>2795</v>
      </c>
      <c r="G153" s="1647"/>
      <c r="H153" s="1647"/>
      <c r="I153" s="154" t="s">
        <v>4755</v>
      </c>
      <c r="J153" s="1824">
        <v>66</v>
      </c>
      <c r="K153" s="170" t="s">
        <v>5521</v>
      </c>
      <c r="L153" s="2072">
        <v>2320</v>
      </c>
      <c r="M153" s="1131" t="s">
        <v>2891</v>
      </c>
      <c r="P153" s="248"/>
      <c r="Q153" s="248"/>
      <c r="R153" s="248"/>
      <c r="S153" s="248"/>
      <c r="T153" s="247"/>
      <c r="U153" s="248"/>
      <c r="V153" s="340">
        <v>0</v>
      </c>
      <c r="W153" s="344">
        <v>0</v>
      </c>
      <c r="X153" s="249"/>
      <c r="Y153" s="341">
        <f t="shared" si="21"/>
        <v>648000</v>
      </c>
      <c r="Z153" s="342">
        <f t="shared" si="25"/>
        <v>600000</v>
      </c>
      <c r="AA153" s="252"/>
    </row>
    <row r="154" spans="1:27">
      <c r="A154" s="326">
        <f t="shared" si="24"/>
        <v>4</v>
      </c>
      <c r="B154" s="1647"/>
      <c r="C154" s="179">
        <v>307359472400</v>
      </c>
      <c r="D154" s="2159" t="s">
        <v>5552</v>
      </c>
      <c r="E154" s="47" t="s">
        <v>5725</v>
      </c>
      <c r="F154" s="126" t="s">
        <v>2795</v>
      </c>
      <c r="G154" s="1647"/>
      <c r="H154" s="1647"/>
      <c r="I154" s="154" t="s">
        <v>2796</v>
      </c>
      <c r="J154" s="707" t="s">
        <v>2896</v>
      </c>
      <c r="K154" s="170" t="s">
        <v>5522</v>
      </c>
      <c r="L154" s="1587">
        <v>2104</v>
      </c>
      <c r="M154" s="1131" t="s">
        <v>2891</v>
      </c>
      <c r="P154" s="248"/>
      <c r="Q154" s="248"/>
      <c r="R154" s="248"/>
      <c r="S154" s="248"/>
      <c r="T154" s="247"/>
      <c r="U154" s="248"/>
      <c r="V154" s="340">
        <v>0</v>
      </c>
      <c r="W154" s="344">
        <v>0</v>
      </c>
      <c r="X154" s="249"/>
      <c r="Y154" s="341">
        <f t="shared" si="21"/>
        <v>648000</v>
      </c>
      <c r="Z154" s="342">
        <f t="shared" si="25"/>
        <v>600000</v>
      </c>
      <c r="AA154" s="252"/>
    </row>
    <row r="155" spans="1:27">
      <c r="A155" s="326">
        <f t="shared" si="24"/>
        <v>5</v>
      </c>
      <c r="B155" s="1647"/>
      <c r="C155" s="179">
        <v>307362421940</v>
      </c>
      <c r="D155" s="2159" t="s">
        <v>5575</v>
      </c>
      <c r="E155" s="47" t="s">
        <v>5725</v>
      </c>
      <c r="F155" s="126" t="s">
        <v>2795</v>
      </c>
      <c r="G155" s="1647"/>
      <c r="H155" s="1647"/>
      <c r="I155" s="3784" t="s">
        <v>3383</v>
      </c>
      <c r="J155" s="707" t="s">
        <v>2908</v>
      </c>
      <c r="K155" s="170" t="s">
        <v>5529</v>
      </c>
      <c r="L155" s="1587">
        <v>680</v>
      </c>
      <c r="M155" s="1131" t="s">
        <v>2891</v>
      </c>
      <c r="P155" s="248"/>
      <c r="Q155" s="248"/>
      <c r="R155" s="248"/>
      <c r="S155" s="248"/>
      <c r="T155" s="247"/>
      <c r="U155" s="248"/>
      <c r="V155" s="340">
        <v>0</v>
      </c>
      <c r="W155" s="344">
        <v>0</v>
      </c>
      <c r="X155" s="249"/>
      <c r="Y155" s="341">
        <f t="shared" si="21"/>
        <v>648000</v>
      </c>
      <c r="Z155" s="342">
        <f t="shared" si="25"/>
        <v>600000</v>
      </c>
      <c r="AA155" s="252"/>
    </row>
    <row r="156" spans="1:27">
      <c r="A156" s="326">
        <f t="shared" si="24"/>
        <v>6</v>
      </c>
      <c r="B156" s="1647"/>
      <c r="C156" s="179">
        <v>307362543740</v>
      </c>
      <c r="D156" s="2159" t="s">
        <v>5575</v>
      </c>
      <c r="E156" s="47" t="s">
        <v>5725</v>
      </c>
      <c r="F156" s="126" t="s">
        <v>2795</v>
      </c>
      <c r="G156" s="1647"/>
      <c r="H156" s="1647"/>
      <c r="I156" s="3785"/>
      <c r="J156" s="707" t="s">
        <v>2924</v>
      </c>
      <c r="K156" s="170" t="s">
        <v>5530</v>
      </c>
      <c r="L156" s="1587">
        <v>201</v>
      </c>
      <c r="M156" s="1131" t="s">
        <v>2891</v>
      </c>
      <c r="P156" s="248"/>
      <c r="Q156" s="248"/>
      <c r="R156" s="248"/>
      <c r="S156" s="248"/>
      <c r="T156" s="247"/>
      <c r="U156" s="248"/>
      <c r="V156" s="340">
        <v>0</v>
      </c>
      <c r="W156" s="344">
        <v>0</v>
      </c>
      <c r="X156" s="249"/>
      <c r="Y156" s="341">
        <f t="shared" si="21"/>
        <v>648000</v>
      </c>
      <c r="Z156" s="342">
        <f t="shared" si="25"/>
        <v>600000</v>
      </c>
      <c r="AA156" s="252"/>
    </row>
    <row r="157" spans="1:27">
      <c r="A157" s="326">
        <f t="shared" si="24"/>
        <v>7</v>
      </c>
      <c r="B157" s="1647"/>
      <c r="C157" s="179">
        <v>307362565000</v>
      </c>
      <c r="D157" s="2159" t="s">
        <v>5575</v>
      </c>
      <c r="E157" s="47" t="s">
        <v>5725</v>
      </c>
      <c r="F157" s="126" t="s">
        <v>2795</v>
      </c>
      <c r="G157" s="1647"/>
      <c r="H157" s="1647"/>
      <c r="I157" s="3785"/>
      <c r="J157" s="707" t="s">
        <v>2939</v>
      </c>
      <c r="K157" s="170" t="s">
        <v>5531</v>
      </c>
      <c r="L157" s="1587">
        <v>1301</v>
      </c>
      <c r="M157" s="1131" t="s">
        <v>2891</v>
      </c>
      <c r="P157" s="248"/>
      <c r="Q157" s="248"/>
      <c r="R157" s="248"/>
      <c r="S157" s="248"/>
      <c r="T157" s="247"/>
      <c r="U157" s="248"/>
      <c r="V157" s="340">
        <v>0</v>
      </c>
      <c r="W157" s="344">
        <v>0</v>
      </c>
      <c r="X157" s="249"/>
      <c r="Y157" s="341">
        <f t="shared" si="21"/>
        <v>648000</v>
      </c>
      <c r="Z157" s="342">
        <f t="shared" si="25"/>
        <v>600000</v>
      </c>
      <c r="AA157" s="252"/>
    </row>
    <row r="158" spans="1:27">
      <c r="A158" s="326">
        <f t="shared" si="24"/>
        <v>8</v>
      </c>
      <c r="B158" s="1647"/>
      <c r="C158" s="179">
        <v>307362607810</v>
      </c>
      <c r="D158" s="2159" t="s">
        <v>5575</v>
      </c>
      <c r="E158" s="47" t="s">
        <v>5725</v>
      </c>
      <c r="F158" s="126" t="s">
        <v>2795</v>
      </c>
      <c r="G158" s="1647"/>
      <c r="H158" s="1647"/>
      <c r="I158" s="3787"/>
      <c r="J158" s="707" t="s">
        <v>2982</v>
      </c>
      <c r="K158" s="170" t="s">
        <v>5532</v>
      </c>
      <c r="L158" s="1587">
        <v>338</v>
      </c>
      <c r="M158" s="1131" t="s">
        <v>2891</v>
      </c>
      <c r="P158" s="248"/>
      <c r="Q158" s="248"/>
      <c r="R158" s="248"/>
      <c r="S158" s="248"/>
      <c r="T158" s="247"/>
      <c r="U158" s="248"/>
      <c r="V158" s="340">
        <v>0</v>
      </c>
      <c r="W158" s="344">
        <v>0</v>
      </c>
      <c r="X158" s="249"/>
      <c r="Y158" s="341">
        <f t="shared" si="21"/>
        <v>648000</v>
      </c>
      <c r="Z158" s="342">
        <f t="shared" si="25"/>
        <v>600000</v>
      </c>
      <c r="AA158" s="252"/>
    </row>
    <row r="159" spans="1:27">
      <c r="A159" s="326">
        <f t="shared" si="24"/>
        <v>9</v>
      </c>
      <c r="B159" s="1647"/>
      <c r="C159" s="179">
        <v>307363255200</v>
      </c>
      <c r="D159" s="2159" t="s">
        <v>5552</v>
      </c>
      <c r="E159" s="47" t="s">
        <v>5725</v>
      </c>
      <c r="F159" s="126" t="s">
        <v>2795</v>
      </c>
      <c r="G159" s="1647"/>
      <c r="H159" s="1647"/>
      <c r="I159" s="154" t="s">
        <v>2794</v>
      </c>
      <c r="J159" s="707" t="s">
        <v>2893</v>
      </c>
      <c r="K159" s="170" t="s">
        <v>5551</v>
      </c>
      <c r="L159" s="1587">
        <v>510</v>
      </c>
      <c r="M159" s="1131" t="s">
        <v>2891</v>
      </c>
      <c r="P159" s="248"/>
      <c r="Q159" s="248"/>
      <c r="R159" s="248"/>
      <c r="S159" s="248"/>
      <c r="T159" s="247"/>
      <c r="U159" s="248"/>
      <c r="V159" s="340">
        <v>0</v>
      </c>
      <c r="W159" s="344">
        <v>0</v>
      </c>
      <c r="X159" s="249"/>
      <c r="Y159" s="341">
        <f t="shared" si="21"/>
        <v>648000</v>
      </c>
      <c r="Z159" s="342">
        <f t="shared" si="25"/>
        <v>600000</v>
      </c>
      <c r="AA159" s="252"/>
    </row>
    <row r="160" spans="1:27">
      <c r="A160" s="326">
        <f t="shared" si="24"/>
        <v>10</v>
      </c>
      <c r="B160" s="1647"/>
      <c r="C160" s="1287">
        <v>307366903560</v>
      </c>
      <c r="D160" s="2159" t="s">
        <v>5565</v>
      </c>
      <c r="E160" s="47" t="s">
        <v>5725</v>
      </c>
      <c r="F160" s="126" t="s">
        <v>2795</v>
      </c>
      <c r="G160" s="1647"/>
      <c r="H160" s="1647"/>
      <c r="I160" s="154" t="s">
        <v>3035</v>
      </c>
      <c r="J160" s="707" t="s">
        <v>2890</v>
      </c>
      <c r="K160" s="1109" t="s">
        <v>5891</v>
      </c>
      <c r="L160" s="1587">
        <v>125</v>
      </c>
      <c r="M160" s="1131" t="s">
        <v>2891</v>
      </c>
      <c r="P160" s="248"/>
      <c r="Q160" s="248"/>
      <c r="R160" s="248"/>
      <c r="S160" s="248"/>
      <c r="T160" s="247"/>
      <c r="U160" s="248"/>
      <c r="V160" s="340">
        <v>0</v>
      </c>
      <c r="W160" s="344">
        <v>0</v>
      </c>
      <c r="X160" s="249"/>
      <c r="Y160" s="341">
        <f t="shared" si="21"/>
        <v>648000</v>
      </c>
      <c r="Z160" s="342">
        <f t="shared" si="25"/>
        <v>600000</v>
      </c>
      <c r="AA160" s="252"/>
    </row>
    <row r="161" spans="1:27">
      <c r="A161" s="326">
        <f t="shared" si="24"/>
        <v>11</v>
      </c>
      <c r="B161" s="1647"/>
      <c r="C161" s="179">
        <v>307399230740</v>
      </c>
      <c r="D161" s="2159" t="s">
        <v>5685</v>
      </c>
      <c r="E161" s="47" t="s">
        <v>5725</v>
      </c>
      <c r="F161" s="126" t="s">
        <v>2795</v>
      </c>
      <c r="G161" s="1647"/>
      <c r="H161" s="1647"/>
      <c r="I161" s="3749" t="s">
        <v>3383</v>
      </c>
      <c r="J161" s="707" t="s">
        <v>5720</v>
      </c>
      <c r="K161" s="170" t="s">
        <v>5676</v>
      </c>
      <c r="L161" s="1587">
        <v>935</v>
      </c>
      <c r="M161" s="1131" t="s">
        <v>2891</v>
      </c>
      <c r="P161" s="248"/>
      <c r="Q161" s="248"/>
      <c r="R161" s="248"/>
      <c r="S161" s="248"/>
      <c r="T161" s="247"/>
      <c r="U161" s="248"/>
      <c r="V161" s="340">
        <v>0</v>
      </c>
      <c r="W161" s="344">
        <v>0</v>
      </c>
      <c r="X161" s="249"/>
      <c r="Y161" s="341">
        <f t="shared" si="21"/>
        <v>648000</v>
      </c>
      <c r="Z161" s="342">
        <f t="shared" si="25"/>
        <v>600000</v>
      </c>
      <c r="AA161" s="252"/>
    </row>
    <row r="162" spans="1:27">
      <c r="A162" s="326">
        <f t="shared" si="24"/>
        <v>12</v>
      </c>
      <c r="B162" s="1647"/>
      <c r="C162" s="179">
        <v>307399253140</v>
      </c>
      <c r="D162" s="2159" t="s">
        <v>5685</v>
      </c>
      <c r="E162" s="47" t="s">
        <v>5725</v>
      </c>
      <c r="F162" s="126" t="s">
        <v>2795</v>
      </c>
      <c r="G162" s="1647"/>
      <c r="H162" s="1647"/>
      <c r="I162" s="3750"/>
      <c r="J162" s="707" t="s">
        <v>3005</v>
      </c>
      <c r="K162" s="170" t="s">
        <v>5677</v>
      </c>
      <c r="L162" s="1587">
        <v>1509</v>
      </c>
      <c r="M162" s="1131" t="s">
        <v>2891</v>
      </c>
      <c r="P162" s="248"/>
      <c r="Q162" s="248"/>
      <c r="R162" s="248"/>
      <c r="S162" s="248"/>
      <c r="T162" s="247"/>
      <c r="U162" s="248"/>
      <c r="V162" s="340">
        <v>0</v>
      </c>
      <c r="W162" s="344">
        <v>0</v>
      </c>
      <c r="X162" s="249"/>
      <c r="Y162" s="341">
        <f t="shared" si="21"/>
        <v>648000</v>
      </c>
      <c r="Z162" s="342">
        <f t="shared" si="25"/>
        <v>600000</v>
      </c>
      <c r="AA162" s="252"/>
    </row>
    <row r="163" spans="1:27">
      <c r="A163" s="326">
        <f t="shared" si="24"/>
        <v>13</v>
      </c>
      <c r="B163" s="1647"/>
      <c r="C163" s="179">
        <v>307399270200</v>
      </c>
      <c r="D163" s="2159" t="s">
        <v>5685</v>
      </c>
      <c r="E163" s="47" t="s">
        <v>5725</v>
      </c>
      <c r="F163" s="126" t="s">
        <v>2795</v>
      </c>
      <c r="G163" s="1647"/>
      <c r="H163" s="1647"/>
      <c r="I163" s="3751"/>
      <c r="J163" s="707" t="s">
        <v>3029</v>
      </c>
      <c r="K163" s="170" t="s">
        <v>5678</v>
      </c>
      <c r="L163" s="1587">
        <v>1207</v>
      </c>
      <c r="M163" s="1131" t="s">
        <v>2891</v>
      </c>
      <c r="P163" s="248"/>
      <c r="Q163" s="248"/>
      <c r="R163" s="248"/>
      <c r="S163" s="248"/>
      <c r="T163" s="247"/>
      <c r="U163" s="248"/>
      <c r="V163" s="340">
        <v>0</v>
      </c>
      <c r="W163" s="344">
        <v>0</v>
      </c>
      <c r="X163" s="249"/>
      <c r="Y163" s="341">
        <f t="shared" si="21"/>
        <v>648000</v>
      </c>
      <c r="Z163" s="342">
        <f t="shared" si="25"/>
        <v>600000</v>
      </c>
      <c r="AA163" s="252"/>
    </row>
    <row r="164" spans="1:27">
      <c r="A164" s="326">
        <f t="shared" si="24"/>
        <v>14</v>
      </c>
      <c r="B164" s="1647"/>
      <c r="C164" s="1287">
        <v>307414073910</v>
      </c>
      <c r="D164" s="2159" t="s">
        <v>5714</v>
      </c>
      <c r="E164" s="47" t="s">
        <v>5725</v>
      </c>
      <c r="F164" s="126" t="s">
        <v>2795</v>
      </c>
      <c r="G164" s="1647"/>
      <c r="H164" s="1647"/>
      <c r="I164" s="154" t="s">
        <v>2796</v>
      </c>
      <c r="J164" s="707" t="s">
        <v>3041</v>
      </c>
      <c r="K164" s="170" t="s">
        <v>5721</v>
      </c>
      <c r="L164" s="1587">
        <v>853</v>
      </c>
      <c r="M164" s="1131" t="s">
        <v>2891</v>
      </c>
      <c r="P164" s="248"/>
      <c r="Q164" s="248"/>
      <c r="R164" s="248"/>
      <c r="S164" s="248"/>
      <c r="T164" s="247"/>
      <c r="U164" s="248"/>
      <c r="V164" s="340">
        <v>0</v>
      </c>
      <c r="W164" s="344">
        <v>0</v>
      </c>
      <c r="X164" s="249"/>
      <c r="Y164" s="341">
        <f t="shared" si="21"/>
        <v>648000</v>
      </c>
      <c r="Z164" s="342">
        <f t="shared" si="25"/>
        <v>600000</v>
      </c>
      <c r="AA164" s="252"/>
    </row>
    <row r="165" spans="1:27">
      <c r="A165" s="3752" t="s">
        <v>5740</v>
      </c>
      <c r="B165" s="3752"/>
      <c r="C165" s="3752"/>
      <c r="D165" s="3752"/>
      <c r="E165" s="3752"/>
      <c r="F165" s="3752"/>
      <c r="G165" s="3752"/>
      <c r="H165" s="3752"/>
      <c r="I165" s="3752"/>
      <c r="J165" s="3752"/>
      <c r="K165" s="3752"/>
      <c r="L165" s="3752"/>
      <c r="M165" s="3752"/>
      <c r="N165" s="1086"/>
      <c r="O165" s="1087"/>
      <c r="P165" s="1088"/>
      <c r="Q165" s="1088"/>
      <c r="R165" s="425"/>
      <c r="S165" s="425"/>
      <c r="T165" s="426"/>
      <c r="U165" s="425"/>
      <c r="V165" s="1088"/>
      <c r="W165" s="1089"/>
      <c r="X165" s="1090"/>
      <c r="Y165" s="1091">
        <f>SUM(Y151:Y164)</f>
        <v>9072000</v>
      </c>
      <c r="Z165" s="1091">
        <f>SUM(Z151:Z164)</f>
        <v>8400000</v>
      </c>
      <c r="AA165" s="252"/>
    </row>
    <row r="166" spans="1:27">
      <c r="A166" s="1611">
        <v>1</v>
      </c>
      <c r="B166" s="1647"/>
      <c r="C166" s="2173">
        <v>307416481100</v>
      </c>
      <c r="D166" s="2159" t="s">
        <v>5714</v>
      </c>
      <c r="E166" s="2386" t="s">
        <v>6071</v>
      </c>
      <c r="F166" s="126" t="s">
        <v>2795</v>
      </c>
      <c r="G166" s="1647"/>
      <c r="H166" s="1647"/>
      <c r="I166" s="154" t="s">
        <v>2794</v>
      </c>
      <c r="J166" s="707" t="s">
        <v>3051</v>
      </c>
      <c r="K166" s="170" t="s">
        <v>5738</v>
      </c>
      <c r="L166" s="2519">
        <v>266</v>
      </c>
      <c r="M166" s="1131" t="s">
        <v>2891</v>
      </c>
      <c r="P166" s="425"/>
      <c r="Q166" s="425"/>
      <c r="R166" s="425"/>
      <c r="S166" s="425"/>
      <c r="T166" s="426"/>
      <c r="U166" s="425"/>
      <c r="V166" s="340">
        <v>0</v>
      </c>
      <c r="W166" s="344">
        <v>0</v>
      </c>
      <c r="X166" s="249"/>
      <c r="Y166" s="341">
        <f t="shared" si="21"/>
        <v>648000</v>
      </c>
      <c r="Z166" s="342">
        <f>+Y166/1.08</f>
        <v>600000</v>
      </c>
      <c r="AA166" s="1606"/>
    </row>
    <row r="167" spans="1:27">
      <c r="A167" s="1599">
        <f>+A166+1</f>
        <v>2</v>
      </c>
      <c r="B167" s="1647"/>
      <c r="C167" s="2173">
        <v>307426376740</v>
      </c>
      <c r="D167" s="2159" t="s">
        <v>5848</v>
      </c>
      <c r="E167" s="2386" t="s">
        <v>6071</v>
      </c>
      <c r="F167" s="126" t="s">
        <v>2795</v>
      </c>
      <c r="G167" s="1647"/>
      <c r="H167" s="1647"/>
      <c r="I167" s="154" t="s">
        <v>4755</v>
      </c>
      <c r="J167" s="1616" t="s">
        <v>3081</v>
      </c>
      <c r="K167" s="1919" t="s">
        <v>5853</v>
      </c>
      <c r="L167" s="1616" t="s">
        <v>5869</v>
      </c>
      <c r="M167" s="1131" t="s">
        <v>2891</v>
      </c>
      <c r="P167" s="248"/>
      <c r="Q167" s="248"/>
      <c r="R167" s="248"/>
      <c r="S167" s="248"/>
      <c r="T167" s="247"/>
      <c r="U167" s="248"/>
      <c r="V167" s="340">
        <v>0</v>
      </c>
      <c r="W167" s="344">
        <v>0</v>
      </c>
      <c r="X167" s="249"/>
      <c r="Y167" s="341">
        <f t="shared" si="21"/>
        <v>648000</v>
      </c>
      <c r="Z167" s="342">
        <f t="shared" ref="Z167:Z181" si="26">+Y167/1.08</f>
        <v>600000</v>
      </c>
      <c r="AA167" s="252"/>
    </row>
    <row r="168" spans="1:27">
      <c r="A168" s="1599">
        <f t="shared" ref="A168:A231" si="27">+A167+1</f>
        <v>3</v>
      </c>
      <c r="B168" s="1647"/>
      <c r="C168" s="2173">
        <v>307432254900</v>
      </c>
      <c r="D168" s="2159" t="s">
        <v>5848</v>
      </c>
      <c r="E168" s="2386" t="s">
        <v>6071</v>
      </c>
      <c r="F168" s="126" t="s">
        <v>2795</v>
      </c>
      <c r="G168" s="1647"/>
      <c r="H168" s="1647"/>
      <c r="I168" s="154" t="s">
        <v>4755</v>
      </c>
      <c r="J168" s="1616" t="s">
        <v>3103</v>
      </c>
      <c r="K168" s="1919" t="s">
        <v>5854</v>
      </c>
      <c r="L168" s="1616" t="s">
        <v>5869</v>
      </c>
      <c r="M168" s="1131" t="s">
        <v>2891</v>
      </c>
      <c r="P168" s="248"/>
      <c r="Q168" s="248"/>
      <c r="R168" s="248"/>
      <c r="S168" s="248"/>
      <c r="T168" s="247"/>
      <c r="U168" s="248"/>
      <c r="V168" s="340">
        <v>0</v>
      </c>
      <c r="W168" s="344">
        <v>0</v>
      </c>
      <c r="X168" s="249"/>
      <c r="Y168" s="341">
        <f t="shared" si="21"/>
        <v>648000</v>
      </c>
      <c r="Z168" s="342">
        <f t="shared" si="26"/>
        <v>600000</v>
      </c>
      <c r="AA168" s="252"/>
    </row>
    <row r="169" spans="1:27">
      <c r="A169" s="1599">
        <f t="shared" si="27"/>
        <v>4</v>
      </c>
      <c r="B169" s="1647"/>
      <c r="C169" s="2173">
        <v>307445235220</v>
      </c>
      <c r="D169" s="2159" t="s">
        <v>5734</v>
      </c>
      <c r="E169" s="2386" t="s">
        <v>6071</v>
      </c>
      <c r="F169" s="126" t="s">
        <v>2795</v>
      </c>
      <c r="G169" s="1647"/>
      <c r="H169" s="1647"/>
      <c r="I169" s="154" t="s">
        <v>2794</v>
      </c>
      <c r="J169" s="1616" t="s">
        <v>3108</v>
      </c>
      <c r="K169" s="170" t="s">
        <v>5855</v>
      </c>
      <c r="L169" s="2516">
        <v>549</v>
      </c>
      <c r="M169" s="1131" t="s">
        <v>2891</v>
      </c>
      <c r="P169" s="248"/>
      <c r="Q169" s="248"/>
      <c r="R169" s="248"/>
      <c r="S169" s="248"/>
      <c r="T169" s="247"/>
      <c r="U169" s="248"/>
      <c r="V169" s="340">
        <v>0</v>
      </c>
      <c r="W169" s="344">
        <v>0</v>
      </c>
      <c r="X169" s="249"/>
      <c r="Y169" s="341">
        <f t="shared" si="21"/>
        <v>648000</v>
      </c>
      <c r="Z169" s="342">
        <f t="shared" si="26"/>
        <v>600000</v>
      </c>
      <c r="AA169" s="252"/>
    </row>
    <row r="170" spans="1:27">
      <c r="A170" s="1599">
        <f t="shared" si="27"/>
        <v>5</v>
      </c>
      <c r="B170" s="1647"/>
      <c r="C170" s="2173">
        <v>307446556340</v>
      </c>
      <c r="D170" s="2159" t="s">
        <v>5875</v>
      </c>
      <c r="E170" s="2386" t="s">
        <v>6071</v>
      </c>
      <c r="F170" s="126" t="s">
        <v>2795</v>
      </c>
      <c r="G170" s="1647"/>
      <c r="H170" s="1647"/>
      <c r="I170" s="3749" t="s">
        <v>3383</v>
      </c>
      <c r="J170" s="2517" t="s">
        <v>3119</v>
      </c>
      <c r="K170" s="170" t="s">
        <v>5856</v>
      </c>
      <c r="L170" s="2518" t="s">
        <v>5915</v>
      </c>
      <c r="M170" s="1131" t="s">
        <v>2891</v>
      </c>
      <c r="P170" s="248"/>
      <c r="Q170" s="248"/>
      <c r="R170" s="248"/>
      <c r="S170" s="248"/>
      <c r="T170" s="247"/>
      <c r="U170" s="248"/>
      <c r="V170" s="340">
        <v>0</v>
      </c>
      <c r="W170" s="344">
        <v>0</v>
      </c>
      <c r="X170" s="249"/>
      <c r="Y170" s="341">
        <f t="shared" si="21"/>
        <v>648000</v>
      </c>
      <c r="Z170" s="342">
        <f t="shared" si="26"/>
        <v>600000</v>
      </c>
      <c r="AA170" s="252"/>
    </row>
    <row r="171" spans="1:27">
      <c r="A171" s="1599">
        <f t="shared" si="27"/>
        <v>6</v>
      </c>
      <c r="B171" s="1647"/>
      <c r="C171" s="2173">
        <v>307446566030</v>
      </c>
      <c r="D171" s="2159" t="s">
        <v>5875</v>
      </c>
      <c r="E171" s="2386" t="s">
        <v>6071</v>
      </c>
      <c r="F171" s="126" t="s">
        <v>2795</v>
      </c>
      <c r="G171" s="1647"/>
      <c r="H171" s="1647"/>
      <c r="I171" s="3750"/>
      <c r="J171" s="2517" t="s">
        <v>3121</v>
      </c>
      <c r="K171" s="170" t="s">
        <v>5857</v>
      </c>
      <c r="L171" s="2516">
        <v>1205</v>
      </c>
      <c r="M171" s="1131" t="s">
        <v>2891</v>
      </c>
      <c r="P171" s="248"/>
      <c r="Q171" s="248"/>
      <c r="R171" s="248"/>
      <c r="S171" s="248"/>
      <c r="T171" s="247"/>
      <c r="U171" s="248"/>
      <c r="V171" s="340">
        <v>0</v>
      </c>
      <c r="W171" s="344">
        <v>0</v>
      </c>
      <c r="X171" s="249"/>
      <c r="Y171" s="341">
        <f t="shared" si="21"/>
        <v>648000</v>
      </c>
      <c r="Z171" s="342">
        <f t="shared" si="26"/>
        <v>600000</v>
      </c>
      <c r="AA171" s="252"/>
    </row>
    <row r="172" spans="1:27">
      <c r="A172" s="1599">
        <f t="shared" si="27"/>
        <v>7</v>
      </c>
      <c r="B172" s="1647"/>
      <c r="C172" s="2173">
        <v>307446570120</v>
      </c>
      <c r="D172" s="2159" t="s">
        <v>5875</v>
      </c>
      <c r="E172" s="2386" t="s">
        <v>6071</v>
      </c>
      <c r="F172" s="126" t="s">
        <v>2795</v>
      </c>
      <c r="G172" s="1647"/>
      <c r="H172" s="1647"/>
      <c r="I172" s="3751"/>
      <c r="J172" s="2517" t="s">
        <v>3142</v>
      </c>
      <c r="K172" s="170" t="s">
        <v>5858</v>
      </c>
      <c r="L172" s="2516">
        <v>618</v>
      </c>
      <c r="M172" s="1131" t="s">
        <v>2891</v>
      </c>
      <c r="P172" s="248"/>
      <c r="Q172" s="248"/>
      <c r="R172" s="248"/>
      <c r="S172" s="248"/>
      <c r="T172" s="247"/>
      <c r="U172" s="248"/>
      <c r="V172" s="340">
        <v>0</v>
      </c>
      <c r="W172" s="344">
        <v>0</v>
      </c>
      <c r="X172" s="249"/>
      <c r="Y172" s="341">
        <f t="shared" ref="Y172:Y183" si="28">600000*1.08</f>
        <v>648000</v>
      </c>
      <c r="Z172" s="342">
        <f t="shared" si="26"/>
        <v>600000</v>
      </c>
      <c r="AA172" s="252"/>
    </row>
    <row r="173" spans="1:27">
      <c r="A173" s="1599">
        <f t="shared" si="27"/>
        <v>8</v>
      </c>
      <c r="B173" s="1647"/>
      <c r="C173" s="2173">
        <v>307457460830</v>
      </c>
      <c r="D173" s="2159" t="s">
        <v>5876</v>
      </c>
      <c r="E173" s="2386" t="s">
        <v>6071</v>
      </c>
      <c r="F173" s="126" t="s">
        <v>2795</v>
      </c>
      <c r="G173" s="1647"/>
      <c r="H173" s="1647"/>
      <c r="I173" s="1824" t="s">
        <v>5914</v>
      </c>
      <c r="J173" s="2517" t="s">
        <v>3183</v>
      </c>
      <c r="K173" s="1919" t="s">
        <v>6058</v>
      </c>
      <c r="L173" s="2516">
        <v>1726</v>
      </c>
      <c r="M173" s="1131" t="s">
        <v>2891</v>
      </c>
      <c r="P173" s="248"/>
      <c r="Q173" s="248"/>
      <c r="R173" s="248"/>
      <c r="S173" s="248"/>
      <c r="T173" s="247"/>
      <c r="U173" s="248"/>
      <c r="V173" s="340">
        <v>0</v>
      </c>
      <c r="W173" s="344">
        <v>0</v>
      </c>
      <c r="X173" s="249"/>
      <c r="Y173" s="341">
        <f t="shared" si="28"/>
        <v>648000</v>
      </c>
      <c r="Z173" s="342">
        <f t="shared" si="26"/>
        <v>600000</v>
      </c>
      <c r="AA173" s="252"/>
    </row>
    <row r="174" spans="1:27">
      <c r="A174" s="1599">
        <f t="shared" si="27"/>
        <v>9</v>
      </c>
      <c r="B174" s="1647"/>
      <c r="C174" s="2173">
        <v>307472215910</v>
      </c>
      <c r="D174" s="2159" t="s">
        <v>5887</v>
      </c>
      <c r="E174" s="2386" t="s">
        <v>6071</v>
      </c>
      <c r="F174" s="126" t="s">
        <v>2795</v>
      </c>
      <c r="G174" s="1647"/>
      <c r="H174" s="1647"/>
      <c r="I174" s="154" t="s">
        <v>2794</v>
      </c>
      <c r="J174" s="2517" t="s">
        <v>3217</v>
      </c>
      <c r="K174" s="1919" t="s">
        <v>5940</v>
      </c>
      <c r="L174" s="2516">
        <v>510</v>
      </c>
      <c r="M174" s="1131" t="s">
        <v>2891</v>
      </c>
      <c r="P174" s="248"/>
      <c r="Q174" s="248"/>
      <c r="R174" s="248"/>
      <c r="S174" s="248"/>
      <c r="T174" s="247"/>
      <c r="U174" s="248"/>
      <c r="V174" s="340">
        <v>0</v>
      </c>
      <c r="W174" s="344">
        <v>0</v>
      </c>
      <c r="X174" s="249"/>
      <c r="Y174" s="341">
        <f t="shared" si="28"/>
        <v>648000</v>
      </c>
      <c r="Z174" s="342">
        <f t="shared" si="26"/>
        <v>600000</v>
      </c>
      <c r="AA174" s="252"/>
    </row>
    <row r="175" spans="1:27">
      <c r="A175" s="1599">
        <f t="shared" si="27"/>
        <v>10</v>
      </c>
      <c r="B175" s="1647"/>
      <c r="C175" s="2173">
        <v>307473944650</v>
      </c>
      <c r="D175" s="2159" t="s">
        <v>5887</v>
      </c>
      <c r="E175" s="2386" t="s">
        <v>6071</v>
      </c>
      <c r="F175" s="126" t="s">
        <v>2795</v>
      </c>
      <c r="G175" s="1647"/>
      <c r="H175" s="1647"/>
      <c r="I175" s="154" t="s">
        <v>3035</v>
      </c>
      <c r="J175" s="2517" t="s">
        <v>3205</v>
      </c>
      <c r="K175" s="1109" t="s">
        <v>5891</v>
      </c>
      <c r="L175" s="2516">
        <v>125</v>
      </c>
      <c r="M175" s="1131" t="s">
        <v>2891</v>
      </c>
      <c r="P175" s="248"/>
      <c r="Q175" s="248"/>
      <c r="R175" s="248"/>
      <c r="S175" s="248"/>
      <c r="T175" s="247"/>
      <c r="U175" s="248"/>
      <c r="V175" s="340">
        <v>0</v>
      </c>
      <c r="W175" s="344">
        <v>0</v>
      </c>
      <c r="X175" s="249"/>
      <c r="Y175" s="341">
        <f t="shared" si="28"/>
        <v>648000</v>
      </c>
      <c r="Z175" s="342">
        <f t="shared" si="26"/>
        <v>600000</v>
      </c>
      <c r="AA175" s="252"/>
    </row>
    <row r="176" spans="1:27">
      <c r="A176" s="1599">
        <f t="shared" si="27"/>
        <v>11</v>
      </c>
      <c r="B176" s="1647"/>
      <c r="C176" s="2173">
        <v>307480087740</v>
      </c>
      <c r="D176" s="2159" t="s">
        <v>6018</v>
      </c>
      <c r="E176" s="2386" t="s">
        <v>6071</v>
      </c>
      <c r="F176" s="126" t="s">
        <v>2795</v>
      </c>
      <c r="G176" s="1647"/>
      <c r="H176" s="1647"/>
      <c r="I176" s="3749" t="s">
        <v>3383</v>
      </c>
      <c r="J176" s="2517" t="s">
        <v>3215</v>
      </c>
      <c r="K176" s="170" t="s">
        <v>5973</v>
      </c>
      <c r="L176" s="2516">
        <v>1087</v>
      </c>
      <c r="M176" s="1131" t="s">
        <v>2891</v>
      </c>
      <c r="P176" s="248"/>
      <c r="Q176" s="248"/>
      <c r="R176" s="248"/>
      <c r="S176" s="248"/>
      <c r="T176" s="247"/>
      <c r="U176" s="248"/>
      <c r="V176" s="340">
        <v>0</v>
      </c>
      <c r="W176" s="344">
        <v>0</v>
      </c>
      <c r="X176" s="249"/>
      <c r="Y176" s="341">
        <f t="shared" si="28"/>
        <v>648000</v>
      </c>
      <c r="Z176" s="342">
        <f t="shared" si="26"/>
        <v>600000</v>
      </c>
      <c r="AA176" s="252"/>
    </row>
    <row r="177" spans="1:27">
      <c r="A177" s="1599">
        <f t="shared" si="27"/>
        <v>12</v>
      </c>
      <c r="B177" s="1647"/>
      <c r="C177" s="2173">
        <v>307480337530</v>
      </c>
      <c r="D177" s="2159" t="s">
        <v>6018</v>
      </c>
      <c r="E177" s="2386" t="s">
        <v>6071</v>
      </c>
      <c r="F177" s="126" t="s">
        <v>2795</v>
      </c>
      <c r="G177" s="1647"/>
      <c r="H177" s="1647"/>
      <c r="I177" s="3750"/>
      <c r="J177" s="2517" t="s">
        <v>3263</v>
      </c>
      <c r="K177" s="170" t="s">
        <v>5974</v>
      </c>
      <c r="L177" s="2516">
        <v>69</v>
      </c>
      <c r="M177" s="1131" t="s">
        <v>2891</v>
      </c>
      <c r="P177" s="248"/>
      <c r="Q177" s="248"/>
      <c r="R177" s="248"/>
      <c r="S177" s="248"/>
      <c r="T177" s="247"/>
      <c r="U177" s="248"/>
      <c r="V177" s="340">
        <v>0</v>
      </c>
      <c r="W177" s="344">
        <v>0</v>
      </c>
      <c r="X177" s="249"/>
      <c r="Y177" s="341">
        <f t="shared" si="28"/>
        <v>648000</v>
      </c>
      <c r="Z177" s="342">
        <f t="shared" si="26"/>
        <v>600000</v>
      </c>
      <c r="AA177" s="252"/>
    </row>
    <row r="178" spans="1:27">
      <c r="A178" s="1599">
        <f t="shared" si="27"/>
        <v>13</v>
      </c>
      <c r="B178" s="1647"/>
      <c r="C178" s="2173">
        <v>307480359560</v>
      </c>
      <c r="D178" s="2159" t="s">
        <v>6018</v>
      </c>
      <c r="E178" s="2386" t="s">
        <v>6071</v>
      </c>
      <c r="F178" s="126" t="s">
        <v>2795</v>
      </c>
      <c r="G178" s="1647"/>
      <c r="H178" s="1647"/>
      <c r="I178" s="3750"/>
      <c r="J178" s="2517" t="s">
        <v>3295</v>
      </c>
      <c r="K178" s="170" t="s">
        <v>5975</v>
      </c>
      <c r="L178" s="2516">
        <v>1534</v>
      </c>
      <c r="M178" s="1131" t="s">
        <v>2891</v>
      </c>
      <c r="P178" s="248"/>
      <c r="Q178" s="248"/>
      <c r="R178" s="248"/>
      <c r="S178" s="248"/>
      <c r="T178" s="247"/>
      <c r="U178" s="248"/>
      <c r="V178" s="340">
        <v>0</v>
      </c>
      <c r="W178" s="344">
        <v>0</v>
      </c>
      <c r="X178" s="249"/>
      <c r="Y178" s="341">
        <f t="shared" si="28"/>
        <v>648000</v>
      </c>
      <c r="Z178" s="342">
        <f t="shared" si="26"/>
        <v>600000</v>
      </c>
      <c r="AA178" s="252"/>
    </row>
    <row r="179" spans="1:27">
      <c r="A179" s="1599">
        <f t="shared" si="27"/>
        <v>14</v>
      </c>
      <c r="B179" s="1647"/>
      <c r="C179" s="2173">
        <v>307480400750</v>
      </c>
      <c r="D179" s="2159" t="s">
        <v>6018</v>
      </c>
      <c r="E179" s="2386" t="s">
        <v>6071</v>
      </c>
      <c r="F179" s="126" t="s">
        <v>2795</v>
      </c>
      <c r="G179" s="1647"/>
      <c r="H179" s="1647"/>
      <c r="I179" s="3751"/>
      <c r="J179" s="2517" t="s">
        <v>3325</v>
      </c>
      <c r="K179" s="170" t="s">
        <v>5976</v>
      </c>
      <c r="L179" s="2516">
        <v>1840</v>
      </c>
      <c r="M179" s="1131" t="s">
        <v>2891</v>
      </c>
      <c r="P179" s="248"/>
      <c r="Q179" s="248"/>
      <c r="R179" s="248"/>
      <c r="S179" s="248"/>
      <c r="T179" s="247"/>
      <c r="U179" s="248"/>
      <c r="V179" s="340">
        <v>0</v>
      </c>
      <c r="W179" s="344">
        <v>0</v>
      </c>
      <c r="X179" s="249"/>
      <c r="Y179" s="341">
        <f t="shared" si="28"/>
        <v>648000</v>
      </c>
      <c r="Z179" s="342">
        <f t="shared" si="26"/>
        <v>600000</v>
      </c>
      <c r="AA179" s="252"/>
    </row>
    <row r="180" spans="1:27">
      <c r="A180" s="1599">
        <f t="shared" si="27"/>
        <v>15</v>
      </c>
      <c r="B180" s="1647"/>
      <c r="C180" s="2173">
        <v>307497568840</v>
      </c>
      <c r="D180" s="2159" t="s">
        <v>6073</v>
      </c>
      <c r="E180" s="2386" t="s">
        <v>6071</v>
      </c>
      <c r="F180" s="126" t="s">
        <v>2795</v>
      </c>
      <c r="G180" s="1647"/>
      <c r="H180" s="1647"/>
      <c r="I180" s="1824" t="s">
        <v>5914</v>
      </c>
      <c r="J180" s="1616" t="s">
        <v>6084</v>
      </c>
      <c r="K180" s="1919" t="s">
        <v>6051</v>
      </c>
      <c r="L180" s="1616" t="s">
        <v>6052</v>
      </c>
      <c r="M180" s="1131" t="s">
        <v>2891</v>
      </c>
      <c r="P180" s="248"/>
      <c r="Q180" s="248"/>
      <c r="R180" s="248"/>
      <c r="S180" s="248"/>
      <c r="T180" s="247"/>
      <c r="U180" s="248"/>
      <c r="V180" s="340">
        <v>0</v>
      </c>
      <c r="W180" s="344">
        <v>0</v>
      </c>
      <c r="X180" s="249"/>
      <c r="Y180" s="341">
        <f t="shared" si="28"/>
        <v>648000</v>
      </c>
      <c r="Z180" s="342">
        <f t="shared" si="26"/>
        <v>600000</v>
      </c>
      <c r="AA180" s="252"/>
    </row>
    <row r="181" spans="1:27">
      <c r="A181" s="1599">
        <f t="shared" si="27"/>
        <v>16</v>
      </c>
      <c r="B181" s="1647"/>
      <c r="C181" s="2173">
        <v>307497459530</v>
      </c>
      <c r="D181" s="2159" t="s">
        <v>6073</v>
      </c>
      <c r="E181" s="2386" t="s">
        <v>6071</v>
      </c>
      <c r="F181" s="126" t="s">
        <v>2795</v>
      </c>
      <c r="G181" s="1647"/>
      <c r="H181" s="1647"/>
      <c r="I181" s="154" t="s">
        <v>2794</v>
      </c>
      <c r="J181" s="1616" t="s">
        <v>3355</v>
      </c>
      <c r="K181" s="1919" t="s">
        <v>6259</v>
      </c>
      <c r="L181" s="1616" t="s">
        <v>6050</v>
      </c>
      <c r="M181" s="1131" t="s">
        <v>2891</v>
      </c>
      <c r="P181" s="248"/>
      <c r="Q181" s="248"/>
      <c r="R181" s="248"/>
      <c r="S181" s="248"/>
      <c r="T181" s="247"/>
      <c r="U181" s="248"/>
      <c r="V181" s="340">
        <v>0</v>
      </c>
      <c r="W181" s="344">
        <v>0</v>
      </c>
      <c r="X181" s="249"/>
      <c r="Y181" s="341">
        <f t="shared" si="28"/>
        <v>648000</v>
      </c>
      <c r="Z181" s="342">
        <f t="shared" si="26"/>
        <v>600000</v>
      </c>
      <c r="AA181" s="252"/>
    </row>
    <row r="182" spans="1:27">
      <c r="A182" s="3752" t="s">
        <v>6147</v>
      </c>
      <c r="B182" s="3752"/>
      <c r="C182" s="3752"/>
      <c r="D182" s="3752"/>
      <c r="E182" s="3752"/>
      <c r="F182" s="3752"/>
      <c r="G182" s="3752"/>
      <c r="H182" s="3752"/>
      <c r="I182" s="3752"/>
      <c r="J182" s="3752"/>
      <c r="K182" s="3752"/>
      <c r="L182" s="3752"/>
      <c r="M182" s="3752"/>
      <c r="N182" s="1086"/>
      <c r="O182" s="1087"/>
      <c r="P182" s="1088"/>
      <c r="Q182" s="1088"/>
      <c r="R182" s="425"/>
      <c r="S182" s="425"/>
      <c r="T182" s="426"/>
      <c r="U182" s="425"/>
      <c r="V182" s="1088"/>
      <c r="W182" s="1089"/>
      <c r="X182" s="1090"/>
      <c r="Y182" s="1091">
        <f>SUM(Y166:Y181)</f>
        <v>10368000</v>
      </c>
      <c r="Z182" s="1091">
        <f>SUM(Z166:Z181)</f>
        <v>9600000</v>
      </c>
      <c r="AA182" s="252"/>
    </row>
    <row r="183" spans="1:27">
      <c r="A183" s="1599">
        <v>1</v>
      </c>
      <c r="B183" s="1647"/>
      <c r="C183" s="2173">
        <v>307523400610</v>
      </c>
      <c r="D183" s="2159" t="s">
        <v>6122</v>
      </c>
      <c r="E183" s="2039"/>
      <c r="F183" s="126" t="s">
        <v>2795</v>
      </c>
      <c r="G183" s="1647"/>
      <c r="H183" s="1647"/>
      <c r="I183" s="1824" t="s">
        <v>5914</v>
      </c>
      <c r="J183" s="1616" t="s">
        <v>3364</v>
      </c>
      <c r="K183" s="1919" t="s">
        <v>6146</v>
      </c>
      <c r="L183" s="2516">
        <v>1203</v>
      </c>
      <c r="M183" s="1131" t="s">
        <v>2891</v>
      </c>
      <c r="P183" s="248"/>
      <c r="Q183" s="248"/>
      <c r="R183" s="248"/>
      <c r="S183" s="248"/>
      <c r="T183" s="247"/>
      <c r="U183" s="248"/>
      <c r="V183" s="340">
        <v>0</v>
      </c>
      <c r="W183" s="344">
        <v>0</v>
      </c>
      <c r="X183" s="249"/>
      <c r="Y183" s="341">
        <f t="shared" si="28"/>
        <v>648000</v>
      </c>
      <c r="Z183" s="342">
        <f t="shared" ref="Z183" si="29">+Y183/1.08</f>
        <v>600000</v>
      </c>
      <c r="AA183" s="252"/>
    </row>
    <row r="184" spans="1:27">
      <c r="A184" s="1599">
        <f t="shared" si="27"/>
        <v>2</v>
      </c>
      <c r="B184" s="1647"/>
      <c r="C184" s="2173">
        <v>307533152050</v>
      </c>
      <c r="D184" s="2159" t="s">
        <v>6192</v>
      </c>
      <c r="E184" s="2039"/>
      <c r="F184" s="126" t="s">
        <v>2795</v>
      </c>
      <c r="G184" s="1647"/>
      <c r="H184" s="1647"/>
      <c r="I184" s="154" t="s">
        <v>3035</v>
      </c>
      <c r="J184" s="1616" t="s">
        <v>3432</v>
      </c>
      <c r="K184" s="1109" t="s">
        <v>6237</v>
      </c>
      <c r="L184" s="2516">
        <v>232</v>
      </c>
      <c r="M184" s="1131" t="s">
        <v>2891</v>
      </c>
      <c r="P184" s="248"/>
      <c r="Q184" s="248"/>
      <c r="R184" s="248"/>
      <c r="S184" s="248"/>
      <c r="T184" s="247"/>
      <c r="U184" s="248"/>
      <c r="V184" s="340">
        <v>0</v>
      </c>
      <c r="W184" s="344">
        <v>0</v>
      </c>
      <c r="X184" s="249"/>
      <c r="Y184" s="341">
        <f t="shared" ref="Y184:Y193" si="30">600000*1.08</f>
        <v>648000</v>
      </c>
      <c r="Z184" s="342">
        <f t="shared" ref="Z184:Z193" si="31">+Y184/1.08</f>
        <v>600000</v>
      </c>
      <c r="AA184" s="252"/>
    </row>
    <row r="185" spans="1:27">
      <c r="A185" s="1599">
        <f t="shared" si="27"/>
        <v>3</v>
      </c>
      <c r="B185" s="1647"/>
      <c r="C185" s="2173">
        <v>307539617620</v>
      </c>
      <c r="D185" s="2159" t="s">
        <v>6208</v>
      </c>
      <c r="E185" s="2039"/>
      <c r="F185" s="126" t="s">
        <v>2795</v>
      </c>
      <c r="G185" s="1647"/>
      <c r="H185" s="1647"/>
      <c r="I185" s="154" t="s">
        <v>4755</v>
      </c>
      <c r="J185" s="1616" t="s">
        <v>3481</v>
      </c>
      <c r="K185" s="1919" t="s">
        <v>6238</v>
      </c>
      <c r="L185" s="2516">
        <v>309</v>
      </c>
      <c r="M185" s="1131" t="s">
        <v>2891</v>
      </c>
      <c r="P185" s="248"/>
      <c r="Q185" s="248"/>
      <c r="R185" s="248"/>
      <c r="S185" s="248"/>
      <c r="T185" s="247"/>
      <c r="U185" s="248"/>
      <c r="V185" s="340">
        <v>0</v>
      </c>
      <c r="W185" s="344">
        <v>0</v>
      </c>
      <c r="X185" s="249"/>
      <c r="Y185" s="341">
        <f t="shared" si="30"/>
        <v>648000</v>
      </c>
      <c r="Z185" s="342">
        <f t="shared" si="31"/>
        <v>600000</v>
      </c>
      <c r="AA185" s="252"/>
    </row>
    <row r="186" spans="1:27">
      <c r="A186" s="1599">
        <f t="shared" si="27"/>
        <v>4</v>
      </c>
      <c r="B186" s="1647"/>
      <c r="C186" s="2173">
        <v>307550099310</v>
      </c>
      <c r="D186" s="2159" t="s">
        <v>6208</v>
      </c>
      <c r="E186" s="2039"/>
      <c r="F186" s="126" t="s">
        <v>2795</v>
      </c>
      <c r="G186" s="1647"/>
      <c r="H186" s="1647"/>
      <c r="I186" s="1824" t="s">
        <v>5914</v>
      </c>
      <c r="J186" s="1616" t="s">
        <v>3433</v>
      </c>
      <c r="K186" s="1919" t="s">
        <v>6258</v>
      </c>
      <c r="L186" s="2516">
        <v>973</v>
      </c>
      <c r="M186" s="1131" t="s">
        <v>2891</v>
      </c>
      <c r="P186" s="248"/>
      <c r="Q186" s="248"/>
      <c r="R186" s="248"/>
      <c r="S186" s="248"/>
      <c r="T186" s="247"/>
      <c r="U186" s="248"/>
      <c r="V186" s="340">
        <v>0</v>
      </c>
      <c r="W186" s="344">
        <v>0</v>
      </c>
      <c r="X186" s="249"/>
      <c r="Y186" s="341">
        <f t="shared" si="30"/>
        <v>648000</v>
      </c>
      <c r="Z186" s="342">
        <f t="shared" si="31"/>
        <v>600000</v>
      </c>
      <c r="AA186" s="252"/>
    </row>
    <row r="187" spans="1:27">
      <c r="A187" s="1599">
        <f t="shared" si="27"/>
        <v>5</v>
      </c>
      <c r="B187" s="1647"/>
      <c r="C187" s="2173">
        <v>307550093010</v>
      </c>
      <c r="D187" s="2159" t="s">
        <v>6208</v>
      </c>
      <c r="E187" s="2039"/>
      <c r="F187" s="126" t="s">
        <v>2795</v>
      </c>
      <c r="G187" s="1647"/>
      <c r="H187" s="1647"/>
      <c r="I187" s="154" t="s">
        <v>2794</v>
      </c>
      <c r="J187" s="1616" t="s">
        <v>3435</v>
      </c>
      <c r="K187" s="1919" t="s">
        <v>6260</v>
      </c>
      <c r="L187" s="2516">
        <v>518</v>
      </c>
      <c r="M187" s="1131" t="s">
        <v>2891</v>
      </c>
      <c r="P187" s="248"/>
      <c r="Q187" s="248"/>
      <c r="R187" s="248"/>
      <c r="S187" s="248"/>
      <c r="T187" s="247"/>
      <c r="U187" s="248"/>
      <c r="V187" s="340">
        <v>0</v>
      </c>
      <c r="W187" s="344">
        <v>0</v>
      </c>
      <c r="X187" s="249"/>
      <c r="Y187" s="341">
        <f t="shared" si="30"/>
        <v>648000</v>
      </c>
      <c r="Z187" s="342">
        <f t="shared" si="31"/>
        <v>600000</v>
      </c>
      <c r="AA187" s="252"/>
    </row>
    <row r="188" spans="1:27">
      <c r="A188" s="1599">
        <f t="shared" si="27"/>
        <v>6</v>
      </c>
      <c r="C188" s="2173">
        <v>307553481010</v>
      </c>
      <c r="D188" s="2159" t="s">
        <v>6158</v>
      </c>
      <c r="E188" s="2039"/>
      <c r="F188" s="126" t="s">
        <v>2795</v>
      </c>
      <c r="G188" s="1647"/>
      <c r="H188" s="1647"/>
      <c r="I188" s="3749" t="s">
        <v>3383</v>
      </c>
      <c r="J188" s="1616" t="s">
        <v>3482</v>
      </c>
      <c r="K188" s="170" t="s">
        <v>6267</v>
      </c>
      <c r="L188" s="2516">
        <v>1068</v>
      </c>
      <c r="M188" s="1131" t="s">
        <v>2891</v>
      </c>
      <c r="P188" s="248"/>
      <c r="Q188" s="248"/>
      <c r="R188" s="248"/>
      <c r="S188" s="248"/>
      <c r="T188" s="247"/>
      <c r="U188" s="248"/>
      <c r="V188" s="340">
        <v>0</v>
      </c>
      <c r="W188" s="344">
        <v>0</v>
      </c>
      <c r="X188" s="249"/>
      <c r="Y188" s="341">
        <f t="shared" si="30"/>
        <v>648000</v>
      </c>
      <c r="Z188" s="342">
        <f t="shared" si="31"/>
        <v>600000</v>
      </c>
      <c r="AA188" s="252"/>
    </row>
    <row r="189" spans="1:27">
      <c r="A189" s="1599">
        <f t="shared" si="27"/>
        <v>7</v>
      </c>
      <c r="C189" s="2173">
        <v>307553508640</v>
      </c>
      <c r="D189" s="2159" t="s">
        <v>6158</v>
      </c>
      <c r="E189" s="2039"/>
      <c r="F189" s="126" t="s">
        <v>2795</v>
      </c>
      <c r="G189" s="1647"/>
      <c r="H189" s="1647"/>
      <c r="I189" s="3750"/>
      <c r="J189" s="1616" t="s">
        <v>3483</v>
      </c>
      <c r="K189" s="170" t="s">
        <v>6268</v>
      </c>
      <c r="L189" s="2516">
        <v>46</v>
      </c>
      <c r="M189" s="1131" t="s">
        <v>2891</v>
      </c>
      <c r="P189" s="248"/>
      <c r="Q189" s="248"/>
      <c r="R189" s="248"/>
      <c r="S189" s="248"/>
      <c r="T189" s="247"/>
      <c r="U189" s="248"/>
      <c r="V189" s="340">
        <v>0</v>
      </c>
      <c r="W189" s="344">
        <v>0</v>
      </c>
      <c r="X189" s="249"/>
      <c r="Y189" s="341">
        <f t="shared" si="30"/>
        <v>648000</v>
      </c>
      <c r="Z189" s="342">
        <f t="shared" si="31"/>
        <v>600000</v>
      </c>
      <c r="AA189" s="252"/>
    </row>
    <row r="190" spans="1:27">
      <c r="A190" s="1599">
        <f t="shared" si="27"/>
        <v>8</v>
      </c>
      <c r="C190" s="2173">
        <v>307553531740</v>
      </c>
      <c r="D190" s="2159" t="s">
        <v>6158</v>
      </c>
      <c r="E190" s="2039"/>
      <c r="F190" s="126" t="s">
        <v>2795</v>
      </c>
      <c r="G190" s="1647"/>
      <c r="H190" s="1647"/>
      <c r="I190" s="3750"/>
      <c r="J190" s="1616" t="s">
        <v>3510</v>
      </c>
      <c r="K190" s="170" t="s">
        <v>6269</v>
      </c>
      <c r="L190" s="2516">
        <v>469</v>
      </c>
      <c r="M190" s="1131" t="s">
        <v>2891</v>
      </c>
      <c r="P190" s="248"/>
      <c r="Q190" s="248"/>
      <c r="R190" s="248"/>
      <c r="S190" s="248"/>
      <c r="T190" s="247"/>
      <c r="U190" s="248"/>
      <c r="V190" s="340">
        <v>0</v>
      </c>
      <c r="W190" s="344">
        <v>0</v>
      </c>
      <c r="X190" s="249"/>
      <c r="Y190" s="341">
        <f t="shared" si="30"/>
        <v>648000</v>
      </c>
      <c r="Z190" s="342">
        <f t="shared" si="31"/>
        <v>600000</v>
      </c>
      <c r="AA190" s="252"/>
    </row>
    <row r="191" spans="1:27">
      <c r="A191" s="1599">
        <f t="shared" si="27"/>
        <v>9</v>
      </c>
      <c r="C191" s="2173">
        <v>307553557640</v>
      </c>
      <c r="D191" s="2159" t="s">
        <v>6158</v>
      </c>
      <c r="E191" s="2039"/>
      <c r="F191" s="126" t="s">
        <v>2795</v>
      </c>
      <c r="G191" s="1647"/>
      <c r="H191" s="1647"/>
      <c r="I191" s="3751"/>
      <c r="J191" s="1616" t="s">
        <v>3523</v>
      </c>
      <c r="K191" s="170" t="s">
        <v>6270</v>
      </c>
      <c r="L191" s="2516">
        <v>683</v>
      </c>
      <c r="M191" s="1131" t="s">
        <v>2891</v>
      </c>
      <c r="P191" s="248"/>
      <c r="Q191" s="248"/>
      <c r="R191" s="248"/>
      <c r="S191" s="248"/>
      <c r="T191" s="247"/>
      <c r="U191" s="248"/>
      <c r="V191" s="340">
        <v>0</v>
      </c>
      <c r="W191" s="344">
        <v>0</v>
      </c>
      <c r="X191" s="249"/>
      <c r="Y191" s="341">
        <f t="shared" si="30"/>
        <v>648000</v>
      </c>
      <c r="Z191" s="342">
        <f t="shared" si="31"/>
        <v>600000</v>
      </c>
      <c r="AA191" s="252"/>
    </row>
    <row r="192" spans="1:27">
      <c r="A192" s="1599">
        <f t="shared" si="27"/>
        <v>10</v>
      </c>
      <c r="C192" s="2036"/>
      <c r="D192" s="1919"/>
      <c r="E192" s="2039"/>
      <c r="F192" s="126" t="s">
        <v>2795</v>
      </c>
      <c r="G192" s="1647"/>
      <c r="H192" s="1647"/>
      <c r="I192" s="154" t="s">
        <v>4755</v>
      </c>
      <c r="J192" s="1824"/>
      <c r="K192" s="2040"/>
      <c r="L192" s="1824"/>
      <c r="M192" s="2041"/>
      <c r="P192" s="248"/>
      <c r="Q192" s="248"/>
      <c r="R192" s="248"/>
      <c r="S192" s="248"/>
      <c r="T192" s="247"/>
      <c r="U192" s="248"/>
      <c r="V192" s="340">
        <v>0</v>
      </c>
      <c r="W192" s="344">
        <v>0</v>
      </c>
      <c r="X192" s="249"/>
      <c r="Y192" s="341">
        <f t="shared" si="30"/>
        <v>648000</v>
      </c>
      <c r="Z192" s="342">
        <f t="shared" si="31"/>
        <v>600000</v>
      </c>
      <c r="AA192" s="252"/>
    </row>
    <row r="193" spans="1:27">
      <c r="A193" s="1599">
        <f t="shared" si="27"/>
        <v>11</v>
      </c>
      <c r="C193" s="2036"/>
      <c r="D193" s="1919"/>
      <c r="E193" s="2039"/>
      <c r="F193" s="2039"/>
      <c r="G193" s="1647"/>
      <c r="H193" s="1647"/>
      <c r="I193" s="1824"/>
      <c r="J193" s="1824"/>
      <c r="K193" s="2040"/>
      <c r="L193" s="1824"/>
      <c r="M193" s="2041"/>
      <c r="P193" s="248"/>
      <c r="Q193" s="248"/>
      <c r="R193" s="248"/>
      <c r="S193" s="248"/>
      <c r="T193" s="247"/>
      <c r="U193" s="248"/>
      <c r="V193" s="340">
        <v>0</v>
      </c>
      <c r="W193" s="344">
        <v>0</v>
      </c>
      <c r="X193" s="249"/>
      <c r="Y193" s="341">
        <f t="shared" si="30"/>
        <v>648000</v>
      </c>
      <c r="Z193" s="342">
        <f t="shared" si="31"/>
        <v>600000</v>
      </c>
      <c r="AA193" s="252"/>
    </row>
    <row r="194" spans="1:27">
      <c r="A194" s="1599">
        <f t="shared" si="27"/>
        <v>12</v>
      </c>
      <c r="C194" s="2036"/>
      <c r="D194" s="1919"/>
      <c r="E194" s="2039"/>
      <c r="F194" s="2039"/>
      <c r="G194" s="1647"/>
      <c r="H194" s="1647"/>
      <c r="I194" s="1824"/>
      <c r="J194" s="1824"/>
      <c r="K194" s="2040"/>
      <c r="L194" s="1824"/>
      <c r="M194" s="2041"/>
      <c r="P194" s="248"/>
      <c r="Q194" s="248"/>
      <c r="R194" s="248"/>
      <c r="S194" s="248"/>
      <c r="T194" s="247"/>
      <c r="U194" s="248"/>
      <c r="V194" s="248"/>
      <c r="W194" s="194"/>
      <c r="X194" s="249"/>
      <c r="Y194" s="250"/>
      <c r="Z194" s="251"/>
      <c r="AA194" s="252"/>
    </row>
    <row r="195" spans="1:27">
      <c r="A195" s="1599">
        <f t="shared" si="27"/>
        <v>13</v>
      </c>
      <c r="C195" s="2036"/>
      <c r="D195" s="1919"/>
      <c r="E195" s="2039"/>
      <c r="F195" s="2039"/>
      <c r="G195" s="1647"/>
      <c r="H195" s="1647"/>
      <c r="I195" s="1824"/>
      <c r="J195" s="1824"/>
      <c r="K195" s="2040"/>
      <c r="L195" s="1824"/>
      <c r="M195" s="2041"/>
      <c r="P195" s="248"/>
      <c r="Q195" s="248"/>
      <c r="R195" s="248"/>
      <c r="S195" s="248"/>
      <c r="T195" s="247"/>
      <c r="U195" s="248"/>
      <c r="V195" s="248"/>
      <c r="W195" s="194"/>
      <c r="X195" s="249"/>
      <c r="Y195" s="250"/>
      <c r="Z195" s="251"/>
      <c r="AA195" s="252"/>
    </row>
    <row r="196" spans="1:27">
      <c r="A196" s="1599">
        <f t="shared" si="27"/>
        <v>14</v>
      </c>
      <c r="C196" s="2036"/>
      <c r="D196" s="1919"/>
      <c r="E196" s="2039"/>
      <c r="F196" s="2039"/>
      <c r="G196" s="1647"/>
      <c r="H196" s="1647"/>
      <c r="I196" s="1824"/>
      <c r="J196" s="1824"/>
      <c r="K196" s="2040"/>
      <c r="L196" s="1824"/>
      <c r="M196" s="2041"/>
      <c r="P196" s="248"/>
      <c r="Q196" s="248"/>
      <c r="R196" s="248"/>
      <c r="S196" s="248"/>
      <c r="T196" s="247"/>
      <c r="U196" s="248"/>
      <c r="V196" s="248"/>
      <c r="W196" s="194"/>
      <c r="X196" s="249"/>
      <c r="Y196" s="250"/>
      <c r="Z196" s="251"/>
      <c r="AA196" s="252"/>
    </row>
    <row r="197" spans="1:27">
      <c r="A197" s="1599">
        <f t="shared" si="27"/>
        <v>15</v>
      </c>
      <c r="C197" s="2036"/>
      <c r="D197" s="1919"/>
      <c r="E197" s="2039"/>
      <c r="F197" s="2039"/>
      <c r="G197" s="1647"/>
      <c r="H197" s="1647"/>
      <c r="I197" s="1824"/>
      <c r="J197" s="1824"/>
      <c r="K197" s="2040"/>
      <c r="L197" s="1824"/>
      <c r="M197" s="2041"/>
      <c r="P197" s="248"/>
      <c r="Q197" s="248"/>
      <c r="R197" s="248"/>
      <c r="S197" s="248"/>
      <c r="T197" s="247"/>
      <c r="U197" s="248"/>
      <c r="V197" s="248"/>
      <c r="W197" s="194"/>
      <c r="X197" s="249"/>
      <c r="Y197" s="250"/>
      <c r="Z197" s="251"/>
      <c r="AA197" s="252"/>
    </row>
    <row r="198" spans="1:27">
      <c r="A198" s="1599">
        <f t="shared" si="27"/>
        <v>16</v>
      </c>
      <c r="C198" s="2036"/>
      <c r="D198" s="1919"/>
      <c r="E198" s="2039"/>
      <c r="F198" s="2039"/>
      <c r="G198" s="1647"/>
      <c r="H198" s="1647"/>
      <c r="I198" s="1824"/>
      <c r="J198" s="1824"/>
      <c r="K198" s="2040"/>
      <c r="L198" s="1824"/>
      <c r="M198" s="2041"/>
      <c r="P198" s="248"/>
      <c r="Q198" s="248"/>
      <c r="R198" s="248"/>
      <c r="S198" s="248"/>
      <c r="T198" s="247"/>
      <c r="U198" s="248"/>
      <c r="V198" s="248"/>
      <c r="W198" s="194"/>
      <c r="X198" s="249"/>
      <c r="Y198" s="250"/>
      <c r="Z198" s="251"/>
      <c r="AA198" s="252"/>
    </row>
    <row r="199" spans="1:27">
      <c r="A199" s="1599">
        <f t="shared" si="27"/>
        <v>17</v>
      </c>
      <c r="C199" s="2036"/>
      <c r="D199" s="1919"/>
      <c r="E199" s="2039"/>
      <c r="F199" s="2039"/>
      <c r="G199" s="1647"/>
      <c r="H199" s="1647"/>
      <c r="I199" s="1824"/>
      <c r="J199" s="1824"/>
      <c r="K199" s="2040"/>
      <c r="L199" s="1824"/>
      <c r="M199" s="2041"/>
      <c r="P199" s="248"/>
      <c r="Q199" s="248"/>
      <c r="R199" s="248"/>
      <c r="S199" s="248"/>
      <c r="T199" s="247"/>
      <c r="U199" s="248"/>
      <c r="V199" s="248"/>
      <c r="W199" s="194"/>
      <c r="X199" s="249"/>
      <c r="Y199" s="250"/>
      <c r="Z199" s="251"/>
      <c r="AA199" s="252"/>
    </row>
    <row r="200" spans="1:27">
      <c r="A200" s="1599">
        <f t="shared" si="27"/>
        <v>18</v>
      </c>
      <c r="C200" s="2036"/>
      <c r="D200" s="1919"/>
      <c r="E200" s="2039"/>
      <c r="F200" s="2039"/>
      <c r="G200" s="1647"/>
      <c r="H200" s="1647"/>
      <c r="I200" s="1824"/>
      <c r="J200" s="1824"/>
      <c r="K200" s="2040"/>
      <c r="L200" s="1824"/>
      <c r="M200" s="2041"/>
      <c r="P200" s="248"/>
      <c r="Q200" s="248"/>
      <c r="R200" s="248"/>
      <c r="S200" s="248"/>
      <c r="T200" s="247"/>
      <c r="U200" s="248"/>
      <c r="V200" s="248"/>
      <c r="W200" s="194"/>
      <c r="X200" s="249"/>
      <c r="Y200" s="250"/>
      <c r="Z200" s="251"/>
      <c r="AA200" s="252"/>
    </row>
    <row r="201" spans="1:27">
      <c r="A201" s="1599">
        <f t="shared" si="27"/>
        <v>19</v>
      </c>
      <c r="C201" s="2036"/>
      <c r="D201" s="1919"/>
      <c r="E201" s="2039"/>
      <c r="F201" s="2039"/>
      <c r="G201" s="1647"/>
      <c r="H201" s="1647"/>
      <c r="I201" s="1824"/>
      <c r="J201" s="1824"/>
      <c r="K201" s="2040"/>
      <c r="L201" s="1824"/>
      <c r="M201" s="2041"/>
      <c r="P201" s="248"/>
      <c r="Q201" s="248"/>
      <c r="R201" s="248"/>
      <c r="S201" s="248"/>
      <c r="T201" s="247"/>
      <c r="U201" s="248"/>
      <c r="V201" s="248"/>
      <c r="W201" s="194"/>
      <c r="X201" s="249"/>
      <c r="Y201" s="250"/>
      <c r="Z201" s="251"/>
      <c r="AA201" s="252"/>
    </row>
    <row r="202" spans="1:27">
      <c r="A202" s="1599">
        <f t="shared" si="27"/>
        <v>20</v>
      </c>
      <c r="C202" s="2036"/>
      <c r="D202" s="1919"/>
      <c r="E202" s="2039"/>
      <c r="F202" s="2039"/>
      <c r="G202" s="1647"/>
      <c r="H202" s="1647"/>
      <c r="I202" s="1824"/>
      <c r="J202" s="1824"/>
      <c r="K202" s="2040"/>
      <c r="L202" s="1824"/>
      <c r="M202" s="2041"/>
      <c r="P202" s="248"/>
      <c r="Q202" s="248"/>
      <c r="R202" s="248"/>
      <c r="S202" s="248"/>
      <c r="T202" s="247"/>
      <c r="U202" s="248"/>
      <c r="V202" s="248"/>
      <c r="W202" s="194"/>
      <c r="X202" s="249"/>
      <c r="Y202" s="250"/>
      <c r="Z202" s="251"/>
      <c r="AA202" s="252"/>
    </row>
    <row r="203" spans="1:27">
      <c r="A203" s="1599">
        <f t="shared" si="27"/>
        <v>21</v>
      </c>
      <c r="C203" s="2036"/>
      <c r="D203" s="1919"/>
      <c r="E203" s="2039"/>
      <c r="F203" s="2039"/>
      <c r="G203" s="1647"/>
      <c r="H203" s="1647"/>
      <c r="I203" s="1824"/>
      <c r="J203" s="1824"/>
      <c r="K203" s="2040"/>
      <c r="L203" s="1824"/>
      <c r="M203" s="2041"/>
      <c r="P203" s="248"/>
      <c r="Q203" s="248"/>
      <c r="R203" s="248"/>
      <c r="S203" s="248"/>
      <c r="T203" s="247"/>
      <c r="U203" s="248"/>
      <c r="V203" s="248"/>
      <c r="W203" s="194"/>
      <c r="X203" s="249"/>
      <c r="Y203" s="250"/>
      <c r="Z203" s="251"/>
      <c r="AA203" s="252"/>
    </row>
    <row r="204" spans="1:27">
      <c r="A204" s="1599">
        <f t="shared" si="27"/>
        <v>22</v>
      </c>
      <c r="C204" s="2036"/>
      <c r="D204" s="1919"/>
      <c r="E204" s="2039"/>
      <c r="F204" s="2039"/>
      <c r="G204" s="1647"/>
      <c r="H204" s="1647"/>
      <c r="I204" s="1824"/>
      <c r="J204" s="1824"/>
      <c r="K204" s="2040"/>
      <c r="L204" s="1824"/>
      <c r="M204" s="2041"/>
      <c r="P204" s="248"/>
      <c r="Q204" s="248"/>
      <c r="R204" s="248"/>
      <c r="S204" s="248"/>
      <c r="T204" s="247"/>
      <c r="U204" s="248"/>
      <c r="V204" s="248"/>
      <c r="W204" s="194"/>
      <c r="X204" s="249"/>
      <c r="Y204" s="250"/>
      <c r="Z204" s="251"/>
      <c r="AA204" s="252"/>
    </row>
    <row r="205" spans="1:27">
      <c r="A205" s="1599">
        <f t="shared" si="27"/>
        <v>23</v>
      </c>
      <c r="C205" s="2036"/>
      <c r="D205" s="1919"/>
      <c r="E205" s="2039"/>
      <c r="F205" s="2039"/>
      <c r="G205" s="1647"/>
      <c r="H205" s="1647"/>
      <c r="I205" s="1824"/>
      <c r="J205" s="1824"/>
      <c r="K205" s="2040"/>
      <c r="L205" s="1824"/>
      <c r="M205" s="2041"/>
      <c r="P205" s="248"/>
      <c r="Q205" s="248"/>
      <c r="R205" s="248"/>
      <c r="S205" s="248"/>
      <c r="T205" s="247"/>
      <c r="U205" s="248"/>
      <c r="V205" s="248"/>
      <c r="W205" s="194"/>
      <c r="X205" s="249"/>
      <c r="Y205" s="250"/>
      <c r="Z205" s="251"/>
      <c r="AA205" s="252"/>
    </row>
    <row r="206" spans="1:27">
      <c r="A206" s="1599">
        <f t="shared" si="27"/>
        <v>24</v>
      </c>
      <c r="C206" s="2036"/>
      <c r="D206" s="1919"/>
      <c r="E206" s="2039"/>
      <c r="F206" s="2039"/>
      <c r="G206" s="1647"/>
      <c r="H206" s="1647"/>
      <c r="I206" s="1824"/>
      <c r="J206" s="1824"/>
      <c r="K206" s="2040"/>
      <c r="L206" s="1824"/>
      <c r="M206" s="2041"/>
      <c r="P206" s="248"/>
      <c r="Q206" s="248"/>
      <c r="R206" s="248"/>
      <c r="S206" s="248"/>
      <c r="T206" s="247"/>
      <c r="U206" s="248"/>
      <c r="V206" s="248"/>
      <c r="W206" s="194"/>
      <c r="X206" s="249"/>
      <c r="Y206" s="250"/>
      <c r="Z206" s="251"/>
      <c r="AA206" s="252"/>
    </row>
    <row r="207" spans="1:27">
      <c r="A207" s="1599">
        <f t="shared" si="27"/>
        <v>25</v>
      </c>
      <c r="C207" s="2036"/>
      <c r="D207" s="1919"/>
      <c r="E207" s="2039"/>
      <c r="F207" s="2039"/>
      <c r="G207" s="1647"/>
      <c r="H207" s="1647"/>
      <c r="I207" s="1824"/>
      <c r="J207" s="1824"/>
      <c r="K207" s="2040"/>
      <c r="L207" s="1824"/>
      <c r="M207" s="2041"/>
      <c r="P207" s="248"/>
      <c r="Q207" s="248"/>
      <c r="R207" s="248"/>
      <c r="S207" s="248"/>
      <c r="T207" s="247"/>
      <c r="U207" s="248"/>
      <c r="V207" s="248"/>
      <c r="W207" s="194"/>
      <c r="X207" s="249"/>
      <c r="Y207" s="250"/>
      <c r="Z207" s="251"/>
      <c r="AA207" s="252"/>
    </row>
    <row r="208" spans="1:27">
      <c r="A208" s="1599">
        <f t="shared" si="27"/>
        <v>26</v>
      </c>
      <c r="C208" s="2036"/>
      <c r="D208" s="1919"/>
      <c r="E208" s="2039"/>
      <c r="F208" s="2039"/>
      <c r="G208" s="1647"/>
      <c r="H208" s="1647"/>
      <c r="I208" s="1824"/>
      <c r="J208" s="1824"/>
      <c r="K208" s="2040"/>
      <c r="L208" s="1824"/>
      <c r="M208" s="2041"/>
      <c r="P208" s="248"/>
      <c r="Q208" s="248"/>
      <c r="R208" s="248"/>
      <c r="S208" s="248"/>
      <c r="T208" s="247"/>
      <c r="U208" s="248"/>
      <c r="V208" s="248"/>
      <c r="W208" s="194"/>
      <c r="X208" s="249"/>
      <c r="Y208" s="250"/>
      <c r="Z208" s="251"/>
      <c r="AA208" s="252"/>
    </row>
    <row r="209" spans="1:27">
      <c r="A209" s="1599">
        <f t="shared" si="27"/>
        <v>27</v>
      </c>
      <c r="C209" s="2036"/>
      <c r="D209" s="1919"/>
      <c r="E209" s="2039"/>
      <c r="F209" s="2039"/>
      <c r="G209" s="1647"/>
      <c r="H209" s="1647"/>
      <c r="I209" s="1824"/>
      <c r="J209" s="1824"/>
      <c r="K209" s="2040"/>
      <c r="L209" s="1824"/>
      <c r="M209" s="2041"/>
      <c r="P209" s="248"/>
      <c r="Q209" s="248"/>
      <c r="R209" s="248"/>
      <c r="S209" s="248"/>
      <c r="T209" s="247"/>
      <c r="U209" s="248"/>
      <c r="V209" s="248"/>
      <c r="W209" s="194"/>
      <c r="X209" s="249"/>
      <c r="Y209" s="250"/>
      <c r="Z209" s="251"/>
      <c r="AA209" s="252"/>
    </row>
    <row r="210" spans="1:27">
      <c r="A210" s="1599">
        <f t="shared" si="27"/>
        <v>28</v>
      </c>
      <c r="C210" s="2036"/>
      <c r="D210" s="1919"/>
      <c r="E210" s="2039"/>
      <c r="F210" s="2039"/>
      <c r="G210" s="1647"/>
      <c r="H210" s="1647"/>
      <c r="I210" s="1824"/>
      <c r="J210" s="1824"/>
      <c r="K210" s="2040"/>
      <c r="L210" s="1824"/>
      <c r="M210" s="2041"/>
      <c r="P210" s="248"/>
      <c r="Q210" s="248"/>
      <c r="R210" s="248"/>
      <c r="S210" s="248"/>
      <c r="T210" s="247"/>
      <c r="U210" s="248"/>
      <c r="V210" s="248"/>
      <c r="W210" s="194"/>
      <c r="X210" s="249"/>
      <c r="Y210" s="250"/>
      <c r="Z210" s="251"/>
      <c r="AA210" s="252"/>
    </row>
    <row r="211" spans="1:27">
      <c r="A211" s="1599">
        <f t="shared" si="27"/>
        <v>29</v>
      </c>
      <c r="C211" s="2036"/>
      <c r="D211" s="1919"/>
      <c r="E211" s="2039"/>
      <c r="F211" s="2039"/>
      <c r="G211" s="1647"/>
      <c r="H211" s="1647"/>
      <c r="I211" s="1824"/>
      <c r="J211" s="1824"/>
      <c r="K211" s="2040"/>
      <c r="L211" s="1824"/>
      <c r="M211" s="2041"/>
      <c r="P211" s="248"/>
      <c r="Q211" s="248"/>
      <c r="R211" s="248"/>
      <c r="S211" s="248"/>
      <c r="T211" s="247"/>
      <c r="U211" s="248"/>
      <c r="V211" s="248"/>
      <c r="W211" s="194"/>
      <c r="X211" s="249"/>
      <c r="Y211" s="250"/>
      <c r="Z211" s="251"/>
      <c r="AA211" s="252"/>
    </row>
    <row r="212" spans="1:27">
      <c r="A212" s="1599">
        <f t="shared" si="27"/>
        <v>30</v>
      </c>
      <c r="C212" s="2036"/>
      <c r="D212" s="1919"/>
      <c r="E212" s="2039"/>
      <c r="F212" s="2039"/>
      <c r="G212" s="1647"/>
      <c r="H212" s="1647"/>
      <c r="I212" s="1824"/>
      <c r="J212" s="1824"/>
      <c r="K212" s="2040"/>
      <c r="L212" s="1824"/>
      <c r="M212" s="2041"/>
      <c r="P212" s="248"/>
      <c r="Q212" s="248"/>
      <c r="R212" s="248"/>
      <c r="S212" s="248"/>
      <c r="T212" s="247"/>
      <c r="U212" s="248"/>
      <c r="V212" s="248"/>
      <c r="W212" s="194"/>
      <c r="X212" s="249"/>
      <c r="Y212" s="250"/>
      <c r="Z212" s="251"/>
      <c r="AA212" s="252"/>
    </row>
    <row r="213" spans="1:27">
      <c r="A213" s="1599">
        <f t="shared" si="27"/>
        <v>31</v>
      </c>
      <c r="C213" s="2036"/>
      <c r="D213" s="1919"/>
      <c r="E213" s="2039"/>
      <c r="F213" s="2039"/>
      <c r="G213" s="1647"/>
      <c r="H213" s="1647"/>
      <c r="I213" s="1824"/>
      <c r="J213" s="1824"/>
      <c r="K213" s="2040"/>
      <c r="L213" s="1824"/>
      <c r="M213" s="2041"/>
      <c r="P213" s="248"/>
      <c r="Q213" s="248"/>
      <c r="R213" s="248"/>
      <c r="S213" s="248"/>
      <c r="T213" s="247"/>
      <c r="U213" s="248"/>
      <c r="V213" s="248"/>
      <c r="W213" s="194"/>
      <c r="X213" s="249"/>
      <c r="Y213" s="250"/>
      <c r="Z213" s="251"/>
      <c r="AA213" s="252"/>
    </row>
    <row r="214" spans="1:27">
      <c r="A214" s="1599">
        <f t="shared" si="27"/>
        <v>32</v>
      </c>
      <c r="C214" s="2036"/>
      <c r="D214" s="1919"/>
      <c r="E214" s="2039"/>
      <c r="F214" s="2039"/>
      <c r="G214" s="1647"/>
      <c r="H214" s="1647"/>
      <c r="I214" s="1824"/>
      <c r="J214" s="1824"/>
      <c r="K214" s="2040"/>
      <c r="L214" s="1824"/>
      <c r="M214" s="2041"/>
      <c r="P214" s="248"/>
      <c r="Q214" s="248"/>
      <c r="R214" s="248"/>
      <c r="S214" s="248"/>
      <c r="T214" s="247"/>
      <c r="U214" s="248"/>
      <c r="V214" s="248"/>
      <c r="W214" s="194"/>
      <c r="X214" s="249"/>
      <c r="Y214" s="250"/>
      <c r="Z214" s="251"/>
      <c r="AA214" s="252"/>
    </row>
    <row r="215" spans="1:27">
      <c r="A215" s="1599">
        <f t="shared" si="27"/>
        <v>33</v>
      </c>
      <c r="C215" s="2036"/>
      <c r="D215" s="1919"/>
      <c r="E215" s="2039"/>
      <c r="F215" s="2039"/>
      <c r="G215" s="1647"/>
      <c r="H215" s="1647"/>
      <c r="I215" s="1824"/>
      <c r="J215" s="1824"/>
      <c r="K215" s="2040"/>
      <c r="L215" s="1824"/>
      <c r="M215" s="2041"/>
      <c r="P215" s="248"/>
      <c r="Q215" s="248"/>
      <c r="R215" s="248"/>
      <c r="S215" s="248"/>
      <c r="T215" s="247"/>
      <c r="U215" s="248"/>
      <c r="V215" s="248"/>
      <c r="W215" s="194"/>
      <c r="X215" s="249"/>
      <c r="Y215" s="250"/>
      <c r="Z215" s="251"/>
      <c r="AA215" s="252"/>
    </row>
    <row r="216" spans="1:27">
      <c r="A216" s="1599">
        <f t="shared" si="27"/>
        <v>34</v>
      </c>
      <c r="C216" s="2036"/>
      <c r="D216" s="1919"/>
      <c r="E216" s="2039"/>
      <c r="F216" s="2039"/>
      <c r="G216" s="1647"/>
      <c r="H216" s="1647"/>
      <c r="I216" s="1824"/>
      <c r="J216" s="1824"/>
      <c r="K216" s="2040"/>
      <c r="L216" s="1824"/>
      <c r="M216" s="2041"/>
      <c r="P216" s="248"/>
      <c r="Q216" s="248"/>
      <c r="R216" s="248"/>
      <c r="S216" s="248"/>
      <c r="T216" s="247"/>
      <c r="U216" s="248"/>
      <c r="V216" s="248"/>
      <c r="W216" s="194"/>
      <c r="X216" s="249"/>
      <c r="Y216" s="250"/>
      <c r="Z216" s="251"/>
      <c r="AA216" s="252"/>
    </row>
    <row r="217" spans="1:27">
      <c r="A217" s="1599">
        <f t="shared" si="27"/>
        <v>35</v>
      </c>
      <c r="C217" s="2036"/>
      <c r="D217" s="1919"/>
      <c r="E217" s="2039"/>
      <c r="F217" s="2039"/>
      <c r="G217" s="1647"/>
      <c r="H217" s="1647"/>
      <c r="I217" s="1824"/>
      <c r="J217" s="1824"/>
      <c r="K217" s="2040"/>
      <c r="L217" s="1824"/>
      <c r="M217" s="2041"/>
      <c r="P217" s="248"/>
      <c r="Q217" s="248"/>
      <c r="R217" s="248"/>
      <c r="S217" s="248"/>
      <c r="T217" s="247"/>
      <c r="U217" s="248"/>
      <c r="V217" s="248"/>
      <c r="W217" s="194"/>
      <c r="X217" s="249"/>
      <c r="Y217" s="250"/>
      <c r="Z217" s="251"/>
      <c r="AA217" s="252"/>
    </row>
    <row r="218" spans="1:27">
      <c r="A218" s="1599">
        <f t="shared" si="27"/>
        <v>36</v>
      </c>
      <c r="C218" s="2036"/>
      <c r="D218" s="1919"/>
      <c r="E218" s="2039"/>
      <c r="F218" s="2039"/>
      <c r="G218" s="1647"/>
      <c r="H218" s="1647"/>
      <c r="I218" s="1824"/>
      <c r="J218" s="1824"/>
      <c r="K218" s="2040"/>
      <c r="L218" s="1824"/>
      <c r="M218" s="2041"/>
      <c r="P218" s="248"/>
      <c r="Q218" s="248"/>
      <c r="R218" s="248"/>
      <c r="S218" s="248"/>
      <c r="T218" s="247"/>
      <c r="U218" s="248"/>
      <c r="V218" s="248"/>
      <c r="W218" s="194"/>
      <c r="X218" s="249"/>
      <c r="Y218" s="250"/>
      <c r="Z218" s="251"/>
      <c r="AA218" s="252"/>
    </row>
    <row r="219" spans="1:27">
      <c r="A219" s="1599">
        <f t="shared" si="27"/>
        <v>37</v>
      </c>
      <c r="C219" s="2036"/>
      <c r="D219" s="1919"/>
      <c r="E219" s="2039"/>
      <c r="F219" s="2039"/>
      <c r="G219" s="1647"/>
      <c r="H219" s="1647"/>
      <c r="I219" s="1824"/>
      <c r="J219" s="1824"/>
      <c r="K219" s="2040"/>
      <c r="L219" s="1824"/>
      <c r="M219" s="2041"/>
      <c r="P219" s="248"/>
      <c r="Q219" s="248"/>
      <c r="R219" s="248"/>
      <c r="S219" s="248"/>
      <c r="T219" s="247"/>
      <c r="U219" s="248"/>
      <c r="V219" s="248"/>
      <c r="W219" s="194"/>
      <c r="X219" s="249"/>
      <c r="Y219" s="250"/>
      <c r="Z219" s="251"/>
      <c r="AA219" s="252"/>
    </row>
    <row r="220" spans="1:27">
      <c r="A220" s="1599">
        <f t="shared" si="27"/>
        <v>38</v>
      </c>
      <c r="C220" s="2036"/>
      <c r="D220" s="1919"/>
      <c r="E220" s="2039"/>
      <c r="F220" s="2039"/>
      <c r="G220" s="1647"/>
      <c r="H220" s="1647"/>
      <c r="I220" s="1824"/>
      <c r="J220" s="1824"/>
      <c r="K220" s="2040"/>
      <c r="L220" s="1824"/>
      <c r="M220" s="2041"/>
      <c r="P220" s="248"/>
      <c r="Q220" s="248"/>
      <c r="R220" s="248"/>
      <c r="S220" s="248"/>
      <c r="T220" s="247"/>
      <c r="U220" s="248"/>
      <c r="V220" s="248"/>
      <c r="W220" s="194"/>
      <c r="X220" s="249"/>
      <c r="Y220" s="250"/>
      <c r="Z220" s="251"/>
      <c r="AA220" s="252"/>
    </row>
    <row r="221" spans="1:27">
      <c r="A221" s="1599">
        <f t="shared" si="27"/>
        <v>39</v>
      </c>
      <c r="C221" s="2036"/>
      <c r="D221" s="1919"/>
      <c r="E221" s="2039"/>
      <c r="F221" s="2039"/>
      <c r="G221" s="1647"/>
      <c r="H221" s="1647"/>
      <c r="I221" s="1824"/>
      <c r="J221" s="1824"/>
      <c r="K221" s="2040"/>
      <c r="L221" s="1824"/>
      <c r="M221" s="2041"/>
      <c r="P221" s="248"/>
      <c r="Q221" s="248"/>
      <c r="R221" s="248"/>
      <c r="S221" s="248"/>
      <c r="T221" s="247"/>
      <c r="U221" s="248"/>
      <c r="V221" s="248"/>
      <c r="W221" s="194"/>
      <c r="X221" s="249"/>
      <c r="Y221" s="250"/>
      <c r="Z221" s="251"/>
      <c r="AA221" s="252"/>
    </row>
    <row r="222" spans="1:27">
      <c r="A222" s="1599">
        <f t="shared" si="27"/>
        <v>40</v>
      </c>
      <c r="C222" s="2036"/>
      <c r="D222" s="1919"/>
      <c r="E222" s="2039"/>
      <c r="F222" s="2039"/>
      <c r="G222" s="1647"/>
      <c r="H222" s="1647"/>
      <c r="I222" s="1824"/>
      <c r="J222" s="1824"/>
      <c r="K222" s="2040"/>
      <c r="L222" s="1824"/>
      <c r="M222" s="2041"/>
      <c r="P222" s="248"/>
      <c r="Q222" s="248"/>
      <c r="R222" s="248"/>
      <c r="S222" s="248"/>
      <c r="T222" s="247"/>
      <c r="U222" s="248"/>
      <c r="V222" s="248"/>
      <c r="W222" s="194"/>
      <c r="X222" s="249"/>
      <c r="Y222" s="250"/>
      <c r="Z222" s="251"/>
      <c r="AA222" s="252"/>
    </row>
    <row r="223" spans="1:27">
      <c r="A223" s="1599">
        <f t="shared" si="27"/>
        <v>41</v>
      </c>
      <c r="C223" s="2036"/>
      <c r="D223" s="1919"/>
      <c r="E223" s="2039"/>
      <c r="F223" s="2039"/>
      <c r="G223" s="1647"/>
      <c r="H223" s="1647"/>
      <c r="I223" s="1824"/>
      <c r="J223" s="1824"/>
      <c r="K223" s="2040"/>
      <c r="L223" s="1824"/>
      <c r="M223" s="2041"/>
      <c r="P223" s="248"/>
      <c r="Q223" s="248"/>
      <c r="R223" s="248"/>
      <c r="S223" s="248"/>
      <c r="T223" s="247"/>
      <c r="U223" s="248"/>
      <c r="V223" s="248"/>
      <c r="W223" s="194"/>
      <c r="X223" s="249"/>
      <c r="Y223" s="250"/>
      <c r="Z223" s="251"/>
      <c r="AA223" s="252"/>
    </row>
    <row r="224" spans="1:27">
      <c r="A224" s="1599">
        <f t="shared" si="27"/>
        <v>42</v>
      </c>
      <c r="C224" s="2036"/>
      <c r="D224" s="1919"/>
      <c r="E224" s="2039"/>
      <c r="F224" s="2039"/>
      <c r="G224" s="1647"/>
      <c r="H224" s="1647"/>
      <c r="I224" s="1824"/>
      <c r="J224" s="1824"/>
      <c r="K224" s="2040"/>
      <c r="L224" s="1824"/>
      <c r="M224" s="2041"/>
      <c r="P224" s="248"/>
      <c r="Q224" s="248"/>
      <c r="R224" s="248"/>
      <c r="S224" s="248"/>
      <c r="T224" s="247"/>
      <c r="U224" s="248"/>
      <c r="V224" s="248"/>
      <c r="W224" s="194"/>
      <c r="X224" s="249"/>
      <c r="Y224" s="250"/>
      <c r="Z224" s="251"/>
      <c r="AA224" s="252"/>
    </row>
    <row r="225" spans="1:27">
      <c r="A225" s="1599">
        <f t="shared" si="27"/>
        <v>43</v>
      </c>
      <c r="C225" s="2036"/>
      <c r="D225" s="1919"/>
      <c r="E225" s="2039"/>
      <c r="F225" s="2039"/>
      <c r="G225" s="1647"/>
      <c r="H225" s="1647"/>
      <c r="I225" s="1824"/>
      <c r="J225" s="1824"/>
      <c r="K225" s="2040"/>
      <c r="L225" s="1824"/>
      <c r="M225" s="2041"/>
      <c r="P225" s="248"/>
      <c r="Q225" s="248"/>
      <c r="R225" s="248"/>
      <c r="S225" s="248"/>
      <c r="T225" s="247"/>
      <c r="U225" s="248"/>
      <c r="V225" s="248"/>
      <c r="W225" s="194"/>
      <c r="X225" s="249"/>
      <c r="Y225" s="250"/>
      <c r="Z225" s="251"/>
      <c r="AA225" s="252"/>
    </row>
    <row r="226" spans="1:27">
      <c r="A226" s="1599">
        <f t="shared" si="27"/>
        <v>44</v>
      </c>
      <c r="C226" s="2036"/>
      <c r="D226" s="1919"/>
      <c r="E226" s="2039"/>
      <c r="F226" s="2039"/>
      <c r="G226" s="1647"/>
      <c r="H226" s="1647"/>
      <c r="I226" s="1824"/>
      <c r="J226" s="1824"/>
      <c r="K226" s="2040"/>
      <c r="L226" s="1824"/>
      <c r="M226" s="2041"/>
      <c r="P226" s="248"/>
      <c r="Q226" s="248"/>
      <c r="R226" s="248"/>
      <c r="S226" s="248"/>
      <c r="T226" s="247"/>
      <c r="U226" s="248"/>
      <c r="V226" s="248"/>
      <c r="W226" s="194"/>
      <c r="X226" s="249"/>
      <c r="Y226" s="250"/>
      <c r="Z226" s="251"/>
      <c r="AA226" s="252"/>
    </row>
    <row r="227" spans="1:27">
      <c r="A227" s="1599">
        <f t="shared" si="27"/>
        <v>45</v>
      </c>
      <c r="C227" s="2036"/>
      <c r="D227" s="1919"/>
      <c r="E227" s="2039"/>
      <c r="F227" s="2039"/>
      <c r="G227" s="1647"/>
      <c r="H227" s="1647"/>
      <c r="I227" s="1824"/>
      <c r="J227" s="1824"/>
      <c r="K227" s="2040"/>
      <c r="L227" s="1824"/>
      <c r="M227" s="2041"/>
      <c r="P227" s="248"/>
      <c r="Q227" s="248"/>
      <c r="R227" s="248"/>
      <c r="S227" s="248"/>
      <c r="T227" s="247"/>
      <c r="U227" s="248"/>
      <c r="V227" s="248"/>
      <c r="W227" s="194"/>
      <c r="X227" s="249"/>
      <c r="Y227" s="250"/>
      <c r="Z227" s="251"/>
      <c r="AA227" s="252"/>
    </row>
    <row r="228" spans="1:27">
      <c r="A228" s="1599">
        <f t="shared" si="27"/>
        <v>46</v>
      </c>
      <c r="C228" s="2036"/>
      <c r="D228" s="1919"/>
      <c r="E228" s="2039"/>
      <c r="F228" s="2039"/>
      <c r="G228" s="1647"/>
      <c r="H228" s="1647"/>
      <c r="I228" s="1824"/>
      <c r="J228" s="1824"/>
      <c r="K228" s="2040"/>
      <c r="L228" s="1824"/>
      <c r="M228" s="2041"/>
      <c r="P228" s="248"/>
      <c r="Q228" s="248"/>
      <c r="R228" s="248"/>
      <c r="S228" s="248"/>
      <c r="T228" s="247"/>
      <c r="U228" s="248"/>
      <c r="V228" s="248"/>
      <c r="W228" s="194"/>
      <c r="X228" s="249"/>
      <c r="Y228" s="250"/>
      <c r="Z228" s="251"/>
      <c r="AA228" s="252"/>
    </row>
    <row r="229" spans="1:27">
      <c r="A229" s="1599">
        <f t="shared" si="27"/>
        <v>47</v>
      </c>
      <c r="C229" s="2036"/>
      <c r="D229" s="1919"/>
      <c r="E229" s="2039"/>
      <c r="F229" s="2039"/>
      <c r="G229" s="1647"/>
      <c r="H229" s="1647"/>
      <c r="I229" s="1824"/>
      <c r="J229" s="1824"/>
      <c r="K229" s="2040"/>
      <c r="L229" s="1824"/>
      <c r="M229" s="2041"/>
      <c r="P229" s="248"/>
      <c r="Q229" s="248"/>
      <c r="R229" s="248"/>
      <c r="S229" s="248"/>
      <c r="T229" s="247"/>
      <c r="U229" s="248"/>
      <c r="V229" s="248"/>
      <c r="W229" s="194"/>
      <c r="X229" s="249"/>
      <c r="Y229" s="250"/>
      <c r="Z229" s="251"/>
      <c r="AA229" s="252"/>
    </row>
    <row r="230" spans="1:27">
      <c r="A230" s="1599">
        <f t="shared" si="27"/>
        <v>48</v>
      </c>
      <c r="C230" s="2036"/>
      <c r="D230" s="1919"/>
      <c r="E230" s="2039"/>
      <c r="F230" s="2039"/>
      <c r="G230" s="1647"/>
      <c r="H230" s="1647"/>
      <c r="I230" s="1824"/>
      <c r="J230" s="1824"/>
      <c r="K230" s="2040"/>
      <c r="L230" s="1824"/>
      <c r="M230" s="2041"/>
      <c r="P230" s="248"/>
      <c r="Q230" s="248"/>
      <c r="R230" s="248"/>
      <c r="S230" s="248"/>
      <c r="T230" s="247"/>
      <c r="U230" s="248"/>
      <c r="V230" s="248"/>
      <c r="W230" s="194"/>
      <c r="X230" s="249"/>
      <c r="Y230" s="250"/>
      <c r="Z230" s="251"/>
      <c r="AA230" s="252"/>
    </row>
    <row r="231" spans="1:27">
      <c r="A231" s="1599">
        <f t="shared" si="27"/>
        <v>49</v>
      </c>
      <c r="C231" s="2036"/>
      <c r="D231" s="1919"/>
      <c r="E231" s="2039"/>
      <c r="F231" s="2039"/>
      <c r="G231" s="1647"/>
      <c r="H231" s="1647"/>
      <c r="I231" s="1824"/>
      <c r="J231" s="1824"/>
      <c r="K231" s="2040"/>
      <c r="L231" s="1824"/>
      <c r="M231" s="2041"/>
      <c r="P231" s="248"/>
      <c r="Q231" s="248"/>
      <c r="R231" s="248"/>
      <c r="S231" s="248"/>
      <c r="T231" s="247"/>
      <c r="U231" s="248"/>
      <c r="V231" s="248"/>
      <c r="W231" s="194"/>
      <c r="X231" s="249"/>
      <c r="Y231" s="250"/>
      <c r="Z231" s="251"/>
      <c r="AA231" s="252"/>
    </row>
    <row r="232" spans="1:27">
      <c r="A232" s="1599">
        <f t="shared" ref="A232:A295" si="32">+A231+1</f>
        <v>50</v>
      </c>
      <c r="C232" s="2036"/>
      <c r="D232" s="1919"/>
      <c r="E232" s="2039"/>
      <c r="F232" s="2039"/>
      <c r="G232" s="1647"/>
      <c r="H232" s="1647"/>
      <c r="I232" s="1824"/>
      <c r="J232" s="1824"/>
      <c r="K232" s="2040"/>
      <c r="L232" s="1824"/>
      <c r="M232" s="2041"/>
      <c r="P232" s="248"/>
      <c r="Q232" s="248"/>
      <c r="R232" s="248"/>
      <c r="S232" s="248"/>
      <c r="T232" s="247"/>
      <c r="U232" s="248"/>
      <c r="V232" s="248"/>
      <c r="W232" s="194"/>
      <c r="X232" s="249"/>
      <c r="Y232" s="250"/>
      <c r="Z232" s="251"/>
      <c r="AA232" s="252"/>
    </row>
    <row r="233" spans="1:27">
      <c r="A233" s="1599">
        <f t="shared" si="32"/>
        <v>51</v>
      </c>
      <c r="C233" s="2036"/>
      <c r="D233" s="1919"/>
      <c r="E233" s="2039"/>
      <c r="F233" s="2039"/>
      <c r="G233" s="1647"/>
      <c r="H233" s="1647"/>
      <c r="I233" s="1824"/>
      <c r="J233" s="1824"/>
      <c r="K233" s="2040"/>
      <c r="L233" s="1824"/>
      <c r="M233" s="2041"/>
      <c r="P233" s="248"/>
      <c r="Q233" s="248"/>
      <c r="R233" s="248"/>
      <c r="S233" s="248"/>
      <c r="T233" s="247"/>
      <c r="U233" s="248"/>
      <c r="V233" s="248"/>
      <c r="W233" s="194"/>
      <c r="X233" s="249"/>
      <c r="Y233" s="250"/>
      <c r="Z233" s="251"/>
      <c r="AA233" s="252"/>
    </row>
    <row r="234" spans="1:27">
      <c r="A234" s="1599">
        <f t="shared" si="32"/>
        <v>52</v>
      </c>
      <c r="C234" s="2036"/>
      <c r="D234" s="1919"/>
      <c r="E234" s="2039"/>
      <c r="F234" s="2039"/>
      <c r="G234" s="1647"/>
      <c r="H234" s="1647"/>
      <c r="I234" s="1824"/>
      <c r="J234" s="1824"/>
      <c r="K234" s="2040"/>
      <c r="L234" s="1824"/>
      <c r="M234" s="2041"/>
      <c r="P234" s="248"/>
      <c r="Q234" s="248"/>
      <c r="R234" s="248"/>
      <c r="S234" s="248"/>
      <c r="T234" s="247"/>
      <c r="U234" s="248"/>
      <c r="V234" s="248"/>
      <c r="W234" s="194"/>
      <c r="X234" s="249"/>
      <c r="Y234" s="250"/>
      <c r="Z234" s="251"/>
      <c r="AA234" s="252"/>
    </row>
    <row r="235" spans="1:27">
      <c r="A235" s="1599">
        <f t="shared" si="32"/>
        <v>53</v>
      </c>
      <c r="C235" s="2036"/>
      <c r="D235" s="1919"/>
      <c r="E235" s="2039"/>
      <c r="F235" s="2039"/>
      <c r="G235" s="1647"/>
      <c r="H235" s="1647"/>
      <c r="I235" s="1824"/>
      <c r="J235" s="1824"/>
      <c r="K235" s="2040"/>
      <c r="L235" s="1824"/>
      <c r="M235" s="2041"/>
      <c r="P235" s="248"/>
      <c r="Q235" s="248"/>
      <c r="R235" s="248"/>
      <c r="S235" s="248"/>
      <c r="T235" s="247"/>
      <c r="U235" s="248"/>
      <c r="V235" s="248"/>
      <c r="W235" s="194"/>
      <c r="X235" s="249"/>
      <c r="Y235" s="250"/>
      <c r="Z235" s="251"/>
      <c r="AA235" s="252"/>
    </row>
    <row r="236" spans="1:27">
      <c r="A236" s="1599">
        <f t="shared" si="32"/>
        <v>54</v>
      </c>
      <c r="C236" s="2036"/>
      <c r="D236" s="1919"/>
      <c r="E236" s="2039"/>
      <c r="F236" s="2039"/>
      <c r="G236" s="1647"/>
      <c r="H236" s="1647"/>
      <c r="I236" s="1824"/>
      <c r="J236" s="1824"/>
      <c r="K236" s="2040"/>
      <c r="L236" s="1824"/>
      <c r="M236" s="2041"/>
      <c r="P236" s="248"/>
      <c r="Q236" s="248"/>
      <c r="R236" s="248"/>
      <c r="S236" s="248"/>
      <c r="T236" s="247"/>
      <c r="U236" s="248"/>
      <c r="V236" s="248"/>
      <c r="W236" s="194"/>
      <c r="X236" s="249"/>
      <c r="Y236" s="250"/>
      <c r="Z236" s="251"/>
      <c r="AA236" s="252"/>
    </row>
    <row r="237" spans="1:27">
      <c r="A237" s="1599">
        <f t="shared" si="32"/>
        <v>55</v>
      </c>
      <c r="C237" s="2036"/>
      <c r="D237" s="1919"/>
      <c r="E237" s="2039"/>
      <c r="F237" s="2039"/>
      <c r="G237" s="1647"/>
      <c r="H237" s="1647"/>
      <c r="I237" s="1824"/>
      <c r="J237" s="1824"/>
      <c r="K237" s="2040"/>
      <c r="L237" s="1824"/>
      <c r="M237" s="2041"/>
      <c r="P237" s="248"/>
      <c r="Q237" s="248"/>
      <c r="R237" s="248"/>
      <c r="S237" s="248"/>
      <c r="T237" s="247"/>
      <c r="U237" s="248"/>
      <c r="V237" s="248"/>
      <c r="W237" s="194"/>
      <c r="X237" s="249"/>
      <c r="Y237" s="250"/>
      <c r="Z237" s="251"/>
      <c r="AA237" s="252"/>
    </row>
    <row r="238" spans="1:27">
      <c r="A238" s="1599">
        <f t="shared" si="32"/>
        <v>56</v>
      </c>
      <c r="C238" s="2036"/>
      <c r="D238" s="1919"/>
      <c r="E238" s="2039"/>
      <c r="F238" s="2039"/>
      <c r="G238" s="1647"/>
      <c r="H238" s="1647"/>
      <c r="I238" s="1824"/>
      <c r="J238" s="1824"/>
      <c r="K238" s="2040"/>
      <c r="L238" s="1824"/>
      <c r="M238" s="2041"/>
      <c r="P238" s="248"/>
      <c r="Q238" s="248"/>
      <c r="R238" s="248"/>
      <c r="S238" s="248"/>
      <c r="T238" s="247"/>
      <c r="U238" s="248"/>
      <c r="V238" s="248"/>
      <c r="W238" s="194"/>
      <c r="X238" s="249"/>
      <c r="Y238" s="250"/>
      <c r="Z238" s="251"/>
      <c r="AA238" s="252"/>
    </row>
    <row r="239" spans="1:27">
      <c r="A239" s="1599">
        <f t="shared" si="32"/>
        <v>57</v>
      </c>
      <c r="C239" s="2036"/>
      <c r="D239" s="1919"/>
      <c r="E239" s="2039"/>
      <c r="F239" s="2039"/>
      <c r="G239" s="1647"/>
      <c r="H239" s="1647"/>
      <c r="I239" s="1824"/>
      <c r="J239" s="1824"/>
      <c r="K239" s="2040"/>
      <c r="L239" s="1824"/>
      <c r="M239" s="2041"/>
      <c r="P239" s="248"/>
      <c r="Q239" s="248"/>
      <c r="R239" s="248"/>
      <c r="S239" s="248"/>
      <c r="T239" s="247"/>
      <c r="U239" s="248"/>
      <c r="V239" s="248"/>
      <c r="W239" s="194"/>
      <c r="X239" s="249"/>
      <c r="Y239" s="250"/>
      <c r="Z239" s="251"/>
      <c r="AA239" s="252"/>
    </row>
    <row r="240" spans="1:27">
      <c r="A240" s="1599">
        <f t="shared" si="32"/>
        <v>58</v>
      </c>
      <c r="C240" s="2036"/>
      <c r="D240" s="1919"/>
      <c r="E240" s="2039"/>
      <c r="F240" s="2039"/>
      <c r="G240" s="1647"/>
      <c r="H240" s="1647"/>
      <c r="I240" s="1824"/>
      <c r="J240" s="1824"/>
      <c r="K240" s="2040"/>
      <c r="L240" s="1824"/>
      <c r="M240" s="2041"/>
      <c r="P240" s="248"/>
      <c r="Q240" s="248"/>
      <c r="R240" s="248"/>
      <c r="S240" s="248"/>
      <c r="T240" s="247"/>
      <c r="U240" s="248"/>
      <c r="V240" s="248"/>
      <c r="W240" s="194"/>
      <c r="X240" s="249"/>
      <c r="Y240" s="250"/>
      <c r="Z240" s="251"/>
      <c r="AA240" s="252"/>
    </row>
    <row r="241" spans="1:27">
      <c r="A241" s="1599">
        <f t="shared" si="32"/>
        <v>59</v>
      </c>
      <c r="C241" s="2036"/>
      <c r="D241" s="1919"/>
      <c r="E241" s="2039"/>
      <c r="F241" s="2039"/>
      <c r="G241" s="1647"/>
      <c r="H241" s="1647"/>
      <c r="I241" s="1824"/>
      <c r="J241" s="1824"/>
      <c r="K241" s="2040"/>
      <c r="L241" s="1824"/>
      <c r="M241" s="2041"/>
      <c r="P241" s="248"/>
      <c r="Q241" s="248"/>
      <c r="R241" s="248"/>
      <c r="S241" s="248"/>
      <c r="T241" s="247"/>
      <c r="U241" s="248"/>
      <c r="V241" s="248"/>
      <c r="W241" s="194"/>
      <c r="X241" s="249"/>
      <c r="Y241" s="250"/>
      <c r="Z241" s="251"/>
      <c r="AA241" s="252"/>
    </row>
    <row r="242" spans="1:27">
      <c r="A242" s="1599">
        <f t="shared" si="32"/>
        <v>60</v>
      </c>
      <c r="C242" s="2036"/>
      <c r="D242" s="1919"/>
      <c r="E242" s="2039"/>
      <c r="F242" s="2039"/>
      <c r="G242" s="1647"/>
      <c r="H242" s="1647"/>
      <c r="I242" s="1824"/>
      <c r="J242" s="1824"/>
      <c r="K242" s="2040"/>
      <c r="L242" s="1824"/>
      <c r="M242" s="2041"/>
      <c r="P242" s="248"/>
      <c r="Q242" s="248"/>
      <c r="R242" s="248"/>
      <c r="S242" s="248"/>
      <c r="T242" s="247"/>
      <c r="U242" s="248"/>
      <c r="V242" s="248"/>
      <c r="W242" s="194"/>
      <c r="X242" s="249"/>
      <c r="Y242" s="250"/>
      <c r="Z242" s="251"/>
      <c r="AA242" s="252"/>
    </row>
    <row r="243" spans="1:27">
      <c r="A243" s="1599">
        <f t="shared" si="32"/>
        <v>61</v>
      </c>
      <c r="C243" s="2036"/>
      <c r="D243" s="1919"/>
      <c r="E243" s="2039"/>
      <c r="F243" s="2039"/>
      <c r="G243" s="1647"/>
      <c r="H243" s="1647"/>
      <c r="I243" s="1824"/>
      <c r="J243" s="1824"/>
      <c r="K243" s="2040"/>
      <c r="L243" s="1824"/>
      <c r="M243" s="2041"/>
      <c r="P243" s="248"/>
      <c r="Q243" s="248"/>
      <c r="R243" s="248"/>
      <c r="S243" s="248"/>
      <c r="T243" s="247"/>
      <c r="U243" s="248"/>
      <c r="V243" s="248"/>
      <c r="W243" s="194"/>
      <c r="X243" s="249"/>
      <c r="Y243" s="250"/>
      <c r="Z243" s="251"/>
      <c r="AA243" s="252"/>
    </row>
    <row r="244" spans="1:27">
      <c r="A244" s="1599">
        <f t="shared" si="32"/>
        <v>62</v>
      </c>
      <c r="C244" s="2036"/>
      <c r="D244" s="1919"/>
      <c r="E244" s="2039"/>
      <c r="F244" s="2039"/>
      <c r="G244" s="1647"/>
      <c r="H244" s="1647"/>
      <c r="I244" s="1824"/>
      <c r="J244" s="1824"/>
      <c r="K244" s="2040"/>
      <c r="L244" s="1824"/>
      <c r="M244" s="2041"/>
      <c r="P244" s="248"/>
      <c r="Q244" s="248"/>
      <c r="R244" s="248"/>
      <c r="S244" s="248"/>
      <c r="T244" s="247"/>
      <c r="U244" s="248"/>
      <c r="V244" s="248"/>
      <c r="W244" s="194"/>
      <c r="X244" s="249"/>
      <c r="Y244" s="250"/>
      <c r="Z244" s="251"/>
      <c r="AA244" s="252"/>
    </row>
    <row r="245" spans="1:27">
      <c r="A245" s="1599">
        <f t="shared" si="32"/>
        <v>63</v>
      </c>
      <c r="C245" s="2036"/>
      <c r="D245" s="1919"/>
      <c r="E245" s="2039"/>
      <c r="F245" s="2039"/>
      <c r="G245" s="1647"/>
      <c r="H245" s="1647"/>
      <c r="I245" s="1824"/>
      <c r="J245" s="1824"/>
      <c r="K245" s="2040"/>
      <c r="L245" s="1824"/>
      <c r="M245" s="2041"/>
      <c r="P245" s="248"/>
      <c r="Q245" s="248"/>
      <c r="R245" s="248"/>
      <c r="S245" s="248"/>
      <c r="T245" s="247"/>
      <c r="U245" s="248"/>
      <c r="V245" s="248"/>
      <c r="W245" s="194"/>
      <c r="X245" s="249"/>
      <c r="Y245" s="250"/>
      <c r="Z245" s="251"/>
      <c r="AA245" s="252"/>
    </row>
    <row r="246" spans="1:27">
      <c r="A246" s="1599">
        <f t="shared" si="32"/>
        <v>64</v>
      </c>
      <c r="C246" s="2036"/>
      <c r="D246" s="1919"/>
      <c r="E246" s="2039"/>
      <c r="F246" s="2039"/>
      <c r="G246" s="1647"/>
      <c r="H246" s="1647"/>
      <c r="I246" s="1824"/>
      <c r="J246" s="1824"/>
      <c r="K246" s="2040"/>
      <c r="L246" s="1824"/>
      <c r="M246" s="2041"/>
      <c r="P246" s="248"/>
      <c r="Q246" s="248"/>
      <c r="R246" s="248"/>
      <c r="S246" s="248"/>
      <c r="T246" s="247"/>
      <c r="U246" s="248"/>
      <c r="V246" s="248"/>
      <c r="W246" s="194"/>
      <c r="X246" s="249"/>
      <c r="Y246" s="250"/>
      <c r="Z246" s="251"/>
      <c r="AA246" s="252"/>
    </row>
    <row r="247" spans="1:27">
      <c r="A247" s="1599">
        <f t="shared" si="32"/>
        <v>65</v>
      </c>
      <c r="C247" s="2036"/>
      <c r="D247" s="1919"/>
      <c r="E247" s="2039"/>
      <c r="F247" s="2039"/>
      <c r="G247" s="1647"/>
      <c r="H247" s="1647"/>
      <c r="I247" s="1824"/>
      <c r="J247" s="1824"/>
      <c r="K247" s="2040"/>
      <c r="L247" s="1824"/>
      <c r="M247" s="2041"/>
      <c r="P247" s="248"/>
      <c r="Q247" s="248"/>
      <c r="R247" s="248"/>
      <c r="S247" s="248"/>
      <c r="T247" s="247"/>
      <c r="U247" s="248"/>
      <c r="V247" s="248"/>
      <c r="W247" s="194"/>
      <c r="X247" s="249"/>
      <c r="Y247" s="250"/>
      <c r="Z247" s="251"/>
      <c r="AA247" s="252"/>
    </row>
    <row r="248" spans="1:27">
      <c r="A248" s="1599">
        <f t="shared" si="32"/>
        <v>66</v>
      </c>
      <c r="C248" s="2036"/>
      <c r="D248" s="1919"/>
      <c r="E248" s="2039"/>
      <c r="F248" s="2039"/>
      <c r="G248" s="1647"/>
      <c r="H248" s="1647"/>
      <c r="I248" s="1824"/>
      <c r="J248" s="1824"/>
      <c r="K248" s="2040"/>
      <c r="L248" s="1824"/>
      <c r="M248" s="2041"/>
      <c r="P248" s="248"/>
      <c r="Q248" s="248"/>
      <c r="R248" s="248"/>
      <c r="S248" s="248"/>
      <c r="T248" s="247"/>
      <c r="U248" s="248"/>
      <c r="V248" s="248"/>
      <c r="W248" s="194"/>
      <c r="X248" s="249"/>
      <c r="Y248" s="250"/>
      <c r="Z248" s="251"/>
      <c r="AA248" s="252"/>
    </row>
    <row r="249" spans="1:27">
      <c r="A249" s="1599">
        <f t="shared" si="32"/>
        <v>67</v>
      </c>
      <c r="C249" s="2036"/>
      <c r="D249" s="1919"/>
      <c r="E249" s="2039"/>
      <c r="F249" s="2039"/>
      <c r="G249" s="1647"/>
      <c r="H249" s="1647"/>
      <c r="I249" s="1824"/>
      <c r="J249" s="1824"/>
      <c r="K249" s="2040"/>
      <c r="L249" s="1824"/>
      <c r="M249" s="2041"/>
      <c r="P249" s="248"/>
      <c r="Q249" s="248"/>
      <c r="R249" s="248"/>
      <c r="S249" s="248"/>
      <c r="T249" s="247"/>
      <c r="U249" s="248"/>
      <c r="V249" s="248"/>
      <c r="W249" s="194"/>
      <c r="X249" s="249"/>
      <c r="Y249" s="250"/>
      <c r="Z249" s="251"/>
      <c r="AA249" s="252"/>
    </row>
    <row r="250" spans="1:27">
      <c r="A250" s="1599">
        <f t="shared" si="32"/>
        <v>68</v>
      </c>
      <c r="C250" s="2036"/>
      <c r="D250" s="1919"/>
      <c r="E250" s="2039"/>
      <c r="F250" s="2039"/>
      <c r="G250" s="1647"/>
      <c r="H250" s="1647"/>
      <c r="I250" s="1824"/>
      <c r="J250" s="1824"/>
      <c r="K250" s="2040"/>
      <c r="L250" s="1824"/>
      <c r="M250" s="2041"/>
      <c r="P250" s="248"/>
      <c r="Q250" s="248"/>
      <c r="R250" s="248"/>
      <c r="S250" s="248"/>
      <c r="T250" s="247"/>
      <c r="U250" s="248"/>
      <c r="V250" s="248"/>
      <c r="W250" s="194"/>
      <c r="X250" s="249"/>
      <c r="Y250" s="250"/>
      <c r="Z250" s="251"/>
      <c r="AA250" s="252"/>
    </row>
    <row r="251" spans="1:27">
      <c r="A251" s="1599">
        <f t="shared" si="32"/>
        <v>69</v>
      </c>
      <c r="C251" s="2036"/>
      <c r="D251" s="1919"/>
      <c r="E251" s="2039"/>
      <c r="F251" s="2039"/>
      <c r="G251" s="1647"/>
      <c r="H251" s="1647"/>
      <c r="I251" s="1824"/>
      <c r="J251" s="1824"/>
      <c r="K251" s="2040"/>
      <c r="L251" s="1824"/>
      <c r="M251" s="2041"/>
      <c r="P251" s="248"/>
      <c r="Q251" s="248"/>
      <c r="R251" s="248"/>
      <c r="S251" s="248"/>
      <c r="T251" s="247"/>
      <c r="U251" s="248"/>
      <c r="V251" s="248"/>
      <c r="W251" s="194"/>
      <c r="X251" s="249"/>
      <c r="Y251" s="250"/>
      <c r="Z251" s="251"/>
      <c r="AA251" s="252"/>
    </row>
    <row r="252" spans="1:27">
      <c r="A252" s="1599">
        <f t="shared" si="32"/>
        <v>70</v>
      </c>
      <c r="C252" s="2036"/>
      <c r="D252" s="1919"/>
      <c r="E252" s="2039"/>
      <c r="F252" s="2039"/>
      <c r="G252" s="1647"/>
      <c r="H252" s="1647"/>
      <c r="I252" s="1824"/>
      <c r="J252" s="1824"/>
      <c r="K252" s="2040"/>
      <c r="L252" s="1824"/>
      <c r="M252" s="2041"/>
      <c r="P252" s="248"/>
      <c r="Q252" s="248"/>
      <c r="R252" s="248"/>
      <c r="S252" s="248"/>
      <c r="T252" s="247"/>
      <c r="U252" s="248"/>
      <c r="V252" s="248"/>
      <c r="W252" s="194"/>
      <c r="X252" s="249"/>
      <c r="Y252" s="250"/>
      <c r="Z252" s="251"/>
      <c r="AA252" s="252"/>
    </row>
    <row r="253" spans="1:27">
      <c r="A253" s="1599">
        <f t="shared" si="32"/>
        <v>71</v>
      </c>
      <c r="C253" s="2036"/>
      <c r="D253" s="1919"/>
      <c r="E253" s="2039"/>
      <c r="F253" s="2039"/>
      <c r="G253" s="1647"/>
      <c r="H253" s="1647"/>
      <c r="I253" s="1824"/>
      <c r="J253" s="1824"/>
      <c r="K253" s="2040"/>
      <c r="L253" s="1824"/>
      <c r="M253" s="2041"/>
      <c r="P253" s="248"/>
      <c r="Q253" s="248"/>
      <c r="R253" s="248"/>
      <c r="S253" s="248"/>
      <c r="T253" s="247"/>
      <c r="U253" s="248"/>
      <c r="V253" s="248"/>
      <c r="W253" s="194"/>
      <c r="X253" s="249"/>
      <c r="Y253" s="250"/>
      <c r="Z253" s="251"/>
      <c r="AA253" s="252"/>
    </row>
    <row r="254" spans="1:27">
      <c r="A254" s="1599">
        <f t="shared" si="32"/>
        <v>72</v>
      </c>
      <c r="C254" s="2036"/>
      <c r="D254" s="1919"/>
      <c r="E254" s="2039"/>
      <c r="F254" s="2039"/>
      <c r="G254" s="1647"/>
      <c r="H254" s="1647"/>
      <c r="I254" s="1824"/>
      <c r="J254" s="1824"/>
      <c r="K254" s="2040"/>
      <c r="L254" s="1824"/>
      <c r="M254" s="2041"/>
      <c r="P254" s="248"/>
      <c r="Q254" s="248"/>
      <c r="R254" s="248"/>
      <c r="S254" s="248"/>
      <c r="T254" s="247"/>
      <c r="U254" s="248"/>
      <c r="V254" s="248"/>
      <c r="W254" s="194"/>
      <c r="X254" s="249"/>
      <c r="Y254" s="250"/>
      <c r="Z254" s="251"/>
      <c r="AA254" s="252"/>
    </row>
    <row r="255" spans="1:27">
      <c r="A255" s="1599">
        <f t="shared" si="32"/>
        <v>73</v>
      </c>
      <c r="C255" s="2036"/>
      <c r="D255" s="1919"/>
      <c r="E255" s="2039"/>
      <c r="F255" s="2039"/>
      <c r="G255" s="1647"/>
      <c r="H255" s="1647"/>
      <c r="I255" s="1824"/>
      <c r="J255" s="1824"/>
      <c r="K255" s="2040"/>
      <c r="L255" s="1824"/>
      <c r="M255" s="2041"/>
      <c r="P255" s="248"/>
      <c r="Q255" s="248"/>
      <c r="R255" s="248"/>
      <c r="S255" s="248"/>
      <c r="T255" s="247"/>
      <c r="U255" s="248"/>
      <c r="V255" s="248"/>
      <c r="W255" s="194"/>
      <c r="X255" s="249"/>
      <c r="Y255" s="250"/>
      <c r="Z255" s="251"/>
      <c r="AA255" s="252"/>
    </row>
    <row r="256" spans="1:27">
      <c r="A256" s="1599">
        <f t="shared" si="32"/>
        <v>74</v>
      </c>
      <c r="C256" s="2036"/>
      <c r="D256" s="1919"/>
      <c r="E256" s="2039"/>
      <c r="F256" s="2039"/>
      <c r="G256" s="1647"/>
      <c r="H256" s="1647"/>
      <c r="I256" s="1824"/>
      <c r="J256" s="1824"/>
      <c r="K256" s="2040"/>
      <c r="L256" s="1824"/>
      <c r="M256" s="2041"/>
      <c r="P256" s="248"/>
      <c r="Q256" s="248"/>
      <c r="R256" s="248"/>
      <c r="S256" s="248"/>
      <c r="T256" s="247"/>
      <c r="U256" s="248"/>
      <c r="V256" s="248"/>
      <c r="W256" s="194"/>
      <c r="X256" s="249"/>
      <c r="Y256" s="250"/>
      <c r="Z256" s="251"/>
      <c r="AA256" s="252"/>
    </row>
    <row r="257" spans="1:27">
      <c r="A257" s="1599">
        <f t="shared" si="32"/>
        <v>75</v>
      </c>
      <c r="C257" s="2036"/>
      <c r="D257" s="1919"/>
      <c r="E257" s="2039"/>
      <c r="F257" s="2039"/>
      <c r="G257" s="1647"/>
      <c r="H257" s="1647"/>
      <c r="I257" s="1824"/>
      <c r="J257" s="1824"/>
      <c r="K257" s="2040"/>
      <c r="L257" s="1824"/>
      <c r="M257" s="2041"/>
      <c r="P257" s="248"/>
      <c r="Q257" s="248"/>
      <c r="R257" s="248"/>
      <c r="S257" s="248"/>
      <c r="T257" s="247"/>
      <c r="U257" s="248"/>
      <c r="V257" s="248"/>
      <c r="W257" s="194"/>
      <c r="X257" s="249"/>
      <c r="Y257" s="250"/>
      <c r="Z257" s="251"/>
      <c r="AA257" s="252"/>
    </row>
    <row r="258" spans="1:27">
      <c r="A258" s="1599">
        <f t="shared" si="32"/>
        <v>76</v>
      </c>
      <c r="C258" s="2036"/>
      <c r="D258" s="1919"/>
      <c r="E258" s="2039"/>
      <c r="F258" s="2039"/>
      <c r="G258" s="1647"/>
      <c r="H258" s="1647"/>
      <c r="I258" s="1824"/>
      <c r="J258" s="1824"/>
      <c r="K258" s="2040"/>
      <c r="L258" s="1824"/>
      <c r="M258" s="2041"/>
      <c r="P258" s="248"/>
      <c r="Q258" s="248"/>
      <c r="R258" s="248"/>
      <c r="S258" s="248"/>
      <c r="T258" s="247"/>
      <c r="U258" s="248"/>
      <c r="V258" s="248"/>
      <c r="W258" s="194"/>
      <c r="X258" s="249"/>
      <c r="Y258" s="250"/>
      <c r="Z258" s="251"/>
      <c r="AA258" s="252"/>
    </row>
    <row r="259" spans="1:27">
      <c r="A259" s="1599">
        <f t="shared" si="32"/>
        <v>77</v>
      </c>
      <c r="C259" s="2036"/>
      <c r="D259" s="1919"/>
      <c r="E259" s="2039"/>
      <c r="F259" s="2039"/>
      <c r="G259" s="1647"/>
      <c r="H259" s="1647"/>
      <c r="I259" s="1824"/>
      <c r="J259" s="1824"/>
      <c r="K259" s="2040"/>
      <c r="L259" s="1824"/>
      <c r="M259" s="2041"/>
      <c r="P259" s="248"/>
      <c r="Q259" s="248"/>
      <c r="R259" s="248"/>
      <c r="S259" s="248"/>
      <c r="T259" s="247"/>
      <c r="U259" s="248"/>
      <c r="V259" s="248"/>
      <c r="W259" s="194"/>
      <c r="X259" s="249"/>
      <c r="Y259" s="250"/>
      <c r="Z259" s="251"/>
      <c r="AA259" s="252"/>
    </row>
    <row r="260" spans="1:27">
      <c r="A260" s="1599">
        <f t="shared" si="32"/>
        <v>78</v>
      </c>
      <c r="C260" s="2036"/>
      <c r="D260" s="1919"/>
      <c r="E260" s="2039"/>
      <c r="F260" s="2039"/>
      <c r="G260" s="1647"/>
      <c r="H260" s="1647"/>
      <c r="I260" s="1824"/>
      <c r="J260" s="1824"/>
      <c r="K260" s="2040"/>
      <c r="L260" s="1824"/>
      <c r="M260" s="2041"/>
      <c r="P260" s="248"/>
      <c r="Q260" s="248"/>
      <c r="R260" s="248"/>
      <c r="S260" s="248"/>
      <c r="T260" s="247"/>
      <c r="U260" s="248"/>
      <c r="V260" s="248"/>
      <c r="W260" s="194"/>
      <c r="X260" s="249"/>
      <c r="Y260" s="250"/>
      <c r="Z260" s="251"/>
      <c r="AA260" s="252"/>
    </row>
    <row r="261" spans="1:27">
      <c r="A261" s="1599">
        <f t="shared" si="32"/>
        <v>79</v>
      </c>
      <c r="C261" s="2036"/>
      <c r="D261" s="1919"/>
      <c r="E261" s="2039"/>
      <c r="F261" s="2039"/>
      <c r="G261" s="1647"/>
      <c r="H261" s="1647"/>
      <c r="I261" s="1824"/>
      <c r="J261" s="1824"/>
      <c r="K261" s="2040"/>
      <c r="L261" s="1824"/>
      <c r="M261" s="2041"/>
      <c r="P261" s="248"/>
      <c r="Q261" s="248"/>
      <c r="R261" s="248"/>
      <c r="S261" s="248"/>
      <c r="T261" s="247"/>
      <c r="U261" s="248"/>
      <c r="V261" s="248"/>
      <c r="W261" s="194"/>
      <c r="X261" s="249"/>
      <c r="Y261" s="250"/>
      <c r="Z261" s="251"/>
      <c r="AA261" s="252"/>
    </row>
    <row r="262" spans="1:27">
      <c r="A262" s="1599">
        <f t="shared" si="32"/>
        <v>80</v>
      </c>
      <c r="C262" s="2036"/>
      <c r="D262" s="1919"/>
      <c r="E262" s="2039"/>
      <c r="F262" s="2039"/>
      <c r="G262" s="1647"/>
      <c r="H262" s="1647"/>
      <c r="I262" s="1824"/>
      <c r="J262" s="1824"/>
      <c r="K262" s="2040"/>
      <c r="L262" s="1824"/>
      <c r="M262" s="2041"/>
      <c r="P262" s="248"/>
      <c r="Q262" s="248"/>
      <c r="R262" s="248"/>
      <c r="S262" s="248"/>
      <c r="T262" s="247"/>
      <c r="U262" s="248"/>
      <c r="V262" s="248"/>
      <c r="W262" s="194"/>
      <c r="X262" s="249"/>
      <c r="Y262" s="250"/>
      <c r="Z262" s="251"/>
      <c r="AA262" s="252"/>
    </row>
    <row r="263" spans="1:27">
      <c r="A263" s="1599">
        <f t="shared" si="32"/>
        <v>81</v>
      </c>
      <c r="C263" s="2036"/>
      <c r="D263" s="1919"/>
      <c r="E263" s="2039"/>
      <c r="F263" s="2039"/>
      <c r="G263" s="1647"/>
      <c r="H263" s="1647"/>
      <c r="I263" s="1824"/>
      <c r="J263" s="1824"/>
      <c r="K263" s="2040"/>
      <c r="L263" s="1824"/>
      <c r="M263" s="2041"/>
      <c r="P263" s="248"/>
      <c r="Q263" s="248"/>
      <c r="R263" s="248"/>
      <c r="S263" s="248"/>
      <c r="T263" s="247"/>
      <c r="U263" s="248"/>
      <c r="V263" s="248"/>
      <c r="W263" s="194"/>
      <c r="X263" s="249"/>
      <c r="Y263" s="250"/>
      <c r="Z263" s="251"/>
      <c r="AA263" s="252"/>
    </row>
    <row r="264" spans="1:27">
      <c r="A264" s="1599">
        <f t="shared" si="32"/>
        <v>82</v>
      </c>
      <c r="C264" s="2036"/>
      <c r="D264" s="1919"/>
      <c r="E264" s="2039"/>
      <c r="F264" s="2039"/>
      <c r="G264" s="1647"/>
      <c r="H264" s="1647"/>
      <c r="I264" s="1824"/>
      <c r="J264" s="1824"/>
      <c r="K264" s="2040"/>
      <c r="L264" s="1824"/>
      <c r="M264" s="2041"/>
      <c r="P264" s="248"/>
      <c r="Q264" s="248"/>
      <c r="R264" s="248"/>
      <c r="S264" s="248"/>
      <c r="T264" s="247"/>
      <c r="U264" s="248"/>
      <c r="V264" s="248"/>
      <c r="W264" s="194"/>
      <c r="X264" s="249"/>
      <c r="Y264" s="250"/>
      <c r="Z264" s="251"/>
      <c r="AA264" s="252"/>
    </row>
    <row r="265" spans="1:27">
      <c r="A265" s="1599">
        <f t="shared" si="32"/>
        <v>83</v>
      </c>
      <c r="C265" s="2036"/>
      <c r="D265" s="1919"/>
      <c r="E265" s="2039"/>
      <c r="F265" s="2039"/>
      <c r="G265" s="1647"/>
      <c r="H265" s="1647"/>
      <c r="I265" s="1824"/>
      <c r="J265" s="1824"/>
      <c r="K265" s="2040"/>
      <c r="L265" s="1824"/>
      <c r="M265" s="2041"/>
      <c r="P265" s="248"/>
      <c r="Q265" s="248"/>
      <c r="R265" s="248"/>
      <c r="S265" s="248"/>
      <c r="T265" s="247"/>
      <c r="U265" s="248"/>
      <c r="V265" s="248"/>
      <c r="W265" s="194"/>
      <c r="X265" s="249"/>
      <c r="Y265" s="250"/>
      <c r="Z265" s="251"/>
      <c r="AA265" s="252"/>
    </row>
    <row r="266" spans="1:27">
      <c r="A266" s="1599">
        <f t="shared" si="32"/>
        <v>84</v>
      </c>
      <c r="C266" s="2036"/>
      <c r="D266" s="1919"/>
      <c r="E266" s="2039"/>
      <c r="F266" s="2039"/>
      <c r="G266" s="1647"/>
      <c r="H266" s="1647"/>
      <c r="I266" s="1824"/>
      <c r="J266" s="1824"/>
      <c r="K266" s="2040"/>
      <c r="L266" s="1824"/>
      <c r="M266" s="2041"/>
      <c r="P266" s="248"/>
      <c r="Q266" s="248"/>
      <c r="R266" s="248"/>
      <c r="S266" s="248"/>
      <c r="T266" s="247"/>
      <c r="U266" s="248"/>
      <c r="V266" s="248"/>
      <c r="W266" s="194"/>
      <c r="X266" s="249"/>
      <c r="Y266" s="250"/>
      <c r="Z266" s="251"/>
      <c r="AA266" s="252"/>
    </row>
    <row r="267" spans="1:27">
      <c r="A267" s="1599">
        <f t="shared" si="32"/>
        <v>85</v>
      </c>
      <c r="C267" s="2036"/>
      <c r="D267" s="1919"/>
      <c r="E267" s="2039"/>
      <c r="F267" s="2039"/>
      <c r="G267" s="1647"/>
      <c r="H267" s="1647"/>
      <c r="I267" s="1824"/>
      <c r="J267" s="1824"/>
      <c r="K267" s="2040"/>
      <c r="L267" s="1824"/>
      <c r="M267" s="2041"/>
      <c r="P267" s="248"/>
      <c r="Q267" s="248"/>
      <c r="R267" s="248"/>
      <c r="S267" s="248"/>
      <c r="T267" s="247"/>
      <c r="U267" s="248"/>
      <c r="V267" s="248"/>
      <c r="W267" s="194"/>
      <c r="X267" s="249"/>
      <c r="Y267" s="250"/>
      <c r="Z267" s="251"/>
      <c r="AA267" s="252"/>
    </row>
    <row r="268" spans="1:27">
      <c r="A268" s="1599">
        <f t="shared" si="32"/>
        <v>86</v>
      </c>
      <c r="C268" s="2036"/>
      <c r="D268" s="1919"/>
      <c r="E268" s="2039"/>
      <c r="F268" s="2039"/>
      <c r="G268" s="1647"/>
      <c r="H268" s="1647"/>
      <c r="I268" s="1824"/>
      <c r="J268" s="1824"/>
      <c r="K268" s="2040"/>
      <c r="L268" s="1824"/>
      <c r="M268" s="2041"/>
      <c r="P268" s="248"/>
      <c r="Q268" s="248"/>
      <c r="R268" s="248"/>
      <c r="S268" s="248"/>
      <c r="T268" s="247"/>
      <c r="U268" s="248"/>
      <c r="V268" s="248"/>
      <c r="W268" s="194"/>
      <c r="X268" s="249"/>
      <c r="Y268" s="250"/>
      <c r="Z268" s="251"/>
      <c r="AA268" s="252"/>
    </row>
    <row r="269" spans="1:27">
      <c r="A269" s="1599">
        <f t="shared" si="32"/>
        <v>87</v>
      </c>
      <c r="C269" s="2036"/>
      <c r="D269" s="1919"/>
      <c r="E269" s="2039"/>
      <c r="F269" s="2039"/>
      <c r="G269" s="1647"/>
      <c r="H269" s="1647"/>
      <c r="I269" s="1824"/>
      <c r="J269" s="1824"/>
      <c r="K269" s="2040"/>
      <c r="L269" s="1824"/>
      <c r="M269" s="2041"/>
      <c r="P269" s="248"/>
      <c r="Q269" s="248"/>
      <c r="R269" s="248"/>
      <c r="S269" s="248"/>
      <c r="T269" s="247"/>
      <c r="U269" s="248"/>
      <c r="V269" s="248"/>
      <c r="W269" s="194"/>
      <c r="X269" s="249"/>
      <c r="Y269" s="250"/>
      <c r="Z269" s="251"/>
      <c r="AA269" s="252"/>
    </row>
    <row r="270" spans="1:27">
      <c r="A270" s="1599">
        <f t="shared" si="32"/>
        <v>88</v>
      </c>
      <c r="C270" s="2036"/>
      <c r="D270" s="1919"/>
      <c r="E270" s="2039"/>
      <c r="F270" s="2039"/>
      <c r="G270" s="1647"/>
      <c r="H270" s="1647"/>
      <c r="I270" s="1824"/>
      <c r="J270" s="1824"/>
      <c r="K270" s="2040"/>
      <c r="L270" s="1824"/>
      <c r="M270" s="2041"/>
      <c r="P270" s="248"/>
      <c r="Q270" s="248"/>
      <c r="R270" s="248"/>
      <c r="S270" s="248"/>
      <c r="T270" s="247"/>
      <c r="U270" s="248"/>
      <c r="V270" s="248"/>
      <c r="W270" s="194"/>
      <c r="X270" s="249"/>
      <c r="Y270" s="250"/>
      <c r="Z270" s="251"/>
      <c r="AA270" s="252"/>
    </row>
    <row r="271" spans="1:27">
      <c r="A271" s="1599">
        <f t="shared" si="32"/>
        <v>89</v>
      </c>
      <c r="C271" s="2036"/>
      <c r="D271" s="1919"/>
      <c r="E271" s="2039"/>
      <c r="F271" s="2039"/>
      <c r="G271" s="1647"/>
      <c r="H271" s="1647"/>
      <c r="I271" s="1824"/>
      <c r="J271" s="1824"/>
      <c r="K271" s="2040"/>
      <c r="L271" s="1824"/>
      <c r="M271" s="2041"/>
      <c r="P271" s="248"/>
      <c r="Q271" s="248"/>
      <c r="R271" s="248"/>
      <c r="S271" s="248"/>
      <c r="T271" s="247"/>
      <c r="U271" s="248"/>
      <c r="V271" s="248"/>
      <c r="W271" s="194"/>
      <c r="X271" s="249"/>
      <c r="Y271" s="250"/>
      <c r="Z271" s="251"/>
      <c r="AA271" s="252"/>
    </row>
    <row r="272" spans="1:27">
      <c r="A272" s="1599">
        <f t="shared" si="32"/>
        <v>90</v>
      </c>
      <c r="C272" s="2036"/>
      <c r="D272" s="1919"/>
      <c r="E272" s="2039"/>
      <c r="F272" s="2039"/>
      <c r="G272" s="1647"/>
      <c r="H272" s="1647"/>
      <c r="I272" s="1824"/>
      <c r="J272" s="1824"/>
      <c r="K272" s="2040"/>
      <c r="L272" s="1824"/>
      <c r="M272" s="2041"/>
      <c r="P272" s="248"/>
      <c r="Q272" s="248"/>
      <c r="R272" s="248"/>
      <c r="S272" s="248"/>
      <c r="T272" s="247"/>
      <c r="U272" s="248"/>
      <c r="V272" s="248"/>
      <c r="W272" s="194"/>
      <c r="X272" s="249"/>
      <c r="Y272" s="250"/>
      <c r="Z272" s="251"/>
      <c r="AA272" s="252"/>
    </row>
    <row r="273" spans="1:27">
      <c r="A273" s="1599">
        <f t="shared" si="32"/>
        <v>91</v>
      </c>
      <c r="C273" s="2036"/>
      <c r="D273" s="1919"/>
      <c r="E273" s="2039"/>
      <c r="F273" s="2039"/>
      <c r="G273" s="1647"/>
      <c r="H273" s="1647"/>
      <c r="I273" s="1824"/>
      <c r="J273" s="1824"/>
      <c r="K273" s="2040"/>
      <c r="L273" s="1824"/>
      <c r="M273" s="2041"/>
      <c r="P273" s="248"/>
      <c r="Q273" s="248"/>
      <c r="R273" s="248"/>
      <c r="S273" s="248"/>
      <c r="T273" s="247"/>
      <c r="U273" s="248"/>
      <c r="V273" s="248"/>
      <c r="W273" s="194"/>
      <c r="X273" s="249"/>
      <c r="Y273" s="250"/>
      <c r="Z273" s="251"/>
      <c r="AA273" s="252"/>
    </row>
    <row r="274" spans="1:27">
      <c r="A274" s="1599">
        <f t="shared" si="32"/>
        <v>92</v>
      </c>
      <c r="C274" s="2036"/>
      <c r="D274" s="1919"/>
      <c r="E274" s="2039"/>
      <c r="F274" s="2039"/>
      <c r="G274" s="1647"/>
      <c r="H274" s="1647"/>
      <c r="I274" s="1824"/>
      <c r="J274" s="1824"/>
      <c r="K274" s="2040"/>
      <c r="L274" s="1824"/>
      <c r="M274" s="2041"/>
      <c r="P274" s="248"/>
      <c r="Q274" s="248"/>
      <c r="R274" s="248"/>
      <c r="S274" s="248"/>
      <c r="T274" s="247"/>
      <c r="U274" s="248"/>
      <c r="V274" s="248"/>
      <c r="W274" s="194"/>
      <c r="X274" s="249"/>
      <c r="Y274" s="250"/>
      <c r="Z274" s="251"/>
      <c r="AA274" s="252"/>
    </row>
    <row r="275" spans="1:27">
      <c r="A275" s="1599">
        <f t="shared" si="32"/>
        <v>93</v>
      </c>
      <c r="C275" s="2036"/>
      <c r="D275" s="1919"/>
      <c r="E275" s="2039"/>
      <c r="F275" s="2039"/>
      <c r="G275" s="1647"/>
      <c r="H275" s="1647"/>
      <c r="I275" s="1824"/>
      <c r="J275" s="1824"/>
      <c r="K275" s="2040"/>
      <c r="L275" s="1824"/>
      <c r="M275" s="2041"/>
      <c r="P275" s="248"/>
      <c r="Q275" s="248"/>
      <c r="R275" s="248"/>
      <c r="S275" s="248"/>
      <c r="T275" s="247"/>
      <c r="U275" s="248"/>
      <c r="V275" s="248"/>
      <c r="W275" s="194"/>
      <c r="X275" s="249"/>
      <c r="Y275" s="250"/>
      <c r="Z275" s="251"/>
      <c r="AA275" s="252"/>
    </row>
    <row r="276" spans="1:27">
      <c r="A276" s="1599">
        <f t="shared" si="32"/>
        <v>94</v>
      </c>
      <c r="C276" s="2036"/>
      <c r="D276" s="1919"/>
      <c r="E276" s="2039"/>
      <c r="F276" s="2039"/>
      <c r="G276" s="1647"/>
      <c r="H276" s="1647"/>
      <c r="I276" s="1824"/>
      <c r="J276" s="1824"/>
      <c r="K276" s="2040"/>
      <c r="L276" s="1824"/>
      <c r="M276" s="2041"/>
      <c r="P276" s="248"/>
      <c r="Q276" s="248"/>
      <c r="R276" s="248"/>
      <c r="S276" s="248"/>
      <c r="T276" s="247"/>
      <c r="U276" s="248"/>
      <c r="V276" s="248"/>
      <c r="W276" s="194"/>
      <c r="X276" s="249"/>
      <c r="Y276" s="250"/>
      <c r="Z276" s="251"/>
      <c r="AA276" s="252"/>
    </row>
    <row r="277" spans="1:27">
      <c r="A277" s="1599">
        <f t="shared" si="32"/>
        <v>95</v>
      </c>
      <c r="C277" s="2036"/>
      <c r="D277" s="1919"/>
      <c r="E277" s="2039"/>
      <c r="F277" s="2039"/>
      <c r="G277" s="1647"/>
      <c r="H277" s="1647"/>
      <c r="I277" s="1824"/>
      <c r="J277" s="1824"/>
      <c r="K277" s="2040"/>
      <c r="L277" s="1824"/>
      <c r="M277" s="2041"/>
      <c r="P277" s="248"/>
      <c r="Q277" s="248"/>
      <c r="R277" s="248"/>
      <c r="S277" s="248"/>
      <c r="T277" s="247"/>
      <c r="U277" s="248"/>
      <c r="V277" s="248"/>
      <c r="W277" s="194"/>
      <c r="X277" s="249"/>
      <c r="Y277" s="250"/>
      <c r="Z277" s="251"/>
      <c r="AA277" s="252"/>
    </row>
    <row r="278" spans="1:27">
      <c r="A278" s="1599">
        <f t="shared" si="32"/>
        <v>96</v>
      </c>
      <c r="C278" s="2036"/>
      <c r="D278" s="1919"/>
      <c r="E278" s="2039"/>
      <c r="F278" s="2039"/>
      <c r="G278" s="1647"/>
      <c r="H278" s="1647"/>
      <c r="I278" s="1824"/>
      <c r="J278" s="1824"/>
      <c r="K278" s="2040"/>
      <c r="L278" s="1824"/>
      <c r="M278" s="2041"/>
      <c r="P278" s="248"/>
      <c r="Q278" s="248"/>
      <c r="R278" s="248"/>
      <c r="S278" s="248"/>
      <c r="T278" s="247"/>
      <c r="U278" s="248"/>
      <c r="V278" s="248"/>
      <c r="W278" s="194"/>
      <c r="X278" s="249"/>
      <c r="Y278" s="250"/>
      <c r="Z278" s="251"/>
      <c r="AA278" s="252"/>
    </row>
    <row r="279" spans="1:27">
      <c r="A279" s="1599">
        <f t="shared" si="32"/>
        <v>97</v>
      </c>
      <c r="C279" s="2036"/>
      <c r="D279" s="1919"/>
      <c r="E279" s="2039"/>
      <c r="F279" s="2039"/>
      <c r="G279" s="1647"/>
      <c r="H279" s="1647"/>
      <c r="I279" s="1824"/>
      <c r="J279" s="1824"/>
      <c r="K279" s="2040"/>
      <c r="L279" s="1824"/>
      <c r="M279" s="2041"/>
      <c r="P279" s="248"/>
      <c r="Q279" s="248"/>
      <c r="R279" s="248"/>
      <c r="S279" s="248"/>
      <c r="T279" s="247"/>
      <c r="U279" s="248"/>
      <c r="V279" s="248"/>
      <c r="W279" s="194"/>
      <c r="X279" s="249"/>
      <c r="Y279" s="250"/>
      <c r="Z279" s="251"/>
      <c r="AA279" s="252"/>
    </row>
    <row r="280" spans="1:27">
      <c r="A280" s="1599">
        <f t="shared" si="32"/>
        <v>98</v>
      </c>
      <c r="C280" s="2036"/>
      <c r="D280" s="1919"/>
      <c r="E280" s="2039"/>
      <c r="F280" s="2039"/>
      <c r="G280" s="1647"/>
      <c r="H280" s="1647"/>
      <c r="I280" s="1824"/>
      <c r="J280" s="1824"/>
      <c r="K280" s="2040"/>
      <c r="L280" s="1824"/>
      <c r="M280" s="2041"/>
      <c r="P280" s="248"/>
      <c r="Q280" s="248"/>
      <c r="R280" s="248"/>
      <c r="S280" s="248"/>
      <c r="T280" s="247"/>
      <c r="U280" s="248"/>
      <c r="V280" s="248"/>
      <c r="W280" s="194"/>
      <c r="X280" s="249"/>
      <c r="Y280" s="250"/>
      <c r="Z280" s="251"/>
      <c r="AA280" s="252"/>
    </row>
    <row r="281" spans="1:27">
      <c r="A281" s="1599">
        <f t="shared" si="32"/>
        <v>99</v>
      </c>
      <c r="C281" s="2036"/>
      <c r="D281" s="1919"/>
      <c r="E281" s="2039"/>
      <c r="F281" s="2039"/>
      <c r="G281" s="1647"/>
      <c r="H281" s="1647"/>
      <c r="I281" s="1824"/>
      <c r="J281" s="1824"/>
      <c r="K281" s="2040"/>
      <c r="L281" s="1824"/>
      <c r="M281" s="2041"/>
      <c r="P281" s="248"/>
      <c r="Q281" s="248"/>
      <c r="R281" s="248"/>
      <c r="S281" s="248"/>
      <c r="T281" s="247"/>
      <c r="U281" s="248"/>
      <c r="V281" s="248"/>
      <c r="W281" s="194"/>
      <c r="X281" s="249"/>
      <c r="Y281" s="250"/>
      <c r="Z281" s="251"/>
      <c r="AA281" s="252"/>
    </row>
    <row r="282" spans="1:27">
      <c r="A282" s="1599">
        <f t="shared" si="32"/>
        <v>100</v>
      </c>
      <c r="C282" s="2036"/>
      <c r="D282" s="1919"/>
      <c r="E282" s="2039"/>
      <c r="F282" s="2039"/>
      <c r="G282" s="1647"/>
      <c r="H282" s="1647"/>
      <c r="I282" s="1824"/>
      <c r="J282" s="1824"/>
      <c r="K282" s="2040"/>
      <c r="L282" s="1824"/>
      <c r="M282" s="2041"/>
      <c r="P282" s="248"/>
      <c r="Q282" s="248"/>
      <c r="R282" s="248"/>
      <c r="S282" s="248"/>
      <c r="T282" s="247"/>
      <c r="U282" s="248"/>
      <c r="V282" s="248"/>
      <c r="W282" s="194"/>
      <c r="X282" s="249"/>
      <c r="Y282" s="250"/>
      <c r="Z282" s="251"/>
      <c r="AA282" s="252"/>
    </row>
    <row r="283" spans="1:27">
      <c r="A283" s="1599">
        <f t="shared" si="32"/>
        <v>101</v>
      </c>
      <c r="C283" s="2036"/>
      <c r="D283" s="1919"/>
      <c r="E283" s="2039"/>
      <c r="F283" s="2039"/>
      <c r="G283" s="1647"/>
      <c r="H283" s="1647"/>
      <c r="I283" s="1824"/>
      <c r="J283" s="1824"/>
      <c r="K283" s="2040"/>
      <c r="L283" s="1824"/>
      <c r="M283" s="2041"/>
      <c r="P283" s="248"/>
      <c r="Q283" s="248"/>
      <c r="R283" s="248"/>
      <c r="S283" s="248"/>
      <c r="T283" s="247"/>
      <c r="U283" s="248"/>
      <c r="V283" s="248"/>
      <c r="W283" s="194"/>
      <c r="X283" s="249"/>
      <c r="Y283" s="250"/>
      <c r="Z283" s="251"/>
      <c r="AA283" s="252"/>
    </row>
    <row r="284" spans="1:27">
      <c r="A284" s="1599">
        <f t="shared" si="32"/>
        <v>102</v>
      </c>
      <c r="C284" s="2036"/>
      <c r="D284" s="1919"/>
      <c r="E284" s="2039"/>
      <c r="F284" s="2039"/>
      <c r="G284" s="1647"/>
      <c r="H284" s="1647"/>
      <c r="I284" s="1824"/>
      <c r="J284" s="1824"/>
      <c r="K284" s="2040"/>
      <c r="L284" s="1824"/>
      <c r="M284" s="2041"/>
      <c r="P284" s="248"/>
      <c r="Q284" s="248"/>
      <c r="R284" s="248"/>
      <c r="S284" s="248"/>
      <c r="T284" s="247"/>
      <c r="U284" s="248"/>
      <c r="V284" s="248"/>
      <c r="W284" s="194"/>
      <c r="X284" s="249"/>
      <c r="Y284" s="250"/>
      <c r="Z284" s="251"/>
      <c r="AA284" s="252"/>
    </row>
    <row r="285" spans="1:27">
      <c r="A285" s="1599">
        <f t="shared" si="32"/>
        <v>103</v>
      </c>
      <c r="C285" s="2036"/>
      <c r="D285" s="1919"/>
      <c r="E285" s="2039"/>
      <c r="F285" s="2039"/>
      <c r="G285" s="1647"/>
      <c r="H285" s="1647"/>
      <c r="I285" s="1824"/>
      <c r="J285" s="1824"/>
      <c r="K285" s="2040"/>
      <c r="L285" s="1824"/>
      <c r="M285" s="2041"/>
      <c r="P285" s="248"/>
      <c r="Q285" s="248"/>
      <c r="R285" s="248"/>
      <c r="S285" s="248"/>
      <c r="T285" s="247"/>
      <c r="U285" s="248"/>
      <c r="V285" s="248"/>
      <c r="W285" s="194"/>
      <c r="X285" s="249"/>
      <c r="Y285" s="250"/>
      <c r="Z285" s="251"/>
      <c r="AA285" s="252"/>
    </row>
    <row r="286" spans="1:27">
      <c r="A286" s="1599">
        <f t="shared" si="32"/>
        <v>104</v>
      </c>
      <c r="C286" s="2036"/>
      <c r="D286" s="1919"/>
      <c r="E286" s="2039"/>
      <c r="F286" s="2039"/>
      <c r="G286" s="1647"/>
      <c r="H286" s="1647"/>
      <c r="I286" s="1824"/>
      <c r="J286" s="1824"/>
      <c r="K286" s="2040"/>
      <c r="L286" s="1824"/>
      <c r="M286" s="2041"/>
      <c r="P286" s="248"/>
      <c r="Q286" s="248"/>
      <c r="R286" s="248"/>
      <c r="S286" s="248"/>
      <c r="T286" s="247"/>
      <c r="U286" s="248"/>
      <c r="V286" s="248"/>
      <c r="W286" s="194"/>
      <c r="X286" s="249"/>
      <c r="Y286" s="250"/>
      <c r="Z286" s="251"/>
      <c r="AA286" s="252"/>
    </row>
    <row r="287" spans="1:27">
      <c r="A287" s="1599">
        <f t="shared" si="32"/>
        <v>105</v>
      </c>
      <c r="C287" s="2036"/>
      <c r="D287" s="1919"/>
      <c r="E287" s="2039"/>
      <c r="F287" s="2039"/>
      <c r="G287" s="1647"/>
      <c r="H287" s="1647"/>
      <c r="I287" s="1824"/>
      <c r="J287" s="1824"/>
      <c r="K287" s="2040"/>
      <c r="L287" s="1824"/>
      <c r="M287" s="2041"/>
      <c r="P287" s="248"/>
      <c r="Q287" s="248"/>
      <c r="R287" s="248"/>
      <c r="S287" s="248"/>
      <c r="T287" s="247"/>
      <c r="U287" s="248"/>
      <c r="V287" s="248"/>
      <c r="W287" s="194"/>
      <c r="X287" s="249"/>
      <c r="Y287" s="250"/>
      <c r="Z287" s="251"/>
      <c r="AA287" s="252"/>
    </row>
    <row r="288" spans="1:27">
      <c r="A288" s="1599">
        <f t="shared" si="32"/>
        <v>106</v>
      </c>
      <c r="C288" s="2036"/>
      <c r="D288" s="1919"/>
      <c r="E288" s="2039"/>
      <c r="F288" s="2039"/>
      <c r="G288" s="1647"/>
      <c r="H288" s="1647"/>
      <c r="I288" s="1824"/>
      <c r="J288" s="1824"/>
      <c r="K288" s="2040"/>
      <c r="L288" s="1824"/>
      <c r="M288" s="2041"/>
      <c r="P288" s="248"/>
      <c r="Q288" s="248"/>
      <c r="R288" s="248"/>
      <c r="S288" s="248"/>
      <c r="T288" s="247"/>
      <c r="U288" s="248"/>
      <c r="V288" s="248"/>
      <c r="W288" s="194"/>
      <c r="X288" s="249"/>
      <c r="Y288" s="250"/>
      <c r="Z288" s="251"/>
      <c r="AA288" s="252"/>
    </row>
    <row r="289" spans="1:27">
      <c r="A289" s="1599">
        <f t="shared" si="32"/>
        <v>107</v>
      </c>
      <c r="C289" s="2036"/>
      <c r="D289" s="1919"/>
      <c r="E289" s="2039"/>
      <c r="F289" s="2039"/>
      <c r="G289" s="1647"/>
      <c r="H289" s="1647"/>
      <c r="I289" s="1824"/>
      <c r="J289" s="1824"/>
      <c r="K289" s="2040"/>
      <c r="L289" s="1824"/>
      <c r="M289" s="2041"/>
      <c r="P289" s="248"/>
      <c r="Q289" s="248"/>
      <c r="R289" s="248"/>
      <c r="S289" s="248"/>
      <c r="T289" s="247"/>
      <c r="U289" s="248"/>
      <c r="V289" s="248"/>
      <c r="W289" s="194"/>
      <c r="X289" s="249"/>
      <c r="Y289" s="250"/>
      <c r="Z289" s="251"/>
      <c r="AA289" s="252"/>
    </row>
    <row r="290" spans="1:27">
      <c r="A290" s="1599">
        <f t="shared" si="32"/>
        <v>108</v>
      </c>
      <c r="C290" s="2036"/>
      <c r="D290" s="1919"/>
      <c r="E290" s="2039"/>
      <c r="F290" s="2039"/>
      <c r="G290" s="1647"/>
      <c r="H290" s="1647"/>
      <c r="I290" s="1824"/>
      <c r="J290" s="1824"/>
      <c r="K290" s="2040"/>
      <c r="L290" s="1824"/>
      <c r="M290" s="2041"/>
      <c r="P290" s="248"/>
      <c r="Q290" s="248"/>
      <c r="R290" s="248"/>
      <c r="S290" s="248"/>
      <c r="T290" s="247"/>
      <c r="U290" s="248"/>
      <c r="V290" s="248"/>
      <c r="W290" s="194"/>
      <c r="X290" s="249"/>
      <c r="Y290" s="250"/>
      <c r="Z290" s="251"/>
      <c r="AA290" s="252"/>
    </row>
    <row r="291" spans="1:27">
      <c r="A291" s="1599">
        <f t="shared" si="32"/>
        <v>109</v>
      </c>
      <c r="C291" s="2036"/>
      <c r="D291" s="1919"/>
      <c r="E291" s="2039"/>
      <c r="F291" s="2039"/>
      <c r="G291" s="1647"/>
      <c r="H291" s="1647"/>
      <c r="I291" s="1824"/>
      <c r="J291" s="1824"/>
      <c r="K291" s="2040"/>
      <c r="L291" s="1824"/>
      <c r="M291" s="2041"/>
      <c r="P291" s="248"/>
      <c r="Q291" s="248"/>
      <c r="R291" s="248"/>
      <c r="S291" s="248"/>
      <c r="T291" s="247"/>
      <c r="U291" s="248"/>
      <c r="V291" s="248"/>
      <c r="W291" s="194"/>
      <c r="X291" s="249"/>
      <c r="Y291" s="250"/>
      <c r="Z291" s="251"/>
      <c r="AA291" s="252"/>
    </row>
    <row r="292" spans="1:27">
      <c r="A292" s="1599">
        <f t="shared" si="32"/>
        <v>110</v>
      </c>
      <c r="C292" s="2036"/>
      <c r="D292" s="1919"/>
      <c r="E292" s="2039"/>
      <c r="F292" s="2039"/>
      <c r="G292" s="1647"/>
      <c r="H292" s="1647"/>
      <c r="I292" s="1824"/>
      <c r="J292" s="1824"/>
      <c r="K292" s="2040"/>
      <c r="L292" s="1824"/>
      <c r="M292" s="2041"/>
      <c r="P292" s="248"/>
      <c r="Q292" s="248"/>
      <c r="R292" s="248"/>
      <c r="S292" s="248"/>
      <c r="T292" s="247"/>
      <c r="U292" s="248"/>
      <c r="V292" s="248"/>
      <c r="W292" s="194"/>
      <c r="X292" s="249"/>
      <c r="Y292" s="250"/>
      <c r="Z292" s="251"/>
      <c r="AA292" s="252"/>
    </row>
    <row r="293" spans="1:27">
      <c r="A293" s="1599">
        <f t="shared" si="32"/>
        <v>111</v>
      </c>
      <c r="C293" s="2036"/>
      <c r="D293" s="1919"/>
      <c r="E293" s="2039"/>
      <c r="F293" s="2039"/>
      <c r="G293" s="1647"/>
      <c r="H293" s="1647"/>
      <c r="I293" s="1824"/>
      <c r="J293" s="1824"/>
      <c r="K293" s="2040"/>
      <c r="L293" s="1824"/>
      <c r="M293" s="2041"/>
      <c r="P293" s="248"/>
      <c r="Q293" s="248"/>
      <c r="R293" s="248"/>
      <c r="S293" s="248"/>
      <c r="T293" s="247"/>
      <c r="U293" s="248"/>
      <c r="V293" s="248"/>
      <c r="W293" s="194"/>
      <c r="X293" s="249"/>
      <c r="Y293" s="250"/>
      <c r="Z293" s="251"/>
      <c r="AA293" s="252"/>
    </row>
    <row r="294" spans="1:27">
      <c r="A294" s="1599">
        <f t="shared" si="32"/>
        <v>112</v>
      </c>
      <c r="C294" s="2036"/>
      <c r="D294" s="1919"/>
      <c r="E294" s="2039"/>
      <c r="F294" s="2039"/>
      <c r="G294" s="1647"/>
      <c r="H294" s="1647"/>
      <c r="I294" s="1824"/>
      <c r="J294" s="1824"/>
      <c r="K294" s="2040"/>
      <c r="L294" s="1824"/>
      <c r="M294" s="2041"/>
      <c r="P294" s="248"/>
      <c r="Q294" s="248"/>
      <c r="R294" s="248"/>
      <c r="S294" s="248"/>
      <c r="T294" s="247"/>
      <c r="U294" s="248"/>
      <c r="V294" s="248"/>
      <c r="W294" s="194"/>
      <c r="X294" s="249"/>
      <c r="Y294" s="250"/>
      <c r="Z294" s="251"/>
      <c r="AA294" s="252"/>
    </row>
    <row r="295" spans="1:27">
      <c r="A295" s="1599">
        <f t="shared" si="32"/>
        <v>113</v>
      </c>
      <c r="C295" s="2036"/>
      <c r="D295" s="1919"/>
      <c r="E295" s="2039"/>
      <c r="F295" s="2039"/>
      <c r="G295" s="1647"/>
      <c r="H295" s="1647"/>
      <c r="I295" s="1824"/>
      <c r="J295" s="1824"/>
      <c r="K295" s="2040"/>
      <c r="L295" s="1824"/>
      <c r="M295" s="2041"/>
      <c r="P295" s="248"/>
      <c r="Q295" s="248"/>
      <c r="R295" s="248"/>
      <c r="S295" s="248"/>
      <c r="T295" s="247"/>
      <c r="U295" s="248"/>
      <c r="V295" s="248"/>
      <c r="W295" s="194"/>
      <c r="X295" s="249"/>
      <c r="Y295" s="250"/>
      <c r="Z295" s="251"/>
      <c r="AA295" s="252"/>
    </row>
    <row r="296" spans="1:27">
      <c r="A296" s="1599">
        <f t="shared" ref="A296:A342" si="33">+A295+1</f>
        <v>114</v>
      </c>
      <c r="C296" s="2036"/>
      <c r="D296" s="1919"/>
      <c r="E296" s="2039"/>
      <c r="F296" s="2039"/>
      <c r="G296" s="1647"/>
      <c r="H296" s="1647"/>
      <c r="I296" s="1824"/>
      <c r="J296" s="1824"/>
      <c r="K296" s="2040"/>
      <c r="L296" s="1824"/>
      <c r="M296" s="2041"/>
      <c r="P296" s="248"/>
      <c r="Q296" s="248"/>
      <c r="R296" s="248"/>
      <c r="S296" s="248"/>
      <c r="T296" s="247"/>
      <c r="U296" s="248"/>
      <c r="V296" s="248"/>
      <c r="W296" s="194"/>
      <c r="X296" s="249"/>
      <c r="Y296" s="250"/>
      <c r="Z296" s="251"/>
      <c r="AA296" s="252"/>
    </row>
    <row r="297" spans="1:27">
      <c r="A297" s="1599">
        <f t="shared" si="33"/>
        <v>115</v>
      </c>
      <c r="C297" s="2036"/>
      <c r="D297" s="1919"/>
      <c r="E297" s="2039"/>
      <c r="F297" s="2039"/>
      <c r="G297" s="1647"/>
      <c r="H297" s="1647"/>
      <c r="I297" s="1824"/>
      <c r="J297" s="1824"/>
      <c r="K297" s="2040"/>
      <c r="L297" s="1824"/>
      <c r="M297" s="2041"/>
      <c r="P297" s="248"/>
      <c r="Q297" s="248"/>
      <c r="R297" s="248"/>
      <c r="S297" s="248"/>
      <c r="T297" s="247"/>
      <c r="U297" s="248"/>
      <c r="V297" s="248"/>
      <c r="W297" s="194"/>
      <c r="X297" s="249"/>
      <c r="Y297" s="250"/>
      <c r="Z297" s="251"/>
      <c r="AA297" s="252"/>
    </row>
    <row r="298" spans="1:27">
      <c r="A298" s="1599">
        <f t="shared" si="33"/>
        <v>116</v>
      </c>
      <c r="C298" s="2036"/>
      <c r="D298" s="1919"/>
      <c r="E298" s="2039"/>
      <c r="F298" s="2039"/>
      <c r="G298" s="1647"/>
      <c r="H298" s="1647"/>
      <c r="I298" s="1824"/>
      <c r="J298" s="1824"/>
      <c r="K298" s="2040"/>
      <c r="L298" s="1824"/>
      <c r="M298" s="2041"/>
      <c r="P298" s="248"/>
      <c r="Q298" s="248"/>
      <c r="R298" s="248"/>
      <c r="S298" s="248"/>
      <c r="T298" s="247"/>
      <c r="U298" s="248"/>
      <c r="V298" s="248"/>
      <c r="W298" s="194"/>
      <c r="X298" s="249"/>
      <c r="Y298" s="250"/>
      <c r="Z298" s="251"/>
      <c r="AA298" s="252"/>
    </row>
    <row r="299" spans="1:27">
      <c r="A299" s="1599">
        <f t="shared" si="33"/>
        <v>117</v>
      </c>
      <c r="C299" s="2036"/>
      <c r="D299" s="1919"/>
      <c r="E299" s="2039"/>
      <c r="F299" s="2039"/>
      <c r="G299" s="1647"/>
      <c r="H299" s="1647"/>
      <c r="I299" s="1824"/>
      <c r="J299" s="1824"/>
      <c r="K299" s="2040"/>
      <c r="L299" s="1824"/>
      <c r="M299" s="2041"/>
      <c r="P299" s="248"/>
      <c r="Q299" s="248"/>
      <c r="R299" s="248"/>
      <c r="S299" s="248"/>
      <c r="T299" s="247"/>
      <c r="U299" s="248"/>
      <c r="V299" s="248"/>
      <c r="W299" s="194"/>
      <c r="X299" s="249"/>
      <c r="Y299" s="250"/>
      <c r="Z299" s="251"/>
      <c r="AA299" s="252"/>
    </row>
    <row r="300" spans="1:27">
      <c r="A300" s="1599">
        <f t="shared" si="33"/>
        <v>118</v>
      </c>
      <c r="C300" s="2036"/>
      <c r="D300" s="1919"/>
      <c r="E300" s="2039"/>
      <c r="F300" s="2039"/>
      <c r="G300" s="1647"/>
      <c r="H300" s="1647"/>
      <c r="I300" s="1824"/>
      <c r="J300" s="1824"/>
      <c r="K300" s="2040"/>
      <c r="L300" s="1824"/>
      <c r="M300" s="2041"/>
      <c r="P300" s="248"/>
      <c r="Q300" s="248"/>
      <c r="R300" s="248"/>
      <c r="S300" s="248"/>
      <c r="T300" s="247"/>
      <c r="U300" s="248"/>
      <c r="V300" s="248"/>
      <c r="W300" s="194"/>
      <c r="X300" s="249"/>
      <c r="Y300" s="250"/>
      <c r="Z300" s="251"/>
      <c r="AA300" s="252"/>
    </row>
    <row r="301" spans="1:27">
      <c r="A301" s="1599">
        <f t="shared" si="33"/>
        <v>119</v>
      </c>
      <c r="C301" s="2036"/>
      <c r="D301" s="1919"/>
      <c r="E301" s="2039"/>
      <c r="F301" s="2039"/>
      <c r="G301" s="1647"/>
      <c r="H301" s="1647"/>
      <c r="I301" s="1824"/>
      <c r="J301" s="1824"/>
      <c r="K301" s="2040"/>
      <c r="L301" s="1824"/>
      <c r="M301" s="2041"/>
      <c r="P301" s="248"/>
      <c r="Q301" s="248"/>
      <c r="R301" s="248"/>
      <c r="S301" s="248"/>
      <c r="T301" s="247"/>
      <c r="U301" s="248"/>
      <c r="V301" s="248"/>
      <c r="W301" s="194"/>
      <c r="X301" s="249"/>
      <c r="Y301" s="250"/>
      <c r="Z301" s="251"/>
      <c r="AA301" s="252"/>
    </row>
    <row r="302" spans="1:27">
      <c r="A302" s="1599">
        <f t="shared" si="33"/>
        <v>120</v>
      </c>
      <c r="C302" s="2036"/>
      <c r="D302" s="1919"/>
      <c r="E302" s="2039"/>
      <c r="F302" s="2039"/>
      <c r="G302" s="1647"/>
      <c r="H302" s="1647"/>
      <c r="I302" s="1824"/>
      <c r="J302" s="1824"/>
      <c r="K302" s="2040"/>
      <c r="L302" s="1824"/>
      <c r="M302" s="2041"/>
      <c r="P302" s="248"/>
      <c r="Q302" s="248"/>
      <c r="R302" s="248"/>
      <c r="S302" s="248"/>
      <c r="T302" s="247"/>
      <c r="U302" s="248"/>
      <c r="V302" s="248"/>
      <c r="W302" s="194"/>
      <c r="X302" s="249"/>
      <c r="Y302" s="250"/>
      <c r="Z302" s="251"/>
      <c r="AA302" s="252"/>
    </row>
    <row r="303" spans="1:27">
      <c r="A303" s="1599">
        <f t="shared" si="33"/>
        <v>121</v>
      </c>
      <c r="C303" s="2036"/>
      <c r="D303" s="1919"/>
      <c r="E303" s="2039"/>
      <c r="F303" s="2039"/>
      <c r="G303" s="1647"/>
      <c r="H303" s="1647"/>
      <c r="I303" s="1824"/>
      <c r="J303" s="1824"/>
      <c r="K303" s="2040"/>
      <c r="L303" s="1824"/>
      <c r="M303" s="2041"/>
      <c r="P303" s="248"/>
      <c r="Q303" s="248"/>
      <c r="R303" s="248"/>
      <c r="S303" s="248"/>
      <c r="T303" s="247"/>
      <c r="U303" s="248"/>
      <c r="V303" s="248"/>
      <c r="W303" s="194"/>
      <c r="X303" s="249"/>
      <c r="Y303" s="250"/>
      <c r="Z303" s="251"/>
      <c r="AA303" s="252"/>
    </row>
    <row r="304" spans="1:27">
      <c r="A304" s="1599">
        <f t="shared" si="33"/>
        <v>122</v>
      </c>
      <c r="C304" s="2036"/>
      <c r="D304" s="1919"/>
      <c r="E304" s="2039"/>
      <c r="F304" s="2039"/>
      <c r="G304" s="1647"/>
      <c r="H304" s="1647"/>
      <c r="I304" s="1824"/>
      <c r="J304" s="1824"/>
      <c r="K304" s="2040"/>
      <c r="L304" s="1824"/>
      <c r="M304" s="2041"/>
      <c r="P304" s="248"/>
      <c r="Q304" s="248"/>
      <c r="R304" s="248"/>
      <c r="S304" s="248"/>
      <c r="T304" s="247"/>
      <c r="U304" s="248"/>
      <c r="V304" s="248"/>
      <c r="W304" s="194"/>
      <c r="X304" s="249"/>
      <c r="Y304" s="250"/>
      <c r="Z304" s="251"/>
      <c r="AA304" s="252"/>
    </row>
    <row r="305" spans="1:27">
      <c r="A305" s="1599">
        <f t="shared" si="33"/>
        <v>123</v>
      </c>
      <c r="C305" s="2036"/>
      <c r="D305" s="1919"/>
      <c r="E305" s="2039"/>
      <c r="F305" s="2039"/>
      <c r="G305" s="1647"/>
      <c r="H305" s="1647"/>
      <c r="I305" s="1824"/>
      <c r="J305" s="1824"/>
      <c r="K305" s="2040"/>
      <c r="L305" s="1824"/>
      <c r="M305" s="2041"/>
      <c r="P305" s="248"/>
      <c r="Q305" s="248"/>
      <c r="R305" s="248"/>
      <c r="S305" s="248"/>
      <c r="T305" s="247"/>
      <c r="U305" s="248"/>
      <c r="V305" s="248"/>
      <c r="W305" s="194"/>
      <c r="X305" s="249"/>
      <c r="Y305" s="250"/>
      <c r="Z305" s="251"/>
      <c r="AA305" s="252"/>
    </row>
    <row r="306" spans="1:27">
      <c r="A306" s="1599">
        <f t="shared" si="33"/>
        <v>124</v>
      </c>
      <c r="C306" s="2036"/>
      <c r="D306" s="1919"/>
      <c r="E306" s="2039"/>
      <c r="F306" s="2039"/>
      <c r="G306" s="1647"/>
      <c r="H306" s="1647"/>
      <c r="I306" s="1824"/>
      <c r="J306" s="1824"/>
      <c r="K306" s="2040"/>
      <c r="L306" s="1824"/>
      <c r="M306" s="2041"/>
      <c r="P306" s="248"/>
      <c r="Q306" s="248"/>
      <c r="R306" s="248"/>
      <c r="S306" s="248"/>
      <c r="T306" s="247"/>
      <c r="U306" s="248"/>
      <c r="V306" s="248"/>
      <c r="W306" s="194"/>
      <c r="X306" s="249"/>
      <c r="Y306" s="250"/>
      <c r="Z306" s="251"/>
      <c r="AA306" s="252"/>
    </row>
    <row r="307" spans="1:27">
      <c r="A307" s="1599">
        <f t="shared" si="33"/>
        <v>125</v>
      </c>
      <c r="C307" s="2036"/>
      <c r="D307" s="1919"/>
      <c r="E307" s="2039"/>
      <c r="F307" s="2039"/>
      <c r="G307" s="1647"/>
      <c r="H307" s="1647"/>
      <c r="I307" s="1824"/>
      <c r="J307" s="1824"/>
      <c r="K307" s="2040"/>
      <c r="L307" s="1824"/>
      <c r="M307" s="2041"/>
      <c r="P307" s="248"/>
      <c r="Q307" s="248"/>
      <c r="R307" s="248"/>
      <c r="S307" s="248"/>
      <c r="T307" s="247"/>
      <c r="U307" s="248"/>
      <c r="V307" s="248"/>
      <c r="W307" s="194"/>
      <c r="X307" s="249"/>
      <c r="Y307" s="250"/>
      <c r="Z307" s="251"/>
      <c r="AA307" s="252"/>
    </row>
    <row r="308" spans="1:27">
      <c r="A308" s="1599">
        <f t="shared" si="33"/>
        <v>126</v>
      </c>
      <c r="C308" s="2036"/>
      <c r="D308" s="1919"/>
      <c r="E308" s="2039"/>
      <c r="F308" s="2039"/>
      <c r="G308" s="1647"/>
      <c r="H308" s="1647"/>
      <c r="I308" s="1824"/>
      <c r="J308" s="1824"/>
      <c r="K308" s="2040"/>
      <c r="L308" s="1824"/>
      <c r="M308" s="2041"/>
      <c r="P308" s="248"/>
      <c r="Q308" s="248"/>
      <c r="R308" s="248"/>
      <c r="S308" s="248"/>
      <c r="T308" s="247"/>
      <c r="U308" s="248"/>
      <c r="V308" s="248"/>
      <c r="W308" s="194"/>
      <c r="X308" s="249"/>
      <c r="Y308" s="250"/>
      <c r="Z308" s="251"/>
      <c r="AA308" s="252"/>
    </row>
    <row r="309" spans="1:27">
      <c r="A309" s="1599">
        <f t="shared" si="33"/>
        <v>127</v>
      </c>
      <c r="C309" s="2036"/>
      <c r="D309" s="1919"/>
      <c r="E309" s="2039"/>
      <c r="F309" s="2039"/>
      <c r="G309" s="1647"/>
      <c r="H309" s="1647"/>
      <c r="I309" s="1824"/>
      <c r="J309" s="1824"/>
      <c r="K309" s="2040"/>
      <c r="L309" s="1824"/>
      <c r="M309" s="2041"/>
      <c r="P309" s="248"/>
      <c r="Q309" s="248"/>
      <c r="R309" s="248"/>
      <c r="S309" s="248"/>
      <c r="T309" s="247"/>
      <c r="U309" s="248"/>
      <c r="V309" s="248"/>
      <c r="W309" s="194"/>
      <c r="X309" s="249"/>
      <c r="Y309" s="250"/>
      <c r="Z309" s="251"/>
      <c r="AA309" s="252"/>
    </row>
    <row r="310" spans="1:27">
      <c r="A310" s="1599">
        <f t="shared" si="33"/>
        <v>128</v>
      </c>
      <c r="C310" s="2036"/>
      <c r="D310" s="1919"/>
      <c r="E310" s="2039"/>
      <c r="F310" s="2039"/>
      <c r="G310" s="1647"/>
      <c r="H310" s="1647"/>
      <c r="I310" s="1824"/>
      <c r="J310" s="1824"/>
      <c r="K310" s="2040"/>
      <c r="L310" s="1824"/>
      <c r="M310" s="2041"/>
      <c r="P310" s="248"/>
      <c r="Q310" s="248"/>
      <c r="R310" s="248"/>
      <c r="S310" s="248"/>
      <c r="T310" s="247"/>
      <c r="U310" s="248"/>
      <c r="V310" s="248"/>
      <c r="W310" s="194"/>
      <c r="X310" s="249"/>
      <c r="Y310" s="250"/>
      <c r="Z310" s="251"/>
      <c r="AA310" s="252"/>
    </row>
    <row r="311" spans="1:27">
      <c r="A311" s="1599">
        <f t="shared" si="33"/>
        <v>129</v>
      </c>
      <c r="C311" s="2036"/>
      <c r="D311" s="1919"/>
      <c r="E311" s="2039"/>
      <c r="F311" s="2039"/>
      <c r="G311" s="1647"/>
      <c r="H311" s="1647"/>
      <c r="I311" s="1824"/>
      <c r="J311" s="1824"/>
      <c r="K311" s="2040"/>
      <c r="L311" s="1824"/>
      <c r="M311" s="2041"/>
      <c r="P311" s="248"/>
      <c r="Q311" s="248"/>
      <c r="R311" s="248"/>
      <c r="S311" s="248"/>
      <c r="T311" s="247"/>
      <c r="U311" s="248"/>
      <c r="V311" s="248"/>
      <c r="W311" s="194"/>
      <c r="X311" s="249"/>
      <c r="Y311" s="250"/>
      <c r="Z311" s="251"/>
      <c r="AA311" s="252"/>
    </row>
    <row r="312" spans="1:27">
      <c r="A312" s="1599">
        <f t="shared" si="33"/>
        <v>130</v>
      </c>
      <c r="C312" s="2036"/>
      <c r="D312" s="1919"/>
      <c r="E312" s="2039"/>
      <c r="F312" s="2039"/>
      <c r="G312" s="1647"/>
      <c r="H312" s="1647"/>
      <c r="I312" s="1824"/>
      <c r="J312" s="1824"/>
      <c r="K312" s="2040"/>
      <c r="L312" s="1824"/>
      <c r="M312" s="2041"/>
      <c r="P312" s="248"/>
      <c r="Q312" s="248"/>
      <c r="R312" s="248"/>
      <c r="S312" s="248"/>
      <c r="T312" s="247"/>
      <c r="U312" s="248"/>
      <c r="V312" s="248"/>
      <c r="W312" s="194"/>
      <c r="X312" s="249"/>
      <c r="Y312" s="250"/>
      <c r="Z312" s="251"/>
      <c r="AA312" s="252"/>
    </row>
    <row r="313" spans="1:27">
      <c r="A313" s="1599">
        <f t="shared" si="33"/>
        <v>131</v>
      </c>
      <c r="C313" s="2036"/>
      <c r="D313" s="1919"/>
      <c r="E313" s="2039"/>
      <c r="F313" s="2039"/>
      <c r="G313" s="1647"/>
      <c r="H313" s="1647"/>
      <c r="I313" s="1824"/>
      <c r="J313" s="1824"/>
      <c r="K313" s="2040"/>
      <c r="L313" s="1824"/>
      <c r="M313" s="2041"/>
      <c r="P313" s="248"/>
      <c r="Q313" s="248"/>
      <c r="R313" s="248"/>
      <c r="S313" s="248"/>
      <c r="T313" s="247"/>
      <c r="U313" s="248"/>
      <c r="V313" s="248"/>
      <c r="W313" s="194"/>
      <c r="X313" s="249"/>
      <c r="Y313" s="250"/>
      <c r="Z313" s="251"/>
      <c r="AA313" s="252"/>
    </row>
    <row r="314" spans="1:27">
      <c r="A314" s="1599">
        <f t="shared" si="33"/>
        <v>132</v>
      </c>
      <c r="C314" s="2036"/>
      <c r="D314" s="1919"/>
      <c r="E314" s="2039"/>
      <c r="F314" s="2039"/>
      <c r="G314" s="1647"/>
      <c r="H314" s="1647"/>
      <c r="I314" s="1824"/>
      <c r="J314" s="1824"/>
      <c r="K314" s="2040"/>
      <c r="L314" s="1824"/>
      <c r="M314" s="2041"/>
      <c r="P314" s="248"/>
      <c r="Q314" s="248"/>
      <c r="R314" s="248"/>
      <c r="S314" s="248"/>
      <c r="T314" s="247"/>
      <c r="U314" s="248"/>
      <c r="V314" s="248"/>
      <c r="W314" s="194"/>
      <c r="X314" s="249"/>
      <c r="Y314" s="250"/>
      <c r="Z314" s="251"/>
      <c r="AA314" s="252"/>
    </row>
    <row r="315" spans="1:27">
      <c r="A315" s="1599">
        <f t="shared" si="33"/>
        <v>133</v>
      </c>
      <c r="C315" s="2036"/>
      <c r="D315" s="1919"/>
      <c r="E315" s="2039"/>
      <c r="F315" s="2039"/>
      <c r="G315" s="1647"/>
      <c r="H315" s="1647"/>
      <c r="I315" s="1824"/>
      <c r="J315" s="1824"/>
      <c r="K315" s="2040"/>
      <c r="L315" s="1824"/>
      <c r="M315" s="2041"/>
      <c r="P315" s="248"/>
      <c r="Q315" s="248"/>
      <c r="R315" s="248"/>
      <c r="S315" s="248"/>
      <c r="T315" s="247"/>
      <c r="U315" s="248"/>
      <c r="V315" s="248"/>
      <c r="W315" s="194"/>
      <c r="X315" s="249"/>
      <c r="Y315" s="250"/>
      <c r="Z315" s="251"/>
      <c r="AA315" s="252"/>
    </row>
    <row r="316" spans="1:27">
      <c r="A316" s="1599">
        <f t="shared" si="33"/>
        <v>134</v>
      </c>
      <c r="C316" s="2036"/>
      <c r="D316" s="1919"/>
      <c r="E316" s="2039"/>
      <c r="F316" s="2039"/>
      <c r="G316" s="1647"/>
      <c r="H316" s="1647"/>
      <c r="I316" s="1824"/>
      <c r="J316" s="1824"/>
      <c r="K316" s="2040"/>
      <c r="L316" s="1824"/>
      <c r="M316" s="2041"/>
      <c r="P316" s="248"/>
      <c r="Q316" s="248"/>
      <c r="R316" s="248"/>
      <c r="S316" s="248"/>
      <c r="T316" s="247"/>
      <c r="U316" s="248"/>
      <c r="V316" s="248"/>
      <c r="W316" s="194"/>
      <c r="X316" s="249"/>
      <c r="Y316" s="250"/>
      <c r="Z316" s="251"/>
      <c r="AA316" s="252"/>
    </row>
    <row r="317" spans="1:27">
      <c r="A317" s="1599">
        <f t="shared" si="33"/>
        <v>135</v>
      </c>
      <c r="C317" s="2036"/>
      <c r="D317" s="1919"/>
      <c r="E317" s="2039"/>
      <c r="F317" s="2039"/>
      <c r="G317" s="1647"/>
      <c r="H317" s="1647"/>
      <c r="I317" s="1824"/>
      <c r="J317" s="1824"/>
      <c r="K317" s="2040"/>
      <c r="L317" s="1824"/>
      <c r="M317" s="2041"/>
      <c r="P317" s="248"/>
      <c r="Q317" s="248"/>
      <c r="R317" s="248"/>
      <c r="S317" s="248"/>
      <c r="T317" s="247"/>
      <c r="U317" s="248"/>
      <c r="V317" s="248"/>
      <c r="W317" s="194"/>
      <c r="X317" s="249"/>
      <c r="Y317" s="250"/>
      <c r="Z317" s="251"/>
      <c r="AA317" s="252"/>
    </row>
    <row r="318" spans="1:27">
      <c r="A318" s="1599">
        <f t="shared" si="33"/>
        <v>136</v>
      </c>
      <c r="C318" s="2036"/>
      <c r="D318" s="1919"/>
      <c r="E318" s="2039"/>
      <c r="F318" s="2039"/>
      <c r="G318" s="1647"/>
      <c r="H318" s="1647"/>
      <c r="I318" s="1824"/>
      <c r="J318" s="1824"/>
      <c r="K318" s="2040"/>
      <c r="L318" s="1824"/>
      <c r="M318" s="2041"/>
      <c r="P318" s="248"/>
      <c r="Q318" s="248"/>
      <c r="R318" s="248"/>
      <c r="S318" s="248"/>
      <c r="T318" s="247"/>
      <c r="U318" s="248"/>
      <c r="V318" s="248"/>
      <c r="W318" s="194"/>
      <c r="X318" s="249"/>
      <c r="Y318" s="250"/>
      <c r="Z318" s="251"/>
      <c r="AA318" s="252"/>
    </row>
    <row r="319" spans="1:27">
      <c r="A319" s="1599">
        <f t="shared" si="33"/>
        <v>137</v>
      </c>
      <c r="C319" s="2036"/>
      <c r="D319" s="1919"/>
      <c r="E319" s="2039"/>
      <c r="F319" s="2039"/>
      <c r="G319" s="1647"/>
      <c r="H319" s="1647"/>
      <c r="I319" s="1824"/>
      <c r="J319" s="1824"/>
      <c r="K319" s="2040"/>
      <c r="L319" s="1824"/>
      <c r="M319" s="2041"/>
      <c r="P319" s="248"/>
      <c r="Q319" s="248"/>
      <c r="R319" s="248"/>
      <c r="S319" s="248"/>
      <c r="T319" s="247"/>
      <c r="U319" s="248"/>
      <c r="V319" s="248"/>
      <c r="W319" s="194"/>
      <c r="X319" s="249"/>
      <c r="Y319" s="250"/>
      <c r="Z319" s="251"/>
      <c r="AA319" s="252"/>
    </row>
    <row r="320" spans="1:27">
      <c r="A320" s="1599">
        <f t="shared" si="33"/>
        <v>138</v>
      </c>
      <c r="C320" s="2036"/>
      <c r="D320" s="1919"/>
      <c r="E320" s="2039"/>
      <c r="F320" s="2039"/>
      <c r="G320" s="1647"/>
      <c r="H320" s="1647"/>
      <c r="I320" s="1824"/>
      <c r="J320" s="1824"/>
      <c r="K320" s="2040"/>
      <c r="L320" s="1824"/>
      <c r="M320" s="2041"/>
      <c r="P320" s="248"/>
      <c r="Q320" s="248"/>
      <c r="R320" s="248"/>
      <c r="S320" s="248"/>
      <c r="T320" s="247"/>
      <c r="U320" s="248"/>
      <c r="V320" s="248"/>
      <c r="W320" s="194"/>
      <c r="X320" s="249"/>
      <c r="Y320" s="250"/>
      <c r="Z320" s="251"/>
      <c r="AA320" s="252"/>
    </row>
    <row r="321" spans="1:27">
      <c r="A321" s="1599">
        <f t="shared" si="33"/>
        <v>139</v>
      </c>
      <c r="C321" s="2036"/>
      <c r="D321" s="1919"/>
      <c r="E321" s="2039"/>
      <c r="F321" s="2039"/>
      <c r="G321" s="1647"/>
      <c r="H321" s="1647"/>
      <c r="I321" s="1824"/>
      <c r="J321" s="1824"/>
      <c r="K321" s="2040"/>
      <c r="L321" s="1824"/>
      <c r="M321" s="2041"/>
      <c r="P321" s="248"/>
      <c r="Q321" s="248"/>
      <c r="R321" s="248"/>
      <c r="S321" s="248"/>
      <c r="T321" s="247"/>
      <c r="U321" s="248"/>
      <c r="V321" s="248"/>
      <c r="W321" s="194"/>
      <c r="X321" s="249"/>
      <c r="Y321" s="250"/>
      <c r="Z321" s="251"/>
      <c r="AA321" s="252"/>
    </row>
    <row r="322" spans="1:27">
      <c r="A322" s="1599">
        <f t="shared" si="33"/>
        <v>140</v>
      </c>
      <c r="C322" s="2036"/>
      <c r="D322" s="1919"/>
      <c r="E322" s="2039"/>
      <c r="F322" s="2039"/>
      <c r="G322" s="1647"/>
      <c r="H322" s="1647"/>
      <c r="I322" s="1824"/>
      <c r="J322" s="1824"/>
      <c r="K322" s="2040"/>
      <c r="L322" s="1824"/>
      <c r="M322" s="2041"/>
      <c r="P322" s="248"/>
      <c r="Q322" s="248"/>
      <c r="R322" s="248"/>
      <c r="S322" s="248"/>
      <c r="T322" s="247"/>
      <c r="U322" s="248"/>
      <c r="V322" s="248"/>
      <c r="W322" s="194"/>
      <c r="X322" s="249"/>
      <c r="Y322" s="250"/>
      <c r="Z322" s="251"/>
      <c r="AA322" s="252"/>
    </row>
    <row r="323" spans="1:27">
      <c r="A323" s="1599">
        <f t="shared" si="33"/>
        <v>141</v>
      </c>
      <c r="C323" s="2036"/>
      <c r="D323" s="1919"/>
      <c r="E323" s="2039"/>
      <c r="F323" s="2039"/>
      <c r="G323" s="1647"/>
      <c r="H323" s="1647"/>
      <c r="I323" s="1824"/>
      <c r="J323" s="1824"/>
      <c r="K323" s="2040"/>
      <c r="L323" s="1824"/>
      <c r="M323" s="2041"/>
      <c r="P323" s="248"/>
      <c r="Q323" s="248"/>
      <c r="R323" s="248"/>
      <c r="S323" s="248"/>
      <c r="T323" s="247"/>
      <c r="U323" s="248"/>
      <c r="V323" s="248"/>
      <c r="W323" s="194"/>
      <c r="X323" s="249"/>
      <c r="Y323" s="250"/>
      <c r="Z323" s="251"/>
      <c r="AA323" s="252"/>
    </row>
    <row r="324" spans="1:27">
      <c r="A324" s="1599">
        <f t="shared" si="33"/>
        <v>142</v>
      </c>
      <c r="C324" s="2036"/>
      <c r="D324" s="1919"/>
      <c r="E324" s="2039"/>
      <c r="F324" s="2039"/>
      <c r="G324" s="1647"/>
      <c r="H324" s="1647"/>
      <c r="I324" s="1824"/>
      <c r="J324" s="1824"/>
      <c r="K324" s="2040"/>
      <c r="L324" s="1824"/>
      <c r="M324" s="2041"/>
      <c r="P324" s="248"/>
      <c r="Q324" s="248"/>
      <c r="R324" s="248"/>
      <c r="S324" s="248"/>
      <c r="T324" s="247"/>
      <c r="U324" s="248"/>
      <c r="V324" s="248"/>
      <c r="W324" s="194"/>
      <c r="X324" s="249"/>
      <c r="Y324" s="250"/>
      <c r="Z324" s="251"/>
      <c r="AA324" s="252"/>
    </row>
    <row r="325" spans="1:27">
      <c r="A325" s="1599">
        <f t="shared" si="33"/>
        <v>143</v>
      </c>
      <c r="C325" s="2036"/>
      <c r="D325" s="1919"/>
      <c r="E325" s="2039"/>
      <c r="F325" s="2039"/>
      <c r="G325" s="1647"/>
      <c r="H325" s="1647"/>
      <c r="I325" s="1824"/>
      <c r="J325" s="1824"/>
      <c r="K325" s="2040"/>
      <c r="L325" s="1824"/>
      <c r="M325" s="2041"/>
      <c r="P325" s="248"/>
      <c r="Q325" s="248"/>
      <c r="R325" s="248"/>
      <c r="S325" s="248"/>
      <c r="T325" s="247"/>
      <c r="U325" s="248"/>
      <c r="V325" s="248"/>
      <c r="W325" s="194"/>
      <c r="X325" s="249"/>
      <c r="Y325" s="250"/>
      <c r="Z325" s="251"/>
      <c r="AA325" s="252"/>
    </row>
    <row r="326" spans="1:27">
      <c r="A326" s="1599">
        <f t="shared" si="33"/>
        <v>144</v>
      </c>
      <c r="C326" s="2036"/>
      <c r="D326" s="1919"/>
      <c r="E326" s="2039"/>
      <c r="F326" s="2039"/>
      <c r="G326" s="1647"/>
      <c r="H326" s="1647"/>
      <c r="I326" s="1824"/>
      <c r="J326" s="1824"/>
      <c r="K326" s="2040"/>
      <c r="L326" s="1824"/>
      <c r="M326" s="2041"/>
      <c r="P326" s="248"/>
      <c r="Q326" s="248"/>
      <c r="R326" s="248"/>
      <c r="S326" s="248"/>
      <c r="T326" s="247"/>
      <c r="U326" s="248"/>
      <c r="V326" s="248"/>
      <c r="W326" s="194"/>
      <c r="X326" s="249"/>
      <c r="Y326" s="250"/>
      <c r="Z326" s="251"/>
      <c r="AA326" s="252"/>
    </row>
    <row r="327" spans="1:27">
      <c r="A327" s="1599">
        <f t="shared" si="33"/>
        <v>145</v>
      </c>
      <c r="C327" s="2036"/>
      <c r="D327" s="1919"/>
      <c r="E327" s="2039"/>
      <c r="F327" s="2039"/>
      <c r="G327" s="1647"/>
      <c r="H327" s="1647"/>
      <c r="I327" s="1824"/>
      <c r="J327" s="1824"/>
      <c r="K327" s="2040"/>
      <c r="L327" s="1824"/>
      <c r="M327" s="2041"/>
      <c r="P327" s="248"/>
      <c r="Q327" s="248"/>
      <c r="R327" s="248"/>
      <c r="S327" s="248"/>
      <c r="T327" s="247"/>
      <c r="U327" s="248"/>
      <c r="V327" s="248"/>
      <c r="W327" s="194"/>
      <c r="X327" s="249"/>
      <c r="Y327" s="250"/>
      <c r="Z327" s="251"/>
      <c r="AA327" s="252"/>
    </row>
    <row r="328" spans="1:27">
      <c r="A328" s="1599">
        <f t="shared" si="33"/>
        <v>146</v>
      </c>
      <c r="C328" s="2036"/>
      <c r="D328" s="1919"/>
      <c r="E328" s="2039"/>
      <c r="F328" s="2039"/>
      <c r="G328" s="1647"/>
      <c r="H328" s="1647"/>
      <c r="I328" s="1824"/>
      <c r="J328" s="1824"/>
      <c r="K328" s="2040"/>
      <c r="L328" s="1824"/>
      <c r="M328" s="2041"/>
      <c r="P328" s="248"/>
      <c r="Q328" s="248"/>
      <c r="R328" s="248"/>
      <c r="S328" s="248"/>
      <c r="T328" s="247"/>
      <c r="U328" s="248"/>
      <c r="V328" s="248"/>
      <c r="W328" s="194"/>
      <c r="X328" s="249"/>
      <c r="Y328" s="250"/>
      <c r="Z328" s="251"/>
      <c r="AA328" s="252"/>
    </row>
    <row r="329" spans="1:27">
      <c r="A329" s="1599">
        <f t="shared" si="33"/>
        <v>147</v>
      </c>
      <c r="C329" s="2036"/>
      <c r="D329" s="1919"/>
      <c r="E329" s="2039"/>
      <c r="F329" s="2039"/>
      <c r="G329" s="1647"/>
      <c r="H329" s="1647"/>
      <c r="I329" s="1824"/>
      <c r="J329" s="1824"/>
      <c r="K329" s="2040"/>
      <c r="L329" s="1824"/>
      <c r="M329" s="2041"/>
      <c r="P329" s="248"/>
      <c r="Q329" s="248"/>
      <c r="R329" s="248"/>
      <c r="S329" s="248"/>
      <c r="T329" s="247"/>
      <c r="U329" s="248"/>
      <c r="V329" s="248"/>
      <c r="W329" s="194"/>
      <c r="X329" s="249"/>
      <c r="Y329" s="250"/>
      <c r="Z329" s="251"/>
      <c r="AA329" s="252"/>
    </row>
    <row r="330" spans="1:27">
      <c r="A330" s="1599">
        <f t="shared" si="33"/>
        <v>148</v>
      </c>
      <c r="C330" s="2036"/>
      <c r="D330" s="1919"/>
      <c r="E330" s="2039"/>
      <c r="F330" s="2039"/>
      <c r="G330" s="1647"/>
      <c r="H330" s="1647"/>
      <c r="I330" s="1824"/>
      <c r="J330" s="1824"/>
      <c r="K330" s="2040"/>
      <c r="L330" s="1824"/>
      <c r="M330" s="2041"/>
      <c r="P330" s="248"/>
      <c r="Q330" s="248"/>
      <c r="R330" s="248"/>
      <c r="S330" s="248"/>
      <c r="T330" s="247"/>
      <c r="U330" s="248"/>
      <c r="V330" s="248"/>
      <c r="W330" s="194"/>
      <c r="X330" s="249"/>
      <c r="Y330" s="250"/>
      <c r="Z330" s="251"/>
      <c r="AA330" s="252"/>
    </row>
    <row r="331" spans="1:27">
      <c r="A331" s="1599">
        <f t="shared" si="33"/>
        <v>149</v>
      </c>
      <c r="C331" s="2036"/>
      <c r="D331" s="1919"/>
      <c r="E331" s="2039"/>
      <c r="F331" s="2039"/>
      <c r="G331" s="1647"/>
      <c r="H331" s="1647"/>
      <c r="I331" s="1824"/>
      <c r="J331" s="1824"/>
      <c r="K331" s="2040"/>
      <c r="L331" s="1824"/>
      <c r="M331" s="2041"/>
      <c r="P331" s="248"/>
      <c r="Q331" s="248"/>
      <c r="R331" s="248"/>
      <c r="S331" s="248"/>
      <c r="T331" s="247"/>
      <c r="U331" s="248"/>
      <c r="V331" s="248"/>
      <c r="W331" s="194"/>
      <c r="X331" s="249"/>
      <c r="Y331" s="250"/>
      <c r="Z331" s="251"/>
      <c r="AA331" s="252"/>
    </row>
    <row r="332" spans="1:27">
      <c r="A332" s="1599">
        <f t="shared" si="33"/>
        <v>150</v>
      </c>
      <c r="C332" s="2036"/>
      <c r="D332" s="1919"/>
      <c r="E332" s="2039"/>
      <c r="F332" s="2039"/>
      <c r="G332" s="1647"/>
      <c r="H332" s="1647"/>
      <c r="I332" s="1824"/>
      <c r="J332" s="1824"/>
      <c r="K332" s="2040"/>
      <c r="L332" s="1824"/>
      <c r="M332" s="2041"/>
      <c r="P332" s="248"/>
      <c r="Q332" s="248"/>
      <c r="R332" s="248"/>
      <c r="S332" s="248"/>
      <c r="T332" s="247"/>
      <c r="U332" s="248"/>
      <c r="V332" s="248"/>
      <c r="W332" s="194"/>
      <c r="X332" s="249"/>
      <c r="Y332" s="250"/>
      <c r="Z332" s="251"/>
      <c r="AA332" s="252"/>
    </row>
    <row r="333" spans="1:27">
      <c r="A333" s="1599">
        <f t="shared" si="33"/>
        <v>151</v>
      </c>
      <c r="C333" s="2036"/>
      <c r="D333" s="1919"/>
      <c r="E333" s="2039"/>
      <c r="F333" s="2039"/>
      <c r="G333" s="1647"/>
      <c r="H333" s="1647"/>
      <c r="I333" s="1824"/>
      <c r="J333" s="1824"/>
      <c r="K333" s="2040"/>
      <c r="L333" s="1824"/>
      <c r="M333" s="2041"/>
      <c r="P333" s="248"/>
      <c r="Q333" s="248"/>
      <c r="R333" s="248"/>
      <c r="S333" s="248"/>
      <c r="T333" s="247"/>
      <c r="U333" s="248"/>
      <c r="V333" s="248"/>
      <c r="W333" s="194"/>
      <c r="X333" s="249"/>
      <c r="Y333" s="250"/>
      <c r="Z333" s="251"/>
      <c r="AA333" s="252"/>
    </row>
    <row r="334" spans="1:27">
      <c r="A334" s="1599">
        <f t="shared" si="33"/>
        <v>152</v>
      </c>
      <c r="C334" s="2036"/>
      <c r="D334" s="1919"/>
      <c r="E334" s="2039"/>
      <c r="F334" s="2039"/>
      <c r="G334" s="1647"/>
      <c r="H334" s="1647"/>
      <c r="I334" s="1824"/>
      <c r="J334" s="1824"/>
      <c r="K334" s="2040"/>
      <c r="L334" s="1824"/>
      <c r="M334" s="2041"/>
      <c r="P334" s="248"/>
      <c r="Q334" s="248"/>
      <c r="R334" s="248"/>
      <c r="S334" s="248"/>
      <c r="T334" s="247"/>
      <c r="U334" s="248"/>
      <c r="V334" s="248"/>
      <c r="W334" s="194"/>
      <c r="X334" s="249"/>
      <c r="Y334" s="250"/>
      <c r="Z334" s="251"/>
      <c r="AA334" s="252"/>
    </row>
    <row r="335" spans="1:27">
      <c r="A335" s="1599">
        <f t="shared" si="33"/>
        <v>153</v>
      </c>
      <c r="C335" s="2036"/>
      <c r="D335" s="1919"/>
      <c r="E335" s="2039"/>
      <c r="F335" s="2039"/>
      <c r="G335" s="1647"/>
      <c r="H335" s="1647"/>
      <c r="I335" s="1824"/>
      <c r="J335" s="1824"/>
      <c r="K335" s="2040"/>
      <c r="L335" s="1824"/>
      <c r="M335" s="2041"/>
      <c r="P335" s="248"/>
      <c r="Q335" s="248"/>
      <c r="R335" s="248"/>
      <c r="S335" s="248"/>
      <c r="T335" s="247"/>
      <c r="U335" s="248"/>
      <c r="V335" s="248"/>
      <c r="W335" s="194"/>
      <c r="X335" s="249"/>
      <c r="Y335" s="250"/>
      <c r="Z335" s="251"/>
      <c r="AA335" s="252"/>
    </row>
    <row r="336" spans="1:27">
      <c r="A336" s="1599">
        <f t="shared" si="33"/>
        <v>154</v>
      </c>
      <c r="C336" s="2036"/>
      <c r="D336" s="1919"/>
      <c r="E336" s="2039"/>
      <c r="F336" s="2039"/>
      <c r="G336" s="1647"/>
      <c r="H336" s="1647"/>
      <c r="I336" s="1824"/>
      <c r="J336" s="1824"/>
      <c r="K336" s="2040"/>
      <c r="L336" s="1824"/>
      <c r="M336" s="2041"/>
      <c r="P336" s="248"/>
      <c r="Q336" s="248"/>
      <c r="R336" s="248"/>
      <c r="S336" s="248"/>
      <c r="T336" s="247"/>
      <c r="U336" s="248"/>
      <c r="V336" s="248"/>
      <c r="W336" s="194"/>
      <c r="X336" s="249"/>
      <c r="Y336" s="250"/>
      <c r="Z336" s="251"/>
      <c r="AA336" s="252"/>
    </row>
    <row r="337" spans="1:27">
      <c r="A337" s="1599">
        <f t="shared" si="33"/>
        <v>155</v>
      </c>
      <c r="C337" s="2036"/>
      <c r="D337" s="1919"/>
      <c r="E337" s="2039"/>
      <c r="F337" s="2039"/>
      <c r="G337" s="1647"/>
      <c r="H337" s="1647"/>
      <c r="I337" s="1824"/>
      <c r="J337" s="1824"/>
      <c r="K337" s="2040"/>
      <c r="L337" s="1824"/>
      <c r="M337" s="2041"/>
      <c r="P337" s="248"/>
      <c r="Q337" s="248"/>
      <c r="R337" s="248"/>
      <c r="S337" s="248"/>
      <c r="T337" s="247"/>
      <c r="U337" s="248"/>
      <c r="V337" s="248"/>
      <c r="W337" s="194"/>
      <c r="X337" s="249"/>
      <c r="Y337" s="250"/>
      <c r="Z337" s="251"/>
      <c r="AA337" s="252"/>
    </row>
    <row r="338" spans="1:27">
      <c r="A338" s="1599">
        <f t="shared" si="33"/>
        <v>156</v>
      </c>
      <c r="C338" s="2036"/>
      <c r="D338" s="1919"/>
      <c r="E338" s="2039"/>
      <c r="F338" s="2039"/>
      <c r="G338" s="1647"/>
      <c r="H338" s="1647"/>
      <c r="I338" s="1824"/>
      <c r="J338" s="1824"/>
      <c r="K338" s="2040"/>
      <c r="L338" s="1824"/>
      <c r="M338" s="2041"/>
      <c r="P338" s="248"/>
      <c r="Q338" s="248"/>
      <c r="R338" s="248"/>
      <c r="S338" s="248"/>
      <c r="T338" s="247"/>
      <c r="U338" s="248"/>
      <c r="V338" s="248"/>
      <c r="W338" s="194"/>
      <c r="X338" s="249"/>
      <c r="Y338" s="250"/>
      <c r="Z338" s="251"/>
      <c r="AA338" s="252"/>
    </row>
    <row r="339" spans="1:27">
      <c r="A339" s="1599">
        <f t="shared" si="33"/>
        <v>157</v>
      </c>
      <c r="C339" s="2036"/>
      <c r="D339" s="1919"/>
      <c r="E339" s="2039"/>
      <c r="F339" s="2039"/>
      <c r="G339" s="1647"/>
      <c r="H339" s="1647"/>
      <c r="I339" s="1824"/>
      <c r="J339" s="1824"/>
      <c r="K339" s="2040"/>
      <c r="L339" s="1824"/>
      <c r="M339" s="2041"/>
      <c r="P339" s="248"/>
      <c r="Q339" s="248"/>
      <c r="R339" s="248"/>
      <c r="S339" s="248"/>
      <c r="T339" s="247"/>
      <c r="U339" s="248"/>
      <c r="V339" s="248"/>
      <c r="W339" s="194"/>
      <c r="X339" s="249"/>
      <c r="Y339" s="250"/>
      <c r="Z339" s="251"/>
      <c r="AA339" s="252"/>
    </row>
    <row r="340" spans="1:27">
      <c r="A340" s="1599">
        <f t="shared" si="33"/>
        <v>158</v>
      </c>
      <c r="C340" s="2036"/>
      <c r="D340" s="1919"/>
      <c r="E340" s="2039"/>
      <c r="F340" s="2039"/>
      <c r="G340" s="1647"/>
      <c r="H340" s="1647"/>
      <c r="I340" s="1824"/>
      <c r="J340" s="1824"/>
      <c r="K340" s="2040"/>
      <c r="L340" s="1824"/>
      <c r="M340" s="2041"/>
      <c r="P340" s="248"/>
      <c r="Q340" s="248"/>
      <c r="R340" s="248"/>
      <c r="S340" s="248"/>
      <c r="T340" s="247"/>
      <c r="U340" s="248"/>
      <c r="V340" s="248"/>
      <c r="W340" s="194"/>
      <c r="X340" s="249"/>
      <c r="Y340" s="250"/>
      <c r="Z340" s="251"/>
      <c r="AA340" s="252"/>
    </row>
    <row r="341" spans="1:27">
      <c r="A341" s="1599">
        <f t="shared" si="33"/>
        <v>159</v>
      </c>
      <c r="C341" s="2036"/>
      <c r="D341" s="1919"/>
      <c r="E341" s="2039"/>
      <c r="F341" s="2039"/>
      <c r="G341" s="1647"/>
      <c r="H341" s="1647"/>
      <c r="I341" s="1824"/>
      <c r="J341" s="1824"/>
      <c r="K341" s="2040"/>
      <c r="L341" s="1824"/>
      <c r="M341" s="2041"/>
      <c r="P341" s="248"/>
      <c r="Q341" s="248"/>
      <c r="R341" s="248"/>
      <c r="S341" s="248"/>
      <c r="T341" s="247"/>
      <c r="U341" s="248"/>
      <c r="V341" s="248"/>
      <c r="W341" s="194"/>
      <c r="X341" s="249"/>
      <c r="Y341" s="250"/>
      <c r="Z341" s="251"/>
      <c r="AA341" s="252"/>
    </row>
    <row r="342" spans="1:27">
      <c r="A342" s="1599">
        <f t="shared" si="33"/>
        <v>160</v>
      </c>
      <c r="C342" s="2036"/>
      <c r="D342" s="1919"/>
      <c r="E342" s="2039"/>
      <c r="F342" s="2039"/>
      <c r="G342" s="1647"/>
      <c r="H342" s="1647"/>
      <c r="I342" s="1824"/>
      <c r="J342" s="1824"/>
      <c r="K342" s="2040"/>
      <c r="L342" s="1824"/>
      <c r="M342" s="2041"/>
      <c r="P342" s="248"/>
      <c r="Q342" s="248"/>
      <c r="R342" s="248"/>
      <c r="S342" s="248"/>
      <c r="T342" s="247"/>
      <c r="U342" s="248"/>
      <c r="V342" s="248"/>
      <c r="W342" s="194"/>
      <c r="X342" s="249"/>
      <c r="Y342" s="250"/>
      <c r="Z342" s="251"/>
      <c r="AA342" s="252"/>
    </row>
  </sheetData>
  <mergeCells count="50">
    <mergeCell ref="I188:I191"/>
    <mergeCell ref="A182:M182"/>
    <mergeCell ref="I176:I179"/>
    <mergeCell ref="I161:I163"/>
    <mergeCell ref="A150:M150"/>
    <mergeCell ref="A136:M136"/>
    <mergeCell ref="I127:I130"/>
    <mergeCell ref="I107:I109"/>
    <mergeCell ref="I155:I158"/>
    <mergeCell ref="I146:I149"/>
    <mergeCell ref="I141:I144"/>
    <mergeCell ref="I133:I135"/>
    <mergeCell ref="B107:B109"/>
    <mergeCell ref="A121:M121"/>
    <mergeCell ref="I115:I118"/>
    <mergeCell ref="B115:B118"/>
    <mergeCell ref="A14:M14"/>
    <mergeCell ref="A27:M27"/>
    <mergeCell ref="A40:M40"/>
    <mergeCell ref="D44:D45"/>
    <mergeCell ref="I47:I49"/>
    <mergeCell ref="B47:B49"/>
    <mergeCell ref="D47:D49"/>
    <mergeCell ref="I44:I45"/>
    <mergeCell ref="A92:M92"/>
    <mergeCell ref="I100:I101"/>
    <mergeCell ref="I51:I53"/>
    <mergeCell ref="D51:D53"/>
    <mergeCell ref="I80:I82"/>
    <mergeCell ref="B80:B82"/>
    <mergeCell ref="B51:B53"/>
    <mergeCell ref="I61:I63"/>
    <mergeCell ref="B61:B63"/>
    <mergeCell ref="A57:M57"/>
    <mergeCell ref="A2:K2"/>
    <mergeCell ref="I170:I172"/>
    <mergeCell ref="A165:M165"/>
    <mergeCell ref="A105:M105"/>
    <mergeCell ref="B72:B74"/>
    <mergeCell ref="I65:I68"/>
    <mergeCell ref="I85:I87"/>
    <mergeCell ref="B65:B68"/>
    <mergeCell ref="I72:I74"/>
    <mergeCell ref="A75:M75"/>
    <mergeCell ref="B85:B87"/>
    <mergeCell ref="I88:I90"/>
    <mergeCell ref="B88:B90"/>
    <mergeCell ref="I103:I104"/>
    <mergeCell ref="B103:B104"/>
    <mergeCell ref="I96:I99"/>
  </mergeCells>
  <hyperlinks>
    <hyperlink ref="E41" r:id="rId1" display="javascript:void(0)"/>
    <hyperlink ref="E42:E54" r:id="rId2" display="javascript:void(0)"/>
    <hyperlink ref="E56" r:id="rId3" display="javascript:void(0)"/>
    <hyperlink ref="E55" r:id="rId4" display="javascript:void(0)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415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sqref="A1:XFD1048576"/>
    </sheetView>
  </sheetViews>
  <sheetFormatPr defaultColWidth="10.33203125" defaultRowHeight="15.6"/>
  <cols>
    <col min="1" max="1" width="7" style="1" customWidth="1"/>
    <col min="2" max="2" width="19.109375" style="2" customWidth="1"/>
    <col min="3" max="3" width="14.109375" style="3" customWidth="1"/>
    <col min="4" max="4" width="14.88671875" style="4" customWidth="1"/>
    <col min="5" max="5" width="11.109375" style="4" customWidth="1"/>
    <col min="6" max="7" width="5.109375" style="6" customWidth="1"/>
    <col min="8" max="8" width="17.33203125" style="6" customWidth="1"/>
    <col min="9" max="9" width="14.44140625" style="7" customWidth="1"/>
    <col min="10" max="10" width="10.33203125" style="11"/>
    <col min="11" max="11" width="14.5546875" style="5" customWidth="1"/>
    <col min="12" max="12" width="9.6640625" style="6" hidden="1" customWidth="1"/>
    <col min="13" max="13" width="13.44140625" style="6" hidden="1" customWidth="1"/>
    <col min="14" max="14" width="9.88671875" style="1" hidden="1" customWidth="1"/>
    <col min="15" max="15" width="17" style="6" hidden="1" customWidth="1"/>
    <col min="16" max="16" width="12.5546875" style="268" customWidth="1"/>
    <col min="17" max="17" width="12.6640625" style="268" customWidth="1"/>
    <col min="18" max="18" width="14" style="268" customWidth="1"/>
    <col min="19" max="19" width="15.6640625" style="264" customWidth="1"/>
    <col min="20" max="20" width="14.44140625" style="268" customWidth="1"/>
    <col min="21" max="21" width="19.44140625" style="268" customWidth="1"/>
    <col min="22" max="22" width="15.5546875" style="269" customWidth="1"/>
    <col min="23" max="23" width="34.33203125" style="270" customWidth="1"/>
    <col min="24" max="24" width="18.6640625" style="271" customWidth="1"/>
    <col min="25" max="25" width="16.6640625" style="272" customWidth="1"/>
    <col min="26" max="26" width="15.109375" style="273" customWidth="1"/>
    <col min="27" max="27" width="37.109375" style="5" customWidth="1"/>
    <col min="28" max="191" width="10.33203125" style="13"/>
    <col min="192" max="192" width="7" style="13" customWidth="1"/>
    <col min="193" max="193" width="13" style="13" customWidth="1"/>
    <col min="194" max="194" width="14.109375" style="13" customWidth="1"/>
    <col min="195" max="195" width="17.33203125" style="13" customWidth="1"/>
    <col min="196" max="196" width="18.88671875" style="13" customWidth="1"/>
    <col min="197" max="197" width="14.109375" style="13" customWidth="1"/>
    <col min="198" max="198" width="21.5546875" style="13" customWidth="1"/>
    <col min="199" max="200" width="14.109375" style="13" customWidth="1"/>
    <col min="201" max="201" width="15" style="13" customWidth="1"/>
    <col min="202" max="202" width="13.33203125" style="13" customWidth="1"/>
    <col min="203" max="203" width="17" style="13" customWidth="1"/>
    <col min="204" max="204" width="24.88671875" style="13" customWidth="1"/>
    <col min="205" max="205" width="14.44140625" style="13" customWidth="1"/>
    <col min="206" max="206" width="23.109375" style="13" customWidth="1"/>
    <col min="207" max="207" width="13.109375" style="13" customWidth="1"/>
    <col min="208" max="211" width="0" style="13" hidden="1" customWidth="1"/>
    <col min="212" max="447" width="10.33203125" style="13"/>
    <col min="448" max="448" width="7" style="13" customWidth="1"/>
    <col min="449" max="449" width="13" style="13" customWidth="1"/>
    <col min="450" max="450" width="14.109375" style="13" customWidth="1"/>
    <col min="451" max="451" width="17.33203125" style="13" customWidth="1"/>
    <col min="452" max="452" width="18.88671875" style="13" customWidth="1"/>
    <col min="453" max="453" width="14.109375" style="13" customWidth="1"/>
    <col min="454" max="454" width="21.5546875" style="13" customWidth="1"/>
    <col min="455" max="456" width="14.109375" style="13" customWidth="1"/>
    <col min="457" max="457" width="15" style="13" customWidth="1"/>
    <col min="458" max="458" width="13.33203125" style="13" customWidth="1"/>
    <col min="459" max="459" width="17" style="13" customWidth="1"/>
    <col min="460" max="460" width="24.88671875" style="13" customWidth="1"/>
    <col min="461" max="461" width="14.44140625" style="13" customWidth="1"/>
    <col min="462" max="462" width="23.109375" style="13" customWidth="1"/>
    <col min="463" max="463" width="13.109375" style="13" customWidth="1"/>
    <col min="464" max="467" width="0" style="13" hidden="1" customWidth="1"/>
    <col min="468" max="703" width="10.33203125" style="13"/>
    <col min="704" max="704" width="7" style="13" customWidth="1"/>
    <col min="705" max="705" width="13" style="13" customWidth="1"/>
    <col min="706" max="706" width="14.109375" style="13" customWidth="1"/>
    <col min="707" max="707" width="17.33203125" style="13" customWidth="1"/>
    <col min="708" max="708" width="18.88671875" style="13" customWidth="1"/>
    <col min="709" max="709" width="14.109375" style="13" customWidth="1"/>
    <col min="710" max="710" width="21.5546875" style="13" customWidth="1"/>
    <col min="711" max="712" width="14.109375" style="13" customWidth="1"/>
    <col min="713" max="713" width="15" style="13" customWidth="1"/>
    <col min="714" max="714" width="13.33203125" style="13" customWidth="1"/>
    <col min="715" max="715" width="17" style="13" customWidth="1"/>
    <col min="716" max="716" width="24.88671875" style="13" customWidth="1"/>
    <col min="717" max="717" width="14.44140625" style="13" customWidth="1"/>
    <col min="718" max="718" width="23.109375" style="13" customWidth="1"/>
    <col min="719" max="719" width="13.109375" style="13" customWidth="1"/>
    <col min="720" max="723" width="0" style="13" hidden="1" customWidth="1"/>
    <col min="724" max="959" width="10.33203125" style="13"/>
    <col min="960" max="960" width="7" style="13" customWidth="1"/>
    <col min="961" max="961" width="13" style="13" customWidth="1"/>
    <col min="962" max="962" width="14.109375" style="13" customWidth="1"/>
    <col min="963" max="963" width="17.33203125" style="13" customWidth="1"/>
    <col min="964" max="964" width="18.88671875" style="13" customWidth="1"/>
    <col min="965" max="965" width="14.109375" style="13" customWidth="1"/>
    <col min="966" max="966" width="21.5546875" style="13" customWidth="1"/>
    <col min="967" max="968" width="14.109375" style="13" customWidth="1"/>
    <col min="969" max="969" width="15" style="13" customWidth="1"/>
    <col min="970" max="970" width="13.33203125" style="13" customWidth="1"/>
    <col min="971" max="971" width="17" style="13" customWidth="1"/>
    <col min="972" max="972" width="24.88671875" style="13" customWidth="1"/>
    <col min="973" max="973" width="14.44140625" style="13" customWidth="1"/>
    <col min="974" max="974" width="23.109375" style="13" customWidth="1"/>
    <col min="975" max="975" width="13.109375" style="13" customWidth="1"/>
    <col min="976" max="979" width="0" style="13" hidden="1" customWidth="1"/>
    <col min="980" max="1215" width="10.33203125" style="13"/>
    <col min="1216" max="1216" width="7" style="13" customWidth="1"/>
    <col min="1217" max="1217" width="13" style="13" customWidth="1"/>
    <col min="1218" max="1218" width="14.109375" style="13" customWidth="1"/>
    <col min="1219" max="1219" width="17.33203125" style="13" customWidth="1"/>
    <col min="1220" max="1220" width="18.88671875" style="13" customWidth="1"/>
    <col min="1221" max="1221" width="14.109375" style="13" customWidth="1"/>
    <col min="1222" max="1222" width="21.5546875" style="13" customWidth="1"/>
    <col min="1223" max="1224" width="14.109375" style="13" customWidth="1"/>
    <col min="1225" max="1225" width="15" style="13" customWidth="1"/>
    <col min="1226" max="1226" width="13.33203125" style="13" customWidth="1"/>
    <col min="1227" max="1227" width="17" style="13" customWidth="1"/>
    <col min="1228" max="1228" width="24.88671875" style="13" customWidth="1"/>
    <col min="1229" max="1229" width="14.44140625" style="13" customWidth="1"/>
    <col min="1230" max="1230" width="23.109375" style="13" customWidth="1"/>
    <col min="1231" max="1231" width="13.109375" style="13" customWidth="1"/>
    <col min="1232" max="1235" width="0" style="13" hidden="1" customWidth="1"/>
    <col min="1236" max="1471" width="10.33203125" style="13"/>
    <col min="1472" max="1472" width="7" style="13" customWidth="1"/>
    <col min="1473" max="1473" width="13" style="13" customWidth="1"/>
    <col min="1474" max="1474" width="14.109375" style="13" customWidth="1"/>
    <col min="1475" max="1475" width="17.33203125" style="13" customWidth="1"/>
    <col min="1476" max="1476" width="18.88671875" style="13" customWidth="1"/>
    <col min="1477" max="1477" width="14.109375" style="13" customWidth="1"/>
    <col min="1478" max="1478" width="21.5546875" style="13" customWidth="1"/>
    <col min="1479" max="1480" width="14.109375" style="13" customWidth="1"/>
    <col min="1481" max="1481" width="15" style="13" customWidth="1"/>
    <col min="1482" max="1482" width="13.33203125" style="13" customWidth="1"/>
    <col min="1483" max="1483" width="17" style="13" customWidth="1"/>
    <col min="1484" max="1484" width="24.88671875" style="13" customWidth="1"/>
    <col min="1485" max="1485" width="14.44140625" style="13" customWidth="1"/>
    <col min="1486" max="1486" width="23.109375" style="13" customWidth="1"/>
    <col min="1487" max="1487" width="13.109375" style="13" customWidth="1"/>
    <col min="1488" max="1491" width="0" style="13" hidden="1" customWidth="1"/>
    <col min="1492" max="1727" width="10.33203125" style="13"/>
    <col min="1728" max="1728" width="7" style="13" customWidth="1"/>
    <col min="1729" max="1729" width="13" style="13" customWidth="1"/>
    <col min="1730" max="1730" width="14.109375" style="13" customWidth="1"/>
    <col min="1731" max="1731" width="17.33203125" style="13" customWidth="1"/>
    <col min="1732" max="1732" width="18.88671875" style="13" customWidth="1"/>
    <col min="1733" max="1733" width="14.109375" style="13" customWidth="1"/>
    <col min="1734" max="1734" width="21.5546875" style="13" customWidth="1"/>
    <col min="1735" max="1736" width="14.109375" style="13" customWidth="1"/>
    <col min="1737" max="1737" width="15" style="13" customWidth="1"/>
    <col min="1738" max="1738" width="13.33203125" style="13" customWidth="1"/>
    <col min="1739" max="1739" width="17" style="13" customWidth="1"/>
    <col min="1740" max="1740" width="24.88671875" style="13" customWidth="1"/>
    <col min="1741" max="1741" width="14.44140625" style="13" customWidth="1"/>
    <col min="1742" max="1742" width="23.109375" style="13" customWidth="1"/>
    <col min="1743" max="1743" width="13.109375" style="13" customWidth="1"/>
    <col min="1744" max="1747" width="0" style="13" hidden="1" customWidth="1"/>
    <col min="1748" max="1983" width="10.33203125" style="13"/>
    <col min="1984" max="1984" width="7" style="13" customWidth="1"/>
    <col min="1985" max="1985" width="13" style="13" customWidth="1"/>
    <col min="1986" max="1986" width="14.109375" style="13" customWidth="1"/>
    <col min="1987" max="1987" width="17.33203125" style="13" customWidth="1"/>
    <col min="1988" max="1988" width="18.88671875" style="13" customWidth="1"/>
    <col min="1989" max="1989" width="14.109375" style="13" customWidth="1"/>
    <col min="1990" max="1990" width="21.5546875" style="13" customWidth="1"/>
    <col min="1991" max="1992" width="14.109375" style="13" customWidth="1"/>
    <col min="1993" max="1993" width="15" style="13" customWidth="1"/>
    <col min="1994" max="1994" width="13.33203125" style="13" customWidth="1"/>
    <col min="1995" max="1995" width="17" style="13" customWidth="1"/>
    <col min="1996" max="1996" width="24.88671875" style="13" customWidth="1"/>
    <col min="1997" max="1997" width="14.44140625" style="13" customWidth="1"/>
    <col min="1998" max="1998" width="23.109375" style="13" customWidth="1"/>
    <col min="1999" max="1999" width="13.109375" style="13" customWidth="1"/>
    <col min="2000" max="2003" width="0" style="13" hidden="1" customWidth="1"/>
    <col min="2004" max="2239" width="10.33203125" style="13"/>
    <col min="2240" max="2240" width="7" style="13" customWidth="1"/>
    <col min="2241" max="2241" width="13" style="13" customWidth="1"/>
    <col min="2242" max="2242" width="14.109375" style="13" customWidth="1"/>
    <col min="2243" max="2243" width="17.33203125" style="13" customWidth="1"/>
    <col min="2244" max="2244" width="18.88671875" style="13" customWidth="1"/>
    <col min="2245" max="2245" width="14.109375" style="13" customWidth="1"/>
    <col min="2246" max="2246" width="21.5546875" style="13" customWidth="1"/>
    <col min="2247" max="2248" width="14.109375" style="13" customWidth="1"/>
    <col min="2249" max="2249" width="15" style="13" customWidth="1"/>
    <col min="2250" max="2250" width="13.33203125" style="13" customWidth="1"/>
    <col min="2251" max="2251" width="17" style="13" customWidth="1"/>
    <col min="2252" max="2252" width="24.88671875" style="13" customWidth="1"/>
    <col min="2253" max="2253" width="14.44140625" style="13" customWidth="1"/>
    <col min="2254" max="2254" width="23.109375" style="13" customWidth="1"/>
    <col min="2255" max="2255" width="13.109375" style="13" customWidth="1"/>
    <col min="2256" max="2259" width="0" style="13" hidden="1" customWidth="1"/>
    <col min="2260" max="2495" width="10.33203125" style="13"/>
    <col min="2496" max="2496" width="7" style="13" customWidth="1"/>
    <col min="2497" max="2497" width="13" style="13" customWidth="1"/>
    <col min="2498" max="2498" width="14.109375" style="13" customWidth="1"/>
    <col min="2499" max="2499" width="17.33203125" style="13" customWidth="1"/>
    <col min="2500" max="2500" width="18.88671875" style="13" customWidth="1"/>
    <col min="2501" max="2501" width="14.109375" style="13" customWidth="1"/>
    <col min="2502" max="2502" width="21.5546875" style="13" customWidth="1"/>
    <col min="2503" max="2504" width="14.109375" style="13" customWidth="1"/>
    <col min="2505" max="2505" width="15" style="13" customWidth="1"/>
    <col min="2506" max="2506" width="13.33203125" style="13" customWidth="1"/>
    <col min="2507" max="2507" width="17" style="13" customWidth="1"/>
    <col min="2508" max="2508" width="24.88671875" style="13" customWidth="1"/>
    <col min="2509" max="2509" width="14.44140625" style="13" customWidth="1"/>
    <col min="2510" max="2510" width="23.109375" style="13" customWidth="1"/>
    <col min="2511" max="2511" width="13.109375" style="13" customWidth="1"/>
    <col min="2512" max="2515" width="0" style="13" hidden="1" customWidth="1"/>
    <col min="2516" max="2751" width="10.33203125" style="13"/>
    <col min="2752" max="2752" width="7" style="13" customWidth="1"/>
    <col min="2753" max="2753" width="13" style="13" customWidth="1"/>
    <col min="2754" max="2754" width="14.109375" style="13" customWidth="1"/>
    <col min="2755" max="2755" width="17.33203125" style="13" customWidth="1"/>
    <col min="2756" max="2756" width="18.88671875" style="13" customWidth="1"/>
    <col min="2757" max="2757" width="14.109375" style="13" customWidth="1"/>
    <col min="2758" max="2758" width="21.5546875" style="13" customWidth="1"/>
    <col min="2759" max="2760" width="14.109375" style="13" customWidth="1"/>
    <col min="2761" max="2761" width="15" style="13" customWidth="1"/>
    <col min="2762" max="2762" width="13.33203125" style="13" customWidth="1"/>
    <col min="2763" max="2763" width="17" style="13" customWidth="1"/>
    <col min="2764" max="2764" width="24.88671875" style="13" customWidth="1"/>
    <col min="2765" max="2765" width="14.44140625" style="13" customWidth="1"/>
    <col min="2766" max="2766" width="23.109375" style="13" customWidth="1"/>
    <col min="2767" max="2767" width="13.109375" style="13" customWidth="1"/>
    <col min="2768" max="2771" width="0" style="13" hidden="1" customWidth="1"/>
    <col min="2772" max="3007" width="10.33203125" style="13"/>
    <col min="3008" max="3008" width="7" style="13" customWidth="1"/>
    <col min="3009" max="3009" width="13" style="13" customWidth="1"/>
    <col min="3010" max="3010" width="14.109375" style="13" customWidth="1"/>
    <col min="3011" max="3011" width="17.33203125" style="13" customWidth="1"/>
    <col min="3012" max="3012" width="18.88671875" style="13" customWidth="1"/>
    <col min="3013" max="3013" width="14.109375" style="13" customWidth="1"/>
    <col min="3014" max="3014" width="21.5546875" style="13" customWidth="1"/>
    <col min="3015" max="3016" width="14.109375" style="13" customWidth="1"/>
    <col min="3017" max="3017" width="15" style="13" customWidth="1"/>
    <col min="3018" max="3018" width="13.33203125" style="13" customWidth="1"/>
    <col min="3019" max="3019" width="17" style="13" customWidth="1"/>
    <col min="3020" max="3020" width="24.88671875" style="13" customWidth="1"/>
    <col min="3021" max="3021" width="14.44140625" style="13" customWidth="1"/>
    <col min="3022" max="3022" width="23.109375" style="13" customWidth="1"/>
    <col min="3023" max="3023" width="13.109375" style="13" customWidth="1"/>
    <col min="3024" max="3027" width="0" style="13" hidden="1" customWidth="1"/>
    <col min="3028" max="3263" width="10.33203125" style="13"/>
    <col min="3264" max="3264" width="7" style="13" customWidth="1"/>
    <col min="3265" max="3265" width="13" style="13" customWidth="1"/>
    <col min="3266" max="3266" width="14.109375" style="13" customWidth="1"/>
    <col min="3267" max="3267" width="17.33203125" style="13" customWidth="1"/>
    <col min="3268" max="3268" width="18.88671875" style="13" customWidth="1"/>
    <col min="3269" max="3269" width="14.109375" style="13" customWidth="1"/>
    <col min="3270" max="3270" width="21.5546875" style="13" customWidth="1"/>
    <col min="3271" max="3272" width="14.109375" style="13" customWidth="1"/>
    <col min="3273" max="3273" width="15" style="13" customWidth="1"/>
    <col min="3274" max="3274" width="13.33203125" style="13" customWidth="1"/>
    <col min="3275" max="3275" width="17" style="13" customWidth="1"/>
    <col min="3276" max="3276" width="24.88671875" style="13" customWidth="1"/>
    <col min="3277" max="3277" width="14.44140625" style="13" customWidth="1"/>
    <col min="3278" max="3278" width="23.109375" style="13" customWidth="1"/>
    <col min="3279" max="3279" width="13.109375" style="13" customWidth="1"/>
    <col min="3280" max="3283" width="0" style="13" hidden="1" customWidth="1"/>
    <col min="3284" max="3519" width="10.33203125" style="13"/>
    <col min="3520" max="3520" width="7" style="13" customWidth="1"/>
    <col min="3521" max="3521" width="13" style="13" customWidth="1"/>
    <col min="3522" max="3522" width="14.109375" style="13" customWidth="1"/>
    <col min="3523" max="3523" width="17.33203125" style="13" customWidth="1"/>
    <col min="3524" max="3524" width="18.88671875" style="13" customWidth="1"/>
    <col min="3525" max="3525" width="14.109375" style="13" customWidth="1"/>
    <col min="3526" max="3526" width="21.5546875" style="13" customWidth="1"/>
    <col min="3527" max="3528" width="14.109375" style="13" customWidth="1"/>
    <col min="3529" max="3529" width="15" style="13" customWidth="1"/>
    <col min="3530" max="3530" width="13.33203125" style="13" customWidth="1"/>
    <col min="3531" max="3531" width="17" style="13" customWidth="1"/>
    <col min="3532" max="3532" width="24.88671875" style="13" customWidth="1"/>
    <col min="3533" max="3533" width="14.44140625" style="13" customWidth="1"/>
    <col min="3534" max="3534" width="23.109375" style="13" customWidth="1"/>
    <col min="3535" max="3535" width="13.109375" style="13" customWidth="1"/>
    <col min="3536" max="3539" width="0" style="13" hidden="1" customWidth="1"/>
    <col min="3540" max="3775" width="10.33203125" style="13"/>
    <col min="3776" max="3776" width="7" style="13" customWidth="1"/>
    <col min="3777" max="3777" width="13" style="13" customWidth="1"/>
    <col min="3778" max="3778" width="14.109375" style="13" customWidth="1"/>
    <col min="3779" max="3779" width="17.33203125" style="13" customWidth="1"/>
    <col min="3780" max="3780" width="18.88671875" style="13" customWidth="1"/>
    <col min="3781" max="3781" width="14.109375" style="13" customWidth="1"/>
    <col min="3782" max="3782" width="21.5546875" style="13" customWidth="1"/>
    <col min="3783" max="3784" width="14.109375" style="13" customWidth="1"/>
    <col min="3785" max="3785" width="15" style="13" customWidth="1"/>
    <col min="3786" max="3786" width="13.33203125" style="13" customWidth="1"/>
    <col min="3787" max="3787" width="17" style="13" customWidth="1"/>
    <col min="3788" max="3788" width="24.88671875" style="13" customWidth="1"/>
    <col min="3789" max="3789" width="14.44140625" style="13" customWidth="1"/>
    <col min="3790" max="3790" width="23.109375" style="13" customWidth="1"/>
    <col min="3791" max="3791" width="13.109375" style="13" customWidth="1"/>
    <col min="3792" max="3795" width="0" style="13" hidden="1" customWidth="1"/>
    <col min="3796" max="4031" width="10.33203125" style="13"/>
    <col min="4032" max="4032" width="7" style="13" customWidth="1"/>
    <col min="4033" max="4033" width="13" style="13" customWidth="1"/>
    <col min="4034" max="4034" width="14.109375" style="13" customWidth="1"/>
    <col min="4035" max="4035" width="17.33203125" style="13" customWidth="1"/>
    <col min="4036" max="4036" width="18.88671875" style="13" customWidth="1"/>
    <col min="4037" max="4037" width="14.109375" style="13" customWidth="1"/>
    <col min="4038" max="4038" width="21.5546875" style="13" customWidth="1"/>
    <col min="4039" max="4040" width="14.109375" style="13" customWidth="1"/>
    <col min="4041" max="4041" width="15" style="13" customWidth="1"/>
    <col min="4042" max="4042" width="13.33203125" style="13" customWidth="1"/>
    <col min="4043" max="4043" width="17" style="13" customWidth="1"/>
    <col min="4044" max="4044" width="24.88671875" style="13" customWidth="1"/>
    <col min="4045" max="4045" width="14.44140625" style="13" customWidth="1"/>
    <col min="4046" max="4046" width="23.109375" style="13" customWidth="1"/>
    <col min="4047" max="4047" width="13.109375" style="13" customWidth="1"/>
    <col min="4048" max="4051" width="0" style="13" hidden="1" customWidth="1"/>
    <col min="4052" max="4287" width="10.33203125" style="13"/>
    <col min="4288" max="4288" width="7" style="13" customWidth="1"/>
    <col min="4289" max="4289" width="13" style="13" customWidth="1"/>
    <col min="4290" max="4290" width="14.109375" style="13" customWidth="1"/>
    <col min="4291" max="4291" width="17.33203125" style="13" customWidth="1"/>
    <col min="4292" max="4292" width="18.88671875" style="13" customWidth="1"/>
    <col min="4293" max="4293" width="14.109375" style="13" customWidth="1"/>
    <col min="4294" max="4294" width="21.5546875" style="13" customWidth="1"/>
    <col min="4295" max="4296" width="14.109375" style="13" customWidth="1"/>
    <col min="4297" max="4297" width="15" style="13" customWidth="1"/>
    <col min="4298" max="4298" width="13.33203125" style="13" customWidth="1"/>
    <col min="4299" max="4299" width="17" style="13" customWidth="1"/>
    <col min="4300" max="4300" width="24.88671875" style="13" customWidth="1"/>
    <col min="4301" max="4301" width="14.44140625" style="13" customWidth="1"/>
    <col min="4302" max="4302" width="23.109375" style="13" customWidth="1"/>
    <col min="4303" max="4303" width="13.109375" style="13" customWidth="1"/>
    <col min="4304" max="4307" width="0" style="13" hidden="1" customWidth="1"/>
    <col min="4308" max="4543" width="10.33203125" style="13"/>
    <col min="4544" max="4544" width="7" style="13" customWidth="1"/>
    <col min="4545" max="4545" width="13" style="13" customWidth="1"/>
    <col min="4546" max="4546" width="14.109375" style="13" customWidth="1"/>
    <col min="4547" max="4547" width="17.33203125" style="13" customWidth="1"/>
    <col min="4548" max="4548" width="18.88671875" style="13" customWidth="1"/>
    <col min="4549" max="4549" width="14.109375" style="13" customWidth="1"/>
    <col min="4550" max="4550" width="21.5546875" style="13" customWidth="1"/>
    <col min="4551" max="4552" width="14.109375" style="13" customWidth="1"/>
    <col min="4553" max="4553" width="15" style="13" customWidth="1"/>
    <col min="4554" max="4554" width="13.33203125" style="13" customWidth="1"/>
    <col min="4555" max="4555" width="17" style="13" customWidth="1"/>
    <col min="4556" max="4556" width="24.88671875" style="13" customWidth="1"/>
    <col min="4557" max="4557" width="14.44140625" style="13" customWidth="1"/>
    <col min="4558" max="4558" width="23.109375" style="13" customWidth="1"/>
    <col min="4559" max="4559" width="13.109375" style="13" customWidth="1"/>
    <col min="4560" max="4563" width="0" style="13" hidden="1" customWidth="1"/>
    <col min="4564" max="4799" width="10.33203125" style="13"/>
    <col min="4800" max="4800" width="7" style="13" customWidth="1"/>
    <col min="4801" max="4801" width="13" style="13" customWidth="1"/>
    <col min="4802" max="4802" width="14.109375" style="13" customWidth="1"/>
    <col min="4803" max="4803" width="17.33203125" style="13" customWidth="1"/>
    <col min="4804" max="4804" width="18.88671875" style="13" customWidth="1"/>
    <col min="4805" max="4805" width="14.109375" style="13" customWidth="1"/>
    <col min="4806" max="4806" width="21.5546875" style="13" customWidth="1"/>
    <col min="4807" max="4808" width="14.109375" style="13" customWidth="1"/>
    <col min="4809" max="4809" width="15" style="13" customWidth="1"/>
    <col min="4810" max="4810" width="13.33203125" style="13" customWidth="1"/>
    <col min="4811" max="4811" width="17" style="13" customWidth="1"/>
    <col min="4812" max="4812" width="24.88671875" style="13" customWidth="1"/>
    <col min="4813" max="4813" width="14.44140625" style="13" customWidth="1"/>
    <col min="4814" max="4814" width="23.109375" style="13" customWidth="1"/>
    <col min="4815" max="4815" width="13.109375" style="13" customWidth="1"/>
    <col min="4816" max="4819" width="0" style="13" hidden="1" customWidth="1"/>
    <col min="4820" max="5055" width="10.33203125" style="13"/>
    <col min="5056" max="5056" width="7" style="13" customWidth="1"/>
    <col min="5057" max="5057" width="13" style="13" customWidth="1"/>
    <col min="5058" max="5058" width="14.109375" style="13" customWidth="1"/>
    <col min="5059" max="5059" width="17.33203125" style="13" customWidth="1"/>
    <col min="5060" max="5060" width="18.88671875" style="13" customWidth="1"/>
    <col min="5061" max="5061" width="14.109375" style="13" customWidth="1"/>
    <col min="5062" max="5062" width="21.5546875" style="13" customWidth="1"/>
    <col min="5063" max="5064" width="14.109375" style="13" customWidth="1"/>
    <col min="5065" max="5065" width="15" style="13" customWidth="1"/>
    <col min="5066" max="5066" width="13.33203125" style="13" customWidth="1"/>
    <col min="5067" max="5067" width="17" style="13" customWidth="1"/>
    <col min="5068" max="5068" width="24.88671875" style="13" customWidth="1"/>
    <col min="5069" max="5069" width="14.44140625" style="13" customWidth="1"/>
    <col min="5070" max="5070" width="23.109375" style="13" customWidth="1"/>
    <col min="5071" max="5071" width="13.109375" style="13" customWidth="1"/>
    <col min="5072" max="5075" width="0" style="13" hidden="1" customWidth="1"/>
    <col min="5076" max="5311" width="10.33203125" style="13"/>
    <col min="5312" max="5312" width="7" style="13" customWidth="1"/>
    <col min="5313" max="5313" width="13" style="13" customWidth="1"/>
    <col min="5314" max="5314" width="14.109375" style="13" customWidth="1"/>
    <col min="5315" max="5315" width="17.33203125" style="13" customWidth="1"/>
    <col min="5316" max="5316" width="18.88671875" style="13" customWidth="1"/>
    <col min="5317" max="5317" width="14.109375" style="13" customWidth="1"/>
    <col min="5318" max="5318" width="21.5546875" style="13" customWidth="1"/>
    <col min="5319" max="5320" width="14.109375" style="13" customWidth="1"/>
    <col min="5321" max="5321" width="15" style="13" customWidth="1"/>
    <col min="5322" max="5322" width="13.33203125" style="13" customWidth="1"/>
    <col min="5323" max="5323" width="17" style="13" customWidth="1"/>
    <col min="5324" max="5324" width="24.88671875" style="13" customWidth="1"/>
    <col min="5325" max="5325" width="14.44140625" style="13" customWidth="1"/>
    <col min="5326" max="5326" width="23.109375" style="13" customWidth="1"/>
    <col min="5327" max="5327" width="13.109375" style="13" customWidth="1"/>
    <col min="5328" max="5331" width="0" style="13" hidden="1" customWidth="1"/>
    <col min="5332" max="5567" width="10.33203125" style="13"/>
    <col min="5568" max="5568" width="7" style="13" customWidth="1"/>
    <col min="5569" max="5569" width="13" style="13" customWidth="1"/>
    <col min="5570" max="5570" width="14.109375" style="13" customWidth="1"/>
    <col min="5571" max="5571" width="17.33203125" style="13" customWidth="1"/>
    <col min="5572" max="5572" width="18.88671875" style="13" customWidth="1"/>
    <col min="5573" max="5573" width="14.109375" style="13" customWidth="1"/>
    <col min="5574" max="5574" width="21.5546875" style="13" customWidth="1"/>
    <col min="5575" max="5576" width="14.109375" style="13" customWidth="1"/>
    <col min="5577" max="5577" width="15" style="13" customWidth="1"/>
    <col min="5578" max="5578" width="13.33203125" style="13" customWidth="1"/>
    <col min="5579" max="5579" width="17" style="13" customWidth="1"/>
    <col min="5580" max="5580" width="24.88671875" style="13" customWidth="1"/>
    <col min="5581" max="5581" width="14.44140625" style="13" customWidth="1"/>
    <col min="5582" max="5582" width="23.109375" style="13" customWidth="1"/>
    <col min="5583" max="5583" width="13.109375" style="13" customWidth="1"/>
    <col min="5584" max="5587" width="0" style="13" hidden="1" customWidth="1"/>
    <col min="5588" max="5823" width="10.33203125" style="13"/>
    <col min="5824" max="5824" width="7" style="13" customWidth="1"/>
    <col min="5825" max="5825" width="13" style="13" customWidth="1"/>
    <col min="5826" max="5826" width="14.109375" style="13" customWidth="1"/>
    <col min="5827" max="5827" width="17.33203125" style="13" customWidth="1"/>
    <col min="5828" max="5828" width="18.88671875" style="13" customWidth="1"/>
    <col min="5829" max="5829" width="14.109375" style="13" customWidth="1"/>
    <col min="5830" max="5830" width="21.5546875" style="13" customWidth="1"/>
    <col min="5831" max="5832" width="14.109375" style="13" customWidth="1"/>
    <col min="5833" max="5833" width="15" style="13" customWidth="1"/>
    <col min="5834" max="5834" width="13.33203125" style="13" customWidth="1"/>
    <col min="5835" max="5835" width="17" style="13" customWidth="1"/>
    <col min="5836" max="5836" width="24.88671875" style="13" customWidth="1"/>
    <col min="5837" max="5837" width="14.44140625" style="13" customWidth="1"/>
    <col min="5838" max="5838" width="23.109375" style="13" customWidth="1"/>
    <col min="5839" max="5839" width="13.109375" style="13" customWidth="1"/>
    <col min="5840" max="5843" width="0" style="13" hidden="1" customWidth="1"/>
    <col min="5844" max="6079" width="10.33203125" style="13"/>
    <col min="6080" max="6080" width="7" style="13" customWidth="1"/>
    <col min="6081" max="6081" width="13" style="13" customWidth="1"/>
    <col min="6082" max="6082" width="14.109375" style="13" customWidth="1"/>
    <col min="6083" max="6083" width="17.33203125" style="13" customWidth="1"/>
    <col min="6084" max="6084" width="18.88671875" style="13" customWidth="1"/>
    <col min="6085" max="6085" width="14.109375" style="13" customWidth="1"/>
    <col min="6086" max="6086" width="21.5546875" style="13" customWidth="1"/>
    <col min="6087" max="6088" width="14.109375" style="13" customWidth="1"/>
    <col min="6089" max="6089" width="15" style="13" customWidth="1"/>
    <col min="6090" max="6090" width="13.33203125" style="13" customWidth="1"/>
    <col min="6091" max="6091" width="17" style="13" customWidth="1"/>
    <col min="6092" max="6092" width="24.88671875" style="13" customWidth="1"/>
    <col min="6093" max="6093" width="14.44140625" style="13" customWidth="1"/>
    <col min="6094" max="6094" width="23.109375" style="13" customWidth="1"/>
    <col min="6095" max="6095" width="13.109375" style="13" customWidth="1"/>
    <col min="6096" max="6099" width="0" style="13" hidden="1" customWidth="1"/>
    <col min="6100" max="6335" width="10.33203125" style="13"/>
    <col min="6336" max="6336" width="7" style="13" customWidth="1"/>
    <col min="6337" max="6337" width="13" style="13" customWidth="1"/>
    <col min="6338" max="6338" width="14.109375" style="13" customWidth="1"/>
    <col min="6339" max="6339" width="17.33203125" style="13" customWidth="1"/>
    <col min="6340" max="6340" width="18.88671875" style="13" customWidth="1"/>
    <col min="6341" max="6341" width="14.109375" style="13" customWidth="1"/>
    <col min="6342" max="6342" width="21.5546875" style="13" customWidth="1"/>
    <col min="6343" max="6344" width="14.109375" style="13" customWidth="1"/>
    <col min="6345" max="6345" width="15" style="13" customWidth="1"/>
    <col min="6346" max="6346" width="13.33203125" style="13" customWidth="1"/>
    <col min="6347" max="6347" width="17" style="13" customWidth="1"/>
    <col min="6348" max="6348" width="24.88671875" style="13" customWidth="1"/>
    <col min="6349" max="6349" width="14.44140625" style="13" customWidth="1"/>
    <col min="6350" max="6350" width="23.109375" style="13" customWidth="1"/>
    <col min="6351" max="6351" width="13.109375" style="13" customWidth="1"/>
    <col min="6352" max="6355" width="0" style="13" hidden="1" customWidth="1"/>
    <col min="6356" max="6591" width="10.33203125" style="13"/>
    <col min="6592" max="6592" width="7" style="13" customWidth="1"/>
    <col min="6593" max="6593" width="13" style="13" customWidth="1"/>
    <col min="6594" max="6594" width="14.109375" style="13" customWidth="1"/>
    <col min="6595" max="6595" width="17.33203125" style="13" customWidth="1"/>
    <col min="6596" max="6596" width="18.88671875" style="13" customWidth="1"/>
    <col min="6597" max="6597" width="14.109375" style="13" customWidth="1"/>
    <col min="6598" max="6598" width="21.5546875" style="13" customWidth="1"/>
    <col min="6599" max="6600" width="14.109375" style="13" customWidth="1"/>
    <col min="6601" max="6601" width="15" style="13" customWidth="1"/>
    <col min="6602" max="6602" width="13.33203125" style="13" customWidth="1"/>
    <col min="6603" max="6603" width="17" style="13" customWidth="1"/>
    <col min="6604" max="6604" width="24.88671875" style="13" customWidth="1"/>
    <col min="6605" max="6605" width="14.44140625" style="13" customWidth="1"/>
    <col min="6606" max="6606" width="23.109375" style="13" customWidth="1"/>
    <col min="6607" max="6607" width="13.109375" style="13" customWidth="1"/>
    <col min="6608" max="6611" width="0" style="13" hidden="1" customWidth="1"/>
    <col min="6612" max="6847" width="10.33203125" style="13"/>
    <col min="6848" max="6848" width="7" style="13" customWidth="1"/>
    <col min="6849" max="6849" width="13" style="13" customWidth="1"/>
    <col min="6850" max="6850" width="14.109375" style="13" customWidth="1"/>
    <col min="6851" max="6851" width="17.33203125" style="13" customWidth="1"/>
    <col min="6852" max="6852" width="18.88671875" style="13" customWidth="1"/>
    <col min="6853" max="6853" width="14.109375" style="13" customWidth="1"/>
    <col min="6854" max="6854" width="21.5546875" style="13" customWidth="1"/>
    <col min="6855" max="6856" width="14.109375" style="13" customWidth="1"/>
    <col min="6857" max="6857" width="15" style="13" customWidth="1"/>
    <col min="6858" max="6858" width="13.33203125" style="13" customWidth="1"/>
    <col min="6859" max="6859" width="17" style="13" customWidth="1"/>
    <col min="6860" max="6860" width="24.88671875" style="13" customWidth="1"/>
    <col min="6861" max="6861" width="14.44140625" style="13" customWidth="1"/>
    <col min="6862" max="6862" width="23.109375" style="13" customWidth="1"/>
    <col min="6863" max="6863" width="13.109375" style="13" customWidth="1"/>
    <col min="6864" max="6867" width="0" style="13" hidden="1" customWidth="1"/>
    <col min="6868" max="7103" width="10.33203125" style="13"/>
    <col min="7104" max="7104" width="7" style="13" customWidth="1"/>
    <col min="7105" max="7105" width="13" style="13" customWidth="1"/>
    <col min="7106" max="7106" width="14.109375" style="13" customWidth="1"/>
    <col min="7107" max="7107" width="17.33203125" style="13" customWidth="1"/>
    <col min="7108" max="7108" width="18.88671875" style="13" customWidth="1"/>
    <col min="7109" max="7109" width="14.109375" style="13" customWidth="1"/>
    <col min="7110" max="7110" width="21.5546875" style="13" customWidth="1"/>
    <col min="7111" max="7112" width="14.109375" style="13" customWidth="1"/>
    <col min="7113" max="7113" width="15" style="13" customWidth="1"/>
    <col min="7114" max="7114" width="13.33203125" style="13" customWidth="1"/>
    <col min="7115" max="7115" width="17" style="13" customWidth="1"/>
    <col min="7116" max="7116" width="24.88671875" style="13" customWidth="1"/>
    <col min="7117" max="7117" width="14.44140625" style="13" customWidth="1"/>
    <col min="7118" max="7118" width="23.109375" style="13" customWidth="1"/>
    <col min="7119" max="7119" width="13.109375" style="13" customWidth="1"/>
    <col min="7120" max="7123" width="0" style="13" hidden="1" customWidth="1"/>
    <col min="7124" max="7359" width="10.33203125" style="13"/>
    <col min="7360" max="7360" width="7" style="13" customWidth="1"/>
    <col min="7361" max="7361" width="13" style="13" customWidth="1"/>
    <col min="7362" max="7362" width="14.109375" style="13" customWidth="1"/>
    <col min="7363" max="7363" width="17.33203125" style="13" customWidth="1"/>
    <col min="7364" max="7364" width="18.88671875" style="13" customWidth="1"/>
    <col min="7365" max="7365" width="14.109375" style="13" customWidth="1"/>
    <col min="7366" max="7366" width="21.5546875" style="13" customWidth="1"/>
    <col min="7367" max="7368" width="14.109375" style="13" customWidth="1"/>
    <col min="7369" max="7369" width="15" style="13" customWidth="1"/>
    <col min="7370" max="7370" width="13.33203125" style="13" customWidth="1"/>
    <col min="7371" max="7371" width="17" style="13" customWidth="1"/>
    <col min="7372" max="7372" width="24.88671875" style="13" customWidth="1"/>
    <col min="7373" max="7373" width="14.44140625" style="13" customWidth="1"/>
    <col min="7374" max="7374" width="23.109375" style="13" customWidth="1"/>
    <col min="7375" max="7375" width="13.109375" style="13" customWidth="1"/>
    <col min="7376" max="7379" width="0" style="13" hidden="1" customWidth="1"/>
    <col min="7380" max="7615" width="10.33203125" style="13"/>
    <col min="7616" max="7616" width="7" style="13" customWidth="1"/>
    <col min="7617" max="7617" width="13" style="13" customWidth="1"/>
    <col min="7618" max="7618" width="14.109375" style="13" customWidth="1"/>
    <col min="7619" max="7619" width="17.33203125" style="13" customWidth="1"/>
    <col min="7620" max="7620" width="18.88671875" style="13" customWidth="1"/>
    <col min="7621" max="7621" width="14.109375" style="13" customWidth="1"/>
    <col min="7622" max="7622" width="21.5546875" style="13" customWidth="1"/>
    <col min="7623" max="7624" width="14.109375" style="13" customWidth="1"/>
    <col min="7625" max="7625" width="15" style="13" customWidth="1"/>
    <col min="7626" max="7626" width="13.33203125" style="13" customWidth="1"/>
    <col min="7627" max="7627" width="17" style="13" customWidth="1"/>
    <col min="7628" max="7628" width="24.88671875" style="13" customWidth="1"/>
    <col min="7629" max="7629" width="14.44140625" style="13" customWidth="1"/>
    <col min="7630" max="7630" width="23.109375" style="13" customWidth="1"/>
    <col min="7631" max="7631" width="13.109375" style="13" customWidth="1"/>
    <col min="7632" max="7635" width="0" style="13" hidden="1" customWidth="1"/>
    <col min="7636" max="7871" width="10.33203125" style="13"/>
    <col min="7872" max="7872" width="7" style="13" customWidth="1"/>
    <col min="7873" max="7873" width="13" style="13" customWidth="1"/>
    <col min="7874" max="7874" width="14.109375" style="13" customWidth="1"/>
    <col min="7875" max="7875" width="17.33203125" style="13" customWidth="1"/>
    <col min="7876" max="7876" width="18.88671875" style="13" customWidth="1"/>
    <col min="7877" max="7877" width="14.109375" style="13" customWidth="1"/>
    <col min="7878" max="7878" width="21.5546875" style="13" customWidth="1"/>
    <col min="7879" max="7880" width="14.109375" style="13" customWidth="1"/>
    <col min="7881" max="7881" width="15" style="13" customWidth="1"/>
    <col min="7882" max="7882" width="13.33203125" style="13" customWidth="1"/>
    <col min="7883" max="7883" width="17" style="13" customWidth="1"/>
    <col min="7884" max="7884" width="24.88671875" style="13" customWidth="1"/>
    <col min="7885" max="7885" width="14.44140625" style="13" customWidth="1"/>
    <col min="7886" max="7886" width="23.109375" style="13" customWidth="1"/>
    <col min="7887" max="7887" width="13.109375" style="13" customWidth="1"/>
    <col min="7888" max="7891" width="0" style="13" hidden="1" customWidth="1"/>
    <col min="7892" max="8127" width="10.33203125" style="13"/>
    <col min="8128" max="8128" width="7" style="13" customWidth="1"/>
    <col min="8129" max="8129" width="13" style="13" customWidth="1"/>
    <col min="8130" max="8130" width="14.109375" style="13" customWidth="1"/>
    <col min="8131" max="8131" width="17.33203125" style="13" customWidth="1"/>
    <col min="8132" max="8132" width="18.88671875" style="13" customWidth="1"/>
    <col min="8133" max="8133" width="14.109375" style="13" customWidth="1"/>
    <col min="8134" max="8134" width="21.5546875" style="13" customWidth="1"/>
    <col min="8135" max="8136" width="14.109375" style="13" customWidth="1"/>
    <col min="8137" max="8137" width="15" style="13" customWidth="1"/>
    <col min="8138" max="8138" width="13.33203125" style="13" customWidth="1"/>
    <col min="8139" max="8139" width="17" style="13" customWidth="1"/>
    <col min="8140" max="8140" width="24.88671875" style="13" customWidth="1"/>
    <col min="8141" max="8141" width="14.44140625" style="13" customWidth="1"/>
    <col min="8142" max="8142" width="23.109375" style="13" customWidth="1"/>
    <col min="8143" max="8143" width="13.109375" style="13" customWidth="1"/>
    <col min="8144" max="8147" width="0" style="13" hidden="1" customWidth="1"/>
    <col min="8148" max="8383" width="10.33203125" style="13"/>
    <col min="8384" max="8384" width="7" style="13" customWidth="1"/>
    <col min="8385" max="8385" width="13" style="13" customWidth="1"/>
    <col min="8386" max="8386" width="14.109375" style="13" customWidth="1"/>
    <col min="8387" max="8387" width="17.33203125" style="13" customWidth="1"/>
    <col min="8388" max="8388" width="18.88671875" style="13" customWidth="1"/>
    <col min="8389" max="8389" width="14.109375" style="13" customWidth="1"/>
    <col min="8390" max="8390" width="21.5546875" style="13" customWidth="1"/>
    <col min="8391" max="8392" width="14.109375" style="13" customWidth="1"/>
    <col min="8393" max="8393" width="15" style="13" customWidth="1"/>
    <col min="8394" max="8394" width="13.33203125" style="13" customWidth="1"/>
    <col min="8395" max="8395" width="17" style="13" customWidth="1"/>
    <col min="8396" max="8396" width="24.88671875" style="13" customWidth="1"/>
    <col min="8397" max="8397" width="14.44140625" style="13" customWidth="1"/>
    <col min="8398" max="8398" width="23.109375" style="13" customWidth="1"/>
    <col min="8399" max="8399" width="13.109375" style="13" customWidth="1"/>
    <col min="8400" max="8403" width="0" style="13" hidden="1" customWidth="1"/>
    <col min="8404" max="8639" width="10.33203125" style="13"/>
    <col min="8640" max="8640" width="7" style="13" customWidth="1"/>
    <col min="8641" max="8641" width="13" style="13" customWidth="1"/>
    <col min="8642" max="8642" width="14.109375" style="13" customWidth="1"/>
    <col min="8643" max="8643" width="17.33203125" style="13" customWidth="1"/>
    <col min="8644" max="8644" width="18.88671875" style="13" customWidth="1"/>
    <col min="8645" max="8645" width="14.109375" style="13" customWidth="1"/>
    <col min="8646" max="8646" width="21.5546875" style="13" customWidth="1"/>
    <col min="8647" max="8648" width="14.109375" style="13" customWidth="1"/>
    <col min="8649" max="8649" width="15" style="13" customWidth="1"/>
    <col min="8650" max="8650" width="13.33203125" style="13" customWidth="1"/>
    <col min="8651" max="8651" width="17" style="13" customWidth="1"/>
    <col min="8652" max="8652" width="24.88671875" style="13" customWidth="1"/>
    <col min="8653" max="8653" width="14.44140625" style="13" customWidth="1"/>
    <col min="8654" max="8654" width="23.109375" style="13" customWidth="1"/>
    <col min="8655" max="8655" width="13.109375" style="13" customWidth="1"/>
    <col min="8656" max="8659" width="0" style="13" hidden="1" customWidth="1"/>
    <col min="8660" max="8895" width="10.33203125" style="13"/>
    <col min="8896" max="8896" width="7" style="13" customWidth="1"/>
    <col min="8897" max="8897" width="13" style="13" customWidth="1"/>
    <col min="8898" max="8898" width="14.109375" style="13" customWidth="1"/>
    <col min="8899" max="8899" width="17.33203125" style="13" customWidth="1"/>
    <col min="8900" max="8900" width="18.88671875" style="13" customWidth="1"/>
    <col min="8901" max="8901" width="14.109375" style="13" customWidth="1"/>
    <col min="8902" max="8902" width="21.5546875" style="13" customWidth="1"/>
    <col min="8903" max="8904" width="14.109375" style="13" customWidth="1"/>
    <col min="8905" max="8905" width="15" style="13" customWidth="1"/>
    <col min="8906" max="8906" width="13.33203125" style="13" customWidth="1"/>
    <col min="8907" max="8907" width="17" style="13" customWidth="1"/>
    <col min="8908" max="8908" width="24.88671875" style="13" customWidth="1"/>
    <col min="8909" max="8909" width="14.44140625" style="13" customWidth="1"/>
    <col min="8910" max="8910" width="23.109375" style="13" customWidth="1"/>
    <col min="8911" max="8911" width="13.109375" style="13" customWidth="1"/>
    <col min="8912" max="8915" width="0" style="13" hidden="1" customWidth="1"/>
    <col min="8916" max="9151" width="10.33203125" style="13"/>
    <col min="9152" max="9152" width="7" style="13" customWidth="1"/>
    <col min="9153" max="9153" width="13" style="13" customWidth="1"/>
    <col min="9154" max="9154" width="14.109375" style="13" customWidth="1"/>
    <col min="9155" max="9155" width="17.33203125" style="13" customWidth="1"/>
    <col min="9156" max="9156" width="18.88671875" style="13" customWidth="1"/>
    <col min="9157" max="9157" width="14.109375" style="13" customWidth="1"/>
    <col min="9158" max="9158" width="21.5546875" style="13" customWidth="1"/>
    <col min="9159" max="9160" width="14.109375" style="13" customWidth="1"/>
    <col min="9161" max="9161" width="15" style="13" customWidth="1"/>
    <col min="9162" max="9162" width="13.33203125" style="13" customWidth="1"/>
    <col min="9163" max="9163" width="17" style="13" customWidth="1"/>
    <col min="9164" max="9164" width="24.88671875" style="13" customWidth="1"/>
    <col min="9165" max="9165" width="14.44140625" style="13" customWidth="1"/>
    <col min="9166" max="9166" width="23.109375" style="13" customWidth="1"/>
    <col min="9167" max="9167" width="13.109375" style="13" customWidth="1"/>
    <col min="9168" max="9171" width="0" style="13" hidden="1" customWidth="1"/>
    <col min="9172" max="9407" width="10.33203125" style="13"/>
    <col min="9408" max="9408" width="7" style="13" customWidth="1"/>
    <col min="9409" max="9409" width="13" style="13" customWidth="1"/>
    <col min="9410" max="9410" width="14.109375" style="13" customWidth="1"/>
    <col min="9411" max="9411" width="17.33203125" style="13" customWidth="1"/>
    <col min="9412" max="9412" width="18.88671875" style="13" customWidth="1"/>
    <col min="9413" max="9413" width="14.109375" style="13" customWidth="1"/>
    <col min="9414" max="9414" width="21.5546875" style="13" customWidth="1"/>
    <col min="9415" max="9416" width="14.109375" style="13" customWidth="1"/>
    <col min="9417" max="9417" width="15" style="13" customWidth="1"/>
    <col min="9418" max="9418" width="13.33203125" style="13" customWidth="1"/>
    <col min="9419" max="9419" width="17" style="13" customWidth="1"/>
    <col min="9420" max="9420" width="24.88671875" style="13" customWidth="1"/>
    <col min="9421" max="9421" width="14.44140625" style="13" customWidth="1"/>
    <col min="9422" max="9422" width="23.109375" style="13" customWidth="1"/>
    <col min="9423" max="9423" width="13.109375" style="13" customWidth="1"/>
    <col min="9424" max="9427" width="0" style="13" hidden="1" customWidth="1"/>
    <col min="9428" max="9663" width="10.33203125" style="13"/>
    <col min="9664" max="9664" width="7" style="13" customWidth="1"/>
    <col min="9665" max="9665" width="13" style="13" customWidth="1"/>
    <col min="9666" max="9666" width="14.109375" style="13" customWidth="1"/>
    <col min="9667" max="9667" width="17.33203125" style="13" customWidth="1"/>
    <col min="9668" max="9668" width="18.88671875" style="13" customWidth="1"/>
    <col min="9669" max="9669" width="14.109375" style="13" customWidth="1"/>
    <col min="9670" max="9670" width="21.5546875" style="13" customWidth="1"/>
    <col min="9671" max="9672" width="14.109375" style="13" customWidth="1"/>
    <col min="9673" max="9673" width="15" style="13" customWidth="1"/>
    <col min="9674" max="9674" width="13.33203125" style="13" customWidth="1"/>
    <col min="9675" max="9675" width="17" style="13" customWidth="1"/>
    <col min="9676" max="9676" width="24.88671875" style="13" customWidth="1"/>
    <col min="9677" max="9677" width="14.44140625" style="13" customWidth="1"/>
    <col min="9678" max="9678" width="23.109375" style="13" customWidth="1"/>
    <col min="9679" max="9679" width="13.109375" style="13" customWidth="1"/>
    <col min="9680" max="9683" width="0" style="13" hidden="1" customWidth="1"/>
    <col min="9684" max="9919" width="10.33203125" style="13"/>
    <col min="9920" max="9920" width="7" style="13" customWidth="1"/>
    <col min="9921" max="9921" width="13" style="13" customWidth="1"/>
    <col min="9922" max="9922" width="14.109375" style="13" customWidth="1"/>
    <col min="9923" max="9923" width="17.33203125" style="13" customWidth="1"/>
    <col min="9924" max="9924" width="18.88671875" style="13" customWidth="1"/>
    <col min="9925" max="9925" width="14.109375" style="13" customWidth="1"/>
    <col min="9926" max="9926" width="21.5546875" style="13" customWidth="1"/>
    <col min="9927" max="9928" width="14.109375" style="13" customWidth="1"/>
    <col min="9929" max="9929" width="15" style="13" customWidth="1"/>
    <col min="9930" max="9930" width="13.33203125" style="13" customWidth="1"/>
    <col min="9931" max="9931" width="17" style="13" customWidth="1"/>
    <col min="9932" max="9932" width="24.88671875" style="13" customWidth="1"/>
    <col min="9933" max="9933" width="14.44140625" style="13" customWidth="1"/>
    <col min="9934" max="9934" width="23.109375" style="13" customWidth="1"/>
    <col min="9935" max="9935" width="13.109375" style="13" customWidth="1"/>
    <col min="9936" max="9939" width="0" style="13" hidden="1" customWidth="1"/>
    <col min="9940" max="10175" width="10.33203125" style="13"/>
    <col min="10176" max="10176" width="7" style="13" customWidth="1"/>
    <col min="10177" max="10177" width="13" style="13" customWidth="1"/>
    <col min="10178" max="10178" width="14.109375" style="13" customWidth="1"/>
    <col min="10179" max="10179" width="17.33203125" style="13" customWidth="1"/>
    <col min="10180" max="10180" width="18.88671875" style="13" customWidth="1"/>
    <col min="10181" max="10181" width="14.109375" style="13" customWidth="1"/>
    <col min="10182" max="10182" width="21.5546875" style="13" customWidth="1"/>
    <col min="10183" max="10184" width="14.109375" style="13" customWidth="1"/>
    <col min="10185" max="10185" width="15" style="13" customWidth="1"/>
    <col min="10186" max="10186" width="13.33203125" style="13" customWidth="1"/>
    <col min="10187" max="10187" width="17" style="13" customWidth="1"/>
    <col min="10188" max="10188" width="24.88671875" style="13" customWidth="1"/>
    <col min="10189" max="10189" width="14.44140625" style="13" customWidth="1"/>
    <col min="10190" max="10190" width="23.109375" style="13" customWidth="1"/>
    <col min="10191" max="10191" width="13.109375" style="13" customWidth="1"/>
    <col min="10192" max="10195" width="0" style="13" hidden="1" customWidth="1"/>
    <col min="10196" max="10431" width="10.33203125" style="13"/>
    <col min="10432" max="10432" width="7" style="13" customWidth="1"/>
    <col min="10433" max="10433" width="13" style="13" customWidth="1"/>
    <col min="10434" max="10434" width="14.109375" style="13" customWidth="1"/>
    <col min="10435" max="10435" width="17.33203125" style="13" customWidth="1"/>
    <col min="10436" max="10436" width="18.88671875" style="13" customWidth="1"/>
    <col min="10437" max="10437" width="14.109375" style="13" customWidth="1"/>
    <col min="10438" max="10438" width="21.5546875" style="13" customWidth="1"/>
    <col min="10439" max="10440" width="14.109375" style="13" customWidth="1"/>
    <col min="10441" max="10441" width="15" style="13" customWidth="1"/>
    <col min="10442" max="10442" width="13.33203125" style="13" customWidth="1"/>
    <col min="10443" max="10443" width="17" style="13" customWidth="1"/>
    <col min="10444" max="10444" width="24.88671875" style="13" customWidth="1"/>
    <col min="10445" max="10445" width="14.44140625" style="13" customWidth="1"/>
    <col min="10446" max="10446" width="23.109375" style="13" customWidth="1"/>
    <col min="10447" max="10447" width="13.109375" style="13" customWidth="1"/>
    <col min="10448" max="10451" width="0" style="13" hidden="1" customWidth="1"/>
    <col min="10452" max="10687" width="10.33203125" style="13"/>
    <col min="10688" max="10688" width="7" style="13" customWidth="1"/>
    <col min="10689" max="10689" width="13" style="13" customWidth="1"/>
    <col min="10690" max="10690" width="14.109375" style="13" customWidth="1"/>
    <col min="10691" max="10691" width="17.33203125" style="13" customWidth="1"/>
    <col min="10692" max="10692" width="18.88671875" style="13" customWidth="1"/>
    <col min="10693" max="10693" width="14.109375" style="13" customWidth="1"/>
    <col min="10694" max="10694" width="21.5546875" style="13" customWidth="1"/>
    <col min="10695" max="10696" width="14.109375" style="13" customWidth="1"/>
    <col min="10697" max="10697" width="15" style="13" customWidth="1"/>
    <col min="10698" max="10698" width="13.33203125" style="13" customWidth="1"/>
    <col min="10699" max="10699" width="17" style="13" customWidth="1"/>
    <col min="10700" max="10700" width="24.88671875" style="13" customWidth="1"/>
    <col min="10701" max="10701" width="14.44140625" style="13" customWidth="1"/>
    <col min="10702" max="10702" width="23.109375" style="13" customWidth="1"/>
    <col min="10703" max="10703" width="13.109375" style="13" customWidth="1"/>
    <col min="10704" max="10707" width="0" style="13" hidden="1" customWidth="1"/>
    <col min="10708" max="10943" width="10.33203125" style="13"/>
    <col min="10944" max="10944" width="7" style="13" customWidth="1"/>
    <col min="10945" max="10945" width="13" style="13" customWidth="1"/>
    <col min="10946" max="10946" width="14.109375" style="13" customWidth="1"/>
    <col min="10947" max="10947" width="17.33203125" style="13" customWidth="1"/>
    <col min="10948" max="10948" width="18.88671875" style="13" customWidth="1"/>
    <col min="10949" max="10949" width="14.109375" style="13" customWidth="1"/>
    <col min="10950" max="10950" width="21.5546875" style="13" customWidth="1"/>
    <col min="10951" max="10952" width="14.109375" style="13" customWidth="1"/>
    <col min="10953" max="10953" width="15" style="13" customWidth="1"/>
    <col min="10954" max="10954" width="13.33203125" style="13" customWidth="1"/>
    <col min="10955" max="10955" width="17" style="13" customWidth="1"/>
    <col min="10956" max="10956" width="24.88671875" style="13" customWidth="1"/>
    <col min="10957" max="10957" width="14.44140625" style="13" customWidth="1"/>
    <col min="10958" max="10958" width="23.109375" style="13" customWidth="1"/>
    <col min="10959" max="10959" width="13.109375" style="13" customWidth="1"/>
    <col min="10960" max="10963" width="0" style="13" hidden="1" customWidth="1"/>
    <col min="10964" max="11199" width="10.33203125" style="13"/>
    <col min="11200" max="11200" width="7" style="13" customWidth="1"/>
    <col min="11201" max="11201" width="13" style="13" customWidth="1"/>
    <col min="11202" max="11202" width="14.109375" style="13" customWidth="1"/>
    <col min="11203" max="11203" width="17.33203125" style="13" customWidth="1"/>
    <col min="11204" max="11204" width="18.88671875" style="13" customWidth="1"/>
    <col min="11205" max="11205" width="14.109375" style="13" customWidth="1"/>
    <col min="11206" max="11206" width="21.5546875" style="13" customWidth="1"/>
    <col min="11207" max="11208" width="14.109375" style="13" customWidth="1"/>
    <col min="11209" max="11209" width="15" style="13" customWidth="1"/>
    <col min="11210" max="11210" width="13.33203125" style="13" customWidth="1"/>
    <col min="11211" max="11211" width="17" style="13" customWidth="1"/>
    <col min="11212" max="11212" width="24.88671875" style="13" customWidth="1"/>
    <col min="11213" max="11213" width="14.44140625" style="13" customWidth="1"/>
    <col min="11214" max="11214" width="23.109375" style="13" customWidth="1"/>
    <col min="11215" max="11215" width="13.109375" style="13" customWidth="1"/>
    <col min="11216" max="11219" width="0" style="13" hidden="1" customWidth="1"/>
    <col min="11220" max="11455" width="10.33203125" style="13"/>
    <col min="11456" max="11456" width="7" style="13" customWidth="1"/>
    <col min="11457" max="11457" width="13" style="13" customWidth="1"/>
    <col min="11458" max="11458" width="14.109375" style="13" customWidth="1"/>
    <col min="11459" max="11459" width="17.33203125" style="13" customWidth="1"/>
    <col min="11460" max="11460" width="18.88671875" style="13" customWidth="1"/>
    <col min="11461" max="11461" width="14.109375" style="13" customWidth="1"/>
    <col min="11462" max="11462" width="21.5546875" style="13" customWidth="1"/>
    <col min="11463" max="11464" width="14.109375" style="13" customWidth="1"/>
    <col min="11465" max="11465" width="15" style="13" customWidth="1"/>
    <col min="11466" max="11466" width="13.33203125" style="13" customWidth="1"/>
    <col min="11467" max="11467" width="17" style="13" customWidth="1"/>
    <col min="11468" max="11468" width="24.88671875" style="13" customWidth="1"/>
    <col min="11469" max="11469" width="14.44140625" style="13" customWidth="1"/>
    <col min="11470" max="11470" width="23.109375" style="13" customWidth="1"/>
    <col min="11471" max="11471" width="13.109375" style="13" customWidth="1"/>
    <col min="11472" max="11475" width="0" style="13" hidden="1" customWidth="1"/>
    <col min="11476" max="11711" width="10.33203125" style="13"/>
    <col min="11712" max="11712" width="7" style="13" customWidth="1"/>
    <col min="11713" max="11713" width="13" style="13" customWidth="1"/>
    <col min="11714" max="11714" width="14.109375" style="13" customWidth="1"/>
    <col min="11715" max="11715" width="17.33203125" style="13" customWidth="1"/>
    <col min="11716" max="11716" width="18.88671875" style="13" customWidth="1"/>
    <col min="11717" max="11717" width="14.109375" style="13" customWidth="1"/>
    <col min="11718" max="11718" width="21.5546875" style="13" customWidth="1"/>
    <col min="11719" max="11720" width="14.109375" style="13" customWidth="1"/>
    <col min="11721" max="11721" width="15" style="13" customWidth="1"/>
    <col min="11722" max="11722" width="13.33203125" style="13" customWidth="1"/>
    <col min="11723" max="11723" width="17" style="13" customWidth="1"/>
    <col min="11724" max="11724" width="24.88671875" style="13" customWidth="1"/>
    <col min="11725" max="11725" width="14.44140625" style="13" customWidth="1"/>
    <col min="11726" max="11726" width="23.109375" style="13" customWidth="1"/>
    <col min="11727" max="11727" width="13.109375" style="13" customWidth="1"/>
    <col min="11728" max="11731" width="0" style="13" hidden="1" customWidth="1"/>
    <col min="11732" max="11967" width="10.33203125" style="13"/>
    <col min="11968" max="11968" width="7" style="13" customWidth="1"/>
    <col min="11969" max="11969" width="13" style="13" customWidth="1"/>
    <col min="11970" max="11970" width="14.109375" style="13" customWidth="1"/>
    <col min="11971" max="11971" width="17.33203125" style="13" customWidth="1"/>
    <col min="11972" max="11972" width="18.88671875" style="13" customWidth="1"/>
    <col min="11973" max="11973" width="14.109375" style="13" customWidth="1"/>
    <col min="11974" max="11974" width="21.5546875" style="13" customWidth="1"/>
    <col min="11975" max="11976" width="14.109375" style="13" customWidth="1"/>
    <col min="11977" max="11977" width="15" style="13" customWidth="1"/>
    <col min="11978" max="11978" width="13.33203125" style="13" customWidth="1"/>
    <col min="11979" max="11979" width="17" style="13" customWidth="1"/>
    <col min="11980" max="11980" width="24.88671875" style="13" customWidth="1"/>
    <col min="11981" max="11981" width="14.44140625" style="13" customWidth="1"/>
    <col min="11982" max="11982" width="23.109375" style="13" customWidth="1"/>
    <col min="11983" max="11983" width="13.109375" style="13" customWidth="1"/>
    <col min="11984" max="11987" width="0" style="13" hidden="1" customWidth="1"/>
    <col min="11988" max="12223" width="10.33203125" style="13"/>
    <col min="12224" max="12224" width="7" style="13" customWidth="1"/>
    <col min="12225" max="12225" width="13" style="13" customWidth="1"/>
    <col min="12226" max="12226" width="14.109375" style="13" customWidth="1"/>
    <col min="12227" max="12227" width="17.33203125" style="13" customWidth="1"/>
    <col min="12228" max="12228" width="18.88671875" style="13" customWidth="1"/>
    <col min="12229" max="12229" width="14.109375" style="13" customWidth="1"/>
    <col min="12230" max="12230" width="21.5546875" style="13" customWidth="1"/>
    <col min="12231" max="12232" width="14.109375" style="13" customWidth="1"/>
    <col min="12233" max="12233" width="15" style="13" customWidth="1"/>
    <col min="12234" max="12234" width="13.33203125" style="13" customWidth="1"/>
    <col min="12235" max="12235" width="17" style="13" customWidth="1"/>
    <col min="12236" max="12236" width="24.88671875" style="13" customWidth="1"/>
    <col min="12237" max="12237" width="14.44140625" style="13" customWidth="1"/>
    <col min="12238" max="12238" width="23.109375" style="13" customWidth="1"/>
    <col min="12239" max="12239" width="13.109375" style="13" customWidth="1"/>
    <col min="12240" max="12243" width="0" style="13" hidden="1" customWidth="1"/>
    <col min="12244" max="12479" width="10.33203125" style="13"/>
    <col min="12480" max="12480" width="7" style="13" customWidth="1"/>
    <col min="12481" max="12481" width="13" style="13" customWidth="1"/>
    <col min="12482" max="12482" width="14.109375" style="13" customWidth="1"/>
    <col min="12483" max="12483" width="17.33203125" style="13" customWidth="1"/>
    <col min="12484" max="12484" width="18.88671875" style="13" customWidth="1"/>
    <col min="12485" max="12485" width="14.109375" style="13" customWidth="1"/>
    <col min="12486" max="12486" width="21.5546875" style="13" customWidth="1"/>
    <col min="12487" max="12488" width="14.109375" style="13" customWidth="1"/>
    <col min="12489" max="12489" width="15" style="13" customWidth="1"/>
    <col min="12490" max="12490" width="13.33203125" style="13" customWidth="1"/>
    <col min="12491" max="12491" width="17" style="13" customWidth="1"/>
    <col min="12492" max="12492" width="24.88671875" style="13" customWidth="1"/>
    <col min="12493" max="12493" width="14.44140625" style="13" customWidth="1"/>
    <col min="12494" max="12494" width="23.109375" style="13" customWidth="1"/>
    <col min="12495" max="12495" width="13.109375" style="13" customWidth="1"/>
    <col min="12496" max="12499" width="0" style="13" hidden="1" customWidth="1"/>
    <col min="12500" max="12735" width="10.33203125" style="13"/>
    <col min="12736" max="12736" width="7" style="13" customWidth="1"/>
    <col min="12737" max="12737" width="13" style="13" customWidth="1"/>
    <col min="12738" max="12738" width="14.109375" style="13" customWidth="1"/>
    <col min="12739" max="12739" width="17.33203125" style="13" customWidth="1"/>
    <col min="12740" max="12740" width="18.88671875" style="13" customWidth="1"/>
    <col min="12741" max="12741" width="14.109375" style="13" customWidth="1"/>
    <col min="12742" max="12742" width="21.5546875" style="13" customWidth="1"/>
    <col min="12743" max="12744" width="14.109375" style="13" customWidth="1"/>
    <col min="12745" max="12745" width="15" style="13" customWidth="1"/>
    <col min="12746" max="12746" width="13.33203125" style="13" customWidth="1"/>
    <col min="12747" max="12747" width="17" style="13" customWidth="1"/>
    <col min="12748" max="12748" width="24.88671875" style="13" customWidth="1"/>
    <col min="12749" max="12749" width="14.44140625" style="13" customWidth="1"/>
    <col min="12750" max="12750" width="23.109375" style="13" customWidth="1"/>
    <col min="12751" max="12751" width="13.109375" style="13" customWidth="1"/>
    <col min="12752" max="12755" width="0" style="13" hidden="1" customWidth="1"/>
    <col min="12756" max="12991" width="10.33203125" style="13"/>
    <col min="12992" max="12992" width="7" style="13" customWidth="1"/>
    <col min="12993" max="12993" width="13" style="13" customWidth="1"/>
    <col min="12994" max="12994" width="14.109375" style="13" customWidth="1"/>
    <col min="12995" max="12995" width="17.33203125" style="13" customWidth="1"/>
    <col min="12996" max="12996" width="18.88671875" style="13" customWidth="1"/>
    <col min="12997" max="12997" width="14.109375" style="13" customWidth="1"/>
    <col min="12998" max="12998" width="21.5546875" style="13" customWidth="1"/>
    <col min="12999" max="13000" width="14.109375" style="13" customWidth="1"/>
    <col min="13001" max="13001" width="15" style="13" customWidth="1"/>
    <col min="13002" max="13002" width="13.33203125" style="13" customWidth="1"/>
    <col min="13003" max="13003" width="17" style="13" customWidth="1"/>
    <col min="13004" max="13004" width="24.88671875" style="13" customWidth="1"/>
    <col min="13005" max="13005" width="14.44140625" style="13" customWidth="1"/>
    <col min="13006" max="13006" width="23.109375" style="13" customWidth="1"/>
    <col min="13007" max="13007" width="13.109375" style="13" customWidth="1"/>
    <col min="13008" max="13011" width="0" style="13" hidden="1" customWidth="1"/>
    <col min="13012" max="13247" width="10.33203125" style="13"/>
    <col min="13248" max="13248" width="7" style="13" customWidth="1"/>
    <col min="13249" max="13249" width="13" style="13" customWidth="1"/>
    <col min="13250" max="13250" width="14.109375" style="13" customWidth="1"/>
    <col min="13251" max="13251" width="17.33203125" style="13" customWidth="1"/>
    <col min="13252" max="13252" width="18.88671875" style="13" customWidth="1"/>
    <col min="13253" max="13253" width="14.109375" style="13" customWidth="1"/>
    <col min="13254" max="13254" width="21.5546875" style="13" customWidth="1"/>
    <col min="13255" max="13256" width="14.109375" style="13" customWidth="1"/>
    <col min="13257" max="13257" width="15" style="13" customWidth="1"/>
    <col min="13258" max="13258" width="13.33203125" style="13" customWidth="1"/>
    <col min="13259" max="13259" width="17" style="13" customWidth="1"/>
    <col min="13260" max="13260" width="24.88671875" style="13" customWidth="1"/>
    <col min="13261" max="13261" width="14.44140625" style="13" customWidth="1"/>
    <col min="13262" max="13262" width="23.109375" style="13" customWidth="1"/>
    <col min="13263" max="13263" width="13.109375" style="13" customWidth="1"/>
    <col min="13264" max="13267" width="0" style="13" hidden="1" customWidth="1"/>
    <col min="13268" max="13503" width="10.33203125" style="13"/>
    <col min="13504" max="13504" width="7" style="13" customWidth="1"/>
    <col min="13505" max="13505" width="13" style="13" customWidth="1"/>
    <col min="13506" max="13506" width="14.109375" style="13" customWidth="1"/>
    <col min="13507" max="13507" width="17.33203125" style="13" customWidth="1"/>
    <col min="13508" max="13508" width="18.88671875" style="13" customWidth="1"/>
    <col min="13509" max="13509" width="14.109375" style="13" customWidth="1"/>
    <col min="13510" max="13510" width="21.5546875" style="13" customWidth="1"/>
    <col min="13511" max="13512" width="14.109375" style="13" customWidth="1"/>
    <col min="13513" max="13513" width="15" style="13" customWidth="1"/>
    <col min="13514" max="13514" width="13.33203125" style="13" customWidth="1"/>
    <col min="13515" max="13515" width="17" style="13" customWidth="1"/>
    <col min="13516" max="13516" width="24.88671875" style="13" customWidth="1"/>
    <col min="13517" max="13517" width="14.44140625" style="13" customWidth="1"/>
    <col min="13518" max="13518" width="23.109375" style="13" customWidth="1"/>
    <col min="13519" max="13519" width="13.109375" style="13" customWidth="1"/>
    <col min="13520" max="13523" width="0" style="13" hidden="1" customWidth="1"/>
    <col min="13524" max="13759" width="10.33203125" style="13"/>
    <col min="13760" max="13760" width="7" style="13" customWidth="1"/>
    <col min="13761" max="13761" width="13" style="13" customWidth="1"/>
    <col min="13762" max="13762" width="14.109375" style="13" customWidth="1"/>
    <col min="13763" max="13763" width="17.33203125" style="13" customWidth="1"/>
    <col min="13764" max="13764" width="18.88671875" style="13" customWidth="1"/>
    <col min="13765" max="13765" width="14.109375" style="13" customWidth="1"/>
    <col min="13766" max="13766" width="21.5546875" style="13" customWidth="1"/>
    <col min="13767" max="13768" width="14.109375" style="13" customWidth="1"/>
    <col min="13769" max="13769" width="15" style="13" customWidth="1"/>
    <col min="13770" max="13770" width="13.33203125" style="13" customWidth="1"/>
    <col min="13771" max="13771" width="17" style="13" customWidth="1"/>
    <col min="13772" max="13772" width="24.88671875" style="13" customWidth="1"/>
    <col min="13773" max="13773" width="14.44140625" style="13" customWidth="1"/>
    <col min="13774" max="13774" width="23.109375" style="13" customWidth="1"/>
    <col min="13775" max="13775" width="13.109375" style="13" customWidth="1"/>
    <col min="13776" max="13779" width="0" style="13" hidden="1" customWidth="1"/>
    <col min="13780" max="14015" width="10.33203125" style="13"/>
    <col min="14016" max="14016" width="7" style="13" customWidth="1"/>
    <col min="14017" max="14017" width="13" style="13" customWidth="1"/>
    <col min="14018" max="14018" width="14.109375" style="13" customWidth="1"/>
    <col min="14019" max="14019" width="17.33203125" style="13" customWidth="1"/>
    <col min="14020" max="14020" width="18.88671875" style="13" customWidth="1"/>
    <col min="14021" max="14021" width="14.109375" style="13" customWidth="1"/>
    <col min="14022" max="14022" width="21.5546875" style="13" customWidth="1"/>
    <col min="14023" max="14024" width="14.109375" style="13" customWidth="1"/>
    <col min="14025" max="14025" width="15" style="13" customWidth="1"/>
    <col min="14026" max="14026" width="13.33203125" style="13" customWidth="1"/>
    <col min="14027" max="14027" width="17" style="13" customWidth="1"/>
    <col min="14028" max="14028" width="24.88671875" style="13" customWidth="1"/>
    <col min="14029" max="14029" width="14.44140625" style="13" customWidth="1"/>
    <col min="14030" max="14030" width="23.109375" style="13" customWidth="1"/>
    <col min="14031" max="14031" width="13.109375" style="13" customWidth="1"/>
    <col min="14032" max="14035" width="0" style="13" hidden="1" customWidth="1"/>
    <col min="14036" max="14271" width="10.33203125" style="13"/>
    <col min="14272" max="14272" width="7" style="13" customWidth="1"/>
    <col min="14273" max="14273" width="13" style="13" customWidth="1"/>
    <col min="14274" max="14274" width="14.109375" style="13" customWidth="1"/>
    <col min="14275" max="14275" width="17.33203125" style="13" customWidth="1"/>
    <col min="14276" max="14276" width="18.88671875" style="13" customWidth="1"/>
    <col min="14277" max="14277" width="14.109375" style="13" customWidth="1"/>
    <col min="14278" max="14278" width="21.5546875" style="13" customWidth="1"/>
    <col min="14279" max="14280" width="14.109375" style="13" customWidth="1"/>
    <col min="14281" max="14281" width="15" style="13" customWidth="1"/>
    <col min="14282" max="14282" width="13.33203125" style="13" customWidth="1"/>
    <col min="14283" max="14283" width="17" style="13" customWidth="1"/>
    <col min="14284" max="14284" width="24.88671875" style="13" customWidth="1"/>
    <col min="14285" max="14285" width="14.44140625" style="13" customWidth="1"/>
    <col min="14286" max="14286" width="23.109375" style="13" customWidth="1"/>
    <col min="14287" max="14287" width="13.109375" style="13" customWidth="1"/>
    <col min="14288" max="14291" width="0" style="13" hidden="1" customWidth="1"/>
    <col min="14292" max="14527" width="10.33203125" style="13"/>
    <col min="14528" max="14528" width="7" style="13" customWidth="1"/>
    <col min="14529" max="14529" width="13" style="13" customWidth="1"/>
    <col min="14530" max="14530" width="14.109375" style="13" customWidth="1"/>
    <col min="14531" max="14531" width="17.33203125" style="13" customWidth="1"/>
    <col min="14532" max="14532" width="18.88671875" style="13" customWidth="1"/>
    <col min="14533" max="14533" width="14.109375" style="13" customWidth="1"/>
    <col min="14534" max="14534" width="21.5546875" style="13" customWidth="1"/>
    <col min="14535" max="14536" width="14.109375" style="13" customWidth="1"/>
    <col min="14537" max="14537" width="15" style="13" customWidth="1"/>
    <col min="14538" max="14538" width="13.33203125" style="13" customWidth="1"/>
    <col min="14539" max="14539" width="17" style="13" customWidth="1"/>
    <col min="14540" max="14540" width="24.88671875" style="13" customWidth="1"/>
    <col min="14541" max="14541" width="14.44140625" style="13" customWidth="1"/>
    <col min="14542" max="14542" width="23.109375" style="13" customWidth="1"/>
    <col min="14543" max="14543" width="13.109375" style="13" customWidth="1"/>
    <col min="14544" max="14547" width="0" style="13" hidden="1" customWidth="1"/>
    <col min="14548" max="14783" width="10.33203125" style="13"/>
    <col min="14784" max="14784" width="7" style="13" customWidth="1"/>
    <col min="14785" max="14785" width="13" style="13" customWidth="1"/>
    <col min="14786" max="14786" width="14.109375" style="13" customWidth="1"/>
    <col min="14787" max="14787" width="17.33203125" style="13" customWidth="1"/>
    <col min="14788" max="14788" width="18.88671875" style="13" customWidth="1"/>
    <col min="14789" max="14789" width="14.109375" style="13" customWidth="1"/>
    <col min="14790" max="14790" width="21.5546875" style="13" customWidth="1"/>
    <col min="14791" max="14792" width="14.109375" style="13" customWidth="1"/>
    <col min="14793" max="14793" width="15" style="13" customWidth="1"/>
    <col min="14794" max="14794" width="13.33203125" style="13" customWidth="1"/>
    <col min="14795" max="14795" width="17" style="13" customWidth="1"/>
    <col min="14796" max="14796" width="24.88671875" style="13" customWidth="1"/>
    <col min="14797" max="14797" width="14.44140625" style="13" customWidth="1"/>
    <col min="14798" max="14798" width="23.109375" style="13" customWidth="1"/>
    <col min="14799" max="14799" width="13.109375" style="13" customWidth="1"/>
    <col min="14800" max="14803" width="0" style="13" hidden="1" customWidth="1"/>
    <col min="14804" max="15039" width="10.33203125" style="13"/>
    <col min="15040" max="15040" width="7" style="13" customWidth="1"/>
    <col min="15041" max="15041" width="13" style="13" customWidth="1"/>
    <col min="15042" max="15042" width="14.109375" style="13" customWidth="1"/>
    <col min="15043" max="15043" width="17.33203125" style="13" customWidth="1"/>
    <col min="15044" max="15044" width="18.88671875" style="13" customWidth="1"/>
    <col min="15045" max="15045" width="14.109375" style="13" customWidth="1"/>
    <col min="15046" max="15046" width="21.5546875" style="13" customWidth="1"/>
    <col min="15047" max="15048" width="14.109375" style="13" customWidth="1"/>
    <col min="15049" max="15049" width="15" style="13" customWidth="1"/>
    <col min="15050" max="15050" width="13.33203125" style="13" customWidth="1"/>
    <col min="15051" max="15051" width="17" style="13" customWidth="1"/>
    <col min="15052" max="15052" width="24.88671875" style="13" customWidth="1"/>
    <col min="15053" max="15053" width="14.44140625" style="13" customWidth="1"/>
    <col min="15054" max="15054" width="23.109375" style="13" customWidth="1"/>
    <col min="15055" max="15055" width="13.109375" style="13" customWidth="1"/>
    <col min="15056" max="15059" width="0" style="13" hidden="1" customWidth="1"/>
    <col min="15060" max="15295" width="10.33203125" style="13"/>
    <col min="15296" max="15296" width="7" style="13" customWidth="1"/>
    <col min="15297" max="15297" width="13" style="13" customWidth="1"/>
    <col min="15298" max="15298" width="14.109375" style="13" customWidth="1"/>
    <col min="15299" max="15299" width="17.33203125" style="13" customWidth="1"/>
    <col min="15300" max="15300" width="18.88671875" style="13" customWidth="1"/>
    <col min="15301" max="15301" width="14.109375" style="13" customWidth="1"/>
    <col min="15302" max="15302" width="21.5546875" style="13" customWidth="1"/>
    <col min="15303" max="15304" width="14.109375" style="13" customWidth="1"/>
    <col min="15305" max="15305" width="15" style="13" customWidth="1"/>
    <col min="15306" max="15306" width="13.33203125" style="13" customWidth="1"/>
    <col min="15307" max="15307" width="17" style="13" customWidth="1"/>
    <col min="15308" max="15308" width="24.88671875" style="13" customWidth="1"/>
    <col min="15309" max="15309" width="14.44140625" style="13" customWidth="1"/>
    <col min="15310" max="15310" width="23.109375" style="13" customWidth="1"/>
    <col min="15311" max="15311" width="13.109375" style="13" customWidth="1"/>
    <col min="15312" max="15315" width="0" style="13" hidden="1" customWidth="1"/>
    <col min="15316" max="15551" width="10.33203125" style="13"/>
    <col min="15552" max="15552" width="7" style="13" customWidth="1"/>
    <col min="15553" max="15553" width="13" style="13" customWidth="1"/>
    <col min="15554" max="15554" width="14.109375" style="13" customWidth="1"/>
    <col min="15555" max="15555" width="17.33203125" style="13" customWidth="1"/>
    <col min="15556" max="15556" width="18.88671875" style="13" customWidth="1"/>
    <col min="15557" max="15557" width="14.109375" style="13" customWidth="1"/>
    <col min="15558" max="15558" width="21.5546875" style="13" customWidth="1"/>
    <col min="15559" max="15560" width="14.109375" style="13" customWidth="1"/>
    <col min="15561" max="15561" width="15" style="13" customWidth="1"/>
    <col min="15562" max="15562" width="13.33203125" style="13" customWidth="1"/>
    <col min="15563" max="15563" width="17" style="13" customWidth="1"/>
    <col min="15564" max="15564" width="24.88671875" style="13" customWidth="1"/>
    <col min="15565" max="15565" width="14.44140625" style="13" customWidth="1"/>
    <col min="15566" max="15566" width="23.109375" style="13" customWidth="1"/>
    <col min="15567" max="15567" width="13.109375" style="13" customWidth="1"/>
    <col min="15568" max="15571" width="0" style="13" hidden="1" customWidth="1"/>
    <col min="15572" max="15807" width="10.33203125" style="13"/>
    <col min="15808" max="15808" width="7" style="13" customWidth="1"/>
    <col min="15809" max="15809" width="13" style="13" customWidth="1"/>
    <col min="15810" max="15810" width="14.109375" style="13" customWidth="1"/>
    <col min="15811" max="15811" width="17.33203125" style="13" customWidth="1"/>
    <col min="15812" max="15812" width="18.88671875" style="13" customWidth="1"/>
    <col min="15813" max="15813" width="14.109375" style="13" customWidth="1"/>
    <col min="15814" max="15814" width="21.5546875" style="13" customWidth="1"/>
    <col min="15815" max="15816" width="14.109375" style="13" customWidth="1"/>
    <col min="15817" max="15817" width="15" style="13" customWidth="1"/>
    <col min="15818" max="15818" width="13.33203125" style="13" customWidth="1"/>
    <col min="15819" max="15819" width="17" style="13" customWidth="1"/>
    <col min="15820" max="15820" width="24.88671875" style="13" customWidth="1"/>
    <col min="15821" max="15821" width="14.44140625" style="13" customWidth="1"/>
    <col min="15822" max="15822" width="23.109375" style="13" customWidth="1"/>
    <col min="15823" max="15823" width="13.109375" style="13" customWidth="1"/>
    <col min="15824" max="15827" width="0" style="13" hidden="1" customWidth="1"/>
    <col min="15828" max="16063" width="10.33203125" style="13"/>
    <col min="16064" max="16064" width="7" style="13" customWidth="1"/>
    <col min="16065" max="16065" width="13" style="13" customWidth="1"/>
    <col min="16066" max="16066" width="14.109375" style="13" customWidth="1"/>
    <col min="16067" max="16067" width="17.33203125" style="13" customWidth="1"/>
    <col min="16068" max="16068" width="18.88671875" style="13" customWidth="1"/>
    <col min="16069" max="16069" width="14.109375" style="13" customWidth="1"/>
    <col min="16070" max="16070" width="21.5546875" style="13" customWidth="1"/>
    <col min="16071" max="16072" width="14.109375" style="13" customWidth="1"/>
    <col min="16073" max="16073" width="15" style="13" customWidth="1"/>
    <col min="16074" max="16074" width="13.33203125" style="13" customWidth="1"/>
    <col min="16075" max="16075" width="17" style="13" customWidth="1"/>
    <col min="16076" max="16076" width="24.88671875" style="13" customWidth="1"/>
    <col min="16077" max="16077" width="14.44140625" style="13" customWidth="1"/>
    <col min="16078" max="16078" width="23.109375" style="13" customWidth="1"/>
    <col min="16079" max="16079" width="13.109375" style="13" customWidth="1"/>
    <col min="16080" max="16083" width="0" style="13" hidden="1" customWidth="1"/>
    <col min="16084" max="16384" width="10.33203125" style="13"/>
  </cols>
  <sheetData>
    <row r="1" spans="1:27" ht="15" customHeight="1">
      <c r="L1" s="125"/>
      <c r="M1" s="125"/>
      <c r="N1" s="125"/>
      <c r="O1" s="125"/>
      <c r="P1" s="277"/>
      <c r="Q1" s="277"/>
      <c r="R1" s="277"/>
      <c r="S1" s="278"/>
      <c r="T1" s="278"/>
      <c r="U1" s="278"/>
      <c r="V1" s="278"/>
      <c r="W1" s="282"/>
      <c r="X1" s="278"/>
      <c r="Y1" s="278"/>
      <c r="Z1" s="283"/>
    </row>
    <row r="2" spans="1:27" ht="20.25" customHeight="1">
      <c r="A2" s="3719" t="s">
        <v>755</v>
      </c>
      <c r="B2" s="3793"/>
      <c r="C2" s="3793"/>
      <c r="D2" s="3793"/>
      <c r="E2" s="3793"/>
      <c r="F2" s="3793"/>
      <c r="G2" s="3793"/>
      <c r="H2" s="3793"/>
      <c r="I2" s="3793"/>
      <c r="K2" s="294"/>
      <c r="L2" s="294"/>
      <c r="M2" s="294"/>
      <c r="N2" s="294"/>
      <c r="O2" s="294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13"/>
    </row>
    <row r="3" spans="1:27">
      <c r="B3" s="2" t="s">
        <v>658</v>
      </c>
      <c r="K3" s="3686" t="s">
        <v>0</v>
      </c>
      <c r="L3" s="3686"/>
      <c r="M3" s="3686"/>
      <c r="N3" s="3686"/>
      <c r="O3" s="3686"/>
    </row>
    <row r="4" spans="1:27" ht="39.6">
      <c r="A4" s="29" t="s">
        <v>2</v>
      </c>
      <c r="B4" s="30" t="s">
        <v>3</v>
      </c>
      <c r="C4" s="31" t="s">
        <v>4</v>
      </c>
      <c r="D4" s="30" t="s">
        <v>5</v>
      </c>
      <c r="E4" s="30" t="s">
        <v>401</v>
      </c>
      <c r="F4" s="33" t="s">
        <v>8</v>
      </c>
      <c r="G4" s="33" t="s">
        <v>9</v>
      </c>
      <c r="H4" s="29" t="s">
        <v>15</v>
      </c>
      <c r="I4" s="323" t="s">
        <v>290</v>
      </c>
      <c r="J4" s="40" t="s">
        <v>63</v>
      </c>
      <c r="K4" s="32" t="s">
        <v>7</v>
      </c>
      <c r="L4" s="35" t="s">
        <v>11</v>
      </c>
      <c r="M4" s="35" t="s">
        <v>12</v>
      </c>
      <c r="N4" s="33" t="s">
        <v>13</v>
      </c>
      <c r="O4" s="33" t="s">
        <v>14</v>
      </c>
      <c r="P4" s="217" t="s">
        <v>190</v>
      </c>
      <c r="Q4" s="217" t="s">
        <v>191</v>
      </c>
      <c r="R4" s="218" t="s">
        <v>192</v>
      </c>
      <c r="S4" s="218" t="s">
        <v>193</v>
      </c>
      <c r="T4" s="219" t="s">
        <v>194</v>
      </c>
      <c r="U4" s="219" t="s">
        <v>195</v>
      </c>
      <c r="V4" s="220" t="s">
        <v>196</v>
      </c>
      <c r="W4" s="221" t="s">
        <v>197</v>
      </c>
      <c r="X4" s="218" t="s">
        <v>198</v>
      </c>
      <c r="Y4" s="219" t="s">
        <v>199</v>
      </c>
      <c r="Z4" s="222" t="s">
        <v>200</v>
      </c>
      <c r="AA4" s="36" t="s">
        <v>204</v>
      </c>
    </row>
    <row r="5" spans="1:27" ht="22.5" customHeight="1">
      <c r="A5" s="326">
        <v>1</v>
      </c>
      <c r="B5" s="45">
        <v>105388065160</v>
      </c>
      <c r="C5" s="386" t="s">
        <v>773</v>
      </c>
      <c r="D5" s="47" t="s">
        <v>869</v>
      </c>
      <c r="E5" s="126" t="s">
        <v>206</v>
      </c>
      <c r="F5" s="167"/>
      <c r="G5" s="167">
        <v>1</v>
      </c>
      <c r="H5" s="329" t="s">
        <v>756</v>
      </c>
      <c r="I5" s="327" t="s">
        <v>757</v>
      </c>
      <c r="J5" s="53" t="s">
        <v>108</v>
      </c>
      <c r="K5" s="127" t="s">
        <v>972</v>
      </c>
      <c r="L5" s="295"/>
      <c r="M5" s="136"/>
      <c r="N5" s="137"/>
      <c r="O5" s="328"/>
      <c r="P5" s="285">
        <v>709500</v>
      </c>
      <c r="Q5" s="438">
        <v>1250000</v>
      </c>
      <c r="R5" s="248"/>
      <c r="S5" s="247"/>
      <c r="T5" s="248"/>
      <c r="U5" s="340">
        <f t="shared" ref="U5:U41" si="0">+L5+P5+Q5+R5</f>
        <v>1959500</v>
      </c>
      <c r="V5" s="344">
        <f t="shared" ref="V5:V41" si="1">+S5</f>
        <v>0</v>
      </c>
      <c r="W5" s="249"/>
      <c r="X5" s="341">
        <f>4600000*1.1</f>
        <v>5060000</v>
      </c>
      <c r="Y5" s="342">
        <f t="shared" ref="Y5:Y41" si="2">+X5+V5+U5</f>
        <v>7019500</v>
      </c>
      <c r="Z5" s="252"/>
      <c r="AA5" s="130"/>
    </row>
    <row r="6" spans="1:27" ht="22.5" customHeight="1">
      <c r="A6" s="326">
        <f>+A5+1</f>
        <v>2</v>
      </c>
      <c r="B6" s="45"/>
      <c r="C6" s="46"/>
      <c r="D6" s="47"/>
      <c r="E6" s="126"/>
      <c r="F6" s="167"/>
      <c r="G6" s="167"/>
      <c r="H6" s="329"/>
      <c r="I6" s="327"/>
      <c r="J6" s="53"/>
      <c r="K6" s="127"/>
      <c r="L6" s="295"/>
      <c r="M6" s="136"/>
      <c r="N6" s="137"/>
      <c r="O6" s="328"/>
      <c r="P6" s="248"/>
      <c r="Q6" s="248"/>
      <c r="R6" s="248"/>
      <c r="S6" s="247"/>
      <c r="T6" s="248"/>
      <c r="U6" s="340">
        <f t="shared" si="0"/>
        <v>0</v>
      </c>
      <c r="V6" s="344">
        <f t="shared" si="1"/>
        <v>0</v>
      </c>
      <c r="W6" s="249"/>
      <c r="X6" s="341"/>
      <c r="Y6" s="342">
        <f t="shared" si="2"/>
        <v>0</v>
      </c>
      <c r="Z6" s="252"/>
      <c r="AA6" s="130"/>
    </row>
    <row r="7" spans="1:27" ht="22.5" customHeight="1">
      <c r="A7" s="326">
        <f t="shared" ref="A7:A41" si="3">+A6+1</f>
        <v>3</v>
      </c>
      <c r="B7" s="45"/>
      <c r="C7" s="46"/>
      <c r="D7" s="47"/>
      <c r="E7" s="126"/>
      <c r="F7" s="167"/>
      <c r="G7" s="167"/>
      <c r="H7" s="163"/>
      <c r="I7" s="139"/>
      <c r="J7" s="89"/>
      <c r="K7" s="127"/>
      <c r="L7" s="295"/>
      <c r="M7" s="136"/>
      <c r="N7" s="137"/>
      <c r="O7" s="328"/>
      <c r="P7" s="248"/>
      <c r="Q7" s="248"/>
      <c r="R7" s="248"/>
      <c r="S7" s="247"/>
      <c r="T7" s="248"/>
      <c r="U7" s="340">
        <f t="shared" si="0"/>
        <v>0</v>
      </c>
      <c r="V7" s="344">
        <f t="shared" si="1"/>
        <v>0</v>
      </c>
      <c r="W7" s="249"/>
      <c r="X7" s="341"/>
      <c r="Y7" s="342">
        <f t="shared" si="2"/>
        <v>0</v>
      </c>
      <c r="Z7" s="252"/>
      <c r="AA7" s="141"/>
    </row>
    <row r="8" spans="1:27" ht="22.5" customHeight="1">
      <c r="A8" s="326">
        <f t="shared" si="3"/>
        <v>4</v>
      </c>
      <c r="B8" s="45"/>
      <c r="C8" s="46"/>
      <c r="D8" s="47"/>
      <c r="E8" s="126"/>
      <c r="F8" s="167"/>
      <c r="G8" s="167"/>
      <c r="H8" s="163"/>
      <c r="I8" s="139"/>
      <c r="J8" s="89"/>
      <c r="K8" s="127"/>
      <c r="L8" s="295"/>
      <c r="M8" s="136"/>
      <c r="N8" s="137"/>
      <c r="O8" s="328"/>
      <c r="P8" s="248"/>
      <c r="Q8" s="248"/>
      <c r="R8" s="248"/>
      <c r="S8" s="247"/>
      <c r="T8" s="248"/>
      <c r="U8" s="340">
        <f t="shared" si="0"/>
        <v>0</v>
      </c>
      <c r="V8" s="344">
        <f t="shared" si="1"/>
        <v>0</v>
      </c>
      <c r="W8" s="249"/>
      <c r="X8" s="341"/>
      <c r="Y8" s="342">
        <f t="shared" si="2"/>
        <v>0</v>
      </c>
      <c r="Z8" s="252"/>
      <c r="AA8" s="142"/>
    </row>
    <row r="9" spans="1:27" ht="22.5" customHeight="1">
      <c r="A9" s="326">
        <f t="shared" si="3"/>
        <v>5</v>
      </c>
      <c r="B9" s="45"/>
      <c r="C9" s="46"/>
      <c r="D9" s="47"/>
      <c r="E9" s="126"/>
      <c r="F9" s="167"/>
      <c r="G9" s="167"/>
      <c r="H9" s="164"/>
      <c r="I9" s="162"/>
      <c r="J9" s="92"/>
      <c r="K9" s="127"/>
      <c r="L9" s="295"/>
      <c r="M9" s="136"/>
      <c r="N9" s="137"/>
      <c r="O9" s="328"/>
      <c r="P9" s="248"/>
      <c r="Q9" s="248"/>
      <c r="R9" s="248"/>
      <c r="S9" s="247"/>
      <c r="T9" s="248"/>
      <c r="U9" s="340">
        <f t="shared" si="0"/>
        <v>0</v>
      </c>
      <c r="V9" s="344">
        <f t="shared" si="1"/>
        <v>0</v>
      </c>
      <c r="W9" s="249"/>
      <c r="X9" s="341"/>
      <c r="Y9" s="342">
        <f t="shared" si="2"/>
        <v>0</v>
      </c>
      <c r="Z9" s="252"/>
      <c r="AA9" s="142"/>
    </row>
    <row r="10" spans="1:27" ht="22.5" customHeight="1">
      <c r="A10" s="326">
        <f t="shared" si="3"/>
        <v>6</v>
      </c>
      <c r="B10" s="45"/>
      <c r="C10" s="46"/>
      <c r="D10" s="47"/>
      <c r="E10" s="126"/>
      <c r="F10" s="167"/>
      <c r="G10" s="167"/>
      <c r="H10" s="164"/>
      <c r="I10" s="162"/>
      <c r="J10" s="92"/>
      <c r="K10" s="127"/>
      <c r="L10" s="295"/>
      <c r="M10" s="136"/>
      <c r="N10" s="137"/>
      <c r="O10" s="328"/>
      <c r="P10" s="248"/>
      <c r="Q10" s="248"/>
      <c r="R10" s="248"/>
      <c r="S10" s="247"/>
      <c r="T10" s="248"/>
      <c r="U10" s="340">
        <f t="shared" si="0"/>
        <v>0</v>
      </c>
      <c r="V10" s="344">
        <f t="shared" si="1"/>
        <v>0</v>
      </c>
      <c r="W10" s="249"/>
      <c r="X10" s="341"/>
      <c r="Y10" s="342">
        <f t="shared" si="2"/>
        <v>0</v>
      </c>
      <c r="Z10" s="252"/>
      <c r="AA10" s="142"/>
    </row>
    <row r="11" spans="1:27" ht="22.5" customHeight="1">
      <c r="A11" s="326">
        <f t="shared" si="3"/>
        <v>7</v>
      </c>
      <c r="B11" s="45"/>
      <c r="C11" s="46"/>
      <c r="D11" s="47"/>
      <c r="E11" s="126"/>
      <c r="F11" s="167"/>
      <c r="G11" s="167"/>
      <c r="H11" s="164"/>
      <c r="I11" s="162"/>
      <c r="J11" s="92"/>
      <c r="K11" s="127"/>
      <c r="L11" s="295"/>
      <c r="M11" s="136"/>
      <c r="N11" s="137"/>
      <c r="O11" s="328"/>
      <c r="P11" s="248"/>
      <c r="Q11" s="248"/>
      <c r="R11" s="248"/>
      <c r="S11" s="247"/>
      <c r="T11" s="248"/>
      <c r="U11" s="340">
        <f t="shared" si="0"/>
        <v>0</v>
      </c>
      <c r="V11" s="344">
        <f t="shared" si="1"/>
        <v>0</v>
      </c>
      <c r="W11" s="249"/>
      <c r="X11" s="341"/>
      <c r="Y11" s="342">
        <f t="shared" si="2"/>
        <v>0</v>
      </c>
      <c r="Z11" s="252"/>
      <c r="AA11" s="142"/>
    </row>
    <row r="12" spans="1:27" ht="22.5" customHeight="1">
      <c r="A12" s="326">
        <f t="shared" si="3"/>
        <v>8</v>
      </c>
      <c r="B12" s="45"/>
      <c r="C12" s="46"/>
      <c r="D12" s="47"/>
      <c r="E12" s="126"/>
      <c r="F12" s="167"/>
      <c r="G12" s="167"/>
      <c r="H12" s="164"/>
      <c r="I12" s="162"/>
      <c r="J12" s="92"/>
      <c r="K12" s="127"/>
      <c r="L12" s="295"/>
      <c r="M12" s="136"/>
      <c r="N12" s="137"/>
      <c r="O12" s="328"/>
      <c r="P12" s="248"/>
      <c r="Q12" s="248"/>
      <c r="R12" s="248"/>
      <c r="S12" s="247"/>
      <c r="T12" s="248"/>
      <c r="U12" s="340">
        <f t="shared" si="0"/>
        <v>0</v>
      </c>
      <c r="V12" s="344">
        <f t="shared" si="1"/>
        <v>0</v>
      </c>
      <c r="W12" s="249"/>
      <c r="X12" s="341"/>
      <c r="Y12" s="342">
        <f t="shared" si="2"/>
        <v>0</v>
      </c>
      <c r="Z12" s="252"/>
      <c r="AA12" s="142"/>
    </row>
    <row r="13" spans="1:27" ht="22.5" customHeight="1">
      <c r="A13" s="326">
        <f t="shared" si="3"/>
        <v>9</v>
      </c>
      <c r="B13" s="45"/>
      <c r="C13" s="46"/>
      <c r="D13" s="47"/>
      <c r="E13" s="146"/>
      <c r="F13" s="167"/>
      <c r="G13" s="167"/>
      <c r="H13" s="164"/>
      <c r="I13" s="143"/>
      <c r="J13" s="92"/>
      <c r="K13" s="127"/>
      <c r="L13" s="295"/>
      <c r="M13" s="136"/>
      <c r="N13" s="137"/>
      <c r="O13" s="328"/>
      <c r="P13" s="248"/>
      <c r="Q13" s="248"/>
      <c r="R13" s="248"/>
      <c r="S13" s="247"/>
      <c r="T13" s="248"/>
      <c r="U13" s="340">
        <f t="shared" si="0"/>
        <v>0</v>
      </c>
      <c r="V13" s="344">
        <f t="shared" si="1"/>
        <v>0</v>
      </c>
      <c r="W13" s="249"/>
      <c r="X13" s="341"/>
      <c r="Y13" s="342">
        <f t="shared" si="2"/>
        <v>0</v>
      </c>
      <c r="Z13" s="252"/>
      <c r="AA13" s="142"/>
    </row>
    <row r="14" spans="1:27" ht="22.5" customHeight="1">
      <c r="A14" s="326">
        <f t="shared" si="3"/>
        <v>10</v>
      </c>
      <c r="B14" s="330"/>
      <c r="C14" s="331"/>
      <c r="D14" s="332"/>
      <c r="E14" s="126"/>
      <c r="F14" s="167"/>
      <c r="G14" s="167"/>
      <c r="H14" s="334"/>
      <c r="I14" s="333"/>
      <c r="J14" s="335"/>
      <c r="K14" s="127"/>
      <c r="L14" s="295"/>
      <c r="M14" s="136"/>
      <c r="N14" s="137"/>
      <c r="O14" s="328"/>
      <c r="P14" s="248"/>
      <c r="Q14" s="248"/>
      <c r="R14" s="248"/>
      <c r="S14" s="247"/>
      <c r="T14" s="248"/>
      <c r="U14" s="340">
        <f t="shared" si="0"/>
        <v>0</v>
      </c>
      <c r="V14" s="344">
        <f t="shared" si="1"/>
        <v>0</v>
      </c>
      <c r="W14" s="249"/>
      <c r="X14" s="341"/>
      <c r="Y14" s="342">
        <f t="shared" si="2"/>
        <v>0</v>
      </c>
      <c r="Z14" s="252"/>
      <c r="AA14" s="336"/>
    </row>
    <row r="15" spans="1:27" ht="22.5" customHeight="1">
      <c r="A15" s="326">
        <f t="shared" si="3"/>
        <v>11</v>
      </c>
      <c r="B15" s="45"/>
      <c r="C15" s="46"/>
      <c r="D15" s="47"/>
      <c r="E15" s="126"/>
      <c r="F15" s="167"/>
      <c r="G15" s="167"/>
      <c r="H15" s="164"/>
      <c r="I15" s="143"/>
      <c r="J15" s="92"/>
      <c r="K15" s="127"/>
      <c r="L15" s="295"/>
      <c r="M15" s="136"/>
      <c r="N15" s="137"/>
      <c r="O15" s="328"/>
      <c r="P15" s="248"/>
      <c r="Q15" s="248"/>
      <c r="R15" s="248"/>
      <c r="S15" s="247"/>
      <c r="T15" s="248"/>
      <c r="U15" s="340">
        <f t="shared" si="0"/>
        <v>0</v>
      </c>
      <c r="V15" s="344">
        <f t="shared" si="1"/>
        <v>0</v>
      </c>
      <c r="W15" s="249"/>
      <c r="X15" s="341"/>
      <c r="Y15" s="342">
        <f t="shared" si="2"/>
        <v>0</v>
      </c>
      <c r="Z15" s="252"/>
      <c r="AA15" s="141"/>
    </row>
    <row r="16" spans="1:27" ht="22.5" customHeight="1">
      <c r="A16" s="326">
        <f t="shared" si="3"/>
        <v>12</v>
      </c>
      <c r="B16" s="45"/>
      <c r="C16" s="46"/>
      <c r="D16" s="47"/>
      <c r="E16" s="126"/>
      <c r="F16" s="167"/>
      <c r="G16" s="167"/>
      <c r="H16" s="165"/>
      <c r="I16" s="149"/>
      <c r="J16" s="92"/>
      <c r="K16" s="127"/>
      <c r="L16" s="295"/>
      <c r="M16" s="136"/>
      <c r="N16" s="137"/>
      <c r="O16" s="328"/>
      <c r="P16" s="248"/>
      <c r="Q16" s="248"/>
      <c r="R16" s="248"/>
      <c r="S16" s="247"/>
      <c r="T16" s="248"/>
      <c r="U16" s="340">
        <f t="shared" si="0"/>
        <v>0</v>
      </c>
      <c r="V16" s="344">
        <f t="shared" si="1"/>
        <v>0</v>
      </c>
      <c r="W16" s="249"/>
      <c r="X16" s="341"/>
      <c r="Y16" s="342">
        <f t="shared" si="2"/>
        <v>0</v>
      </c>
      <c r="Z16" s="252"/>
      <c r="AA16" s="141"/>
    </row>
    <row r="17" spans="1:27" ht="22.5" customHeight="1">
      <c r="A17" s="326">
        <f t="shared" si="3"/>
        <v>13</v>
      </c>
      <c r="B17" s="45"/>
      <c r="C17" s="46"/>
      <c r="D17" s="47"/>
      <c r="E17" s="126"/>
      <c r="F17" s="167"/>
      <c r="G17" s="167"/>
      <c r="H17" s="165"/>
      <c r="I17" s="144"/>
      <c r="J17" s="92"/>
      <c r="K17" s="127"/>
      <c r="L17" s="295"/>
      <c r="M17" s="136"/>
      <c r="N17" s="137"/>
      <c r="O17" s="328"/>
      <c r="P17" s="248"/>
      <c r="Q17" s="248"/>
      <c r="R17" s="248"/>
      <c r="S17" s="247"/>
      <c r="T17" s="248"/>
      <c r="U17" s="340">
        <f t="shared" si="0"/>
        <v>0</v>
      </c>
      <c r="V17" s="344">
        <f t="shared" si="1"/>
        <v>0</v>
      </c>
      <c r="W17" s="249"/>
      <c r="X17" s="341"/>
      <c r="Y17" s="342">
        <f t="shared" si="2"/>
        <v>0</v>
      </c>
      <c r="Z17" s="252"/>
      <c r="AA17" s="141"/>
    </row>
    <row r="18" spans="1:27" ht="22.5" customHeight="1">
      <c r="A18" s="326">
        <f t="shared" si="3"/>
        <v>14</v>
      </c>
      <c r="B18" s="45"/>
      <c r="C18" s="110"/>
      <c r="D18" s="47"/>
      <c r="E18" s="126"/>
      <c r="F18" s="167"/>
      <c r="G18" s="167"/>
      <c r="H18" s="150"/>
      <c r="I18" s="144"/>
      <c r="J18" s="92"/>
      <c r="K18" s="127"/>
      <c r="L18" s="295"/>
      <c r="M18" s="136"/>
      <c r="N18" s="137"/>
      <c r="O18" s="328"/>
      <c r="P18" s="248"/>
      <c r="Q18" s="248"/>
      <c r="R18" s="248"/>
      <c r="S18" s="247"/>
      <c r="T18" s="248"/>
      <c r="U18" s="340">
        <f t="shared" si="0"/>
        <v>0</v>
      </c>
      <c r="V18" s="344">
        <f t="shared" si="1"/>
        <v>0</v>
      </c>
      <c r="W18" s="249"/>
      <c r="X18" s="341"/>
      <c r="Y18" s="342">
        <f t="shared" si="2"/>
        <v>0</v>
      </c>
      <c r="Z18" s="252"/>
      <c r="AA18" s="141"/>
    </row>
    <row r="19" spans="1:27" ht="22.5" customHeight="1">
      <c r="A19" s="326">
        <f t="shared" si="3"/>
        <v>15</v>
      </c>
      <c r="B19" s="45"/>
      <c r="C19" s="46"/>
      <c r="D19" s="47"/>
      <c r="E19" s="126"/>
      <c r="F19" s="167"/>
      <c r="G19" s="167"/>
      <c r="H19" s="150"/>
      <c r="I19" s="140"/>
      <c r="J19" s="79"/>
      <c r="K19" s="127"/>
      <c r="L19" s="295"/>
      <c r="M19" s="136"/>
      <c r="N19" s="137"/>
      <c r="O19" s="328"/>
      <c r="P19" s="248"/>
      <c r="Q19" s="248"/>
      <c r="R19" s="248"/>
      <c r="S19" s="247"/>
      <c r="T19" s="248"/>
      <c r="U19" s="340">
        <f t="shared" si="0"/>
        <v>0</v>
      </c>
      <c r="V19" s="344">
        <f t="shared" si="1"/>
        <v>0</v>
      </c>
      <c r="W19" s="249"/>
      <c r="X19" s="341"/>
      <c r="Y19" s="342">
        <f t="shared" si="2"/>
        <v>0</v>
      </c>
      <c r="Z19" s="252"/>
      <c r="AA19" s="141"/>
    </row>
    <row r="20" spans="1:27" ht="22.5" customHeight="1">
      <c r="A20" s="326">
        <f t="shared" si="3"/>
        <v>16</v>
      </c>
      <c r="B20" s="45"/>
      <c r="C20" s="46"/>
      <c r="D20" s="47"/>
      <c r="E20" s="126"/>
      <c r="F20" s="167"/>
      <c r="G20" s="167"/>
      <c r="H20" s="150"/>
      <c r="I20" s="140"/>
      <c r="J20" s="79"/>
      <c r="K20" s="127"/>
      <c r="L20" s="295"/>
      <c r="M20" s="136"/>
      <c r="N20" s="137"/>
      <c r="O20" s="328"/>
      <c r="P20" s="248"/>
      <c r="Q20" s="248"/>
      <c r="R20" s="248"/>
      <c r="S20" s="247"/>
      <c r="T20" s="248"/>
      <c r="U20" s="340">
        <f t="shared" si="0"/>
        <v>0</v>
      </c>
      <c r="V20" s="344">
        <f t="shared" si="1"/>
        <v>0</v>
      </c>
      <c r="W20" s="249"/>
      <c r="X20" s="341"/>
      <c r="Y20" s="342">
        <f t="shared" si="2"/>
        <v>0</v>
      </c>
      <c r="Z20" s="252"/>
      <c r="AA20" s="141"/>
    </row>
    <row r="21" spans="1:27" ht="22.5" customHeight="1">
      <c r="A21" s="326">
        <f t="shared" si="3"/>
        <v>17</v>
      </c>
      <c r="B21" s="45"/>
      <c r="C21" s="46"/>
      <c r="D21" s="47"/>
      <c r="E21" s="126"/>
      <c r="F21" s="167"/>
      <c r="G21" s="167"/>
      <c r="H21" s="150"/>
      <c r="I21" s="140"/>
      <c r="J21" s="79"/>
      <c r="K21" s="127"/>
      <c r="L21" s="295"/>
      <c r="M21" s="136"/>
      <c r="N21" s="137"/>
      <c r="O21" s="328"/>
      <c r="P21" s="248"/>
      <c r="Q21" s="248"/>
      <c r="R21" s="248"/>
      <c r="S21" s="247"/>
      <c r="T21" s="248"/>
      <c r="U21" s="340">
        <f t="shared" si="0"/>
        <v>0</v>
      </c>
      <c r="V21" s="344">
        <f t="shared" si="1"/>
        <v>0</v>
      </c>
      <c r="W21" s="249"/>
      <c r="X21" s="341"/>
      <c r="Y21" s="342">
        <f t="shared" si="2"/>
        <v>0</v>
      </c>
      <c r="Z21" s="252"/>
      <c r="AA21" s="141"/>
    </row>
    <row r="22" spans="1:27" ht="22.5" customHeight="1">
      <c r="A22" s="326">
        <f t="shared" si="3"/>
        <v>18</v>
      </c>
      <c r="B22" s="45"/>
      <c r="C22" s="46"/>
      <c r="D22" s="47"/>
      <c r="E22" s="126"/>
      <c r="F22" s="167"/>
      <c r="G22" s="167"/>
      <c r="H22" s="150"/>
      <c r="I22" s="151"/>
      <c r="J22" s="79"/>
      <c r="K22" s="127"/>
      <c r="L22" s="295"/>
      <c r="M22" s="136"/>
      <c r="N22" s="137"/>
      <c r="O22" s="328"/>
      <c r="P22" s="248"/>
      <c r="Q22" s="248"/>
      <c r="R22" s="248"/>
      <c r="S22" s="247"/>
      <c r="T22" s="248"/>
      <c r="U22" s="340">
        <f t="shared" si="0"/>
        <v>0</v>
      </c>
      <c r="V22" s="344">
        <f t="shared" si="1"/>
        <v>0</v>
      </c>
      <c r="W22" s="249"/>
      <c r="X22" s="341"/>
      <c r="Y22" s="342">
        <f t="shared" si="2"/>
        <v>0</v>
      </c>
      <c r="Z22" s="252"/>
      <c r="AA22" s="141"/>
    </row>
    <row r="23" spans="1:27" ht="22.5" customHeight="1">
      <c r="A23" s="326">
        <f t="shared" si="3"/>
        <v>19</v>
      </c>
      <c r="B23" s="45"/>
      <c r="C23" s="46"/>
      <c r="D23" s="47"/>
      <c r="E23" s="126"/>
      <c r="F23" s="167"/>
      <c r="G23" s="167"/>
      <c r="H23" s="150"/>
      <c r="I23" s="140"/>
      <c r="J23" s="79"/>
      <c r="K23" s="127"/>
      <c r="L23" s="295"/>
      <c r="M23" s="136"/>
      <c r="N23" s="137"/>
      <c r="O23" s="328"/>
      <c r="P23" s="248"/>
      <c r="Q23" s="248"/>
      <c r="R23" s="248"/>
      <c r="S23" s="247"/>
      <c r="T23" s="248"/>
      <c r="U23" s="340">
        <f t="shared" si="0"/>
        <v>0</v>
      </c>
      <c r="V23" s="344">
        <f t="shared" si="1"/>
        <v>0</v>
      </c>
      <c r="W23" s="249"/>
      <c r="X23" s="341"/>
      <c r="Y23" s="342">
        <f t="shared" si="2"/>
        <v>0</v>
      </c>
      <c r="Z23" s="252"/>
      <c r="AA23" s="141"/>
    </row>
    <row r="24" spans="1:27" ht="22.5" customHeight="1">
      <c r="A24" s="326">
        <f t="shared" si="3"/>
        <v>20</v>
      </c>
      <c r="B24" s="330"/>
      <c r="C24" s="46"/>
      <c r="D24" s="47"/>
      <c r="E24" s="126"/>
      <c r="F24" s="167"/>
      <c r="G24" s="167"/>
      <c r="H24" s="150"/>
      <c r="I24" s="151"/>
      <c r="J24" s="79"/>
      <c r="K24" s="127"/>
      <c r="L24" s="295"/>
      <c r="M24" s="136"/>
      <c r="N24" s="137"/>
      <c r="O24" s="328"/>
      <c r="P24" s="248"/>
      <c r="Q24" s="248"/>
      <c r="R24" s="248"/>
      <c r="S24" s="247"/>
      <c r="T24" s="248"/>
      <c r="U24" s="340">
        <f t="shared" si="0"/>
        <v>0</v>
      </c>
      <c r="V24" s="344">
        <f t="shared" si="1"/>
        <v>0</v>
      </c>
      <c r="W24" s="249"/>
      <c r="X24" s="341"/>
      <c r="Y24" s="342">
        <f t="shared" si="2"/>
        <v>0</v>
      </c>
      <c r="Z24" s="252"/>
      <c r="AA24" s="141"/>
    </row>
    <row r="25" spans="1:27" ht="22.5" customHeight="1">
      <c r="A25" s="326">
        <f t="shared" si="3"/>
        <v>21</v>
      </c>
      <c r="B25" s="330"/>
      <c r="C25" s="46"/>
      <c r="D25" s="47"/>
      <c r="E25" s="126"/>
      <c r="F25" s="167"/>
      <c r="G25" s="167"/>
      <c r="H25" s="150"/>
      <c r="I25" s="151"/>
      <c r="J25" s="79"/>
      <c r="K25" s="127"/>
      <c r="L25" s="295"/>
      <c r="M25" s="136"/>
      <c r="N25" s="137"/>
      <c r="O25" s="328"/>
      <c r="P25" s="248"/>
      <c r="Q25" s="248"/>
      <c r="R25" s="248"/>
      <c r="S25" s="247"/>
      <c r="T25" s="248"/>
      <c r="U25" s="340">
        <f t="shared" si="0"/>
        <v>0</v>
      </c>
      <c r="V25" s="344">
        <f t="shared" si="1"/>
        <v>0</v>
      </c>
      <c r="W25" s="249"/>
      <c r="X25" s="341"/>
      <c r="Y25" s="342">
        <f t="shared" si="2"/>
        <v>0</v>
      </c>
      <c r="Z25" s="252"/>
      <c r="AA25" s="141"/>
    </row>
    <row r="26" spans="1:27" ht="22.5" customHeight="1">
      <c r="A26" s="326">
        <f t="shared" si="3"/>
        <v>22</v>
      </c>
      <c r="B26" s="330"/>
      <c r="C26" s="46"/>
      <c r="D26" s="47"/>
      <c r="E26" s="126"/>
      <c r="F26" s="167"/>
      <c r="G26" s="167"/>
      <c r="H26" s="338"/>
      <c r="I26" s="337"/>
      <c r="J26" s="79"/>
      <c r="K26" s="127"/>
      <c r="L26" s="295"/>
      <c r="M26" s="136"/>
      <c r="N26" s="137"/>
      <c r="O26" s="328"/>
      <c r="P26" s="248"/>
      <c r="Q26" s="248"/>
      <c r="R26" s="248"/>
      <c r="S26" s="247"/>
      <c r="T26" s="248"/>
      <c r="U26" s="340">
        <f t="shared" si="0"/>
        <v>0</v>
      </c>
      <c r="V26" s="344">
        <f t="shared" si="1"/>
        <v>0</v>
      </c>
      <c r="W26" s="249"/>
      <c r="X26" s="341"/>
      <c r="Y26" s="342">
        <f t="shared" si="2"/>
        <v>0</v>
      </c>
      <c r="Z26" s="252"/>
      <c r="AA26" s="141"/>
    </row>
    <row r="27" spans="1:27" ht="22.5" customHeight="1">
      <c r="A27" s="326">
        <f t="shared" si="3"/>
        <v>23</v>
      </c>
      <c r="B27" s="330"/>
      <c r="C27" s="46"/>
      <c r="D27" s="47"/>
      <c r="E27" s="126"/>
      <c r="F27" s="167"/>
      <c r="G27" s="167"/>
      <c r="H27" s="150"/>
      <c r="I27" s="151"/>
      <c r="J27" s="79"/>
      <c r="K27" s="127"/>
      <c r="L27" s="295"/>
      <c r="M27" s="136"/>
      <c r="N27" s="137"/>
      <c r="O27" s="328"/>
      <c r="P27" s="248"/>
      <c r="Q27" s="248"/>
      <c r="R27" s="248"/>
      <c r="S27" s="247"/>
      <c r="T27" s="248"/>
      <c r="U27" s="340">
        <f t="shared" si="0"/>
        <v>0</v>
      </c>
      <c r="V27" s="344">
        <f t="shared" si="1"/>
        <v>0</v>
      </c>
      <c r="W27" s="249"/>
      <c r="X27" s="341"/>
      <c r="Y27" s="342">
        <f t="shared" si="2"/>
        <v>0</v>
      </c>
      <c r="Z27" s="252"/>
      <c r="AA27" s="141"/>
    </row>
    <row r="28" spans="1:27" ht="22.5" customHeight="1">
      <c r="A28" s="326">
        <f t="shared" si="3"/>
        <v>24</v>
      </c>
      <c r="B28" s="330"/>
      <c r="C28" s="46"/>
      <c r="D28" s="47"/>
      <c r="E28" s="126"/>
      <c r="F28" s="167"/>
      <c r="G28" s="167"/>
      <c r="H28" s="150"/>
      <c r="I28" s="151"/>
      <c r="J28" s="79"/>
      <c r="K28" s="127"/>
      <c r="L28" s="295"/>
      <c r="M28" s="136"/>
      <c r="N28" s="137"/>
      <c r="O28" s="328"/>
      <c r="P28" s="248"/>
      <c r="Q28" s="248"/>
      <c r="R28" s="248"/>
      <c r="S28" s="247"/>
      <c r="T28" s="248"/>
      <c r="U28" s="340">
        <f t="shared" si="0"/>
        <v>0</v>
      </c>
      <c r="V28" s="344">
        <f t="shared" si="1"/>
        <v>0</v>
      </c>
      <c r="W28" s="249"/>
      <c r="X28" s="341"/>
      <c r="Y28" s="342">
        <f t="shared" si="2"/>
        <v>0</v>
      </c>
      <c r="Z28" s="252"/>
      <c r="AA28" s="141"/>
    </row>
    <row r="29" spans="1:27" ht="22.5" customHeight="1">
      <c r="A29" s="326">
        <f t="shared" si="3"/>
        <v>25</v>
      </c>
      <c r="B29" s="330"/>
      <c r="C29" s="46"/>
      <c r="D29" s="47"/>
      <c r="E29" s="126"/>
      <c r="F29" s="167"/>
      <c r="G29" s="167"/>
      <c r="H29" s="150"/>
      <c r="I29" s="151"/>
      <c r="J29" s="79"/>
      <c r="K29" s="127"/>
      <c r="L29" s="295"/>
      <c r="M29" s="136"/>
      <c r="N29" s="152"/>
      <c r="O29" s="328"/>
      <c r="P29" s="248"/>
      <c r="Q29" s="248"/>
      <c r="R29" s="248"/>
      <c r="S29" s="247"/>
      <c r="T29" s="248"/>
      <c r="U29" s="340">
        <f t="shared" si="0"/>
        <v>0</v>
      </c>
      <c r="V29" s="344">
        <f t="shared" si="1"/>
        <v>0</v>
      </c>
      <c r="W29" s="249"/>
      <c r="X29" s="341"/>
      <c r="Y29" s="342">
        <f t="shared" si="2"/>
        <v>0</v>
      </c>
      <c r="Z29" s="252"/>
      <c r="AA29" s="141"/>
    </row>
    <row r="30" spans="1:27" ht="22.5" customHeight="1">
      <c r="A30" s="326">
        <f t="shared" si="3"/>
        <v>26</v>
      </c>
      <c r="B30" s="45"/>
      <c r="C30" s="46"/>
      <c r="D30" s="47"/>
      <c r="E30" s="126"/>
      <c r="F30" s="167"/>
      <c r="G30" s="167"/>
      <c r="H30" s="150"/>
      <c r="I30" s="151"/>
      <c r="J30" s="79"/>
      <c r="K30" s="127"/>
      <c r="L30" s="295"/>
      <c r="M30" s="136"/>
      <c r="N30" s="152"/>
      <c r="O30" s="328"/>
      <c r="P30" s="248"/>
      <c r="Q30" s="248"/>
      <c r="R30" s="248"/>
      <c r="S30" s="247"/>
      <c r="T30" s="248"/>
      <c r="U30" s="340">
        <f t="shared" si="0"/>
        <v>0</v>
      </c>
      <c r="V30" s="344">
        <f t="shared" si="1"/>
        <v>0</v>
      </c>
      <c r="W30" s="249"/>
      <c r="X30" s="341"/>
      <c r="Y30" s="342">
        <f t="shared" si="2"/>
        <v>0</v>
      </c>
      <c r="Z30" s="252"/>
      <c r="AA30" s="141"/>
    </row>
    <row r="31" spans="1:27" ht="22.5" customHeight="1">
      <c r="A31" s="326">
        <f t="shared" si="3"/>
        <v>27</v>
      </c>
      <c r="B31" s="45"/>
      <c r="C31" s="46"/>
      <c r="D31" s="47"/>
      <c r="E31" s="126"/>
      <c r="F31" s="167"/>
      <c r="G31" s="167"/>
      <c r="H31" s="150"/>
      <c r="I31" s="151"/>
      <c r="J31" s="79"/>
      <c r="K31" s="127"/>
      <c r="L31" s="295"/>
      <c r="M31" s="136"/>
      <c r="N31" s="152"/>
      <c r="O31" s="328"/>
      <c r="P31" s="248"/>
      <c r="Q31" s="248"/>
      <c r="R31" s="248"/>
      <c r="S31" s="247"/>
      <c r="T31" s="248"/>
      <c r="U31" s="340">
        <f t="shared" si="0"/>
        <v>0</v>
      </c>
      <c r="V31" s="344">
        <f t="shared" si="1"/>
        <v>0</v>
      </c>
      <c r="W31" s="249"/>
      <c r="X31" s="341"/>
      <c r="Y31" s="342">
        <f t="shared" si="2"/>
        <v>0</v>
      </c>
      <c r="Z31" s="252"/>
      <c r="AA31" s="141"/>
    </row>
    <row r="32" spans="1:27" ht="22.5" customHeight="1">
      <c r="A32" s="326">
        <f t="shared" si="3"/>
        <v>28</v>
      </c>
      <c r="B32" s="45"/>
      <c r="C32" s="46"/>
      <c r="D32" s="47"/>
      <c r="E32" s="153"/>
      <c r="F32" s="167"/>
      <c r="G32" s="167"/>
      <c r="H32" s="150"/>
      <c r="I32" s="151"/>
      <c r="J32" s="79"/>
      <c r="K32" s="127"/>
      <c r="L32" s="295"/>
      <c r="M32" s="136"/>
      <c r="N32" s="152"/>
      <c r="O32" s="328"/>
      <c r="P32" s="248"/>
      <c r="Q32" s="248"/>
      <c r="R32" s="248"/>
      <c r="S32" s="247"/>
      <c r="T32" s="248"/>
      <c r="U32" s="340">
        <f t="shared" si="0"/>
        <v>0</v>
      </c>
      <c r="V32" s="344">
        <f t="shared" si="1"/>
        <v>0</v>
      </c>
      <c r="W32" s="249"/>
      <c r="X32" s="341"/>
      <c r="Y32" s="342">
        <f t="shared" si="2"/>
        <v>0</v>
      </c>
      <c r="Z32" s="252"/>
      <c r="AA32" s="141"/>
    </row>
    <row r="33" spans="1:27" ht="22.5" customHeight="1">
      <c r="A33" s="326">
        <f t="shared" si="3"/>
        <v>29</v>
      </c>
      <c r="B33" s="45"/>
      <c r="C33" s="46"/>
      <c r="D33" s="47"/>
      <c r="E33" s="126"/>
      <c r="F33" s="167"/>
      <c r="G33" s="167"/>
      <c r="H33" s="150"/>
      <c r="I33" s="151"/>
      <c r="J33" s="79"/>
      <c r="K33" s="127"/>
      <c r="L33" s="295"/>
      <c r="M33" s="136"/>
      <c r="N33" s="137"/>
      <c r="O33" s="339"/>
      <c r="P33" s="248"/>
      <c r="Q33" s="248"/>
      <c r="R33" s="248"/>
      <c r="S33" s="247"/>
      <c r="T33" s="248"/>
      <c r="U33" s="340">
        <f t="shared" si="0"/>
        <v>0</v>
      </c>
      <c r="V33" s="344">
        <f t="shared" si="1"/>
        <v>0</v>
      </c>
      <c r="W33" s="249"/>
      <c r="X33" s="341"/>
      <c r="Y33" s="342">
        <f t="shared" si="2"/>
        <v>0</v>
      </c>
      <c r="Z33" s="252"/>
      <c r="AA33" s="141"/>
    </row>
    <row r="34" spans="1:27" ht="22.5" customHeight="1">
      <c r="A34" s="326">
        <f t="shared" si="3"/>
        <v>30</v>
      </c>
      <c r="B34" s="45"/>
      <c r="C34" s="46"/>
      <c r="D34" s="47"/>
      <c r="E34" s="126"/>
      <c r="F34" s="167"/>
      <c r="G34" s="167"/>
      <c r="H34" s="150"/>
      <c r="I34" s="151"/>
      <c r="J34" s="79"/>
      <c r="K34" s="154"/>
      <c r="L34" s="295"/>
      <c r="M34" s="156"/>
      <c r="N34" s="157"/>
      <c r="O34" s="158"/>
      <c r="P34" s="248"/>
      <c r="Q34" s="248"/>
      <c r="R34" s="248"/>
      <c r="S34" s="247"/>
      <c r="T34" s="248"/>
      <c r="U34" s="340">
        <f t="shared" si="0"/>
        <v>0</v>
      </c>
      <c r="V34" s="344">
        <f t="shared" si="1"/>
        <v>0</v>
      </c>
      <c r="W34" s="249"/>
      <c r="X34" s="341"/>
      <c r="Y34" s="342">
        <f t="shared" si="2"/>
        <v>0</v>
      </c>
      <c r="Z34" s="252"/>
      <c r="AA34" s="141"/>
    </row>
    <row r="35" spans="1:27" ht="22.5" customHeight="1">
      <c r="A35" s="326">
        <f t="shared" si="3"/>
        <v>31</v>
      </c>
      <c r="B35" s="330"/>
      <c r="C35" s="46"/>
      <c r="D35" s="47"/>
      <c r="E35" s="126"/>
      <c r="F35" s="167"/>
      <c r="G35" s="167"/>
      <c r="H35" s="150"/>
      <c r="I35" s="151"/>
      <c r="J35" s="79"/>
      <c r="K35" s="154"/>
      <c r="L35" s="295"/>
      <c r="M35" s="156"/>
      <c r="N35" s="157"/>
      <c r="O35" s="158"/>
      <c r="P35" s="248"/>
      <c r="Q35" s="248"/>
      <c r="R35" s="248"/>
      <c r="S35" s="247"/>
      <c r="T35" s="248"/>
      <c r="U35" s="340">
        <f t="shared" si="0"/>
        <v>0</v>
      </c>
      <c r="V35" s="344">
        <f t="shared" si="1"/>
        <v>0</v>
      </c>
      <c r="W35" s="249"/>
      <c r="X35" s="341"/>
      <c r="Y35" s="342">
        <f t="shared" si="2"/>
        <v>0</v>
      </c>
      <c r="Z35" s="252"/>
      <c r="AA35" s="141"/>
    </row>
    <row r="36" spans="1:27" ht="22.5" customHeight="1">
      <c r="A36" s="326">
        <f t="shared" si="3"/>
        <v>32</v>
      </c>
      <c r="B36" s="45"/>
      <c r="C36" s="46"/>
      <c r="D36" s="47"/>
      <c r="E36" s="159"/>
      <c r="F36" s="167"/>
      <c r="G36" s="167"/>
      <c r="H36" s="150"/>
      <c r="I36" s="151"/>
      <c r="J36" s="79"/>
      <c r="K36" s="154"/>
      <c r="L36" s="295"/>
      <c r="M36" s="156"/>
      <c r="N36" s="157"/>
      <c r="O36" s="158"/>
      <c r="P36" s="248"/>
      <c r="Q36" s="248"/>
      <c r="R36" s="248"/>
      <c r="S36" s="247"/>
      <c r="T36" s="248"/>
      <c r="U36" s="340">
        <f t="shared" si="0"/>
        <v>0</v>
      </c>
      <c r="V36" s="344">
        <f t="shared" si="1"/>
        <v>0</v>
      </c>
      <c r="W36" s="249"/>
      <c r="X36" s="341"/>
      <c r="Y36" s="342">
        <f t="shared" si="2"/>
        <v>0</v>
      </c>
      <c r="Z36" s="252"/>
      <c r="AA36" s="141"/>
    </row>
    <row r="37" spans="1:27" ht="22.5" customHeight="1">
      <c r="A37" s="326">
        <f t="shared" si="3"/>
        <v>33</v>
      </c>
      <c r="B37" s="45"/>
      <c r="C37" s="46"/>
      <c r="D37" s="47"/>
      <c r="E37" s="126"/>
      <c r="F37" s="167"/>
      <c r="G37" s="167"/>
      <c r="H37" s="150"/>
      <c r="I37" s="151"/>
      <c r="J37" s="79"/>
      <c r="K37" s="154"/>
      <c r="L37" s="295"/>
      <c r="M37" s="156"/>
      <c r="N37" s="157"/>
      <c r="O37" s="158"/>
      <c r="P37" s="248"/>
      <c r="Q37" s="248"/>
      <c r="R37" s="248"/>
      <c r="S37" s="247"/>
      <c r="T37" s="248"/>
      <c r="U37" s="340">
        <f t="shared" si="0"/>
        <v>0</v>
      </c>
      <c r="V37" s="344">
        <f t="shared" si="1"/>
        <v>0</v>
      </c>
      <c r="W37" s="249"/>
      <c r="X37" s="341"/>
      <c r="Y37" s="342">
        <f t="shared" si="2"/>
        <v>0</v>
      </c>
      <c r="Z37" s="252"/>
      <c r="AA37" s="141"/>
    </row>
    <row r="38" spans="1:27" ht="22.5" customHeight="1">
      <c r="A38" s="326">
        <f t="shared" si="3"/>
        <v>34</v>
      </c>
      <c r="B38" s="330"/>
      <c r="C38" s="46"/>
      <c r="D38" s="47"/>
      <c r="E38" s="126"/>
      <c r="F38" s="167"/>
      <c r="G38" s="167"/>
      <c r="H38" s="150"/>
      <c r="I38" s="151"/>
      <c r="J38" s="79"/>
      <c r="K38" s="154"/>
      <c r="L38" s="295"/>
      <c r="M38" s="156"/>
      <c r="N38" s="157"/>
      <c r="O38" s="158"/>
      <c r="P38" s="248"/>
      <c r="Q38" s="248"/>
      <c r="R38" s="248"/>
      <c r="S38" s="247"/>
      <c r="T38" s="248"/>
      <c r="U38" s="340">
        <f t="shared" si="0"/>
        <v>0</v>
      </c>
      <c r="V38" s="344">
        <f t="shared" si="1"/>
        <v>0</v>
      </c>
      <c r="W38" s="249"/>
      <c r="X38" s="341"/>
      <c r="Y38" s="342">
        <f t="shared" si="2"/>
        <v>0</v>
      </c>
      <c r="Z38" s="252"/>
      <c r="AA38" s="141"/>
    </row>
    <row r="39" spans="1:27" ht="22.5" customHeight="1">
      <c r="A39" s="326">
        <f t="shared" si="3"/>
        <v>35</v>
      </c>
      <c r="B39" s="330"/>
      <c r="C39" s="46"/>
      <c r="D39" s="47"/>
      <c r="E39" s="126"/>
      <c r="F39" s="167"/>
      <c r="G39" s="167"/>
      <c r="H39" s="150"/>
      <c r="I39" s="151"/>
      <c r="J39" s="79"/>
      <c r="K39" s="154"/>
      <c r="L39" s="295"/>
      <c r="M39" s="156"/>
      <c r="N39" s="157"/>
      <c r="O39" s="158"/>
      <c r="P39" s="248"/>
      <c r="Q39" s="248"/>
      <c r="R39" s="248"/>
      <c r="S39" s="247"/>
      <c r="T39" s="248"/>
      <c r="U39" s="340">
        <f t="shared" si="0"/>
        <v>0</v>
      </c>
      <c r="V39" s="344">
        <f t="shared" si="1"/>
        <v>0</v>
      </c>
      <c r="W39" s="249"/>
      <c r="X39" s="341"/>
      <c r="Y39" s="342">
        <f t="shared" si="2"/>
        <v>0</v>
      </c>
      <c r="Z39" s="252"/>
      <c r="AA39" s="141"/>
    </row>
    <row r="40" spans="1:27" ht="22.5" customHeight="1">
      <c r="A40" s="326">
        <f t="shared" si="3"/>
        <v>36</v>
      </c>
      <c r="B40" s="330"/>
      <c r="C40" s="46"/>
      <c r="D40" s="47"/>
      <c r="E40" s="126"/>
      <c r="F40" s="167"/>
      <c r="G40" s="167"/>
      <c r="H40" s="150"/>
      <c r="I40" s="151"/>
      <c r="J40" s="79"/>
      <c r="K40" s="154"/>
      <c r="L40" s="295"/>
      <c r="M40" s="156"/>
      <c r="N40" s="157"/>
      <c r="O40" s="158"/>
      <c r="P40" s="248"/>
      <c r="Q40" s="248"/>
      <c r="R40" s="248"/>
      <c r="S40" s="247"/>
      <c r="T40" s="248"/>
      <c r="U40" s="340">
        <f t="shared" si="0"/>
        <v>0</v>
      </c>
      <c r="V40" s="344">
        <f t="shared" si="1"/>
        <v>0</v>
      </c>
      <c r="W40" s="249"/>
      <c r="X40" s="341"/>
      <c r="Y40" s="342">
        <f t="shared" si="2"/>
        <v>0</v>
      </c>
      <c r="Z40" s="252"/>
      <c r="AA40" s="141"/>
    </row>
    <row r="41" spans="1:27" ht="22.5" customHeight="1">
      <c r="A41" s="326">
        <f t="shared" si="3"/>
        <v>37</v>
      </c>
      <c r="B41" s="45"/>
      <c r="C41" s="46"/>
      <c r="D41" s="47"/>
      <c r="E41" s="126"/>
      <c r="F41" s="167"/>
      <c r="G41" s="167"/>
      <c r="H41" s="150"/>
      <c r="I41" s="151"/>
      <c r="J41" s="79"/>
      <c r="K41" s="154"/>
      <c r="L41" s="295"/>
      <c r="M41" s="156"/>
      <c r="N41" s="157"/>
      <c r="O41" s="158"/>
      <c r="P41" s="248"/>
      <c r="Q41" s="248"/>
      <c r="R41" s="248"/>
      <c r="S41" s="247"/>
      <c r="T41" s="248"/>
      <c r="U41" s="340">
        <f t="shared" si="0"/>
        <v>0</v>
      </c>
      <c r="V41" s="344">
        <f t="shared" si="1"/>
        <v>0</v>
      </c>
      <c r="W41" s="249"/>
      <c r="X41" s="341"/>
      <c r="Y41" s="342">
        <f t="shared" si="2"/>
        <v>0</v>
      </c>
      <c r="Z41" s="252"/>
      <c r="AA41" s="141"/>
    </row>
    <row r="42" spans="1:27">
      <c r="C42" s="5"/>
      <c r="D42" s="15"/>
      <c r="E42" s="111"/>
      <c r="F42" s="16"/>
      <c r="G42" s="16"/>
      <c r="H42" s="18"/>
      <c r="I42" s="17"/>
      <c r="J42" s="19"/>
      <c r="K42" s="112"/>
      <c r="L42" s="113"/>
      <c r="M42" s="113"/>
      <c r="N42" s="14"/>
      <c r="O42" s="114"/>
      <c r="P42" s="248"/>
      <c r="Q42" s="248"/>
      <c r="R42" s="248"/>
      <c r="S42" s="247"/>
      <c r="T42" s="248"/>
      <c r="U42" s="248"/>
      <c r="V42" s="194"/>
      <c r="W42" s="249"/>
      <c r="X42" s="250"/>
      <c r="Y42" s="251"/>
      <c r="Z42" s="252"/>
    </row>
    <row r="43" spans="1:27">
      <c r="C43" s="5"/>
      <c r="D43" s="15"/>
      <c r="E43" s="111"/>
      <c r="F43" s="16"/>
      <c r="G43" s="16"/>
      <c r="H43" s="18"/>
      <c r="I43" s="17"/>
      <c r="J43" s="19"/>
      <c r="K43" s="112"/>
      <c r="L43" s="113"/>
      <c r="M43" s="113"/>
      <c r="N43" s="14"/>
      <c r="O43" s="114"/>
      <c r="P43" s="248"/>
      <c r="Q43" s="248"/>
      <c r="R43" s="248"/>
      <c r="S43" s="247"/>
      <c r="T43" s="248"/>
      <c r="U43" s="248"/>
      <c r="V43" s="194"/>
      <c r="W43" s="249"/>
      <c r="X43" s="250"/>
      <c r="Y43" s="251"/>
      <c r="Z43" s="252"/>
    </row>
    <row r="44" spans="1:27">
      <c r="C44" s="5"/>
      <c r="D44" s="15"/>
      <c r="E44" s="111"/>
      <c r="F44" s="16"/>
      <c r="G44" s="16"/>
      <c r="H44" s="18"/>
      <c r="I44" s="17"/>
      <c r="J44" s="19"/>
      <c r="K44" s="112"/>
      <c r="L44" s="113"/>
      <c r="M44" s="113"/>
      <c r="N44" s="14"/>
      <c r="O44" s="114"/>
      <c r="P44" s="248"/>
      <c r="Q44" s="248"/>
      <c r="R44" s="248"/>
      <c r="S44" s="247"/>
      <c r="T44" s="248"/>
      <c r="U44" s="248"/>
      <c r="V44" s="194"/>
      <c r="W44" s="249"/>
      <c r="X44" s="250"/>
      <c r="Y44" s="251"/>
      <c r="Z44" s="252"/>
    </row>
    <row r="45" spans="1:27">
      <c r="C45" s="5"/>
      <c r="D45" s="15"/>
      <c r="E45" s="111"/>
      <c r="F45" s="16"/>
      <c r="G45" s="16"/>
      <c r="H45" s="18"/>
      <c r="I45" s="17"/>
      <c r="J45" s="19"/>
      <c r="K45" s="112"/>
      <c r="L45" s="113"/>
      <c r="M45" s="113"/>
      <c r="N45" s="14"/>
      <c r="O45" s="114"/>
      <c r="P45" s="248"/>
      <c r="Q45" s="248"/>
      <c r="R45" s="248"/>
      <c r="S45" s="247"/>
      <c r="T45" s="248"/>
      <c r="U45" s="248"/>
      <c r="V45" s="194"/>
      <c r="W45" s="249"/>
      <c r="X45" s="250"/>
      <c r="Y45" s="251"/>
      <c r="Z45" s="252"/>
    </row>
    <row r="46" spans="1:27">
      <c r="C46" s="5"/>
      <c r="D46" s="15"/>
      <c r="E46" s="111"/>
      <c r="F46" s="16"/>
      <c r="G46" s="16"/>
      <c r="H46" s="18"/>
      <c r="I46" s="17"/>
      <c r="J46" s="19"/>
      <c r="K46" s="112"/>
      <c r="L46" s="113"/>
      <c r="M46" s="113"/>
      <c r="N46" s="14"/>
      <c r="O46" s="114"/>
      <c r="P46" s="248"/>
      <c r="Q46" s="248"/>
      <c r="R46" s="248"/>
      <c r="S46" s="247"/>
      <c r="T46" s="248"/>
      <c r="U46" s="248"/>
      <c r="V46" s="194"/>
      <c r="W46" s="249"/>
      <c r="X46" s="250"/>
      <c r="Y46" s="251"/>
      <c r="Z46" s="252"/>
    </row>
    <row r="47" spans="1:27">
      <c r="C47" s="5"/>
      <c r="D47" s="15"/>
      <c r="E47" s="111"/>
      <c r="F47" s="16"/>
      <c r="G47" s="16"/>
      <c r="H47" s="18"/>
      <c r="I47" s="17"/>
      <c r="J47" s="19"/>
      <c r="K47" s="112"/>
      <c r="L47" s="113"/>
      <c r="M47" s="113"/>
      <c r="N47" s="14"/>
      <c r="O47" s="114"/>
      <c r="P47" s="248"/>
      <c r="Q47" s="248"/>
      <c r="R47" s="248"/>
      <c r="S47" s="247"/>
      <c r="T47" s="248"/>
      <c r="U47" s="248"/>
      <c r="V47" s="194"/>
      <c r="W47" s="249"/>
      <c r="X47" s="250"/>
      <c r="Y47" s="251"/>
      <c r="Z47" s="252"/>
    </row>
    <row r="48" spans="1:27">
      <c r="C48" s="5"/>
      <c r="D48" s="15"/>
      <c r="E48" s="111"/>
      <c r="F48" s="16"/>
      <c r="G48" s="16"/>
      <c r="H48" s="18"/>
      <c r="I48" s="17"/>
      <c r="J48" s="19"/>
      <c r="K48" s="112"/>
      <c r="L48" s="113"/>
      <c r="M48" s="26"/>
      <c r="N48" s="14"/>
      <c r="O48" s="114"/>
      <c r="P48" s="248"/>
      <c r="Q48" s="248"/>
      <c r="R48" s="248"/>
      <c r="S48" s="247"/>
      <c r="T48" s="248"/>
      <c r="U48" s="248"/>
      <c r="V48" s="194"/>
      <c r="W48" s="249"/>
      <c r="X48" s="250"/>
      <c r="Y48" s="251"/>
      <c r="Z48" s="252"/>
    </row>
    <row r="49" spans="2:27">
      <c r="B49" s="27"/>
      <c r="F49" s="4"/>
      <c r="G49" s="4"/>
      <c r="H49" s="4"/>
      <c r="I49" s="115"/>
      <c r="K49" s="28"/>
      <c r="L49" s="115"/>
      <c r="M49" s="4"/>
      <c r="N49" s="4"/>
      <c r="O49" s="4"/>
      <c r="P49" s="248"/>
      <c r="Q49" s="248"/>
      <c r="R49" s="248"/>
      <c r="S49" s="247"/>
      <c r="T49" s="248"/>
      <c r="U49" s="248"/>
      <c r="V49" s="194"/>
      <c r="W49" s="249"/>
      <c r="X49" s="250"/>
      <c r="Y49" s="251"/>
      <c r="Z49" s="252"/>
      <c r="AA49" s="4"/>
    </row>
    <row r="50" spans="2:27">
      <c r="F50" s="4"/>
      <c r="G50" s="4"/>
      <c r="H50" s="4"/>
      <c r="I50" s="115"/>
      <c r="K50" s="28"/>
      <c r="L50" s="115"/>
      <c r="M50" s="17"/>
      <c r="N50" s="4"/>
      <c r="O50" s="4"/>
      <c r="P50" s="248"/>
      <c r="Q50" s="248"/>
      <c r="R50" s="248"/>
      <c r="S50" s="247"/>
      <c r="T50" s="248"/>
      <c r="U50" s="248"/>
      <c r="V50" s="194"/>
      <c r="W50" s="249"/>
      <c r="X50" s="250"/>
      <c r="Y50" s="251"/>
      <c r="Z50" s="252"/>
      <c r="AA50" s="4"/>
    </row>
    <row r="51" spans="2:27">
      <c r="P51" s="248"/>
      <c r="Q51" s="248"/>
      <c r="R51" s="248"/>
      <c r="S51" s="247"/>
      <c r="T51" s="248"/>
      <c r="U51" s="248"/>
      <c r="V51" s="194"/>
      <c r="W51" s="249"/>
      <c r="X51" s="250"/>
      <c r="Y51" s="251"/>
      <c r="Z51" s="252"/>
    </row>
    <row r="52" spans="2:27">
      <c r="P52" s="248"/>
      <c r="Q52" s="248"/>
      <c r="R52" s="248"/>
      <c r="S52" s="247"/>
      <c r="T52" s="248"/>
      <c r="U52" s="248"/>
      <c r="V52" s="194"/>
      <c r="W52" s="249"/>
      <c r="X52" s="250"/>
      <c r="Y52" s="251"/>
      <c r="Z52" s="252"/>
    </row>
    <row r="53" spans="2:27">
      <c r="P53" s="248"/>
      <c r="Q53" s="248"/>
      <c r="R53" s="248"/>
      <c r="S53" s="247"/>
      <c r="T53" s="248"/>
      <c r="U53" s="248"/>
      <c r="V53" s="194"/>
      <c r="W53" s="249"/>
      <c r="X53" s="250"/>
      <c r="Y53" s="251"/>
      <c r="Z53" s="252"/>
    </row>
    <row r="54" spans="2:27">
      <c r="P54" s="248"/>
      <c r="Q54" s="248"/>
      <c r="R54" s="248"/>
      <c r="S54" s="247"/>
      <c r="T54" s="248"/>
      <c r="U54" s="248"/>
      <c r="V54" s="194"/>
      <c r="W54" s="249"/>
      <c r="X54" s="250"/>
      <c r="Y54" s="251"/>
      <c r="Z54" s="252"/>
    </row>
    <row r="55" spans="2:27">
      <c r="P55" s="248"/>
      <c r="Q55" s="248"/>
      <c r="R55" s="248"/>
      <c r="S55" s="247"/>
      <c r="T55" s="248"/>
      <c r="U55" s="248"/>
      <c r="V55" s="194"/>
      <c r="W55" s="249"/>
      <c r="X55" s="250"/>
      <c r="Y55" s="251"/>
      <c r="Z55" s="252"/>
    </row>
    <row r="56" spans="2:27">
      <c r="P56" s="248"/>
      <c r="Q56" s="248"/>
      <c r="R56" s="248"/>
      <c r="S56" s="247"/>
      <c r="T56" s="248"/>
      <c r="U56" s="248"/>
      <c r="V56" s="194"/>
      <c r="W56" s="249"/>
      <c r="X56" s="250"/>
      <c r="Y56" s="251"/>
      <c r="Z56" s="252"/>
    </row>
    <row r="57" spans="2:27">
      <c r="P57" s="248"/>
      <c r="Q57" s="248"/>
      <c r="R57" s="248"/>
      <c r="S57" s="247"/>
      <c r="T57" s="248"/>
      <c r="U57" s="248"/>
      <c r="V57" s="194"/>
      <c r="W57" s="249"/>
      <c r="X57" s="250"/>
      <c r="Y57" s="251"/>
      <c r="Z57" s="252"/>
    </row>
    <row r="58" spans="2:27">
      <c r="P58" s="248"/>
      <c r="Q58" s="248"/>
      <c r="R58" s="248"/>
      <c r="S58" s="247"/>
      <c r="T58" s="248"/>
      <c r="U58" s="248"/>
      <c r="V58" s="194"/>
      <c r="W58" s="249"/>
      <c r="X58" s="250"/>
      <c r="Y58" s="251"/>
      <c r="Z58" s="252"/>
    </row>
    <row r="59" spans="2:27">
      <c r="P59" s="248"/>
      <c r="Q59" s="248"/>
      <c r="R59" s="248"/>
      <c r="S59" s="247"/>
      <c r="T59" s="248"/>
      <c r="U59" s="248"/>
      <c r="V59" s="194"/>
      <c r="W59" s="249"/>
      <c r="X59" s="250"/>
      <c r="Y59" s="251"/>
      <c r="Z59" s="252"/>
    </row>
    <row r="60" spans="2:27">
      <c r="P60" s="248"/>
      <c r="Q60" s="248"/>
      <c r="R60" s="248"/>
      <c r="S60" s="247"/>
      <c r="T60" s="248"/>
      <c r="U60" s="248"/>
      <c r="V60" s="194"/>
      <c r="W60" s="249"/>
      <c r="X60" s="250"/>
      <c r="Y60" s="251"/>
      <c r="Z60" s="252"/>
    </row>
    <row r="61" spans="2:27">
      <c r="P61" s="248"/>
      <c r="Q61" s="248"/>
      <c r="R61" s="248"/>
      <c r="S61" s="247"/>
      <c r="T61" s="248"/>
      <c r="U61" s="248"/>
      <c r="V61" s="194"/>
      <c r="W61" s="249"/>
      <c r="X61" s="250"/>
      <c r="Y61" s="251"/>
      <c r="Z61" s="252"/>
    </row>
    <row r="62" spans="2:27">
      <c r="P62" s="248"/>
      <c r="Q62" s="248"/>
      <c r="R62" s="248"/>
      <c r="S62" s="247"/>
      <c r="T62" s="248"/>
      <c r="U62" s="248"/>
      <c r="V62" s="194"/>
      <c r="W62" s="249"/>
      <c r="X62" s="250"/>
      <c r="Y62" s="251"/>
      <c r="Z62" s="252"/>
    </row>
    <row r="63" spans="2:27">
      <c r="P63" s="248"/>
      <c r="Q63" s="248"/>
      <c r="R63" s="248"/>
      <c r="S63" s="247"/>
      <c r="T63" s="248"/>
      <c r="U63" s="248"/>
      <c r="V63" s="194"/>
      <c r="W63" s="249"/>
      <c r="X63" s="250"/>
      <c r="Y63" s="251"/>
      <c r="Z63" s="252"/>
    </row>
    <row r="64" spans="2:27">
      <c r="P64" s="248"/>
      <c r="Q64" s="248"/>
      <c r="R64" s="248"/>
      <c r="S64" s="247"/>
      <c r="T64" s="248"/>
      <c r="U64" s="248"/>
      <c r="V64" s="194"/>
      <c r="W64" s="249"/>
      <c r="X64" s="250"/>
      <c r="Y64" s="251"/>
      <c r="Z64" s="252"/>
    </row>
    <row r="65" spans="16:26">
      <c r="P65" s="248"/>
      <c r="Q65" s="248"/>
      <c r="R65" s="248"/>
      <c r="S65" s="247"/>
      <c r="T65" s="248"/>
      <c r="U65" s="248"/>
      <c r="V65" s="194"/>
      <c r="W65" s="249"/>
      <c r="X65" s="250"/>
      <c r="Y65" s="251"/>
      <c r="Z65" s="252"/>
    </row>
    <row r="66" spans="16:26">
      <c r="P66" s="248"/>
      <c r="Q66" s="248"/>
      <c r="R66" s="248"/>
      <c r="S66" s="247"/>
      <c r="T66" s="248"/>
      <c r="U66" s="248"/>
      <c r="V66" s="194"/>
      <c r="W66" s="249"/>
      <c r="X66" s="250"/>
      <c r="Y66" s="251"/>
      <c r="Z66" s="252"/>
    </row>
    <row r="67" spans="16:26">
      <c r="P67" s="248"/>
      <c r="Q67" s="248"/>
      <c r="R67" s="248"/>
      <c r="S67" s="247"/>
      <c r="T67" s="248"/>
      <c r="U67" s="248"/>
      <c r="V67" s="194"/>
      <c r="W67" s="249"/>
      <c r="X67" s="250"/>
      <c r="Y67" s="251"/>
      <c r="Z67" s="252"/>
    </row>
    <row r="68" spans="16:26">
      <c r="P68" s="248"/>
      <c r="Q68" s="248"/>
      <c r="R68" s="248"/>
      <c r="S68" s="247"/>
      <c r="T68" s="248"/>
      <c r="U68" s="248"/>
      <c r="V68" s="194"/>
      <c r="W68" s="249"/>
      <c r="X68" s="250"/>
      <c r="Y68" s="251"/>
      <c r="Z68" s="252"/>
    </row>
    <row r="69" spans="16:26">
      <c r="P69" s="248"/>
      <c r="Q69" s="248"/>
      <c r="R69" s="248"/>
      <c r="S69" s="247"/>
      <c r="T69" s="248"/>
      <c r="U69" s="248"/>
      <c r="V69" s="194"/>
      <c r="W69" s="249"/>
      <c r="X69" s="250"/>
      <c r="Y69" s="251"/>
      <c r="Z69" s="252"/>
    </row>
    <row r="70" spans="16:26">
      <c r="P70" s="248"/>
      <c r="Q70" s="248"/>
      <c r="R70" s="248"/>
      <c r="S70" s="247"/>
      <c r="T70" s="248"/>
      <c r="U70" s="248"/>
      <c r="V70" s="194"/>
      <c r="W70" s="249"/>
      <c r="X70" s="250"/>
      <c r="Y70" s="251"/>
      <c r="Z70" s="252"/>
    </row>
    <row r="71" spans="16:26">
      <c r="P71" s="248"/>
      <c r="Q71" s="248"/>
      <c r="R71" s="248"/>
      <c r="S71" s="247"/>
      <c r="T71" s="248"/>
      <c r="U71" s="248"/>
      <c r="V71" s="194"/>
      <c r="W71" s="249"/>
      <c r="X71" s="250"/>
      <c r="Y71" s="251"/>
      <c r="Z71" s="252"/>
    </row>
    <row r="72" spans="16:26">
      <c r="P72" s="248"/>
      <c r="Q72" s="248"/>
      <c r="R72" s="248"/>
      <c r="S72" s="247"/>
      <c r="T72" s="248"/>
      <c r="U72" s="248"/>
      <c r="V72" s="194"/>
      <c r="W72" s="249"/>
      <c r="X72" s="250"/>
      <c r="Y72" s="251"/>
      <c r="Z72" s="252"/>
    </row>
    <row r="73" spans="16:26">
      <c r="P73" s="248"/>
      <c r="Q73" s="248"/>
      <c r="R73" s="248"/>
      <c r="S73" s="247"/>
      <c r="T73" s="248"/>
      <c r="U73" s="248"/>
      <c r="V73" s="194"/>
      <c r="W73" s="249"/>
      <c r="X73" s="250"/>
      <c r="Y73" s="251"/>
      <c r="Z73" s="252"/>
    </row>
    <row r="74" spans="16:26">
      <c r="P74" s="248"/>
      <c r="Q74" s="248"/>
      <c r="R74" s="248"/>
      <c r="S74" s="247"/>
      <c r="T74" s="248"/>
      <c r="U74" s="248"/>
      <c r="V74" s="194"/>
      <c r="W74" s="249"/>
      <c r="X74" s="250"/>
      <c r="Y74" s="251"/>
      <c r="Z74" s="252"/>
    </row>
    <row r="75" spans="16:26">
      <c r="P75" s="248"/>
      <c r="Q75" s="248"/>
      <c r="R75" s="248"/>
      <c r="S75" s="247"/>
      <c r="T75" s="248"/>
      <c r="U75" s="248"/>
      <c r="V75" s="194"/>
      <c r="W75" s="249"/>
      <c r="X75" s="250"/>
      <c r="Y75" s="251"/>
      <c r="Z75" s="252"/>
    </row>
    <row r="76" spans="16:26">
      <c r="P76" s="248"/>
      <c r="Q76" s="248"/>
      <c r="R76" s="248"/>
      <c r="S76" s="247"/>
      <c r="T76" s="248"/>
      <c r="U76" s="248"/>
      <c r="V76" s="194"/>
      <c r="W76" s="249"/>
      <c r="X76" s="250"/>
      <c r="Y76" s="251"/>
      <c r="Z76" s="252"/>
    </row>
    <row r="77" spans="16:26">
      <c r="P77" s="248"/>
      <c r="Q77" s="248"/>
      <c r="R77" s="248"/>
      <c r="S77" s="247"/>
      <c r="T77" s="248"/>
      <c r="U77" s="248"/>
      <c r="V77" s="194"/>
      <c r="W77" s="249"/>
      <c r="X77" s="250"/>
      <c r="Y77" s="251"/>
      <c r="Z77" s="252"/>
    </row>
    <row r="78" spans="16:26">
      <c r="P78" s="248"/>
      <c r="Q78" s="248"/>
      <c r="R78" s="248"/>
      <c r="S78" s="247"/>
      <c r="T78" s="248"/>
      <c r="U78" s="248"/>
      <c r="V78" s="194"/>
      <c r="W78" s="249"/>
      <c r="X78" s="250"/>
      <c r="Y78" s="251"/>
      <c r="Z78" s="252"/>
    </row>
    <row r="79" spans="16:26">
      <c r="P79" s="248"/>
      <c r="Q79" s="248"/>
      <c r="R79" s="248"/>
      <c r="S79" s="247"/>
      <c r="T79" s="248"/>
      <c r="U79" s="248"/>
      <c r="V79" s="194"/>
      <c r="W79" s="249"/>
      <c r="X79" s="250"/>
      <c r="Y79" s="251"/>
      <c r="Z79" s="252"/>
    </row>
    <row r="80" spans="16:26">
      <c r="P80" s="248"/>
      <c r="Q80" s="248"/>
      <c r="R80" s="248"/>
      <c r="S80" s="247"/>
      <c r="T80" s="248"/>
      <c r="U80" s="248"/>
      <c r="V80" s="194"/>
      <c r="W80" s="249"/>
      <c r="X80" s="250"/>
      <c r="Y80" s="251"/>
      <c r="Z80" s="252"/>
    </row>
    <row r="81" spans="16:26">
      <c r="P81" s="248"/>
      <c r="Q81" s="248"/>
      <c r="R81" s="248"/>
      <c r="S81" s="247"/>
      <c r="T81" s="248"/>
      <c r="U81" s="248"/>
      <c r="V81" s="194"/>
      <c r="W81" s="249"/>
      <c r="X81" s="250"/>
      <c r="Y81" s="251"/>
      <c r="Z81" s="252"/>
    </row>
    <row r="82" spans="16:26">
      <c r="P82" s="248"/>
      <c r="Q82" s="248"/>
      <c r="R82" s="248"/>
      <c r="S82" s="247"/>
      <c r="T82" s="248"/>
      <c r="U82" s="248"/>
      <c r="V82" s="194"/>
      <c r="W82" s="249"/>
      <c r="X82" s="250"/>
      <c r="Y82" s="251"/>
      <c r="Z82" s="252"/>
    </row>
    <row r="83" spans="16:26">
      <c r="P83" s="248"/>
      <c r="Q83" s="248"/>
      <c r="R83" s="248"/>
      <c r="S83" s="247"/>
      <c r="T83" s="248"/>
      <c r="U83" s="248"/>
      <c r="V83" s="194"/>
      <c r="W83" s="249"/>
      <c r="X83" s="250"/>
      <c r="Y83" s="251"/>
      <c r="Z83" s="252"/>
    </row>
    <row r="84" spans="16:26">
      <c r="P84" s="248"/>
      <c r="Q84" s="248"/>
      <c r="R84" s="248"/>
      <c r="S84" s="247"/>
      <c r="T84" s="248"/>
      <c r="U84" s="248"/>
      <c r="V84" s="194"/>
      <c r="W84" s="249"/>
      <c r="X84" s="250"/>
      <c r="Y84" s="251"/>
      <c r="Z84" s="252"/>
    </row>
    <row r="85" spans="16:26">
      <c r="P85" s="248"/>
      <c r="Q85" s="248"/>
      <c r="R85" s="248"/>
      <c r="S85" s="247"/>
      <c r="T85" s="248"/>
      <c r="U85" s="248"/>
      <c r="V85" s="194"/>
      <c r="W85" s="249"/>
      <c r="X85" s="250"/>
      <c r="Y85" s="251"/>
      <c r="Z85" s="252"/>
    </row>
    <row r="86" spans="16:26">
      <c r="P86" s="248"/>
      <c r="Q86" s="248"/>
      <c r="R86" s="248"/>
      <c r="S86" s="247"/>
      <c r="T86" s="248"/>
      <c r="U86" s="248"/>
      <c r="V86" s="194"/>
      <c r="W86" s="249"/>
      <c r="X86" s="250"/>
      <c r="Y86" s="251"/>
      <c r="Z86" s="252"/>
    </row>
    <row r="87" spans="16:26">
      <c r="P87" s="248"/>
      <c r="Q87" s="248"/>
      <c r="R87" s="248"/>
      <c r="S87" s="247"/>
      <c r="T87" s="248"/>
      <c r="U87" s="248"/>
      <c r="V87" s="194"/>
      <c r="W87" s="249"/>
      <c r="X87" s="250"/>
      <c r="Y87" s="251"/>
      <c r="Z87" s="252"/>
    </row>
    <row r="88" spans="16:26">
      <c r="P88" s="248"/>
      <c r="Q88" s="248"/>
      <c r="R88" s="248"/>
      <c r="S88" s="247"/>
      <c r="T88" s="248"/>
      <c r="U88" s="248"/>
      <c r="V88" s="194"/>
      <c r="W88" s="249"/>
      <c r="X88" s="250"/>
      <c r="Y88" s="251"/>
      <c r="Z88" s="252"/>
    </row>
    <row r="89" spans="16:26">
      <c r="P89" s="248"/>
      <c r="Q89" s="248"/>
      <c r="R89" s="248"/>
      <c r="S89" s="247"/>
      <c r="T89" s="248"/>
      <c r="U89" s="248"/>
      <c r="V89" s="194"/>
      <c r="W89" s="249"/>
      <c r="X89" s="250"/>
      <c r="Y89" s="251"/>
      <c r="Z89" s="252"/>
    </row>
    <row r="90" spans="16:26">
      <c r="P90" s="248"/>
      <c r="Q90" s="248"/>
      <c r="R90" s="248"/>
      <c r="S90" s="247"/>
      <c r="T90" s="248"/>
      <c r="U90" s="248"/>
      <c r="V90" s="194"/>
      <c r="W90" s="249"/>
      <c r="X90" s="250"/>
      <c r="Y90" s="251"/>
      <c r="Z90" s="252"/>
    </row>
    <row r="91" spans="16:26">
      <c r="P91" s="248"/>
      <c r="Q91" s="248"/>
      <c r="R91" s="248"/>
      <c r="S91" s="247"/>
      <c r="T91" s="248"/>
      <c r="U91" s="248"/>
      <c r="V91" s="194"/>
      <c r="W91" s="249"/>
      <c r="X91" s="250"/>
      <c r="Y91" s="251"/>
      <c r="Z91" s="252"/>
    </row>
    <row r="92" spans="16:26">
      <c r="P92" s="248"/>
      <c r="Q92" s="248"/>
      <c r="R92" s="248"/>
      <c r="S92" s="247"/>
      <c r="T92" s="248"/>
      <c r="U92" s="248"/>
      <c r="V92" s="194"/>
      <c r="W92" s="249"/>
      <c r="X92" s="250"/>
      <c r="Y92" s="251"/>
      <c r="Z92" s="252"/>
    </row>
    <row r="93" spans="16:26">
      <c r="P93" s="248"/>
      <c r="Q93" s="248"/>
      <c r="R93" s="248"/>
      <c r="S93" s="247"/>
      <c r="T93" s="248"/>
      <c r="U93" s="248"/>
      <c r="V93" s="194"/>
      <c r="W93" s="249"/>
      <c r="X93" s="250"/>
      <c r="Y93" s="251"/>
      <c r="Z93" s="252"/>
    </row>
    <row r="94" spans="16:26">
      <c r="P94" s="248"/>
      <c r="Q94" s="248"/>
      <c r="R94" s="248"/>
      <c r="S94" s="247"/>
      <c r="T94" s="248"/>
      <c r="U94" s="248"/>
      <c r="V94" s="194"/>
      <c r="W94" s="249"/>
      <c r="X94" s="250"/>
      <c r="Y94" s="251"/>
      <c r="Z94" s="252"/>
    </row>
    <row r="95" spans="16:26">
      <c r="P95" s="248"/>
      <c r="Q95" s="248"/>
      <c r="R95" s="248"/>
      <c r="S95" s="247"/>
      <c r="T95" s="248"/>
      <c r="U95" s="248"/>
      <c r="V95" s="194"/>
      <c r="W95" s="249"/>
      <c r="X95" s="250"/>
      <c r="Y95" s="251"/>
      <c r="Z95" s="252"/>
    </row>
    <row r="96" spans="16:26">
      <c r="P96" s="248"/>
      <c r="Q96" s="248"/>
      <c r="R96" s="248"/>
      <c r="S96" s="247"/>
      <c r="T96" s="248"/>
      <c r="U96" s="248"/>
      <c r="V96" s="194"/>
      <c r="W96" s="249"/>
      <c r="X96" s="250"/>
      <c r="Y96" s="251"/>
      <c r="Z96" s="252"/>
    </row>
    <row r="97" spans="16:26">
      <c r="P97" s="248"/>
      <c r="Q97" s="248"/>
      <c r="R97" s="248"/>
      <c r="S97" s="247"/>
      <c r="T97" s="248"/>
      <c r="U97" s="248"/>
      <c r="V97" s="194"/>
      <c r="W97" s="249"/>
      <c r="X97" s="250"/>
      <c r="Y97" s="251"/>
      <c r="Z97" s="252"/>
    </row>
    <row r="98" spans="16:26">
      <c r="P98" s="248"/>
      <c r="Q98" s="248"/>
      <c r="R98" s="248"/>
      <c r="S98" s="247"/>
      <c r="T98" s="248"/>
      <c r="U98" s="248"/>
      <c r="V98" s="194"/>
      <c r="W98" s="249"/>
      <c r="X98" s="250"/>
      <c r="Y98" s="251"/>
      <c r="Z98" s="252"/>
    </row>
    <row r="99" spans="16:26">
      <c r="P99" s="248"/>
      <c r="Q99" s="248"/>
      <c r="R99" s="248"/>
      <c r="S99" s="247"/>
      <c r="T99" s="248"/>
      <c r="U99" s="248"/>
      <c r="V99" s="194"/>
      <c r="W99" s="249"/>
      <c r="X99" s="250"/>
      <c r="Y99" s="251"/>
      <c r="Z99" s="252"/>
    </row>
    <row r="100" spans="16:26">
      <c r="P100" s="248"/>
      <c r="Q100" s="248"/>
      <c r="R100" s="248"/>
      <c r="S100" s="247"/>
      <c r="T100" s="248"/>
      <c r="U100" s="248"/>
      <c r="V100" s="194"/>
      <c r="W100" s="249"/>
      <c r="X100" s="250"/>
      <c r="Y100" s="251"/>
      <c r="Z100" s="252"/>
    </row>
    <row r="101" spans="16:26">
      <c r="P101" s="248"/>
      <c r="Q101" s="248"/>
      <c r="R101" s="248"/>
      <c r="S101" s="247"/>
      <c r="T101" s="248"/>
      <c r="U101" s="248"/>
      <c r="V101" s="194"/>
      <c r="W101" s="249"/>
      <c r="X101" s="250"/>
      <c r="Y101" s="251"/>
      <c r="Z101" s="252"/>
    </row>
    <row r="102" spans="16:26">
      <c r="P102" s="248"/>
      <c r="Q102" s="248"/>
      <c r="R102" s="248"/>
      <c r="S102" s="247"/>
      <c r="T102" s="248"/>
      <c r="U102" s="248"/>
      <c r="V102" s="194"/>
      <c r="W102" s="249"/>
      <c r="X102" s="250"/>
      <c r="Y102" s="251"/>
      <c r="Z102" s="252"/>
    </row>
    <row r="103" spans="16:26">
      <c r="P103" s="248"/>
      <c r="Q103" s="248"/>
      <c r="R103" s="248"/>
      <c r="S103" s="247"/>
      <c r="T103" s="248"/>
      <c r="U103" s="248"/>
      <c r="V103" s="194"/>
      <c r="W103" s="249"/>
      <c r="X103" s="250"/>
      <c r="Y103" s="251"/>
      <c r="Z103" s="252"/>
    </row>
    <row r="104" spans="16:26">
      <c r="P104" s="248"/>
      <c r="Q104" s="248"/>
      <c r="R104" s="248"/>
      <c r="S104" s="247"/>
      <c r="T104" s="248"/>
      <c r="U104" s="248"/>
      <c r="V104" s="194"/>
      <c r="W104" s="249"/>
      <c r="X104" s="250"/>
      <c r="Y104" s="251"/>
      <c r="Z104" s="252"/>
    </row>
    <row r="105" spans="16:26">
      <c r="P105" s="248"/>
      <c r="Q105" s="248"/>
      <c r="R105" s="248"/>
      <c r="S105" s="247"/>
      <c r="T105" s="248"/>
      <c r="U105" s="248"/>
      <c r="V105" s="194"/>
      <c r="W105" s="249"/>
      <c r="X105" s="250"/>
      <c r="Y105" s="251"/>
      <c r="Z105" s="252"/>
    </row>
    <row r="106" spans="16:26">
      <c r="P106" s="248"/>
      <c r="Q106" s="248"/>
      <c r="R106" s="248"/>
      <c r="S106" s="247"/>
      <c r="T106" s="248"/>
      <c r="U106" s="248"/>
      <c r="V106" s="194"/>
      <c r="W106" s="249"/>
      <c r="X106" s="250"/>
      <c r="Y106" s="251"/>
      <c r="Z106" s="252"/>
    </row>
    <row r="107" spans="16:26">
      <c r="P107" s="248"/>
      <c r="Q107" s="248"/>
      <c r="R107" s="248"/>
      <c r="S107" s="247"/>
      <c r="T107" s="248"/>
      <c r="U107" s="248"/>
      <c r="V107" s="194"/>
      <c r="W107" s="249"/>
      <c r="X107" s="250"/>
      <c r="Y107" s="251"/>
      <c r="Z107" s="252"/>
    </row>
    <row r="108" spans="16:26">
      <c r="P108" s="248"/>
      <c r="Q108" s="248"/>
      <c r="R108" s="248"/>
      <c r="S108" s="247"/>
      <c r="T108" s="248"/>
      <c r="U108" s="248"/>
      <c r="V108" s="194"/>
      <c r="W108" s="249"/>
      <c r="X108" s="250"/>
      <c r="Y108" s="251"/>
      <c r="Z108" s="252"/>
    </row>
    <row r="109" spans="16:26">
      <c r="P109" s="248"/>
      <c r="Q109" s="248"/>
      <c r="R109" s="248"/>
      <c r="S109" s="247"/>
      <c r="T109" s="248"/>
      <c r="U109" s="248"/>
      <c r="V109" s="194"/>
      <c r="W109" s="249"/>
      <c r="X109" s="250"/>
      <c r="Y109" s="251"/>
      <c r="Z109" s="252"/>
    </row>
    <row r="110" spans="16:26">
      <c r="P110" s="248"/>
      <c r="Q110" s="248"/>
      <c r="R110" s="248"/>
      <c r="S110" s="247"/>
      <c r="T110" s="248"/>
      <c r="U110" s="248"/>
      <c r="V110" s="194"/>
      <c r="W110" s="249"/>
      <c r="X110" s="250"/>
      <c r="Y110" s="251"/>
      <c r="Z110" s="252"/>
    </row>
    <row r="111" spans="16:26">
      <c r="P111" s="248"/>
      <c r="Q111" s="248"/>
      <c r="R111" s="248"/>
      <c r="S111" s="247"/>
      <c r="T111" s="248"/>
      <c r="U111" s="248"/>
      <c r="V111" s="194"/>
      <c r="W111" s="249"/>
      <c r="X111" s="250"/>
      <c r="Y111" s="251"/>
      <c r="Z111" s="252"/>
    </row>
    <row r="112" spans="16:26">
      <c r="P112" s="248"/>
      <c r="Q112" s="248"/>
      <c r="R112" s="248"/>
      <c r="S112" s="247"/>
      <c r="T112" s="248"/>
      <c r="U112" s="248"/>
      <c r="V112" s="194"/>
      <c r="W112" s="249"/>
      <c r="X112" s="250"/>
      <c r="Y112" s="251"/>
      <c r="Z112" s="252"/>
    </row>
    <row r="113" spans="16:26">
      <c r="P113" s="248"/>
      <c r="Q113" s="248"/>
      <c r="R113" s="248"/>
      <c r="S113" s="247"/>
      <c r="T113" s="248"/>
      <c r="U113" s="248"/>
      <c r="V113" s="194"/>
      <c r="W113" s="249"/>
      <c r="X113" s="250"/>
      <c r="Y113" s="251"/>
      <c r="Z113" s="252"/>
    </row>
    <row r="114" spans="16:26">
      <c r="P114" s="248"/>
      <c r="Q114" s="248"/>
      <c r="R114" s="248"/>
      <c r="S114" s="247"/>
      <c r="T114" s="248"/>
      <c r="U114" s="248"/>
      <c r="V114" s="194"/>
      <c r="W114" s="249"/>
      <c r="X114" s="250"/>
      <c r="Y114" s="251"/>
      <c r="Z114" s="252"/>
    </row>
    <row r="115" spans="16:26">
      <c r="P115" s="248"/>
      <c r="Q115" s="248"/>
      <c r="R115" s="248"/>
      <c r="S115" s="247"/>
      <c r="T115" s="248"/>
      <c r="U115" s="248"/>
      <c r="V115" s="194"/>
      <c r="W115" s="249"/>
      <c r="X115" s="250"/>
      <c r="Y115" s="251"/>
      <c r="Z115" s="252"/>
    </row>
    <row r="116" spans="16:26">
      <c r="P116" s="248"/>
      <c r="Q116" s="248"/>
      <c r="R116" s="248"/>
      <c r="S116" s="247"/>
      <c r="T116" s="248"/>
      <c r="U116" s="248"/>
      <c r="V116" s="194"/>
      <c r="W116" s="249"/>
      <c r="X116" s="250"/>
      <c r="Y116" s="251"/>
      <c r="Z116" s="252"/>
    </row>
    <row r="117" spans="16:26">
      <c r="P117" s="248"/>
      <c r="Q117" s="248"/>
      <c r="R117" s="248"/>
      <c r="S117" s="247"/>
      <c r="T117" s="248"/>
      <c r="U117" s="248"/>
      <c r="V117" s="194"/>
      <c r="W117" s="249"/>
      <c r="X117" s="250"/>
      <c r="Y117" s="251"/>
      <c r="Z117" s="252"/>
    </row>
    <row r="118" spans="16:26">
      <c r="P118" s="248"/>
      <c r="Q118" s="248"/>
      <c r="R118" s="248"/>
      <c r="S118" s="247"/>
      <c r="T118" s="248"/>
      <c r="U118" s="248"/>
      <c r="V118" s="194"/>
      <c r="W118" s="249"/>
      <c r="X118" s="250"/>
      <c r="Y118" s="251"/>
      <c r="Z118" s="252"/>
    </row>
    <row r="119" spans="16:26">
      <c r="P119" s="248"/>
      <c r="Q119" s="248"/>
      <c r="R119" s="248"/>
      <c r="S119" s="247"/>
      <c r="T119" s="248"/>
      <c r="U119" s="248"/>
      <c r="V119" s="194"/>
      <c r="W119" s="249"/>
      <c r="X119" s="250"/>
      <c r="Y119" s="251"/>
      <c r="Z119" s="252"/>
    </row>
    <row r="120" spans="16:26">
      <c r="P120" s="248"/>
      <c r="Q120" s="248"/>
      <c r="R120" s="248"/>
      <c r="S120" s="247"/>
      <c r="T120" s="248"/>
      <c r="U120" s="248"/>
      <c r="V120" s="194"/>
      <c r="W120" s="249"/>
      <c r="X120" s="250"/>
      <c r="Y120" s="251"/>
      <c r="Z120" s="252"/>
    </row>
    <row r="121" spans="16:26">
      <c r="P121" s="248"/>
      <c r="Q121" s="248"/>
      <c r="R121" s="248"/>
      <c r="S121" s="247"/>
      <c r="T121" s="248"/>
      <c r="U121" s="248"/>
      <c r="V121" s="194"/>
      <c r="W121" s="249"/>
      <c r="X121" s="250"/>
      <c r="Y121" s="251"/>
      <c r="Z121" s="252"/>
    </row>
    <row r="122" spans="16:26">
      <c r="P122" s="248"/>
      <c r="Q122" s="248"/>
      <c r="R122" s="248"/>
      <c r="S122" s="247"/>
      <c r="T122" s="248"/>
      <c r="U122" s="248"/>
      <c r="V122" s="194"/>
      <c r="W122" s="249"/>
      <c r="X122" s="250"/>
      <c r="Y122" s="251"/>
      <c r="Z122" s="252"/>
    </row>
    <row r="123" spans="16:26">
      <c r="P123" s="248"/>
      <c r="Q123" s="248"/>
      <c r="R123" s="248"/>
      <c r="S123" s="247"/>
      <c r="T123" s="248"/>
      <c r="U123" s="248"/>
      <c r="V123" s="194"/>
      <c r="W123" s="249"/>
      <c r="X123" s="250"/>
      <c r="Y123" s="251"/>
      <c r="Z123" s="252"/>
    </row>
    <row r="124" spans="16:26">
      <c r="P124" s="248"/>
      <c r="Q124" s="248"/>
      <c r="R124" s="248"/>
      <c r="S124" s="247"/>
      <c r="T124" s="248"/>
      <c r="U124" s="248"/>
      <c r="V124" s="194"/>
      <c r="W124" s="249"/>
      <c r="X124" s="250"/>
      <c r="Y124" s="251"/>
      <c r="Z124" s="252"/>
    </row>
    <row r="125" spans="16:26">
      <c r="P125" s="248"/>
      <c r="Q125" s="248"/>
      <c r="R125" s="248"/>
      <c r="S125" s="247"/>
      <c r="T125" s="248"/>
      <c r="U125" s="248"/>
      <c r="V125" s="194"/>
      <c r="W125" s="249"/>
      <c r="X125" s="250"/>
      <c r="Y125" s="251"/>
      <c r="Z125" s="252"/>
    </row>
    <row r="126" spans="16:26">
      <c r="P126" s="248"/>
      <c r="Q126" s="248"/>
      <c r="R126" s="248"/>
      <c r="S126" s="247"/>
      <c r="T126" s="248"/>
      <c r="U126" s="248"/>
      <c r="V126" s="194"/>
      <c r="W126" s="249"/>
      <c r="X126" s="250"/>
      <c r="Y126" s="251"/>
      <c r="Z126" s="252"/>
    </row>
    <row r="127" spans="16:26">
      <c r="P127" s="248"/>
      <c r="Q127" s="248"/>
      <c r="R127" s="248"/>
      <c r="S127" s="247"/>
      <c r="T127" s="248"/>
      <c r="U127" s="248"/>
      <c r="V127" s="194"/>
      <c r="W127" s="249"/>
      <c r="X127" s="250"/>
      <c r="Y127" s="251"/>
      <c r="Z127" s="252"/>
    </row>
    <row r="128" spans="16:26">
      <c r="P128" s="248"/>
      <c r="Q128" s="248"/>
      <c r="R128" s="248"/>
      <c r="S128" s="247"/>
      <c r="T128" s="248"/>
      <c r="U128" s="248"/>
      <c r="V128" s="194"/>
      <c r="W128" s="249"/>
      <c r="X128" s="250"/>
      <c r="Y128" s="251"/>
      <c r="Z128" s="252"/>
    </row>
    <row r="129" spans="16:26">
      <c r="P129" s="248"/>
      <c r="Q129" s="248"/>
      <c r="R129" s="248"/>
      <c r="S129" s="247"/>
      <c r="T129" s="248"/>
      <c r="U129" s="248"/>
      <c r="V129" s="194"/>
      <c r="W129" s="249"/>
      <c r="X129" s="250"/>
      <c r="Y129" s="251"/>
      <c r="Z129" s="252"/>
    </row>
    <row r="130" spans="16:26">
      <c r="P130" s="248"/>
      <c r="Q130" s="248"/>
      <c r="R130" s="248"/>
      <c r="S130" s="247"/>
      <c r="T130" s="248"/>
      <c r="U130" s="248"/>
      <c r="V130" s="194"/>
      <c r="W130" s="249"/>
      <c r="X130" s="250"/>
      <c r="Y130" s="251"/>
      <c r="Z130" s="252"/>
    </row>
    <row r="131" spans="16:26">
      <c r="P131" s="248"/>
      <c r="Q131" s="248"/>
      <c r="R131" s="248"/>
      <c r="S131" s="247"/>
      <c r="T131" s="248"/>
      <c r="U131" s="248"/>
      <c r="V131" s="194"/>
      <c r="W131" s="249"/>
      <c r="X131" s="250"/>
      <c r="Y131" s="251"/>
      <c r="Z131" s="252"/>
    </row>
    <row r="132" spans="16:26">
      <c r="P132" s="248"/>
      <c r="Q132" s="248"/>
      <c r="R132" s="248"/>
      <c r="S132" s="247"/>
      <c r="T132" s="248"/>
      <c r="U132" s="248"/>
      <c r="V132" s="194"/>
      <c r="W132" s="249"/>
      <c r="X132" s="250"/>
      <c r="Y132" s="251"/>
      <c r="Z132" s="252"/>
    </row>
    <row r="133" spans="16:26">
      <c r="P133" s="248"/>
      <c r="Q133" s="248"/>
      <c r="R133" s="248"/>
      <c r="S133" s="247"/>
      <c r="T133" s="248"/>
      <c r="U133" s="248"/>
      <c r="V133" s="194"/>
      <c r="W133" s="249"/>
      <c r="X133" s="250"/>
      <c r="Y133" s="251"/>
      <c r="Z133" s="252"/>
    </row>
    <row r="134" spans="16:26">
      <c r="P134" s="248"/>
      <c r="Q134" s="248"/>
      <c r="R134" s="248"/>
      <c r="S134" s="247"/>
      <c r="T134" s="248"/>
      <c r="U134" s="248"/>
      <c r="V134" s="194"/>
      <c r="W134" s="249"/>
      <c r="X134" s="250"/>
      <c r="Y134" s="251"/>
      <c r="Z134" s="252"/>
    </row>
    <row r="135" spans="16:26">
      <c r="P135" s="248"/>
      <c r="Q135" s="248"/>
      <c r="R135" s="248"/>
      <c r="S135" s="247"/>
      <c r="T135" s="248"/>
      <c r="U135" s="248"/>
      <c r="V135" s="194"/>
      <c r="W135" s="249"/>
      <c r="X135" s="250"/>
      <c r="Y135" s="251"/>
      <c r="Z135" s="252"/>
    </row>
    <row r="136" spans="16:26">
      <c r="P136" s="248"/>
      <c r="Q136" s="248"/>
      <c r="R136" s="248"/>
      <c r="S136" s="247"/>
      <c r="T136" s="248"/>
      <c r="U136" s="248"/>
      <c r="V136" s="194"/>
      <c r="W136" s="249"/>
      <c r="X136" s="250"/>
      <c r="Y136" s="251"/>
      <c r="Z136" s="252"/>
    </row>
    <row r="137" spans="16:26">
      <c r="P137" s="248"/>
      <c r="Q137" s="248"/>
      <c r="R137" s="248"/>
      <c r="S137" s="247"/>
      <c r="T137" s="248"/>
      <c r="U137" s="248"/>
      <c r="V137" s="194"/>
      <c r="W137" s="249"/>
      <c r="X137" s="250"/>
      <c r="Y137" s="251"/>
      <c r="Z137" s="252"/>
    </row>
    <row r="138" spans="16:26">
      <c r="P138" s="248"/>
      <c r="Q138" s="248"/>
      <c r="R138" s="248"/>
      <c r="S138" s="247"/>
      <c r="T138" s="248"/>
      <c r="U138" s="248"/>
      <c r="V138" s="194"/>
      <c r="W138" s="249"/>
      <c r="X138" s="250"/>
      <c r="Y138" s="251"/>
      <c r="Z138" s="252"/>
    </row>
    <row r="139" spans="16:26">
      <c r="P139" s="248"/>
      <c r="Q139" s="248"/>
      <c r="R139" s="248"/>
      <c r="S139" s="247"/>
      <c r="T139" s="248"/>
      <c r="U139" s="248"/>
      <c r="V139" s="194"/>
      <c r="W139" s="249"/>
      <c r="X139" s="250"/>
      <c r="Y139" s="251"/>
      <c r="Z139" s="252"/>
    </row>
    <row r="140" spans="16:26">
      <c r="P140" s="248"/>
      <c r="Q140" s="248"/>
      <c r="R140" s="248"/>
      <c r="S140" s="247"/>
      <c r="T140" s="248"/>
      <c r="U140" s="248"/>
      <c r="V140" s="194"/>
      <c r="W140" s="249"/>
      <c r="X140" s="250"/>
      <c r="Y140" s="251"/>
      <c r="Z140" s="252"/>
    </row>
    <row r="141" spans="16:26">
      <c r="P141" s="248"/>
      <c r="Q141" s="248"/>
      <c r="R141" s="248"/>
      <c r="S141" s="247"/>
      <c r="T141" s="248"/>
      <c r="U141" s="248"/>
      <c r="V141" s="194"/>
      <c r="W141" s="249"/>
      <c r="X141" s="250"/>
      <c r="Y141" s="251"/>
      <c r="Z141" s="252"/>
    </row>
    <row r="142" spans="16:26">
      <c r="P142" s="248"/>
      <c r="Q142" s="248"/>
      <c r="R142" s="248"/>
      <c r="S142" s="247"/>
      <c r="T142" s="248"/>
      <c r="U142" s="248"/>
      <c r="V142" s="194"/>
      <c r="W142" s="249"/>
      <c r="X142" s="250"/>
      <c r="Y142" s="251"/>
      <c r="Z142" s="252"/>
    </row>
    <row r="143" spans="16:26">
      <c r="P143" s="248"/>
      <c r="Q143" s="248"/>
      <c r="R143" s="248"/>
      <c r="S143" s="247"/>
      <c r="T143" s="248"/>
      <c r="U143" s="248"/>
      <c r="V143" s="194"/>
      <c r="W143" s="249"/>
      <c r="X143" s="250"/>
      <c r="Y143" s="251"/>
      <c r="Z143" s="252"/>
    </row>
    <row r="144" spans="16:26">
      <c r="P144" s="248"/>
      <c r="Q144" s="248"/>
      <c r="R144" s="248"/>
      <c r="S144" s="247"/>
      <c r="T144" s="248"/>
      <c r="U144" s="248"/>
      <c r="V144" s="194"/>
      <c r="W144" s="249"/>
      <c r="X144" s="250"/>
      <c r="Y144" s="251"/>
      <c r="Z144" s="252"/>
    </row>
    <row r="145" spans="16:26">
      <c r="P145" s="248"/>
      <c r="Q145" s="248"/>
      <c r="R145" s="248"/>
      <c r="S145" s="247"/>
      <c r="T145" s="248"/>
      <c r="U145" s="248"/>
      <c r="V145" s="194"/>
      <c r="W145" s="249"/>
      <c r="X145" s="250"/>
      <c r="Y145" s="251"/>
      <c r="Z145" s="252"/>
    </row>
    <row r="146" spans="16:26">
      <c r="P146" s="248"/>
      <c r="Q146" s="248"/>
      <c r="R146" s="248"/>
      <c r="S146" s="247"/>
      <c r="T146" s="248"/>
      <c r="U146" s="248"/>
      <c r="V146" s="194"/>
      <c r="W146" s="249"/>
      <c r="X146" s="250"/>
      <c r="Y146" s="251"/>
      <c r="Z146" s="252"/>
    </row>
    <row r="147" spans="16:26">
      <c r="P147" s="248"/>
      <c r="Q147" s="248"/>
      <c r="R147" s="248"/>
      <c r="S147" s="247"/>
      <c r="T147" s="248"/>
      <c r="U147" s="248"/>
      <c r="V147" s="194"/>
      <c r="W147" s="249"/>
      <c r="X147" s="250"/>
      <c r="Y147" s="251"/>
      <c r="Z147" s="252"/>
    </row>
    <row r="148" spans="16:26">
      <c r="P148" s="248"/>
      <c r="Q148" s="248"/>
      <c r="R148" s="248"/>
      <c r="S148" s="247"/>
      <c r="T148" s="248"/>
      <c r="U148" s="248"/>
      <c r="V148" s="194"/>
      <c r="W148" s="249"/>
      <c r="X148" s="250"/>
      <c r="Y148" s="251"/>
      <c r="Z148" s="252"/>
    </row>
    <row r="149" spans="16:26">
      <c r="P149" s="248"/>
      <c r="Q149" s="248"/>
      <c r="R149" s="248"/>
      <c r="S149" s="247"/>
      <c r="T149" s="248"/>
      <c r="U149" s="248"/>
      <c r="V149" s="194"/>
      <c r="W149" s="249"/>
      <c r="X149" s="250"/>
      <c r="Y149" s="251"/>
      <c r="Z149" s="252"/>
    </row>
    <row r="150" spans="16:26">
      <c r="P150" s="248"/>
      <c r="Q150" s="248"/>
      <c r="R150" s="248"/>
      <c r="S150" s="247"/>
      <c r="T150" s="248"/>
      <c r="U150" s="248"/>
      <c r="V150" s="194"/>
      <c r="W150" s="249"/>
      <c r="X150" s="250"/>
      <c r="Y150" s="251"/>
      <c r="Z150" s="252"/>
    </row>
    <row r="151" spans="16:26">
      <c r="P151" s="248"/>
      <c r="Q151" s="248"/>
      <c r="R151" s="248"/>
      <c r="S151" s="247"/>
      <c r="T151" s="248"/>
      <c r="U151" s="248"/>
      <c r="V151" s="194"/>
      <c r="W151" s="249"/>
      <c r="X151" s="250"/>
      <c r="Y151" s="251"/>
      <c r="Z151" s="252"/>
    </row>
    <row r="152" spans="16:26">
      <c r="P152" s="248"/>
      <c r="Q152" s="248"/>
      <c r="R152" s="248"/>
      <c r="S152" s="247"/>
      <c r="T152" s="248"/>
      <c r="U152" s="248"/>
      <c r="V152" s="194"/>
      <c r="W152" s="249"/>
      <c r="X152" s="250"/>
      <c r="Y152" s="251"/>
      <c r="Z152" s="252"/>
    </row>
    <row r="153" spans="16:26">
      <c r="P153" s="248"/>
      <c r="Q153" s="248"/>
      <c r="R153" s="248"/>
      <c r="S153" s="247"/>
      <c r="T153" s="248"/>
      <c r="U153" s="248"/>
      <c r="V153" s="194"/>
      <c r="W153" s="249"/>
      <c r="X153" s="250"/>
      <c r="Y153" s="251"/>
      <c r="Z153" s="252"/>
    </row>
    <row r="154" spans="16:26">
      <c r="P154" s="248"/>
      <c r="Q154" s="248"/>
      <c r="R154" s="248"/>
      <c r="S154" s="247"/>
      <c r="T154" s="248"/>
      <c r="U154" s="248"/>
      <c r="V154" s="194"/>
      <c r="W154" s="249"/>
      <c r="X154" s="250"/>
      <c r="Y154" s="251"/>
      <c r="Z154" s="252"/>
    </row>
    <row r="155" spans="16:26">
      <c r="P155" s="248"/>
      <c r="Q155" s="248"/>
      <c r="R155" s="248"/>
      <c r="S155" s="247"/>
      <c r="T155" s="248"/>
      <c r="U155" s="248"/>
      <c r="V155" s="194"/>
      <c r="W155" s="249"/>
      <c r="X155" s="250"/>
      <c r="Y155" s="251"/>
      <c r="Z155" s="252"/>
    </row>
    <row r="156" spans="16:26">
      <c r="P156" s="248"/>
      <c r="Q156" s="248"/>
      <c r="R156" s="248"/>
      <c r="S156" s="247"/>
      <c r="T156" s="248"/>
      <c r="U156" s="248"/>
      <c r="V156" s="194"/>
      <c r="W156" s="249"/>
      <c r="X156" s="250"/>
      <c r="Y156" s="251"/>
      <c r="Z156" s="252"/>
    </row>
    <row r="157" spans="16:26">
      <c r="P157" s="248"/>
      <c r="Q157" s="248"/>
      <c r="R157" s="248"/>
      <c r="S157" s="247"/>
      <c r="T157" s="248"/>
      <c r="U157" s="248"/>
      <c r="V157" s="194"/>
      <c r="W157" s="249"/>
      <c r="X157" s="250"/>
      <c r="Y157" s="251"/>
      <c r="Z157" s="252"/>
    </row>
    <row r="158" spans="16:26">
      <c r="P158" s="248"/>
      <c r="Q158" s="248"/>
      <c r="R158" s="248"/>
      <c r="S158" s="247"/>
      <c r="T158" s="248"/>
      <c r="U158" s="248"/>
      <c r="V158" s="194"/>
      <c r="W158" s="249"/>
      <c r="X158" s="250"/>
      <c r="Y158" s="251"/>
      <c r="Z158" s="252"/>
    </row>
    <row r="159" spans="16:26">
      <c r="P159" s="248"/>
      <c r="Q159" s="248"/>
      <c r="R159" s="248"/>
      <c r="S159" s="247"/>
      <c r="T159" s="248"/>
      <c r="U159" s="248"/>
      <c r="V159" s="194"/>
      <c r="W159" s="249"/>
      <c r="X159" s="250"/>
      <c r="Y159" s="251"/>
      <c r="Z159" s="252"/>
    </row>
    <row r="160" spans="16:26">
      <c r="P160" s="248"/>
      <c r="Q160" s="248"/>
      <c r="R160" s="248"/>
      <c r="S160" s="247"/>
      <c r="T160" s="248"/>
      <c r="U160" s="248"/>
      <c r="V160" s="194"/>
      <c r="W160" s="249"/>
      <c r="X160" s="250"/>
      <c r="Y160" s="251"/>
      <c r="Z160" s="252"/>
    </row>
    <row r="161" spans="16:26">
      <c r="P161" s="248"/>
      <c r="Q161" s="248"/>
      <c r="R161" s="248"/>
      <c r="S161" s="247"/>
      <c r="T161" s="248"/>
      <c r="U161" s="248"/>
      <c r="V161" s="194"/>
      <c r="W161" s="249"/>
      <c r="X161" s="250"/>
      <c r="Y161" s="251"/>
      <c r="Z161" s="252"/>
    </row>
    <row r="162" spans="16:26">
      <c r="P162" s="248"/>
      <c r="Q162" s="248"/>
      <c r="R162" s="248"/>
      <c r="S162" s="247"/>
      <c r="T162" s="248"/>
      <c r="U162" s="248"/>
      <c r="V162" s="194"/>
      <c r="W162" s="249"/>
      <c r="X162" s="250"/>
      <c r="Y162" s="251"/>
      <c r="Z162" s="252"/>
    </row>
    <row r="163" spans="16:26">
      <c r="P163" s="248"/>
      <c r="Q163" s="248"/>
      <c r="R163" s="248"/>
      <c r="S163" s="247"/>
      <c r="T163" s="248"/>
      <c r="U163" s="248"/>
      <c r="V163" s="194"/>
      <c r="W163" s="249"/>
      <c r="X163" s="250"/>
      <c r="Y163" s="251"/>
      <c r="Z163" s="252"/>
    </row>
    <row r="164" spans="16:26">
      <c r="P164" s="248"/>
      <c r="Q164" s="248"/>
      <c r="R164" s="248"/>
      <c r="S164" s="247"/>
      <c r="T164" s="248"/>
      <c r="U164" s="248"/>
      <c r="V164" s="194"/>
      <c r="W164" s="249"/>
      <c r="X164" s="250"/>
      <c r="Y164" s="251"/>
      <c r="Z164" s="252"/>
    </row>
    <row r="165" spans="16:26">
      <c r="P165" s="248"/>
      <c r="Q165" s="248"/>
      <c r="R165" s="248"/>
      <c r="S165" s="247"/>
      <c r="T165" s="248"/>
      <c r="U165" s="248"/>
      <c r="V165" s="194"/>
      <c r="W165" s="249"/>
      <c r="X165" s="250"/>
      <c r="Y165" s="251"/>
      <c r="Z165" s="252"/>
    </row>
    <row r="166" spans="16:26">
      <c r="P166" s="248"/>
      <c r="Q166" s="248"/>
      <c r="R166" s="248"/>
      <c r="S166" s="247"/>
      <c r="T166" s="248"/>
      <c r="U166" s="248"/>
      <c r="V166" s="194"/>
      <c r="W166" s="249"/>
      <c r="X166" s="250"/>
      <c r="Y166" s="251"/>
      <c r="Z166" s="252"/>
    </row>
    <row r="167" spans="16:26">
      <c r="P167" s="248"/>
      <c r="Q167" s="248"/>
      <c r="R167" s="248"/>
      <c r="S167" s="247"/>
      <c r="T167" s="248"/>
      <c r="U167" s="248"/>
      <c r="V167" s="194"/>
      <c r="W167" s="249"/>
      <c r="X167" s="250"/>
      <c r="Y167" s="251"/>
      <c r="Z167" s="252"/>
    </row>
    <row r="168" spans="16:26">
      <c r="P168" s="248"/>
      <c r="Q168" s="248"/>
      <c r="R168" s="248"/>
      <c r="S168" s="247"/>
      <c r="T168" s="248"/>
      <c r="U168" s="248"/>
      <c r="V168" s="194"/>
      <c r="W168" s="249"/>
      <c r="X168" s="250"/>
      <c r="Y168" s="251"/>
      <c r="Z168" s="252"/>
    </row>
    <row r="169" spans="16:26">
      <c r="P169" s="248"/>
      <c r="Q169" s="248"/>
      <c r="R169" s="248"/>
      <c r="S169" s="247"/>
      <c r="T169" s="248"/>
      <c r="U169" s="248"/>
      <c r="V169" s="194"/>
      <c r="W169" s="249"/>
      <c r="X169" s="250"/>
      <c r="Y169" s="251"/>
      <c r="Z169" s="252"/>
    </row>
    <row r="170" spans="16:26">
      <c r="P170" s="248"/>
      <c r="Q170" s="248"/>
      <c r="R170" s="248"/>
      <c r="S170" s="247"/>
      <c r="T170" s="248"/>
      <c r="U170" s="248"/>
      <c r="V170" s="194"/>
      <c r="W170" s="249"/>
      <c r="X170" s="250"/>
      <c r="Y170" s="251"/>
      <c r="Z170" s="252"/>
    </row>
    <row r="171" spans="16:26">
      <c r="P171" s="248"/>
      <c r="Q171" s="248"/>
      <c r="R171" s="248"/>
      <c r="S171" s="247"/>
      <c r="T171" s="248"/>
      <c r="U171" s="248"/>
      <c r="V171" s="194"/>
      <c r="W171" s="249"/>
      <c r="X171" s="250"/>
      <c r="Y171" s="251"/>
      <c r="Z171" s="252"/>
    </row>
    <row r="172" spans="16:26">
      <c r="P172" s="248"/>
      <c r="Q172" s="248"/>
      <c r="R172" s="248"/>
      <c r="S172" s="247"/>
      <c r="T172" s="248"/>
      <c r="U172" s="248"/>
      <c r="V172" s="194"/>
      <c r="W172" s="249"/>
      <c r="X172" s="250"/>
      <c r="Y172" s="251"/>
      <c r="Z172" s="252"/>
    </row>
    <row r="173" spans="16:26">
      <c r="P173" s="248"/>
      <c r="Q173" s="248"/>
      <c r="R173" s="248"/>
      <c r="S173" s="247"/>
      <c r="T173" s="248"/>
      <c r="U173" s="248"/>
      <c r="V173" s="194"/>
      <c r="W173" s="249"/>
      <c r="X173" s="250"/>
      <c r="Y173" s="251"/>
      <c r="Z173" s="252"/>
    </row>
    <row r="174" spans="16:26">
      <c r="P174" s="248"/>
      <c r="Q174" s="248"/>
      <c r="R174" s="248"/>
      <c r="S174" s="247"/>
      <c r="T174" s="248"/>
      <c r="U174" s="248"/>
      <c r="V174" s="194"/>
      <c r="W174" s="249"/>
      <c r="X174" s="250"/>
      <c r="Y174" s="251"/>
      <c r="Z174" s="252"/>
    </row>
    <row r="175" spans="16:26">
      <c r="P175" s="248"/>
      <c r="Q175" s="248"/>
      <c r="R175" s="248"/>
      <c r="S175" s="247"/>
      <c r="T175" s="248"/>
      <c r="U175" s="248"/>
      <c r="V175" s="194"/>
      <c r="W175" s="249"/>
      <c r="X175" s="250"/>
      <c r="Y175" s="251"/>
      <c r="Z175" s="252"/>
    </row>
    <row r="176" spans="16:26">
      <c r="P176" s="248"/>
      <c r="Q176" s="248"/>
      <c r="R176" s="248"/>
      <c r="S176" s="247"/>
      <c r="T176" s="248"/>
      <c r="U176" s="248"/>
      <c r="V176" s="194"/>
      <c r="W176" s="249"/>
      <c r="X176" s="250"/>
      <c r="Y176" s="251"/>
      <c r="Z176" s="252"/>
    </row>
    <row r="177" spans="16:26">
      <c r="P177" s="248"/>
      <c r="Q177" s="248"/>
      <c r="R177" s="248"/>
      <c r="S177" s="247"/>
      <c r="T177" s="248"/>
      <c r="U177" s="248"/>
      <c r="V177" s="194"/>
      <c r="W177" s="249"/>
      <c r="X177" s="250"/>
      <c r="Y177" s="251"/>
      <c r="Z177" s="252"/>
    </row>
    <row r="178" spans="16:26">
      <c r="P178" s="248"/>
      <c r="Q178" s="248"/>
      <c r="R178" s="248"/>
      <c r="S178" s="247"/>
      <c r="T178" s="248"/>
      <c r="U178" s="248"/>
      <c r="V178" s="194"/>
      <c r="W178" s="249"/>
      <c r="X178" s="250"/>
      <c r="Y178" s="251"/>
      <c r="Z178" s="252"/>
    </row>
    <row r="179" spans="16:26">
      <c r="P179" s="248"/>
      <c r="Q179" s="248"/>
      <c r="R179" s="248"/>
      <c r="S179" s="247"/>
      <c r="T179" s="248"/>
      <c r="U179" s="248"/>
      <c r="V179" s="194"/>
      <c r="W179" s="249"/>
      <c r="X179" s="250"/>
      <c r="Y179" s="251"/>
      <c r="Z179" s="252"/>
    </row>
    <row r="180" spans="16:26">
      <c r="P180" s="248"/>
      <c r="Q180" s="248"/>
      <c r="R180" s="248"/>
      <c r="S180" s="247"/>
      <c r="T180" s="248"/>
      <c r="U180" s="248"/>
      <c r="V180" s="194"/>
      <c r="W180" s="249"/>
      <c r="X180" s="250"/>
      <c r="Y180" s="251"/>
      <c r="Z180" s="252"/>
    </row>
    <row r="181" spans="16:26">
      <c r="P181" s="248"/>
      <c r="Q181" s="248"/>
      <c r="R181" s="248"/>
      <c r="S181" s="247"/>
      <c r="T181" s="248"/>
      <c r="U181" s="248"/>
      <c r="V181" s="194"/>
      <c r="W181" s="249"/>
      <c r="X181" s="250"/>
      <c r="Y181" s="251"/>
      <c r="Z181" s="252"/>
    </row>
    <row r="182" spans="16:26">
      <c r="P182" s="248"/>
      <c r="Q182" s="248"/>
      <c r="R182" s="248"/>
      <c r="S182" s="247"/>
      <c r="T182" s="248"/>
      <c r="U182" s="248"/>
      <c r="V182" s="194"/>
      <c r="W182" s="249"/>
      <c r="X182" s="250"/>
      <c r="Y182" s="251"/>
      <c r="Z182" s="252"/>
    </row>
    <row r="183" spans="16:26">
      <c r="P183" s="248"/>
      <c r="Q183" s="248"/>
      <c r="R183" s="248"/>
      <c r="S183" s="247"/>
      <c r="T183" s="248"/>
      <c r="U183" s="248"/>
      <c r="V183" s="194"/>
      <c r="W183" s="249"/>
      <c r="X183" s="250"/>
      <c r="Y183" s="251"/>
      <c r="Z183" s="252"/>
    </row>
    <row r="184" spans="16:26">
      <c r="P184" s="248"/>
      <c r="Q184" s="248"/>
      <c r="R184" s="248"/>
      <c r="S184" s="247"/>
      <c r="T184" s="248"/>
      <c r="U184" s="248"/>
      <c r="V184" s="194"/>
      <c r="W184" s="249"/>
      <c r="X184" s="250"/>
      <c r="Y184" s="251"/>
      <c r="Z184" s="252"/>
    </row>
    <row r="185" spans="16:26">
      <c r="P185" s="248"/>
      <c r="Q185" s="248"/>
      <c r="R185" s="248"/>
      <c r="S185" s="247"/>
      <c r="T185" s="248"/>
      <c r="U185" s="248"/>
      <c r="V185" s="194"/>
      <c r="W185" s="249"/>
      <c r="X185" s="250"/>
      <c r="Y185" s="251"/>
      <c r="Z185" s="252"/>
    </row>
    <row r="186" spans="16:26">
      <c r="P186" s="248"/>
      <c r="Q186" s="248"/>
      <c r="R186" s="248"/>
      <c r="S186" s="247"/>
      <c r="T186" s="248"/>
      <c r="U186" s="248"/>
      <c r="V186" s="194"/>
      <c r="W186" s="249"/>
      <c r="X186" s="250"/>
      <c r="Y186" s="251"/>
      <c r="Z186" s="252"/>
    </row>
    <row r="187" spans="16:26">
      <c r="P187" s="248"/>
      <c r="Q187" s="248"/>
      <c r="R187" s="248"/>
      <c r="S187" s="247"/>
      <c r="T187" s="248"/>
      <c r="U187" s="248"/>
      <c r="V187" s="194"/>
      <c r="W187" s="249"/>
      <c r="X187" s="250"/>
      <c r="Y187" s="251"/>
      <c r="Z187" s="252"/>
    </row>
    <row r="188" spans="16:26">
      <c r="P188" s="248"/>
      <c r="Q188" s="248"/>
      <c r="R188" s="248"/>
      <c r="S188" s="247"/>
      <c r="T188" s="248"/>
      <c r="U188" s="248"/>
      <c r="V188" s="194"/>
      <c r="W188" s="249"/>
      <c r="X188" s="250"/>
      <c r="Y188" s="251"/>
      <c r="Z188" s="252"/>
    </row>
    <row r="189" spans="16:26">
      <c r="P189" s="248"/>
      <c r="Q189" s="248"/>
      <c r="R189" s="248"/>
      <c r="S189" s="247"/>
      <c r="T189" s="248"/>
      <c r="U189" s="248"/>
      <c r="V189" s="194"/>
      <c r="W189" s="249"/>
      <c r="X189" s="250"/>
      <c r="Y189" s="251"/>
      <c r="Z189" s="252"/>
    </row>
    <row r="190" spans="16:26">
      <c r="P190" s="248"/>
      <c r="Q190" s="248"/>
      <c r="R190" s="248"/>
      <c r="S190" s="247"/>
      <c r="T190" s="248"/>
      <c r="U190" s="248"/>
      <c r="V190" s="194"/>
      <c r="W190" s="249"/>
      <c r="X190" s="250"/>
      <c r="Y190" s="251"/>
      <c r="Z190" s="252"/>
    </row>
    <row r="191" spans="16:26">
      <c r="P191" s="248"/>
      <c r="Q191" s="248"/>
      <c r="R191" s="248"/>
      <c r="S191" s="247"/>
      <c r="T191" s="248"/>
      <c r="U191" s="248"/>
      <c r="V191" s="194"/>
      <c r="W191" s="249"/>
      <c r="X191" s="250"/>
      <c r="Y191" s="251"/>
      <c r="Z191" s="252"/>
    </row>
    <row r="192" spans="16:26">
      <c r="P192" s="248"/>
      <c r="Q192" s="248"/>
      <c r="R192" s="248"/>
      <c r="S192" s="247"/>
      <c r="T192" s="248"/>
      <c r="U192" s="248"/>
      <c r="V192" s="194"/>
      <c r="W192" s="249"/>
      <c r="X192" s="250"/>
      <c r="Y192" s="251"/>
      <c r="Z192" s="252"/>
    </row>
    <row r="193" spans="16:26">
      <c r="P193" s="248"/>
      <c r="Q193" s="248"/>
      <c r="R193" s="248"/>
      <c r="S193" s="247"/>
      <c r="T193" s="248"/>
      <c r="U193" s="248"/>
      <c r="V193" s="194"/>
      <c r="W193" s="249"/>
      <c r="X193" s="250"/>
      <c r="Y193" s="251"/>
      <c r="Z193" s="252"/>
    </row>
    <row r="194" spans="16:26">
      <c r="P194" s="248"/>
      <c r="Q194" s="248"/>
      <c r="R194" s="248"/>
      <c r="S194" s="247"/>
      <c r="T194" s="248"/>
      <c r="U194" s="248"/>
      <c r="V194" s="194"/>
      <c r="W194" s="249"/>
      <c r="X194" s="250"/>
      <c r="Y194" s="251"/>
      <c r="Z194" s="252"/>
    </row>
    <row r="195" spans="16:26">
      <c r="P195" s="248"/>
      <c r="Q195" s="248"/>
      <c r="R195" s="248"/>
      <c r="S195" s="247"/>
      <c r="T195" s="248"/>
      <c r="U195" s="248"/>
      <c r="V195" s="194"/>
      <c r="W195" s="249"/>
      <c r="X195" s="250"/>
      <c r="Y195" s="251"/>
      <c r="Z195" s="252"/>
    </row>
    <row r="196" spans="16:26">
      <c r="P196" s="248"/>
      <c r="Q196" s="248"/>
      <c r="R196" s="248"/>
      <c r="S196" s="247"/>
      <c r="T196" s="248"/>
      <c r="U196" s="248"/>
      <c r="V196" s="194"/>
      <c r="W196" s="249"/>
      <c r="X196" s="250"/>
      <c r="Y196" s="251"/>
      <c r="Z196" s="252"/>
    </row>
    <row r="197" spans="16:26">
      <c r="P197" s="248"/>
      <c r="Q197" s="248"/>
      <c r="R197" s="248"/>
      <c r="S197" s="247"/>
      <c r="T197" s="248"/>
      <c r="U197" s="248"/>
      <c r="V197" s="194"/>
      <c r="W197" s="249"/>
      <c r="X197" s="250"/>
      <c r="Y197" s="251"/>
      <c r="Z197" s="252"/>
    </row>
    <row r="198" spans="16:26">
      <c r="P198" s="248"/>
      <c r="Q198" s="248"/>
      <c r="R198" s="248"/>
      <c r="S198" s="247"/>
      <c r="T198" s="248"/>
      <c r="U198" s="248"/>
      <c r="V198" s="194"/>
      <c r="W198" s="249"/>
      <c r="X198" s="250"/>
      <c r="Y198" s="251"/>
      <c r="Z198" s="252"/>
    </row>
    <row r="199" spans="16:26">
      <c r="P199" s="248"/>
      <c r="Q199" s="248"/>
      <c r="R199" s="248"/>
      <c r="S199" s="247"/>
      <c r="T199" s="248"/>
      <c r="U199" s="248"/>
      <c r="V199" s="194"/>
      <c r="W199" s="249"/>
      <c r="X199" s="250"/>
      <c r="Y199" s="251"/>
      <c r="Z199" s="252"/>
    </row>
    <row r="200" spans="16:26">
      <c r="P200" s="248"/>
      <c r="Q200" s="248"/>
      <c r="R200" s="248"/>
      <c r="S200" s="247"/>
      <c r="T200" s="248"/>
      <c r="U200" s="248"/>
      <c r="V200" s="194"/>
      <c r="W200" s="249"/>
      <c r="X200" s="250"/>
      <c r="Y200" s="251"/>
      <c r="Z200" s="252"/>
    </row>
    <row r="201" spans="16:26">
      <c r="P201" s="248"/>
      <c r="Q201" s="248"/>
      <c r="R201" s="248"/>
      <c r="S201" s="247"/>
      <c r="T201" s="248"/>
      <c r="U201" s="248"/>
      <c r="V201" s="194"/>
      <c r="W201" s="249"/>
      <c r="X201" s="250"/>
      <c r="Y201" s="251"/>
      <c r="Z201" s="252"/>
    </row>
    <row r="202" spans="16:26">
      <c r="P202" s="248"/>
      <c r="Q202" s="248"/>
      <c r="R202" s="248"/>
      <c r="S202" s="247"/>
      <c r="T202" s="248"/>
      <c r="U202" s="248"/>
      <c r="V202" s="194"/>
      <c r="W202" s="249"/>
      <c r="X202" s="250"/>
      <c r="Y202" s="251"/>
      <c r="Z202" s="252"/>
    </row>
    <row r="203" spans="16:26">
      <c r="P203" s="248"/>
      <c r="Q203" s="248"/>
      <c r="R203" s="248"/>
      <c r="S203" s="247"/>
      <c r="T203" s="248"/>
      <c r="U203" s="248"/>
      <c r="V203" s="194"/>
      <c r="W203" s="249"/>
      <c r="X203" s="250"/>
      <c r="Y203" s="251"/>
      <c r="Z203" s="252"/>
    </row>
    <row r="204" spans="16:26">
      <c r="P204" s="248"/>
      <c r="Q204" s="248"/>
      <c r="R204" s="248"/>
      <c r="S204" s="247"/>
      <c r="T204" s="248"/>
      <c r="U204" s="248"/>
      <c r="V204" s="194"/>
      <c r="W204" s="249"/>
      <c r="X204" s="250"/>
      <c r="Y204" s="251"/>
      <c r="Z204" s="252"/>
    </row>
    <row r="205" spans="16:26">
      <c r="P205" s="248"/>
      <c r="Q205" s="248"/>
      <c r="R205" s="248"/>
      <c r="S205" s="247"/>
      <c r="T205" s="248"/>
      <c r="U205" s="248"/>
      <c r="V205" s="194"/>
      <c r="W205" s="249"/>
      <c r="X205" s="250"/>
      <c r="Y205" s="251"/>
      <c r="Z205" s="252"/>
    </row>
    <row r="206" spans="16:26">
      <c r="P206" s="248"/>
      <c r="Q206" s="248"/>
      <c r="R206" s="248"/>
      <c r="S206" s="247"/>
      <c r="T206" s="248"/>
      <c r="U206" s="248"/>
      <c r="V206" s="194"/>
      <c r="W206" s="249"/>
      <c r="X206" s="250"/>
      <c r="Y206" s="251"/>
      <c r="Z206" s="252"/>
    </row>
    <row r="207" spans="16:26">
      <c r="P207" s="248"/>
      <c r="Q207" s="248"/>
      <c r="R207" s="248"/>
      <c r="S207" s="247"/>
      <c r="T207" s="248"/>
      <c r="U207" s="248"/>
      <c r="V207" s="194"/>
      <c r="W207" s="249"/>
      <c r="X207" s="250"/>
      <c r="Y207" s="251"/>
      <c r="Z207" s="252"/>
    </row>
    <row r="208" spans="16:26">
      <c r="P208" s="248"/>
      <c r="Q208" s="248"/>
      <c r="R208" s="248"/>
      <c r="S208" s="247"/>
      <c r="T208" s="248"/>
      <c r="U208" s="248"/>
      <c r="V208" s="194"/>
      <c r="W208" s="249"/>
      <c r="X208" s="250"/>
      <c r="Y208" s="251"/>
      <c r="Z208" s="252"/>
    </row>
    <row r="209" spans="16:26">
      <c r="P209" s="248"/>
      <c r="Q209" s="248"/>
      <c r="R209" s="248"/>
      <c r="S209" s="247"/>
      <c r="T209" s="248"/>
      <c r="U209" s="248"/>
      <c r="V209" s="194"/>
      <c r="W209" s="249"/>
      <c r="X209" s="250"/>
      <c r="Y209" s="251"/>
      <c r="Z209" s="252"/>
    </row>
    <row r="210" spans="16:26">
      <c r="P210" s="248"/>
      <c r="Q210" s="248"/>
      <c r="R210" s="248"/>
      <c r="S210" s="247"/>
      <c r="T210" s="248"/>
      <c r="U210" s="248"/>
      <c r="V210" s="194"/>
      <c r="W210" s="249"/>
      <c r="X210" s="250"/>
      <c r="Y210" s="251"/>
      <c r="Z210" s="252"/>
    </row>
    <row r="211" spans="16:26">
      <c r="P211" s="248"/>
      <c r="Q211" s="248"/>
      <c r="R211" s="248"/>
      <c r="S211" s="247"/>
      <c r="T211" s="248"/>
      <c r="U211" s="248"/>
      <c r="V211" s="194"/>
      <c r="W211" s="249"/>
      <c r="X211" s="250"/>
      <c r="Y211" s="251"/>
      <c r="Z211" s="252"/>
    </row>
    <row r="212" spans="16:26">
      <c r="P212" s="248"/>
      <c r="Q212" s="248"/>
      <c r="R212" s="248"/>
      <c r="S212" s="247"/>
      <c r="T212" s="248"/>
      <c r="U212" s="248"/>
      <c r="V212" s="194"/>
      <c r="W212" s="249"/>
      <c r="X212" s="250"/>
      <c r="Y212" s="251"/>
      <c r="Z212" s="252"/>
    </row>
    <row r="213" spans="16:26">
      <c r="P213" s="248"/>
      <c r="Q213" s="248"/>
      <c r="R213" s="248"/>
      <c r="S213" s="247"/>
      <c r="T213" s="248"/>
      <c r="U213" s="248"/>
      <c r="V213" s="194"/>
      <c r="W213" s="249"/>
      <c r="X213" s="250"/>
      <c r="Y213" s="251"/>
      <c r="Z213" s="252"/>
    </row>
    <row r="214" spans="16:26">
      <c r="P214" s="248"/>
      <c r="Q214" s="248"/>
      <c r="R214" s="248"/>
      <c r="S214" s="247"/>
      <c r="T214" s="248"/>
      <c r="U214" s="248"/>
      <c r="V214" s="194"/>
      <c r="W214" s="249"/>
      <c r="X214" s="250"/>
      <c r="Y214" s="251"/>
      <c r="Z214" s="252"/>
    </row>
    <row r="215" spans="16:26">
      <c r="P215" s="248"/>
      <c r="Q215" s="248"/>
      <c r="R215" s="248"/>
      <c r="S215" s="247"/>
      <c r="T215" s="248"/>
      <c r="U215" s="248"/>
      <c r="V215" s="194"/>
      <c r="W215" s="249"/>
      <c r="X215" s="250"/>
      <c r="Y215" s="251"/>
      <c r="Z215" s="252"/>
    </row>
    <row r="216" spans="16:26">
      <c r="P216" s="248"/>
      <c r="Q216" s="248"/>
      <c r="R216" s="248"/>
      <c r="S216" s="247"/>
      <c r="T216" s="248"/>
      <c r="U216" s="248"/>
      <c r="V216" s="194"/>
      <c r="W216" s="249"/>
      <c r="X216" s="250"/>
      <c r="Y216" s="251"/>
      <c r="Z216" s="252"/>
    </row>
    <row r="217" spans="16:26">
      <c r="P217" s="248"/>
      <c r="Q217" s="248"/>
      <c r="R217" s="248"/>
      <c r="S217" s="247"/>
      <c r="T217" s="248"/>
      <c r="U217" s="248"/>
      <c r="V217" s="194"/>
      <c r="W217" s="249"/>
      <c r="X217" s="250"/>
      <c r="Y217" s="251"/>
      <c r="Z217" s="252"/>
    </row>
    <row r="218" spans="16:26">
      <c r="P218" s="248"/>
      <c r="Q218" s="248"/>
      <c r="R218" s="248"/>
      <c r="S218" s="247"/>
      <c r="T218" s="248"/>
      <c r="U218" s="248"/>
      <c r="V218" s="194"/>
      <c r="W218" s="249"/>
      <c r="X218" s="250"/>
      <c r="Y218" s="251"/>
      <c r="Z218" s="252"/>
    </row>
    <row r="219" spans="16:26">
      <c r="P219" s="248"/>
      <c r="Q219" s="248"/>
      <c r="R219" s="248"/>
      <c r="S219" s="247"/>
      <c r="T219" s="248"/>
      <c r="U219" s="248"/>
      <c r="V219" s="194"/>
      <c r="W219" s="249"/>
      <c r="X219" s="250"/>
      <c r="Y219" s="251"/>
      <c r="Z219" s="252"/>
    </row>
    <row r="220" spans="16:26">
      <c r="P220" s="248"/>
      <c r="Q220" s="248"/>
      <c r="R220" s="248"/>
      <c r="S220" s="247"/>
      <c r="T220" s="248"/>
      <c r="U220" s="248"/>
      <c r="V220" s="194"/>
      <c r="W220" s="249"/>
      <c r="X220" s="250"/>
      <c r="Y220" s="251"/>
      <c r="Z220" s="252"/>
    </row>
    <row r="221" spans="16:26">
      <c r="P221" s="248"/>
      <c r="Q221" s="248"/>
      <c r="R221" s="248"/>
      <c r="S221" s="247"/>
      <c r="T221" s="248"/>
      <c r="U221" s="248"/>
      <c r="V221" s="194"/>
      <c r="W221" s="249"/>
      <c r="X221" s="250"/>
      <c r="Y221" s="251"/>
      <c r="Z221" s="252"/>
    </row>
    <row r="222" spans="16:26">
      <c r="P222" s="248"/>
      <c r="Q222" s="248"/>
      <c r="R222" s="248"/>
      <c r="S222" s="247"/>
      <c r="T222" s="248"/>
      <c r="U222" s="248"/>
      <c r="V222" s="194"/>
      <c r="W222" s="249"/>
      <c r="X222" s="250"/>
      <c r="Y222" s="251"/>
      <c r="Z222" s="252"/>
    </row>
    <row r="223" spans="16:26">
      <c r="P223" s="248"/>
      <c r="Q223" s="248"/>
      <c r="R223" s="248"/>
      <c r="S223" s="247"/>
      <c r="T223" s="248"/>
      <c r="U223" s="248"/>
      <c r="V223" s="194"/>
      <c r="W223" s="249"/>
      <c r="X223" s="250"/>
      <c r="Y223" s="251"/>
      <c r="Z223" s="252"/>
    </row>
    <row r="224" spans="16:26">
      <c r="P224" s="248"/>
      <c r="Q224" s="248"/>
      <c r="R224" s="248"/>
      <c r="S224" s="247"/>
      <c r="T224" s="248"/>
      <c r="U224" s="248"/>
      <c r="V224" s="194"/>
      <c r="W224" s="249"/>
      <c r="X224" s="250"/>
      <c r="Y224" s="251"/>
      <c r="Z224" s="252"/>
    </row>
    <row r="225" spans="16:26">
      <c r="P225" s="248"/>
      <c r="Q225" s="248"/>
      <c r="R225" s="248"/>
      <c r="S225" s="247"/>
      <c r="T225" s="248"/>
      <c r="U225" s="248"/>
      <c r="V225" s="194"/>
      <c r="W225" s="249"/>
      <c r="X225" s="250"/>
      <c r="Y225" s="251"/>
      <c r="Z225" s="252"/>
    </row>
    <row r="226" spans="16:26">
      <c r="P226" s="248"/>
      <c r="Q226" s="248"/>
      <c r="R226" s="248"/>
      <c r="S226" s="247"/>
      <c r="T226" s="248"/>
      <c r="U226" s="248"/>
      <c r="V226" s="194"/>
      <c r="W226" s="249"/>
      <c r="X226" s="250"/>
      <c r="Y226" s="251"/>
      <c r="Z226" s="252"/>
    </row>
    <row r="227" spans="16:26">
      <c r="P227" s="248"/>
      <c r="Q227" s="248"/>
      <c r="R227" s="248"/>
      <c r="S227" s="247"/>
      <c r="T227" s="248"/>
      <c r="U227" s="248"/>
      <c r="V227" s="194"/>
      <c r="W227" s="249"/>
      <c r="X227" s="250"/>
      <c r="Y227" s="251"/>
      <c r="Z227" s="252"/>
    </row>
    <row r="228" spans="16:26">
      <c r="P228" s="248"/>
      <c r="Q228" s="248"/>
      <c r="R228" s="248"/>
      <c r="S228" s="247"/>
      <c r="T228" s="248"/>
      <c r="U228" s="248"/>
      <c r="V228" s="194"/>
      <c r="W228" s="249"/>
      <c r="X228" s="250"/>
      <c r="Y228" s="251"/>
      <c r="Z228" s="252"/>
    </row>
    <row r="229" spans="16:26">
      <c r="P229" s="248"/>
      <c r="Q229" s="248"/>
      <c r="R229" s="248"/>
      <c r="S229" s="247"/>
      <c r="T229" s="248"/>
      <c r="U229" s="248"/>
      <c r="V229" s="194"/>
      <c r="W229" s="249"/>
      <c r="X229" s="250"/>
      <c r="Y229" s="251"/>
      <c r="Z229" s="252"/>
    </row>
    <row r="230" spans="16:26">
      <c r="P230" s="248"/>
      <c r="Q230" s="248"/>
      <c r="R230" s="248"/>
      <c r="S230" s="247"/>
      <c r="T230" s="248"/>
      <c r="U230" s="248"/>
      <c r="V230" s="194"/>
      <c r="W230" s="249"/>
      <c r="X230" s="250"/>
      <c r="Y230" s="251"/>
      <c r="Z230" s="252"/>
    </row>
    <row r="231" spans="16:26">
      <c r="P231" s="248"/>
      <c r="Q231" s="248"/>
      <c r="R231" s="248"/>
      <c r="S231" s="247"/>
      <c r="T231" s="248"/>
      <c r="U231" s="248"/>
      <c r="V231" s="194"/>
      <c r="W231" s="249"/>
      <c r="X231" s="250"/>
      <c r="Y231" s="251"/>
      <c r="Z231" s="252"/>
    </row>
    <row r="232" spans="16:26">
      <c r="P232" s="248"/>
      <c r="Q232" s="248"/>
      <c r="R232" s="248"/>
      <c r="S232" s="247"/>
      <c r="T232" s="248"/>
      <c r="U232" s="248"/>
      <c r="V232" s="194"/>
      <c r="W232" s="249"/>
      <c r="X232" s="250"/>
      <c r="Y232" s="251"/>
      <c r="Z232" s="252"/>
    </row>
    <row r="233" spans="16:26">
      <c r="P233" s="248"/>
      <c r="Q233" s="248"/>
      <c r="R233" s="248"/>
      <c r="S233" s="247"/>
      <c r="T233" s="248"/>
      <c r="U233" s="248"/>
      <c r="V233" s="194"/>
      <c r="W233" s="249"/>
      <c r="X233" s="250"/>
      <c r="Y233" s="251"/>
      <c r="Z233" s="252"/>
    </row>
    <row r="234" spans="16:26">
      <c r="P234" s="248"/>
      <c r="Q234" s="248"/>
      <c r="R234" s="248"/>
      <c r="S234" s="247"/>
      <c r="T234" s="248"/>
      <c r="U234" s="248"/>
      <c r="V234" s="194"/>
      <c r="W234" s="249"/>
      <c r="X234" s="250"/>
      <c r="Y234" s="251"/>
      <c r="Z234" s="252"/>
    </row>
    <row r="235" spans="16:26">
      <c r="P235" s="248"/>
      <c r="Q235" s="248"/>
      <c r="R235" s="248"/>
      <c r="S235" s="247"/>
      <c r="T235" s="248"/>
      <c r="U235" s="248"/>
      <c r="V235" s="194"/>
      <c r="W235" s="249"/>
      <c r="X235" s="250"/>
      <c r="Y235" s="251"/>
      <c r="Z235" s="252"/>
    </row>
    <row r="236" spans="16:26">
      <c r="P236" s="248"/>
      <c r="Q236" s="248"/>
      <c r="R236" s="248"/>
      <c r="S236" s="247"/>
      <c r="T236" s="248"/>
      <c r="U236" s="248"/>
      <c r="V236" s="194"/>
      <c r="W236" s="249"/>
      <c r="X236" s="250"/>
      <c r="Y236" s="251"/>
      <c r="Z236" s="252"/>
    </row>
    <row r="237" spans="16:26">
      <c r="P237" s="248"/>
      <c r="Q237" s="248"/>
      <c r="R237" s="248"/>
      <c r="S237" s="247"/>
      <c r="T237" s="248"/>
      <c r="U237" s="248"/>
      <c r="V237" s="194"/>
      <c r="W237" s="249"/>
      <c r="X237" s="250"/>
      <c r="Y237" s="251"/>
      <c r="Z237" s="252"/>
    </row>
    <row r="238" spans="16:26">
      <c r="P238" s="248"/>
      <c r="Q238" s="248"/>
      <c r="R238" s="248"/>
      <c r="S238" s="247"/>
      <c r="T238" s="248"/>
      <c r="U238" s="248"/>
      <c r="V238" s="194"/>
      <c r="W238" s="249"/>
      <c r="X238" s="250"/>
      <c r="Y238" s="251"/>
      <c r="Z238" s="252"/>
    </row>
    <row r="239" spans="16:26">
      <c r="P239" s="248"/>
      <c r="Q239" s="248"/>
      <c r="R239" s="248"/>
      <c r="S239" s="247"/>
      <c r="T239" s="248"/>
      <c r="U239" s="248"/>
      <c r="V239" s="194"/>
      <c r="W239" s="249"/>
      <c r="X239" s="250"/>
      <c r="Y239" s="251"/>
      <c r="Z239" s="252"/>
    </row>
    <row r="240" spans="16:26">
      <c r="P240" s="248"/>
      <c r="Q240" s="248"/>
      <c r="R240" s="248"/>
      <c r="S240" s="247"/>
      <c r="T240" s="248"/>
      <c r="U240" s="248"/>
      <c r="V240" s="194"/>
      <c r="W240" s="249"/>
      <c r="X240" s="250"/>
      <c r="Y240" s="251"/>
      <c r="Z240" s="252"/>
    </row>
    <row r="241" spans="16:26">
      <c r="P241" s="248"/>
      <c r="Q241" s="248"/>
      <c r="R241" s="248"/>
      <c r="S241" s="247"/>
      <c r="T241" s="248"/>
      <c r="U241" s="248"/>
      <c r="V241" s="194"/>
      <c r="W241" s="249"/>
      <c r="X241" s="250"/>
      <c r="Y241" s="251"/>
      <c r="Z241" s="252"/>
    </row>
    <row r="242" spans="16:26">
      <c r="P242" s="248"/>
      <c r="Q242" s="248"/>
      <c r="R242" s="248"/>
      <c r="S242" s="247"/>
      <c r="T242" s="248"/>
      <c r="U242" s="248"/>
      <c r="V242" s="194"/>
      <c r="W242" s="249"/>
      <c r="X242" s="250"/>
      <c r="Y242" s="251"/>
      <c r="Z242" s="252"/>
    </row>
    <row r="243" spans="16:26">
      <c r="P243" s="248"/>
      <c r="Q243" s="248"/>
      <c r="R243" s="248"/>
      <c r="S243" s="247"/>
      <c r="T243" s="248"/>
      <c r="U243" s="248"/>
      <c r="V243" s="194"/>
      <c r="W243" s="249"/>
      <c r="X243" s="250"/>
      <c r="Y243" s="251"/>
      <c r="Z243" s="252"/>
    </row>
    <row r="244" spans="16:26">
      <c r="P244" s="248"/>
      <c r="Q244" s="248"/>
      <c r="R244" s="248"/>
      <c r="S244" s="247"/>
      <c r="T244" s="248"/>
      <c r="U244" s="248"/>
      <c r="V244" s="194"/>
      <c r="W244" s="249"/>
      <c r="X244" s="250"/>
      <c r="Y244" s="251"/>
      <c r="Z244" s="252"/>
    </row>
    <row r="245" spans="16:26">
      <c r="P245" s="248"/>
      <c r="Q245" s="248"/>
      <c r="R245" s="248"/>
      <c r="S245" s="247"/>
      <c r="T245" s="248"/>
      <c r="U245" s="248"/>
      <c r="V245" s="194"/>
      <c r="W245" s="249"/>
      <c r="X245" s="250"/>
      <c r="Y245" s="251"/>
      <c r="Z245" s="252"/>
    </row>
    <row r="246" spans="16:26">
      <c r="P246" s="248"/>
      <c r="Q246" s="248"/>
      <c r="R246" s="248"/>
      <c r="S246" s="247"/>
      <c r="T246" s="248"/>
      <c r="U246" s="248"/>
      <c r="V246" s="194"/>
      <c r="W246" s="249"/>
      <c r="X246" s="250"/>
      <c r="Y246" s="251"/>
      <c r="Z246" s="252"/>
    </row>
    <row r="247" spans="16:26">
      <c r="P247" s="248"/>
      <c r="Q247" s="248"/>
      <c r="R247" s="248"/>
      <c r="S247" s="247"/>
      <c r="T247" s="248"/>
      <c r="U247" s="248"/>
      <c r="V247" s="194"/>
      <c r="W247" s="249"/>
      <c r="X247" s="250"/>
      <c r="Y247" s="251"/>
      <c r="Z247" s="252"/>
    </row>
    <row r="248" spans="16:26">
      <c r="P248" s="248"/>
      <c r="Q248" s="248"/>
      <c r="R248" s="248"/>
      <c r="S248" s="247"/>
      <c r="T248" s="248"/>
      <c r="U248" s="248"/>
      <c r="V248" s="194"/>
      <c r="W248" s="249"/>
      <c r="X248" s="250"/>
      <c r="Y248" s="251"/>
      <c r="Z248" s="252"/>
    </row>
    <row r="249" spans="16:26">
      <c r="P249" s="248"/>
      <c r="Q249" s="248"/>
      <c r="R249" s="248"/>
      <c r="S249" s="247"/>
      <c r="T249" s="248"/>
      <c r="U249" s="248"/>
      <c r="V249" s="194"/>
      <c r="W249" s="249"/>
      <c r="X249" s="250"/>
      <c r="Y249" s="251"/>
      <c r="Z249" s="252"/>
    </row>
    <row r="250" spans="16:26">
      <c r="P250" s="248"/>
      <c r="Q250" s="248"/>
      <c r="R250" s="248"/>
      <c r="S250" s="247"/>
      <c r="T250" s="248"/>
      <c r="U250" s="248"/>
      <c r="V250" s="194"/>
      <c r="W250" s="249"/>
      <c r="X250" s="250"/>
      <c r="Y250" s="251"/>
      <c r="Z250" s="252"/>
    </row>
    <row r="251" spans="16:26">
      <c r="P251" s="248"/>
      <c r="Q251" s="248"/>
      <c r="R251" s="248"/>
      <c r="S251" s="247"/>
      <c r="T251" s="248"/>
      <c r="U251" s="248"/>
      <c r="V251" s="194"/>
      <c r="W251" s="249"/>
      <c r="X251" s="250"/>
      <c r="Y251" s="251"/>
      <c r="Z251" s="252"/>
    </row>
    <row r="252" spans="16:26">
      <c r="P252" s="248"/>
      <c r="Q252" s="248"/>
      <c r="R252" s="248"/>
      <c r="S252" s="247"/>
      <c r="T252" s="248"/>
      <c r="U252" s="248"/>
      <c r="V252" s="194"/>
      <c r="W252" s="249"/>
      <c r="X252" s="250"/>
      <c r="Y252" s="251"/>
      <c r="Z252" s="252"/>
    </row>
    <row r="253" spans="16:26">
      <c r="P253" s="248"/>
      <c r="Q253" s="248"/>
      <c r="R253" s="248"/>
      <c r="S253" s="247"/>
      <c r="T253" s="248"/>
      <c r="U253" s="248"/>
      <c r="V253" s="194"/>
      <c r="W253" s="249"/>
      <c r="X253" s="250"/>
      <c r="Y253" s="251"/>
      <c r="Z253" s="252"/>
    </row>
    <row r="254" spans="16:26">
      <c r="P254" s="248"/>
      <c r="Q254" s="248"/>
      <c r="R254" s="248"/>
      <c r="S254" s="247"/>
      <c r="T254" s="248"/>
      <c r="U254" s="248"/>
      <c r="V254" s="194"/>
      <c r="W254" s="249"/>
      <c r="X254" s="250"/>
      <c r="Y254" s="251"/>
      <c r="Z254" s="252"/>
    </row>
    <row r="255" spans="16:26">
      <c r="P255" s="248"/>
      <c r="Q255" s="248"/>
      <c r="R255" s="248"/>
      <c r="S255" s="247"/>
      <c r="T255" s="248"/>
      <c r="U255" s="248"/>
      <c r="V255" s="194"/>
      <c r="W255" s="249"/>
      <c r="X255" s="250"/>
      <c r="Y255" s="251"/>
      <c r="Z255" s="252"/>
    </row>
    <row r="256" spans="16:26">
      <c r="P256" s="248"/>
      <c r="Q256" s="248"/>
      <c r="R256" s="248"/>
      <c r="S256" s="247"/>
      <c r="T256" s="248"/>
      <c r="U256" s="248"/>
      <c r="V256" s="194"/>
      <c r="W256" s="249"/>
      <c r="X256" s="250"/>
      <c r="Y256" s="251"/>
      <c r="Z256" s="252"/>
    </row>
    <row r="257" spans="16:26">
      <c r="P257" s="248"/>
      <c r="Q257" s="248"/>
      <c r="R257" s="248"/>
      <c r="S257" s="247"/>
      <c r="T257" s="248"/>
      <c r="U257" s="248"/>
      <c r="V257" s="194"/>
      <c r="W257" s="249"/>
      <c r="X257" s="250"/>
      <c r="Y257" s="251"/>
      <c r="Z257" s="252"/>
    </row>
    <row r="258" spans="16:26">
      <c r="P258" s="248"/>
      <c r="Q258" s="248"/>
      <c r="R258" s="248"/>
      <c r="S258" s="247"/>
      <c r="T258" s="248"/>
      <c r="U258" s="248"/>
      <c r="V258" s="194"/>
      <c r="W258" s="249"/>
      <c r="X258" s="250"/>
      <c r="Y258" s="251"/>
      <c r="Z258" s="252"/>
    </row>
    <row r="259" spans="16:26">
      <c r="P259" s="248"/>
      <c r="Q259" s="248"/>
      <c r="R259" s="248"/>
      <c r="S259" s="247"/>
      <c r="T259" s="248"/>
      <c r="U259" s="248"/>
      <c r="V259" s="194"/>
      <c r="W259" s="249"/>
      <c r="X259" s="250"/>
      <c r="Y259" s="251"/>
      <c r="Z259" s="252"/>
    </row>
    <row r="260" spans="16:26">
      <c r="P260" s="248"/>
      <c r="Q260" s="248"/>
      <c r="R260" s="248"/>
      <c r="S260" s="247"/>
      <c r="T260" s="248"/>
      <c r="U260" s="248"/>
      <c r="V260" s="194"/>
      <c r="W260" s="249"/>
      <c r="X260" s="250"/>
      <c r="Y260" s="251"/>
      <c r="Z260" s="252"/>
    </row>
    <row r="261" spans="16:26">
      <c r="P261" s="248"/>
      <c r="Q261" s="248"/>
      <c r="R261" s="248"/>
      <c r="S261" s="247"/>
      <c r="T261" s="248"/>
      <c r="U261" s="248"/>
      <c r="V261" s="194"/>
      <c r="W261" s="249"/>
      <c r="X261" s="250"/>
      <c r="Y261" s="251"/>
      <c r="Z261" s="252"/>
    </row>
    <row r="262" spans="16:26">
      <c r="P262" s="248"/>
      <c r="Q262" s="248"/>
      <c r="R262" s="248"/>
      <c r="S262" s="247"/>
      <c r="T262" s="248"/>
      <c r="U262" s="248"/>
      <c r="V262" s="194"/>
      <c r="W262" s="249"/>
      <c r="X262" s="250"/>
      <c r="Y262" s="251"/>
      <c r="Z262" s="252"/>
    </row>
    <row r="263" spans="16:26">
      <c r="P263" s="248"/>
      <c r="Q263" s="248"/>
      <c r="R263" s="248"/>
      <c r="S263" s="247"/>
      <c r="T263" s="248"/>
      <c r="U263" s="248"/>
      <c r="V263" s="194"/>
      <c r="W263" s="249"/>
      <c r="X263" s="250"/>
      <c r="Y263" s="251"/>
      <c r="Z263" s="252"/>
    </row>
    <row r="264" spans="16:26">
      <c r="P264" s="248"/>
      <c r="Q264" s="248"/>
      <c r="R264" s="248"/>
      <c r="S264" s="247"/>
      <c r="T264" s="248"/>
      <c r="U264" s="248"/>
      <c r="V264" s="194"/>
      <c r="W264" s="249"/>
      <c r="X264" s="250"/>
      <c r="Y264" s="251"/>
      <c r="Z264" s="252"/>
    </row>
    <row r="265" spans="16:26">
      <c r="P265" s="248"/>
      <c r="Q265" s="248"/>
      <c r="R265" s="248"/>
      <c r="S265" s="247"/>
      <c r="T265" s="248"/>
      <c r="U265" s="248"/>
      <c r="V265" s="194"/>
      <c r="W265" s="249"/>
      <c r="X265" s="250"/>
      <c r="Y265" s="251"/>
      <c r="Z265" s="252"/>
    </row>
    <row r="266" spans="16:26">
      <c r="P266" s="248"/>
      <c r="Q266" s="248"/>
      <c r="R266" s="248"/>
      <c r="S266" s="247"/>
      <c r="T266" s="248"/>
      <c r="U266" s="248"/>
      <c r="V266" s="194"/>
      <c r="W266" s="249"/>
      <c r="X266" s="250"/>
      <c r="Y266" s="251"/>
      <c r="Z266" s="252"/>
    </row>
    <row r="267" spans="16:26">
      <c r="P267" s="248"/>
      <c r="Q267" s="248"/>
      <c r="R267" s="248"/>
      <c r="S267" s="247"/>
      <c r="T267" s="248"/>
      <c r="U267" s="248"/>
      <c r="V267" s="194"/>
      <c r="W267" s="249"/>
      <c r="X267" s="250"/>
      <c r="Y267" s="251"/>
      <c r="Z267" s="252"/>
    </row>
    <row r="268" spans="16:26">
      <c r="P268" s="248"/>
      <c r="Q268" s="248"/>
      <c r="R268" s="248"/>
      <c r="S268" s="247"/>
      <c r="T268" s="248"/>
      <c r="U268" s="248"/>
      <c r="V268" s="194"/>
      <c r="W268" s="249"/>
      <c r="X268" s="250"/>
      <c r="Y268" s="251"/>
      <c r="Z268" s="252"/>
    </row>
    <row r="269" spans="16:26">
      <c r="P269" s="248"/>
      <c r="Q269" s="248"/>
      <c r="R269" s="248"/>
      <c r="S269" s="247"/>
      <c r="T269" s="248"/>
      <c r="U269" s="248"/>
      <c r="V269" s="194"/>
      <c r="W269" s="249"/>
      <c r="X269" s="250"/>
      <c r="Y269" s="251"/>
      <c r="Z269" s="252"/>
    </row>
    <row r="270" spans="16:26">
      <c r="P270" s="248"/>
      <c r="Q270" s="248"/>
      <c r="R270" s="248"/>
      <c r="S270" s="247"/>
      <c r="T270" s="248"/>
      <c r="U270" s="248"/>
      <c r="V270" s="194"/>
      <c r="W270" s="249"/>
      <c r="X270" s="250"/>
      <c r="Y270" s="251"/>
      <c r="Z270" s="252"/>
    </row>
    <row r="271" spans="16:26">
      <c r="P271" s="248"/>
      <c r="Q271" s="248"/>
      <c r="R271" s="248"/>
      <c r="S271" s="247"/>
      <c r="T271" s="248"/>
      <c r="U271" s="248"/>
      <c r="V271" s="194"/>
      <c r="W271" s="249"/>
      <c r="X271" s="250"/>
      <c r="Y271" s="251"/>
      <c r="Z271" s="252"/>
    </row>
    <row r="272" spans="16:26">
      <c r="P272" s="248"/>
      <c r="Q272" s="248"/>
      <c r="R272" s="248"/>
      <c r="S272" s="247"/>
      <c r="T272" s="248"/>
      <c r="U272" s="248"/>
      <c r="V272" s="194"/>
      <c r="W272" s="249"/>
      <c r="X272" s="250"/>
      <c r="Y272" s="251"/>
      <c r="Z272" s="252"/>
    </row>
    <row r="273" spans="16:26">
      <c r="P273" s="248"/>
      <c r="Q273" s="248"/>
      <c r="R273" s="248"/>
      <c r="S273" s="247"/>
      <c r="T273" s="248"/>
      <c r="U273" s="248"/>
      <c r="V273" s="194"/>
      <c r="W273" s="249"/>
      <c r="X273" s="250"/>
      <c r="Y273" s="251"/>
      <c r="Z273" s="252"/>
    </row>
    <row r="274" spans="16:26">
      <c r="P274" s="248"/>
      <c r="Q274" s="248"/>
      <c r="R274" s="248"/>
      <c r="S274" s="247"/>
      <c r="T274" s="248"/>
      <c r="U274" s="248"/>
      <c r="V274" s="194"/>
      <c r="W274" s="249"/>
      <c r="X274" s="250"/>
      <c r="Y274" s="251"/>
      <c r="Z274" s="252"/>
    </row>
    <row r="275" spans="16:26">
      <c r="P275" s="248"/>
      <c r="Q275" s="248"/>
      <c r="R275" s="248"/>
      <c r="S275" s="247"/>
      <c r="T275" s="248"/>
      <c r="U275" s="248"/>
      <c r="V275" s="194"/>
      <c r="W275" s="249"/>
      <c r="X275" s="250"/>
      <c r="Y275" s="251"/>
      <c r="Z275" s="252"/>
    </row>
    <row r="276" spans="16:26">
      <c r="P276" s="248"/>
      <c r="Q276" s="248"/>
      <c r="R276" s="248"/>
      <c r="S276" s="247"/>
      <c r="T276" s="248"/>
      <c r="U276" s="248"/>
      <c r="V276" s="194"/>
      <c r="W276" s="249"/>
      <c r="X276" s="250"/>
      <c r="Y276" s="251"/>
      <c r="Z276" s="252"/>
    </row>
    <row r="277" spans="16:26">
      <c r="P277" s="248"/>
      <c r="Q277" s="248"/>
      <c r="R277" s="248"/>
      <c r="S277" s="247"/>
      <c r="T277" s="248"/>
      <c r="U277" s="248"/>
      <c r="V277" s="194"/>
      <c r="W277" s="249"/>
      <c r="X277" s="250"/>
      <c r="Y277" s="251"/>
      <c r="Z277" s="252"/>
    </row>
    <row r="278" spans="16:26">
      <c r="P278" s="248"/>
      <c r="Q278" s="248"/>
      <c r="R278" s="248"/>
      <c r="S278" s="247"/>
      <c r="T278" s="248"/>
      <c r="U278" s="248"/>
      <c r="V278" s="194"/>
      <c r="W278" s="249"/>
      <c r="X278" s="250"/>
      <c r="Y278" s="251"/>
      <c r="Z278" s="252"/>
    </row>
    <row r="279" spans="16:26">
      <c r="P279" s="248"/>
      <c r="Q279" s="248"/>
      <c r="R279" s="248"/>
      <c r="S279" s="247"/>
      <c r="T279" s="248"/>
      <c r="U279" s="248"/>
      <c r="V279" s="194"/>
      <c r="W279" s="249"/>
      <c r="X279" s="250"/>
      <c r="Y279" s="251"/>
      <c r="Z279" s="252"/>
    </row>
    <row r="280" spans="16:26">
      <c r="P280" s="248"/>
      <c r="Q280" s="248"/>
      <c r="R280" s="248"/>
      <c r="S280" s="247"/>
      <c r="T280" s="248"/>
      <c r="U280" s="248"/>
      <c r="V280" s="194"/>
      <c r="W280" s="249"/>
      <c r="X280" s="250"/>
      <c r="Y280" s="251"/>
      <c r="Z280" s="252"/>
    </row>
    <row r="281" spans="16:26">
      <c r="P281" s="248"/>
      <c r="Q281" s="248"/>
      <c r="R281" s="248"/>
      <c r="S281" s="247"/>
      <c r="T281" s="248"/>
      <c r="U281" s="248"/>
      <c r="V281" s="194"/>
      <c r="W281" s="249"/>
      <c r="X281" s="250"/>
      <c r="Y281" s="251"/>
      <c r="Z281" s="252"/>
    </row>
    <row r="282" spans="16:26">
      <c r="P282" s="248"/>
      <c r="Q282" s="248"/>
      <c r="R282" s="248"/>
      <c r="S282" s="247"/>
      <c r="T282" s="248"/>
      <c r="U282" s="248"/>
      <c r="V282" s="194"/>
      <c r="W282" s="249"/>
      <c r="X282" s="250"/>
      <c r="Y282" s="251"/>
      <c r="Z282" s="252"/>
    </row>
    <row r="283" spans="16:26">
      <c r="P283" s="248"/>
      <c r="Q283" s="248"/>
      <c r="R283" s="248"/>
      <c r="S283" s="247"/>
      <c r="T283" s="248"/>
      <c r="U283" s="248"/>
      <c r="V283" s="194"/>
      <c r="W283" s="249"/>
      <c r="X283" s="250"/>
      <c r="Y283" s="251"/>
      <c r="Z283" s="252"/>
    </row>
    <row r="284" spans="16:26">
      <c r="P284" s="248"/>
      <c r="Q284" s="248"/>
      <c r="R284" s="248"/>
      <c r="S284" s="247"/>
      <c r="T284" s="248"/>
      <c r="U284" s="248"/>
      <c r="V284" s="194"/>
      <c r="W284" s="249"/>
      <c r="X284" s="250"/>
      <c r="Y284" s="251"/>
      <c r="Z284" s="252"/>
    </row>
    <row r="285" spans="16:26">
      <c r="P285" s="248"/>
      <c r="Q285" s="248"/>
      <c r="R285" s="248"/>
      <c r="S285" s="247"/>
      <c r="T285" s="248"/>
      <c r="U285" s="248"/>
      <c r="V285" s="194"/>
      <c r="W285" s="249"/>
      <c r="X285" s="250"/>
      <c r="Y285" s="251"/>
      <c r="Z285" s="252"/>
    </row>
    <row r="286" spans="16:26">
      <c r="P286" s="248"/>
      <c r="Q286" s="248"/>
      <c r="R286" s="248"/>
      <c r="S286" s="247"/>
      <c r="T286" s="248"/>
      <c r="U286" s="248"/>
      <c r="V286" s="194"/>
      <c r="W286" s="249"/>
      <c r="X286" s="250"/>
      <c r="Y286" s="251"/>
      <c r="Z286" s="252"/>
    </row>
    <row r="287" spans="16:26">
      <c r="P287" s="248"/>
      <c r="Q287" s="248"/>
      <c r="R287" s="248"/>
      <c r="S287" s="247"/>
      <c r="T287" s="248"/>
      <c r="U287" s="248"/>
      <c r="V287" s="194"/>
      <c r="W287" s="249"/>
      <c r="X287" s="250"/>
      <c r="Y287" s="251"/>
      <c r="Z287" s="252"/>
    </row>
    <row r="288" spans="16:26">
      <c r="P288" s="248"/>
      <c r="Q288" s="248"/>
      <c r="R288" s="248"/>
      <c r="S288" s="247"/>
      <c r="T288" s="248"/>
      <c r="U288" s="248"/>
      <c r="V288" s="194"/>
      <c r="W288" s="249"/>
      <c r="X288" s="250"/>
      <c r="Y288" s="251"/>
      <c r="Z288" s="252"/>
    </row>
    <row r="289" spans="16:26">
      <c r="P289" s="248"/>
      <c r="Q289" s="248"/>
      <c r="R289" s="248"/>
      <c r="S289" s="247"/>
      <c r="T289" s="248"/>
      <c r="U289" s="248"/>
      <c r="V289" s="194"/>
      <c r="W289" s="249"/>
      <c r="X289" s="250"/>
      <c r="Y289" s="251"/>
      <c r="Z289" s="252"/>
    </row>
    <row r="290" spans="16:26">
      <c r="P290" s="248"/>
      <c r="Q290" s="248"/>
      <c r="R290" s="248"/>
      <c r="S290" s="247"/>
      <c r="T290" s="248"/>
      <c r="U290" s="248"/>
      <c r="V290" s="194"/>
      <c r="W290" s="249"/>
      <c r="X290" s="250"/>
      <c r="Y290" s="251"/>
      <c r="Z290" s="252"/>
    </row>
    <row r="291" spans="16:26">
      <c r="P291" s="248"/>
      <c r="Q291" s="248"/>
      <c r="R291" s="248"/>
      <c r="S291" s="247"/>
      <c r="T291" s="248"/>
      <c r="U291" s="248"/>
      <c r="V291" s="194"/>
      <c r="W291" s="249"/>
      <c r="X291" s="250"/>
      <c r="Y291" s="251"/>
      <c r="Z291" s="252"/>
    </row>
    <row r="292" spans="16:26">
      <c r="P292" s="248"/>
      <c r="Q292" s="248"/>
      <c r="R292" s="248"/>
      <c r="S292" s="247"/>
      <c r="T292" s="248"/>
      <c r="U292" s="248"/>
      <c r="V292" s="194"/>
      <c r="W292" s="249"/>
      <c r="X292" s="250"/>
      <c r="Y292" s="251"/>
      <c r="Z292" s="252"/>
    </row>
    <row r="293" spans="16:26">
      <c r="P293" s="248"/>
      <c r="Q293" s="248"/>
      <c r="R293" s="248"/>
      <c r="S293" s="247"/>
      <c r="T293" s="248"/>
      <c r="U293" s="248"/>
      <c r="V293" s="194"/>
      <c r="W293" s="249"/>
      <c r="X293" s="250"/>
      <c r="Y293" s="251"/>
      <c r="Z293" s="252"/>
    </row>
    <row r="294" spans="16:26">
      <c r="P294" s="248"/>
      <c r="Q294" s="248"/>
      <c r="R294" s="248"/>
      <c r="S294" s="247"/>
      <c r="T294" s="248"/>
      <c r="U294" s="248"/>
      <c r="V294" s="194"/>
      <c r="W294" s="249"/>
      <c r="X294" s="250"/>
      <c r="Y294" s="251"/>
      <c r="Z294" s="252"/>
    </row>
    <row r="295" spans="16:26">
      <c r="P295" s="248"/>
      <c r="Q295" s="248"/>
      <c r="R295" s="248"/>
      <c r="S295" s="247"/>
      <c r="T295" s="248"/>
      <c r="U295" s="248"/>
      <c r="V295" s="194"/>
      <c r="W295" s="249"/>
      <c r="X295" s="250"/>
      <c r="Y295" s="251"/>
      <c r="Z295" s="252"/>
    </row>
    <row r="296" spans="16:26">
      <c r="P296" s="248"/>
      <c r="Q296" s="248"/>
      <c r="R296" s="248"/>
      <c r="S296" s="247"/>
      <c r="T296" s="248"/>
      <c r="U296" s="248"/>
      <c r="V296" s="194"/>
      <c r="W296" s="249"/>
      <c r="X296" s="250"/>
      <c r="Y296" s="251"/>
      <c r="Z296" s="252"/>
    </row>
    <row r="297" spans="16:26">
      <c r="P297" s="248"/>
      <c r="Q297" s="248"/>
      <c r="R297" s="248"/>
      <c r="S297" s="247"/>
      <c r="T297" s="248"/>
      <c r="U297" s="248"/>
      <c r="V297" s="194"/>
      <c r="W297" s="249"/>
      <c r="X297" s="250"/>
      <c r="Y297" s="251"/>
      <c r="Z297" s="252"/>
    </row>
    <row r="298" spans="16:26">
      <c r="P298" s="248"/>
      <c r="Q298" s="248"/>
      <c r="R298" s="248"/>
      <c r="S298" s="247"/>
      <c r="T298" s="248"/>
      <c r="U298" s="248"/>
      <c r="V298" s="194"/>
      <c r="W298" s="249"/>
      <c r="X298" s="250"/>
      <c r="Y298" s="251"/>
      <c r="Z298" s="252"/>
    </row>
    <row r="299" spans="16:26">
      <c r="P299" s="248"/>
      <c r="Q299" s="248"/>
      <c r="R299" s="248"/>
      <c r="S299" s="247"/>
      <c r="T299" s="248"/>
      <c r="U299" s="248"/>
      <c r="V299" s="194"/>
      <c r="W299" s="249"/>
      <c r="X299" s="250"/>
      <c r="Y299" s="251"/>
      <c r="Z299" s="252"/>
    </row>
    <row r="300" spans="16:26">
      <c r="P300" s="248"/>
      <c r="Q300" s="248"/>
      <c r="R300" s="248"/>
      <c r="S300" s="247"/>
      <c r="T300" s="248"/>
      <c r="U300" s="248"/>
      <c r="V300" s="194"/>
      <c r="W300" s="249"/>
      <c r="X300" s="250"/>
      <c r="Y300" s="251"/>
      <c r="Z300" s="252"/>
    </row>
    <row r="301" spans="16:26">
      <c r="P301" s="248"/>
      <c r="Q301" s="248"/>
      <c r="R301" s="248"/>
      <c r="S301" s="247"/>
      <c r="T301" s="248"/>
      <c r="U301" s="248"/>
      <c r="V301" s="194"/>
      <c r="W301" s="249"/>
      <c r="X301" s="250"/>
      <c r="Y301" s="251"/>
      <c r="Z301" s="252"/>
    </row>
    <row r="302" spans="16:26">
      <c r="P302" s="248"/>
      <c r="Q302" s="248"/>
      <c r="R302" s="248"/>
      <c r="S302" s="247"/>
      <c r="T302" s="248"/>
      <c r="U302" s="248"/>
      <c r="V302" s="194"/>
      <c r="W302" s="249"/>
      <c r="X302" s="250"/>
      <c r="Y302" s="251"/>
      <c r="Z302" s="252"/>
    </row>
    <row r="303" spans="16:26">
      <c r="P303" s="248"/>
      <c r="Q303" s="248"/>
      <c r="R303" s="248"/>
      <c r="S303" s="247"/>
      <c r="T303" s="248"/>
      <c r="U303" s="248"/>
      <c r="V303" s="194"/>
      <c r="W303" s="249"/>
      <c r="X303" s="250"/>
      <c r="Y303" s="251"/>
      <c r="Z303" s="252"/>
    </row>
    <row r="304" spans="16:26">
      <c r="P304" s="248"/>
      <c r="Q304" s="248"/>
      <c r="R304" s="248"/>
      <c r="S304" s="247"/>
      <c r="T304" s="248"/>
      <c r="U304" s="248"/>
      <c r="V304" s="194"/>
      <c r="W304" s="249"/>
      <c r="X304" s="250"/>
      <c r="Y304" s="251"/>
      <c r="Z304" s="252"/>
    </row>
    <row r="305" spans="16:26">
      <c r="P305" s="248"/>
      <c r="Q305" s="248"/>
      <c r="R305" s="248"/>
      <c r="S305" s="247"/>
      <c r="T305" s="248"/>
      <c r="U305" s="248"/>
      <c r="V305" s="194"/>
      <c r="W305" s="249"/>
      <c r="X305" s="250"/>
      <c r="Y305" s="251"/>
      <c r="Z305" s="252"/>
    </row>
    <row r="306" spans="16:26">
      <c r="P306" s="248"/>
      <c r="Q306" s="248"/>
      <c r="R306" s="248"/>
      <c r="S306" s="247"/>
      <c r="T306" s="248"/>
      <c r="U306" s="248"/>
      <c r="V306" s="194"/>
      <c r="W306" s="249"/>
      <c r="X306" s="250"/>
      <c r="Y306" s="251"/>
      <c r="Z306" s="252"/>
    </row>
    <row r="307" spans="16:26">
      <c r="P307" s="248"/>
      <c r="Q307" s="248"/>
      <c r="R307" s="248"/>
      <c r="S307" s="247"/>
      <c r="T307" s="248"/>
      <c r="U307" s="248"/>
      <c r="V307" s="194"/>
      <c r="W307" s="249"/>
      <c r="X307" s="250"/>
      <c r="Y307" s="251"/>
      <c r="Z307" s="252"/>
    </row>
    <row r="308" spans="16:26">
      <c r="P308" s="248"/>
      <c r="Q308" s="248"/>
      <c r="R308" s="248"/>
      <c r="S308" s="247"/>
      <c r="T308" s="248"/>
      <c r="U308" s="248"/>
      <c r="V308" s="194"/>
      <c r="W308" s="249"/>
      <c r="X308" s="250"/>
      <c r="Y308" s="251"/>
      <c r="Z308" s="252"/>
    </row>
    <row r="309" spans="16:26">
      <c r="P309" s="248"/>
      <c r="Q309" s="248"/>
      <c r="R309" s="248"/>
      <c r="S309" s="247"/>
      <c r="T309" s="248"/>
      <c r="U309" s="248"/>
      <c r="V309" s="194"/>
      <c r="W309" s="249"/>
      <c r="X309" s="250"/>
      <c r="Y309" s="251"/>
      <c r="Z309" s="252"/>
    </row>
    <row r="310" spans="16:26">
      <c r="P310" s="248"/>
      <c r="Q310" s="248"/>
      <c r="R310" s="248"/>
      <c r="S310" s="247"/>
      <c r="T310" s="248"/>
      <c r="U310" s="248"/>
      <c r="V310" s="194"/>
      <c r="W310" s="249"/>
      <c r="X310" s="250"/>
      <c r="Y310" s="251"/>
      <c r="Z310" s="252"/>
    </row>
    <row r="311" spans="16:26">
      <c r="P311" s="248"/>
      <c r="Q311" s="248"/>
      <c r="R311" s="248"/>
      <c r="S311" s="247"/>
      <c r="T311" s="248"/>
      <c r="U311" s="248"/>
      <c r="V311" s="194"/>
      <c r="W311" s="249"/>
      <c r="X311" s="250"/>
      <c r="Y311" s="251"/>
      <c r="Z311" s="252"/>
    </row>
    <row r="312" spans="16:26">
      <c r="P312" s="248"/>
      <c r="Q312" s="248"/>
      <c r="R312" s="248"/>
      <c r="S312" s="247"/>
      <c r="T312" s="248"/>
      <c r="U312" s="248"/>
      <c r="V312" s="194"/>
      <c r="W312" s="249"/>
      <c r="X312" s="250"/>
      <c r="Y312" s="251"/>
      <c r="Z312" s="252"/>
    </row>
    <row r="313" spans="16:26">
      <c r="P313" s="248"/>
      <c r="Q313" s="248"/>
      <c r="R313" s="248"/>
      <c r="S313" s="247"/>
      <c r="T313" s="248"/>
      <c r="U313" s="248"/>
      <c r="V313" s="194"/>
      <c r="W313" s="249"/>
      <c r="X313" s="250"/>
      <c r="Y313" s="251"/>
      <c r="Z313" s="252"/>
    </row>
    <row r="314" spans="16:26">
      <c r="P314" s="248"/>
      <c r="Q314" s="248"/>
      <c r="R314" s="248"/>
      <c r="S314" s="247"/>
      <c r="T314" s="248"/>
      <c r="U314" s="248"/>
      <c r="V314" s="194"/>
      <c r="W314" s="249"/>
      <c r="X314" s="250"/>
      <c r="Y314" s="251"/>
      <c r="Z314" s="252"/>
    </row>
    <row r="315" spans="16:26">
      <c r="P315" s="248"/>
      <c r="Q315" s="248"/>
      <c r="R315" s="248"/>
      <c r="S315" s="247"/>
      <c r="T315" s="248"/>
      <c r="U315" s="248"/>
      <c r="V315" s="194"/>
      <c r="W315" s="249"/>
      <c r="X315" s="250"/>
      <c r="Y315" s="251"/>
      <c r="Z315" s="252"/>
    </row>
    <row r="316" spans="16:26">
      <c r="P316" s="248"/>
      <c r="Q316" s="248"/>
      <c r="R316" s="248"/>
      <c r="S316" s="247"/>
      <c r="T316" s="248"/>
      <c r="U316" s="248"/>
      <c r="V316" s="194"/>
      <c r="W316" s="249"/>
      <c r="X316" s="250"/>
      <c r="Y316" s="251"/>
      <c r="Z316" s="252"/>
    </row>
    <row r="317" spans="16:26">
      <c r="P317" s="248"/>
      <c r="Q317" s="248"/>
      <c r="R317" s="248"/>
      <c r="S317" s="247"/>
      <c r="T317" s="248"/>
      <c r="U317" s="248"/>
      <c r="V317" s="194"/>
      <c r="W317" s="249"/>
      <c r="X317" s="250"/>
      <c r="Y317" s="251"/>
      <c r="Z317" s="252"/>
    </row>
    <row r="318" spans="16:26">
      <c r="P318" s="248"/>
      <c r="Q318" s="248"/>
      <c r="R318" s="248"/>
      <c r="S318" s="247"/>
      <c r="T318" s="248"/>
      <c r="U318" s="248"/>
      <c r="V318" s="194"/>
      <c r="W318" s="249"/>
      <c r="X318" s="250"/>
      <c r="Y318" s="251"/>
      <c r="Z318" s="252"/>
    </row>
    <row r="319" spans="16:26">
      <c r="P319" s="248"/>
      <c r="Q319" s="248"/>
      <c r="R319" s="248"/>
      <c r="S319" s="247"/>
      <c r="T319" s="248"/>
      <c r="U319" s="248"/>
      <c r="V319" s="194"/>
      <c r="W319" s="249"/>
      <c r="X319" s="250"/>
      <c r="Y319" s="251"/>
      <c r="Z319" s="252"/>
    </row>
    <row r="320" spans="16:26">
      <c r="P320" s="248"/>
      <c r="Q320" s="248"/>
      <c r="R320" s="248"/>
      <c r="S320" s="247"/>
      <c r="T320" s="248"/>
      <c r="U320" s="248"/>
      <c r="V320" s="194"/>
      <c r="W320" s="249"/>
      <c r="X320" s="250"/>
      <c r="Y320" s="251"/>
      <c r="Z320" s="252"/>
    </row>
    <row r="321" spans="16:26">
      <c r="P321" s="248"/>
      <c r="Q321" s="248"/>
      <c r="R321" s="248"/>
      <c r="S321" s="247"/>
      <c r="T321" s="248"/>
      <c r="U321" s="248"/>
      <c r="V321" s="194"/>
      <c r="W321" s="249"/>
      <c r="X321" s="250"/>
      <c r="Y321" s="251"/>
      <c r="Z321" s="252"/>
    </row>
    <row r="322" spans="16:26">
      <c r="P322" s="248"/>
      <c r="Q322" s="248"/>
      <c r="R322" s="248"/>
      <c r="S322" s="247"/>
      <c r="T322" s="248"/>
      <c r="U322" s="248"/>
      <c r="V322" s="194"/>
      <c r="W322" s="249"/>
      <c r="X322" s="250"/>
      <c r="Y322" s="251"/>
      <c r="Z322" s="252"/>
    </row>
    <row r="323" spans="16:26">
      <c r="P323" s="248"/>
      <c r="Q323" s="248"/>
      <c r="R323" s="248"/>
      <c r="S323" s="247"/>
      <c r="T323" s="248"/>
      <c r="U323" s="248"/>
      <c r="V323" s="194"/>
      <c r="W323" s="249"/>
      <c r="X323" s="250"/>
      <c r="Y323" s="251"/>
      <c r="Z323" s="252"/>
    </row>
    <row r="324" spans="16:26">
      <c r="P324" s="248"/>
      <c r="Q324" s="248"/>
      <c r="R324" s="248"/>
      <c r="S324" s="247"/>
      <c r="T324" s="248"/>
      <c r="U324" s="248"/>
      <c r="V324" s="194"/>
      <c r="W324" s="249"/>
      <c r="X324" s="250"/>
      <c r="Y324" s="251"/>
      <c r="Z324" s="252"/>
    </row>
    <row r="325" spans="16:26">
      <c r="P325" s="248"/>
      <c r="Q325" s="248"/>
      <c r="R325" s="248"/>
      <c r="S325" s="247"/>
      <c r="T325" s="248"/>
      <c r="U325" s="248"/>
      <c r="V325" s="194"/>
      <c r="W325" s="249"/>
      <c r="X325" s="250"/>
      <c r="Y325" s="251"/>
      <c r="Z325" s="252"/>
    </row>
    <row r="326" spans="16:26">
      <c r="P326" s="248"/>
      <c r="Q326" s="248"/>
      <c r="R326" s="248"/>
      <c r="S326" s="247"/>
      <c r="T326" s="248"/>
      <c r="U326" s="248"/>
      <c r="V326" s="194"/>
      <c r="W326" s="249"/>
      <c r="X326" s="250"/>
      <c r="Y326" s="251"/>
      <c r="Z326" s="252"/>
    </row>
    <row r="327" spans="16:26">
      <c r="P327" s="248"/>
      <c r="Q327" s="248"/>
      <c r="R327" s="248"/>
      <c r="S327" s="247"/>
      <c r="T327" s="248"/>
      <c r="U327" s="248"/>
      <c r="V327" s="194"/>
      <c r="W327" s="249"/>
      <c r="X327" s="250"/>
      <c r="Y327" s="251"/>
      <c r="Z327" s="252"/>
    </row>
    <row r="328" spans="16:26">
      <c r="P328" s="248"/>
      <c r="Q328" s="248"/>
      <c r="R328" s="248"/>
      <c r="S328" s="247"/>
      <c r="T328" s="248"/>
      <c r="U328" s="248"/>
      <c r="V328" s="194"/>
      <c r="W328" s="249"/>
      <c r="X328" s="250"/>
      <c r="Y328" s="251"/>
      <c r="Z328" s="252"/>
    </row>
    <row r="329" spans="16:26">
      <c r="P329" s="248"/>
      <c r="Q329" s="248"/>
      <c r="R329" s="248"/>
      <c r="S329" s="247"/>
      <c r="T329" s="248"/>
      <c r="U329" s="248"/>
      <c r="V329" s="194"/>
      <c r="W329" s="249"/>
      <c r="X329" s="250"/>
      <c r="Y329" s="251"/>
      <c r="Z329" s="252"/>
    </row>
    <row r="330" spans="16:26">
      <c r="P330" s="248"/>
      <c r="Q330" s="248"/>
      <c r="R330" s="248"/>
      <c r="S330" s="247"/>
      <c r="T330" s="248"/>
      <c r="U330" s="248"/>
      <c r="V330" s="194"/>
      <c r="W330" s="249"/>
      <c r="X330" s="250"/>
      <c r="Y330" s="251"/>
      <c r="Z330" s="252"/>
    </row>
    <row r="331" spans="16:26">
      <c r="P331" s="248"/>
      <c r="Q331" s="248"/>
      <c r="R331" s="248"/>
      <c r="S331" s="247"/>
      <c r="T331" s="248"/>
      <c r="U331" s="248"/>
      <c r="V331" s="194"/>
      <c r="W331" s="249"/>
      <c r="X331" s="250"/>
      <c r="Y331" s="251"/>
      <c r="Z331" s="252"/>
    </row>
    <row r="332" spans="16:26">
      <c r="P332" s="248"/>
      <c r="Q332" s="248"/>
      <c r="R332" s="248"/>
      <c r="S332" s="247"/>
      <c r="T332" s="248"/>
      <c r="U332" s="248"/>
      <c r="V332" s="194"/>
      <c r="W332" s="249"/>
      <c r="X332" s="250"/>
      <c r="Y332" s="251"/>
      <c r="Z332" s="252"/>
    </row>
    <row r="333" spans="16:26">
      <c r="P333" s="248"/>
      <c r="Q333" s="248"/>
      <c r="R333" s="248"/>
      <c r="S333" s="247"/>
      <c r="T333" s="248"/>
      <c r="U333" s="248"/>
      <c r="V333" s="194"/>
      <c r="W333" s="249"/>
      <c r="X333" s="250"/>
      <c r="Y333" s="251"/>
      <c r="Z333" s="252"/>
    </row>
    <row r="334" spans="16:26">
      <c r="P334" s="248"/>
      <c r="Q334" s="248"/>
      <c r="R334" s="248"/>
      <c r="S334" s="247"/>
      <c r="T334" s="248"/>
      <c r="U334" s="248"/>
      <c r="V334" s="194"/>
      <c r="W334" s="249"/>
      <c r="X334" s="250"/>
      <c r="Y334" s="251"/>
      <c r="Z334" s="252"/>
    </row>
    <row r="335" spans="16:26">
      <c r="P335" s="248"/>
      <c r="Q335" s="248"/>
      <c r="R335" s="248"/>
      <c r="S335" s="247"/>
      <c r="T335" s="248"/>
      <c r="U335" s="248"/>
      <c r="V335" s="194"/>
      <c r="W335" s="249"/>
      <c r="X335" s="250"/>
      <c r="Y335" s="251"/>
      <c r="Z335" s="252"/>
    </row>
    <row r="336" spans="16:26">
      <c r="P336" s="248"/>
      <c r="Q336" s="248"/>
      <c r="R336" s="248"/>
      <c r="S336" s="247"/>
      <c r="T336" s="248"/>
      <c r="U336" s="248"/>
      <c r="V336" s="194"/>
      <c r="W336" s="249"/>
      <c r="X336" s="250"/>
      <c r="Y336" s="251"/>
      <c r="Z336" s="252"/>
    </row>
    <row r="337" spans="16:26">
      <c r="P337" s="248"/>
      <c r="Q337" s="248"/>
      <c r="R337" s="248"/>
      <c r="S337" s="247"/>
      <c r="T337" s="248"/>
      <c r="U337" s="248"/>
      <c r="V337" s="194"/>
      <c r="W337" s="249"/>
      <c r="X337" s="250"/>
      <c r="Y337" s="251"/>
      <c r="Z337" s="252"/>
    </row>
    <row r="338" spans="16:26">
      <c r="P338" s="248"/>
      <c r="Q338" s="248"/>
      <c r="R338" s="248"/>
      <c r="S338" s="247"/>
      <c r="T338" s="248"/>
      <c r="U338" s="248"/>
      <c r="V338" s="194"/>
      <c r="W338" s="249"/>
      <c r="X338" s="250"/>
      <c r="Y338" s="251"/>
      <c r="Z338" s="252"/>
    </row>
    <row r="339" spans="16:26">
      <c r="P339" s="248"/>
      <c r="Q339" s="248"/>
      <c r="R339" s="248"/>
      <c r="S339" s="247"/>
      <c r="T339" s="248"/>
      <c r="U339" s="248"/>
      <c r="V339" s="194"/>
      <c r="W339" s="249"/>
      <c r="X339" s="250"/>
      <c r="Y339" s="251"/>
      <c r="Z339" s="252"/>
    </row>
    <row r="340" spans="16:26">
      <c r="P340" s="248"/>
      <c r="Q340" s="248"/>
      <c r="R340" s="248"/>
      <c r="S340" s="247"/>
      <c r="T340" s="248"/>
      <c r="U340" s="248"/>
      <c r="V340" s="194"/>
      <c r="W340" s="249"/>
      <c r="X340" s="250"/>
      <c r="Y340" s="251"/>
      <c r="Z340" s="252"/>
    </row>
    <row r="341" spans="16:26">
      <c r="P341" s="248"/>
      <c r="Q341" s="248"/>
      <c r="R341" s="248"/>
      <c r="S341" s="247"/>
      <c r="T341" s="248"/>
      <c r="U341" s="248"/>
      <c r="V341" s="194"/>
      <c r="W341" s="249"/>
      <c r="X341" s="250"/>
      <c r="Y341" s="251"/>
      <c r="Z341" s="252"/>
    </row>
    <row r="342" spans="16:26">
      <c r="P342" s="248"/>
      <c r="Q342" s="248"/>
      <c r="R342" s="248"/>
      <c r="S342" s="247"/>
      <c r="T342" s="248"/>
      <c r="U342" s="248"/>
      <c r="V342" s="194"/>
      <c r="W342" s="249"/>
      <c r="X342" s="250"/>
      <c r="Y342" s="251"/>
      <c r="Z342" s="252"/>
    </row>
    <row r="343" spans="16:26">
      <c r="P343" s="248"/>
      <c r="Q343" s="248"/>
      <c r="R343" s="248"/>
      <c r="S343" s="247"/>
      <c r="T343" s="248"/>
      <c r="U343" s="248"/>
      <c r="V343" s="194"/>
      <c r="W343" s="249"/>
      <c r="X343" s="250"/>
      <c r="Y343" s="251"/>
      <c r="Z343" s="252"/>
    </row>
    <row r="344" spans="16:26">
      <c r="P344" s="248"/>
      <c r="Q344" s="248"/>
      <c r="R344" s="248"/>
      <c r="S344" s="247"/>
      <c r="T344" s="248"/>
      <c r="U344" s="248"/>
      <c r="V344" s="194"/>
      <c r="W344" s="249"/>
      <c r="X344" s="250"/>
      <c r="Y344" s="251"/>
      <c r="Z344" s="252"/>
    </row>
    <row r="345" spans="16:26">
      <c r="P345" s="248"/>
      <c r="Q345" s="248"/>
      <c r="R345" s="248"/>
      <c r="S345" s="247"/>
      <c r="T345" s="248"/>
      <c r="U345" s="248"/>
      <c r="V345" s="194"/>
      <c r="W345" s="249"/>
      <c r="X345" s="250"/>
      <c r="Y345" s="251"/>
      <c r="Z345" s="252"/>
    </row>
    <row r="346" spans="16:26">
      <c r="P346" s="248"/>
      <c r="Q346" s="248"/>
      <c r="R346" s="248"/>
      <c r="S346" s="247"/>
      <c r="T346" s="248"/>
      <c r="U346" s="248"/>
      <c r="V346" s="194"/>
      <c r="W346" s="249"/>
      <c r="X346" s="250"/>
      <c r="Y346" s="251"/>
      <c r="Z346" s="252"/>
    </row>
    <row r="347" spans="16:26">
      <c r="P347" s="248"/>
      <c r="Q347" s="248"/>
      <c r="R347" s="248"/>
      <c r="S347" s="247"/>
      <c r="T347" s="248"/>
      <c r="U347" s="248"/>
      <c r="V347" s="194"/>
      <c r="W347" s="249"/>
      <c r="X347" s="250"/>
      <c r="Y347" s="251"/>
      <c r="Z347" s="252"/>
    </row>
    <row r="348" spans="16:26">
      <c r="P348" s="248"/>
      <c r="Q348" s="248"/>
      <c r="R348" s="248"/>
      <c r="S348" s="247"/>
      <c r="T348" s="248"/>
      <c r="U348" s="248"/>
      <c r="V348" s="194"/>
      <c r="W348" s="249"/>
      <c r="X348" s="250"/>
      <c r="Y348" s="251"/>
      <c r="Z348" s="252"/>
    </row>
    <row r="349" spans="16:26">
      <c r="P349" s="248"/>
      <c r="Q349" s="248"/>
      <c r="R349" s="248"/>
      <c r="S349" s="247"/>
      <c r="T349" s="248"/>
      <c r="U349" s="248"/>
      <c r="V349" s="194"/>
      <c r="W349" s="249"/>
      <c r="X349" s="250"/>
      <c r="Y349" s="251"/>
      <c r="Z349" s="252"/>
    </row>
    <row r="350" spans="16:26">
      <c r="P350" s="248"/>
      <c r="Q350" s="248"/>
      <c r="R350" s="248"/>
      <c r="S350" s="247"/>
      <c r="T350" s="248"/>
      <c r="U350" s="248"/>
      <c r="V350" s="194"/>
      <c r="W350" s="249"/>
      <c r="X350" s="250"/>
      <c r="Y350" s="251"/>
      <c r="Z350" s="252"/>
    </row>
    <row r="351" spans="16:26">
      <c r="P351" s="248"/>
      <c r="Q351" s="248"/>
      <c r="R351" s="248"/>
      <c r="S351" s="247"/>
      <c r="T351" s="248"/>
      <c r="U351" s="248"/>
      <c r="V351" s="194"/>
      <c r="W351" s="249"/>
      <c r="X351" s="250"/>
      <c r="Y351" s="251"/>
      <c r="Z351" s="252"/>
    </row>
    <row r="352" spans="16:26">
      <c r="P352" s="248"/>
      <c r="Q352" s="248"/>
      <c r="R352" s="248"/>
      <c r="S352" s="247"/>
      <c r="T352" s="248"/>
      <c r="U352" s="248"/>
      <c r="V352" s="194"/>
      <c r="W352" s="249"/>
      <c r="X352" s="250"/>
      <c r="Y352" s="251"/>
      <c r="Z352" s="252"/>
    </row>
    <row r="353" spans="16:26">
      <c r="P353" s="248"/>
      <c r="Q353" s="248"/>
      <c r="R353" s="248"/>
      <c r="S353" s="247"/>
      <c r="T353" s="248"/>
      <c r="U353" s="248"/>
      <c r="V353" s="194"/>
      <c r="W353" s="249"/>
      <c r="X353" s="250"/>
      <c r="Y353" s="251"/>
      <c r="Z353" s="252"/>
    </row>
    <row r="354" spans="16:26">
      <c r="P354" s="248"/>
      <c r="Q354" s="248"/>
      <c r="R354" s="248"/>
      <c r="S354" s="247"/>
      <c r="T354" s="248"/>
      <c r="U354" s="248"/>
      <c r="V354" s="194"/>
      <c r="W354" s="249"/>
      <c r="X354" s="250"/>
      <c r="Y354" s="251"/>
      <c r="Z354" s="252"/>
    </row>
    <row r="355" spans="16:26">
      <c r="P355" s="248"/>
      <c r="Q355" s="248"/>
      <c r="R355" s="248"/>
      <c r="S355" s="247"/>
      <c r="T355" s="248"/>
      <c r="U355" s="248"/>
      <c r="V355" s="194"/>
      <c r="W355" s="249"/>
      <c r="X355" s="250"/>
      <c r="Y355" s="251"/>
      <c r="Z355" s="252"/>
    </row>
    <row r="356" spans="16:26">
      <c r="P356" s="248"/>
      <c r="Q356" s="248"/>
      <c r="R356" s="248"/>
      <c r="S356" s="247"/>
      <c r="T356" s="248"/>
      <c r="U356" s="248"/>
      <c r="V356" s="194"/>
      <c r="W356" s="249"/>
      <c r="X356" s="250"/>
      <c r="Y356" s="251"/>
      <c r="Z356" s="252"/>
    </row>
    <row r="357" spans="16:26">
      <c r="P357" s="248"/>
      <c r="Q357" s="248"/>
      <c r="R357" s="248"/>
      <c r="S357" s="247"/>
      <c r="T357" s="248"/>
      <c r="U357" s="248"/>
      <c r="V357" s="194"/>
      <c r="W357" s="249"/>
      <c r="X357" s="250"/>
      <c r="Y357" s="251"/>
      <c r="Z357" s="252"/>
    </row>
    <row r="358" spans="16:26">
      <c r="P358" s="248"/>
      <c r="Q358" s="248"/>
      <c r="R358" s="248"/>
      <c r="S358" s="247"/>
      <c r="T358" s="248"/>
      <c r="U358" s="248"/>
      <c r="V358" s="194"/>
      <c r="W358" s="249"/>
      <c r="X358" s="250"/>
      <c r="Y358" s="251"/>
      <c r="Z358" s="252"/>
    </row>
    <row r="359" spans="16:26">
      <c r="P359" s="248"/>
      <c r="Q359" s="248"/>
      <c r="R359" s="248"/>
      <c r="S359" s="247"/>
      <c r="T359" s="248"/>
      <c r="U359" s="248"/>
      <c r="V359" s="194"/>
      <c r="W359" s="249"/>
      <c r="X359" s="250"/>
      <c r="Y359" s="251"/>
      <c r="Z359" s="252"/>
    </row>
    <row r="360" spans="16:26">
      <c r="P360" s="248"/>
      <c r="Q360" s="248"/>
      <c r="R360" s="248"/>
      <c r="S360" s="247"/>
      <c r="T360" s="248"/>
      <c r="U360" s="248"/>
      <c r="V360" s="194"/>
      <c r="W360" s="249"/>
      <c r="X360" s="250"/>
      <c r="Y360" s="251"/>
      <c r="Z360" s="252"/>
    </row>
    <row r="361" spans="16:26">
      <c r="P361" s="248"/>
      <c r="Q361" s="248"/>
      <c r="R361" s="248"/>
      <c r="S361" s="247"/>
      <c r="T361" s="248"/>
      <c r="U361" s="248"/>
      <c r="V361" s="194"/>
      <c r="W361" s="249"/>
      <c r="X361" s="250"/>
      <c r="Y361" s="251"/>
      <c r="Z361" s="252"/>
    </row>
    <row r="362" spans="16:26">
      <c r="P362" s="248"/>
      <c r="Q362" s="248"/>
      <c r="R362" s="248"/>
      <c r="S362" s="247"/>
      <c r="T362" s="248"/>
      <c r="U362" s="248"/>
      <c r="V362" s="194"/>
      <c r="W362" s="249"/>
      <c r="X362" s="250"/>
      <c r="Y362" s="251"/>
      <c r="Z362" s="252"/>
    </row>
    <row r="363" spans="16:26">
      <c r="P363" s="248"/>
      <c r="Q363" s="248"/>
      <c r="R363" s="248"/>
      <c r="S363" s="247"/>
      <c r="T363" s="248"/>
      <c r="U363" s="248"/>
      <c r="V363" s="194"/>
      <c r="W363" s="249"/>
      <c r="X363" s="250"/>
      <c r="Y363" s="251"/>
      <c r="Z363" s="252"/>
    </row>
    <row r="364" spans="16:26">
      <c r="P364" s="248"/>
      <c r="Q364" s="248"/>
      <c r="R364" s="248"/>
      <c r="S364" s="247"/>
      <c r="T364" s="248"/>
      <c r="U364" s="248"/>
      <c r="V364" s="194"/>
      <c r="W364" s="249"/>
      <c r="X364" s="250"/>
      <c r="Y364" s="251"/>
      <c r="Z364" s="252"/>
    </row>
    <row r="365" spans="16:26">
      <c r="P365" s="248"/>
      <c r="Q365" s="248"/>
      <c r="R365" s="248"/>
      <c r="S365" s="247"/>
      <c r="T365" s="248"/>
      <c r="U365" s="248"/>
      <c r="V365" s="194"/>
      <c r="W365" s="249"/>
      <c r="X365" s="250"/>
      <c r="Y365" s="251"/>
      <c r="Z365" s="252"/>
    </row>
    <row r="366" spans="16:26">
      <c r="P366" s="248"/>
      <c r="Q366" s="248"/>
      <c r="R366" s="248"/>
      <c r="S366" s="247"/>
      <c r="T366" s="248"/>
      <c r="U366" s="248"/>
      <c r="V366" s="194"/>
      <c r="W366" s="249"/>
      <c r="X366" s="250"/>
      <c r="Y366" s="251"/>
      <c r="Z366" s="252"/>
    </row>
    <row r="367" spans="16:26">
      <c r="P367" s="248"/>
      <c r="Q367" s="248"/>
      <c r="R367" s="248"/>
      <c r="S367" s="247"/>
      <c r="T367" s="248"/>
      <c r="U367" s="248"/>
      <c r="V367" s="194"/>
      <c r="W367" s="249"/>
      <c r="X367" s="250"/>
      <c r="Y367" s="251"/>
      <c r="Z367" s="252"/>
    </row>
    <row r="368" spans="16:26">
      <c r="P368" s="248"/>
      <c r="Q368" s="248"/>
      <c r="R368" s="248"/>
      <c r="S368" s="247"/>
      <c r="T368" s="248"/>
      <c r="U368" s="248"/>
      <c r="V368" s="194"/>
      <c r="W368" s="249"/>
      <c r="X368" s="250"/>
      <c r="Y368" s="251"/>
      <c r="Z368" s="252"/>
    </row>
    <row r="369" spans="16:26">
      <c r="P369" s="248"/>
      <c r="Q369" s="248"/>
      <c r="R369" s="248"/>
      <c r="S369" s="247"/>
      <c r="T369" s="248"/>
      <c r="U369" s="248"/>
      <c r="V369" s="194"/>
      <c r="W369" s="249"/>
      <c r="X369" s="250"/>
      <c r="Y369" s="251"/>
      <c r="Z369" s="252"/>
    </row>
    <row r="370" spans="16:26">
      <c r="P370" s="248"/>
      <c r="Q370" s="248"/>
      <c r="R370" s="248"/>
      <c r="S370" s="247"/>
      <c r="T370" s="248"/>
      <c r="U370" s="248"/>
      <c r="V370" s="194"/>
      <c r="W370" s="249"/>
      <c r="X370" s="250"/>
      <c r="Y370" s="251"/>
      <c r="Z370" s="252"/>
    </row>
    <row r="371" spans="16:26">
      <c r="P371" s="248"/>
      <c r="Q371" s="248"/>
      <c r="R371" s="248"/>
      <c r="S371" s="247"/>
      <c r="T371" s="248"/>
      <c r="U371" s="248"/>
      <c r="V371" s="194"/>
      <c r="W371" s="249"/>
      <c r="X371" s="250"/>
      <c r="Y371" s="251"/>
      <c r="Z371" s="252"/>
    </row>
    <row r="372" spans="16:26">
      <c r="P372" s="248"/>
      <c r="Q372" s="248"/>
      <c r="R372" s="248"/>
      <c r="S372" s="247"/>
      <c r="T372" s="248"/>
      <c r="U372" s="248"/>
      <c r="V372" s="194"/>
      <c r="W372" s="249"/>
      <c r="X372" s="250"/>
      <c r="Y372" s="251"/>
      <c r="Z372" s="252"/>
    </row>
    <row r="373" spans="16:26">
      <c r="P373" s="248"/>
      <c r="Q373" s="248"/>
      <c r="R373" s="248"/>
      <c r="S373" s="247"/>
      <c r="T373" s="248"/>
      <c r="U373" s="248"/>
      <c r="V373" s="194"/>
      <c r="W373" s="249"/>
      <c r="X373" s="250"/>
      <c r="Y373" s="251"/>
      <c r="Z373" s="252"/>
    </row>
    <row r="374" spans="16:26">
      <c r="P374" s="248"/>
      <c r="Q374" s="248"/>
      <c r="R374" s="248"/>
      <c r="S374" s="247"/>
      <c r="T374" s="248"/>
      <c r="U374" s="248"/>
      <c r="V374" s="194"/>
      <c r="W374" s="249"/>
      <c r="X374" s="250"/>
      <c r="Y374" s="251"/>
      <c r="Z374" s="252"/>
    </row>
    <row r="375" spans="16:26">
      <c r="P375" s="248"/>
      <c r="Q375" s="248"/>
      <c r="R375" s="248"/>
      <c r="S375" s="247"/>
      <c r="T375" s="248"/>
      <c r="U375" s="248"/>
      <c r="V375" s="194"/>
      <c r="W375" s="249"/>
      <c r="X375" s="250"/>
      <c r="Y375" s="251"/>
      <c r="Z375" s="252"/>
    </row>
    <row r="376" spans="16:26">
      <c r="P376" s="248"/>
      <c r="Q376" s="248"/>
      <c r="R376" s="248"/>
      <c r="S376" s="247"/>
      <c r="T376" s="248"/>
      <c r="U376" s="248"/>
      <c r="V376" s="194"/>
      <c r="W376" s="249"/>
      <c r="X376" s="250"/>
      <c r="Y376" s="251"/>
      <c r="Z376" s="252"/>
    </row>
    <row r="377" spans="16:26">
      <c r="P377" s="248"/>
      <c r="Q377" s="248"/>
      <c r="R377" s="248"/>
      <c r="S377" s="247"/>
      <c r="T377" s="248"/>
      <c r="U377" s="248"/>
      <c r="V377" s="194"/>
      <c r="W377" s="249"/>
      <c r="X377" s="250"/>
      <c r="Y377" s="251"/>
      <c r="Z377" s="252"/>
    </row>
    <row r="378" spans="16:26">
      <c r="P378" s="248"/>
      <c r="Q378" s="248"/>
      <c r="R378" s="248"/>
      <c r="S378" s="247"/>
      <c r="T378" s="248"/>
      <c r="U378" s="248"/>
      <c r="V378" s="194"/>
      <c r="W378" s="249"/>
      <c r="X378" s="250"/>
      <c r="Y378" s="251"/>
      <c r="Z378" s="252"/>
    </row>
    <row r="379" spans="16:26">
      <c r="P379" s="248"/>
      <c r="Q379" s="248"/>
      <c r="R379" s="248"/>
      <c r="S379" s="247"/>
      <c r="T379" s="248"/>
      <c r="U379" s="248"/>
      <c r="V379" s="194"/>
      <c r="W379" s="249"/>
      <c r="X379" s="250"/>
      <c r="Y379" s="251"/>
      <c r="Z379" s="252"/>
    </row>
    <row r="380" spans="16:26">
      <c r="P380" s="248"/>
      <c r="Q380" s="248"/>
      <c r="R380" s="248"/>
      <c r="S380" s="247"/>
      <c r="T380" s="248"/>
      <c r="U380" s="248"/>
      <c r="V380" s="194"/>
      <c r="W380" s="249"/>
      <c r="X380" s="250"/>
      <c r="Y380" s="251"/>
      <c r="Z380" s="252"/>
    </row>
    <row r="381" spans="16:26">
      <c r="P381" s="248"/>
      <c r="Q381" s="248"/>
      <c r="R381" s="248"/>
      <c r="S381" s="247"/>
      <c r="T381" s="248"/>
      <c r="U381" s="248"/>
      <c r="V381" s="194"/>
      <c r="W381" s="249"/>
      <c r="X381" s="250"/>
      <c r="Y381" s="251"/>
      <c r="Z381" s="252"/>
    </row>
    <row r="382" spans="16:26">
      <c r="P382" s="248"/>
      <c r="Q382" s="248"/>
      <c r="R382" s="248"/>
      <c r="S382" s="247"/>
      <c r="T382" s="248"/>
      <c r="U382" s="248"/>
      <c r="V382" s="194"/>
      <c r="W382" s="249"/>
      <c r="X382" s="250"/>
      <c r="Y382" s="251"/>
      <c r="Z382" s="252"/>
    </row>
    <row r="383" spans="16:26">
      <c r="P383" s="248"/>
      <c r="Q383" s="248"/>
      <c r="R383" s="248"/>
      <c r="S383" s="247"/>
      <c r="T383" s="248"/>
      <c r="U383" s="248"/>
      <c r="V383" s="194"/>
      <c r="W383" s="249"/>
      <c r="X383" s="250"/>
      <c r="Y383" s="251"/>
      <c r="Z383" s="252"/>
    </row>
    <row r="384" spans="16:26">
      <c r="P384" s="248"/>
      <c r="Q384" s="248"/>
      <c r="R384" s="248"/>
      <c r="S384" s="247"/>
      <c r="T384" s="248"/>
      <c r="U384" s="248"/>
      <c r="V384" s="194"/>
      <c r="W384" s="249"/>
      <c r="X384" s="250"/>
      <c r="Y384" s="251"/>
      <c r="Z384" s="252"/>
    </row>
    <row r="385" spans="16:26">
      <c r="P385" s="248"/>
      <c r="Q385" s="248"/>
      <c r="R385" s="248"/>
      <c r="S385" s="247"/>
      <c r="T385" s="248"/>
      <c r="U385" s="248"/>
      <c r="V385" s="194"/>
      <c r="W385" s="249"/>
      <c r="X385" s="250"/>
      <c r="Y385" s="251"/>
      <c r="Z385" s="252"/>
    </row>
    <row r="386" spans="16:26">
      <c r="P386" s="248"/>
      <c r="Q386" s="248"/>
      <c r="R386" s="248"/>
      <c r="S386" s="247"/>
      <c r="T386" s="248"/>
      <c r="U386" s="248"/>
      <c r="V386" s="194"/>
      <c r="W386" s="249"/>
      <c r="X386" s="250"/>
      <c r="Y386" s="251"/>
      <c r="Z386" s="252"/>
    </row>
    <row r="387" spans="16:26">
      <c r="P387" s="248"/>
      <c r="Q387" s="248"/>
      <c r="R387" s="248"/>
      <c r="S387" s="247"/>
      <c r="T387" s="248"/>
      <c r="U387" s="248"/>
      <c r="V387" s="194"/>
      <c r="W387" s="249"/>
      <c r="X387" s="250"/>
      <c r="Y387" s="251"/>
      <c r="Z387" s="252"/>
    </row>
    <row r="388" spans="16:26">
      <c r="P388" s="248"/>
      <c r="Q388" s="248"/>
      <c r="R388" s="248"/>
      <c r="S388" s="247"/>
      <c r="T388" s="248"/>
      <c r="U388" s="248"/>
      <c r="V388" s="194"/>
      <c r="W388" s="249"/>
      <c r="X388" s="250"/>
      <c r="Y388" s="251"/>
      <c r="Z388" s="252"/>
    </row>
    <row r="389" spans="16:26">
      <c r="P389" s="248"/>
      <c r="Q389" s="248"/>
      <c r="R389" s="248"/>
      <c r="S389" s="247"/>
      <c r="T389" s="248"/>
      <c r="U389" s="248"/>
      <c r="V389" s="194"/>
      <c r="W389" s="249"/>
      <c r="X389" s="250"/>
      <c r="Y389" s="251"/>
      <c r="Z389" s="252"/>
    </row>
    <row r="390" spans="16:26">
      <c r="P390" s="248"/>
      <c r="Q390" s="248"/>
      <c r="R390" s="248"/>
      <c r="S390" s="247"/>
      <c r="T390" s="248"/>
      <c r="U390" s="248"/>
      <c r="V390" s="194"/>
      <c r="W390" s="249"/>
      <c r="X390" s="250"/>
      <c r="Y390" s="251"/>
      <c r="Z390" s="252"/>
    </row>
    <row r="391" spans="16:26">
      <c r="P391" s="248"/>
      <c r="Q391" s="248"/>
      <c r="R391" s="248"/>
      <c r="S391" s="247"/>
      <c r="T391" s="248"/>
      <c r="U391" s="248"/>
      <c r="V391" s="194"/>
      <c r="W391" s="249"/>
      <c r="X391" s="250"/>
      <c r="Y391" s="251"/>
      <c r="Z391" s="252"/>
    </row>
    <row r="392" spans="16:26">
      <c r="P392" s="248"/>
      <c r="Q392" s="248"/>
      <c r="R392" s="248"/>
      <c r="S392" s="247"/>
      <c r="T392" s="248"/>
      <c r="U392" s="248"/>
      <c r="V392" s="194"/>
      <c r="W392" s="249"/>
      <c r="X392" s="250"/>
      <c r="Y392" s="251"/>
      <c r="Z392" s="252"/>
    </row>
    <row r="393" spans="16:26">
      <c r="P393" s="248"/>
      <c r="Q393" s="248"/>
      <c r="R393" s="248"/>
      <c r="S393" s="247"/>
      <c r="T393" s="248"/>
      <c r="U393" s="248"/>
      <c r="V393" s="194"/>
      <c r="W393" s="249"/>
      <c r="X393" s="250"/>
      <c r="Y393" s="251"/>
      <c r="Z393" s="252"/>
    </row>
    <row r="394" spans="16:26">
      <c r="P394" s="248"/>
      <c r="Q394" s="248"/>
      <c r="R394" s="248"/>
      <c r="S394" s="247"/>
      <c r="T394" s="248"/>
      <c r="U394" s="248"/>
      <c r="V394" s="194"/>
      <c r="W394" s="249"/>
      <c r="X394" s="250"/>
      <c r="Y394" s="251"/>
      <c r="Z394" s="252"/>
    </row>
    <row r="395" spans="16:26">
      <c r="P395" s="248"/>
      <c r="Q395" s="248"/>
      <c r="R395" s="248"/>
      <c r="S395" s="247"/>
      <c r="T395" s="248"/>
      <c r="U395" s="248"/>
      <c r="V395" s="194"/>
      <c r="W395" s="249"/>
      <c r="X395" s="250"/>
      <c r="Y395" s="251"/>
      <c r="Z395" s="252"/>
    </row>
    <row r="396" spans="16:26">
      <c r="P396" s="248"/>
      <c r="Q396" s="248"/>
      <c r="R396" s="248"/>
      <c r="S396" s="247"/>
      <c r="T396" s="248"/>
      <c r="U396" s="248"/>
      <c r="V396" s="194"/>
      <c r="W396" s="249"/>
      <c r="X396" s="250"/>
      <c r="Y396" s="251"/>
      <c r="Z396" s="252"/>
    </row>
    <row r="397" spans="16:26">
      <c r="P397" s="248"/>
      <c r="Q397" s="248"/>
      <c r="R397" s="248"/>
      <c r="S397" s="247"/>
      <c r="T397" s="248"/>
      <c r="U397" s="248"/>
      <c r="V397" s="194"/>
      <c r="W397" s="249"/>
      <c r="X397" s="250"/>
      <c r="Y397" s="251"/>
      <c r="Z397" s="252"/>
    </row>
    <row r="398" spans="16:26">
      <c r="P398" s="248"/>
      <c r="Q398" s="248"/>
      <c r="R398" s="248"/>
      <c r="S398" s="247"/>
      <c r="T398" s="248"/>
      <c r="U398" s="248"/>
      <c r="V398" s="194"/>
      <c r="W398" s="249"/>
      <c r="X398" s="250"/>
      <c r="Y398" s="251"/>
      <c r="Z398" s="252"/>
    </row>
    <row r="399" spans="16:26">
      <c r="P399" s="248"/>
      <c r="Q399" s="248"/>
      <c r="R399" s="248"/>
      <c r="S399" s="247"/>
      <c r="T399" s="248"/>
      <c r="U399" s="248"/>
      <c r="V399" s="194"/>
      <c r="W399" s="249"/>
      <c r="X399" s="250"/>
      <c r="Y399" s="251"/>
      <c r="Z399" s="252"/>
    </row>
    <row r="400" spans="16:26">
      <c r="P400" s="248"/>
      <c r="Q400" s="248"/>
      <c r="R400" s="248"/>
      <c r="S400" s="247"/>
      <c r="T400" s="248"/>
      <c r="U400" s="248"/>
      <c r="V400" s="194"/>
      <c r="W400" s="249"/>
      <c r="X400" s="250"/>
      <c r="Y400" s="251"/>
      <c r="Z400" s="252"/>
    </row>
    <row r="401" spans="16:26">
      <c r="P401" s="248"/>
      <c r="Q401" s="248"/>
      <c r="R401" s="248"/>
      <c r="S401" s="247"/>
      <c r="T401" s="248"/>
      <c r="U401" s="248"/>
      <c r="V401" s="194"/>
      <c r="W401" s="249"/>
      <c r="X401" s="250"/>
      <c r="Y401" s="251"/>
      <c r="Z401" s="252"/>
    </row>
    <row r="402" spans="16:26">
      <c r="P402" s="248"/>
      <c r="Q402" s="248"/>
      <c r="R402" s="248"/>
      <c r="S402" s="247"/>
      <c r="T402" s="248"/>
      <c r="U402" s="248"/>
      <c r="V402" s="194"/>
      <c r="W402" s="249"/>
      <c r="X402" s="250"/>
      <c r="Y402" s="251"/>
      <c r="Z402" s="252"/>
    </row>
    <row r="403" spans="16:26">
      <c r="P403" s="248"/>
      <c r="Q403" s="248"/>
      <c r="R403" s="248"/>
      <c r="S403" s="247"/>
      <c r="T403" s="248"/>
      <c r="U403" s="248"/>
      <c r="V403" s="194"/>
      <c r="W403" s="249"/>
      <c r="X403" s="250"/>
      <c r="Y403" s="251"/>
      <c r="Z403" s="252"/>
    </row>
    <row r="404" spans="16:26">
      <c r="P404" s="248"/>
      <c r="Q404" s="248"/>
      <c r="R404" s="248"/>
      <c r="S404" s="247"/>
      <c r="T404" s="248"/>
      <c r="U404" s="248"/>
      <c r="V404" s="194"/>
      <c r="W404" s="249"/>
      <c r="X404" s="250"/>
      <c r="Y404" s="251"/>
      <c r="Z404" s="252"/>
    </row>
    <row r="405" spans="16:26">
      <c r="P405" s="248"/>
      <c r="Q405" s="248"/>
      <c r="R405" s="248"/>
      <c r="S405" s="247"/>
      <c r="T405" s="248"/>
      <c r="U405" s="248"/>
      <c r="V405" s="194"/>
      <c r="W405" s="249"/>
      <c r="X405" s="250"/>
      <c r="Y405" s="251"/>
      <c r="Z405" s="252"/>
    </row>
    <row r="406" spans="16:26">
      <c r="P406" s="248"/>
      <c r="Q406" s="248"/>
      <c r="R406" s="248"/>
      <c r="S406" s="247"/>
      <c r="T406" s="248"/>
      <c r="U406" s="248"/>
      <c r="V406" s="194"/>
      <c r="W406" s="249"/>
      <c r="X406" s="250"/>
      <c r="Y406" s="251"/>
      <c r="Z406" s="252"/>
    </row>
    <row r="407" spans="16:26">
      <c r="P407" s="248"/>
      <c r="Q407" s="248"/>
      <c r="R407" s="248"/>
      <c r="S407" s="247"/>
      <c r="T407" s="248"/>
      <c r="U407" s="248"/>
      <c r="V407" s="194"/>
      <c r="W407" s="249"/>
      <c r="X407" s="250"/>
      <c r="Y407" s="251"/>
      <c r="Z407" s="252"/>
    </row>
    <row r="408" spans="16:26">
      <c r="P408" s="248"/>
      <c r="Q408" s="248"/>
      <c r="R408" s="248"/>
      <c r="S408" s="247"/>
      <c r="T408" s="248"/>
      <c r="U408" s="248"/>
      <c r="V408" s="194"/>
      <c r="W408" s="249"/>
      <c r="X408" s="250"/>
      <c r="Y408" s="251"/>
      <c r="Z408" s="252"/>
    </row>
    <row r="409" spans="16:26">
      <c r="P409" s="248"/>
      <c r="Q409" s="248"/>
      <c r="R409" s="248"/>
      <c r="S409" s="247"/>
      <c r="T409" s="248"/>
      <c r="U409" s="248"/>
      <c r="V409" s="194"/>
      <c r="W409" s="249"/>
      <c r="X409" s="250"/>
      <c r="Y409" s="251"/>
      <c r="Z409" s="252"/>
    </row>
    <row r="410" spans="16:26">
      <c r="P410" s="248"/>
      <c r="Q410" s="248"/>
      <c r="R410" s="248"/>
      <c r="S410" s="247"/>
      <c r="T410" s="248"/>
      <c r="U410" s="248"/>
      <c r="V410" s="194"/>
      <c r="W410" s="249"/>
      <c r="X410" s="250"/>
      <c r="Y410" s="251"/>
      <c r="Z410" s="252"/>
    </row>
    <row r="411" spans="16:26">
      <c r="P411" s="248"/>
      <c r="Q411" s="248"/>
      <c r="R411" s="248"/>
      <c r="S411" s="247"/>
      <c r="T411" s="248"/>
      <c r="U411" s="248"/>
      <c r="V411" s="194"/>
      <c r="W411" s="249"/>
      <c r="X411" s="250"/>
      <c r="Y411" s="251"/>
      <c r="Z411" s="252"/>
    </row>
    <row r="412" spans="16:26">
      <c r="P412" s="248"/>
      <c r="Q412" s="248"/>
      <c r="R412" s="248"/>
      <c r="S412" s="247"/>
      <c r="T412" s="248"/>
      <c r="U412" s="248"/>
      <c r="V412" s="194"/>
      <c r="W412" s="249"/>
      <c r="X412" s="250"/>
      <c r="Y412" s="251"/>
      <c r="Z412" s="252"/>
    </row>
    <row r="413" spans="16:26">
      <c r="P413" s="248"/>
      <c r="Q413" s="248"/>
      <c r="R413" s="248"/>
      <c r="S413" s="247"/>
      <c r="T413" s="248"/>
      <c r="U413" s="248"/>
      <c r="V413" s="194"/>
      <c r="W413" s="249"/>
      <c r="X413" s="250"/>
      <c r="Y413" s="251"/>
      <c r="Z413" s="252"/>
    </row>
    <row r="414" spans="16:26">
      <c r="P414" s="248"/>
      <c r="Q414" s="248"/>
      <c r="R414" s="248"/>
      <c r="S414" s="247"/>
      <c r="T414" s="248"/>
      <c r="U414" s="248"/>
      <c r="V414" s="194"/>
      <c r="W414" s="249"/>
      <c r="X414" s="250"/>
      <c r="Y414" s="251"/>
      <c r="Z414" s="252"/>
    </row>
    <row r="415" spans="16:26">
      <c r="P415" s="248"/>
      <c r="Q415" s="248"/>
      <c r="R415" s="248"/>
      <c r="S415" s="247"/>
      <c r="T415" s="248"/>
      <c r="U415" s="248"/>
      <c r="V415" s="194"/>
      <c r="W415" s="249"/>
      <c r="X415" s="250"/>
      <c r="Y415" s="251"/>
      <c r="Z415" s="252"/>
    </row>
  </sheetData>
  <mergeCells count="2">
    <mergeCell ref="A2:I2"/>
    <mergeCell ref="K3:O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31"/>
  <sheetViews>
    <sheetView zoomScale="85" zoomScaleNormal="85" workbookViewId="0">
      <pane xSplit="11" ySplit="4" topLeftCell="L242" activePane="bottomRight" state="frozen"/>
      <selection activeCell="H192" sqref="H192"/>
      <selection pane="topRight" activeCell="H192" sqref="H192"/>
      <selection pane="bottomLeft" activeCell="H192" sqref="H192"/>
      <selection pane="bottomRight" activeCell="I249" sqref="I249"/>
    </sheetView>
  </sheetViews>
  <sheetFormatPr defaultColWidth="10.33203125" defaultRowHeight="15.6"/>
  <cols>
    <col min="1" max="1" width="5.5546875" style="1" customWidth="1"/>
    <col min="2" max="2" width="13.33203125" style="98" customWidth="1"/>
    <col min="3" max="3" width="18.44140625" style="623" customWidth="1"/>
    <col min="4" max="4" width="15" style="3" customWidth="1"/>
    <col min="5" max="5" width="16.88671875" style="4" customWidth="1"/>
    <col min="6" max="6" width="8.88671875" style="4" customWidth="1"/>
    <col min="7" max="7" width="5.109375" style="6" customWidth="1"/>
    <col min="8" max="8" width="6.33203125" style="6" customWidth="1"/>
    <col min="9" max="9" width="5.109375" style="6" customWidth="1"/>
    <col min="10" max="10" width="13.33203125" style="5" customWidth="1"/>
    <col min="11" max="11" width="18.88671875" style="1667" customWidth="1"/>
    <col min="12" max="12" width="26.33203125" style="3" customWidth="1"/>
    <col min="13" max="13" width="6.5546875" style="11" customWidth="1"/>
    <col min="14" max="14" width="26.44140625" style="11" customWidth="1"/>
    <col min="15" max="15" width="17.5546875" style="11" customWidth="1"/>
    <col min="16" max="16" width="14.5546875" style="11" customWidth="1"/>
    <col min="17" max="17" width="15.44140625" style="268" customWidth="1"/>
    <col min="18" max="18" width="15" style="268" customWidth="1"/>
    <col min="19" max="20" width="12.6640625" style="268" customWidth="1"/>
    <col min="21" max="21" width="14" style="268" hidden="1" customWidth="1"/>
    <col min="22" max="22" width="15.6640625" style="264" hidden="1" customWidth="1"/>
    <col min="23" max="23" width="14.44140625" style="268" customWidth="1"/>
    <col min="24" max="24" width="17" style="6" customWidth="1"/>
    <col min="25" max="25" width="19.44140625" style="268" customWidth="1"/>
    <col min="26" max="26" width="15.5546875" style="269" customWidth="1"/>
    <col min="27" max="27" width="34.33203125" style="270" customWidth="1"/>
    <col min="28" max="28" width="18.6640625" style="271" customWidth="1"/>
    <col min="29" max="29" width="18.33203125" style="272" customWidth="1"/>
    <col min="30" max="30" width="18" style="273" customWidth="1"/>
    <col min="31" max="32" width="16.44140625" style="6" customWidth="1"/>
    <col min="33" max="33" width="37.109375" style="5" customWidth="1"/>
    <col min="34" max="197" width="10.33203125" style="13"/>
    <col min="198" max="198" width="7" style="13" customWidth="1"/>
    <col min="199" max="199" width="13" style="13" customWidth="1"/>
    <col min="200" max="200" width="14.109375" style="13" customWidth="1"/>
    <col min="201" max="201" width="17.33203125" style="13" customWidth="1"/>
    <col min="202" max="202" width="18.88671875" style="13" customWidth="1"/>
    <col min="203" max="203" width="14.109375" style="13" customWidth="1"/>
    <col min="204" max="204" width="21.5546875" style="13" customWidth="1"/>
    <col min="205" max="206" width="14.109375" style="13" customWidth="1"/>
    <col min="207" max="207" width="15" style="13" customWidth="1"/>
    <col min="208" max="208" width="13.33203125" style="13" customWidth="1"/>
    <col min="209" max="209" width="17" style="13" customWidth="1"/>
    <col min="210" max="210" width="24.88671875" style="13" customWidth="1"/>
    <col min="211" max="211" width="14.44140625" style="13" customWidth="1"/>
    <col min="212" max="212" width="23.109375" style="13" customWidth="1"/>
    <col min="213" max="213" width="13.109375" style="13" customWidth="1"/>
    <col min="214" max="217" width="0" style="13" hidden="1" customWidth="1"/>
    <col min="218" max="453" width="10.33203125" style="13"/>
    <col min="454" max="454" width="7" style="13" customWidth="1"/>
    <col min="455" max="455" width="13" style="13" customWidth="1"/>
    <col min="456" max="456" width="14.109375" style="13" customWidth="1"/>
    <col min="457" max="457" width="17.33203125" style="13" customWidth="1"/>
    <col min="458" max="458" width="18.88671875" style="13" customWidth="1"/>
    <col min="459" max="459" width="14.109375" style="13" customWidth="1"/>
    <col min="460" max="460" width="21.5546875" style="13" customWidth="1"/>
    <col min="461" max="462" width="14.109375" style="13" customWidth="1"/>
    <col min="463" max="463" width="15" style="13" customWidth="1"/>
    <col min="464" max="464" width="13.33203125" style="13" customWidth="1"/>
    <col min="465" max="465" width="17" style="13" customWidth="1"/>
    <col min="466" max="466" width="24.88671875" style="13" customWidth="1"/>
    <col min="467" max="467" width="14.44140625" style="13" customWidth="1"/>
    <col min="468" max="468" width="23.109375" style="13" customWidth="1"/>
    <col min="469" max="469" width="13.109375" style="13" customWidth="1"/>
    <col min="470" max="473" width="0" style="13" hidden="1" customWidth="1"/>
    <col min="474" max="709" width="10.33203125" style="13"/>
    <col min="710" max="710" width="7" style="13" customWidth="1"/>
    <col min="711" max="711" width="13" style="13" customWidth="1"/>
    <col min="712" max="712" width="14.109375" style="13" customWidth="1"/>
    <col min="713" max="713" width="17.33203125" style="13" customWidth="1"/>
    <col min="714" max="714" width="18.88671875" style="13" customWidth="1"/>
    <col min="715" max="715" width="14.109375" style="13" customWidth="1"/>
    <col min="716" max="716" width="21.5546875" style="13" customWidth="1"/>
    <col min="717" max="718" width="14.109375" style="13" customWidth="1"/>
    <col min="719" max="719" width="15" style="13" customWidth="1"/>
    <col min="720" max="720" width="13.33203125" style="13" customWidth="1"/>
    <col min="721" max="721" width="17" style="13" customWidth="1"/>
    <col min="722" max="722" width="24.88671875" style="13" customWidth="1"/>
    <col min="723" max="723" width="14.44140625" style="13" customWidth="1"/>
    <col min="724" max="724" width="23.109375" style="13" customWidth="1"/>
    <col min="725" max="725" width="13.109375" style="13" customWidth="1"/>
    <col min="726" max="729" width="0" style="13" hidden="1" customWidth="1"/>
    <col min="730" max="965" width="10.33203125" style="13"/>
    <col min="966" max="966" width="7" style="13" customWidth="1"/>
    <col min="967" max="967" width="13" style="13" customWidth="1"/>
    <col min="968" max="968" width="14.109375" style="13" customWidth="1"/>
    <col min="969" max="969" width="17.33203125" style="13" customWidth="1"/>
    <col min="970" max="970" width="18.88671875" style="13" customWidth="1"/>
    <col min="971" max="971" width="14.109375" style="13" customWidth="1"/>
    <col min="972" max="972" width="21.5546875" style="13" customWidth="1"/>
    <col min="973" max="974" width="14.109375" style="13" customWidth="1"/>
    <col min="975" max="975" width="15" style="13" customWidth="1"/>
    <col min="976" max="976" width="13.33203125" style="13" customWidth="1"/>
    <col min="977" max="977" width="17" style="13" customWidth="1"/>
    <col min="978" max="978" width="24.88671875" style="13" customWidth="1"/>
    <col min="979" max="979" width="14.44140625" style="13" customWidth="1"/>
    <col min="980" max="980" width="23.109375" style="13" customWidth="1"/>
    <col min="981" max="981" width="13.109375" style="13" customWidth="1"/>
    <col min="982" max="985" width="0" style="13" hidden="1" customWidth="1"/>
    <col min="986" max="1221" width="10.33203125" style="13"/>
    <col min="1222" max="1222" width="7" style="13" customWidth="1"/>
    <col min="1223" max="1223" width="13" style="13" customWidth="1"/>
    <col min="1224" max="1224" width="14.109375" style="13" customWidth="1"/>
    <col min="1225" max="1225" width="17.33203125" style="13" customWidth="1"/>
    <col min="1226" max="1226" width="18.88671875" style="13" customWidth="1"/>
    <col min="1227" max="1227" width="14.109375" style="13" customWidth="1"/>
    <col min="1228" max="1228" width="21.5546875" style="13" customWidth="1"/>
    <col min="1229" max="1230" width="14.109375" style="13" customWidth="1"/>
    <col min="1231" max="1231" width="15" style="13" customWidth="1"/>
    <col min="1232" max="1232" width="13.33203125" style="13" customWidth="1"/>
    <col min="1233" max="1233" width="17" style="13" customWidth="1"/>
    <col min="1234" max="1234" width="24.88671875" style="13" customWidth="1"/>
    <col min="1235" max="1235" width="14.44140625" style="13" customWidth="1"/>
    <col min="1236" max="1236" width="23.109375" style="13" customWidth="1"/>
    <col min="1237" max="1237" width="13.109375" style="13" customWidth="1"/>
    <col min="1238" max="1241" width="0" style="13" hidden="1" customWidth="1"/>
    <col min="1242" max="1477" width="10.33203125" style="13"/>
    <col min="1478" max="1478" width="7" style="13" customWidth="1"/>
    <col min="1479" max="1479" width="13" style="13" customWidth="1"/>
    <col min="1480" max="1480" width="14.109375" style="13" customWidth="1"/>
    <col min="1481" max="1481" width="17.33203125" style="13" customWidth="1"/>
    <col min="1482" max="1482" width="18.88671875" style="13" customWidth="1"/>
    <col min="1483" max="1483" width="14.109375" style="13" customWidth="1"/>
    <col min="1484" max="1484" width="21.5546875" style="13" customWidth="1"/>
    <col min="1485" max="1486" width="14.109375" style="13" customWidth="1"/>
    <col min="1487" max="1487" width="15" style="13" customWidth="1"/>
    <col min="1488" max="1488" width="13.33203125" style="13" customWidth="1"/>
    <col min="1489" max="1489" width="17" style="13" customWidth="1"/>
    <col min="1490" max="1490" width="24.88671875" style="13" customWidth="1"/>
    <col min="1491" max="1491" width="14.44140625" style="13" customWidth="1"/>
    <col min="1492" max="1492" width="23.109375" style="13" customWidth="1"/>
    <col min="1493" max="1493" width="13.109375" style="13" customWidth="1"/>
    <col min="1494" max="1497" width="0" style="13" hidden="1" customWidth="1"/>
    <col min="1498" max="1733" width="10.33203125" style="13"/>
    <col min="1734" max="1734" width="7" style="13" customWidth="1"/>
    <col min="1735" max="1735" width="13" style="13" customWidth="1"/>
    <col min="1736" max="1736" width="14.109375" style="13" customWidth="1"/>
    <col min="1737" max="1737" width="17.33203125" style="13" customWidth="1"/>
    <col min="1738" max="1738" width="18.88671875" style="13" customWidth="1"/>
    <col min="1739" max="1739" width="14.109375" style="13" customWidth="1"/>
    <col min="1740" max="1740" width="21.5546875" style="13" customWidth="1"/>
    <col min="1741" max="1742" width="14.109375" style="13" customWidth="1"/>
    <col min="1743" max="1743" width="15" style="13" customWidth="1"/>
    <col min="1744" max="1744" width="13.33203125" style="13" customWidth="1"/>
    <col min="1745" max="1745" width="17" style="13" customWidth="1"/>
    <col min="1746" max="1746" width="24.88671875" style="13" customWidth="1"/>
    <col min="1747" max="1747" width="14.44140625" style="13" customWidth="1"/>
    <col min="1748" max="1748" width="23.109375" style="13" customWidth="1"/>
    <col min="1749" max="1749" width="13.109375" style="13" customWidth="1"/>
    <col min="1750" max="1753" width="0" style="13" hidden="1" customWidth="1"/>
    <col min="1754" max="1989" width="10.33203125" style="13"/>
    <col min="1990" max="1990" width="7" style="13" customWidth="1"/>
    <col min="1991" max="1991" width="13" style="13" customWidth="1"/>
    <col min="1992" max="1992" width="14.109375" style="13" customWidth="1"/>
    <col min="1993" max="1993" width="17.33203125" style="13" customWidth="1"/>
    <col min="1994" max="1994" width="18.88671875" style="13" customWidth="1"/>
    <col min="1995" max="1995" width="14.109375" style="13" customWidth="1"/>
    <col min="1996" max="1996" width="21.5546875" style="13" customWidth="1"/>
    <col min="1997" max="1998" width="14.109375" style="13" customWidth="1"/>
    <col min="1999" max="1999" width="15" style="13" customWidth="1"/>
    <col min="2000" max="2000" width="13.33203125" style="13" customWidth="1"/>
    <col min="2001" max="2001" width="17" style="13" customWidth="1"/>
    <col min="2002" max="2002" width="24.88671875" style="13" customWidth="1"/>
    <col min="2003" max="2003" width="14.44140625" style="13" customWidth="1"/>
    <col min="2004" max="2004" width="23.109375" style="13" customWidth="1"/>
    <col min="2005" max="2005" width="13.109375" style="13" customWidth="1"/>
    <col min="2006" max="2009" width="0" style="13" hidden="1" customWidth="1"/>
    <col min="2010" max="2245" width="10.33203125" style="13"/>
    <col min="2246" max="2246" width="7" style="13" customWidth="1"/>
    <col min="2247" max="2247" width="13" style="13" customWidth="1"/>
    <col min="2248" max="2248" width="14.109375" style="13" customWidth="1"/>
    <col min="2249" max="2249" width="17.33203125" style="13" customWidth="1"/>
    <col min="2250" max="2250" width="18.88671875" style="13" customWidth="1"/>
    <col min="2251" max="2251" width="14.109375" style="13" customWidth="1"/>
    <col min="2252" max="2252" width="21.5546875" style="13" customWidth="1"/>
    <col min="2253" max="2254" width="14.109375" style="13" customWidth="1"/>
    <col min="2255" max="2255" width="15" style="13" customWidth="1"/>
    <col min="2256" max="2256" width="13.33203125" style="13" customWidth="1"/>
    <col min="2257" max="2257" width="17" style="13" customWidth="1"/>
    <col min="2258" max="2258" width="24.88671875" style="13" customWidth="1"/>
    <col min="2259" max="2259" width="14.44140625" style="13" customWidth="1"/>
    <col min="2260" max="2260" width="23.109375" style="13" customWidth="1"/>
    <col min="2261" max="2261" width="13.109375" style="13" customWidth="1"/>
    <col min="2262" max="2265" width="0" style="13" hidden="1" customWidth="1"/>
    <col min="2266" max="2501" width="10.33203125" style="13"/>
    <col min="2502" max="2502" width="7" style="13" customWidth="1"/>
    <col min="2503" max="2503" width="13" style="13" customWidth="1"/>
    <col min="2504" max="2504" width="14.109375" style="13" customWidth="1"/>
    <col min="2505" max="2505" width="17.33203125" style="13" customWidth="1"/>
    <col min="2506" max="2506" width="18.88671875" style="13" customWidth="1"/>
    <col min="2507" max="2507" width="14.109375" style="13" customWidth="1"/>
    <col min="2508" max="2508" width="21.5546875" style="13" customWidth="1"/>
    <col min="2509" max="2510" width="14.109375" style="13" customWidth="1"/>
    <col min="2511" max="2511" width="15" style="13" customWidth="1"/>
    <col min="2512" max="2512" width="13.33203125" style="13" customWidth="1"/>
    <col min="2513" max="2513" width="17" style="13" customWidth="1"/>
    <col min="2514" max="2514" width="24.88671875" style="13" customWidth="1"/>
    <col min="2515" max="2515" width="14.44140625" style="13" customWidth="1"/>
    <col min="2516" max="2516" width="23.109375" style="13" customWidth="1"/>
    <col min="2517" max="2517" width="13.109375" style="13" customWidth="1"/>
    <col min="2518" max="2521" width="0" style="13" hidden="1" customWidth="1"/>
    <col min="2522" max="2757" width="10.33203125" style="13"/>
    <col min="2758" max="2758" width="7" style="13" customWidth="1"/>
    <col min="2759" max="2759" width="13" style="13" customWidth="1"/>
    <col min="2760" max="2760" width="14.109375" style="13" customWidth="1"/>
    <col min="2761" max="2761" width="17.33203125" style="13" customWidth="1"/>
    <col min="2762" max="2762" width="18.88671875" style="13" customWidth="1"/>
    <col min="2763" max="2763" width="14.109375" style="13" customWidth="1"/>
    <col min="2764" max="2764" width="21.5546875" style="13" customWidth="1"/>
    <col min="2765" max="2766" width="14.109375" style="13" customWidth="1"/>
    <col min="2767" max="2767" width="15" style="13" customWidth="1"/>
    <col min="2768" max="2768" width="13.33203125" style="13" customWidth="1"/>
    <col min="2769" max="2769" width="17" style="13" customWidth="1"/>
    <col min="2770" max="2770" width="24.88671875" style="13" customWidth="1"/>
    <col min="2771" max="2771" width="14.44140625" style="13" customWidth="1"/>
    <col min="2772" max="2772" width="23.109375" style="13" customWidth="1"/>
    <col min="2773" max="2773" width="13.109375" style="13" customWidth="1"/>
    <col min="2774" max="2777" width="0" style="13" hidden="1" customWidth="1"/>
    <col min="2778" max="3013" width="10.33203125" style="13"/>
    <col min="3014" max="3014" width="7" style="13" customWidth="1"/>
    <col min="3015" max="3015" width="13" style="13" customWidth="1"/>
    <col min="3016" max="3016" width="14.109375" style="13" customWidth="1"/>
    <col min="3017" max="3017" width="17.33203125" style="13" customWidth="1"/>
    <col min="3018" max="3018" width="18.88671875" style="13" customWidth="1"/>
    <col min="3019" max="3019" width="14.109375" style="13" customWidth="1"/>
    <col min="3020" max="3020" width="21.5546875" style="13" customWidth="1"/>
    <col min="3021" max="3022" width="14.109375" style="13" customWidth="1"/>
    <col min="3023" max="3023" width="15" style="13" customWidth="1"/>
    <col min="3024" max="3024" width="13.33203125" style="13" customWidth="1"/>
    <col min="3025" max="3025" width="17" style="13" customWidth="1"/>
    <col min="3026" max="3026" width="24.88671875" style="13" customWidth="1"/>
    <col min="3027" max="3027" width="14.44140625" style="13" customWidth="1"/>
    <col min="3028" max="3028" width="23.109375" style="13" customWidth="1"/>
    <col min="3029" max="3029" width="13.109375" style="13" customWidth="1"/>
    <col min="3030" max="3033" width="0" style="13" hidden="1" customWidth="1"/>
    <col min="3034" max="3269" width="10.33203125" style="13"/>
    <col min="3270" max="3270" width="7" style="13" customWidth="1"/>
    <col min="3271" max="3271" width="13" style="13" customWidth="1"/>
    <col min="3272" max="3272" width="14.109375" style="13" customWidth="1"/>
    <col min="3273" max="3273" width="17.33203125" style="13" customWidth="1"/>
    <col min="3274" max="3274" width="18.88671875" style="13" customWidth="1"/>
    <col min="3275" max="3275" width="14.109375" style="13" customWidth="1"/>
    <col min="3276" max="3276" width="21.5546875" style="13" customWidth="1"/>
    <col min="3277" max="3278" width="14.109375" style="13" customWidth="1"/>
    <col min="3279" max="3279" width="15" style="13" customWidth="1"/>
    <col min="3280" max="3280" width="13.33203125" style="13" customWidth="1"/>
    <col min="3281" max="3281" width="17" style="13" customWidth="1"/>
    <col min="3282" max="3282" width="24.88671875" style="13" customWidth="1"/>
    <col min="3283" max="3283" width="14.44140625" style="13" customWidth="1"/>
    <col min="3284" max="3284" width="23.109375" style="13" customWidth="1"/>
    <col min="3285" max="3285" width="13.109375" style="13" customWidth="1"/>
    <col min="3286" max="3289" width="0" style="13" hidden="1" customWidth="1"/>
    <col min="3290" max="3525" width="10.33203125" style="13"/>
    <col min="3526" max="3526" width="7" style="13" customWidth="1"/>
    <col min="3527" max="3527" width="13" style="13" customWidth="1"/>
    <col min="3528" max="3528" width="14.109375" style="13" customWidth="1"/>
    <col min="3529" max="3529" width="17.33203125" style="13" customWidth="1"/>
    <col min="3530" max="3530" width="18.88671875" style="13" customWidth="1"/>
    <col min="3531" max="3531" width="14.109375" style="13" customWidth="1"/>
    <col min="3532" max="3532" width="21.5546875" style="13" customWidth="1"/>
    <col min="3533" max="3534" width="14.109375" style="13" customWidth="1"/>
    <col min="3535" max="3535" width="15" style="13" customWidth="1"/>
    <col min="3536" max="3536" width="13.33203125" style="13" customWidth="1"/>
    <col min="3537" max="3537" width="17" style="13" customWidth="1"/>
    <col min="3538" max="3538" width="24.88671875" style="13" customWidth="1"/>
    <col min="3539" max="3539" width="14.44140625" style="13" customWidth="1"/>
    <col min="3540" max="3540" width="23.109375" style="13" customWidth="1"/>
    <col min="3541" max="3541" width="13.109375" style="13" customWidth="1"/>
    <col min="3542" max="3545" width="0" style="13" hidden="1" customWidth="1"/>
    <col min="3546" max="3781" width="10.33203125" style="13"/>
    <col min="3782" max="3782" width="7" style="13" customWidth="1"/>
    <col min="3783" max="3783" width="13" style="13" customWidth="1"/>
    <col min="3784" max="3784" width="14.109375" style="13" customWidth="1"/>
    <col min="3785" max="3785" width="17.33203125" style="13" customWidth="1"/>
    <col min="3786" max="3786" width="18.88671875" style="13" customWidth="1"/>
    <col min="3787" max="3787" width="14.109375" style="13" customWidth="1"/>
    <col min="3788" max="3788" width="21.5546875" style="13" customWidth="1"/>
    <col min="3789" max="3790" width="14.109375" style="13" customWidth="1"/>
    <col min="3791" max="3791" width="15" style="13" customWidth="1"/>
    <col min="3792" max="3792" width="13.33203125" style="13" customWidth="1"/>
    <col min="3793" max="3793" width="17" style="13" customWidth="1"/>
    <col min="3794" max="3794" width="24.88671875" style="13" customWidth="1"/>
    <col min="3795" max="3795" width="14.44140625" style="13" customWidth="1"/>
    <col min="3796" max="3796" width="23.109375" style="13" customWidth="1"/>
    <col min="3797" max="3797" width="13.109375" style="13" customWidth="1"/>
    <col min="3798" max="3801" width="0" style="13" hidden="1" customWidth="1"/>
    <col min="3802" max="4037" width="10.33203125" style="13"/>
    <col min="4038" max="4038" width="7" style="13" customWidth="1"/>
    <col min="4039" max="4039" width="13" style="13" customWidth="1"/>
    <col min="4040" max="4040" width="14.109375" style="13" customWidth="1"/>
    <col min="4041" max="4041" width="17.33203125" style="13" customWidth="1"/>
    <col min="4042" max="4042" width="18.88671875" style="13" customWidth="1"/>
    <col min="4043" max="4043" width="14.109375" style="13" customWidth="1"/>
    <col min="4044" max="4044" width="21.5546875" style="13" customWidth="1"/>
    <col min="4045" max="4046" width="14.109375" style="13" customWidth="1"/>
    <col min="4047" max="4047" width="15" style="13" customWidth="1"/>
    <col min="4048" max="4048" width="13.33203125" style="13" customWidth="1"/>
    <col min="4049" max="4049" width="17" style="13" customWidth="1"/>
    <col min="4050" max="4050" width="24.88671875" style="13" customWidth="1"/>
    <col min="4051" max="4051" width="14.44140625" style="13" customWidth="1"/>
    <col min="4052" max="4052" width="23.109375" style="13" customWidth="1"/>
    <col min="4053" max="4053" width="13.109375" style="13" customWidth="1"/>
    <col min="4054" max="4057" width="0" style="13" hidden="1" customWidth="1"/>
    <col min="4058" max="4293" width="10.33203125" style="13"/>
    <col min="4294" max="4294" width="7" style="13" customWidth="1"/>
    <col min="4295" max="4295" width="13" style="13" customWidth="1"/>
    <col min="4296" max="4296" width="14.109375" style="13" customWidth="1"/>
    <col min="4297" max="4297" width="17.33203125" style="13" customWidth="1"/>
    <col min="4298" max="4298" width="18.88671875" style="13" customWidth="1"/>
    <col min="4299" max="4299" width="14.109375" style="13" customWidth="1"/>
    <col min="4300" max="4300" width="21.5546875" style="13" customWidth="1"/>
    <col min="4301" max="4302" width="14.109375" style="13" customWidth="1"/>
    <col min="4303" max="4303" width="15" style="13" customWidth="1"/>
    <col min="4304" max="4304" width="13.33203125" style="13" customWidth="1"/>
    <col min="4305" max="4305" width="17" style="13" customWidth="1"/>
    <col min="4306" max="4306" width="24.88671875" style="13" customWidth="1"/>
    <col min="4307" max="4307" width="14.44140625" style="13" customWidth="1"/>
    <col min="4308" max="4308" width="23.109375" style="13" customWidth="1"/>
    <col min="4309" max="4309" width="13.109375" style="13" customWidth="1"/>
    <col min="4310" max="4313" width="0" style="13" hidden="1" customWidth="1"/>
    <col min="4314" max="4549" width="10.33203125" style="13"/>
    <col min="4550" max="4550" width="7" style="13" customWidth="1"/>
    <col min="4551" max="4551" width="13" style="13" customWidth="1"/>
    <col min="4552" max="4552" width="14.109375" style="13" customWidth="1"/>
    <col min="4553" max="4553" width="17.33203125" style="13" customWidth="1"/>
    <col min="4554" max="4554" width="18.88671875" style="13" customWidth="1"/>
    <col min="4555" max="4555" width="14.109375" style="13" customWidth="1"/>
    <col min="4556" max="4556" width="21.5546875" style="13" customWidth="1"/>
    <col min="4557" max="4558" width="14.109375" style="13" customWidth="1"/>
    <col min="4559" max="4559" width="15" style="13" customWidth="1"/>
    <col min="4560" max="4560" width="13.33203125" style="13" customWidth="1"/>
    <col min="4561" max="4561" width="17" style="13" customWidth="1"/>
    <col min="4562" max="4562" width="24.88671875" style="13" customWidth="1"/>
    <col min="4563" max="4563" width="14.44140625" style="13" customWidth="1"/>
    <col min="4564" max="4564" width="23.109375" style="13" customWidth="1"/>
    <col min="4565" max="4565" width="13.109375" style="13" customWidth="1"/>
    <col min="4566" max="4569" width="0" style="13" hidden="1" customWidth="1"/>
    <col min="4570" max="4805" width="10.33203125" style="13"/>
    <col min="4806" max="4806" width="7" style="13" customWidth="1"/>
    <col min="4807" max="4807" width="13" style="13" customWidth="1"/>
    <col min="4808" max="4808" width="14.109375" style="13" customWidth="1"/>
    <col min="4809" max="4809" width="17.33203125" style="13" customWidth="1"/>
    <col min="4810" max="4810" width="18.88671875" style="13" customWidth="1"/>
    <col min="4811" max="4811" width="14.109375" style="13" customWidth="1"/>
    <col min="4812" max="4812" width="21.5546875" style="13" customWidth="1"/>
    <col min="4813" max="4814" width="14.109375" style="13" customWidth="1"/>
    <col min="4815" max="4815" width="15" style="13" customWidth="1"/>
    <col min="4816" max="4816" width="13.33203125" style="13" customWidth="1"/>
    <col min="4817" max="4817" width="17" style="13" customWidth="1"/>
    <col min="4818" max="4818" width="24.88671875" style="13" customWidth="1"/>
    <col min="4819" max="4819" width="14.44140625" style="13" customWidth="1"/>
    <col min="4820" max="4820" width="23.109375" style="13" customWidth="1"/>
    <col min="4821" max="4821" width="13.109375" style="13" customWidth="1"/>
    <col min="4822" max="4825" width="0" style="13" hidden="1" customWidth="1"/>
    <col min="4826" max="5061" width="10.33203125" style="13"/>
    <col min="5062" max="5062" width="7" style="13" customWidth="1"/>
    <col min="5063" max="5063" width="13" style="13" customWidth="1"/>
    <col min="5064" max="5064" width="14.109375" style="13" customWidth="1"/>
    <col min="5065" max="5065" width="17.33203125" style="13" customWidth="1"/>
    <col min="5066" max="5066" width="18.88671875" style="13" customWidth="1"/>
    <col min="5067" max="5067" width="14.109375" style="13" customWidth="1"/>
    <col min="5068" max="5068" width="21.5546875" style="13" customWidth="1"/>
    <col min="5069" max="5070" width="14.109375" style="13" customWidth="1"/>
    <col min="5071" max="5071" width="15" style="13" customWidth="1"/>
    <col min="5072" max="5072" width="13.33203125" style="13" customWidth="1"/>
    <col min="5073" max="5073" width="17" style="13" customWidth="1"/>
    <col min="5074" max="5074" width="24.88671875" style="13" customWidth="1"/>
    <col min="5075" max="5075" width="14.44140625" style="13" customWidth="1"/>
    <col min="5076" max="5076" width="23.109375" style="13" customWidth="1"/>
    <col min="5077" max="5077" width="13.109375" style="13" customWidth="1"/>
    <col min="5078" max="5081" width="0" style="13" hidden="1" customWidth="1"/>
    <col min="5082" max="5317" width="10.33203125" style="13"/>
    <col min="5318" max="5318" width="7" style="13" customWidth="1"/>
    <col min="5319" max="5319" width="13" style="13" customWidth="1"/>
    <col min="5320" max="5320" width="14.109375" style="13" customWidth="1"/>
    <col min="5321" max="5321" width="17.33203125" style="13" customWidth="1"/>
    <col min="5322" max="5322" width="18.88671875" style="13" customWidth="1"/>
    <col min="5323" max="5323" width="14.109375" style="13" customWidth="1"/>
    <col min="5324" max="5324" width="21.5546875" style="13" customWidth="1"/>
    <col min="5325" max="5326" width="14.109375" style="13" customWidth="1"/>
    <col min="5327" max="5327" width="15" style="13" customWidth="1"/>
    <col min="5328" max="5328" width="13.33203125" style="13" customWidth="1"/>
    <col min="5329" max="5329" width="17" style="13" customWidth="1"/>
    <col min="5330" max="5330" width="24.88671875" style="13" customWidth="1"/>
    <col min="5331" max="5331" width="14.44140625" style="13" customWidth="1"/>
    <col min="5332" max="5332" width="23.109375" style="13" customWidth="1"/>
    <col min="5333" max="5333" width="13.109375" style="13" customWidth="1"/>
    <col min="5334" max="5337" width="0" style="13" hidden="1" customWidth="1"/>
    <col min="5338" max="5573" width="10.33203125" style="13"/>
    <col min="5574" max="5574" width="7" style="13" customWidth="1"/>
    <col min="5575" max="5575" width="13" style="13" customWidth="1"/>
    <col min="5576" max="5576" width="14.109375" style="13" customWidth="1"/>
    <col min="5577" max="5577" width="17.33203125" style="13" customWidth="1"/>
    <col min="5578" max="5578" width="18.88671875" style="13" customWidth="1"/>
    <col min="5579" max="5579" width="14.109375" style="13" customWidth="1"/>
    <col min="5580" max="5580" width="21.5546875" style="13" customWidth="1"/>
    <col min="5581" max="5582" width="14.109375" style="13" customWidth="1"/>
    <col min="5583" max="5583" width="15" style="13" customWidth="1"/>
    <col min="5584" max="5584" width="13.33203125" style="13" customWidth="1"/>
    <col min="5585" max="5585" width="17" style="13" customWidth="1"/>
    <col min="5586" max="5586" width="24.88671875" style="13" customWidth="1"/>
    <col min="5587" max="5587" width="14.44140625" style="13" customWidth="1"/>
    <col min="5588" max="5588" width="23.109375" style="13" customWidth="1"/>
    <col min="5589" max="5589" width="13.109375" style="13" customWidth="1"/>
    <col min="5590" max="5593" width="0" style="13" hidden="1" customWidth="1"/>
    <col min="5594" max="5829" width="10.33203125" style="13"/>
    <col min="5830" max="5830" width="7" style="13" customWidth="1"/>
    <col min="5831" max="5831" width="13" style="13" customWidth="1"/>
    <col min="5832" max="5832" width="14.109375" style="13" customWidth="1"/>
    <col min="5833" max="5833" width="17.33203125" style="13" customWidth="1"/>
    <col min="5834" max="5834" width="18.88671875" style="13" customWidth="1"/>
    <col min="5835" max="5835" width="14.109375" style="13" customWidth="1"/>
    <col min="5836" max="5836" width="21.5546875" style="13" customWidth="1"/>
    <col min="5837" max="5838" width="14.109375" style="13" customWidth="1"/>
    <col min="5839" max="5839" width="15" style="13" customWidth="1"/>
    <col min="5840" max="5840" width="13.33203125" style="13" customWidth="1"/>
    <col min="5841" max="5841" width="17" style="13" customWidth="1"/>
    <col min="5842" max="5842" width="24.88671875" style="13" customWidth="1"/>
    <col min="5843" max="5843" width="14.44140625" style="13" customWidth="1"/>
    <col min="5844" max="5844" width="23.109375" style="13" customWidth="1"/>
    <col min="5845" max="5845" width="13.109375" style="13" customWidth="1"/>
    <col min="5846" max="5849" width="0" style="13" hidden="1" customWidth="1"/>
    <col min="5850" max="6085" width="10.33203125" style="13"/>
    <col min="6086" max="6086" width="7" style="13" customWidth="1"/>
    <col min="6087" max="6087" width="13" style="13" customWidth="1"/>
    <col min="6088" max="6088" width="14.109375" style="13" customWidth="1"/>
    <col min="6089" max="6089" width="17.33203125" style="13" customWidth="1"/>
    <col min="6090" max="6090" width="18.88671875" style="13" customWidth="1"/>
    <col min="6091" max="6091" width="14.109375" style="13" customWidth="1"/>
    <col min="6092" max="6092" width="21.5546875" style="13" customWidth="1"/>
    <col min="6093" max="6094" width="14.109375" style="13" customWidth="1"/>
    <col min="6095" max="6095" width="15" style="13" customWidth="1"/>
    <col min="6096" max="6096" width="13.33203125" style="13" customWidth="1"/>
    <col min="6097" max="6097" width="17" style="13" customWidth="1"/>
    <col min="6098" max="6098" width="24.88671875" style="13" customWidth="1"/>
    <col min="6099" max="6099" width="14.44140625" style="13" customWidth="1"/>
    <col min="6100" max="6100" width="23.109375" style="13" customWidth="1"/>
    <col min="6101" max="6101" width="13.109375" style="13" customWidth="1"/>
    <col min="6102" max="6105" width="0" style="13" hidden="1" customWidth="1"/>
    <col min="6106" max="6341" width="10.33203125" style="13"/>
    <col min="6342" max="6342" width="7" style="13" customWidth="1"/>
    <col min="6343" max="6343" width="13" style="13" customWidth="1"/>
    <col min="6344" max="6344" width="14.109375" style="13" customWidth="1"/>
    <col min="6345" max="6345" width="17.33203125" style="13" customWidth="1"/>
    <col min="6346" max="6346" width="18.88671875" style="13" customWidth="1"/>
    <col min="6347" max="6347" width="14.109375" style="13" customWidth="1"/>
    <col min="6348" max="6348" width="21.5546875" style="13" customWidth="1"/>
    <col min="6349" max="6350" width="14.109375" style="13" customWidth="1"/>
    <col min="6351" max="6351" width="15" style="13" customWidth="1"/>
    <col min="6352" max="6352" width="13.33203125" style="13" customWidth="1"/>
    <col min="6353" max="6353" width="17" style="13" customWidth="1"/>
    <col min="6354" max="6354" width="24.88671875" style="13" customWidth="1"/>
    <col min="6355" max="6355" width="14.44140625" style="13" customWidth="1"/>
    <col min="6356" max="6356" width="23.109375" style="13" customWidth="1"/>
    <col min="6357" max="6357" width="13.109375" style="13" customWidth="1"/>
    <col min="6358" max="6361" width="0" style="13" hidden="1" customWidth="1"/>
    <col min="6362" max="6597" width="10.33203125" style="13"/>
    <col min="6598" max="6598" width="7" style="13" customWidth="1"/>
    <col min="6599" max="6599" width="13" style="13" customWidth="1"/>
    <col min="6600" max="6600" width="14.109375" style="13" customWidth="1"/>
    <col min="6601" max="6601" width="17.33203125" style="13" customWidth="1"/>
    <col min="6602" max="6602" width="18.88671875" style="13" customWidth="1"/>
    <col min="6603" max="6603" width="14.109375" style="13" customWidth="1"/>
    <col min="6604" max="6604" width="21.5546875" style="13" customWidth="1"/>
    <col min="6605" max="6606" width="14.109375" style="13" customWidth="1"/>
    <col min="6607" max="6607" width="15" style="13" customWidth="1"/>
    <col min="6608" max="6608" width="13.33203125" style="13" customWidth="1"/>
    <col min="6609" max="6609" width="17" style="13" customWidth="1"/>
    <col min="6610" max="6610" width="24.88671875" style="13" customWidth="1"/>
    <col min="6611" max="6611" width="14.44140625" style="13" customWidth="1"/>
    <col min="6612" max="6612" width="23.109375" style="13" customWidth="1"/>
    <col min="6613" max="6613" width="13.109375" style="13" customWidth="1"/>
    <col min="6614" max="6617" width="0" style="13" hidden="1" customWidth="1"/>
    <col min="6618" max="6853" width="10.33203125" style="13"/>
    <col min="6854" max="6854" width="7" style="13" customWidth="1"/>
    <col min="6855" max="6855" width="13" style="13" customWidth="1"/>
    <col min="6856" max="6856" width="14.109375" style="13" customWidth="1"/>
    <col min="6857" max="6857" width="17.33203125" style="13" customWidth="1"/>
    <col min="6858" max="6858" width="18.88671875" style="13" customWidth="1"/>
    <col min="6859" max="6859" width="14.109375" style="13" customWidth="1"/>
    <col min="6860" max="6860" width="21.5546875" style="13" customWidth="1"/>
    <col min="6861" max="6862" width="14.109375" style="13" customWidth="1"/>
    <col min="6863" max="6863" width="15" style="13" customWidth="1"/>
    <col min="6864" max="6864" width="13.33203125" style="13" customWidth="1"/>
    <col min="6865" max="6865" width="17" style="13" customWidth="1"/>
    <col min="6866" max="6866" width="24.88671875" style="13" customWidth="1"/>
    <col min="6867" max="6867" width="14.44140625" style="13" customWidth="1"/>
    <col min="6868" max="6868" width="23.109375" style="13" customWidth="1"/>
    <col min="6869" max="6869" width="13.109375" style="13" customWidth="1"/>
    <col min="6870" max="6873" width="0" style="13" hidden="1" customWidth="1"/>
    <col min="6874" max="7109" width="10.33203125" style="13"/>
    <col min="7110" max="7110" width="7" style="13" customWidth="1"/>
    <col min="7111" max="7111" width="13" style="13" customWidth="1"/>
    <col min="7112" max="7112" width="14.109375" style="13" customWidth="1"/>
    <col min="7113" max="7113" width="17.33203125" style="13" customWidth="1"/>
    <col min="7114" max="7114" width="18.88671875" style="13" customWidth="1"/>
    <col min="7115" max="7115" width="14.109375" style="13" customWidth="1"/>
    <col min="7116" max="7116" width="21.5546875" style="13" customWidth="1"/>
    <col min="7117" max="7118" width="14.109375" style="13" customWidth="1"/>
    <col min="7119" max="7119" width="15" style="13" customWidth="1"/>
    <col min="7120" max="7120" width="13.33203125" style="13" customWidth="1"/>
    <col min="7121" max="7121" width="17" style="13" customWidth="1"/>
    <col min="7122" max="7122" width="24.88671875" style="13" customWidth="1"/>
    <col min="7123" max="7123" width="14.44140625" style="13" customWidth="1"/>
    <col min="7124" max="7124" width="23.109375" style="13" customWidth="1"/>
    <col min="7125" max="7125" width="13.109375" style="13" customWidth="1"/>
    <col min="7126" max="7129" width="0" style="13" hidden="1" customWidth="1"/>
    <col min="7130" max="7365" width="10.33203125" style="13"/>
    <col min="7366" max="7366" width="7" style="13" customWidth="1"/>
    <col min="7367" max="7367" width="13" style="13" customWidth="1"/>
    <col min="7368" max="7368" width="14.109375" style="13" customWidth="1"/>
    <col min="7369" max="7369" width="17.33203125" style="13" customWidth="1"/>
    <col min="7370" max="7370" width="18.88671875" style="13" customWidth="1"/>
    <col min="7371" max="7371" width="14.109375" style="13" customWidth="1"/>
    <col min="7372" max="7372" width="21.5546875" style="13" customWidth="1"/>
    <col min="7373" max="7374" width="14.109375" style="13" customWidth="1"/>
    <col min="7375" max="7375" width="15" style="13" customWidth="1"/>
    <col min="7376" max="7376" width="13.33203125" style="13" customWidth="1"/>
    <col min="7377" max="7377" width="17" style="13" customWidth="1"/>
    <col min="7378" max="7378" width="24.88671875" style="13" customWidth="1"/>
    <col min="7379" max="7379" width="14.44140625" style="13" customWidth="1"/>
    <col min="7380" max="7380" width="23.109375" style="13" customWidth="1"/>
    <col min="7381" max="7381" width="13.109375" style="13" customWidth="1"/>
    <col min="7382" max="7385" width="0" style="13" hidden="1" customWidth="1"/>
    <col min="7386" max="7621" width="10.33203125" style="13"/>
    <col min="7622" max="7622" width="7" style="13" customWidth="1"/>
    <col min="7623" max="7623" width="13" style="13" customWidth="1"/>
    <col min="7624" max="7624" width="14.109375" style="13" customWidth="1"/>
    <col min="7625" max="7625" width="17.33203125" style="13" customWidth="1"/>
    <col min="7626" max="7626" width="18.88671875" style="13" customWidth="1"/>
    <col min="7627" max="7627" width="14.109375" style="13" customWidth="1"/>
    <col min="7628" max="7628" width="21.5546875" style="13" customWidth="1"/>
    <col min="7629" max="7630" width="14.109375" style="13" customWidth="1"/>
    <col min="7631" max="7631" width="15" style="13" customWidth="1"/>
    <col min="7632" max="7632" width="13.33203125" style="13" customWidth="1"/>
    <col min="7633" max="7633" width="17" style="13" customWidth="1"/>
    <col min="7634" max="7634" width="24.88671875" style="13" customWidth="1"/>
    <col min="7635" max="7635" width="14.44140625" style="13" customWidth="1"/>
    <col min="7636" max="7636" width="23.109375" style="13" customWidth="1"/>
    <col min="7637" max="7637" width="13.109375" style="13" customWidth="1"/>
    <col min="7638" max="7641" width="0" style="13" hidden="1" customWidth="1"/>
    <col min="7642" max="7877" width="10.33203125" style="13"/>
    <col min="7878" max="7878" width="7" style="13" customWidth="1"/>
    <col min="7879" max="7879" width="13" style="13" customWidth="1"/>
    <col min="7880" max="7880" width="14.109375" style="13" customWidth="1"/>
    <col min="7881" max="7881" width="17.33203125" style="13" customWidth="1"/>
    <col min="7882" max="7882" width="18.88671875" style="13" customWidth="1"/>
    <col min="7883" max="7883" width="14.109375" style="13" customWidth="1"/>
    <col min="7884" max="7884" width="21.5546875" style="13" customWidth="1"/>
    <col min="7885" max="7886" width="14.109375" style="13" customWidth="1"/>
    <col min="7887" max="7887" width="15" style="13" customWidth="1"/>
    <col min="7888" max="7888" width="13.33203125" style="13" customWidth="1"/>
    <col min="7889" max="7889" width="17" style="13" customWidth="1"/>
    <col min="7890" max="7890" width="24.88671875" style="13" customWidth="1"/>
    <col min="7891" max="7891" width="14.44140625" style="13" customWidth="1"/>
    <col min="7892" max="7892" width="23.109375" style="13" customWidth="1"/>
    <col min="7893" max="7893" width="13.109375" style="13" customWidth="1"/>
    <col min="7894" max="7897" width="0" style="13" hidden="1" customWidth="1"/>
    <col min="7898" max="8133" width="10.33203125" style="13"/>
    <col min="8134" max="8134" width="7" style="13" customWidth="1"/>
    <col min="8135" max="8135" width="13" style="13" customWidth="1"/>
    <col min="8136" max="8136" width="14.109375" style="13" customWidth="1"/>
    <col min="8137" max="8137" width="17.33203125" style="13" customWidth="1"/>
    <col min="8138" max="8138" width="18.88671875" style="13" customWidth="1"/>
    <col min="8139" max="8139" width="14.109375" style="13" customWidth="1"/>
    <col min="8140" max="8140" width="21.5546875" style="13" customWidth="1"/>
    <col min="8141" max="8142" width="14.109375" style="13" customWidth="1"/>
    <col min="8143" max="8143" width="15" style="13" customWidth="1"/>
    <col min="8144" max="8144" width="13.33203125" style="13" customWidth="1"/>
    <col min="8145" max="8145" width="17" style="13" customWidth="1"/>
    <col min="8146" max="8146" width="24.88671875" style="13" customWidth="1"/>
    <col min="8147" max="8147" width="14.44140625" style="13" customWidth="1"/>
    <col min="8148" max="8148" width="23.109375" style="13" customWidth="1"/>
    <col min="8149" max="8149" width="13.109375" style="13" customWidth="1"/>
    <col min="8150" max="8153" width="0" style="13" hidden="1" customWidth="1"/>
    <col min="8154" max="8389" width="10.33203125" style="13"/>
    <col min="8390" max="8390" width="7" style="13" customWidth="1"/>
    <col min="8391" max="8391" width="13" style="13" customWidth="1"/>
    <col min="8392" max="8392" width="14.109375" style="13" customWidth="1"/>
    <col min="8393" max="8393" width="17.33203125" style="13" customWidth="1"/>
    <col min="8394" max="8394" width="18.88671875" style="13" customWidth="1"/>
    <col min="8395" max="8395" width="14.109375" style="13" customWidth="1"/>
    <col min="8396" max="8396" width="21.5546875" style="13" customWidth="1"/>
    <col min="8397" max="8398" width="14.109375" style="13" customWidth="1"/>
    <col min="8399" max="8399" width="15" style="13" customWidth="1"/>
    <col min="8400" max="8400" width="13.33203125" style="13" customWidth="1"/>
    <col min="8401" max="8401" width="17" style="13" customWidth="1"/>
    <col min="8402" max="8402" width="24.88671875" style="13" customWidth="1"/>
    <col min="8403" max="8403" width="14.44140625" style="13" customWidth="1"/>
    <col min="8404" max="8404" width="23.109375" style="13" customWidth="1"/>
    <col min="8405" max="8405" width="13.109375" style="13" customWidth="1"/>
    <col min="8406" max="8409" width="0" style="13" hidden="1" customWidth="1"/>
    <col min="8410" max="8645" width="10.33203125" style="13"/>
    <col min="8646" max="8646" width="7" style="13" customWidth="1"/>
    <col min="8647" max="8647" width="13" style="13" customWidth="1"/>
    <col min="8648" max="8648" width="14.109375" style="13" customWidth="1"/>
    <col min="8649" max="8649" width="17.33203125" style="13" customWidth="1"/>
    <col min="8650" max="8650" width="18.88671875" style="13" customWidth="1"/>
    <col min="8651" max="8651" width="14.109375" style="13" customWidth="1"/>
    <col min="8652" max="8652" width="21.5546875" style="13" customWidth="1"/>
    <col min="8653" max="8654" width="14.109375" style="13" customWidth="1"/>
    <col min="8655" max="8655" width="15" style="13" customWidth="1"/>
    <col min="8656" max="8656" width="13.33203125" style="13" customWidth="1"/>
    <col min="8657" max="8657" width="17" style="13" customWidth="1"/>
    <col min="8658" max="8658" width="24.88671875" style="13" customWidth="1"/>
    <col min="8659" max="8659" width="14.44140625" style="13" customWidth="1"/>
    <col min="8660" max="8660" width="23.109375" style="13" customWidth="1"/>
    <col min="8661" max="8661" width="13.109375" style="13" customWidth="1"/>
    <col min="8662" max="8665" width="0" style="13" hidden="1" customWidth="1"/>
    <col min="8666" max="8901" width="10.33203125" style="13"/>
    <col min="8902" max="8902" width="7" style="13" customWidth="1"/>
    <col min="8903" max="8903" width="13" style="13" customWidth="1"/>
    <col min="8904" max="8904" width="14.109375" style="13" customWidth="1"/>
    <col min="8905" max="8905" width="17.33203125" style="13" customWidth="1"/>
    <col min="8906" max="8906" width="18.88671875" style="13" customWidth="1"/>
    <col min="8907" max="8907" width="14.109375" style="13" customWidth="1"/>
    <col min="8908" max="8908" width="21.5546875" style="13" customWidth="1"/>
    <col min="8909" max="8910" width="14.109375" style="13" customWidth="1"/>
    <col min="8911" max="8911" width="15" style="13" customWidth="1"/>
    <col min="8912" max="8912" width="13.33203125" style="13" customWidth="1"/>
    <col min="8913" max="8913" width="17" style="13" customWidth="1"/>
    <col min="8914" max="8914" width="24.88671875" style="13" customWidth="1"/>
    <col min="8915" max="8915" width="14.44140625" style="13" customWidth="1"/>
    <col min="8916" max="8916" width="23.109375" style="13" customWidth="1"/>
    <col min="8917" max="8917" width="13.109375" style="13" customWidth="1"/>
    <col min="8918" max="8921" width="0" style="13" hidden="1" customWidth="1"/>
    <col min="8922" max="9157" width="10.33203125" style="13"/>
    <col min="9158" max="9158" width="7" style="13" customWidth="1"/>
    <col min="9159" max="9159" width="13" style="13" customWidth="1"/>
    <col min="9160" max="9160" width="14.109375" style="13" customWidth="1"/>
    <col min="9161" max="9161" width="17.33203125" style="13" customWidth="1"/>
    <col min="9162" max="9162" width="18.88671875" style="13" customWidth="1"/>
    <col min="9163" max="9163" width="14.109375" style="13" customWidth="1"/>
    <col min="9164" max="9164" width="21.5546875" style="13" customWidth="1"/>
    <col min="9165" max="9166" width="14.109375" style="13" customWidth="1"/>
    <col min="9167" max="9167" width="15" style="13" customWidth="1"/>
    <col min="9168" max="9168" width="13.33203125" style="13" customWidth="1"/>
    <col min="9169" max="9169" width="17" style="13" customWidth="1"/>
    <col min="9170" max="9170" width="24.88671875" style="13" customWidth="1"/>
    <col min="9171" max="9171" width="14.44140625" style="13" customWidth="1"/>
    <col min="9172" max="9172" width="23.109375" style="13" customWidth="1"/>
    <col min="9173" max="9173" width="13.109375" style="13" customWidth="1"/>
    <col min="9174" max="9177" width="0" style="13" hidden="1" customWidth="1"/>
    <col min="9178" max="9413" width="10.33203125" style="13"/>
    <col min="9414" max="9414" width="7" style="13" customWidth="1"/>
    <col min="9415" max="9415" width="13" style="13" customWidth="1"/>
    <col min="9416" max="9416" width="14.109375" style="13" customWidth="1"/>
    <col min="9417" max="9417" width="17.33203125" style="13" customWidth="1"/>
    <col min="9418" max="9418" width="18.88671875" style="13" customWidth="1"/>
    <col min="9419" max="9419" width="14.109375" style="13" customWidth="1"/>
    <col min="9420" max="9420" width="21.5546875" style="13" customWidth="1"/>
    <col min="9421" max="9422" width="14.109375" style="13" customWidth="1"/>
    <col min="9423" max="9423" width="15" style="13" customWidth="1"/>
    <col min="9424" max="9424" width="13.33203125" style="13" customWidth="1"/>
    <col min="9425" max="9425" width="17" style="13" customWidth="1"/>
    <col min="9426" max="9426" width="24.88671875" style="13" customWidth="1"/>
    <col min="9427" max="9427" width="14.44140625" style="13" customWidth="1"/>
    <col min="9428" max="9428" width="23.109375" style="13" customWidth="1"/>
    <col min="9429" max="9429" width="13.109375" style="13" customWidth="1"/>
    <col min="9430" max="9433" width="0" style="13" hidden="1" customWidth="1"/>
    <col min="9434" max="9669" width="10.33203125" style="13"/>
    <col min="9670" max="9670" width="7" style="13" customWidth="1"/>
    <col min="9671" max="9671" width="13" style="13" customWidth="1"/>
    <col min="9672" max="9672" width="14.109375" style="13" customWidth="1"/>
    <col min="9673" max="9673" width="17.33203125" style="13" customWidth="1"/>
    <col min="9674" max="9674" width="18.88671875" style="13" customWidth="1"/>
    <col min="9675" max="9675" width="14.109375" style="13" customWidth="1"/>
    <col min="9676" max="9676" width="21.5546875" style="13" customWidth="1"/>
    <col min="9677" max="9678" width="14.109375" style="13" customWidth="1"/>
    <col min="9679" max="9679" width="15" style="13" customWidth="1"/>
    <col min="9680" max="9680" width="13.33203125" style="13" customWidth="1"/>
    <col min="9681" max="9681" width="17" style="13" customWidth="1"/>
    <col min="9682" max="9682" width="24.88671875" style="13" customWidth="1"/>
    <col min="9683" max="9683" width="14.44140625" style="13" customWidth="1"/>
    <col min="9684" max="9684" width="23.109375" style="13" customWidth="1"/>
    <col min="9685" max="9685" width="13.109375" style="13" customWidth="1"/>
    <col min="9686" max="9689" width="0" style="13" hidden="1" customWidth="1"/>
    <col min="9690" max="9925" width="10.33203125" style="13"/>
    <col min="9926" max="9926" width="7" style="13" customWidth="1"/>
    <col min="9927" max="9927" width="13" style="13" customWidth="1"/>
    <col min="9928" max="9928" width="14.109375" style="13" customWidth="1"/>
    <col min="9929" max="9929" width="17.33203125" style="13" customWidth="1"/>
    <col min="9930" max="9930" width="18.88671875" style="13" customWidth="1"/>
    <col min="9931" max="9931" width="14.109375" style="13" customWidth="1"/>
    <col min="9932" max="9932" width="21.5546875" style="13" customWidth="1"/>
    <col min="9933" max="9934" width="14.109375" style="13" customWidth="1"/>
    <col min="9935" max="9935" width="15" style="13" customWidth="1"/>
    <col min="9936" max="9936" width="13.33203125" style="13" customWidth="1"/>
    <col min="9937" max="9937" width="17" style="13" customWidth="1"/>
    <col min="9938" max="9938" width="24.88671875" style="13" customWidth="1"/>
    <col min="9939" max="9939" width="14.44140625" style="13" customWidth="1"/>
    <col min="9940" max="9940" width="23.109375" style="13" customWidth="1"/>
    <col min="9941" max="9941" width="13.109375" style="13" customWidth="1"/>
    <col min="9942" max="9945" width="0" style="13" hidden="1" customWidth="1"/>
    <col min="9946" max="10181" width="10.33203125" style="13"/>
    <col min="10182" max="10182" width="7" style="13" customWidth="1"/>
    <col min="10183" max="10183" width="13" style="13" customWidth="1"/>
    <col min="10184" max="10184" width="14.109375" style="13" customWidth="1"/>
    <col min="10185" max="10185" width="17.33203125" style="13" customWidth="1"/>
    <col min="10186" max="10186" width="18.88671875" style="13" customWidth="1"/>
    <col min="10187" max="10187" width="14.109375" style="13" customWidth="1"/>
    <col min="10188" max="10188" width="21.5546875" style="13" customWidth="1"/>
    <col min="10189" max="10190" width="14.109375" style="13" customWidth="1"/>
    <col min="10191" max="10191" width="15" style="13" customWidth="1"/>
    <col min="10192" max="10192" width="13.33203125" style="13" customWidth="1"/>
    <col min="10193" max="10193" width="17" style="13" customWidth="1"/>
    <col min="10194" max="10194" width="24.88671875" style="13" customWidth="1"/>
    <col min="10195" max="10195" width="14.44140625" style="13" customWidth="1"/>
    <col min="10196" max="10196" width="23.109375" style="13" customWidth="1"/>
    <col min="10197" max="10197" width="13.109375" style="13" customWidth="1"/>
    <col min="10198" max="10201" width="0" style="13" hidden="1" customWidth="1"/>
    <col min="10202" max="10437" width="10.33203125" style="13"/>
    <col min="10438" max="10438" width="7" style="13" customWidth="1"/>
    <col min="10439" max="10439" width="13" style="13" customWidth="1"/>
    <col min="10440" max="10440" width="14.109375" style="13" customWidth="1"/>
    <col min="10441" max="10441" width="17.33203125" style="13" customWidth="1"/>
    <col min="10442" max="10442" width="18.88671875" style="13" customWidth="1"/>
    <col min="10443" max="10443" width="14.109375" style="13" customWidth="1"/>
    <col min="10444" max="10444" width="21.5546875" style="13" customWidth="1"/>
    <col min="10445" max="10446" width="14.109375" style="13" customWidth="1"/>
    <col min="10447" max="10447" width="15" style="13" customWidth="1"/>
    <col min="10448" max="10448" width="13.33203125" style="13" customWidth="1"/>
    <col min="10449" max="10449" width="17" style="13" customWidth="1"/>
    <col min="10450" max="10450" width="24.88671875" style="13" customWidth="1"/>
    <col min="10451" max="10451" width="14.44140625" style="13" customWidth="1"/>
    <col min="10452" max="10452" width="23.109375" style="13" customWidth="1"/>
    <col min="10453" max="10453" width="13.109375" style="13" customWidth="1"/>
    <col min="10454" max="10457" width="0" style="13" hidden="1" customWidth="1"/>
    <col min="10458" max="10693" width="10.33203125" style="13"/>
    <col min="10694" max="10694" width="7" style="13" customWidth="1"/>
    <col min="10695" max="10695" width="13" style="13" customWidth="1"/>
    <col min="10696" max="10696" width="14.109375" style="13" customWidth="1"/>
    <col min="10697" max="10697" width="17.33203125" style="13" customWidth="1"/>
    <col min="10698" max="10698" width="18.88671875" style="13" customWidth="1"/>
    <col min="10699" max="10699" width="14.109375" style="13" customWidth="1"/>
    <col min="10700" max="10700" width="21.5546875" style="13" customWidth="1"/>
    <col min="10701" max="10702" width="14.109375" style="13" customWidth="1"/>
    <col min="10703" max="10703" width="15" style="13" customWidth="1"/>
    <col min="10704" max="10704" width="13.33203125" style="13" customWidth="1"/>
    <col min="10705" max="10705" width="17" style="13" customWidth="1"/>
    <col min="10706" max="10706" width="24.88671875" style="13" customWidth="1"/>
    <col min="10707" max="10707" width="14.44140625" style="13" customWidth="1"/>
    <col min="10708" max="10708" width="23.109375" style="13" customWidth="1"/>
    <col min="10709" max="10709" width="13.109375" style="13" customWidth="1"/>
    <col min="10710" max="10713" width="0" style="13" hidden="1" customWidth="1"/>
    <col min="10714" max="10949" width="10.33203125" style="13"/>
    <col min="10950" max="10950" width="7" style="13" customWidth="1"/>
    <col min="10951" max="10951" width="13" style="13" customWidth="1"/>
    <col min="10952" max="10952" width="14.109375" style="13" customWidth="1"/>
    <col min="10953" max="10953" width="17.33203125" style="13" customWidth="1"/>
    <col min="10954" max="10954" width="18.88671875" style="13" customWidth="1"/>
    <col min="10955" max="10955" width="14.109375" style="13" customWidth="1"/>
    <col min="10956" max="10956" width="21.5546875" style="13" customWidth="1"/>
    <col min="10957" max="10958" width="14.109375" style="13" customWidth="1"/>
    <col min="10959" max="10959" width="15" style="13" customWidth="1"/>
    <col min="10960" max="10960" width="13.33203125" style="13" customWidth="1"/>
    <col min="10961" max="10961" width="17" style="13" customWidth="1"/>
    <col min="10962" max="10962" width="24.88671875" style="13" customWidth="1"/>
    <col min="10963" max="10963" width="14.44140625" style="13" customWidth="1"/>
    <col min="10964" max="10964" width="23.109375" style="13" customWidth="1"/>
    <col min="10965" max="10965" width="13.109375" style="13" customWidth="1"/>
    <col min="10966" max="10969" width="0" style="13" hidden="1" customWidth="1"/>
    <col min="10970" max="11205" width="10.33203125" style="13"/>
    <col min="11206" max="11206" width="7" style="13" customWidth="1"/>
    <col min="11207" max="11207" width="13" style="13" customWidth="1"/>
    <col min="11208" max="11208" width="14.109375" style="13" customWidth="1"/>
    <col min="11209" max="11209" width="17.33203125" style="13" customWidth="1"/>
    <col min="11210" max="11210" width="18.88671875" style="13" customWidth="1"/>
    <col min="11211" max="11211" width="14.109375" style="13" customWidth="1"/>
    <col min="11212" max="11212" width="21.5546875" style="13" customWidth="1"/>
    <col min="11213" max="11214" width="14.109375" style="13" customWidth="1"/>
    <col min="11215" max="11215" width="15" style="13" customWidth="1"/>
    <col min="11216" max="11216" width="13.33203125" style="13" customWidth="1"/>
    <col min="11217" max="11217" width="17" style="13" customWidth="1"/>
    <col min="11218" max="11218" width="24.88671875" style="13" customWidth="1"/>
    <col min="11219" max="11219" width="14.44140625" style="13" customWidth="1"/>
    <col min="11220" max="11220" width="23.109375" style="13" customWidth="1"/>
    <col min="11221" max="11221" width="13.109375" style="13" customWidth="1"/>
    <col min="11222" max="11225" width="0" style="13" hidden="1" customWidth="1"/>
    <col min="11226" max="11461" width="10.33203125" style="13"/>
    <col min="11462" max="11462" width="7" style="13" customWidth="1"/>
    <col min="11463" max="11463" width="13" style="13" customWidth="1"/>
    <col min="11464" max="11464" width="14.109375" style="13" customWidth="1"/>
    <col min="11465" max="11465" width="17.33203125" style="13" customWidth="1"/>
    <col min="11466" max="11466" width="18.88671875" style="13" customWidth="1"/>
    <col min="11467" max="11467" width="14.109375" style="13" customWidth="1"/>
    <col min="11468" max="11468" width="21.5546875" style="13" customWidth="1"/>
    <col min="11469" max="11470" width="14.109375" style="13" customWidth="1"/>
    <col min="11471" max="11471" width="15" style="13" customWidth="1"/>
    <col min="11472" max="11472" width="13.33203125" style="13" customWidth="1"/>
    <col min="11473" max="11473" width="17" style="13" customWidth="1"/>
    <col min="11474" max="11474" width="24.88671875" style="13" customWidth="1"/>
    <col min="11475" max="11475" width="14.44140625" style="13" customWidth="1"/>
    <col min="11476" max="11476" width="23.109375" style="13" customWidth="1"/>
    <col min="11477" max="11477" width="13.109375" style="13" customWidth="1"/>
    <col min="11478" max="11481" width="0" style="13" hidden="1" customWidth="1"/>
    <col min="11482" max="11717" width="10.33203125" style="13"/>
    <col min="11718" max="11718" width="7" style="13" customWidth="1"/>
    <col min="11719" max="11719" width="13" style="13" customWidth="1"/>
    <col min="11720" max="11720" width="14.109375" style="13" customWidth="1"/>
    <col min="11721" max="11721" width="17.33203125" style="13" customWidth="1"/>
    <col min="11722" max="11722" width="18.88671875" style="13" customWidth="1"/>
    <col min="11723" max="11723" width="14.109375" style="13" customWidth="1"/>
    <col min="11724" max="11724" width="21.5546875" style="13" customWidth="1"/>
    <col min="11725" max="11726" width="14.109375" style="13" customWidth="1"/>
    <col min="11727" max="11727" width="15" style="13" customWidth="1"/>
    <col min="11728" max="11728" width="13.33203125" style="13" customWidth="1"/>
    <col min="11729" max="11729" width="17" style="13" customWidth="1"/>
    <col min="11730" max="11730" width="24.88671875" style="13" customWidth="1"/>
    <col min="11731" max="11731" width="14.44140625" style="13" customWidth="1"/>
    <col min="11732" max="11732" width="23.109375" style="13" customWidth="1"/>
    <col min="11733" max="11733" width="13.109375" style="13" customWidth="1"/>
    <col min="11734" max="11737" width="0" style="13" hidden="1" customWidth="1"/>
    <col min="11738" max="11973" width="10.33203125" style="13"/>
    <col min="11974" max="11974" width="7" style="13" customWidth="1"/>
    <col min="11975" max="11975" width="13" style="13" customWidth="1"/>
    <col min="11976" max="11976" width="14.109375" style="13" customWidth="1"/>
    <col min="11977" max="11977" width="17.33203125" style="13" customWidth="1"/>
    <col min="11978" max="11978" width="18.88671875" style="13" customWidth="1"/>
    <col min="11979" max="11979" width="14.109375" style="13" customWidth="1"/>
    <col min="11980" max="11980" width="21.5546875" style="13" customWidth="1"/>
    <col min="11981" max="11982" width="14.109375" style="13" customWidth="1"/>
    <col min="11983" max="11983" width="15" style="13" customWidth="1"/>
    <col min="11984" max="11984" width="13.33203125" style="13" customWidth="1"/>
    <col min="11985" max="11985" width="17" style="13" customWidth="1"/>
    <col min="11986" max="11986" width="24.88671875" style="13" customWidth="1"/>
    <col min="11987" max="11987" width="14.44140625" style="13" customWidth="1"/>
    <col min="11988" max="11988" width="23.109375" style="13" customWidth="1"/>
    <col min="11989" max="11989" width="13.109375" style="13" customWidth="1"/>
    <col min="11990" max="11993" width="0" style="13" hidden="1" customWidth="1"/>
    <col min="11994" max="12229" width="10.33203125" style="13"/>
    <col min="12230" max="12230" width="7" style="13" customWidth="1"/>
    <col min="12231" max="12231" width="13" style="13" customWidth="1"/>
    <col min="12232" max="12232" width="14.109375" style="13" customWidth="1"/>
    <col min="12233" max="12233" width="17.33203125" style="13" customWidth="1"/>
    <col min="12234" max="12234" width="18.88671875" style="13" customWidth="1"/>
    <col min="12235" max="12235" width="14.109375" style="13" customWidth="1"/>
    <col min="12236" max="12236" width="21.5546875" style="13" customWidth="1"/>
    <col min="12237" max="12238" width="14.109375" style="13" customWidth="1"/>
    <col min="12239" max="12239" width="15" style="13" customWidth="1"/>
    <col min="12240" max="12240" width="13.33203125" style="13" customWidth="1"/>
    <col min="12241" max="12241" width="17" style="13" customWidth="1"/>
    <col min="12242" max="12242" width="24.88671875" style="13" customWidth="1"/>
    <col min="12243" max="12243" width="14.44140625" style="13" customWidth="1"/>
    <col min="12244" max="12244" width="23.109375" style="13" customWidth="1"/>
    <col min="12245" max="12245" width="13.109375" style="13" customWidth="1"/>
    <col min="12246" max="12249" width="0" style="13" hidden="1" customWidth="1"/>
    <col min="12250" max="12485" width="10.33203125" style="13"/>
    <col min="12486" max="12486" width="7" style="13" customWidth="1"/>
    <col min="12487" max="12487" width="13" style="13" customWidth="1"/>
    <col min="12488" max="12488" width="14.109375" style="13" customWidth="1"/>
    <col min="12489" max="12489" width="17.33203125" style="13" customWidth="1"/>
    <col min="12490" max="12490" width="18.88671875" style="13" customWidth="1"/>
    <col min="12491" max="12491" width="14.109375" style="13" customWidth="1"/>
    <col min="12492" max="12492" width="21.5546875" style="13" customWidth="1"/>
    <col min="12493" max="12494" width="14.109375" style="13" customWidth="1"/>
    <col min="12495" max="12495" width="15" style="13" customWidth="1"/>
    <col min="12496" max="12496" width="13.33203125" style="13" customWidth="1"/>
    <col min="12497" max="12497" width="17" style="13" customWidth="1"/>
    <col min="12498" max="12498" width="24.88671875" style="13" customWidth="1"/>
    <col min="12499" max="12499" width="14.44140625" style="13" customWidth="1"/>
    <col min="12500" max="12500" width="23.109375" style="13" customWidth="1"/>
    <col min="12501" max="12501" width="13.109375" style="13" customWidth="1"/>
    <col min="12502" max="12505" width="0" style="13" hidden="1" customWidth="1"/>
    <col min="12506" max="12741" width="10.33203125" style="13"/>
    <col min="12742" max="12742" width="7" style="13" customWidth="1"/>
    <col min="12743" max="12743" width="13" style="13" customWidth="1"/>
    <col min="12744" max="12744" width="14.109375" style="13" customWidth="1"/>
    <col min="12745" max="12745" width="17.33203125" style="13" customWidth="1"/>
    <col min="12746" max="12746" width="18.88671875" style="13" customWidth="1"/>
    <col min="12747" max="12747" width="14.109375" style="13" customWidth="1"/>
    <col min="12748" max="12748" width="21.5546875" style="13" customWidth="1"/>
    <col min="12749" max="12750" width="14.109375" style="13" customWidth="1"/>
    <col min="12751" max="12751" width="15" style="13" customWidth="1"/>
    <col min="12752" max="12752" width="13.33203125" style="13" customWidth="1"/>
    <col min="12753" max="12753" width="17" style="13" customWidth="1"/>
    <col min="12754" max="12754" width="24.88671875" style="13" customWidth="1"/>
    <col min="12755" max="12755" width="14.44140625" style="13" customWidth="1"/>
    <col min="12756" max="12756" width="23.109375" style="13" customWidth="1"/>
    <col min="12757" max="12757" width="13.109375" style="13" customWidth="1"/>
    <col min="12758" max="12761" width="0" style="13" hidden="1" customWidth="1"/>
    <col min="12762" max="12997" width="10.33203125" style="13"/>
    <col min="12998" max="12998" width="7" style="13" customWidth="1"/>
    <col min="12999" max="12999" width="13" style="13" customWidth="1"/>
    <col min="13000" max="13000" width="14.109375" style="13" customWidth="1"/>
    <col min="13001" max="13001" width="17.33203125" style="13" customWidth="1"/>
    <col min="13002" max="13002" width="18.88671875" style="13" customWidth="1"/>
    <col min="13003" max="13003" width="14.109375" style="13" customWidth="1"/>
    <col min="13004" max="13004" width="21.5546875" style="13" customWidth="1"/>
    <col min="13005" max="13006" width="14.109375" style="13" customWidth="1"/>
    <col min="13007" max="13007" width="15" style="13" customWidth="1"/>
    <col min="13008" max="13008" width="13.33203125" style="13" customWidth="1"/>
    <col min="13009" max="13009" width="17" style="13" customWidth="1"/>
    <col min="13010" max="13010" width="24.88671875" style="13" customWidth="1"/>
    <col min="13011" max="13011" width="14.44140625" style="13" customWidth="1"/>
    <col min="13012" max="13012" width="23.109375" style="13" customWidth="1"/>
    <col min="13013" max="13013" width="13.109375" style="13" customWidth="1"/>
    <col min="13014" max="13017" width="0" style="13" hidden="1" customWidth="1"/>
    <col min="13018" max="13253" width="10.33203125" style="13"/>
    <col min="13254" max="13254" width="7" style="13" customWidth="1"/>
    <col min="13255" max="13255" width="13" style="13" customWidth="1"/>
    <col min="13256" max="13256" width="14.109375" style="13" customWidth="1"/>
    <col min="13257" max="13257" width="17.33203125" style="13" customWidth="1"/>
    <col min="13258" max="13258" width="18.88671875" style="13" customWidth="1"/>
    <col min="13259" max="13259" width="14.109375" style="13" customWidth="1"/>
    <col min="13260" max="13260" width="21.5546875" style="13" customWidth="1"/>
    <col min="13261" max="13262" width="14.109375" style="13" customWidth="1"/>
    <col min="13263" max="13263" width="15" style="13" customWidth="1"/>
    <col min="13264" max="13264" width="13.33203125" style="13" customWidth="1"/>
    <col min="13265" max="13265" width="17" style="13" customWidth="1"/>
    <col min="13266" max="13266" width="24.88671875" style="13" customWidth="1"/>
    <col min="13267" max="13267" width="14.44140625" style="13" customWidth="1"/>
    <col min="13268" max="13268" width="23.109375" style="13" customWidth="1"/>
    <col min="13269" max="13269" width="13.109375" style="13" customWidth="1"/>
    <col min="13270" max="13273" width="0" style="13" hidden="1" customWidth="1"/>
    <col min="13274" max="13509" width="10.33203125" style="13"/>
    <col min="13510" max="13510" width="7" style="13" customWidth="1"/>
    <col min="13511" max="13511" width="13" style="13" customWidth="1"/>
    <col min="13512" max="13512" width="14.109375" style="13" customWidth="1"/>
    <col min="13513" max="13513" width="17.33203125" style="13" customWidth="1"/>
    <col min="13514" max="13514" width="18.88671875" style="13" customWidth="1"/>
    <col min="13515" max="13515" width="14.109375" style="13" customWidth="1"/>
    <col min="13516" max="13516" width="21.5546875" style="13" customWidth="1"/>
    <col min="13517" max="13518" width="14.109375" style="13" customWidth="1"/>
    <col min="13519" max="13519" width="15" style="13" customWidth="1"/>
    <col min="13520" max="13520" width="13.33203125" style="13" customWidth="1"/>
    <col min="13521" max="13521" width="17" style="13" customWidth="1"/>
    <col min="13522" max="13522" width="24.88671875" style="13" customWidth="1"/>
    <col min="13523" max="13523" width="14.44140625" style="13" customWidth="1"/>
    <col min="13524" max="13524" width="23.109375" style="13" customWidth="1"/>
    <col min="13525" max="13525" width="13.109375" style="13" customWidth="1"/>
    <col min="13526" max="13529" width="0" style="13" hidden="1" customWidth="1"/>
    <col min="13530" max="13765" width="10.33203125" style="13"/>
    <col min="13766" max="13766" width="7" style="13" customWidth="1"/>
    <col min="13767" max="13767" width="13" style="13" customWidth="1"/>
    <col min="13768" max="13768" width="14.109375" style="13" customWidth="1"/>
    <col min="13769" max="13769" width="17.33203125" style="13" customWidth="1"/>
    <col min="13770" max="13770" width="18.88671875" style="13" customWidth="1"/>
    <col min="13771" max="13771" width="14.109375" style="13" customWidth="1"/>
    <col min="13772" max="13772" width="21.5546875" style="13" customWidth="1"/>
    <col min="13773" max="13774" width="14.109375" style="13" customWidth="1"/>
    <col min="13775" max="13775" width="15" style="13" customWidth="1"/>
    <col min="13776" max="13776" width="13.33203125" style="13" customWidth="1"/>
    <col min="13777" max="13777" width="17" style="13" customWidth="1"/>
    <col min="13778" max="13778" width="24.88671875" style="13" customWidth="1"/>
    <col min="13779" max="13779" width="14.44140625" style="13" customWidth="1"/>
    <col min="13780" max="13780" width="23.109375" style="13" customWidth="1"/>
    <col min="13781" max="13781" width="13.109375" style="13" customWidth="1"/>
    <col min="13782" max="13785" width="0" style="13" hidden="1" customWidth="1"/>
    <col min="13786" max="14021" width="10.33203125" style="13"/>
    <col min="14022" max="14022" width="7" style="13" customWidth="1"/>
    <col min="14023" max="14023" width="13" style="13" customWidth="1"/>
    <col min="14024" max="14024" width="14.109375" style="13" customWidth="1"/>
    <col min="14025" max="14025" width="17.33203125" style="13" customWidth="1"/>
    <col min="14026" max="14026" width="18.88671875" style="13" customWidth="1"/>
    <col min="14027" max="14027" width="14.109375" style="13" customWidth="1"/>
    <col min="14028" max="14028" width="21.5546875" style="13" customWidth="1"/>
    <col min="14029" max="14030" width="14.109375" style="13" customWidth="1"/>
    <col min="14031" max="14031" width="15" style="13" customWidth="1"/>
    <col min="14032" max="14032" width="13.33203125" style="13" customWidth="1"/>
    <col min="14033" max="14033" width="17" style="13" customWidth="1"/>
    <col min="14034" max="14034" width="24.88671875" style="13" customWidth="1"/>
    <col min="14035" max="14035" width="14.44140625" style="13" customWidth="1"/>
    <col min="14036" max="14036" width="23.109375" style="13" customWidth="1"/>
    <col min="14037" max="14037" width="13.109375" style="13" customWidth="1"/>
    <col min="14038" max="14041" width="0" style="13" hidden="1" customWidth="1"/>
    <col min="14042" max="14277" width="10.33203125" style="13"/>
    <col min="14278" max="14278" width="7" style="13" customWidth="1"/>
    <col min="14279" max="14279" width="13" style="13" customWidth="1"/>
    <col min="14280" max="14280" width="14.109375" style="13" customWidth="1"/>
    <col min="14281" max="14281" width="17.33203125" style="13" customWidth="1"/>
    <col min="14282" max="14282" width="18.88671875" style="13" customWidth="1"/>
    <col min="14283" max="14283" width="14.109375" style="13" customWidth="1"/>
    <col min="14284" max="14284" width="21.5546875" style="13" customWidth="1"/>
    <col min="14285" max="14286" width="14.109375" style="13" customWidth="1"/>
    <col min="14287" max="14287" width="15" style="13" customWidth="1"/>
    <col min="14288" max="14288" width="13.33203125" style="13" customWidth="1"/>
    <col min="14289" max="14289" width="17" style="13" customWidth="1"/>
    <col min="14290" max="14290" width="24.88671875" style="13" customWidth="1"/>
    <col min="14291" max="14291" width="14.44140625" style="13" customWidth="1"/>
    <col min="14292" max="14292" width="23.109375" style="13" customWidth="1"/>
    <col min="14293" max="14293" width="13.109375" style="13" customWidth="1"/>
    <col min="14294" max="14297" width="0" style="13" hidden="1" customWidth="1"/>
    <col min="14298" max="14533" width="10.33203125" style="13"/>
    <col min="14534" max="14534" width="7" style="13" customWidth="1"/>
    <col min="14535" max="14535" width="13" style="13" customWidth="1"/>
    <col min="14536" max="14536" width="14.109375" style="13" customWidth="1"/>
    <col min="14537" max="14537" width="17.33203125" style="13" customWidth="1"/>
    <col min="14538" max="14538" width="18.88671875" style="13" customWidth="1"/>
    <col min="14539" max="14539" width="14.109375" style="13" customWidth="1"/>
    <col min="14540" max="14540" width="21.5546875" style="13" customWidth="1"/>
    <col min="14541" max="14542" width="14.109375" style="13" customWidth="1"/>
    <col min="14543" max="14543" width="15" style="13" customWidth="1"/>
    <col min="14544" max="14544" width="13.33203125" style="13" customWidth="1"/>
    <col min="14545" max="14545" width="17" style="13" customWidth="1"/>
    <col min="14546" max="14546" width="24.88671875" style="13" customWidth="1"/>
    <col min="14547" max="14547" width="14.44140625" style="13" customWidth="1"/>
    <col min="14548" max="14548" width="23.109375" style="13" customWidth="1"/>
    <col min="14549" max="14549" width="13.109375" style="13" customWidth="1"/>
    <col min="14550" max="14553" width="0" style="13" hidden="1" customWidth="1"/>
    <col min="14554" max="14789" width="10.33203125" style="13"/>
    <col min="14790" max="14790" width="7" style="13" customWidth="1"/>
    <col min="14791" max="14791" width="13" style="13" customWidth="1"/>
    <col min="14792" max="14792" width="14.109375" style="13" customWidth="1"/>
    <col min="14793" max="14793" width="17.33203125" style="13" customWidth="1"/>
    <col min="14794" max="14794" width="18.88671875" style="13" customWidth="1"/>
    <col min="14795" max="14795" width="14.109375" style="13" customWidth="1"/>
    <col min="14796" max="14796" width="21.5546875" style="13" customWidth="1"/>
    <col min="14797" max="14798" width="14.109375" style="13" customWidth="1"/>
    <col min="14799" max="14799" width="15" style="13" customWidth="1"/>
    <col min="14800" max="14800" width="13.33203125" style="13" customWidth="1"/>
    <col min="14801" max="14801" width="17" style="13" customWidth="1"/>
    <col min="14802" max="14802" width="24.88671875" style="13" customWidth="1"/>
    <col min="14803" max="14803" width="14.44140625" style="13" customWidth="1"/>
    <col min="14804" max="14804" width="23.109375" style="13" customWidth="1"/>
    <col min="14805" max="14805" width="13.109375" style="13" customWidth="1"/>
    <col min="14806" max="14809" width="0" style="13" hidden="1" customWidth="1"/>
    <col min="14810" max="15045" width="10.33203125" style="13"/>
    <col min="15046" max="15046" width="7" style="13" customWidth="1"/>
    <col min="15047" max="15047" width="13" style="13" customWidth="1"/>
    <col min="15048" max="15048" width="14.109375" style="13" customWidth="1"/>
    <col min="15049" max="15049" width="17.33203125" style="13" customWidth="1"/>
    <col min="15050" max="15050" width="18.88671875" style="13" customWidth="1"/>
    <col min="15051" max="15051" width="14.109375" style="13" customWidth="1"/>
    <col min="15052" max="15052" width="21.5546875" style="13" customWidth="1"/>
    <col min="15053" max="15054" width="14.109375" style="13" customWidth="1"/>
    <col min="15055" max="15055" width="15" style="13" customWidth="1"/>
    <col min="15056" max="15056" width="13.33203125" style="13" customWidth="1"/>
    <col min="15057" max="15057" width="17" style="13" customWidth="1"/>
    <col min="15058" max="15058" width="24.88671875" style="13" customWidth="1"/>
    <col min="15059" max="15059" width="14.44140625" style="13" customWidth="1"/>
    <col min="15060" max="15060" width="23.109375" style="13" customWidth="1"/>
    <col min="15061" max="15061" width="13.109375" style="13" customWidth="1"/>
    <col min="15062" max="15065" width="0" style="13" hidden="1" customWidth="1"/>
    <col min="15066" max="15301" width="10.33203125" style="13"/>
    <col min="15302" max="15302" width="7" style="13" customWidth="1"/>
    <col min="15303" max="15303" width="13" style="13" customWidth="1"/>
    <col min="15304" max="15304" width="14.109375" style="13" customWidth="1"/>
    <col min="15305" max="15305" width="17.33203125" style="13" customWidth="1"/>
    <col min="15306" max="15306" width="18.88671875" style="13" customWidth="1"/>
    <col min="15307" max="15307" width="14.109375" style="13" customWidth="1"/>
    <col min="15308" max="15308" width="21.5546875" style="13" customWidth="1"/>
    <col min="15309" max="15310" width="14.109375" style="13" customWidth="1"/>
    <col min="15311" max="15311" width="15" style="13" customWidth="1"/>
    <col min="15312" max="15312" width="13.33203125" style="13" customWidth="1"/>
    <col min="15313" max="15313" width="17" style="13" customWidth="1"/>
    <col min="15314" max="15314" width="24.88671875" style="13" customWidth="1"/>
    <col min="15315" max="15315" width="14.44140625" style="13" customWidth="1"/>
    <col min="15316" max="15316" width="23.109375" style="13" customWidth="1"/>
    <col min="15317" max="15317" width="13.109375" style="13" customWidth="1"/>
    <col min="15318" max="15321" width="0" style="13" hidden="1" customWidth="1"/>
    <col min="15322" max="15557" width="10.33203125" style="13"/>
    <col min="15558" max="15558" width="7" style="13" customWidth="1"/>
    <col min="15559" max="15559" width="13" style="13" customWidth="1"/>
    <col min="15560" max="15560" width="14.109375" style="13" customWidth="1"/>
    <col min="15561" max="15561" width="17.33203125" style="13" customWidth="1"/>
    <col min="15562" max="15562" width="18.88671875" style="13" customWidth="1"/>
    <col min="15563" max="15563" width="14.109375" style="13" customWidth="1"/>
    <col min="15564" max="15564" width="21.5546875" style="13" customWidth="1"/>
    <col min="15565" max="15566" width="14.109375" style="13" customWidth="1"/>
    <col min="15567" max="15567" width="15" style="13" customWidth="1"/>
    <col min="15568" max="15568" width="13.33203125" style="13" customWidth="1"/>
    <col min="15569" max="15569" width="17" style="13" customWidth="1"/>
    <col min="15570" max="15570" width="24.88671875" style="13" customWidth="1"/>
    <col min="15571" max="15571" width="14.44140625" style="13" customWidth="1"/>
    <col min="15572" max="15572" width="23.109375" style="13" customWidth="1"/>
    <col min="15573" max="15573" width="13.109375" style="13" customWidth="1"/>
    <col min="15574" max="15577" width="0" style="13" hidden="1" customWidth="1"/>
    <col min="15578" max="15813" width="10.33203125" style="13"/>
    <col min="15814" max="15814" width="7" style="13" customWidth="1"/>
    <col min="15815" max="15815" width="13" style="13" customWidth="1"/>
    <col min="15816" max="15816" width="14.109375" style="13" customWidth="1"/>
    <col min="15817" max="15817" width="17.33203125" style="13" customWidth="1"/>
    <col min="15818" max="15818" width="18.88671875" style="13" customWidth="1"/>
    <col min="15819" max="15819" width="14.109375" style="13" customWidth="1"/>
    <col min="15820" max="15820" width="21.5546875" style="13" customWidth="1"/>
    <col min="15821" max="15822" width="14.109375" style="13" customWidth="1"/>
    <col min="15823" max="15823" width="15" style="13" customWidth="1"/>
    <col min="15824" max="15824" width="13.33203125" style="13" customWidth="1"/>
    <col min="15825" max="15825" width="17" style="13" customWidth="1"/>
    <col min="15826" max="15826" width="24.88671875" style="13" customWidth="1"/>
    <col min="15827" max="15827" width="14.44140625" style="13" customWidth="1"/>
    <col min="15828" max="15828" width="23.109375" style="13" customWidth="1"/>
    <col min="15829" max="15829" width="13.109375" style="13" customWidth="1"/>
    <col min="15830" max="15833" width="0" style="13" hidden="1" customWidth="1"/>
    <col min="15834" max="16069" width="10.33203125" style="13"/>
    <col min="16070" max="16070" width="7" style="13" customWidth="1"/>
    <col min="16071" max="16071" width="13" style="13" customWidth="1"/>
    <col min="16072" max="16072" width="14.109375" style="13" customWidth="1"/>
    <col min="16073" max="16073" width="17.33203125" style="13" customWidth="1"/>
    <col min="16074" max="16074" width="18.88671875" style="13" customWidth="1"/>
    <col min="16075" max="16075" width="14.109375" style="13" customWidth="1"/>
    <col min="16076" max="16076" width="21.5546875" style="13" customWidth="1"/>
    <col min="16077" max="16078" width="14.109375" style="13" customWidth="1"/>
    <col min="16079" max="16079" width="15" style="13" customWidth="1"/>
    <col min="16080" max="16080" width="13.33203125" style="13" customWidth="1"/>
    <col min="16081" max="16081" width="17" style="13" customWidth="1"/>
    <col min="16082" max="16082" width="24.88671875" style="13" customWidth="1"/>
    <col min="16083" max="16083" width="14.44140625" style="13" customWidth="1"/>
    <col min="16084" max="16084" width="23.109375" style="13" customWidth="1"/>
    <col min="16085" max="16085" width="13.109375" style="13" customWidth="1"/>
    <col min="16086" max="16089" width="0" style="13" hidden="1" customWidth="1"/>
    <col min="16090" max="16384" width="10.33203125" style="13"/>
  </cols>
  <sheetData>
    <row r="1" spans="1:33" ht="15" customHeight="1">
      <c r="B1" s="641"/>
      <c r="Q1" s="322"/>
      <c r="R1" s="322"/>
      <c r="S1" s="322"/>
      <c r="T1" s="322"/>
      <c r="U1" s="322"/>
      <c r="V1" s="322"/>
      <c r="W1" s="322"/>
      <c r="X1" s="125"/>
      <c r="Y1" s="322"/>
      <c r="Z1" s="322"/>
      <c r="AA1" s="322"/>
      <c r="AB1" s="322"/>
      <c r="AC1" s="322"/>
      <c r="AD1" s="322"/>
      <c r="AE1" s="125"/>
      <c r="AF1" s="125"/>
      <c r="AG1" s="13"/>
    </row>
    <row r="2" spans="1:33" ht="20.25" customHeight="1">
      <c r="A2" s="3719" t="s">
        <v>2706</v>
      </c>
      <c r="B2" s="3720"/>
      <c r="C2" s="3720"/>
      <c r="D2" s="3720"/>
      <c r="E2" s="3720"/>
      <c r="F2" s="3720"/>
      <c r="G2" s="3720"/>
      <c r="H2" s="3720"/>
      <c r="I2" s="3720"/>
      <c r="J2" s="3720"/>
      <c r="K2" s="3720"/>
      <c r="L2" s="3720"/>
      <c r="Q2" s="322"/>
      <c r="R2" s="322"/>
      <c r="S2" s="322"/>
      <c r="T2" s="322"/>
      <c r="U2" s="322"/>
      <c r="V2" s="322"/>
      <c r="W2" s="322"/>
      <c r="X2" s="294"/>
      <c r="Y2" s="322"/>
      <c r="Z2" s="322"/>
      <c r="AA2" s="322"/>
      <c r="AB2" s="322"/>
      <c r="AC2" s="322"/>
      <c r="AD2" s="322"/>
      <c r="AE2" s="294"/>
      <c r="AF2" s="294"/>
      <c r="AG2" s="13"/>
    </row>
    <row r="3" spans="1:33" ht="21" customHeight="1">
      <c r="B3" s="648" t="s">
        <v>658</v>
      </c>
      <c r="C3" s="654">
        <v>3700650295</v>
      </c>
      <c r="D3" s="3797" t="s">
        <v>4213</v>
      </c>
      <c r="E3" s="3797"/>
      <c r="F3" s="3797"/>
      <c r="G3" s="3797"/>
      <c r="H3" s="3797"/>
      <c r="I3" s="3797"/>
      <c r="J3" s="478"/>
      <c r="K3" s="1668" t="s">
        <v>1412</v>
      </c>
      <c r="L3" s="1775"/>
      <c r="M3" s="478"/>
      <c r="N3" s="653"/>
      <c r="O3" s="653"/>
      <c r="P3" s="2831" t="s">
        <v>6193</v>
      </c>
      <c r="X3" s="478"/>
      <c r="AE3" s="478"/>
      <c r="AF3" s="478"/>
    </row>
    <row r="4" spans="1:33" ht="39.6">
      <c r="A4" s="29" t="s">
        <v>2</v>
      </c>
      <c r="B4" s="642" t="s">
        <v>2705</v>
      </c>
      <c r="C4" s="624" t="s">
        <v>3</v>
      </c>
      <c r="D4" s="31" t="s">
        <v>4</v>
      </c>
      <c r="E4" s="30" t="s">
        <v>5</v>
      </c>
      <c r="F4" s="30" t="s">
        <v>179</v>
      </c>
      <c r="G4" s="33" t="s">
        <v>8</v>
      </c>
      <c r="H4" s="33" t="s">
        <v>9</v>
      </c>
      <c r="I4" s="33" t="s">
        <v>102</v>
      </c>
      <c r="J4" s="32" t="s">
        <v>1415</v>
      </c>
      <c r="K4" s="553" t="s">
        <v>15</v>
      </c>
      <c r="L4" s="323" t="s">
        <v>290</v>
      </c>
      <c r="M4" s="40" t="s">
        <v>404</v>
      </c>
      <c r="N4" s="1261" t="s">
        <v>4128</v>
      </c>
      <c r="O4" s="1261" t="s">
        <v>5939</v>
      </c>
      <c r="P4" s="1654" t="s">
        <v>4889</v>
      </c>
      <c r="Q4" s="217" t="s">
        <v>1291</v>
      </c>
      <c r="R4" s="217" t="s">
        <v>190</v>
      </c>
      <c r="S4" s="217" t="s">
        <v>191</v>
      </c>
      <c r="T4" s="217" t="s">
        <v>1313</v>
      </c>
      <c r="U4" s="218" t="s">
        <v>192</v>
      </c>
      <c r="V4" s="218" t="s">
        <v>193</v>
      </c>
      <c r="W4" s="219" t="s">
        <v>194</v>
      </c>
      <c r="X4" s="217" t="s">
        <v>1414</v>
      </c>
      <c r="Y4" s="219" t="s">
        <v>195</v>
      </c>
      <c r="Z4" s="220" t="s">
        <v>196</v>
      </c>
      <c r="AA4" s="221" t="s">
        <v>197</v>
      </c>
      <c r="AB4" s="218" t="s">
        <v>198</v>
      </c>
      <c r="AC4" s="219" t="s">
        <v>199</v>
      </c>
      <c r="AD4" s="222" t="s">
        <v>200</v>
      </c>
      <c r="AE4" s="484" t="s">
        <v>1423</v>
      </c>
      <c r="AF4" s="484" t="s">
        <v>1424</v>
      </c>
      <c r="AG4" s="36" t="s">
        <v>204</v>
      </c>
    </row>
    <row r="5" spans="1:33" ht="29.25" customHeight="1">
      <c r="A5" s="326">
        <v>1</v>
      </c>
      <c r="B5" s="152"/>
      <c r="C5" s="625" t="s">
        <v>1312</v>
      </c>
      <c r="D5" s="386" t="s">
        <v>1260</v>
      </c>
      <c r="E5" s="47" t="s">
        <v>1398</v>
      </c>
      <c r="F5" s="126" t="s">
        <v>1299</v>
      </c>
      <c r="G5" s="167"/>
      <c r="H5" s="167" t="s">
        <v>973</v>
      </c>
      <c r="I5" s="167"/>
      <c r="J5" s="479">
        <v>20077</v>
      </c>
      <c r="K5" s="564" t="s">
        <v>1301</v>
      </c>
      <c r="L5" s="327" t="s">
        <v>1306</v>
      </c>
      <c r="M5" s="40" t="s">
        <v>210</v>
      </c>
      <c r="N5" s="482"/>
      <c r="O5" s="2140"/>
      <c r="P5" s="1640"/>
      <c r="Q5" s="248"/>
      <c r="R5" s="373">
        <v>1450000</v>
      </c>
      <c r="S5" s="373">
        <v>709500</v>
      </c>
      <c r="T5" s="371">
        <v>500000</v>
      </c>
      <c r="U5" s="248"/>
      <c r="V5" s="247"/>
      <c r="W5" s="248"/>
      <c r="X5" s="341">
        <v>400000</v>
      </c>
      <c r="Y5" s="340">
        <f t="shared" ref="Y5:Y15" si="0">Q5+T5+U5+W5</f>
        <v>500000</v>
      </c>
      <c r="Z5" s="344">
        <f t="shared" ref="Z5:Z15" si="1">+V5</f>
        <v>0</v>
      </c>
      <c r="AA5" s="249"/>
      <c r="AB5" s="341">
        <f>7100000</f>
        <v>7100000</v>
      </c>
      <c r="AC5" s="342">
        <f t="shared" ref="AC5:AC33" si="2">((AB5+X5)*1.08)+Y5</f>
        <v>8600000</v>
      </c>
      <c r="AD5" s="252"/>
      <c r="AE5" s="3805" t="s">
        <v>1425</v>
      </c>
      <c r="AF5" s="3798" t="s">
        <v>1426</v>
      </c>
      <c r="AG5" s="142"/>
    </row>
    <row r="6" spans="1:33" ht="29.25" customHeight="1">
      <c r="A6" s="326">
        <v>2</v>
      </c>
      <c r="B6" s="152"/>
      <c r="C6" s="626">
        <v>305663246620</v>
      </c>
      <c r="D6" s="386" t="s">
        <v>1321</v>
      </c>
      <c r="E6" s="47" t="s">
        <v>1399</v>
      </c>
      <c r="F6" s="126" t="s">
        <v>1299</v>
      </c>
      <c r="G6" s="167"/>
      <c r="H6" s="167"/>
      <c r="I6" s="167">
        <v>1</v>
      </c>
      <c r="J6" s="479">
        <v>1982</v>
      </c>
      <c r="K6" s="564" t="s">
        <v>1396</v>
      </c>
      <c r="L6" s="327" t="s">
        <v>1395</v>
      </c>
      <c r="M6" s="40" t="s">
        <v>210</v>
      </c>
      <c r="N6" s="482"/>
      <c r="O6" s="2140"/>
      <c r="P6" s="1640"/>
      <c r="Q6" s="248"/>
      <c r="R6" s="248"/>
      <c r="S6" s="248"/>
      <c r="T6" s="486">
        <v>29730</v>
      </c>
      <c r="U6" s="248"/>
      <c r="V6" s="247"/>
      <c r="W6" s="248"/>
      <c r="X6" s="341"/>
      <c r="Y6" s="340">
        <f t="shared" si="0"/>
        <v>29730</v>
      </c>
      <c r="Z6" s="344">
        <f t="shared" si="1"/>
        <v>0</v>
      </c>
      <c r="AA6" s="249" t="s">
        <v>1400</v>
      </c>
      <c r="AB6" s="341">
        <v>3250000</v>
      </c>
      <c r="AC6" s="342">
        <f t="shared" si="2"/>
        <v>3539730</v>
      </c>
      <c r="AD6" s="252"/>
      <c r="AE6" s="3806"/>
      <c r="AF6" s="3799"/>
      <c r="AG6" s="142"/>
    </row>
    <row r="7" spans="1:33" ht="29.25" customHeight="1">
      <c r="A7" s="326">
        <v>3</v>
      </c>
      <c r="B7" s="152"/>
      <c r="C7" s="626">
        <v>305663329810</v>
      </c>
      <c r="D7" s="386" t="s">
        <v>1321</v>
      </c>
      <c r="E7" s="47" t="s">
        <v>1401</v>
      </c>
      <c r="F7" s="126" t="s">
        <v>1299</v>
      </c>
      <c r="G7" s="167"/>
      <c r="H7" s="167"/>
      <c r="I7" s="167">
        <v>1</v>
      </c>
      <c r="J7" s="479">
        <v>1959</v>
      </c>
      <c r="K7" s="564" t="s">
        <v>1397</v>
      </c>
      <c r="L7" s="327" t="s">
        <v>1395</v>
      </c>
      <c r="M7" s="40" t="s">
        <v>210</v>
      </c>
      <c r="N7" s="482"/>
      <c r="O7" s="2140"/>
      <c r="P7" s="1640"/>
      <c r="Q7" s="248"/>
      <c r="R7" s="248"/>
      <c r="S7" s="248"/>
      <c r="T7" s="486">
        <v>29385</v>
      </c>
      <c r="U7" s="248"/>
      <c r="V7" s="247"/>
      <c r="W7" s="248"/>
      <c r="X7" s="341"/>
      <c r="Y7" s="340">
        <f t="shared" si="0"/>
        <v>29385</v>
      </c>
      <c r="Z7" s="344">
        <f t="shared" si="1"/>
        <v>0</v>
      </c>
      <c r="AA7" s="249" t="s">
        <v>1400</v>
      </c>
      <c r="AB7" s="341">
        <v>3250000</v>
      </c>
      <c r="AC7" s="342">
        <f t="shared" si="2"/>
        <v>3539385</v>
      </c>
      <c r="AD7" s="252"/>
      <c r="AE7" s="3806"/>
      <c r="AF7" s="3799"/>
      <c r="AG7" s="142"/>
    </row>
    <row r="8" spans="1:33" ht="34.5" customHeight="1">
      <c r="A8" s="326">
        <v>4</v>
      </c>
      <c r="B8" s="152"/>
      <c r="C8" s="627" t="s">
        <v>1311</v>
      </c>
      <c r="D8" s="46" t="s">
        <v>1296</v>
      </c>
      <c r="E8" s="47" t="s">
        <v>1402</v>
      </c>
      <c r="F8" s="126" t="s">
        <v>1299</v>
      </c>
      <c r="G8" s="167"/>
      <c r="H8" s="167" t="s">
        <v>973</v>
      </c>
      <c r="I8" s="167"/>
      <c r="J8" s="479">
        <f>17516.45+4466.52</f>
        <v>21982.97</v>
      </c>
      <c r="K8" s="564" t="s">
        <v>1302</v>
      </c>
      <c r="L8" s="327" t="s">
        <v>1307</v>
      </c>
      <c r="M8" s="40" t="s">
        <v>210</v>
      </c>
      <c r="N8" s="482"/>
      <c r="O8" s="2140"/>
      <c r="P8" s="1640"/>
      <c r="Q8" s="248"/>
      <c r="R8" s="248"/>
      <c r="S8" s="248"/>
      <c r="T8" s="371">
        <v>500000</v>
      </c>
      <c r="U8" s="248"/>
      <c r="V8" s="247"/>
      <c r="W8" s="248"/>
      <c r="X8" s="341">
        <v>400000</v>
      </c>
      <c r="Y8" s="340">
        <f t="shared" si="0"/>
        <v>500000</v>
      </c>
      <c r="Z8" s="344">
        <f t="shared" si="1"/>
        <v>0</v>
      </c>
      <c r="AA8" s="249" t="s">
        <v>1416</v>
      </c>
      <c r="AB8" s="341">
        <f>7100000</f>
        <v>7100000</v>
      </c>
      <c r="AC8" s="342">
        <f t="shared" si="2"/>
        <v>8600000</v>
      </c>
      <c r="AD8" s="252"/>
      <c r="AE8" s="3806"/>
      <c r="AF8" s="3799"/>
      <c r="AG8" s="142"/>
    </row>
    <row r="9" spans="1:33" ht="29.25" customHeight="1">
      <c r="A9" s="326">
        <v>5</v>
      </c>
      <c r="B9" s="152"/>
      <c r="C9" s="628" t="s">
        <v>1310</v>
      </c>
      <c r="D9" s="46" t="s">
        <v>1297</v>
      </c>
      <c r="E9" s="47" t="s">
        <v>1404</v>
      </c>
      <c r="F9" s="126" t="s">
        <v>1300</v>
      </c>
      <c r="G9" s="167" t="s">
        <v>973</v>
      </c>
      <c r="H9" s="167"/>
      <c r="I9" s="167"/>
      <c r="J9" s="479">
        <v>20972</v>
      </c>
      <c r="K9" s="557" t="s">
        <v>1303</v>
      </c>
      <c r="L9" s="139" t="s">
        <v>1308</v>
      </c>
      <c r="M9" s="482" t="s">
        <v>1403</v>
      </c>
      <c r="N9" s="482"/>
      <c r="O9" s="2140"/>
      <c r="P9" s="1640"/>
      <c r="Q9" s="324">
        <v>167400</v>
      </c>
      <c r="R9" s="324">
        <v>394200</v>
      </c>
      <c r="S9" s="248"/>
      <c r="T9" s="371">
        <v>250000</v>
      </c>
      <c r="U9" s="248"/>
      <c r="V9" s="247"/>
      <c r="W9" s="248"/>
      <c r="X9" s="341">
        <v>400000</v>
      </c>
      <c r="Y9" s="340">
        <f t="shared" si="0"/>
        <v>417400</v>
      </c>
      <c r="Z9" s="344">
        <f t="shared" si="1"/>
        <v>0</v>
      </c>
      <c r="AA9" s="249"/>
      <c r="AB9" s="341">
        <v>6730000</v>
      </c>
      <c r="AC9" s="342">
        <f t="shared" si="2"/>
        <v>8117800.0000000009</v>
      </c>
      <c r="AD9" s="252"/>
      <c r="AE9" s="3806"/>
      <c r="AF9" s="3799"/>
      <c r="AG9" s="141"/>
    </row>
    <row r="10" spans="1:33" ht="22.5" customHeight="1">
      <c r="A10" s="326">
        <v>6</v>
      </c>
      <c r="B10" s="152"/>
      <c r="C10" s="629">
        <v>105563856530</v>
      </c>
      <c r="D10" s="46" t="s">
        <v>1297</v>
      </c>
      <c r="E10" s="47" t="s">
        <v>1405</v>
      </c>
      <c r="F10" s="126" t="s">
        <v>1300</v>
      </c>
      <c r="G10" s="167" t="s">
        <v>973</v>
      </c>
      <c r="H10" s="167"/>
      <c r="I10" s="167"/>
      <c r="J10" s="479">
        <v>21374</v>
      </c>
      <c r="K10" s="557" t="s">
        <v>1304</v>
      </c>
      <c r="L10" s="139" t="s">
        <v>1309</v>
      </c>
      <c r="M10" s="482" t="s">
        <v>210</v>
      </c>
      <c r="N10" s="482"/>
      <c r="O10" s="2140"/>
      <c r="P10" s="1640"/>
      <c r="Q10" s="324">
        <v>167400</v>
      </c>
      <c r="R10" s="324">
        <v>394200</v>
      </c>
      <c r="S10" s="248"/>
      <c r="T10" s="371">
        <v>250000</v>
      </c>
      <c r="U10" s="248"/>
      <c r="V10" s="247"/>
      <c r="W10" s="248"/>
      <c r="X10" s="341"/>
      <c r="Y10" s="340">
        <f t="shared" si="0"/>
        <v>417400</v>
      </c>
      <c r="Z10" s="344">
        <f t="shared" si="1"/>
        <v>0</v>
      </c>
      <c r="AA10" s="249"/>
      <c r="AB10" s="341">
        <v>6730000</v>
      </c>
      <c r="AC10" s="342">
        <f t="shared" si="2"/>
        <v>7685800.0000000009</v>
      </c>
      <c r="AD10" s="252"/>
      <c r="AE10" s="3806"/>
      <c r="AF10" s="3799"/>
      <c r="AG10" s="142"/>
    </row>
    <row r="11" spans="1:33" ht="33.75" customHeight="1">
      <c r="A11" s="326">
        <v>7</v>
      </c>
      <c r="B11" s="152"/>
      <c r="C11" s="625" t="s">
        <v>1318</v>
      </c>
      <c r="D11" s="46" t="s">
        <v>1298</v>
      </c>
      <c r="E11" s="47" t="s">
        <v>1406</v>
      </c>
      <c r="F11" s="126" t="s">
        <v>1299</v>
      </c>
      <c r="G11" s="167"/>
      <c r="H11" s="167" t="s">
        <v>973</v>
      </c>
      <c r="I11" s="167"/>
      <c r="J11" s="479">
        <f>20123.57+4711.03</f>
        <v>24834.6</v>
      </c>
      <c r="K11" s="558" t="s">
        <v>1305</v>
      </c>
      <c r="L11" s="139" t="s">
        <v>1320</v>
      </c>
      <c r="M11" s="40" t="s">
        <v>210</v>
      </c>
      <c r="N11" s="482"/>
      <c r="O11" s="2140"/>
      <c r="P11" s="1640"/>
      <c r="Q11" s="248"/>
      <c r="R11" s="248"/>
      <c r="S11" s="248"/>
      <c r="T11" s="371">
        <v>500000</v>
      </c>
      <c r="U11" s="248"/>
      <c r="V11" s="247"/>
      <c r="W11" s="248"/>
      <c r="X11" s="341">
        <v>400000</v>
      </c>
      <c r="Y11" s="340">
        <f t="shared" si="0"/>
        <v>500000</v>
      </c>
      <c r="Z11" s="344">
        <f t="shared" si="1"/>
        <v>0</v>
      </c>
      <c r="AA11" s="249"/>
      <c r="AB11" s="341">
        <f>7100000</f>
        <v>7100000</v>
      </c>
      <c r="AC11" s="342">
        <f t="shared" si="2"/>
        <v>8600000</v>
      </c>
      <c r="AD11" s="252"/>
      <c r="AE11" s="3806"/>
      <c r="AF11" s="3799"/>
      <c r="AG11" s="142"/>
    </row>
    <row r="12" spans="1:33" ht="33" customHeight="1">
      <c r="A12" s="326">
        <v>8</v>
      </c>
      <c r="B12" s="152"/>
      <c r="C12" s="628" t="s">
        <v>1316</v>
      </c>
      <c r="D12" s="46" t="s">
        <v>1298</v>
      </c>
      <c r="E12" s="47" t="s">
        <v>1409</v>
      </c>
      <c r="F12" s="126" t="s">
        <v>1300</v>
      </c>
      <c r="G12" s="167"/>
      <c r="H12" s="167">
        <v>1</v>
      </c>
      <c r="I12" s="167"/>
      <c r="J12" s="479">
        <v>24995</v>
      </c>
      <c r="K12" s="558" t="s">
        <v>1319</v>
      </c>
      <c r="L12" s="162" t="s">
        <v>1317</v>
      </c>
      <c r="M12" s="482" t="s">
        <v>1403</v>
      </c>
      <c r="N12" s="482"/>
      <c r="O12" s="2140"/>
      <c r="P12" s="1640"/>
      <c r="Q12" s="248"/>
      <c r="R12" s="324">
        <v>696600</v>
      </c>
      <c r="S12" s="248"/>
      <c r="T12" s="371">
        <v>500000</v>
      </c>
      <c r="U12" s="248"/>
      <c r="V12" s="247"/>
      <c r="W12" s="248"/>
      <c r="X12" s="341">
        <v>400000</v>
      </c>
      <c r="Y12" s="340">
        <f t="shared" si="0"/>
        <v>500000</v>
      </c>
      <c r="Z12" s="344">
        <f t="shared" si="1"/>
        <v>0</v>
      </c>
      <c r="AA12" s="249"/>
      <c r="AB12" s="341">
        <v>7150000</v>
      </c>
      <c r="AC12" s="342">
        <f t="shared" si="2"/>
        <v>8654000</v>
      </c>
      <c r="AD12" s="252"/>
      <c r="AE12" s="3806"/>
      <c r="AF12" s="3799"/>
      <c r="AG12" s="142"/>
    </row>
    <row r="13" spans="1:33" ht="30.75" customHeight="1">
      <c r="A13" s="326">
        <v>9</v>
      </c>
      <c r="B13" s="152"/>
      <c r="C13" s="625" t="s">
        <v>1326</v>
      </c>
      <c r="D13" s="46" t="s">
        <v>1327</v>
      </c>
      <c r="E13" s="47" t="s">
        <v>1407</v>
      </c>
      <c r="F13" s="126" t="s">
        <v>1299</v>
      </c>
      <c r="G13" s="167"/>
      <c r="H13" s="167">
        <v>1</v>
      </c>
      <c r="I13" s="167"/>
      <c r="J13" s="479">
        <f>19368.04+4977.27</f>
        <v>24345.31</v>
      </c>
      <c r="K13" s="558" t="s">
        <v>1328</v>
      </c>
      <c r="L13" s="162" t="s">
        <v>1329</v>
      </c>
      <c r="M13" s="40" t="s">
        <v>210</v>
      </c>
      <c r="N13" s="482"/>
      <c r="O13" s="2140"/>
      <c r="P13" s="1640"/>
      <c r="Q13" s="248"/>
      <c r="R13" s="248"/>
      <c r="S13" s="248"/>
      <c r="T13" s="371">
        <v>500000</v>
      </c>
      <c r="U13" s="248"/>
      <c r="V13" s="247"/>
      <c r="W13" s="248"/>
      <c r="X13" s="341">
        <v>400000</v>
      </c>
      <c r="Y13" s="340">
        <f t="shared" si="0"/>
        <v>500000</v>
      </c>
      <c r="Z13" s="344">
        <f t="shared" si="1"/>
        <v>0</v>
      </c>
      <c r="AA13" s="249"/>
      <c r="AB13" s="341">
        <f>7100000</f>
        <v>7100000</v>
      </c>
      <c r="AC13" s="342">
        <f t="shared" si="2"/>
        <v>8600000</v>
      </c>
      <c r="AD13" s="252"/>
      <c r="AE13" s="3806"/>
      <c r="AF13" s="3799"/>
      <c r="AG13" s="142"/>
    </row>
    <row r="14" spans="1:33" ht="30.75" customHeight="1">
      <c r="A14" s="326">
        <v>10</v>
      </c>
      <c r="B14" s="152"/>
      <c r="C14" s="625" t="s">
        <v>1367</v>
      </c>
      <c r="D14" s="46" t="s">
        <v>1362</v>
      </c>
      <c r="E14" s="47" t="s">
        <v>1408</v>
      </c>
      <c r="F14" s="126" t="s">
        <v>1299</v>
      </c>
      <c r="G14" s="167"/>
      <c r="H14" s="167">
        <v>1</v>
      </c>
      <c r="I14" s="167"/>
      <c r="J14" s="479">
        <f>21008.23+3923.76</f>
        <v>24931.989999999998</v>
      </c>
      <c r="K14" s="558" t="s">
        <v>1365</v>
      </c>
      <c r="L14" s="162" t="s">
        <v>1366</v>
      </c>
      <c r="M14" s="40" t="s">
        <v>210</v>
      </c>
      <c r="N14" s="482"/>
      <c r="O14" s="2140"/>
      <c r="P14" s="1640"/>
      <c r="Q14" s="248"/>
      <c r="R14" s="248"/>
      <c r="S14" s="248"/>
      <c r="T14" s="371">
        <v>500000</v>
      </c>
      <c r="U14" s="248"/>
      <c r="V14" s="247"/>
      <c r="W14" s="248"/>
      <c r="X14" s="341">
        <v>400000</v>
      </c>
      <c r="Y14" s="340">
        <f t="shared" si="0"/>
        <v>500000</v>
      </c>
      <c r="Z14" s="344">
        <f t="shared" si="1"/>
        <v>0</v>
      </c>
      <c r="AA14" s="249"/>
      <c r="AB14" s="341">
        <f>7100000</f>
        <v>7100000</v>
      </c>
      <c r="AC14" s="342">
        <f t="shared" si="2"/>
        <v>8600000</v>
      </c>
      <c r="AD14" s="252"/>
      <c r="AE14" s="3806"/>
      <c r="AF14" s="3799"/>
      <c r="AG14" s="142"/>
    </row>
    <row r="15" spans="1:33" ht="33.75" customHeight="1">
      <c r="A15" s="326">
        <v>11</v>
      </c>
      <c r="B15" s="152"/>
      <c r="C15" s="628" t="s">
        <v>1393</v>
      </c>
      <c r="D15" s="46" t="s">
        <v>1378</v>
      </c>
      <c r="E15" s="47" t="s">
        <v>1411</v>
      </c>
      <c r="F15" s="126" t="s">
        <v>1300</v>
      </c>
      <c r="G15" s="167"/>
      <c r="H15" s="167">
        <v>1</v>
      </c>
      <c r="I15" s="167"/>
      <c r="J15" s="479">
        <v>24997</v>
      </c>
      <c r="K15" s="558" t="s">
        <v>1410</v>
      </c>
      <c r="L15" s="162" t="s">
        <v>1394</v>
      </c>
      <c r="M15" s="482" t="s">
        <v>1403</v>
      </c>
      <c r="N15" s="482"/>
      <c r="O15" s="2140"/>
      <c r="P15" s="1640"/>
      <c r="Q15" s="324">
        <v>302400</v>
      </c>
      <c r="R15" s="324">
        <v>696600</v>
      </c>
      <c r="S15" s="248"/>
      <c r="T15" s="371">
        <v>500000</v>
      </c>
      <c r="U15" s="248"/>
      <c r="V15" s="247"/>
      <c r="W15" s="248"/>
      <c r="X15" s="341">
        <v>400000</v>
      </c>
      <c r="Y15" s="340">
        <f t="shared" si="0"/>
        <v>802400</v>
      </c>
      <c r="Z15" s="344">
        <f t="shared" si="1"/>
        <v>0</v>
      </c>
      <c r="AA15" s="249"/>
      <c r="AB15" s="341">
        <v>7150000</v>
      </c>
      <c r="AC15" s="342">
        <f t="shared" si="2"/>
        <v>8956400</v>
      </c>
      <c r="AD15" s="252"/>
      <c r="AE15" s="3807"/>
      <c r="AF15" s="3800"/>
      <c r="AG15" s="142"/>
    </row>
    <row r="16" spans="1:33" ht="22.5" customHeight="1">
      <c r="A16" s="3701" t="s">
        <v>1374</v>
      </c>
      <c r="B16" s="3718"/>
      <c r="C16" s="3718"/>
      <c r="D16" s="3718"/>
      <c r="E16" s="3718"/>
      <c r="F16" s="3718"/>
      <c r="G16" s="3718"/>
      <c r="H16" s="3718"/>
      <c r="I16" s="3718"/>
      <c r="J16" s="3718"/>
      <c r="K16" s="3718"/>
      <c r="L16" s="3718"/>
      <c r="M16" s="346"/>
      <c r="N16" s="346"/>
      <c r="O16" s="346"/>
      <c r="P16" s="346"/>
      <c r="Q16" s="486"/>
      <c r="R16" s="486"/>
      <c r="S16" s="486"/>
      <c r="T16" s="486"/>
      <c r="U16" s="486"/>
      <c r="V16" s="487"/>
      <c r="W16" s="486"/>
      <c r="X16" s="488">
        <f>SUM(X5:X15)</f>
        <v>3200000</v>
      </c>
      <c r="Y16" s="486">
        <f>SUM(Y5:Y15)</f>
        <v>4696315</v>
      </c>
      <c r="Z16" s="489">
        <f>SUM(Z5:Z15)</f>
        <v>0</v>
      </c>
      <c r="AA16" s="490"/>
      <c r="AB16" s="488">
        <f>SUM(AB5:AB15)</f>
        <v>69760000</v>
      </c>
      <c r="AC16" s="491">
        <f t="shared" si="2"/>
        <v>83493115</v>
      </c>
      <c r="AD16" s="492"/>
      <c r="AE16" s="346"/>
      <c r="AF16" s="346"/>
      <c r="AG16" s="493"/>
    </row>
    <row r="17" spans="1:33" ht="36" customHeight="1">
      <c r="A17" s="326">
        <v>1</v>
      </c>
      <c r="B17" s="152"/>
      <c r="C17" s="628" t="s">
        <v>1433</v>
      </c>
      <c r="D17" s="46">
        <v>45139</v>
      </c>
      <c r="E17" s="47" t="s">
        <v>1440</v>
      </c>
      <c r="F17" s="126" t="s">
        <v>1300</v>
      </c>
      <c r="G17" s="167"/>
      <c r="H17" s="167">
        <v>1</v>
      </c>
      <c r="I17" s="167"/>
      <c r="J17" s="479">
        <v>24887</v>
      </c>
      <c r="K17" s="558" t="s">
        <v>1431</v>
      </c>
      <c r="L17" s="162" t="s">
        <v>1432</v>
      </c>
      <c r="M17" s="482" t="s">
        <v>1403</v>
      </c>
      <c r="N17" s="482"/>
      <c r="O17" s="2140"/>
      <c r="P17" s="1640"/>
      <c r="Q17" s="248"/>
      <c r="R17" s="324">
        <v>696600</v>
      </c>
      <c r="S17" s="248"/>
      <c r="T17" s="371">
        <v>500000</v>
      </c>
      <c r="U17" s="248"/>
      <c r="V17" s="247"/>
      <c r="W17" s="248"/>
      <c r="X17" s="341">
        <v>400000</v>
      </c>
      <c r="Y17" s="340">
        <f t="shared" ref="Y17:Y25" si="3">Q17+T17+U17+W17</f>
        <v>500000</v>
      </c>
      <c r="Z17" s="344">
        <f t="shared" ref="Z17:Z25" si="4">+V17</f>
        <v>0</v>
      </c>
      <c r="AA17" s="249"/>
      <c r="AB17" s="341">
        <v>7150000</v>
      </c>
      <c r="AC17" s="342">
        <f t="shared" si="2"/>
        <v>8654000</v>
      </c>
      <c r="AD17" s="250">
        <f t="shared" ref="AD17:AD25" si="5">+X17+AB17</f>
        <v>7550000</v>
      </c>
      <c r="AE17" s="502" t="s">
        <v>1535</v>
      </c>
      <c r="AF17" s="136"/>
      <c r="AG17" s="141"/>
    </row>
    <row r="18" spans="1:33" ht="36" customHeight="1">
      <c r="A18" s="326">
        <f t="shared" ref="A18:A25" si="6">+A17+1</f>
        <v>2</v>
      </c>
      <c r="B18" s="152"/>
      <c r="C18" s="625" t="s">
        <v>1438</v>
      </c>
      <c r="D18" s="46">
        <v>45139</v>
      </c>
      <c r="E18" s="47" t="s">
        <v>1441</v>
      </c>
      <c r="F18" s="126" t="str">
        <f>+F14</f>
        <v>XUẤT</v>
      </c>
      <c r="G18" s="167"/>
      <c r="H18" s="167">
        <v>1</v>
      </c>
      <c r="I18" s="167"/>
      <c r="J18" s="479">
        <f>17986.82+6024.38</f>
        <v>24011.200000000001</v>
      </c>
      <c r="K18" s="559" t="s">
        <v>1436</v>
      </c>
      <c r="L18" s="169" t="s">
        <v>1437</v>
      </c>
      <c r="M18" s="40" t="s">
        <v>210</v>
      </c>
      <c r="N18" s="482"/>
      <c r="O18" s="2140"/>
      <c r="P18" s="1640"/>
      <c r="Q18" s="248"/>
      <c r="R18" s="248"/>
      <c r="S18" s="248"/>
      <c r="T18" s="371">
        <v>500000</v>
      </c>
      <c r="U18" s="248"/>
      <c r="V18" s="247"/>
      <c r="W18" s="248"/>
      <c r="X18" s="341">
        <v>400000</v>
      </c>
      <c r="Y18" s="340">
        <f t="shared" si="3"/>
        <v>500000</v>
      </c>
      <c r="Z18" s="344">
        <f t="shared" si="4"/>
        <v>0</v>
      </c>
      <c r="AA18" s="249" t="s">
        <v>1416</v>
      </c>
      <c r="AB18" s="341">
        <v>7100000</v>
      </c>
      <c r="AC18" s="342">
        <f t="shared" si="2"/>
        <v>8600000</v>
      </c>
      <c r="AD18" s="250">
        <f t="shared" si="5"/>
        <v>7500000</v>
      </c>
      <c r="AE18" s="503"/>
      <c r="AF18" s="136"/>
      <c r="AG18" s="141"/>
    </row>
    <row r="19" spans="1:33" ht="27" customHeight="1">
      <c r="A19" s="326">
        <f t="shared" si="6"/>
        <v>3</v>
      </c>
      <c r="B19" s="152"/>
      <c r="C19" s="625" t="s">
        <v>1464</v>
      </c>
      <c r="D19" s="46">
        <v>45147</v>
      </c>
      <c r="E19" s="47" t="s">
        <v>1467</v>
      </c>
      <c r="F19" s="126" t="s">
        <v>1299</v>
      </c>
      <c r="G19" s="167"/>
      <c r="H19" s="167">
        <v>1</v>
      </c>
      <c r="I19" s="167"/>
      <c r="J19" s="479">
        <f>16462.21+7816.99</f>
        <v>24279.199999999997</v>
      </c>
      <c r="K19" s="559" t="s">
        <v>1465</v>
      </c>
      <c r="L19" s="164" t="s">
        <v>1466</v>
      </c>
      <c r="M19" s="482" t="s">
        <v>1403</v>
      </c>
      <c r="N19" s="482"/>
      <c r="O19" s="2140"/>
      <c r="P19" s="1640"/>
      <c r="Q19" s="248"/>
      <c r="R19" s="248"/>
      <c r="S19" s="248"/>
      <c r="T19" s="371">
        <v>500000</v>
      </c>
      <c r="U19" s="248"/>
      <c r="V19" s="247"/>
      <c r="W19" s="248"/>
      <c r="X19" s="341">
        <v>400000</v>
      </c>
      <c r="Y19" s="340">
        <f t="shared" si="3"/>
        <v>500000</v>
      </c>
      <c r="Z19" s="344">
        <f t="shared" si="4"/>
        <v>0</v>
      </c>
      <c r="AA19" s="249" t="s">
        <v>1416</v>
      </c>
      <c r="AB19" s="341">
        <v>7100000</v>
      </c>
      <c r="AC19" s="342">
        <f t="shared" si="2"/>
        <v>8600000</v>
      </c>
      <c r="AD19" s="250">
        <f t="shared" si="5"/>
        <v>7500000</v>
      </c>
      <c r="AE19" s="503"/>
      <c r="AF19" s="136"/>
      <c r="AG19" s="141"/>
    </row>
    <row r="20" spans="1:33" ht="22.5" customHeight="1">
      <c r="A20" s="326">
        <f t="shared" si="6"/>
        <v>4</v>
      </c>
      <c r="B20" s="152"/>
      <c r="C20" s="630">
        <v>305753832920</v>
      </c>
      <c r="D20" s="110" t="s">
        <v>1493</v>
      </c>
      <c r="E20" s="47" t="s">
        <v>1499</v>
      </c>
      <c r="F20" s="126" t="s">
        <v>1299</v>
      </c>
      <c r="G20" s="167"/>
      <c r="H20" s="167"/>
      <c r="I20" s="167">
        <v>1</v>
      </c>
      <c r="J20" s="479">
        <v>2202</v>
      </c>
      <c r="K20" s="559" t="s">
        <v>1494</v>
      </c>
      <c r="L20" s="164"/>
      <c r="M20" s="40" t="s">
        <v>210</v>
      </c>
      <c r="N20" s="482"/>
      <c r="O20" s="2140"/>
      <c r="P20" s="1640"/>
      <c r="Q20" s="248"/>
      <c r="R20" s="248"/>
      <c r="S20" s="248"/>
      <c r="T20" s="371">
        <v>33030</v>
      </c>
      <c r="U20" s="248"/>
      <c r="V20" s="247"/>
      <c r="W20" s="248"/>
      <c r="X20" s="341"/>
      <c r="Y20" s="340">
        <f t="shared" si="3"/>
        <v>33030</v>
      </c>
      <c r="Z20" s="344">
        <f t="shared" si="4"/>
        <v>0</v>
      </c>
      <c r="AA20" s="249" t="s">
        <v>1526</v>
      </c>
      <c r="AB20" s="341">
        <v>3250000</v>
      </c>
      <c r="AC20" s="342">
        <f t="shared" si="2"/>
        <v>3543030</v>
      </c>
      <c r="AD20" s="250">
        <f t="shared" si="5"/>
        <v>3250000</v>
      </c>
      <c r="AE20" s="503"/>
      <c r="AF20" s="136"/>
      <c r="AG20" s="141"/>
    </row>
    <row r="21" spans="1:33" ht="22.5" customHeight="1">
      <c r="A21" s="326">
        <f t="shared" si="6"/>
        <v>5</v>
      </c>
      <c r="B21" s="152"/>
      <c r="C21" s="630">
        <v>305753884460</v>
      </c>
      <c r="D21" s="110" t="s">
        <v>1493</v>
      </c>
      <c r="E21" s="47" t="s">
        <v>1500</v>
      </c>
      <c r="F21" s="126" t="s">
        <v>1299</v>
      </c>
      <c r="G21" s="167"/>
      <c r="H21" s="167"/>
      <c r="I21" s="167">
        <v>1</v>
      </c>
      <c r="J21" s="479">
        <v>305</v>
      </c>
      <c r="K21" s="559" t="s">
        <v>1495</v>
      </c>
      <c r="L21" s="163"/>
      <c r="M21" s="40" t="s">
        <v>210</v>
      </c>
      <c r="N21" s="482"/>
      <c r="O21" s="2140"/>
      <c r="P21" s="1640"/>
      <c r="Q21" s="248"/>
      <c r="R21" s="248"/>
      <c r="S21" s="248"/>
      <c r="T21" s="371">
        <v>4575</v>
      </c>
      <c r="U21" s="248"/>
      <c r="V21" s="247"/>
      <c r="W21" s="248"/>
      <c r="X21" s="341"/>
      <c r="Y21" s="340">
        <f t="shared" si="3"/>
        <v>4575</v>
      </c>
      <c r="Z21" s="344">
        <f t="shared" si="4"/>
        <v>0</v>
      </c>
      <c r="AA21" s="249" t="s">
        <v>1527</v>
      </c>
      <c r="AB21" s="341">
        <v>2980000</v>
      </c>
      <c r="AC21" s="342">
        <f t="shared" si="2"/>
        <v>3222975</v>
      </c>
      <c r="AD21" s="250">
        <f t="shared" si="5"/>
        <v>2980000</v>
      </c>
      <c r="AE21" s="503"/>
      <c r="AF21" s="136"/>
      <c r="AG21" s="141"/>
    </row>
    <row r="22" spans="1:33" ht="27.75" customHeight="1">
      <c r="A22" s="326">
        <f t="shared" si="6"/>
        <v>6</v>
      </c>
      <c r="B22" s="152"/>
      <c r="C22" s="631" t="s">
        <v>1496</v>
      </c>
      <c r="D22" s="110" t="s">
        <v>1493</v>
      </c>
      <c r="E22" s="47" t="s">
        <v>1505</v>
      </c>
      <c r="F22" s="126" t="s">
        <v>1299</v>
      </c>
      <c r="G22" s="167"/>
      <c r="H22" s="167">
        <v>1</v>
      </c>
      <c r="I22" s="167"/>
      <c r="J22" s="479">
        <f>19183.15+5736.94</f>
        <v>24920.09</v>
      </c>
      <c r="K22" s="559" t="s">
        <v>1497</v>
      </c>
      <c r="L22" s="163" t="s">
        <v>1498</v>
      </c>
      <c r="M22" s="40" t="s">
        <v>210</v>
      </c>
      <c r="N22" s="482"/>
      <c r="O22" s="2140"/>
      <c r="P22" s="1640"/>
      <c r="Q22" s="248"/>
      <c r="R22" s="248"/>
      <c r="S22" s="248"/>
      <c r="T22" s="371">
        <v>500000</v>
      </c>
      <c r="U22" s="248"/>
      <c r="V22" s="247"/>
      <c r="W22" s="248"/>
      <c r="X22" s="341">
        <v>400000</v>
      </c>
      <c r="Y22" s="340">
        <f t="shared" si="3"/>
        <v>500000</v>
      </c>
      <c r="Z22" s="344">
        <f t="shared" si="4"/>
        <v>0</v>
      </c>
      <c r="AA22" s="249"/>
      <c r="AB22" s="341">
        <v>7100000</v>
      </c>
      <c r="AC22" s="342">
        <f t="shared" si="2"/>
        <v>8600000</v>
      </c>
      <c r="AD22" s="250">
        <f t="shared" si="5"/>
        <v>7500000</v>
      </c>
      <c r="AE22" s="503"/>
      <c r="AF22" s="136"/>
      <c r="AG22" s="141"/>
    </row>
    <row r="23" spans="1:33" ht="27.75" customHeight="1">
      <c r="A23" s="326">
        <f t="shared" si="6"/>
        <v>7</v>
      </c>
      <c r="B23" s="152"/>
      <c r="C23" s="631" t="s">
        <v>1504</v>
      </c>
      <c r="D23" s="46" t="s">
        <v>1501</v>
      </c>
      <c r="E23" s="47" t="s">
        <v>1514</v>
      </c>
      <c r="F23" s="126" t="s">
        <v>1299</v>
      </c>
      <c r="G23" s="167"/>
      <c r="H23" s="167">
        <v>1</v>
      </c>
      <c r="I23" s="167"/>
      <c r="J23" s="479">
        <f>7752.62+17129.8</f>
        <v>24882.42</v>
      </c>
      <c r="K23" s="559" t="s">
        <v>1502</v>
      </c>
      <c r="L23" s="163" t="s">
        <v>1503</v>
      </c>
      <c r="M23" s="40" t="s">
        <v>210</v>
      </c>
      <c r="N23" s="482"/>
      <c r="O23" s="2140"/>
      <c r="P23" s="1640"/>
      <c r="Q23" s="248"/>
      <c r="R23" s="248"/>
      <c r="S23" s="248"/>
      <c r="T23" s="371">
        <v>500000</v>
      </c>
      <c r="U23" s="248"/>
      <c r="V23" s="247"/>
      <c r="W23" s="248"/>
      <c r="X23" s="341">
        <v>400000</v>
      </c>
      <c r="Y23" s="340">
        <f t="shared" si="3"/>
        <v>500000</v>
      </c>
      <c r="Z23" s="344">
        <f t="shared" si="4"/>
        <v>0</v>
      </c>
      <c r="AA23" s="249"/>
      <c r="AB23" s="341">
        <v>7100000</v>
      </c>
      <c r="AC23" s="342">
        <f t="shared" si="2"/>
        <v>8600000</v>
      </c>
      <c r="AD23" s="250">
        <f t="shared" si="5"/>
        <v>7500000</v>
      </c>
      <c r="AE23" s="503"/>
      <c r="AF23" s="136"/>
      <c r="AG23" s="141"/>
    </row>
    <row r="24" spans="1:33" ht="22.5" customHeight="1">
      <c r="A24" s="326">
        <f t="shared" si="6"/>
        <v>8</v>
      </c>
      <c r="B24" s="152"/>
      <c r="C24" s="629">
        <v>105670072760</v>
      </c>
      <c r="D24" s="46" t="s">
        <v>1519</v>
      </c>
      <c r="E24" s="47" t="s">
        <v>1524</v>
      </c>
      <c r="F24" s="126" t="s">
        <v>1300</v>
      </c>
      <c r="G24" s="167"/>
      <c r="H24" s="167">
        <v>1</v>
      </c>
      <c r="I24" s="167"/>
      <c r="J24" s="479">
        <v>23319</v>
      </c>
      <c r="K24" s="559" t="s">
        <v>1520</v>
      </c>
      <c r="L24" s="170" t="s">
        <v>1521</v>
      </c>
      <c r="M24" s="40" t="s">
        <v>210</v>
      </c>
      <c r="N24" s="482"/>
      <c r="O24" s="2140"/>
      <c r="P24" s="1640"/>
      <c r="Q24" s="248"/>
      <c r="R24" s="324">
        <v>696600</v>
      </c>
      <c r="S24" s="248"/>
      <c r="T24" s="371">
        <v>500000</v>
      </c>
      <c r="U24" s="248"/>
      <c r="V24" s="247"/>
      <c r="W24" s="248"/>
      <c r="X24" s="341"/>
      <c r="Y24" s="340">
        <f t="shared" si="3"/>
        <v>500000</v>
      </c>
      <c r="Z24" s="344">
        <f t="shared" si="4"/>
        <v>0</v>
      </c>
      <c r="AA24" s="249"/>
      <c r="AB24" s="341">
        <v>7150000</v>
      </c>
      <c r="AC24" s="342">
        <f t="shared" si="2"/>
        <v>8222000.0000000009</v>
      </c>
      <c r="AD24" s="250">
        <f t="shared" si="5"/>
        <v>7150000</v>
      </c>
      <c r="AE24" s="503"/>
      <c r="AF24" s="136"/>
      <c r="AG24" s="141"/>
    </row>
    <row r="25" spans="1:33" ht="22.5" customHeight="1">
      <c r="A25" s="326">
        <f t="shared" si="6"/>
        <v>9</v>
      </c>
      <c r="B25" s="152"/>
      <c r="C25" s="629">
        <v>105670177910</v>
      </c>
      <c r="D25" s="46" t="s">
        <v>1519</v>
      </c>
      <c r="E25" s="47" t="s">
        <v>1525</v>
      </c>
      <c r="F25" s="126" t="s">
        <v>1300</v>
      </c>
      <c r="G25" s="167">
        <v>1</v>
      </c>
      <c r="H25" s="167"/>
      <c r="I25" s="167"/>
      <c r="J25" s="479">
        <v>20706</v>
      </c>
      <c r="K25" s="559" t="s">
        <v>1522</v>
      </c>
      <c r="L25" s="163" t="s">
        <v>1523</v>
      </c>
      <c r="M25" s="40" t="s">
        <v>210</v>
      </c>
      <c r="N25" s="482"/>
      <c r="O25" s="2140"/>
      <c r="P25" s="1640"/>
      <c r="Q25" s="248"/>
      <c r="R25" s="324">
        <v>394200</v>
      </c>
      <c r="S25" s="248"/>
      <c r="T25" s="371">
        <v>250000</v>
      </c>
      <c r="U25" s="248"/>
      <c r="V25" s="247"/>
      <c r="W25" s="248"/>
      <c r="X25" s="341"/>
      <c r="Y25" s="340">
        <f t="shared" si="3"/>
        <v>250000</v>
      </c>
      <c r="Z25" s="344">
        <f t="shared" si="4"/>
        <v>0</v>
      </c>
      <c r="AA25" s="249"/>
      <c r="AB25" s="341">
        <v>6730000</v>
      </c>
      <c r="AC25" s="342">
        <f t="shared" si="2"/>
        <v>7518400.0000000009</v>
      </c>
      <c r="AD25" s="250">
        <f t="shared" si="5"/>
        <v>6730000</v>
      </c>
      <c r="AE25" s="503"/>
      <c r="AF25" s="136"/>
      <c r="AG25" s="141"/>
    </row>
    <row r="26" spans="1:33" ht="22.5" customHeight="1">
      <c r="A26" s="3701" t="s">
        <v>1507</v>
      </c>
      <c r="B26" s="3718"/>
      <c r="C26" s="3718"/>
      <c r="D26" s="3718"/>
      <c r="E26" s="3718"/>
      <c r="F26" s="3718"/>
      <c r="G26" s="3718"/>
      <c r="H26" s="3718"/>
      <c r="I26" s="3718"/>
      <c r="J26" s="3718"/>
      <c r="K26" s="3718"/>
      <c r="L26" s="3718"/>
      <c r="M26" s="346"/>
      <c r="N26" s="346"/>
      <c r="O26" s="346"/>
      <c r="P26" s="346"/>
      <c r="Q26" s="486"/>
      <c r="R26" s="500"/>
      <c r="S26" s="486"/>
      <c r="T26" s="486"/>
      <c r="U26" s="486"/>
      <c r="V26" s="487"/>
      <c r="W26" s="486"/>
      <c r="X26" s="488">
        <f>SUM(X17:X25)</f>
        <v>2000000</v>
      </c>
      <c r="Y26" s="488">
        <f>SUM(Y17:Y25)</f>
        <v>3287605</v>
      </c>
      <c r="Z26" s="489">
        <f>SUM(Z15:Z23)</f>
        <v>0</v>
      </c>
      <c r="AA26" s="490"/>
      <c r="AB26" s="488">
        <f>SUM(AB17:AB25)</f>
        <v>55660000</v>
      </c>
      <c r="AC26" s="491">
        <f t="shared" si="2"/>
        <v>65560405.000000007</v>
      </c>
      <c r="AD26" s="492"/>
      <c r="AE26" s="346"/>
      <c r="AF26" s="346"/>
      <c r="AG26" s="493"/>
    </row>
    <row r="27" spans="1:33" ht="30" customHeight="1">
      <c r="A27" s="326">
        <v>1</v>
      </c>
      <c r="B27" s="152"/>
      <c r="C27" s="632" t="s">
        <v>1549</v>
      </c>
      <c r="D27" s="46" t="s">
        <v>1550</v>
      </c>
      <c r="E27" s="517" t="s">
        <v>1552</v>
      </c>
      <c r="F27" s="126" t="s">
        <v>1299</v>
      </c>
      <c r="G27" s="167"/>
      <c r="H27" s="167">
        <v>1</v>
      </c>
      <c r="I27" s="167"/>
      <c r="J27" s="479">
        <v>27969</v>
      </c>
      <c r="K27" s="559" t="s">
        <v>1548</v>
      </c>
      <c r="L27" s="170" t="s">
        <v>1551</v>
      </c>
      <c r="M27" s="40" t="s">
        <v>210</v>
      </c>
      <c r="N27" s="482"/>
      <c r="O27" s="2140"/>
      <c r="P27" s="1640"/>
      <c r="Q27" s="248"/>
      <c r="R27" s="248"/>
      <c r="S27" s="248"/>
      <c r="T27" s="371">
        <v>500000</v>
      </c>
      <c r="U27" s="248"/>
      <c r="V27" s="247"/>
      <c r="W27" s="248"/>
      <c r="X27" s="341">
        <v>400000</v>
      </c>
      <c r="Y27" s="340">
        <f t="shared" ref="Y27:Y33" si="7">Q27+T27+U27+W27</f>
        <v>500000</v>
      </c>
      <c r="Z27" s="344">
        <f t="shared" ref="Z27:Z33" si="8">+V27</f>
        <v>0</v>
      </c>
      <c r="AA27" s="249"/>
      <c r="AB27" s="341">
        <v>7100000</v>
      </c>
      <c r="AC27" s="342">
        <f t="shared" si="2"/>
        <v>8600000</v>
      </c>
      <c r="AD27" s="252"/>
      <c r="AE27" s="3801" t="s">
        <v>1645</v>
      </c>
      <c r="AF27" s="3803" t="s">
        <v>1646</v>
      </c>
      <c r="AG27" s="141"/>
    </row>
    <row r="28" spans="1:33" ht="44.25" customHeight="1">
      <c r="A28" s="326">
        <f>+A27+1</f>
        <v>2</v>
      </c>
      <c r="B28" s="152"/>
      <c r="C28" s="632" t="s">
        <v>1588</v>
      </c>
      <c r="D28" s="46">
        <v>45174</v>
      </c>
      <c r="E28" s="47" t="s">
        <v>1567</v>
      </c>
      <c r="F28" s="126" t="s">
        <v>1299</v>
      </c>
      <c r="G28" s="167">
        <v>1</v>
      </c>
      <c r="H28" s="167"/>
      <c r="I28" s="167"/>
      <c r="J28" s="479">
        <v>14134.620000000003</v>
      </c>
      <c r="K28" s="1669" t="s">
        <v>1566</v>
      </c>
      <c r="L28" s="1916" t="s">
        <v>1589</v>
      </c>
      <c r="M28" s="40" t="s">
        <v>210</v>
      </c>
      <c r="N28" s="482"/>
      <c r="O28" s="2140"/>
      <c r="P28" s="1640"/>
      <c r="Q28" s="248"/>
      <c r="R28" s="248"/>
      <c r="S28" s="248"/>
      <c r="T28" s="371">
        <v>250000</v>
      </c>
      <c r="U28" s="248"/>
      <c r="V28" s="247"/>
      <c r="W28" s="248"/>
      <c r="X28" s="341">
        <v>800000</v>
      </c>
      <c r="Y28" s="340">
        <f t="shared" si="7"/>
        <v>250000</v>
      </c>
      <c r="Z28" s="344">
        <f t="shared" si="8"/>
        <v>0</v>
      </c>
      <c r="AA28" s="249"/>
      <c r="AB28" s="341">
        <v>6180000</v>
      </c>
      <c r="AC28" s="342">
        <f t="shared" si="2"/>
        <v>7788400.0000000009</v>
      </c>
      <c r="AD28" s="252"/>
      <c r="AE28" s="3802"/>
      <c r="AF28" s="3804"/>
      <c r="AG28" s="141"/>
    </row>
    <row r="29" spans="1:33" ht="32.25" customHeight="1">
      <c r="A29" s="326">
        <f>+A28+1</f>
        <v>3</v>
      </c>
      <c r="B29" s="152"/>
      <c r="C29" s="632" t="s">
        <v>1584</v>
      </c>
      <c r="D29" s="46">
        <v>45181</v>
      </c>
      <c r="E29" s="47" t="s">
        <v>1586</v>
      </c>
      <c r="F29" s="126" t="s">
        <v>1299</v>
      </c>
      <c r="G29" s="167"/>
      <c r="H29" s="167">
        <v>1</v>
      </c>
      <c r="I29" s="167"/>
      <c r="J29" s="479">
        <v>24459.14</v>
      </c>
      <c r="K29" s="559" t="s">
        <v>1574</v>
      </c>
      <c r="L29" s="170" t="s">
        <v>1585</v>
      </c>
      <c r="M29" s="40" t="s">
        <v>210</v>
      </c>
      <c r="N29" s="482"/>
      <c r="O29" s="2140"/>
      <c r="P29" s="1640"/>
      <c r="Q29" s="248"/>
      <c r="R29" s="248"/>
      <c r="S29" s="248"/>
      <c r="T29" s="371">
        <v>500000</v>
      </c>
      <c r="U29" s="248"/>
      <c r="V29" s="247"/>
      <c r="W29" s="248"/>
      <c r="X29" s="341">
        <v>400000</v>
      </c>
      <c r="Y29" s="340">
        <f t="shared" si="7"/>
        <v>500000</v>
      </c>
      <c r="Z29" s="344">
        <f t="shared" si="8"/>
        <v>0</v>
      </c>
      <c r="AA29" s="249" t="s">
        <v>1416</v>
      </c>
      <c r="AB29" s="341">
        <v>7100000</v>
      </c>
      <c r="AC29" s="342">
        <f t="shared" si="2"/>
        <v>8600000</v>
      </c>
      <c r="AD29" s="252"/>
      <c r="AE29" s="3802"/>
      <c r="AF29" s="3804"/>
      <c r="AG29" s="141"/>
    </row>
    <row r="30" spans="1:33" ht="37.5" customHeight="1">
      <c r="A30" s="326">
        <f>+A32+1</f>
        <v>5</v>
      </c>
      <c r="B30" s="152"/>
      <c r="C30" s="633" t="s">
        <v>1617</v>
      </c>
      <c r="D30" s="46" t="s">
        <v>1610</v>
      </c>
      <c r="E30" s="47" t="s">
        <v>1623</v>
      </c>
      <c r="F30" s="126" t="s">
        <v>1299</v>
      </c>
      <c r="G30" s="167">
        <v>1</v>
      </c>
      <c r="H30" s="167"/>
      <c r="I30" s="167"/>
      <c r="J30" s="479">
        <f>5103+118.8</f>
        <v>5221.8</v>
      </c>
      <c r="K30" s="559" t="s">
        <v>1615</v>
      </c>
      <c r="L30" s="1917" t="s">
        <v>1616</v>
      </c>
      <c r="M30" s="40" t="s">
        <v>210</v>
      </c>
      <c r="N30" s="482"/>
      <c r="O30" s="2140"/>
      <c r="P30" s="1640"/>
      <c r="Q30" s="248"/>
      <c r="R30" s="248"/>
      <c r="S30" s="248"/>
      <c r="T30" s="371">
        <v>250000</v>
      </c>
      <c r="U30" s="248"/>
      <c r="V30" s="247"/>
      <c r="W30" s="248"/>
      <c r="X30" s="341">
        <v>400000</v>
      </c>
      <c r="Y30" s="340">
        <f t="shared" si="7"/>
        <v>250000</v>
      </c>
      <c r="Z30" s="344">
        <f t="shared" si="8"/>
        <v>0</v>
      </c>
      <c r="AA30" s="249"/>
      <c r="AB30" s="341">
        <v>6180000</v>
      </c>
      <c r="AC30" s="342">
        <f t="shared" si="2"/>
        <v>7356400.0000000009</v>
      </c>
      <c r="AD30" s="252"/>
      <c r="AE30" s="3802"/>
      <c r="AF30" s="3804"/>
      <c r="AG30" s="141"/>
    </row>
    <row r="31" spans="1:33" ht="35.25" customHeight="1">
      <c r="A31" s="326">
        <f>+A30+1</f>
        <v>6</v>
      </c>
      <c r="B31" s="152"/>
      <c r="C31" s="633" t="s">
        <v>1618</v>
      </c>
      <c r="D31" s="46" t="s">
        <v>1610</v>
      </c>
      <c r="E31" s="47" t="s">
        <v>1624</v>
      </c>
      <c r="F31" s="126" t="s">
        <v>1299</v>
      </c>
      <c r="G31" s="167"/>
      <c r="H31" s="167">
        <v>1</v>
      </c>
      <c r="I31" s="167"/>
      <c r="J31" s="479">
        <f>15434.31+9263</f>
        <v>24697.309999999998</v>
      </c>
      <c r="K31" s="559" t="s">
        <v>1619</v>
      </c>
      <c r="L31" s="170" t="s">
        <v>1620</v>
      </c>
      <c r="M31" s="40" t="s">
        <v>210</v>
      </c>
      <c r="N31" s="482"/>
      <c r="O31" s="2140"/>
      <c r="P31" s="1640"/>
      <c r="Q31" s="248"/>
      <c r="R31" s="248"/>
      <c r="S31" s="248"/>
      <c r="T31" s="371">
        <v>500000</v>
      </c>
      <c r="U31" s="248"/>
      <c r="V31" s="247"/>
      <c r="W31" s="248"/>
      <c r="X31" s="341">
        <v>400000</v>
      </c>
      <c r="Y31" s="340">
        <f t="shared" si="7"/>
        <v>500000</v>
      </c>
      <c r="Z31" s="344">
        <f t="shared" si="8"/>
        <v>0</v>
      </c>
      <c r="AA31" s="249" t="s">
        <v>1416</v>
      </c>
      <c r="AB31" s="341">
        <v>7100000</v>
      </c>
      <c r="AC31" s="342">
        <f t="shared" si="2"/>
        <v>8600000</v>
      </c>
      <c r="AD31" s="252"/>
      <c r="AE31" s="3802"/>
      <c r="AF31" s="3804"/>
      <c r="AG31" s="141"/>
    </row>
    <row r="32" spans="1:33" ht="22.5" customHeight="1">
      <c r="A32" s="326">
        <f>+A29+1</f>
        <v>4</v>
      </c>
      <c r="B32" s="152"/>
      <c r="C32" s="634">
        <v>105724439700</v>
      </c>
      <c r="D32" s="46" t="s">
        <v>1601</v>
      </c>
      <c r="E32" s="47" t="s">
        <v>1604</v>
      </c>
      <c r="F32" s="126" t="s">
        <v>1300</v>
      </c>
      <c r="G32" s="167">
        <v>1</v>
      </c>
      <c r="H32" s="167"/>
      <c r="I32" s="167"/>
      <c r="J32" s="479">
        <v>20870</v>
      </c>
      <c r="K32" s="559" t="s">
        <v>1602</v>
      </c>
      <c r="L32" s="170" t="s">
        <v>1603</v>
      </c>
      <c r="M32" s="40" t="s">
        <v>210</v>
      </c>
      <c r="N32" s="482"/>
      <c r="O32" s="2140"/>
      <c r="P32" s="1640"/>
      <c r="Q32" s="324">
        <v>167400</v>
      </c>
      <c r="R32" s="324">
        <v>394200</v>
      </c>
      <c r="S32" s="248"/>
      <c r="T32" s="371">
        <v>250000</v>
      </c>
      <c r="U32" s="248"/>
      <c r="V32" s="247"/>
      <c r="W32" s="248"/>
      <c r="X32" s="341"/>
      <c r="Y32" s="340">
        <f t="shared" si="7"/>
        <v>417400</v>
      </c>
      <c r="Z32" s="344">
        <f t="shared" si="8"/>
        <v>0</v>
      </c>
      <c r="AA32" s="249"/>
      <c r="AB32" s="341">
        <v>6730000</v>
      </c>
      <c r="AC32" s="342">
        <f t="shared" si="2"/>
        <v>7685800.0000000009</v>
      </c>
      <c r="AD32" s="252"/>
      <c r="AE32" s="3802"/>
      <c r="AF32" s="3804"/>
      <c r="AG32" s="141"/>
    </row>
    <row r="33" spans="1:33" ht="22.5" customHeight="1">
      <c r="A33" s="326">
        <f>+A31+1</f>
        <v>7</v>
      </c>
      <c r="B33" s="152"/>
      <c r="C33" s="635">
        <v>105698663600</v>
      </c>
      <c r="D33" s="46">
        <v>45175</v>
      </c>
      <c r="E33" s="47" t="s">
        <v>1629</v>
      </c>
      <c r="F33" s="126" t="s">
        <v>1300</v>
      </c>
      <c r="G33" s="167"/>
      <c r="H33" s="167"/>
      <c r="I33" s="167">
        <v>1</v>
      </c>
      <c r="J33" s="479">
        <v>5420</v>
      </c>
      <c r="K33" s="559" t="s">
        <v>1628</v>
      </c>
      <c r="L33" s="170"/>
      <c r="M33" s="532" t="s">
        <v>418</v>
      </c>
      <c r="N33" s="482"/>
      <c r="O33" s="2140"/>
      <c r="P33" s="1640"/>
      <c r="Q33" s="248"/>
      <c r="R33" s="248"/>
      <c r="S33" s="248"/>
      <c r="T33" s="371">
        <v>81300</v>
      </c>
      <c r="U33" s="248"/>
      <c r="V33" s="247"/>
      <c r="W33" s="248"/>
      <c r="X33" s="341"/>
      <c r="Y33" s="340">
        <f t="shared" si="7"/>
        <v>81300</v>
      </c>
      <c r="Z33" s="344">
        <f t="shared" si="8"/>
        <v>0</v>
      </c>
      <c r="AA33" s="249" t="s">
        <v>1582</v>
      </c>
      <c r="AB33" s="341">
        <f>3370000+674000</f>
        <v>4044000</v>
      </c>
      <c r="AC33" s="342">
        <f t="shared" si="2"/>
        <v>4448820</v>
      </c>
      <c r="AD33" s="252"/>
      <c r="AE33" s="3802"/>
      <c r="AF33" s="3804"/>
      <c r="AG33" s="141"/>
    </row>
    <row r="34" spans="1:33" ht="22.5" customHeight="1">
      <c r="A34" s="3701" t="s">
        <v>1626</v>
      </c>
      <c r="B34" s="3718"/>
      <c r="C34" s="3718"/>
      <c r="D34" s="3718"/>
      <c r="E34" s="3718"/>
      <c r="F34" s="3718"/>
      <c r="G34" s="3718"/>
      <c r="H34" s="3718"/>
      <c r="I34" s="3718"/>
      <c r="J34" s="3718"/>
      <c r="K34" s="3718"/>
      <c r="L34" s="3718"/>
      <c r="M34" s="346"/>
      <c r="N34" s="346"/>
      <c r="O34" s="346"/>
      <c r="P34" s="346"/>
      <c r="Q34" s="486"/>
      <c r="R34" s="500"/>
      <c r="S34" s="486"/>
      <c r="T34" s="486"/>
      <c r="U34" s="486"/>
      <c r="V34" s="487"/>
      <c r="W34" s="486"/>
      <c r="X34" s="488">
        <f>SUM(X27:X33)</f>
        <v>2400000</v>
      </c>
      <c r="Y34" s="488">
        <f>SUM(Y27:Y33)</f>
        <v>2498700</v>
      </c>
      <c r="Z34" s="489">
        <f>SUM(Z23:Z31)</f>
        <v>0</v>
      </c>
      <c r="AA34" s="490"/>
      <c r="AB34" s="488">
        <f>SUM(AB27:AB33)</f>
        <v>44434000</v>
      </c>
      <c r="AC34" s="488">
        <f>SUM(AC27:AC33)</f>
        <v>53079420</v>
      </c>
      <c r="AD34" s="492"/>
      <c r="AE34" s="346"/>
      <c r="AF34" s="346"/>
      <c r="AG34" s="493"/>
    </row>
    <row r="35" spans="1:33" ht="30" customHeight="1">
      <c r="A35" s="326">
        <v>1</v>
      </c>
      <c r="B35" s="152"/>
      <c r="C35" s="636" t="s">
        <v>1657</v>
      </c>
      <c r="D35" s="46" t="s">
        <v>1653</v>
      </c>
      <c r="E35" s="47" t="s">
        <v>1659</v>
      </c>
      <c r="F35" s="126" t="s">
        <v>1300</v>
      </c>
      <c r="G35" s="167"/>
      <c r="H35" s="167">
        <v>2</v>
      </c>
      <c r="I35" s="167"/>
      <c r="J35" s="479">
        <v>24874.75</v>
      </c>
      <c r="K35" s="559" t="s">
        <v>1658</v>
      </c>
      <c r="L35" s="170" t="s">
        <v>1660</v>
      </c>
      <c r="M35" s="533" t="s">
        <v>136</v>
      </c>
      <c r="N35" s="482"/>
      <c r="O35" s="2140"/>
      <c r="P35" s="1640"/>
      <c r="Q35" s="324">
        <v>302400</v>
      </c>
      <c r="R35" s="324">
        <v>1998000</v>
      </c>
      <c r="S35" s="248"/>
      <c r="T35" s="371">
        <v>1000000</v>
      </c>
      <c r="U35" s="248"/>
      <c r="V35" s="534">
        <v>950000</v>
      </c>
      <c r="W35" s="324">
        <v>655020</v>
      </c>
      <c r="X35" s="341">
        <v>400000</v>
      </c>
      <c r="Y35" s="340">
        <f t="shared" ref="Y35:Y44" si="9">Q35+T35+U35+W35+V35</f>
        <v>2907420</v>
      </c>
      <c r="Z35" s="344">
        <f t="shared" ref="Z35:Z44" si="10">+V35</f>
        <v>950000</v>
      </c>
      <c r="AA35" s="249" t="s">
        <v>1761</v>
      </c>
      <c r="AB35" s="341">
        <f>(7150000*2)+560000</f>
        <v>14860000</v>
      </c>
      <c r="AC35" s="342">
        <f t="shared" ref="AC35:AC44" si="11">((AB35+X35)*1.08)+Y35</f>
        <v>19388220</v>
      </c>
      <c r="AD35" s="252"/>
      <c r="AE35" s="295"/>
      <c r="AF35" s="136"/>
      <c r="AG35" s="141"/>
    </row>
    <row r="36" spans="1:33" ht="18.75" customHeight="1">
      <c r="A36" s="326">
        <f>+A41+1</f>
        <v>6</v>
      </c>
      <c r="B36" s="152"/>
      <c r="C36" s="634">
        <v>105788259250</v>
      </c>
      <c r="D36" s="46" t="s">
        <v>1704</v>
      </c>
      <c r="E36" s="47" t="s">
        <v>1703</v>
      </c>
      <c r="F36" s="126" t="s">
        <v>1300</v>
      </c>
      <c r="G36" s="167">
        <v>1</v>
      </c>
      <c r="H36" s="167"/>
      <c r="I36" s="167"/>
      <c r="J36" s="479">
        <v>21106</v>
      </c>
      <c r="K36" s="559" t="s">
        <v>1702</v>
      </c>
      <c r="L36" s="170" t="s">
        <v>1719</v>
      </c>
      <c r="M36" s="40" t="s">
        <v>210</v>
      </c>
      <c r="N36" s="482"/>
      <c r="O36" s="2140"/>
      <c r="P36" s="1640"/>
      <c r="Q36" s="248"/>
      <c r="R36" s="248"/>
      <c r="S36" s="248"/>
      <c r="T36" s="371">
        <v>250000</v>
      </c>
      <c r="U36" s="248"/>
      <c r="V36" s="247"/>
      <c r="W36" s="248"/>
      <c r="X36" s="250"/>
      <c r="Y36" s="340">
        <f t="shared" si="9"/>
        <v>250000</v>
      </c>
      <c r="Z36" s="344">
        <f t="shared" si="10"/>
        <v>0</v>
      </c>
      <c r="AA36" s="249"/>
      <c r="AB36" s="341">
        <v>6730000</v>
      </c>
      <c r="AC36" s="342">
        <f t="shared" si="11"/>
        <v>7518400.0000000009</v>
      </c>
      <c r="AD36" s="252"/>
      <c r="AE36" s="295"/>
      <c r="AF36" s="156"/>
      <c r="AG36" s="141"/>
    </row>
    <row r="37" spans="1:33" ht="28.5" customHeight="1">
      <c r="A37" s="326">
        <f>+A44+1</f>
        <v>10</v>
      </c>
      <c r="B37" s="152"/>
      <c r="C37" s="637" t="s">
        <v>1745</v>
      </c>
      <c r="D37" s="46" t="s">
        <v>1727</v>
      </c>
      <c r="E37" s="47" t="s">
        <v>1744</v>
      </c>
      <c r="F37" s="126" t="s">
        <v>1300</v>
      </c>
      <c r="G37" s="167">
        <v>1</v>
      </c>
      <c r="H37" s="167"/>
      <c r="I37" s="167"/>
      <c r="J37" s="479">
        <f>24190+800</f>
        <v>24990</v>
      </c>
      <c r="K37" s="1670" t="s">
        <v>1746</v>
      </c>
      <c r="L37" s="170" t="s">
        <v>1743</v>
      </c>
      <c r="M37" s="532" t="s">
        <v>418</v>
      </c>
      <c r="N37" s="482"/>
      <c r="O37" s="2140"/>
      <c r="P37" s="1640"/>
      <c r="Q37" s="248"/>
      <c r="R37" s="248"/>
      <c r="S37" s="248"/>
      <c r="T37" s="371">
        <v>250000</v>
      </c>
      <c r="U37" s="248"/>
      <c r="V37" s="247"/>
      <c r="W37" s="248"/>
      <c r="X37" s="341">
        <v>400000</v>
      </c>
      <c r="Y37" s="340">
        <f t="shared" si="9"/>
        <v>250000</v>
      </c>
      <c r="Z37" s="344">
        <f t="shared" si="10"/>
        <v>0</v>
      </c>
      <c r="AA37" s="249"/>
      <c r="AB37" s="341">
        <v>6730000</v>
      </c>
      <c r="AC37" s="342">
        <f t="shared" si="11"/>
        <v>7950400.0000000009</v>
      </c>
      <c r="AD37" s="252"/>
      <c r="AE37" s="295"/>
      <c r="AF37" s="156"/>
    </row>
    <row r="38" spans="1:33" ht="25.5" customHeight="1">
      <c r="A38" s="326">
        <f>+A35+1</f>
        <v>2</v>
      </c>
      <c r="B38" s="152"/>
      <c r="C38" s="633" t="s">
        <v>1661</v>
      </c>
      <c r="D38" s="46" t="s">
        <v>1662</v>
      </c>
      <c r="E38" s="47" t="s">
        <v>1665</v>
      </c>
      <c r="F38" s="126" t="s">
        <v>1299</v>
      </c>
      <c r="G38" s="167">
        <v>1</v>
      </c>
      <c r="H38" s="167"/>
      <c r="I38" s="167"/>
      <c r="J38" s="479">
        <v>15059.07</v>
      </c>
      <c r="K38" s="559" t="s">
        <v>1663</v>
      </c>
      <c r="L38" s="170" t="s">
        <v>1664</v>
      </c>
      <c r="M38" s="40" t="s">
        <v>210</v>
      </c>
      <c r="N38" s="482"/>
      <c r="O38" s="2140"/>
      <c r="P38" s="1640"/>
      <c r="Q38" s="248"/>
      <c r="R38" s="248"/>
      <c r="S38" s="248"/>
      <c r="T38" s="371">
        <v>250000</v>
      </c>
      <c r="U38" s="248"/>
      <c r="V38" s="247"/>
      <c r="W38" s="248"/>
      <c r="X38" s="341">
        <v>400000</v>
      </c>
      <c r="Y38" s="340">
        <f t="shared" si="9"/>
        <v>250000</v>
      </c>
      <c r="Z38" s="344">
        <f t="shared" si="10"/>
        <v>0</v>
      </c>
      <c r="AA38" s="249" t="s">
        <v>1416</v>
      </c>
      <c r="AB38" s="341">
        <v>6180000</v>
      </c>
      <c r="AC38" s="342">
        <f t="shared" si="11"/>
        <v>7356400.0000000009</v>
      </c>
      <c r="AD38" s="252"/>
      <c r="AE38" s="295"/>
      <c r="AF38" s="156"/>
      <c r="AG38" s="141"/>
    </row>
    <row r="39" spans="1:33" ht="37.5" customHeight="1">
      <c r="A39" s="326">
        <f>+A38+1</f>
        <v>3</v>
      </c>
      <c r="B39" s="152"/>
      <c r="C39" s="633" t="s">
        <v>1666</v>
      </c>
      <c r="D39" s="386" t="s">
        <v>1667</v>
      </c>
      <c r="E39" s="47" t="s">
        <v>1673</v>
      </c>
      <c r="F39" s="126" t="s">
        <v>1299</v>
      </c>
      <c r="G39" s="167"/>
      <c r="H39" s="167">
        <v>1</v>
      </c>
      <c r="I39" s="167"/>
      <c r="J39" s="479">
        <v>28034</v>
      </c>
      <c r="K39" s="559" t="s">
        <v>1669</v>
      </c>
      <c r="L39" s="170" t="s">
        <v>1668</v>
      </c>
      <c r="M39" s="532" t="s">
        <v>418</v>
      </c>
      <c r="N39" s="482"/>
      <c r="O39" s="2140"/>
      <c r="P39" s="1640"/>
      <c r="Q39" s="248"/>
      <c r="R39" s="248"/>
      <c r="S39" s="248"/>
      <c r="T39" s="371">
        <v>500000</v>
      </c>
      <c r="U39" s="248"/>
      <c r="V39" s="247"/>
      <c r="W39" s="248"/>
      <c r="X39" s="341">
        <v>800000</v>
      </c>
      <c r="Y39" s="340">
        <f t="shared" si="9"/>
        <v>500000</v>
      </c>
      <c r="Z39" s="344">
        <f t="shared" si="10"/>
        <v>0</v>
      </c>
      <c r="AA39" s="249"/>
      <c r="AB39" s="341">
        <v>7100000</v>
      </c>
      <c r="AC39" s="342">
        <f t="shared" si="11"/>
        <v>9032000</v>
      </c>
      <c r="AD39" s="252"/>
      <c r="AE39" s="295"/>
      <c r="AF39" s="156"/>
      <c r="AG39" s="141"/>
    </row>
    <row r="40" spans="1:33" ht="27.75" customHeight="1">
      <c r="A40" s="326">
        <f>+A39+1</f>
        <v>4</v>
      </c>
      <c r="B40" s="152"/>
      <c r="C40" s="633" t="s">
        <v>1670</v>
      </c>
      <c r="D40" s="386" t="s">
        <v>1671</v>
      </c>
      <c r="E40" s="47" t="s">
        <v>1674</v>
      </c>
      <c r="F40" s="126" t="s">
        <v>1299</v>
      </c>
      <c r="G40" s="167"/>
      <c r="H40" s="167"/>
      <c r="I40" s="167">
        <v>1</v>
      </c>
      <c r="J40" s="479">
        <v>3792</v>
      </c>
      <c r="K40" s="559" t="s">
        <v>1672</v>
      </c>
      <c r="L40" s="170"/>
      <c r="M40" s="40" t="s">
        <v>210</v>
      </c>
      <c r="N40" s="482"/>
      <c r="O40" s="2140"/>
      <c r="P40" s="1640"/>
      <c r="Q40" s="248"/>
      <c r="R40" s="248"/>
      <c r="S40" s="248"/>
      <c r="T40" s="371">
        <v>891</v>
      </c>
      <c r="U40" s="248"/>
      <c r="V40" s="247"/>
      <c r="W40" s="248"/>
      <c r="X40" s="341">
        <v>400000</v>
      </c>
      <c r="Y40" s="340">
        <f t="shared" si="9"/>
        <v>891</v>
      </c>
      <c r="Z40" s="344">
        <f t="shared" si="10"/>
        <v>0</v>
      </c>
      <c r="AA40" s="249"/>
      <c r="AB40" s="341">
        <v>3370000</v>
      </c>
      <c r="AC40" s="342">
        <f t="shared" si="11"/>
        <v>4072491.0000000005</v>
      </c>
      <c r="AD40" s="252"/>
      <c r="AE40" s="295"/>
      <c r="AF40" s="156"/>
      <c r="AG40" s="141"/>
    </row>
    <row r="41" spans="1:33" ht="30.75" customHeight="1">
      <c r="A41" s="326">
        <f>+A40+1</f>
        <v>5</v>
      </c>
      <c r="B41" s="152"/>
      <c r="C41" s="632" t="s">
        <v>1685</v>
      </c>
      <c r="D41" s="46">
        <v>45209</v>
      </c>
      <c r="E41" s="47" t="s">
        <v>1686</v>
      </c>
      <c r="F41" s="126" t="s">
        <v>1299</v>
      </c>
      <c r="G41" s="167"/>
      <c r="H41" s="167">
        <v>1</v>
      </c>
      <c r="I41" s="167"/>
      <c r="J41" s="479">
        <f>18486+6518</f>
        <v>25004</v>
      </c>
      <c r="K41" s="559" t="s">
        <v>1688</v>
      </c>
      <c r="L41" s="170" t="s">
        <v>1687</v>
      </c>
      <c r="M41" s="40" t="s">
        <v>210</v>
      </c>
      <c r="N41" s="482"/>
      <c r="O41" s="2140"/>
      <c r="P41" s="1640"/>
      <c r="Q41" s="248"/>
      <c r="R41" s="248"/>
      <c r="S41" s="248"/>
      <c r="T41" s="371">
        <v>500000</v>
      </c>
      <c r="U41" s="248"/>
      <c r="V41" s="247"/>
      <c r="W41" s="248"/>
      <c r="X41" s="341">
        <v>400000</v>
      </c>
      <c r="Y41" s="340">
        <f t="shared" si="9"/>
        <v>500000</v>
      </c>
      <c r="Z41" s="344">
        <f t="shared" si="10"/>
        <v>0</v>
      </c>
      <c r="AA41" s="249"/>
      <c r="AB41" s="341">
        <v>7100000</v>
      </c>
      <c r="AC41" s="342">
        <f t="shared" si="11"/>
        <v>8600000</v>
      </c>
      <c r="AD41" s="252"/>
      <c r="AE41" s="295"/>
      <c r="AF41" s="156"/>
      <c r="AG41" s="141"/>
    </row>
    <row r="42" spans="1:33" ht="19.5" customHeight="1">
      <c r="A42" s="326">
        <f>+A36+1</f>
        <v>7</v>
      </c>
      <c r="B42" s="152"/>
      <c r="C42" s="638">
        <v>305893002720</v>
      </c>
      <c r="D42" s="46" t="s">
        <v>1704</v>
      </c>
      <c r="E42" s="47" t="s">
        <v>1706</v>
      </c>
      <c r="F42" s="126" t="s">
        <v>1299</v>
      </c>
      <c r="G42" s="167"/>
      <c r="H42" s="167"/>
      <c r="I42" s="167">
        <v>1</v>
      </c>
      <c r="J42" s="479">
        <v>1358</v>
      </c>
      <c r="K42" s="1671" t="s">
        <v>1705</v>
      </c>
      <c r="L42" s="170"/>
      <c r="M42" s="40" t="s">
        <v>210</v>
      </c>
      <c r="N42" s="482"/>
      <c r="O42" s="2140"/>
      <c r="P42" s="1640"/>
      <c r="Q42" s="248"/>
      <c r="R42" s="248"/>
      <c r="S42" s="248"/>
      <c r="T42" s="371">
        <v>20370</v>
      </c>
      <c r="U42" s="248"/>
      <c r="V42" s="247"/>
      <c r="W42" s="248"/>
      <c r="X42" s="250"/>
      <c r="Y42" s="340">
        <f t="shared" si="9"/>
        <v>20370</v>
      </c>
      <c r="Z42" s="344">
        <f t="shared" si="10"/>
        <v>0</v>
      </c>
      <c r="AA42" s="249"/>
      <c r="AB42" s="341">
        <v>3150000</v>
      </c>
      <c r="AC42" s="342">
        <f t="shared" si="11"/>
        <v>3422370</v>
      </c>
      <c r="AD42" s="252"/>
      <c r="AE42" s="295"/>
      <c r="AF42" s="156"/>
      <c r="AG42" s="141"/>
    </row>
    <row r="43" spans="1:33" ht="30" customHeight="1">
      <c r="A43" s="326">
        <f>+A42+1</f>
        <v>8</v>
      </c>
      <c r="B43" s="152"/>
      <c r="C43" s="632" t="s">
        <v>1710</v>
      </c>
      <c r="D43" s="46" t="s">
        <v>1711</v>
      </c>
      <c r="E43" s="47" t="s">
        <v>1713</v>
      </c>
      <c r="F43" s="126" t="s">
        <v>1299</v>
      </c>
      <c r="G43" s="167">
        <v>1</v>
      </c>
      <c r="H43" s="167"/>
      <c r="I43" s="167"/>
      <c r="J43" s="479">
        <v>16993.13</v>
      </c>
      <c r="K43" s="559" t="s">
        <v>1712</v>
      </c>
      <c r="L43" s="170" t="s">
        <v>1714</v>
      </c>
      <c r="M43" s="40" t="s">
        <v>210</v>
      </c>
      <c r="N43" s="482"/>
      <c r="O43" s="2140"/>
      <c r="P43" s="1640"/>
      <c r="Q43" s="248"/>
      <c r="R43" s="248"/>
      <c r="S43" s="248"/>
      <c r="T43" s="371">
        <v>250000</v>
      </c>
      <c r="U43" s="248"/>
      <c r="V43" s="247"/>
      <c r="W43" s="248"/>
      <c r="X43" s="341">
        <v>400000</v>
      </c>
      <c r="Y43" s="340">
        <f t="shared" si="9"/>
        <v>250000</v>
      </c>
      <c r="Z43" s="344">
        <f t="shared" si="10"/>
        <v>0</v>
      </c>
      <c r="AA43" s="249"/>
      <c r="AB43" s="341">
        <v>6180000</v>
      </c>
      <c r="AC43" s="342">
        <f t="shared" si="11"/>
        <v>7356400.0000000009</v>
      </c>
      <c r="AD43" s="252"/>
      <c r="AE43" s="295"/>
      <c r="AF43" s="156"/>
      <c r="AG43" s="141"/>
    </row>
    <row r="44" spans="1:33" ht="27.75" customHeight="1">
      <c r="A44" s="326">
        <f>+A43+1</f>
        <v>9</v>
      </c>
      <c r="B44" s="152"/>
      <c r="C44" s="632" t="s">
        <v>1733</v>
      </c>
      <c r="D44" s="46" t="s">
        <v>1727</v>
      </c>
      <c r="E44" s="47" t="s">
        <v>1731</v>
      </c>
      <c r="F44" s="126" t="s">
        <v>1299</v>
      </c>
      <c r="G44" s="167"/>
      <c r="H44" s="167">
        <v>1</v>
      </c>
      <c r="I44" s="167"/>
      <c r="J44" s="479">
        <f>15972+8874</f>
        <v>24846</v>
      </c>
      <c r="K44" s="559" t="s">
        <v>1730</v>
      </c>
      <c r="L44" s="170" t="s">
        <v>1732</v>
      </c>
      <c r="M44" s="40" t="s">
        <v>210</v>
      </c>
      <c r="N44" s="482"/>
      <c r="O44" s="2140"/>
      <c r="P44" s="1640"/>
      <c r="Q44" s="248"/>
      <c r="R44" s="248"/>
      <c r="S44" s="248"/>
      <c r="T44" s="371">
        <v>500000</v>
      </c>
      <c r="U44" s="248"/>
      <c r="V44" s="247"/>
      <c r="W44" s="248"/>
      <c r="X44" s="341">
        <v>400000</v>
      </c>
      <c r="Y44" s="340">
        <f t="shared" si="9"/>
        <v>500000</v>
      </c>
      <c r="Z44" s="344">
        <f t="shared" si="10"/>
        <v>0</v>
      </c>
      <c r="AA44" s="249" t="s">
        <v>1416</v>
      </c>
      <c r="AB44" s="341">
        <v>7100000</v>
      </c>
      <c r="AC44" s="342">
        <f t="shared" si="11"/>
        <v>8600000</v>
      </c>
      <c r="AD44" s="252"/>
      <c r="AE44" s="295"/>
      <c r="AF44" s="156"/>
      <c r="AG44" s="141"/>
    </row>
    <row r="45" spans="1:33" ht="22.5" customHeight="1">
      <c r="A45" s="3701" t="s">
        <v>1721</v>
      </c>
      <c r="B45" s="3718"/>
      <c r="C45" s="3718"/>
      <c r="D45" s="3718"/>
      <c r="E45" s="3718"/>
      <c r="F45" s="3718"/>
      <c r="G45" s="3718"/>
      <c r="H45" s="3718"/>
      <c r="I45" s="3718"/>
      <c r="J45" s="3718"/>
      <c r="K45" s="3718"/>
      <c r="L45" s="3718"/>
      <c r="M45" s="346"/>
      <c r="N45" s="346"/>
      <c r="O45" s="346"/>
      <c r="P45" s="346"/>
      <c r="Q45" s="486"/>
      <c r="R45" s="500"/>
      <c r="S45" s="486"/>
      <c r="T45" s="486"/>
      <c r="U45" s="486"/>
      <c r="V45" s="487"/>
      <c r="W45" s="486"/>
      <c r="X45" s="488">
        <f>SUM(X38:X44)</f>
        <v>2800000</v>
      </c>
      <c r="Y45" s="488">
        <f>SUM(Y38:Y44)</f>
        <v>2021261</v>
      </c>
      <c r="Z45" s="489">
        <f>SUM(Z34:Z42)</f>
        <v>950000</v>
      </c>
      <c r="AA45" s="490"/>
      <c r="AB45" s="488">
        <f>SUM(AB38:AB44)</f>
        <v>40180000</v>
      </c>
      <c r="AC45" s="488">
        <f>SUM(AC38:AC44)</f>
        <v>48439661</v>
      </c>
      <c r="AD45" s="492"/>
      <c r="AE45" s="346"/>
      <c r="AF45" s="346"/>
      <c r="AG45" s="493"/>
    </row>
    <row r="46" spans="1:33">
      <c r="A46" s="326">
        <v>1</v>
      </c>
      <c r="B46" s="152"/>
      <c r="C46" s="635">
        <v>105835954340</v>
      </c>
      <c r="D46" s="46" t="s">
        <v>1774</v>
      </c>
      <c r="E46" s="47" t="s">
        <v>1780</v>
      </c>
      <c r="F46" s="126" t="s">
        <v>1300</v>
      </c>
      <c r="G46" s="167"/>
      <c r="H46" s="167">
        <v>1</v>
      </c>
      <c r="I46" s="167"/>
      <c r="J46" s="154">
        <v>24962</v>
      </c>
      <c r="K46" s="559" t="s">
        <v>1778</v>
      </c>
      <c r="L46" s="170" t="s">
        <v>1779</v>
      </c>
      <c r="M46" s="40" t="s">
        <v>210</v>
      </c>
      <c r="N46" s="482"/>
      <c r="O46" s="2140"/>
      <c r="P46" s="1640"/>
      <c r="Q46" s="248"/>
      <c r="R46" s="324">
        <v>696600</v>
      </c>
      <c r="S46" s="248"/>
      <c r="T46" s="371">
        <v>500000</v>
      </c>
      <c r="U46" s="248"/>
      <c r="V46" s="247"/>
      <c r="W46" s="248"/>
      <c r="X46" s="158"/>
      <c r="Y46" s="340">
        <f t="shared" ref="Y46:Y54" si="12">Q46+T46+U46+W46</f>
        <v>500000</v>
      </c>
      <c r="Z46" s="344">
        <f t="shared" ref="Z46:Z54" si="13">+V46</f>
        <v>0</v>
      </c>
      <c r="AA46" s="249"/>
      <c r="AB46" s="341">
        <v>7150000</v>
      </c>
      <c r="AC46" s="342">
        <f t="shared" ref="AC46:AC54" si="14">((AB46+X46)*1.08)+Y46</f>
        <v>8222000.0000000009</v>
      </c>
      <c r="AD46" s="252"/>
      <c r="AE46" s="295"/>
      <c r="AF46" s="156"/>
      <c r="AG46" s="141"/>
    </row>
    <row r="47" spans="1:33" ht="26.4">
      <c r="A47" s="326">
        <f t="shared" ref="A47:A54" si="15">+A46+1</f>
        <v>2</v>
      </c>
      <c r="B47" s="152"/>
      <c r="C47" s="632" t="s">
        <v>1781</v>
      </c>
      <c r="D47" s="46">
        <v>45231</v>
      </c>
      <c r="E47" s="47" t="s">
        <v>1784</v>
      </c>
      <c r="F47" s="126" t="s">
        <v>210</v>
      </c>
      <c r="G47" s="167"/>
      <c r="H47" s="167">
        <v>1</v>
      </c>
      <c r="I47" s="167"/>
      <c r="J47" s="154">
        <f>19668.51+5348.03</f>
        <v>25016.539999999997</v>
      </c>
      <c r="K47" s="559" t="s">
        <v>1782</v>
      </c>
      <c r="L47" s="170" t="s">
        <v>1783</v>
      </c>
      <c r="M47" s="40" t="s">
        <v>210</v>
      </c>
      <c r="N47" s="482"/>
      <c r="O47" s="2140"/>
      <c r="P47" s="1640"/>
      <c r="Q47" s="248"/>
      <c r="R47" s="248"/>
      <c r="S47" s="248"/>
      <c r="T47" s="371">
        <v>500000</v>
      </c>
      <c r="U47" s="248"/>
      <c r="V47" s="247"/>
      <c r="W47" s="248"/>
      <c r="X47" s="341">
        <v>400000</v>
      </c>
      <c r="Y47" s="340">
        <f t="shared" si="12"/>
        <v>500000</v>
      </c>
      <c r="Z47" s="344">
        <f t="shared" si="13"/>
        <v>0</v>
      </c>
      <c r="AA47" s="249" t="s">
        <v>1416</v>
      </c>
      <c r="AB47" s="341">
        <v>7100000</v>
      </c>
      <c r="AC47" s="342">
        <f t="shared" si="14"/>
        <v>8600000</v>
      </c>
      <c r="AD47" s="252"/>
      <c r="AE47" s="295"/>
      <c r="AF47" s="156"/>
      <c r="AG47" s="141"/>
    </row>
    <row r="48" spans="1:33" ht="26.4">
      <c r="A48" s="326">
        <f t="shared" si="15"/>
        <v>3</v>
      </c>
      <c r="B48" s="152"/>
      <c r="C48" s="639" t="s">
        <v>1791</v>
      </c>
      <c r="D48" s="46" t="s">
        <v>1774</v>
      </c>
      <c r="E48" s="47" t="s">
        <v>1792</v>
      </c>
      <c r="F48" s="126" t="s">
        <v>1300</v>
      </c>
      <c r="G48" s="167"/>
      <c r="H48" s="167">
        <v>1</v>
      </c>
      <c r="I48" s="167"/>
      <c r="J48" s="154">
        <v>24926</v>
      </c>
      <c r="K48" s="559" t="s">
        <v>1789</v>
      </c>
      <c r="L48" s="170" t="s">
        <v>1790</v>
      </c>
      <c r="M48" s="532" t="s">
        <v>418</v>
      </c>
      <c r="N48" s="482"/>
      <c r="O48" s="2140"/>
      <c r="P48" s="1640"/>
      <c r="Q48" s="324">
        <v>453600</v>
      </c>
      <c r="R48" s="324">
        <v>696600</v>
      </c>
      <c r="S48" s="248"/>
      <c r="T48" s="371">
        <v>500000</v>
      </c>
      <c r="U48" s="248"/>
      <c r="V48" s="247"/>
      <c r="W48" s="324">
        <v>880000</v>
      </c>
      <c r="X48" s="341">
        <v>400000</v>
      </c>
      <c r="Y48" s="340">
        <f t="shared" si="12"/>
        <v>1833600</v>
      </c>
      <c r="Z48" s="344">
        <f t="shared" si="13"/>
        <v>0</v>
      </c>
      <c r="AA48" s="249"/>
      <c r="AB48" s="341">
        <v>7150000</v>
      </c>
      <c r="AC48" s="342">
        <f t="shared" si="14"/>
        <v>9987600</v>
      </c>
      <c r="AD48" s="252"/>
      <c r="AE48" s="295"/>
      <c r="AF48" s="156"/>
      <c r="AG48" s="141"/>
    </row>
    <row r="49" spans="1:33" ht="26.4">
      <c r="A49" s="326">
        <f t="shared" si="15"/>
        <v>4</v>
      </c>
      <c r="B49" s="152"/>
      <c r="C49" s="632" t="s">
        <v>1802</v>
      </c>
      <c r="D49" s="46">
        <v>45237</v>
      </c>
      <c r="E49" s="47" t="s">
        <v>1804</v>
      </c>
      <c r="F49" s="126" t="s">
        <v>210</v>
      </c>
      <c r="G49" s="167">
        <v>1</v>
      </c>
      <c r="H49" s="167"/>
      <c r="I49" s="167"/>
      <c r="J49" s="154">
        <f>12380.48+2284.02</f>
        <v>14664.5</v>
      </c>
      <c r="K49" s="559" t="s">
        <v>1803</v>
      </c>
      <c r="L49" s="170" t="s">
        <v>1805</v>
      </c>
      <c r="M49" s="40" t="s">
        <v>210</v>
      </c>
      <c r="N49" s="482"/>
      <c r="O49" s="2140"/>
      <c r="P49" s="1640"/>
      <c r="Q49" s="248"/>
      <c r="R49" s="248"/>
      <c r="S49" s="248"/>
      <c r="T49" s="371">
        <v>250000</v>
      </c>
      <c r="U49" s="248"/>
      <c r="V49" s="247"/>
      <c r="W49" s="248"/>
      <c r="X49" s="341">
        <v>400000</v>
      </c>
      <c r="Y49" s="340">
        <f t="shared" si="12"/>
        <v>250000</v>
      </c>
      <c r="Z49" s="344">
        <f t="shared" si="13"/>
        <v>0</v>
      </c>
      <c r="AA49" s="249"/>
      <c r="AB49" s="341">
        <v>6180000</v>
      </c>
      <c r="AC49" s="342">
        <f t="shared" si="14"/>
        <v>7356400.0000000009</v>
      </c>
      <c r="AD49" s="252"/>
      <c r="AE49" s="295"/>
      <c r="AF49" s="156"/>
      <c r="AG49" s="141"/>
    </row>
    <row r="50" spans="1:33" ht="26.4">
      <c r="A50" s="326">
        <f t="shared" si="15"/>
        <v>5</v>
      </c>
      <c r="B50" s="152"/>
      <c r="C50" s="636" t="s">
        <v>1835</v>
      </c>
      <c r="D50" s="46" t="s">
        <v>1812</v>
      </c>
      <c r="E50" s="47" t="s">
        <v>1836</v>
      </c>
      <c r="F50" s="126" t="s">
        <v>1300</v>
      </c>
      <c r="G50" s="167"/>
      <c r="H50" s="167"/>
      <c r="I50" s="167">
        <v>1</v>
      </c>
      <c r="J50" s="154">
        <v>1773.5</v>
      </c>
      <c r="K50" s="559" t="s">
        <v>1816</v>
      </c>
      <c r="L50" s="170"/>
      <c r="M50" s="40" t="s">
        <v>210</v>
      </c>
      <c r="N50" s="482"/>
      <c r="O50" s="2140"/>
      <c r="P50" s="1640"/>
      <c r="Q50" s="324">
        <v>26863</v>
      </c>
      <c r="R50" s="248"/>
      <c r="S50" s="248"/>
      <c r="T50" s="371">
        <v>26603</v>
      </c>
      <c r="U50" s="248"/>
      <c r="V50" s="247"/>
      <c r="W50" s="248"/>
      <c r="X50" s="341">
        <v>400000</v>
      </c>
      <c r="Y50" s="340">
        <f t="shared" si="12"/>
        <v>53466</v>
      </c>
      <c r="Z50" s="344">
        <f t="shared" si="13"/>
        <v>0</v>
      </c>
      <c r="AA50" s="249"/>
      <c r="AB50" s="341">
        <v>3250000</v>
      </c>
      <c r="AC50" s="342">
        <f t="shared" si="14"/>
        <v>3995466.0000000005</v>
      </c>
      <c r="AD50" s="252"/>
      <c r="AE50" s="295"/>
      <c r="AF50" s="156"/>
      <c r="AG50" s="141"/>
    </row>
    <row r="51" spans="1:33" ht="26.4">
      <c r="A51" s="326">
        <f t="shared" si="15"/>
        <v>6</v>
      </c>
      <c r="B51" s="152"/>
      <c r="C51" s="632" t="s">
        <v>1832</v>
      </c>
      <c r="D51" s="46" t="s">
        <v>1827</v>
      </c>
      <c r="E51" s="47" t="s">
        <v>1834</v>
      </c>
      <c r="F51" s="126" t="s">
        <v>210</v>
      </c>
      <c r="G51" s="167">
        <v>1</v>
      </c>
      <c r="H51" s="167"/>
      <c r="I51" s="167"/>
      <c r="J51" s="154">
        <f>8639.96+5219.47</f>
        <v>13859.43</v>
      </c>
      <c r="K51" s="559" t="s">
        <v>1831</v>
      </c>
      <c r="L51" s="170" t="s">
        <v>1833</v>
      </c>
      <c r="M51" s="40" t="s">
        <v>210</v>
      </c>
      <c r="N51" s="482"/>
      <c r="O51" s="2140"/>
      <c r="P51" s="1640"/>
      <c r="Q51" s="248"/>
      <c r="R51" s="248"/>
      <c r="S51" s="248"/>
      <c r="T51" s="371">
        <v>250000</v>
      </c>
      <c r="U51" s="248"/>
      <c r="V51" s="247"/>
      <c r="W51" s="248"/>
      <c r="X51" s="341">
        <v>400000</v>
      </c>
      <c r="Y51" s="340">
        <f t="shared" si="12"/>
        <v>250000</v>
      </c>
      <c r="Z51" s="344">
        <f t="shared" si="13"/>
        <v>0</v>
      </c>
      <c r="AA51" s="249"/>
      <c r="AB51" s="341">
        <v>6180000</v>
      </c>
      <c r="AC51" s="342">
        <f t="shared" si="14"/>
        <v>7356400.0000000009</v>
      </c>
      <c r="AD51" s="252"/>
      <c r="AE51" s="295"/>
      <c r="AF51" s="156"/>
      <c r="AG51" s="141"/>
    </row>
    <row r="52" spans="1:33">
      <c r="A52" s="326">
        <f t="shared" si="15"/>
        <v>7</v>
      </c>
      <c r="B52" s="152"/>
      <c r="C52" s="635">
        <v>105878782110</v>
      </c>
      <c r="D52" s="46" t="s">
        <v>1837</v>
      </c>
      <c r="E52" s="47" t="s">
        <v>1855</v>
      </c>
      <c r="F52" s="126" t="s">
        <v>1300</v>
      </c>
      <c r="G52" s="167">
        <v>1</v>
      </c>
      <c r="H52" s="167"/>
      <c r="I52" s="167"/>
      <c r="J52" s="154">
        <v>20314</v>
      </c>
      <c r="K52" s="559" t="s">
        <v>1838</v>
      </c>
      <c r="L52" s="170" t="s">
        <v>1839</v>
      </c>
      <c r="M52" s="40" t="s">
        <v>210</v>
      </c>
      <c r="N52" s="482"/>
      <c r="O52" s="2140"/>
      <c r="P52" s="1640"/>
      <c r="Q52" s="324">
        <v>167400</v>
      </c>
      <c r="R52" s="324">
        <v>394200</v>
      </c>
      <c r="S52" s="248"/>
      <c r="T52" s="371">
        <v>250000</v>
      </c>
      <c r="U52" s="248"/>
      <c r="V52" s="247"/>
      <c r="W52" s="248"/>
      <c r="X52" s="158"/>
      <c r="Y52" s="340">
        <f t="shared" si="12"/>
        <v>417400</v>
      </c>
      <c r="Z52" s="344">
        <f t="shared" si="13"/>
        <v>0</v>
      </c>
      <c r="AA52" s="249"/>
      <c r="AB52" s="341">
        <v>6730000</v>
      </c>
      <c r="AC52" s="342">
        <f t="shared" si="14"/>
        <v>7685800.0000000009</v>
      </c>
      <c r="AD52" s="252"/>
      <c r="AE52" s="295"/>
      <c r="AF52" s="156"/>
      <c r="AG52" s="141"/>
    </row>
    <row r="53" spans="1:33" ht="26.4">
      <c r="A53" s="326">
        <f t="shared" si="15"/>
        <v>8</v>
      </c>
      <c r="B53" s="152"/>
      <c r="C53" s="632" t="s">
        <v>1856</v>
      </c>
      <c r="D53" s="46" t="s">
        <v>1847</v>
      </c>
      <c r="E53" s="47" t="s">
        <v>1858</v>
      </c>
      <c r="F53" s="126" t="s">
        <v>210</v>
      </c>
      <c r="G53" s="167"/>
      <c r="H53" s="167"/>
      <c r="I53" s="167">
        <v>1</v>
      </c>
      <c r="J53" s="154">
        <f>1734.45+44.55</f>
        <v>1779</v>
      </c>
      <c r="K53" s="559" t="s">
        <v>1857</v>
      </c>
      <c r="L53" s="170"/>
      <c r="M53" s="40" t="s">
        <v>210</v>
      </c>
      <c r="N53" s="482"/>
      <c r="O53" s="2140"/>
      <c r="P53" s="1640"/>
      <c r="Q53" s="248"/>
      <c r="R53" s="248"/>
      <c r="S53" s="248"/>
      <c r="T53" s="371">
        <v>669</v>
      </c>
      <c r="U53" s="248"/>
      <c r="V53" s="247"/>
      <c r="W53" s="248"/>
      <c r="X53" s="341">
        <v>400000</v>
      </c>
      <c r="Y53" s="340">
        <f t="shared" si="12"/>
        <v>669</v>
      </c>
      <c r="Z53" s="344">
        <f t="shared" si="13"/>
        <v>0</v>
      </c>
      <c r="AA53" s="249"/>
      <c r="AB53" s="341">
        <v>3250000</v>
      </c>
      <c r="AC53" s="342">
        <f t="shared" si="14"/>
        <v>3942669.0000000005</v>
      </c>
      <c r="AD53" s="252"/>
      <c r="AE53" s="295"/>
      <c r="AF53" s="156"/>
      <c r="AG53" s="141"/>
    </row>
    <row r="54" spans="1:33" ht="26.4">
      <c r="A54" s="326">
        <f t="shared" si="15"/>
        <v>9</v>
      </c>
      <c r="B54" s="152"/>
      <c r="C54" s="632" t="s">
        <v>1862</v>
      </c>
      <c r="D54" s="46" t="s">
        <v>1861</v>
      </c>
      <c r="E54" s="47" t="s">
        <v>1865</v>
      </c>
      <c r="F54" s="126" t="s">
        <v>210</v>
      </c>
      <c r="G54" s="167"/>
      <c r="H54" s="167">
        <v>1</v>
      </c>
      <c r="I54" s="167"/>
      <c r="J54" s="154">
        <f>17257.5+7564.57</f>
        <v>24822.07</v>
      </c>
      <c r="K54" s="559" t="s">
        <v>1863</v>
      </c>
      <c r="L54" s="170" t="s">
        <v>1864</v>
      </c>
      <c r="M54" s="40" t="s">
        <v>210</v>
      </c>
      <c r="N54" s="482"/>
      <c r="O54" s="2140"/>
      <c r="P54" s="1640"/>
      <c r="Q54" s="248"/>
      <c r="R54" s="248"/>
      <c r="S54" s="248"/>
      <c r="T54" s="371">
        <v>500000</v>
      </c>
      <c r="U54" s="248"/>
      <c r="V54" s="247"/>
      <c r="W54" s="248"/>
      <c r="X54" s="341">
        <v>400000</v>
      </c>
      <c r="Y54" s="340">
        <f t="shared" si="12"/>
        <v>500000</v>
      </c>
      <c r="Z54" s="344">
        <f t="shared" si="13"/>
        <v>0</v>
      </c>
      <c r="AA54" s="249" t="s">
        <v>1416</v>
      </c>
      <c r="AB54" s="341">
        <v>7100000</v>
      </c>
      <c r="AC54" s="342">
        <f t="shared" si="14"/>
        <v>8600000</v>
      </c>
      <c r="AD54" s="252"/>
      <c r="AE54" s="295"/>
      <c r="AF54" s="156"/>
      <c r="AG54" s="141"/>
    </row>
    <row r="55" spans="1:33" ht="22.5" customHeight="1">
      <c r="A55" s="3701" t="s">
        <v>1869</v>
      </c>
      <c r="B55" s="3718"/>
      <c r="C55" s="3718"/>
      <c r="D55" s="3718"/>
      <c r="E55" s="3718"/>
      <c r="F55" s="3718"/>
      <c r="G55" s="3718"/>
      <c r="H55" s="3718"/>
      <c r="I55" s="3718"/>
      <c r="J55" s="3718"/>
      <c r="K55" s="3718"/>
      <c r="L55" s="3718"/>
      <c r="M55" s="346"/>
      <c r="N55" s="346"/>
      <c r="O55" s="346"/>
      <c r="P55" s="346"/>
      <c r="Q55" s="486"/>
      <c r="R55" s="500"/>
      <c r="S55" s="486"/>
      <c r="T55" s="486"/>
      <c r="U55" s="486"/>
      <c r="V55" s="487"/>
      <c r="W55" s="486"/>
      <c r="X55" s="488">
        <f>SUM(X48:X54)</f>
        <v>2400000</v>
      </c>
      <c r="Y55" s="488">
        <f>SUM(Y48:Y54)</f>
        <v>3305135</v>
      </c>
      <c r="Z55" s="489">
        <f>SUM(Z44:Z52)</f>
        <v>950000</v>
      </c>
      <c r="AA55" s="490"/>
      <c r="AB55" s="488">
        <f>SUM(AB48:AB54)</f>
        <v>39840000</v>
      </c>
      <c r="AC55" s="488">
        <f>SUM(AC48:AC54)</f>
        <v>48924335</v>
      </c>
      <c r="AD55" s="492"/>
      <c r="AE55" s="346"/>
      <c r="AF55" s="346"/>
      <c r="AG55" s="493"/>
    </row>
    <row r="56" spans="1:33">
      <c r="A56" s="326">
        <v>1</v>
      </c>
      <c r="B56" s="152"/>
      <c r="C56" s="635">
        <v>105915764950</v>
      </c>
      <c r="D56" s="46" t="s">
        <v>1880</v>
      </c>
      <c r="E56" s="47" t="s">
        <v>1915</v>
      </c>
      <c r="F56" s="126" t="s">
        <v>1300</v>
      </c>
      <c r="G56" s="167"/>
      <c r="H56" s="167">
        <v>1</v>
      </c>
      <c r="I56" s="167"/>
      <c r="J56" s="154">
        <v>24787</v>
      </c>
      <c r="K56" s="559" t="s">
        <v>1914</v>
      </c>
      <c r="L56" s="170" t="s">
        <v>1916</v>
      </c>
      <c r="M56" s="40" t="s">
        <v>210</v>
      </c>
      <c r="N56" s="482"/>
      <c r="O56" s="2140"/>
      <c r="P56" s="1640"/>
      <c r="Q56" s="324">
        <v>453600</v>
      </c>
      <c r="R56" s="324">
        <v>696600</v>
      </c>
      <c r="S56" s="248"/>
      <c r="T56" s="371">
        <v>500000</v>
      </c>
      <c r="U56" s="248"/>
      <c r="V56" s="247"/>
      <c r="W56" s="324">
        <v>386842</v>
      </c>
      <c r="X56" s="158"/>
      <c r="Y56" s="340">
        <f t="shared" ref="Y56:Y67" si="16">Q56+T56+U56+W56</f>
        <v>1340442</v>
      </c>
      <c r="Z56" s="344">
        <f t="shared" ref="Z56:Z67" si="17">+V56</f>
        <v>0</v>
      </c>
      <c r="AA56" s="249"/>
      <c r="AB56" s="341">
        <v>7150000</v>
      </c>
      <c r="AC56" s="342">
        <f t="shared" ref="AC56:AC67" si="18">((AB56+X56)*1.08)+Y56</f>
        <v>9062442</v>
      </c>
      <c r="AD56" s="252"/>
      <c r="AE56" s="295"/>
      <c r="AF56" s="156"/>
    </row>
    <row r="57" spans="1:33" ht="26.4">
      <c r="A57" s="326">
        <f t="shared" ref="A57:A67" si="19">+A56+1</f>
        <v>2</v>
      </c>
      <c r="B57" s="152"/>
      <c r="C57" s="632" t="s">
        <v>1934</v>
      </c>
      <c r="D57" s="46" t="s">
        <v>1932</v>
      </c>
      <c r="E57" s="47" t="s">
        <v>1936</v>
      </c>
      <c r="F57" s="126" t="s">
        <v>210</v>
      </c>
      <c r="G57" s="167">
        <v>1</v>
      </c>
      <c r="H57" s="167"/>
      <c r="I57" s="167"/>
      <c r="J57" s="154">
        <f>3820.93+11068.93</f>
        <v>14889.86</v>
      </c>
      <c r="K57" s="559" t="s">
        <v>1933</v>
      </c>
      <c r="L57" s="170" t="s">
        <v>1935</v>
      </c>
      <c r="M57" s="40" t="s">
        <v>210</v>
      </c>
      <c r="N57" s="482"/>
      <c r="O57" s="2140"/>
      <c r="P57" s="1640"/>
      <c r="Q57" s="248"/>
      <c r="R57" s="248"/>
      <c r="S57" s="248"/>
      <c r="T57" s="371">
        <v>250000</v>
      </c>
      <c r="U57" s="248"/>
      <c r="V57" s="247"/>
      <c r="W57" s="248"/>
      <c r="X57" s="341">
        <v>400000</v>
      </c>
      <c r="Y57" s="340">
        <f t="shared" si="16"/>
        <v>250000</v>
      </c>
      <c r="Z57" s="344">
        <f t="shared" si="17"/>
        <v>0</v>
      </c>
      <c r="AA57" s="249" t="s">
        <v>1416</v>
      </c>
      <c r="AB57" s="341">
        <v>6180000</v>
      </c>
      <c r="AC57" s="342">
        <f t="shared" si="18"/>
        <v>7356400.0000000009</v>
      </c>
      <c r="AD57" s="252"/>
      <c r="AE57" s="295"/>
      <c r="AF57" s="156"/>
    </row>
    <row r="58" spans="1:33">
      <c r="A58" s="326">
        <f t="shared" si="19"/>
        <v>3</v>
      </c>
      <c r="B58" s="152"/>
      <c r="C58" s="635">
        <v>105942306300</v>
      </c>
      <c r="D58" s="46">
        <v>45267</v>
      </c>
      <c r="E58" s="47" t="s">
        <v>1940</v>
      </c>
      <c r="F58" s="126" t="s">
        <v>1300</v>
      </c>
      <c r="G58" s="167"/>
      <c r="H58" s="167">
        <v>1</v>
      </c>
      <c r="I58" s="167"/>
      <c r="J58" s="154">
        <v>24998</v>
      </c>
      <c r="K58" s="559" t="s">
        <v>1939</v>
      </c>
      <c r="L58" s="170" t="s">
        <v>1941</v>
      </c>
      <c r="M58" s="40" t="s">
        <v>210</v>
      </c>
      <c r="N58" s="482"/>
      <c r="O58" s="2140"/>
      <c r="P58" s="1640"/>
      <c r="Q58" s="248"/>
      <c r="R58" s="324">
        <v>696600</v>
      </c>
      <c r="S58" s="248"/>
      <c r="T58" s="371">
        <v>500000</v>
      </c>
      <c r="U58" s="248"/>
      <c r="V58" s="247"/>
      <c r="W58" s="248"/>
      <c r="X58" s="158"/>
      <c r="Y58" s="340">
        <f t="shared" si="16"/>
        <v>500000</v>
      </c>
      <c r="Z58" s="344">
        <f t="shared" si="17"/>
        <v>0</v>
      </c>
      <c r="AA58" s="249"/>
      <c r="AB58" s="341">
        <v>7150000</v>
      </c>
      <c r="AC58" s="342">
        <f t="shared" si="18"/>
        <v>8222000.0000000009</v>
      </c>
      <c r="AD58" s="252"/>
      <c r="AE58" s="295"/>
      <c r="AF58" s="156"/>
    </row>
    <row r="59" spans="1:33" ht="26.4">
      <c r="A59" s="326">
        <f t="shared" si="19"/>
        <v>4</v>
      </c>
      <c r="B59" s="152"/>
      <c r="C59" s="632" t="s">
        <v>1942</v>
      </c>
      <c r="D59" s="46">
        <v>45266</v>
      </c>
      <c r="E59" s="47" t="s">
        <v>1944</v>
      </c>
      <c r="F59" s="126" t="s">
        <v>210</v>
      </c>
      <c r="G59" s="167"/>
      <c r="H59" s="167">
        <v>1</v>
      </c>
      <c r="I59" s="167"/>
      <c r="J59" s="154">
        <v>25109.500000000004</v>
      </c>
      <c r="K59" s="559" t="s">
        <v>1945</v>
      </c>
      <c r="L59" s="170" t="s">
        <v>1943</v>
      </c>
      <c r="M59" s="40" t="s">
        <v>210</v>
      </c>
      <c r="N59" s="482"/>
      <c r="O59" s="2140"/>
      <c r="P59" s="1640"/>
      <c r="Q59" s="248"/>
      <c r="R59" s="248"/>
      <c r="S59" s="248"/>
      <c r="T59" s="371">
        <v>500000</v>
      </c>
      <c r="U59" s="248"/>
      <c r="V59" s="247"/>
      <c r="W59" s="248"/>
      <c r="X59" s="341">
        <v>400000</v>
      </c>
      <c r="Y59" s="340">
        <f t="shared" si="16"/>
        <v>500000</v>
      </c>
      <c r="Z59" s="344">
        <f t="shared" si="17"/>
        <v>0</v>
      </c>
      <c r="AA59" s="249"/>
      <c r="AB59" s="341">
        <v>7100000</v>
      </c>
      <c r="AC59" s="342">
        <f t="shared" si="18"/>
        <v>8600000</v>
      </c>
      <c r="AD59" s="252"/>
      <c r="AE59" s="295"/>
      <c r="AF59" s="156"/>
    </row>
    <row r="60" spans="1:33" ht="26.4">
      <c r="A60" s="326">
        <f t="shared" si="19"/>
        <v>5</v>
      </c>
      <c r="B60" s="152"/>
      <c r="C60" s="636" t="s">
        <v>1946</v>
      </c>
      <c r="D60" s="46">
        <v>45267</v>
      </c>
      <c r="E60" s="47" t="s">
        <v>1947</v>
      </c>
      <c r="F60" s="126" t="s">
        <v>1300</v>
      </c>
      <c r="G60" s="167"/>
      <c r="H60" s="167">
        <v>1</v>
      </c>
      <c r="I60" s="167"/>
      <c r="J60" s="154">
        <v>24881.5</v>
      </c>
      <c r="K60" s="559" t="s">
        <v>1948</v>
      </c>
      <c r="L60" s="170" t="s">
        <v>1949</v>
      </c>
      <c r="M60" s="40" t="s">
        <v>210</v>
      </c>
      <c r="N60" s="482"/>
      <c r="O60" s="2140"/>
      <c r="P60" s="1640"/>
      <c r="Q60" s="324">
        <v>302400</v>
      </c>
      <c r="R60" s="324">
        <v>696600</v>
      </c>
      <c r="S60" s="248"/>
      <c r="T60" s="371">
        <v>500000</v>
      </c>
      <c r="U60" s="248"/>
      <c r="V60" s="247"/>
      <c r="W60" s="248"/>
      <c r="X60" s="341">
        <v>400000</v>
      </c>
      <c r="Y60" s="340">
        <f t="shared" si="16"/>
        <v>802400</v>
      </c>
      <c r="Z60" s="344">
        <f t="shared" si="17"/>
        <v>0</v>
      </c>
      <c r="AA60" s="249"/>
      <c r="AB60" s="341">
        <v>7150000</v>
      </c>
      <c r="AC60" s="342">
        <f t="shared" si="18"/>
        <v>8956400</v>
      </c>
      <c r="AD60" s="252"/>
      <c r="AE60" s="295"/>
      <c r="AF60" s="156"/>
    </row>
    <row r="61" spans="1:33">
      <c r="A61" s="326">
        <f t="shared" si="19"/>
        <v>6</v>
      </c>
      <c r="B61" s="152"/>
      <c r="C61" s="635">
        <v>105955596940</v>
      </c>
      <c r="D61" s="46" t="s">
        <v>1960</v>
      </c>
      <c r="E61" s="47" t="s">
        <v>1961</v>
      </c>
      <c r="F61" s="126" t="s">
        <v>1300</v>
      </c>
      <c r="G61" s="167">
        <v>1</v>
      </c>
      <c r="H61" s="167"/>
      <c r="I61" s="167"/>
      <c r="J61" s="154">
        <v>21323</v>
      </c>
      <c r="K61" s="559" t="s">
        <v>1959</v>
      </c>
      <c r="L61" s="170" t="s">
        <v>1962</v>
      </c>
      <c r="M61" s="40" t="s">
        <v>210</v>
      </c>
      <c r="N61" s="482"/>
      <c r="O61" s="2140"/>
      <c r="P61" s="1640"/>
      <c r="Q61" s="324">
        <v>167400</v>
      </c>
      <c r="R61" s="324">
        <v>394200</v>
      </c>
      <c r="S61" s="248"/>
      <c r="T61" s="371">
        <v>250000</v>
      </c>
      <c r="U61" s="248"/>
      <c r="V61" s="247"/>
      <c r="W61" s="248"/>
      <c r="X61" s="158"/>
      <c r="Y61" s="340">
        <f t="shared" si="16"/>
        <v>417400</v>
      </c>
      <c r="Z61" s="344">
        <f t="shared" si="17"/>
        <v>0</v>
      </c>
      <c r="AA61" s="249"/>
      <c r="AB61" s="341">
        <v>6730000</v>
      </c>
      <c r="AC61" s="342">
        <f t="shared" si="18"/>
        <v>7685800.0000000009</v>
      </c>
      <c r="AD61" s="252"/>
      <c r="AE61" s="295"/>
      <c r="AF61" s="156"/>
    </row>
    <row r="62" spans="1:33" ht="26.4">
      <c r="A62" s="326">
        <f t="shared" si="19"/>
        <v>7</v>
      </c>
      <c r="B62" s="152"/>
      <c r="C62" s="632" t="s">
        <v>1963</v>
      </c>
      <c r="D62" s="46" t="s">
        <v>1960</v>
      </c>
      <c r="E62" s="47" t="s">
        <v>1965</v>
      </c>
      <c r="F62" s="126" t="s">
        <v>748</v>
      </c>
      <c r="G62" s="167">
        <v>1</v>
      </c>
      <c r="H62" s="167"/>
      <c r="I62" s="167"/>
      <c r="J62" s="565" t="s">
        <v>1967</v>
      </c>
      <c r="K62" s="559" t="s">
        <v>1964</v>
      </c>
      <c r="L62" s="170" t="s">
        <v>1966</v>
      </c>
      <c r="M62" s="40" t="s">
        <v>210</v>
      </c>
      <c r="N62" s="482"/>
      <c r="O62" s="2140"/>
      <c r="P62" s="1640"/>
      <c r="Q62" s="248"/>
      <c r="R62" s="248"/>
      <c r="S62" s="248"/>
      <c r="T62" s="371">
        <v>250000</v>
      </c>
      <c r="U62" s="248"/>
      <c r="V62" s="247"/>
      <c r="W62" s="248"/>
      <c r="X62" s="341">
        <v>400000</v>
      </c>
      <c r="Y62" s="340">
        <f t="shared" si="16"/>
        <v>250000</v>
      </c>
      <c r="Z62" s="344">
        <f t="shared" si="17"/>
        <v>0</v>
      </c>
      <c r="AA62" s="249"/>
      <c r="AB62" s="341">
        <v>6180000</v>
      </c>
      <c r="AC62" s="342">
        <f t="shared" si="18"/>
        <v>7356400.0000000009</v>
      </c>
      <c r="AD62" s="252"/>
      <c r="AE62" s="295"/>
      <c r="AF62" s="156"/>
    </row>
    <row r="63" spans="1:33">
      <c r="A63" s="326">
        <f t="shared" si="19"/>
        <v>8</v>
      </c>
      <c r="B63" s="152"/>
      <c r="C63" s="632">
        <v>306063563540</v>
      </c>
      <c r="D63" s="46" t="s">
        <v>1960</v>
      </c>
      <c r="E63" s="47" t="s">
        <v>1969</v>
      </c>
      <c r="F63" s="126" t="s">
        <v>210</v>
      </c>
      <c r="G63" s="167">
        <v>1</v>
      </c>
      <c r="H63" s="167"/>
      <c r="I63" s="167"/>
      <c r="J63" s="154">
        <v>8743</v>
      </c>
      <c r="K63" s="559" t="s">
        <v>1968</v>
      </c>
      <c r="L63" s="170" t="s">
        <v>1970</v>
      </c>
      <c r="M63" s="532" t="s">
        <v>418</v>
      </c>
      <c r="N63" s="482"/>
      <c r="O63" s="2140"/>
      <c r="P63" s="1640"/>
      <c r="Q63" s="248"/>
      <c r="R63" s="248"/>
      <c r="S63" s="248"/>
      <c r="T63" s="371">
        <v>250000</v>
      </c>
      <c r="U63" s="248"/>
      <c r="V63" s="247"/>
      <c r="W63" s="248"/>
      <c r="X63" s="158"/>
      <c r="Y63" s="340">
        <f t="shared" si="16"/>
        <v>250000</v>
      </c>
      <c r="Z63" s="344">
        <f t="shared" si="17"/>
        <v>0</v>
      </c>
      <c r="AA63" s="249"/>
      <c r="AB63" s="341">
        <v>6180000</v>
      </c>
      <c r="AC63" s="342">
        <f t="shared" si="18"/>
        <v>6924400</v>
      </c>
      <c r="AD63" s="252"/>
      <c r="AE63" s="295"/>
      <c r="AF63" s="156"/>
    </row>
    <row r="64" spans="1:33" ht="26.4">
      <c r="A64" s="326">
        <f t="shared" si="19"/>
        <v>9</v>
      </c>
      <c r="B64" s="152"/>
      <c r="C64" s="632" t="s">
        <v>1982</v>
      </c>
      <c r="D64" s="46" t="s">
        <v>1983</v>
      </c>
      <c r="E64" s="47" t="s">
        <v>1985</v>
      </c>
      <c r="F64" s="126" t="s">
        <v>210</v>
      </c>
      <c r="G64" s="167"/>
      <c r="H64" s="167"/>
      <c r="I64" s="167">
        <v>1</v>
      </c>
      <c r="J64" s="154">
        <v>2486.5</v>
      </c>
      <c r="K64" s="1672" t="s">
        <v>1984</v>
      </c>
      <c r="L64" s="170"/>
      <c r="M64" s="40" t="s">
        <v>210</v>
      </c>
      <c r="N64" s="482"/>
      <c r="O64" s="2140"/>
      <c r="P64" s="1640"/>
      <c r="Q64" s="248"/>
      <c r="R64" s="248"/>
      <c r="S64" s="248"/>
      <c r="T64" s="371">
        <v>446</v>
      </c>
      <c r="U64" s="248"/>
      <c r="V64" s="247"/>
      <c r="W64" s="248"/>
      <c r="X64" s="341">
        <v>400000</v>
      </c>
      <c r="Y64" s="340">
        <f t="shared" si="16"/>
        <v>446</v>
      </c>
      <c r="Z64" s="344">
        <f t="shared" si="17"/>
        <v>0</v>
      </c>
      <c r="AA64" s="249"/>
      <c r="AB64" s="341">
        <v>3250000</v>
      </c>
      <c r="AC64" s="342">
        <f t="shared" si="18"/>
        <v>3942446.0000000005</v>
      </c>
      <c r="AD64" s="252"/>
      <c r="AE64" s="295"/>
      <c r="AF64" s="156"/>
    </row>
    <row r="65" spans="1:33">
      <c r="A65" s="326">
        <f t="shared" si="19"/>
        <v>10</v>
      </c>
      <c r="B65" s="152"/>
      <c r="C65" s="632">
        <v>306075127430</v>
      </c>
      <c r="D65" s="46" t="s">
        <v>1983</v>
      </c>
      <c r="E65" s="47" t="s">
        <v>1987</v>
      </c>
      <c r="F65" s="126" t="s">
        <v>210</v>
      </c>
      <c r="G65" s="167"/>
      <c r="H65" s="167"/>
      <c r="I65" s="167">
        <v>1</v>
      </c>
      <c r="J65" s="154">
        <v>2061</v>
      </c>
      <c r="K65" s="1672" t="s">
        <v>1986</v>
      </c>
      <c r="L65" s="170"/>
      <c r="M65" s="40" t="s">
        <v>210</v>
      </c>
      <c r="N65" s="482"/>
      <c r="O65" s="2140"/>
      <c r="P65" s="1640"/>
      <c r="Q65" s="248"/>
      <c r="R65" s="248"/>
      <c r="S65" s="248"/>
      <c r="T65" s="371">
        <v>30915</v>
      </c>
      <c r="U65" s="248"/>
      <c r="V65" s="247"/>
      <c r="W65" s="248"/>
      <c r="X65" s="158"/>
      <c r="Y65" s="340">
        <f t="shared" si="16"/>
        <v>30915</v>
      </c>
      <c r="Z65" s="344">
        <f t="shared" si="17"/>
        <v>0</v>
      </c>
      <c r="AA65" s="249"/>
      <c r="AB65" s="341">
        <v>3250000</v>
      </c>
      <c r="AC65" s="342">
        <f t="shared" si="18"/>
        <v>3540915</v>
      </c>
      <c r="AD65" s="252"/>
      <c r="AE65" s="295"/>
      <c r="AF65" s="156"/>
    </row>
    <row r="66" spans="1:33" ht="26.4">
      <c r="A66" s="326">
        <f t="shared" si="19"/>
        <v>11</v>
      </c>
      <c r="B66" s="152"/>
      <c r="C66" s="632" t="s">
        <v>1994</v>
      </c>
      <c r="D66" s="46" t="s">
        <v>1995</v>
      </c>
      <c r="E66" s="47" t="s">
        <v>1998</v>
      </c>
      <c r="F66" s="126" t="s">
        <v>210</v>
      </c>
      <c r="G66" s="167"/>
      <c r="H66" s="167">
        <v>1</v>
      </c>
      <c r="I66" s="167"/>
      <c r="J66" s="154">
        <f>16553.77+7880.32</f>
        <v>24434.09</v>
      </c>
      <c r="K66" s="559" t="s">
        <v>1996</v>
      </c>
      <c r="L66" s="170" t="s">
        <v>1997</v>
      </c>
      <c r="M66" s="566" t="s">
        <v>210</v>
      </c>
      <c r="N66" s="482"/>
      <c r="O66" s="2140"/>
      <c r="P66" s="1640"/>
      <c r="Q66" s="248"/>
      <c r="R66" s="248"/>
      <c r="S66" s="248"/>
      <c r="T66" s="371">
        <v>500000</v>
      </c>
      <c r="U66" s="248"/>
      <c r="V66" s="247"/>
      <c r="W66" s="248"/>
      <c r="X66" s="341">
        <v>400000</v>
      </c>
      <c r="Y66" s="340">
        <f t="shared" si="16"/>
        <v>500000</v>
      </c>
      <c r="Z66" s="344">
        <f t="shared" si="17"/>
        <v>0</v>
      </c>
      <c r="AA66" s="249" t="s">
        <v>1416</v>
      </c>
      <c r="AB66" s="341">
        <v>7100000</v>
      </c>
      <c r="AC66" s="342">
        <f t="shared" si="18"/>
        <v>8600000</v>
      </c>
      <c r="AD66" s="252"/>
      <c r="AE66" s="295"/>
      <c r="AF66" s="156"/>
    </row>
    <row r="67" spans="1:33">
      <c r="A67" s="326">
        <f t="shared" si="19"/>
        <v>12</v>
      </c>
      <c r="B67" s="152"/>
      <c r="C67" s="635">
        <v>105967996040</v>
      </c>
      <c r="D67" s="46" t="s">
        <v>1995</v>
      </c>
      <c r="E67" s="47" t="s">
        <v>2001</v>
      </c>
      <c r="F67" s="126" t="s">
        <v>1300</v>
      </c>
      <c r="G67" s="167"/>
      <c r="H67" s="167">
        <v>1</v>
      </c>
      <c r="I67" s="167"/>
      <c r="J67" s="154">
        <v>13404</v>
      </c>
      <c r="K67" s="559" t="s">
        <v>1999</v>
      </c>
      <c r="L67" s="170" t="s">
        <v>2000</v>
      </c>
      <c r="M67" s="533" t="s">
        <v>136</v>
      </c>
      <c r="N67" s="482"/>
      <c r="O67" s="2140"/>
      <c r="P67" s="1640"/>
      <c r="Q67" s="324">
        <f>1020600+453600</f>
        <v>1474200</v>
      </c>
      <c r="R67" s="324">
        <v>696600</v>
      </c>
      <c r="S67" s="248"/>
      <c r="T67" s="371">
        <v>500000</v>
      </c>
      <c r="U67" s="248"/>
      <c r="V67" s="247"/>
      <c r="W67" s="324">
        <v>475000</v>
      </c>
      <c r="X67" s="158"/>
      <c r="Y67" s="340">
        <f t="shared" si="16"/>
        <v>2449200</v>
      </c>
      <c r="Z67" s="344">
        <f t="shared" si="17"/>
        <v>0</v>
      </c>
      <c r="AA67" s="391" t="s">
        <v>2002</v>
      </c>
      <c r="AB67" s="341">
        <v>7050000</v>
      </c>
      <c r="AC67" s="342">
        <f t="shared" si="18"/>
        <v>10063200</v>
      </c>
      <c r="AD67" s="252"/>
      <c r="AE67" s="295"/>
      <c r="AF67" s="156"/>
    </row>
    <row r="68" spans="1:33" ht="22.5" customHeight="1">
      <c r="A68" s="3701" t="s">
        <v>1991</v>
      </c>
      <c r="B68" s="3718"/>
      <c r="C68" s="3718"/>
      <c r="D68" s="3718"/>
      <c r="E68" s="3718"/>
      <c r="F68" s="3718"/>
      <c r="G68" s="3718"/>
      <c r="H68" s="3718"/>
      <c r="I68" s="3718"/>
      <c r="J68" s="3718"/>
      <c r="K68" s="3718"/>
      <c r="L68" s="3718"/>
      <c r="M68" s="346"/>
      <c r="N68" s="346"/>
      <c r="O68" s="346"/>
      <c r="P68" s="346"/>
      <c r="Q68" s="486"/>
      <c r="R68" s="500"/>
      <c r="S68" s="486"/>
      <c r="T68" s="486"/>
      <c r="U68" s="486"/>
      <c r="V68" s="487"/>
      <c r="W68" s="486"/>
      <c r="X68" s="488">
        <f>SUM(X56:X67)</f>
        <v>2400000</v>
      </c>
      <c r="Y68" s="488">
        <f>SUM(Y56:Y67)</f>
        <v>7290803</v>
      </c>
      <c r="Z68" s="489">
        <f>SUM(Z56:Z67)</f>
        <v>0</v>
      </c>
      <c r="AA68" s="490"/>
      <c r="AB68" s="488">
        <f>SUM(AB56:AB67)</f>
        <v>74470000</v>
      </c>
      <c r="AC68" s="488">
        <f>SUM(AC56:AC67)</f>
        <v>90310403</v>
      </c>
      <c r="AD68" s="492"/>
      <c r="AE68" s="346"/>
      <c r="AF68" s="346"/>
      <c r="AG68" s="493"/>
    </row>
    <row r="69" spans="1:33" ht="26.4">
      <c r="A69" s="326">
        <v>1</v>
      </c>
      <c r="B69" s="152"/>
      <c r="C69" s="631" t="s">
        <v>2033</v>
      </c>
      <c r="D69" s="46" t="s">
        <v>2017</v>
      </c>
      <c r="E69" s="47" t="s">
        <v>2042</v>
      </c>
      <c r="F69" s="126" t="s">
        <v>210</v>
      </c>
      <c r="G69" s="167"/>
      <c r="H69" s="167">
        <v>1</v>
      </c>
      <c r="I69" s="167"/>
      <c r="J69" s="154">
        <v>24166.420000000002</v>
      </c>
      <c r="K69" s="559" t="s">
        <v>2034</v>
      </c>
      <c r="L69" s="170" t="s">
        <v>2035</v>
      </c>
      <c r="M69" s="477"/>
      <c r="N69" s="482"/>
      <c r="O69" s="2140"/>
      <c r="P69" s="1640"/>
      <c r="Q69" s="248"/>
      <c r="R69" s="248"/>
      <c r="S69" s="248"/>
      <c r="T69" s="371">
        <v>500000</v>
      </c>
      <c r="U69" s="248"/>
      <c r="V69" s="247"/>
      <c r="W69" s="248"/>
      <c r="X69" s="341">
        <v>400000</v>
      </c>
      <c r="Y69" s="340">
        <f t="shared" ref="Y69:Y80" si="20">Q69+T69+U69+W69</f>
        <v>500000</v>
      </c>
      <c r="Z69" s="344">
        <f t="shared" ref="Z69:Z80" si="21">+V69</f>
        <v>0</v>
      </c>
      <c r="AA69" s="249" t="s">
        <v>1416</v>
      </c>
      <c r="AB69" s="341">
        <v>7100000</v>
      </c>
      <c r="AC69" s="342">
        <f t="shared" ref="AC69:AC80" si="22">((AB69+X69)*1.08)+Y69</f>
        <v>8600000</v>
      </c>
      <c r="AD69" s="341">
        <f t="shared" ref="AD69:AD80" si="23">(AB69+X69)*1.08</f>
        <v>8100000.0000000009</v>
      </c>
      <c r="AE69" s="295"/>
      <c r="AF69" s="156"/>
    </row>
    <row r="70" spans="1:33">
      <c r="A70" s="326">
        <f t="shared" ref="A70:A80" si="24">+A69+1</f>
        <v>2</v>
      </c>
      <c r="B70" s="152"/>
      <c r="C70" s="631">
        <v>306102216510</v>
      </c>
      <c r="D70" s="46" t="s">
        <v>2044</v>
      </c>
      <c r="E70" s="47" t="s">
        <v>2045</v>
      </c>
      <c r="F70" s="126" t="s">
        <v>210</v>
      </c>
      <c r="G70" s="167">
        <v>1</v>
      </c>
      <c r="H70" s="167"/>
      <c r="I70" s="167"/>
      <c r="J70" s="154">
        <v>1738.5</v>
      </c>
      <c r="K70" s="559">
        <v>2730284720</v>
      </c>
      <c r="L70" s="170" t="s">
        <v>2043</v>
      </c>
      <c r="M70" s="477"/>
      <c r="N70" s="482"/>
      <c r="O70" s="2140"/>
      <c r="P70" s="1640"/>
      <c r="Q70" s="248"/>
      <c r="R70" s="248"/>
      <c r="S70" s="248"/>
      <c r="T70" s="371">
        <v>250000</v>
      </c>
      <c r="U70" s="248"/>
      <c r="V70" s="247"/>
      <c r="W70" s="248"/>
      <c r="X70" s="158"/>
      <c r="Y70" s="340">
        <f t="shared" si="20"/>
        <v>250000</v>
      </c>
      <c r="Z70" s="344">
        <f t="shared" si="21"/>
        <v>0</v>
      </c>
      <c r="AA70" s="249"/>
      <c r="AB70" s="341">
        <v>6180000</v>
      </c>
      <c r="AC70" s="342">
        <f t="shared" si="22"/>
        <v>6924400</v>
      </c>
      <c r="AD70" s="341">
        <f t="shared" si="23"/>
        <v>6674400</v>
      </c>
      <c r="AE70" s="295"/>
      <c r="AF70" s="156"/>
    </row>
    <row r="71" spans="1:33" ht="26.4">
      <c r="A71" s="326">
        <f t="shared" si="24"/>
        <v>3</v>
      </c>
      <c r="B71" s="152"/>
      <c r="C71" s="640" t="s">
        <v>2056</v>
      </c>
      <c r="D71" s="386" t="s">
        <v>2057</v>
      </c>
      <c r="E71" s="47" t="s">
        <v>2063</v>
      </c>
      <c r="F71" s="126" t="s">
        <v>210</v>
      </c>
      <c r="G71" s="167"/>
      <c r="H71" s="167">
        <v>1</v>
      </c>
      <c r="I71" s="167"/>
      <c r="J71" s="584">
        <v>28836.48</v>
      </c>
      <c r="K71" s="559" t="s">
        <v>2058</v>
      </c>
      <c r="L71" s="170" t="s">
        <v>2059</v>
      </c>
      <c r="M71" s="477"/>
      <c r="N71" s="482"/>
      <c r="O71" s="2140"/>
      <c r="P71" s="1640"/>
      <c r="Q71" s="248"/>
      <c r="R71" s="248"/>
      <c r="S71" s="248"/>
      <c r="T71" s="371">
        <v>500000</v>
      </c>
      <c r="U71" s="248"/>
      <c r="V71" s="247"/>
      <c r="W71" s="248"/>
      <c r="X71" s="341">
        <v>400000</v>
      </c>
      <c r="Y71" s="340">
        <f t="shared" si="20"/>
        <v>500000</v>
      </c>
      <c r="Z71" s="344">
        <f t="shared" si="21"/>
        <v>0</v>
      </c>
      <c r="AA71" s="249" t="s">
        <v>1416</v>
      </c>
      <c r="AB71" s="341">
        <v>7150000</v>
      </c>
      <c r="AC71" s="342">
        <f t="shared" si="22"/>
        <v>8654000</v>
      </c>
      <c r="AD71" s="341">
        <f t="shared" si="23"/>
        <v>8154000.0000000009</v>
      </c>
      <c r="AE71" s="295"/>
      <c r="AF71" s="156"/>
    </row>
    <row r="72" spans="1:33" ht="39.6">
      <c r="A72" s="326">
        <f t="shared" si="24"/>
        <v>4</v>
      </c>
      <c r="B72" s="152"/>
      <c r="C72" s="628" t="s">
        <v>2071</v>
      </c>
      <c r="D72" s="386" t="s">
        <v>2068</v>
      </c>
      <c r="E72" s="47" t="s">
        <v>2072</v>
      </c>
      <c r="F72" s="126" t="s">
        <v>1300</v>
      </c>
      <c r="G72" s="167"/>
      <c r="H72" s="167">
        <v>1</v>
      </c>
      <c r="I72" s="167"/>
      <c r="J72" s="524">
        <v>19177</v>
      </c>
      <c r="K72" s="559" t="s">
        <v>2070</v>
      </c>
      <c r="L72" s="170" t="s">
        <v>2073</v>
      </c>
      <c r="M72" s="532" t="s">
        <v>418</v>
      </c>
      <c r="N72" s="482"/>
      <c r="O72" s="2140"/>
      <c r="P72" s="1640"/>
      <c r="Q72" s="324">
        <f>453600+226800</f>
        <v>680400</v>
      </c>
      <c r="R72" s="324">
        <v>696600</v>
      </c>
      <c r="S72" s="248"/>
      <c r="T72" s="371">
        <v>500000</v>
      </c>
      <c r="U72" s="248"/>
      <c r="V72" s="247"/>
      <c r="W72" s="324">
        <v>1320000</v>
      </c>
      <c r="X72" s="341">
        <v>800000</v>
      </c>
      <c r="Y72" s="340">
        <f t="shared" si="20"/>
        <v>2500400</v>
      </c>
      <c r="Z72" s="344">
        <f t="shared" si="21"/>
        <v>0</v>
      </c>
      <c r="AA72" s="391" t="s">
        <v>2101</v>
      </c>
      <c r="AB72" s="341">
        <v>7050000</v>
      </c>
      <c r="AC72" s="342">
        <f t="shared" si="22"/>
        <v>10978400</v>
      </c>
      <c r="AD72" s="341">
        <f t="shared" si="23"/>
        <v>8478000</v>
      </c>
      <c r="AE72" s="295"/>
      <c r="AF72" s="156"/>
    </row>
    <row r="73" spans="1:33" ht="26.4">
      <c r="A73" s="326">
        <f t="shared" si="24"/>
        <v>5</v>
      </c>
      <c r="B73" s="152"/>
      <c r="C73" s="640" t="s">
        <v>2106</v>
      </c>
      <c r="D73" s="46">
        <v>45301</v>
      </c>
      <c r="E73" s="47" t="s">
        <v>2109</v>
      </c>
      <c r="F73" s="126" t="s">
        <v>210</v>
      </c>
      <c r="G73" s="167"/>
      <c r="H73" s="167">
        <v>1</v>
      </c>
      <c r="I73" s="167"/>
      <c r="J73" s="524">
        <f>20289+4678</f>
        <v>24967</v>
      </c>
      <c r="K73" s="559" t="s">
        <v>2107</v>
      </c>
      <c r="L73" s="170" t="s">
        <v>2108</v>
      </c>
      <c r="M73" s="532" t="s">
        <v>418</v>
      </c>
      <c r="N73" s="482"/>
      <c r="O73" s="2140"/>
      <c r="P73" s="1640"/>
      <c r="Q73" s="248"/>
      <c r="R73" s="248"/>
      <c r="S73" s="248"/>
      <c r="T73" s="371">
        <v>500000</v>
      </c>
      <c r="U73" s="248"/>
      <c r="V73" s="247"/>
      <c r="W73" s="248"/>
      <c r="X73" s="341">
        <v>400000</v>
      </c>
      <c r="Y73" s="340">
        <f t="shared" si="20"/>
        <v>500000</v>
      </c>
      <c r="Z73" s="344">
        <f t="shared" si="21"/>
        <v>0</v>
      </c>
      <c r="AA73" s="249"/>
      <c r="AB73" s="341">
        <v>7150000</v>
      </c>
      <c r="AC73" s="342">
        <f t="shared" si="22"/>
        <v>8654000</v>
      </c>
      <c r="AD73" s="341">
        <f t="shared" si="23"/>
        <v>8154000.0000000009</v>
      </c>
      <c r="AE73" s="295"/>
      <c r="AF73" s="156"/>
    </row>
    <row r="74" spans="1:33">
      <c r="A74" s="326">
        <f t="shared" si="24"/>
        <v>6</v>
      </c>
      <c r="B74" s="152"/>
      <c r="C74" s="629">
        <v>106017978400</v>
      </c>
      <c r="D74" s="46">
        <v>45302</v>
      </c>
      <c r="E74" s="47" t="s">
        <v>2076</v>
      </c>
      <c r="F74" s="126" t="s">
        <v>1300</v>
      </c>
      <c r="G74" s="167">
        <v>1</v>
      </c>
      <c r="H74" s="167"/>
      <c r="I74" s="167"/>
      <c r="J74" s="524">
        <v>20632</v>
      </c>
      <c r="K74" s="559" t="s">
        <v>2074</v>
      </c>
      <c r="L74" s="170" t="s">
        <v>2075</v>
      </c>
      <c r="M74" s="477"/>
      <c r="N74" s="482"/>
      <c r="O74" s="2140"/>
      <c r="P74" s="1640"/>
      <c r="Q74" s="248"/>
      <c r="R74" s="324">
        <v>394200</v>
      </c>
      <c r="S74" s="248"/>
      <c r="T74" s="371">
        <v>500000</v>
      </c>
      <c r="U74" s="248"/>
      <c r="V74" s="247"/>
      <c r="W74" s="248"/>
      <c r="X74" s="158"/>
      <c r="Y74" s="340">
        <f t="shared" si="20"/>
        <v>500000</v>
      </c>
      <c r="Z74" s="344">
        <f t="shared" si="21"/>
        <v>0</v>
      </c>
      <c r="AA74" s="249"/>
      <c r="AB74" s="341">
        <f>6730000</f>
        <v>6730000</v>
      </c>
      <c r="AC74" s="342">
        <f t="shared" si="22"/>
        <v>7768400.0000000009</v>
      </c>
      <c r="AD74" s="341">
        <f t="shared" si="23"/>
        <v>7268400.0000000009</v>
      </c>
      <c r="AE74" s="295"/>
      <c r="AF74" s="156"/>
    </row>
    <row r="75" spans="1:33" ht="26.4">
      <c r="A75" s="326">
        <f t="shared" si="24"/>
        <v>7</v>
      </c>
      <c r="B75" s="582"/>
      <c r="C75" s="640" t="s">
        <v>2086</v>
      </c>
      <c r="D75" s="46" t="s">
        <v>2087</v>
      </c>
      <c r="E75" s="47" t="s">
        <v>2096</v>
      </c>
      <c r="F75" s="126" t="s">
        <v>210</v>
      </c>
      <c r="G75" s="167"/>
      <c r="H75" s="167">
        <v>1</v>
      </c>
      <c r="I75" s="167"/>
      <c r="J75" s="585">
        <v>28405.77</v>
      </c>
      <c r="K75" s="559" t="s">
        <v>2088</v>
      </c>
      <c r="L75" s="170" t="s">
        <v>2089</v>
      </c>
      <c r="M75" s="582"/>
      <c r="N75" s="482"/>
      <c r="O75" s="2140"/>
      <c r="P75" s="1640"/>
      <c r="Q75" s="248"/>
      <c r="R75" s="248"/>
      <c r="S75" s="248"/>
      <c r="T75" s="371">
        <v>500000</v>
      </c>
      <c r="U75" s="248"/>
      <c r="V75" s="247"/>
      <c r="W75" s="248"/>
      <c r="X75" s="341">
        <v>400000</v>
      </c>
      <c r="Y75" s="340">
        <f t="shared" si="20"/>
        <v>500000</v>
      </c>
      <c r="Z75" s="344">
        <f t="shared" si="21"/>
        <v>0</v>
      </c>
      <c r="AA75" s="249"/>
      <c r="AB75" s="341">
        <v>7150000</v>
      </c>
      <c r="AC75" s="342">
        <f t="shared" si="22"/>
        <v>8654000</v>
      </c>
      <c r="AD75" s="341">
        <f t="shared" si="23"/>
        <v>8154000.0000000009</v>
      </c>
      <c r="AE75" s="295"/>
      <c r="AF75" s="156"/>
    </row>
    <row r="76" spans="1:33" ht="26.4">
      <c r="A76" s="326">
        <f t="shared" si="24"/>
        <v>8</v>
      </c>
      <c r="B76" s="152"/>
      <c r="C76" s="631" t="s">
        <v>2090</v>
      </c>
      <c r="D76" s="46" t="s">
        <v>2087</v>
      </c>
      <c r="E76" s="47" t="s">
        <v>2097</v>
      </c>
      <c r="F76" s="126" t="s">
        <v>210</v>
      </c>
      <c r="G76" s="167"/>
      <c r="H76" s="167"/>
      <c r="I76" s="583">
        <v>1</v>
      </c>
      <c r="J76" s="586">
        <v>1676</v>
      </c>
      <c r="K76" s="559" t="s">
        <v>2093</v>
      </c>
      <c r="L76" s="1777"/>
      <c r="M76" s="581"/>
      <c r="N76" s="482"/>
      <c r="O76" s="2140"/>
      <c r="P76" s="1640"/>
      <c r="Q76" s="248"/>
      <c r="R76" s="248"/>
      <c r="S76" s="248"/>
      <c r="T76" s="371">
        <v>1782</v>
      </c>
      <c r="U76" s="248"/>
      <c r="V76" s="247"/>
      <c r="W76" s="248"/>
      <c r="X76" s="341">
        <v>400000</v>
      </c>
      <c r="Y76" s="340">
        <f t="shared" si="20"/>
        <v>1782</v>
      </c>
      <c r="Z76" s="344">
        <f t="shared" si="21"/>
        <v>0</v>
      </c>
      <c r="AA76" s="249"/>
      <c r="AB76" s="341">
        <v>3250000</v>
      </c>
      <c r="AC76" s="342">
        <f t="shared" si="22"/>
        <v>3943782.0000000005</v>
      </c>
      <c r="AD76" s="341">
        <f t="shared" si="23"/>
        <v>3942000.0000000005</v>
      </c>
      <c r="AE76" s="295"/>
      <c r="AF76" s="156"/>
    </row>
    <row r="77" spans="1:33" ht="26.4">
      <c r="A77" s="326">
        <f t="shared" si="24"/>
        <v>9</v>
      </c>
      <c r="B77" s="152"/>
      <c r="C77" s="631" t="s">
        <v>2091</v>
      </c>
      <c r="D77" s="46" t="s">
        <v>2087</v>
      </c>
      <c r="E77" s="47" t="s">
        <v>2098</v>
      </c>
      <c r="F77" s="126" t="s">
        <v>210</v>
      </c>
      <c r="G77" s="167"/>
      <c r="H77" s="167"/>
      <c r="I77" s="445">
        <v>1</v>
      </c>
      <c r="J77" s="586">
        <v>4846</v>
      </c>
      <c r="K77" s="559" t="s">
        <v>2092</v>
      </c>
      <c r="L77" s="170"/>
      <c r="M77" s="477"/>
      <c r="N77" s="482"/>
      <c r="O77" s="2140"/>
      <c r="P77" s="1640"/>
      <c r="Q77" s="248"/>
      <c r="R77" s="248"/>
      <c r="S77" s="248"/>
      <c r="T77" s="371">
        <v>1115</v>
      </c>
      <c r="U77" s="248"/>
      <c r="V77" s="247"/>
      <c r="W77" s="248"/>
      <c r="X77" s="341">
        <v>400000</v>
      </c>
      <c r="Y77" s="340">
        <f t="shared" si="20"/>
        <v>1115</v>
      </c>
      <c r="Z77" s="344">
        <f t="shared" si="21"/>
        <v>0</v>
      </c>
      <c r="AA77" s="249"/>
      <c r="AB77" s="341">
        <v>3370000</v>
      </c>
      <c r="AC77" s="342">
        <f t="shared" si="22"/>
        <v>4072715.0000000005</v>
      </c>
      <c r="AD77" s="341">
        <f t="shared" si="23"/>
        <v>4071600.0000000005</v>
      </c>
      <c r="AE77" s="295"/>
      <c r="AF77" s="156"/>
    </row>
    <row r="78" spans="1:33" ht="26.4">
      <c r="A78" s="326">
        <f t="shared" si="24"/>
        <v>10</v>
      </c>
      <c r="B78" s="152"/>
      <c r="C78" s="628" t="s">
        <v>2116</v>
      </c>
      <c r="D78" s="46" t="s">
        <v>2130</v>
      </c>
      <c r="E78" s="47" t="s">
        <v>2117</v>
      </c>
      <c r="F78" s="126" t="s">
        <v>1300</v>
      </c>
      <c r="G78" s="167"/>
      <c r="H78" s="167">
        <v>1</v>
      </c>
      <c r="I78" s="167"/>
      <c r="J78" s="524">
        <v>24916</v>
      </c>
      <c r="K78" s="559" t="s">
        <v>2099</v>
      </c>
      <c r="L78" s="170" t="s">
        <v>2100</v>
      </c>
      <c r="M78" s="532" t="s">
        <v>418</v>
      </c>
      <c r="N78" s="482"/>
      <c r="O78" s="2140"/>
      <c r="P78" s="1640"/>
      <c r="Q78" s="324">
        <v>361800</v>
      </c>
      <c r="R78" s="324">
        <v>766800</v>
      </c>
      <c r="S78" s="248"/>
      <c r="T78" s="371">
        <v>500000</v>
      </c>
      <c r="U78" s="248"/>
      <c r="V78" s="247"/>
      <c r="W78" s="324">
        <v>221040</v>
      </c>
      <c r="X78" s="341">
        <v>400000</v>
      </c>
      <c r="Y78" s="340">
        <f t="shared" si="20"/>
        <v>1082840</v>
      </c>
      <c r="Z78" s="344">
        <f t="shared" si="21"/>
        <v>0</v>
      </c>
      <c r="AA78" s="249"/>
      <c r="AB78" s="341">
        <v>7150000</v>
      </c>
      <c r="AC78" s="342">
        <f t="shared" si="22"/>
        <v>9236840</v>
      </c>
      <c r="AD78" s="341">
        <f t="shared" si="23"/>
        <v>8154000.0000000009</v>
      </c>
      <c r="AE78" s="295"/>
      <c r="AF78" s="156"/>
    </row>
    <row r="79" spans="1:33">
      <c r="A79" s="326">
        <f t="shared" si="24"/>
        <v>11</v>
      </c>
      <c r="B79" s="152"/>
      <c r="C79" s="629">
        <v>106032515850</v>
      </c>
      <c r="D79" s="46" t="s">
        <v>2111</v>
      </c>
      <c r="E79" s="47" t="s">
        <v>2115</v>
      </c>
      <c r="F79" s="126" t="s">
        <v>1300</v>
      </c>
      <c r="G79" s="167"/>
      <c r="H79" s="167"/>
      <c r="I79" s="167">
        <v>1</v>
      </c>
      <c r="J79" s="577">
        <v>820</v>
      </c>
      <c r="K79" s="559" t="s">
        <v>2112</v>
      </c>
      <c r="L79" s="170"/>
      <c r="M79" s="532" t="s">
        <v>418</v>
      </c>
      <c r="N79" s="482"/>
      <c r="O79" s="2140"/>
      <c r="P79" s="1640"/>
      <c r="Q79" s="324">
        <v>121235</v>
      </c>
      <c r="R79" s="248"/>
      <c r="S79" s="248"/>
      <c r="T79" s="371">
        <v>12300</v>
      </c>
      <c r="U79" s="248"/>
      <c r="V79" s="247"/>
      <c r="W79" s="248"/>
      <c r="X79" s="158"/>
      <c r="Y79" s="340">
        <f t="shared" si="20"/>
        <v>133535</v>
      </c>
      <c r="Z79" s="344">
        <f t="shared" si="21"/>
        <v>0</v>
      </c>
      <c r="AA79" s="391" t="s">
        <v>2101</v>
      </c>
      <c r="AB79" s="341">
        <v>3050000</v>
      </c>
      <c r="AC79" s="342">
        <f t="shared" si="22"/>
        <v>3427535</v>
      </c>
      <c r="AD79" s="341">
        <f t="shared" si="23"/>
        <v>3294000</v>
      </c>
      <c r="AE79" s="295"/>
      <c r="AF79" s="156"/>
    </row>
    <row r="80" spans="1:33" ht="26.4">
      <c r="A80" s="326">
        <f t="shared" si="24"/>
        <v>12</v>
      </c>
      <c r="B80" s="152"/>
      <c r="C80" s="628" t="s">
        <v>2123</v>
      </c>
      <c r="D80" s="46" t="s">
        <v>2124</v>
      </c>
      <c r="E80" s="47" t="s">
        <v>2125</v>
      </c>
      <c r="F80" s="126" t="s">
        <v>1300</v>
      </c>
      <c r="G80" s="167"/>
      <c r="H80" s="167">
        <v>1</v>
      </c>
      <c r="I80" s="167"/>
      <c r="J80" s="154">
        <v>24626</v>
      </c>
      <c r="K80" s="559" t="s">
        <v>2126</v>
      </c>
      <c r="L80" s="170" t="s">
        <v>2127</v>
      </c>
      <c r="M80" s="532" t="s">
        <v>418</v>
      </c>
      <c r="N80" s="482"/>
      <c r="O80" s="2140"/>
      <c r="P80" s="1640"/>
      <c r="Q80" s="324">
        <v>545400</v>
      </c>
      <c r="R80" s="324">
        <v>766800</v>
      </c>
      <c r="S80" s="248"/>
      <c r="T80" s="371">
        <v>500000</v>
      </c>
      <c r="U80" s="248"/>
      <c r="V80" s="247"/>
      <c r="W80" s="324">
        <v>332438</v>
      </c>
      <c r="X80" s="341">
        <v>400000</v>
      </c>
      <c r="Y80" s="340">
        <f t="shared" si="20"/>
        <v>1377838</v>
      </c>
      <c r="Z80" s="344">
        <f t="shared" si="21"/>
        <v>0</v>
      </c>
      <c r="AA80" s="249"/>
      <c r="AB80" s="341">
        <v>7150000</v>
      </c>
      <c r="AC80" s="342">
        <f t="shared" si="22"/>
        <v>9531838</v>
      </c>
      <c r="AD80" s="341">
        <f t="shared" si="23"/>
        <v>8154000.0000000009</v>
      </c>
      <c r="AE80" s="295"/>
      <c r="AF80" s="156"/>
    </row>
    <row r="81" spans="1:33" ht="22.5" customHeight="1">
      <c r="A81" s="3701" t="s">
        <v>2104</v>
      </c>
      <c r="B81" s="3718"/>
      <c r="C81" s="3718"/>
      <c r="D81" s="3718"/>
      <c r="E81" s="3718"/>
      <c r="F81" s="3718"/>
      <c r="G81" s="3718"/>
      <c r="H81" s="3718"/>
      <c r="I81" s="3718"/>
      <c r="J81" s="3718"/>
      <c r="K81" s="3718"/>
      <c r="L81" s="3718"/>
      <c r="M81" s="346"/>
      <c r="N81" s="482"/>
      <c r="O81" s="2140"/>
      <c r="P81" s="1640"/>
      <c r="Q81" s="486"/>
      <c r="R81" s="500"/>
      <c r="S81" s="486"/>
      <c r="T81" s="486"/>
      <c r="U81" s="486"/>
      <c r="V81" s="487"/>
      <c r="W81" s="486"/>
      <c r="X81" s="488">
        <f>SUM(X69:X77)</f>
        <v>3200000</v>
      </c>
      <c r="Y81" s="488">
        <f>SUM(Y69:Y77)</f>
        <v>5253297</v>
      </c>
      <c r="Z81" s="489">
        <f>SUM(Z69:Z77)</f>
        <v>0</v>
      </c>
      <c r="AA81" s="490"/>
      <c r="AB81" s="488">
        <f>SUM(AB69:AB77)</f>
        <v>55130000</v>
      </c>
      <c r="AC81" s="488">
        <f>SUM(AC69:AC77)</f>
        <v>68249697</v>
      </c>
      <c r="AD81" s="492">
        <f>SUM(AD69:AD77)</f>
        <v>62996400</v>
      </c>
      <c r="AE81" s="346"/>
      <c r="AF81" s="346"/>
      <c r="AG81" s="493"/>
    </row>
    <row r="82" spans="1:33">
      <c r="A82" s="326">
        <v>1</v>
      </c>
      <c r="B82" s="152"/>
      <c r="C82" s="631">
        <v>306102216510</v>
      </c>
      <c r="D82" s="46" t="s">
        <v>2044</v>
      </c>
      <c r="E82" s="179" t="s">
        <v>2225</v>
      </c>
      <c r="F82" s="126" t="s">
        <v>210</v>
      </c>
      <c r="G82" s="167">
        <v>1</v>
      </c>
      <c r="H82" s="167"/>
      <c r="I82" s="167"/>
      <c r="J82" s="154"/>
      <c r="K82" s="559">
        <v>2730284720</v>
      </c>
      <c r="L82" s="170" t="s">
        <v>2043</v>
      </c>
      <c r="M82" s="596"/>
      <c r="N82" s="482"/>
      <c r="O82" s="2140"/>
      <c r="P82" s="1640"/>
      <c r="Q82" s="248"/>
      <c r="R82" s="248"/>
      <c r="S82" s="248"/>
      <c r="T82" s="324">
        <v>60000</v>
      </c>
      <c r="U82" s="248"/>
      <c r="V82" s="247"/>
      <c r="W82" s="248"/>
      <c r="X82" s="158"/>
      <c r="Y82" s="340">
        <f>Q82+T82+U82+W82</f>
        <v>60000</v>
      </c>
      <c r="Z82" s="344">
        <f>+V82</f>
        <v>0</v>
      </c>
      <c r="AA82" s="544" t="s">
        <v>2166</v>
      </c>
      <c r="AB82" s="341">
        <v>800000</v>
      </c>
      <c r="AC82" s="342">
        <f>((AB82+X82)*1.08)+Y82</f>
        <v>924000</v>
      </c>
      <c r="AD82" s="341">
        <f>(AB82+X82)*1.08</f>
        <v>864000</v>
      </c>
      <c r="AE82" s="295"/>
      <c r="AF82" s="156"/>
    </row>
    <row r="83" spans="1:33" ht="26.4">
      <c r="A83" s="326">
        <f>+A82+1</f>
        <v>2</v>
      </c>
      <c r="B83" s="151"/>
      <c r="C83" s="631" t="s">
        <v>2198</v>
      </c>
      <c r="D83" s="46" t="s">
        <v>2195</v>
      </c>
      <c r="E83" s="47" t="s">
        <v>2199</v>
      </c>
      <c r="F83" s="126" t="s">
        <v>210</v>
      </c>
      <c r="G83" s="167"/>
      <c r="H83" s="167">
        <v>1</v>
      </c>
      <c r="I83" s="167"/>
      <c r="J83" s="154">
        <v>24924.83</v>
      </c>
      <c r="K83" s="559" t="s">
        <v>2196</v>
      </c>
      <c r="L83" s="170" t="s">
        <v>2197</v>
      </c>
      <c r="M83" s="170" t="s">
        <v>210</v>
      </c>
      <c r="N83" s="482"/>
      <c r="O83" s="2140"/>
      <c r="P83" s="1640"/>
      <c r="Q83" s="248"/>
      <c r="R83" s="373">
        <v>1300000</v>
      </c>
      <c r="S83" s="373">
        <v>766800</v>
      </c>
      <c r="T83" s="371">
        <v>500000</v>
      </c>
      <c r="U83" s="248">
        <v>1913703.7037037001</v>
      </c>
      <c r="V83" s="247"/>
      <c r="W83" s="248"/>
      <c r="X83" s="341">
        <v>400000</v>
      </c>
      <c r="Y83" s="340">
        <f>Q83+T83+U83+W83</f>
        <v>2413703.7037037001</v>
      </c>
      <c r="Z83" s="344">
        <f>+V83</f>
        <v>0</v>
      </c>
      <c r="AA83" s="249" t="s">
        <v>1416</v>
      </c>
      <c r="AB83" s="341">
        <v>7150000</v>
      </c>
      <c r="AC83" s="342">
        <f>((AB83+X83)*1.08)+Y83</f>
        <v>10567703.703703701</v>
      </c>
      <c r="AD83" s="341">
        <f>(AB83+X83)*1.08</f>
        <v>8154000.0000000009</v>
      </c>
      <c r="AE83" s="295"/>
      <c r="AF83" s="156"/>
    </row>
    <row r="84" spans="1:33">
      <c r="A84" s="326">
        <f>+A83+1</f>
        <v>3</v>
      </c>
      <c r="B84" s="152"/>
      <c r="C84" s="635">
        <v>106091541730</v>
      </c>
      <c r="D84" s="46" t="s">
        <v>2195</v>
      </c>
      <c r="E84" s="47" t="s">
        <v>2202</v>
      </c>
      <c r="F84" s="126" t="s">
        <v>1300</v>
      </c>
      <c r="G84" s="167"/>
      <c r="H84" s="167">
        <v>1</v>
      </c>
      <c r="I84" s="167"/>
      <c r="J84" s="154">
        <v>23620</v>
      </c>
      <c r="K84" s="559" t="s">
        <v>2201</v>
      </c>
      <c r="L84" s="170" t="s">
        <v>2200</v>
      </c>
      <c r="M84" s="170" t="s">
        <v>210</v>
      </c>
      <c r="N84" s="482"/>
      <c r="O84" s="2140"/>
      <c r="P84" s="1640"/>
      <c r="Q84" s="324">
        <f>671760</f>
        <v>671760</v>
      </c>
      <c r="R84" s="324">
        <f>766800+83160</f>
        <v>849960</v>
      </c>
      <c r="S84" s="373">
        <v>1250000</v>
      </c>
      <c r="T84" s="371">
        <v>500000</v>
      </c>
      <c r="U84" s="248">
        <v>1944407.40740741</v>
      </c>
      <c r="V84" s="247"/>
      <c r="W84" s="248"/>
      <c r="X84" s="158"/>
      <c r="Y84" s="340">
        <f>Q84+T84+U84+W84</f>
        <v>3116167.40740741</v>
      </c>
      <c r="Z84" s="344">
        <f>+V84</f>
        <v>0</v>
      </c>
      <c r="AA84" s="249"/>
      <c r="AB84" s="341">
        <v>7150000</v>
      </c>
      <c r="AC84" s="342">
        <f>((AB84+X84)*1.08)+Y84</f>
        <v>10838167.40740741</v>
      </c>
      <c r="AD84" s="341">
        <f>(AB84+X84)*1.08</f>
        <v>7722000.0000000009</v>
      </c>
      <c r="AE84" s="295"/>
      <c r="AF84" s="156"/>
    </row>
    <row r="85" spans="1:33">
      <c r="A85" s="326">
        <f>+A84+1</f>
        <v>4</v>
      </c>
      <c r="B85" s="152"/>
      <c r="C85" s="635">
        <v>106090494860</v>
      </c>
      <c r="D85" s="46" t="s">
        <v>2195</v>
      </c>
      <c r="E85" s="47" t="s">
        <v>2205</v>
      </c>
      <c r="F85" s="126" t="s">
        <v>1300</v>
      </c>
      <c r="G85" s="167">
        <v>1</v>
      </c>
      <c r="H85" s="167"/>
      <c r="I85" s="167"/>
      <c r="J85" s="154">
        <v>20446</v>
      </c>
      <c r="K85" s="559" t="s">
        <v>2203</v>
      </c>
      <c r="L85" s="170" t="s">
        <v>2204</v>
      </c>
      <c r="M85" s="170" t="s">
        <v>210</v>
      </c>
      <c r="N85" s="482"/>
      <c r="O85" s="2140"/>
      <c r="P85" s="1640"/>
      <c r="Q85" s="324">
        <f>393120+59400</f>
        <v>452520</v>
      </c>
      <c r="R85" s="324">
        <v>432000</v>
      </c>
      <c r="S85" s="373">
        <v>415800</v>
      </c>
      <c r="T85" s="371">
        <v>250000</v>
      </c>
      <c r="U85" s="248">
        <v>785000</v>
      </c>
      <c r="V85" s="247"/>
      <c r="W85" s="248"/>
      <c r="X85" s="158"/>
      <c r="Y85" s="340">
        <f>Q85+T85+U85+W85</f>
        <v>1487520</v>
      </c>
      <c r="Z85" s="344">
        <f>+V85</f>
        <v>0</v>
      </c>
      <c r="AA85" s="249"/>
      <c r="AB85" s="341">
        <v>6730000</v>
      </c>
      <c r="AC85" s="342">
        <f>((AB85+X85)*1.08)+Y85</f>
        <v>8755920</v>
      </c>
      <c r="AD85" s="341">
        <f>(AB85+X85)*1.08</f>
        <v>7268400.0000000009</v>
      </c>
      <c r="AE85" s="295"/>
      <c r="AF85" s="156"/>
    </row>
    <row r="86" spans="1:33" ht="39.6">
      <c r="A86" s="326">
        <f>+A85+1</f>
        <v>5</v>
      </c>
      <c r="B86" s="152"/>
      <c r="C86" s="636" t="s">
        <v>2207</v>
      </c>
      <c r="D86" s="46" t="s">
        <v>2195</v>
      </c>
      <c r="E86" s="47" t="s">
        <v>2208</v>
      </c>
      <c r="F86" s="126" t="s">
        <v>1300</v>
      </c>
      <c r="G86" s="167">
        <v>1</v>
      </c>
      <c r="H86" s="167"/>
      <c r="I86" s="167"/>
      <c r="J86" s="154">
        <v>20194</v>
      </c>
      <c r="K86" s="559" t="s">
        <v>2206</v>
      </c>
      <c r="L86" s="170" t="s">
        <v>2209</v>
      </c>
      <c r="M86" s="170" t="s">
        <v>210</v>
      </c>
      <c r="N86" s="482"/>
      <c r="O86" s="2140"/>
      <c r="P86" s="1640"/>
      <c r="Q86" s="324">
        <f>393120+59400</f>
        <v>452520</v>
      </c>
      <c r="R86" s="324">
        <v>432000</v>
      </c>
      <c r="S86" s="373">
        <v>415800</v>
      </c>
      <c r="T86" s="371">
        <v>250000</v>
      </c>
      <c r="U86" s="248">
        <v>785000</v>
      </c>
      <c r="V86" s="247"/>
      <c r="W86" s="248"/>
      <c r="X86" s="341">
        <v>800000</v>
      </c>
      <c r="Y86" s="340">
        <f>Q86+T86+U86+W86</f>
        <v>1487520</v>
      </c>
      <c r="Z86" s="344">
        <f>+V86</f>
        <v>0</v>
      </c>
      <c r="AA86" s="249"/>
      <c r="AB86" s="341">
        <v>6730000</v>
      </c>
      <c r="AC86" s="342">
        <f>((AB86+X86)*1.08)+Y86</f>
        <v>9619920</v>
      </c>
      <c r="AD86" s="341">
        <f>(AB86+X86)*1.08</f>
        <v>8132400.0000000009</v>
      </c>
      <c r="AE86" s="295"/>
      <c r="AF86" s="156"/>
    </row>
    <row r="87" spans="1:33" ht="22.5" customHeight="1">
      <c r="A87" s="3701" t="s">
        <v>2192</v>
      </c>
      <c r="B87" s="3718"/>
      <c r="C87" s="3718"/>
      <c r="D87" s="3718"/>
      <c r="E87" s="3718"/>
      <c r="F87" s="3718"/>
      <c r="G87" s="3718"/>
      <c r="H87" s="3718"/>
      <c r="I87" s="3718"/>
      <c r="J87" s="3718"/>
      <c r="K87" s="3718"/>
      <c r="L87" s="3718"/>
      <c r="M87" s="346"/>
      <c r="N87" s="346"/>
      <c r="O87" s="346"/>
      <c r="P87" s="346"/>
      <c r="Q87" s="486"/>
      <c r="R87" s="500"/>
      <c r="S87" s="486">
        <f>+T82+Q84+R84+Q85+R85+Q86+R86</f>
        <v>3350760</v>
      </c>
      <c r="T87" s="486"/>
      <c r="U87" s="486"/>
      <c r="V87" s="487"/>
      <c r="W87" s="486"/>
      <c r="X87" s="488">
        <f>SUM(X75:X83)</f>
        <v>5600000</v>
      </c>
      <c r="Y87" s="488">
        <f>SUM(Y82:Y86)</f>
        <v>8564911.1111111101</v>
      </c>
      <c r="Z87" s="489">
        <f>SUM(Z75:Z83)</f>
        <v>0</v>
      </c>
      <c r="AA87" s="490"/>
      <c r="AB87" s="488">
        <f>SUM(AB82:AB86)</f>
        <v>28560000</v>
      </c>
      <c r="AC87" s="488">
        <f>SUM(AC82:AC86)</f>
        <v>40705711.111111112</v>
      </c>
      <c r="AD87" s="492">
        <f>SUM(AD82:AD86)</f>
        <v>32140800</v>
      </c>
      <c r="AE87" s="346"/>
      <c r="AF87" s="346"/>
      <c r="AG87" s="493"/>
    </row>
    <row r="88" spans="1:33" ht="26.4">
      <c r="A88" s="326">
        <v>1</v>
      </c>
      <c r="B88" s="152"/>
      <c r="C88" s="631" t="s">
        <v>2224</v>
      </c>
      <c r="D88" s="46" t="s">
        <v>2214</v>
      </c>
      <c r="E88" s="47" t="s">
        <v>2243</v>
      </c>
      <c r="F88" s="126" t="s">
        <v>210</v>
      </c>
      <c r="G88" s="167">
        <v>1</v>
      </c>
      <c r="H88" s="167"/>
      <c r="I88" s="167"/>
      <c r="J88" s="154">
        <f>5497.49+9494.89</f>
        <v>14992.38</v>
      </c>
      <c r="K88" s="559" t="s">
        <v>2223</v>
      </c>
      <c r="L88" s="170" t="s">
        <v>2222</v>
      </c>
      <c r="M88" s="170" t="s">
        <v>210</v>
      </c>
      <c r="N88" s="170"/>
      <c r="O88" s="1612"/>
      <c r="P88" s="1612"/>
      <c r="Q88" s="248"/>
      <c r="R88" s="248"/>
      <c r="S88" s="248"/>
      <c r="T88" s="324">
        <v>250000</v>
      </c>
      <c r="U88" s="248"/>
      <c r="V88" s="247"/>
      <c r="W88" s="248"/>
      <c r="X88" s="341">
        <v>400000</v>
      </c>
      <c r="Y88" s="340">
        <f t="shared" ref="Y88:Y93" si="25">Q88+T88+U88+W88</f>
        <v>250000</v>
      </c>
      <c r="Z88" s="344">
        <f t="shared" ref="Z88:Z93" si="26">+V88</f>
        <v>0</v>
      </c>
      <c r="AA88" s="249" t="s">
        <v>1416</v>
      </c>
      <c r="AB88" s="341">
        <v>6180000</v>
      </c>
      <c r="AC88" s="342">
        <f t="shared" ref="AC88:AC93" si="27">((AB88+X88)*1.08)+Y88</f>
        <v>7356400.0000000009</v>
      </c>
      <c r="AD88" s="341">
        <f t="shared" ref="AD88:AD93" si="28">(AB88+X88)*1.08</f>
        <v>7106400.0000000009</v>
      </c>
      <c r="AE88" s="295"/>
      <c r="AF88" s="156"/>
    </row>
    <row r="89" spans="1:33" ht="26.4">
      <c r="A89" s="326">
        <f>+A88+1</f>
        <v>2</v>
      </c>
      <c r="B89" s="152"/>
      <c r="C89" s="631" t="s">
        <v>2232</v>
      </c>
      <c r="D89" s="46" t="s">
        <v>2214</v>
      </c>
      <c r="E89" s="47" t="s">
        <v>2244</v>
      </c>
      <c r="F89" s="126" t="s">
        <v>210</v>
      </c>
      <c r="G89" s="167">
        <v>1</v>
      </c>
      <c r="H89" s="167"/>
      <c r="I89" s="167"/>
      <c r="J89" s="154">
        <f>11057.95+3715.93</f>
        <v>14773.880000000001</v>
      </c>
      <c r="K89" s="559" t="s">
        <v>2233</v>
      </c>
      <c r="L89" s="170" t="s">
        <v>2234</v>
      </c>
      <c r="M89" s="170" t="s">
        <v>210</v>
      </c>
      <c r="N89" s="170"/>
      <c r="O89" s="1612"/>
      <c r="P89" s="1612"/>
      <c r="Q89" s="248"/>
      <c r="R89" s="248"/>
      <c r="S89" s="248"/>
      <c r="T89" s="324">
        <v>250000</v>
      </c>
      <c r="U89" s="248"/>
      <c r="V89" s="247"/>
      <c r="W89" s="248"/>
      <c r="X89" s="341">
        <v>400000</v>
      </c>
      <c r="Y89" s="340">
        <f t="shared" si="25"/>
        <v>250000</v>
      </c>
      <c r="Z89" s="344">
        <f t="shared" si="26"/>
        <v>0</v>
      </c>
      <c r="AA89" s="249" t="s">
        <v>1416</v>
      </c>
      <c r="AB89" s="341">
        <v>6180000</v>
      </c>
      <c r="AC89" s="342">
        <f t="shared" si="27"/>
        <v>7356400.0000000009</v>
      </c>
      <c r="AD89" s="341">
        <f t="shared" si="28"/>
        <v>7106400.0000000009</v>
      </c>
      <c r="AE89" s="295"/>
      <c r="AF89" s="156"/>
    </row>
    <row r="90" spans="1:33" ht="39.6">
      <c r="A90" s="326">
        <f>+A89+1</f>
        <v>3</v>
      </c>
      <c r="B90" s="152"/>
      <c r="C90" s="631" t="s">
        <v>2252</v>
      </c>
      <c r="D90" s="46">
        <v>45357</v>
      </c>
      <c r="E90" s="47" t="s">
        <v>2255</v>
      </c>
      <c r="F90" s="126" t="s">
        <v>210</v>
      </c>
      <c r="G90" s="167"/>
      <c r="H90" s="167">
        <v>1</v>
      </c>
      <c r="I90" s="167"/>
      <c r="J90" s="154">
        <f>20734.46+3847.2+28</f>
        <v>24609.66</v>
      </c>
      <c r="K90" s="559" t="s">
        <v>2253</v>
      </c>
      <c r="L90" s="170" t="s">
        <v>2256</v>
      </c>
      <c r="M90" s="533" t="s">
        <v>2254</v>
      </c>
      <c r="N90" s="170"/>
      <c r="O90" s="1612"/>
      <c r="P90" s="1612"/>
      <c r="Q90" s="248"/>
      <c r="R90" s="248"/>
      <c r="S90" s="248"/>
      <c r="T90" s="324">
        <v>500000</v>
      </c>
      <c r="U90" s="248"/>
      <c r="V90" s="247"/>
      <c r="W90" s="248"/>
      <c r="X90" s="341">
        <v>800000</v>
      </c>
      <c r="Y90" s="340">
        <f t="shared" si="25"/>
        <v>500000</v>
      </c>
      <c r="Z90" s="344">
        <f t="shared" si="26"/>
        <v>0</v>
      </c>
      <c r="AA90" s="249"/>
      <c r="AB90" s="341">
        <v>7100000</v>
      </c>
      <c r="AC90" s="342">
        <f t="shared" si="27"/>
        <v>9032000</v>
      </c>
      <c r="AD90" s="341">
        <f t="shared" si="28"/>
        <v>8532000</v>
      </c>
      <c r="AE90" s="295"/>
      <c r="AF90" s="156"/>
    </row>
    <row r="91" spans="1:33" ht="26.4">
      <c r="A91" s="326">
        <f>+A90+1</f>
        <v>4</v>
      </c>
      <c r="B91" s="152"/>
      <c r="C91" s="631" t="s">
        <v>2269</v>
      </c>
      <c r="D91" s="606" t="s">
        <v>2260</v>
      </c>
      <c r="E91" s="47" t="s">
        <v>2272</v>
      </c>
      <c r="F91" s="126" t="s">
        <v>210</v>
      </c>
      <c r="G91" s="167"/>
      <c r="H91" s="167">
        <v>1</v>
      </c>
      <c r="I91" s="167"/>
      <c r="J91" s="154">
        <f>17256+7024</f>
        <v>24280</v>
      </c>
      <c r="K91" s="559" t="s">
        <v>2270</v>
      </c>
      <c r="L91" s="170" t="s">
        <v>2271</v>
      </c>
      <c r="M91" s="170" t="s">
        <v>210</v>
      </c>
      <c r="N91" s="170"/>
      <c r="O91" s="1612"/>
      <c r="P91" s="1612"/>
      <c r="Q91" s="248"/>
      <c r="R91" s="248"/>
      <c r="S91" s="248"/>
      <c r="T91" s="324">
        <v>500000</v>
      </c>
      <c r="U91" s="248"/>
      <c r="V91" s="247"/>
      <c r="W91" s="248"/>
      <c r="X91" s="341">
        <v>400000</v>
      </c>
      <c r="Y91" s="340">
        <f t="shared" si="25"/>
        <v>500000</v>
      </c>
      <c r="Z91" s="344">
        <f t="shared" si="26"/>
        <v>0</v>
      </c>
      <c r="AA91" s="249"/>
      <c r="AB91" s="341">
        <v>7100000</v>
      </c>
      <c r="AC91" s="342">
        <f t="shared" si="27"/>
        <v>8600000</v>
      </c>
      <c r="AD91" s="341">
        <f t="shared" si="28"/>
        <v>8100000.0000000009</v>
      </c>
      <c r="AE91" s="295"/>
      <c r="AF91" s="156"/>
    </row>
    <row r="92" spans="1:33" ht="26.4">
      <c r="A92" s="326">
        <f>+A91+1</f>
        <v>5</v>
      </c>
      <c r="B92" s="643"/>
      <c r="C92" s="631" t="s">
        <v>2274</v>
      </c>
      <c r="D92" s="46" t="s">
        <v>2275</v>
      </c>
      <c r="E92" s="47" t="s">
        <v>2278</v>
      </c>
      <c r="F92" s="126" t="s">
        <v>210</v>
      </c>
      <c r="G92" s="167">
        <v>1</v>
      </c>
      <c r="H92" s="167"/>
      <c r="I92" s="167"/>
      <c r="J92" s="154">
        <f>3810+11150</f>
        <v>14960</v>
      </c>
      <c r="K92" s="559" t="s">
        <v>2276</v>
      </c>
      <c r="L92" s="170" t="s">
        <v>2277</v>
      </c>
      <c r="M92" s="170" t="s">
        <v>210</v>
      </c>
      <c r="N92" s="170"/>
      <c r="O92" s="1612"/>
      <c r="P92" s="1612"/>
      <c r="Q92" s="248"/>
      <c r="R92" s="248"/>
      <c r="S92" s="248"/>
      <c r="T92" s="324">
        <v>250000</v>
      </c>
      <c r="U92" s="248"/>
      <c r="V92" s="247"/>
      <c r="W92" s="248"/>
      <c r="X92" s="341">
        <v>400000</v>
      </c>
      <c r="Y92" s="340">
        <f t="shared" si="25"/>
        <v>250000</v>
      </c>
      <c r="Z92" s="344">
        <f t="shared" si="26"/>
        <v>0</v>
      </c>
      <c r="AA92" s="249" t="s">
        <v>1416</v>
      </c>
      <c r="AB92" s="341">
        <v>6180000</v>
      </c>
      <c r="AC92" s="342">
        <f t="shared" si="27"/>
        <v>7356400.0000000009</v>
      </c>
      <c r="AD92" s="341">
        <f t="shared" si="28"/>
        <v>7106400.0000000009</v>
      </c>
      <c r="AE92" s="295"/>
      <c r="AF92" s="156"/>
    </row>
    <row r="93" spans="1:33" ht="26.25" customHeight="1">
      <c r="A93" s="326">
        <f>+A92+1</f>
        <v>6</v>
      </c>
      <c r="B93" s="643"/>
      <c r="C93" s="631" t="s">
        <v>2286</v>
      </c>
      <c r="D93" s="46" t="s">
        <v>2282</v>
      </c>
      <c r="E93" s="47" t="s">
        <v>2289</v>
      </c>
      <c r="F93" s="126" t="s">
        <v>210</v>
      </c>
      <c r="G93" s="167"/>
      <c r="H93" s="167">
        <v>1</v>
      </c>
      <c r="I93" s="167"/>
      <c r="J93" s="154">
        <f>5970+18570</f>
        <v>24540</v>
      </c>
      <c r="K93" s="559" t="s">
        <v>2287</v>
      </c>
      <c r="L93" s="170" t="s">
        <v>2288</v>
      </c>
      <c r="M93" s="170" t="s">
        <v>210</v>
      </c>
      <c r="N93" s="170"/>
      <c r="O93" s="1612"/>
      <c r="P93" s="1612"/>
      <c r="Q93" s="248"/>
      <c r="R93" s="248"/>
      <c r="S93" s="248"/>
      <c r="T93" s="324">
        <v>500000</v>
      </c>
      <c r="U93" s="248"/>
      <c r="V93" s="247"/>
      <c r="W93" s="248"/>
      <c r="X93" s="341">
        <v>400000</v>
      </c>
      <c r="Y93" s="340">
        <f t="shared" si="25"/>
        <v>500000</v>
      </c>
      <c r="Z93" s="344">
        <f t="shared" si="26"/>
        <v>0</v>
      </c>
      <c r="AA93" s="249" t="s">
        <v>1416</v>
      </c>
      <c r="AB93" s="341">
        <v>7100000</v>
      </c>
      <c r="AC93" s="342">
        <f t="shared" si="27"/>
        <v>8600000</v>
      </c>
      <c r="AD93" s="341">
        <f t="shared" si="28"/>
        <v>8100000.0000000009</v>
      </c>
      <c r="AE93" s="295"/>
      <c r="AF93" s="156"/>
    </row>
    <row r="94" spans="1:33" ht="22.5" customHeight="1">
      <c r="A94" s="3701" t="s">
        <v>2293</v>
      </c>
      <c r="B94" s="3718"/>
      <c r="C94" s="3718"/>
      <c r="D94" s="3718"/>
      <c r="E94" s="3718"/>
      <c r="F94" s="3718"/>
      <c r="G94" s="3718"/>
      <c r="H94" s="3718"/>
      <c r="I94" s="3718"/>
      <c r="J94" s="3718"/>
      <c r="K94" s="3718"/>
      <c r="L94" s="3718"/>
      <c r="M94" s="346"/>
      <c r="N94" s="346"/>
      <c r="O94" s="346"/>
      <c r="P94" s="346"/>
      <c r="Q94" s="486"/>
      <c r="R94" s="500"/>
      <c r="S94" s="486"/>
      <c r="T94" s="486">
        <f>SUM(T88:T93)</f>
        <v>2250000</v>
      </c>
      <c r="U94" s="486"/>
      <c r="V94" s="487"/>
      <c r="W94" s="486"/>
      <c r="X94" s="488">
        <f>SUM(X88:X93)</f>
        <v>2800000</v>
      </c>
      <c r="Y94" s="488">
        <f>SUM(Y88:Y93)</f>
        <v>2250000</v>
      </c>
      <c r="Z94" s="489">
        <f>SUM(Z82:Z90)</f>
        <v>0</v>
      </c>
      <c r="AA94" s="490"/>
      <c r="AB94" s="488">
        <f>SUM(AB88:AB93)</f>
        <v>39840000</v>
      </c>
      <c r="AC94" s="488">
        <f>SUM(AC88:AC93)</f>
        <v>48301200</v>
      </c>
      <c r="AD94" s="492">
        <f>SUM(AD88:AD93)</f>
        <v>46051200</v>
      </c>
      <c r="AE94" s="346"/>
      <c r="AF94" s="346"/>
      <c r="AG94" s="493"/>
    </row>
    <row r="95" spans="1:33" ht="24.75" customHeight="1">
      <c r="A95" s="326">
        <v>1</v>
      </c>
      <c r="B95" s="152"/>
      <c r="C95" s="631" t="s">
        <v>2325</v>
      </c>
      <c r="D95" s="46" t="s">
        <v>2312</v>
      </c>
      <c r="E95" s="47" t="s">
        <v>2348</v>
      </c>
      <c r="F95" s="126" t="s">
        <v>210</v>
      </c>
      <c r="G95" s="167"/>
      <c r="H95" s="167">
        <v>1</v>
      </c>
      <c r="I95" s="167"/>
      <c r="J95" s="154">
        <f>18897+5465</f>
        <v>24362</v>
      </c>
      <c r="K95" s="559" t="s">
        <v>2326</v>
      </c>
      <c r="L95" s="170" t="s">
        <v>2327</v>
      </c>
      <c r="M95" s="170" t="s">
        <v>210</v>
      </c>
      <c r="N95" s="170"/>
      <c r="O95" s="1612"/>
      <c r="P95" s="1612"/>
      <c r="Q95" s="248"/>
      <c r="R95" s="248"/>
      <c r="S95" s="248"/>
      <c r="T95" s="371">
        <v>500000</v>
      </c>
      <c r="U95" s="248"/>
      <c r="V95" s="247"/>
      <c r="W95" s="248"/>
      <c r="X95" s="341">
        <v>400000</v>
      </c>
      <c r="Y95" s="340">
        <f t="shared" ref="Y95:Y105" si="29">Q95+T95+U95+W95</f>
        <v>500000</v>
      </c>
      <c r="Z95" s="344">
        <f t="shared" ref="Z95:Z105" si="30">+V95</f>
        <v>0</v>
      </c>
      <c r="AA95" s="249" t="s">
        <v>1416</v>
      </c>
      <c r="AB95" s="341">
        <v>7100000</v>
      </c>
      <c r="AC95" s="342">
        <f t="shared" ref="AC95:AC105" si="31">((AB95+X95)*1.08)+Y95</f>
        <v>8600000</v>
      </c>
      <c r="AD95" s="341">
        <f t="shared" ref="AD95:AD105" si="32">(AB95+X95)*1.08</f>
        <v>8100000.0000000009</v>
      </c>
      <c r="AE95" s="295"/>
      <c r="AF95" s="156"/>
    </row>
    <row r="96" spans="1:33" ht="26.4">
      <c r="A96" s="326">
        <f t="shared" ref="A96:A105" si="33">+A95+1</f>
        <v>2</v>
      </c>
      <c r="B96" s="152"/>
      <c r="C96" s="636" t="s">
        <v>2328</v>
      </c>
      <c r="D96" s="46" t="s">
        <v>2312</v>
      </c>
      <c r="E96" s="47" t="s">
        <v>2353</v>
      </c>
      <c r="F96" s="126" t="s">
        <v>1300</v>
      </c>
      <c r="G96" s="167"/>
      <c r="H96" s="167">
        <v>1</v>
      </c>
      <c r="I96" s="167"/>
      <c r="J96" s="154">
        <v>24951.5</v>
      </c>
      <c r="K96" s="559" t="s">
        <v>2330</v>
      </c>
      <c r="L96" s="170" t="s">
        <v>2329</v>
      </c>
      <c r="M96" s="532" t="s">
        <v>418</v>
      </c>
      <c r="N96" s="170"/>
      <c r="O96" s="1612"/>
      <c r="P96" s="1612"/>
      <c r="Q96" s="324">
        <v>545400</v>
      </c>
      <c r="R96" s="324">
        <v>766800</v>
      </c>
      <c r="S96" s="248"/>
      <c r="T96" s="371">
        <v>500000</v>
      </c>
      <c r="U96" s="248"/>
      <c r="V96" s="247"/>
      <c r="W96" s="324">
        <v>335745</v>
      </c>
      <c r="X96" s="341">
        <v>400000</v>
      </c>
      <c r="Y96" s="340">
        <f t="shared" si="29"/>
        <v>1381145</v>
      </c>
      <c r="Z96" s="344">
        <f t="shared" si="30"/>
        <v>0</v>
      </c>
      <c r="AA96" s="249"/>
      <c r="AB96" s="341">
        <f>7150000+505000</f>
        <v>7655000</v>
      </c>
      <c r="AC96" s="342">
        <f t="shared" si="31"/>
        <v>10080545</v>
      </c>
      <c r="AD96" s="341">
        <f t="shared" si="32"/>
        <v>8699400</v>
      </c>
      <c r="AE96" s="295"/>
      <c r="AF96" s="156"/>
    </row>
    <row r="97" spans="1:33" ht="26.4">
      <c r="A97" s="326">
        <f t="shared" si="33"/>
        <v>3</v>
      </c>
      <c r="B97" s="152"/>
      <c r="C97" s="631" t="s">
        <v>2349</v>
      </c>
      <c r="D97" s="46">
        <v>45384</v>
      </c>
      <c r="E97" s="47" t="s">
        <v>2352</v>
      </c>
      <c r="F97" s="126" t="s">
        <v>210</v>
      </c>
      <c r="G97" s="167"/>
      <c r="H97" s="167">
        <v>1</v>
      </c>
      <c r="I97" s="167"/>
      <c r="J97" s="154">
        <f>18169+6403.19</f>
        <v>24572.19</v>
      </c>
      <c r="K97" s="559" t="s">
        <v>2350</v>
      </c>
      <c r="L97" s="170" t="s">
        <v>2351</v>
      </c>
      <c r="M97" s="170" t="s">
        <v>210</v>
      </c>
      <c r="N97" s="170"/>
      <c r="O97" s="1612"/>
      <c r="P97" s="1612"/>
      <c r="Q97" s="248"/>
      <c r="R97" s="248"/>
      <c r="S97" s="248"/>
      <c r="T97" s="371">
        <v>500000</v>
      </c>
      <c r="U97" s="248"/>
      <c r="V97" s="247"/>
      <c r="W97" s="248"/>
      <c r="X97" s="341">
        <v>400000</v>
      </c>
      <c r="Y97" s="340">
        <f t="shared" si="29"/>
        <v>500000</v>
      </c>
      <c r="Z97" s="344">
        <f t="shared" si="30"/>
        <v>0</v>
      </c>
      <c r="AA97" s="249"/>
      <c r="AB97" s="341">
        <v>7100000</v>
      </c>
      <c r="AC97" s="342">
        <f t="shared" si="31"/>
        <v>8600000</v>
      </c>
      <c r="AD97" s="341">
        <f t="shared" si="32"/>
        <v>8100000.0000000009</v>
      </c>
      <c r="AE97" s="295"/>
      <c r="AF97" s="156"/>
    </row>
    <row r="98" spans="1:33" ht="26.4">
      <c r="A98" s="326">
        <f t="shared" si="33"/>
        <v>4</v>
      </c>
      <c r="B98" s="152"/>
      <c r="C98" s="636" t="s">
        <v>2377</v>
      </c>
      <c r="D98" s="46">
        <v>45386</v>
      </c>
      <c r="E98" s="47" t="s">
        <v>2380</v>
      </c>
      <c r="F98" s="126" t="s">
        <v>1300</v>
      </c>
      <c r="G98" s="167"/>
      <c r="H98" s="167">
        <v>1</v>
      </c>
      <c r="I98" s="167"/>
      <c r="J98" s="154">
        <v>24168.2</v>
      </c>
      <c r="K98" s="559" t="s">
        <v>2378</v>
      </c>
      <c r="L98" s="170" t="s">
        <v>2379</v>
      </c>
      <c r="M98" s="532" t="s">
        <v>418</v>
      </c>
      <c r="N98" s="170"/>
      <c r="O98" s="1612"/>
      <c r="P98" s="1612"/>
      <c r="Q98" s="324">
        <f>671760+83160</f>
        <v>754920</v>
      </c>
      <c r="R98" s="324">
        <v>766800</v>
      </c>
      <c r="S98" s="248"/>
      <c r="T98" s="371">
        <v>500000</v>
      </c>
      <c r="U98" s="248"/>
      <c r="V98" s="247"/>
      <c r="W98" s="248"/>
      <c r="X98" s="341">
        <v>400000</v>
      </c>
      <c r="Y98" s="340">
        <f t="shared" si="29"/>
        <v>1254920</v>
      </c>
      <c r="Z98" s="344">
        <f t="shared" si="30"/>
        <v>0</v>
      </c>
      <c r="AA98" s="249"/>
      <c r="AB98" s="341">
        <v>7150000</v>
      </c>
      <c r="AC98" s="342">
        <f t="shared" si="31"/>
        <v>9408920</v>
      </c>
      <c r="AD98" s="341">
        <f t="shared" si="32"/>
        <v>8154000.0000000009</v>
      </c>
      <c r="AE98" s="295"/>
      <c r="AF98" s="156"/>
    </row>
    <row r="99" spans="1:33">
      <c r="A99" s="326">
        <f t="shared" si="33"/>
        <v>5</v>
      </c>
      <c r="B99" s="152"/>
      <c r="C99" s="635">
        <v>106198224160</v>
      </c>
      <c r="D99" s="386" t="s">
        <v>2408</v>
      </c>
      <c r="E99" s="47" t="s">
        <v>2410</v>
      </c>
      <c r="F99" s="126" t="s">
        <v>1300</v>
      </c>
      <c r="G99" s="167"/>
      <c r="H99" s="167">
        <v>1</v>
      </c>
      <c r="I99" s="167"/>
      <c r="J99" s="154">
        <v>25112</v>
      </c>
      <c r="K99" s="559" t="s">
        <v>2409</v>
      </c>
      <c r="L99" s="170" t="s">
        <v>2411</v>
      </c>
      <c r="M99" s="170" t="s">
        <v>210</v>
      </c>
      <c r="N99" s="170"/>
      <c r="O99" s="1612"/>
      <c r="P99" s="1612"/>
      <c r="Q99" s="248"/>
      <c r="R99" s="324">
        <v>766800</v>
      </c>
      <c r="S99" s="248"/>
      <c r="T99" s="371">
        <v>500000</v>
      </c>
      <c r="U99" s="248"/>
      <c r="V99" s="247"/>
      <c r="W99" s="248"/>
      <c r="X99" s="158"/>
      <c r="Y99" s="340">
        <f t="shared" si="29"/>
        <v>500000</v>
      </c>
      <c r="Z99" s="344">
        <f t="shared" si="30"/>
        <v>0</v>
      </c>
      <c r="AA99" s="249"/>
      <c r="AB99" s="341">
        <v>7150000</v>
      </c>
      <c r="AC99" s="342">
        <f t="shared" si="31"/>
        <v>8222000.0000000009</v>
      </c>
      <c r="AD99" s="341">
        <f t="shared" si="32"/>
        <v>7722000.0000000009</v>
      </c>
      <c r="AE99" s="295"/>
      <c r="AF99" s="156"/>
    </row>
    <row r="100" spans="1:33">
      <c r="A100" s="326">
        <f t="shared" si="33"/>
        <v>6</v>
      </c>
      <c r="B100" s="152"/>
      <c r="C100" s="635">
        <v>106198404800</v>
      </c>
      <c r="D100" s="386" t="s">
        <v>2408</v>
      </c>
      <c r="E100" s="47" t="s">
        <v>2413</v>
      </c>
      <c r="F100" s="126" t="s">
        <v>1300</v>
      </c>
      <c r="G100" s="167"/>
      <c r="H100" s="167">
        <v>1</v>
      </c>
      <c r="I100" s="167"/>
      <c r="J100" s="154">
        <v>24863</v>
      </c>
      <c r="K100" s="559" t="s">
        <v>2412</v>
      </c>
      <c r="L100" s="170" t="s">
        <v>2414</v>
      </c>
      <c r="M100" s="170" t="s">
        <v>210</v>
      </c>
      <c r="N100" s="170"/>
      <c r="O100" s="1612"/>
      <c r="P100" s="1612"/>
      <c r="Q100" s="248"/>
      <c r="R100" s="324">
        <v>766800</v>
      </c>
      <c r="S100" s="248"/>
      <c r="T100" s="371">
        <v>500000</v>
      </c>
      <c r="U100" s="248"/>
      <c r="V100" s="247"/>
      <c r="W100" s="248"/>
      <c r="X100" s="158"/>
      <c r="Y100" s="340">
        <f t="shared" si="29"/>
        <v>500000</v>
      </c>
      <c r="Z100" s="344">
        <f t="shared" si="30"/>
        <v>0</v>
      </c>
      <c r="AA100" s="249"/>
      <c r="AB100" s="341">
        <v>7150000</v>
      </c>
      <c r="AC100" s="342">
        <f t="shared" si="31"/>
        <v>8222000.0000000009</v>
      </c>
      <c r="AD100" s="341">
        <f t="shared" si="32"/>
        <v>7722000.0000000009</v>
      </c>
      <c r="AE100" s="295"/>
      <c r="AF100" s="156"/>
    </row>
    <row r="101" spans="1:33" ht="26.4">
      <c r="A101" s="326">
        <f t="shared" si="33"/>
        <v>7</v>
      </c>
      <c r="B101" s="152"/>
      <c r="C101" s="631" t="s">
        <v>2416</v>
      </c>
      <c r="D101" s="386" t="s">
        <v>2423</v>
      </c>
      <c r="E101" s="47" t="s">
        <v>2415</v>
      </c>
      <c r="F101" s="126" t="s">
        <v>210</v>
      </c>
      <c r="G101" s="167"/>
      <c r="H101" s="167">
        <v>1</v>
      </c>
      <c r="I101" s="167"/>
      <c r="J101" s="154">
        <f>14478+9350</f>
        <v>23828</v>
      </c>
      <c r="K101" s="559" t="s">
        <v>2417</v>
      </c>
      <c r="L101" s="170" t="s">
        <v>2418</v>
      </c>
      <c r="M101" s="170" t="s">
        <v>210</v>
      </c>
      <c r="N101" s="170"/>
      <c r="O101" s="1612"/>
      <c r="P101" s="1612"/>
      <c r="Q101" s="248"/>
      <c r="R101" s="248"/>
      <c r="S101" s="248"/>
      <c r="T101" s="371">
        <v>500000</v>
      </c>
      <c r="U101" s="248"/>
      <c r="V101" s="247"/>
      <c r="W101" s="248"/>
      <c r="X101" s="341">
        <v>400000</v>
      </c>
      <c r="Y101" s="340">
        <f t="shared" si="29"/>
        <v>500000</v>
      </c>
      <c r="Z101" s="344">
        <f t="shared" si="30"/>
        <v>0</v>
      </c>
      <c r="AA101" s="249"/>
      <c r="AB101" s="341">
        <v>7100000</v>
      </c>
      <c r="AC101" s="342">
        <f t="shared" si="31"/>
        <v>8600000</v>
      </c>
      <c r="AD101" s="341">
        <f t="shared" si="32"/>
        <v>8100000.0000000009</v>
      </c>
      <c r="AE101" s="295"/>
      <c r="AF101" s="156"/>
    </row>
    <row r="102" spans="1:33" ht="26.4">
      <c r="A102" s="326">
        <f t="shared" si="33"/>
        <v>8</v>
      </c>
      <c r="B102" s="151"/>
      <c r="C102" s="631" t="s">
        <v>2419</v>
      </c>
      <c r="D102" s="386" t="s">
        <v>2423</v>
      </c>
      <c r="E102" s="47" t="s">
        <v>2421</v>
      </c>
      <c r="F102" s="126" t="s">
        <v>210</v>
      </c>
      <c r="G102" s="167">
        <v>1</v>
      </c>
      <c r="H102" s="167"/>
      <c r="I102" s="167"/>
      <c r="J102" s="154">
        <f>13946+400</f>
        <v>14346</v>
      </c>
      <c r="K102" s="559" t="s">
        <v>2420</v>
      </c>
      <c r="L102" s="170" t="s">
        <v>2422</v>
      </c>
      <c r="M102" s="170" t="s">
        <v>210</v>
      </c>
      <c r="N102" s="170"/>
      <c r="O102" s="1612"/>
      <c r="P102" s="1612"/>
      <c r="Q102" s="248"/>
      <c r="R102" s="248"/>
      <c r="S102" s="248"/>
      <c r="T102" s="371">
        <v>250000</v>
      </c>
      <c r="U102" s="248"/>
      <c r="V102" s="247"/>
      <c r="W102" s="248"/>
      <c r="X102" s="341">
        <v>400000</v>
      </c>
      <c r="Y102" s="340">
        <f t="shared" si="29"/>
        <v>250000</v>
      </c>
      <c r="Z102" s="344">
        <f t="shared" si="30"/>
        <v>0</v>
      </c>
      <c r="AA102" s="249"/>
      <c r="AB102" s="341">
        <v>6180000</v>
      </c>
      <c r="AC102" s="342">
        <f t="shared" si="31"/>
        <v>7356400.0000000009</v>
      </c>
      <c r="AD102" s="341">
        <f t="shared" si="32"/>
        <v>7106400.0000000009</v>
      </c>
      <c r="AE102" s="295"/>
      <c r="AF102" s="156"/>
    </row>
    <row r="103" spans="1:33" ht="26.4">
      <c r="A103" s="326">
        <f t="shared" si="33"/>
        <v>9</v>
      </c>
      <c r="C103" s="631" t="s">
        <v>2455</v>
      </c>
      <c r="D103" s="46" t="s">
        <v>2453</v>
      </c>
      <c r="E103" s="47" t="s">
        <v>2458</v>
      </c>
      <c r="F103" s="126" t="s">
        <v>210</v>
      </c>
      <c r="G103" s="167"/>
      <c r="H103" s="167">
        <v>1</v>
      </c>
      <c r="I103" s="167"/>
      <c r="J103" s="154">
        <f>19133+5548</f>
        <v>24681</v>
      </c>
      <c r="K103" s="559" t="s">
        <v>2456</v>
      </c>
      <c r="L103" s="170" t="s">
        <v>2457</v>
      </c>
      <c r="M103" s="170" t="s">
        <v>210</v>
      </c>
      <c r="N103" s="170"/>
      <c r="O103" s="1612"/>
      <c r="P103" s="1612"/>
      <c r="Q103" s="248"/>
      <c r="R103" s="248"/>
      <c r="S103" s="248"/>
      <c r="T103" s="371">
        <v>500000</v>
      </c>
      <c r="U103" s="248"/>
      <c r="V103" s="247"/>
      <c r="W103" s="248"/>
      <c r="X103" s="341">
        <v>400000</v>
      </c>
      <c r="Y103" s="340">
        <f t="shared" si="29"/>
        <v>500000</v>
      </c>
      <c r="Z103" s="344">
        <f t="shared" si="30"/>
        <v>0</v>
      </c>
      <c r="AA103" s="249" t="s">
        <v>1416</v>
      </c>
      <c r="AB103" s="341">
        <v>7100000</v>
      </c>
      <c r="AC103" s="342">
        <f t="shared" si="31"/>
        <v>8600000</v>
      </c>
      <c r="AD103" s="341">
        <f t="shared" si="32"/>
        <v>8100000.0000000009</v>
      </c>
    </row>
    <row r="104" spans="1:33" ht="26.4">
      <c r="A104" s="326">
        <f t="shared" si="33"/>
        <v>10</v>
      </c>
      <c r="C104" s="631" t="s">
        <v>2494</v>
      </c>
      <c r="D104" s="46" t="s">
        <v>2492</v>
      </c>
      <c r="E104" s="47" t="s">
        <v>2500</v>
      </c>
      <c r="F104" s="126" t="s">
        <v>210</v>
      </c>
      <c r="G104" s="167">
        <v>1</v>
      </c>
      <c r="H104" s="167"/>
      <c r="I104" s="167"/>
      <c r="J104" s="154">
        <f>4806.28+8833.27</f>
        <v>13639.55</v>
      </c>
      <c r="K104" s="559" t="s">
        <v>2493</v>
      </c>
      <c r="L104" s="170" t="s">
        <v>2495</v>
      </c>
      <c r="M104" s="170" t="s">
        <v>210</v>
      </c>
      <c r="N104" s="170"/>
      <c r="O104" s="1612"/>
      <c r="P104" s="1612"/>
      <c r="Q104" s="248"/>
      <c r="R104" s="248"/>
      <c r="S104" s="248"/>
      <c r="T104" s="324">
        <v>250000</v>
      </c>
      <c r="U104" s="248"/>
      <c r="V104" s="247"/>
      <c r="W104" s="248"/>
      <c r="X104" s="341">
        <v>400000</v>
      </c>
      <c r="Y104" s="340">
        <f t="shared" si="29"/>
        <v>250000</v>
      </c>
      <c r="Z104" s="344">
        <f t="shared" si="30"/>
        <v>0</v>
      </c>
      <c r="AA104" s="249" t="s">
        <v>1416</v>
      </c>
      <c r="AB104" s="341">
        <v>6180000</v>
      </c>
      <c r="AC104" s="342">
        <f t="shared" si="31"/>
        <v>7356400.0000000009</v>
      </c>
      <c r="AD104" s="341">
        <f t="shared" si="32"/>
        <v>7106400.0000000009</v>
      </c>
    </row>
    <row r="105" spans="1:33" ht="26.4">
      <c r="A105" s="326">
        <f t="shared" si="33"/>
        <v>11</v>
      </c>
      <c r="C105" s="631" t="s">
        <v>2496</v>
      </c>
      <c r="D105" s="46" t="s">
        <v>2492</v>
      </c>
      <c r="E105" s="47" t="s">
        <v>2499</v>
      </c>
      <c r="F105" s="126" t="s">
        <v>210</v>
      </c>
      <c r="G105" s="167">
        <v>1</v>
      </c>
      <c r="H105" s="167"/>
      <c r="I105" s="167"/>
      <c r="J105" s="154">
        <f>11606+2562</f>
        <v>14168</v>
      </c>
      <c r="K105" s="559" t="s">
        <v>2497</v>
      </c>
      <c r="L105" s="170" t="s">
        <v>2498</v>
      </c>
      <c r="M105" s="170" t="s">
        <v>210</v>
      </c>
      <c r="N105" s="170"/>
      <c r="O105" s="1612"/>
      <c r="P105" s="1612"/>
      <c r="Q105" s="248"/>
      <c r="R105" s="248"/>
      <c r="S105" s="248"/>
      <c r="T105" s="324">
        <v>250000</v>
      </c>
      <c r="U105" s="248"/>
      <c r="V105" s="247"/>
      <c r="W105" s="248"/>
      <c r="X105" s="341">
        <v>400000</v>
      </c>
      <c r="Y105" s="340">
        <f t="shared" si="29"/>
        <v>250000</v>
      </c>
      <c r="Z105" s="344">
        <f t="shared" si="30"/>
        <v>0</v>
      </c>
      <c r="AA105" s="249" t="s">
        <v>1416</v>
      </c>
      <c r="AB105" s="341">
        <v>6180000</v>
      </c>
      <c r="AC105" s="342">
        <f t="shared" si="31"/>
        <v>7356400.0000000009</v>
      </c>
      <c r="AD105" s="341">
        <f t="shared" si="32"/>
        <v>7106400.0000000009</v>
      </c>
    </row>
    <row r="106" spans="1:33" ht="22.5" customHeight="1">
      <c r="A106" s="3701" t="s">
        <v>2469</v>
      </c>
      <c r="B106" s="3718"/>
      <c r="C106" s="3718"/>
      <c r="D106" s="3718"/>
      <c r="E106" s="3718"/>
      <c r="F106" s="3718"/>
      <c r="G106" s="3718"/>
      <c r="H106" s="3718"/>
      <c r="I106" s="3718"/>
      <c r="J106" s="3718"/>
      <c r="K106" s="3718"/>
      <c r="L106" s="3718"/>
      <c r="M106" s="346"/>
      <c r="N106" s="346"/>
      <c r="O106" s="346"/>
      <c r="P106" s="346"/>
      <c r="Q106" s="486"/>
      <c r="R106" s="500"/>
      <c r="S106" s="486">
        <f>+Q96+R96+W96+Q98+R98+R99+R100+T104+T105</f>
        <v>5203265</v>
      </c>
      <c r="T106" s="486">
        <f>SUM(T95:T103)</f>
        <v>4250000</v>
      </c>
      <c r="U106" s="486"/>
      <c r="V106" s="487"/>
      <c r="W106" s="486"/>
      <c r="X106" s="488"/>
      <c r="Y106" s="488">
        <f>SUM(Y100:Y105)</f>
        <v>2250000</v>
      </c>
      <c r="Z106" s="489">
        <f>SUM(Z94:Z102)</f>
        <v>0</v>
      </c>
      <c r="AA106" s="490"/>
      <c r="AB106" s="488">
        <f>SUM(AB100:AB105)</f>
        <v>39890000</v>
      </c>
      <c r="AC106" s="488">
        <f>SUM(AC100:AC105)</f>
        <v>47491200</v>
      </c>
      <c r="AD106" s="492">
        <f>SUM(AD100:AD105)</f>
        <v>45241200.000000007</v>
      </c>
      <c r="AE106" s="346"/>
      <c r="AF106" s="346"/>
      <c r="AG106" s="493"/>
    </row>
    <row r="107" spans="1:33" ht="15.75" hidden="1" customHeight="1">
      <c r="A107" s="326">
        <v>1</v>
      </c>
      <c r="C107" s="635" t="s">
        <v>2550</v>
      </c>
      <c r="D107" s="46" t="s">
        <v>2503</v>
      </c>
      <c r="E107" s="47" t="s">
        <v>2510</v>
      </c>
      <c r="F107" s="126" t="s">
        <v>1300</v>
      </c>
      <c r="G107" s="167"/>
      <c r="H107" s="167">
        <v>1</v>
      </c>
      <c r="I107" s="167"/>
      <c r="J107" s="154">
        <v>24206</v>
      </c>
      <c r="K107" s="559" t="s">
        <v>2508</v>
      </c>
      <c r="L107" s="170" t="s">
        <v>2509</v>
      </c>
      <c r="M107" s="170" t="s">
        <v>210</v>
      </c>
      <c r="N107" s="170"/>
      <c r="O107" s="1612"/>
      <c r="P107" s="1612"/>
      <c r="Q107" s="248"/>
      <c r="R107" s="324">
        <v>766800</v>
      </c>
      <c r="S107" s="248"/>
      <c r="T107" s="371">
        <v>500000</v>
      </c>
      <c r="U107" s="248"/>
      <c r="V107" s="247"/>
      <c r="W107" s="248"/>
      <c r="X107" s="158"/>
      <c r="Y107" s="340">
        <f t="shared" ref="Y107:Y113" si="34">Q107+T107+U107+W107</f>
        <v>500000</v>
      </c>
      <c r="Z107" s="344">
        <f t="shared" ref="Z107:Z113" si="35">+V107</f>
        <v>0</v>
      </c>
      <c r="AA107" s="249"/>
      <c r="AB107" s="341">
        <v>7150000</v>
      </c>
      <c r="AC107" s="342">
        <f t="shared" ref="AC107:AC113" si="36">((AB107+X107)*1.08)+Y107</f>
        <v>8222000.0000000009</v>
      </c>
      <c r="AD107" s="341">
        <f t="shared" ref="AD107:AD113" si="37">(AB107+X107)*1.08</f>
        <v>7722000.0000000009</v>
      </c>
    </row>
    <row r="108" spans="1:33" ht="26.4">
      <c r="A108" s="326">
        <f t="shared" ref="A108:A113" si="38">+A107+1</f>
        <v>2</v>
      </c>
      <c r="C108" s="636" t="s">
        <v>2532</v>
      </c>
      <c r="D108" s="46">
        <v>45418</v>
      </c>
      <c r="E108" s="47" t="s">
        <v>2554</v>
      </c>
      <c r="F108" s="126" t="s">
        <v>1300</v>
      </c>
      <c r="G108" s="167"/>
      <c r="H108" s="167">
        <v>1</v>
      </c>
      <c r="I108" s="167"/>
      <c r="J108" s="154">
        <v>24882</v>
      </c>
      <c r="K108" s="559" t="s">
        <v>2533</v>
      </c>
      <c r="L108" s="170" t="s">
        <v>2534</v>
      </c>
      <c r="M108" s="532" t="s">
        <v>418</v>
      </c>
      <c r="N108" s="170"/>
      <c r="O108" s="1612"/>
      <c r="P108" s="1612"/>
      <c r="Q108" s="324">
        <v>545400</v>
      </c>
      <c r="R108" s="324">
        <v>766800</v>
      </c>
      <c r="S108" s="248"/>
      <c r="T108" s="371">
        <v>500000</v>
      </c>
      <c r="U108" s="248"/>
      <c r="V108" s="247"/>
      <c r="W108" s="324">
        <v>573143</v>
      </c>
      <c r="X108" s="341">
        <v>400000</v>
      </c>
      <c r="Y108" s="340">
        <f t="shared" si="34"/>
        <v>1618543</v>
      </c>
      <c r="Z108" s="344">
        <f t="shared" si="35"/>
        <v>0</v>
      </c>
      <c r="AA108" s="249"/>
      <c r="AB108" s="341">
        <v>7150000</v>
      </c>
      <c r="AC108" s="342">
        <f t="shared" si="36"/>
        <v>9772543</v>
      </c>
      <c r="AD108" s="341">
        <f t="shared" si="37"/>
        <v>8154000.0000000009</v>
      </c>
    </row>
    <row r="109" spans="1:33" ht="26.4">
      <c r="A109" s="326">
        <f t="shared" si="38"/>
        <v>3</v>
      </c>
      <c r="C109" s="631" t="s">
        <v>2551</v>
      </c>
      <c r="D109" s="46">
        <v>45420</v>
      </c>
      <c r="E109" s="47" t="s">
        <v>2555</v>
      </c>
      <c r="F109" s="126" t="s">
        <v>210</v>
      </c>
      <c r="G109" s="167"/>
      <c r="H109" s="167">
        <v>1</v>
      </c>
      <c r="I109" s="167"/>
      <c r="J109" s="154">
        <f>18652+5683</f>
        <v>24335</v>
      </c>
      <c r="K109" s="559" t="s">
        <v>2552</v>
      </c>
      <c r="L109" s="170" t="s">
        <v>2553</v>
      </c>
      <c r="M109" s="170" t="s">
        <v>210</v>
      </c>
      <c r="N109" s="170"/>
      <c r="O109" s="1612"/>
      <c r="P109" s="1612"/>
      <c r="Q109" s="248"/>
      <c r="R109" s="248"/>
      <c r="S109" s="248"/>
      <c r="T109" s="371">
        <v>500000</v>
      </c>
      <c r="U109" s="248"/>
      <c r="V109" s="247"/>
      <c r="W109" s="248"/>
      <c r="X109" s="341">
        <v>400000</v>
      </c>
      <c r="Y109" s="340">
        <f t="shared" si="34"/>
        <v>500000</v>
      </c>
      <c r="Z109" s="344">
        <f t="shared" si="35"/>
        <v>0</v>
      </c>
      <c r="AA109" s="249"/>
      <c r="AB109" s="341">
        <v>7100000</v>
      </c>
      <c r="AC109" s="342">
        <f t="shared" si="36"/>
        <v>8600000</v>
      </c>
      <c r="AD109" s="341">
        <f t="shared" si="37"/>
        <v>8100000.0000000009</v>
      </c>
    </row>
    <row r="110" spans="1:33" ht="26.4">
      <c r="A110" s="326">
        <f t="shared" si="38"/>
        <v>4</v>
      </c>
      <c r="C110" s="631" t="s">
        <v>2574</v>
      </c>
      <c r="D110" s="46" t="s">
        <v>2573</v>
      </c>
      <c r="E110" s="47" t="s">
        <v>2604</v>
      </c>
      <c r="F110" s="126" t="s">
        <v>210</v>
      </c>
      <c r="G110" s="167"/>
      <c r="H110" s="167">
        <v>1</v>
      </c>
      <c r="I110" s="167"/>
      <c r="J110" s="154">
        <f>11188+6280</f>
        <v>17468</v>
      </c>
      <c r="K110" s="559" t="s">
        <v>2575</v>
      </c>
      <c r="L110" s="170" t="s">
        <v>2576</v>
      </c>
      <c r="M110" s="170" t="s">
        <v>210</v>
      </c>
      <c r="N110" s="170"/>
      <c r="O110" s="1612"/>
      <c r="P110" s="1612"/>
      <c r="Q110" s="248"/>
      <c r="R110" s="248"/>
      <c r="S110" s="248"/>
      <c r="T110" s="371">
        <v>500000</v>
      </c>
      <c r="U110" s="248"/>
      <c r="V110" s="247"/>
      <c r="W110" s="248"/>
      <c r="X110" s="341">
        <v>400000</v>
      </c>
      <c r="Y110" s="340">
        <f t="shared" si="34"/>
        <v>500000</v>
      </c>
      <c r="Z110" s="344">
        <f t="shared" si="35"/>
        <v>0</v>
      </c>
      <c r="AA110" s="249"/>
      <c r="AB110" s="341">
        <v>6650000</v>
      </c>
      <c r="AC110" s="342">
        <f t="shared" si="36"/>
        <v>8114000.0000000009</v>
      </c>
      <c r="AD110" s="341">
        <f t="shared" si="37"/>
        <v>7614000.0000000009</v>
      </c>
    </row>
    <row r="111" spans="1:33" ht="26.4">
      <c r="A111" s="326">
        <f t="shared" si="38"/>
        <v>5</v>
      </c>
      <c r="C111" s="631" t="s">
        <v>2598</v>
      </c>
      <c r="D111" s="46" t="s">
        <v>2590</v>
      </c>
      <c r="E111" s="47" t="s">
        <v>2605</v>
      </c>
      <c r="F111" s="126" t="s">
        <v>210</v>
      </c>
      <c r="G111" s="167"/>
      <c r="H111" s="167"/>
      <c r="I111" s="167" t="s">
        <v>128</v>
      </c>
      <c r="J111" s="154">
        <f>402.3+248.1</f>
        <v>650.4</v>
      </c>
      <c r="K111" s="559" t="s">
        <v>2599</v>
      </c>
      <c r="L111" s="170"/>
      <c r="M111" s="170" t="s">
        <v>210</v>
      </c>
      <c r="N111" s="170"/>
      <c r="O111" s="1612"/>
      <c r="P111" s="1612"/>
      <c r="Q111" s="248"/>
      <c r="R111" s="248"/>
      <c r="S111" s="248"/>
      <c r="T111" s="248"/>
      <c r="U111" s="248"/>
      <c r="V111" s="247"/>
      <c r="W111" s="248"/>
      <c r="X111" s="341">
        <v>400000</v>
      </c>
      <c r="Y111" s="340">
        <f t="shared" si="34"/>
        <v>0</v>
      </c>
      <c r="Z111" s="344">
        <f t="shared" si="35"/>
        <v>0</v>
      </c>
      <c r="AA111" s="249" t="s">
        <v>1416</v>
      </c>
      <c r="AB111" s="341">
        <v>3050000</v>
      </c>
      <c r="AC111" s="342">
        <f t="shared" si="36"/>
        <v>3726000.0000000005</v>
      </c>
      <c r="AD111" s="341">
        <f t="shared" si="37"/>
        <v>3726000.0000000005</v>
      </c>
    </row>
    <row r="112" spans="1:33" ht="26.4">
      <c r="A112" s="326">
        <f t="shared" si="38"/>
        <v>6</v>
      </c>
      <c r="C112" s="631" t="s">
        <v>2602</v>
      </c>
      <c r="D112" s="46" t="s">
        <v>2600</v>
      </c>
      <c r="E112" s="47" t="s">
        <v>2606</v>
      </c>
      <c r="F112" s="126" t="s">
        <v>210</v>
      </c>
      <c r="G112" s="167"/>
      <c r="H112" s="167">
        <v>1</v>
      </c>
      <c r="I112" s="167"/>
      <c r="J112" s="154">
        <v>28607.439999999999</v>
      </c>
      <c r="K112" s="559" t="s">
        <v>2601</v>
      </c>
      <c r="L112" s="170" t="s">
        <v>2603</v>
      </c>
      <c r="M112" s="170" t="s">
        <v>210</v>
      </c>
      <c r="N112" s="170"/>
      <c r="O112" s="1612"/>
      <c r="P112" s="1612"/>
      <c r="Q112" s="248"/>
      <c r="R112" s="248"/>
      <c r="S112" s="248"/>
      <c r="T112" s="371">
        <v>500000</v>
      </c>
      <c r="U112" s="248"/>
      <c r="V112" s="247"/>
      <c r="W112" s="248"/>
      <c r="X112" s="341">
        <v>400000</v>
      </c>
      <c r="Y112" s="340">
        <f t="shared" si="34"/>
        <v>500000</v>
      </c>
      <c r="Z112" s="344">
        <f t="shared" si="35"/>
        <v>0</v>
      </c>
      <c r="AA112" s="249" t="s">
        <v>1416</v>
      </c>
      <c r="AB112" s="341">
        <v>7100000</v>
      </c>
      <c r="AC112" s="342">
        <f t="shared" si="36"/>
        <v>8600000</v>
      </c>
      <c r="AD112" s="341">
        <f t="shared" si="37"/>
        <v>8100000.0000000009</v>
      </c>
    </row>
    <row r="113" spans="1:33">
      <c r="A113" s="326">
        <f t="shared" si="38"/>
        <v>7</v>
      </c>
      <c r="C113" s="635" t="s">
        <v>2610</v>
      </c>
      <c r="D113" s="46" t="s">
        <v>2611</v>
      </c>
      <c r="E113" s="47" t="s">
        <v>2614</v>
      </c>
      <c r="F113" s="126" t="s">
        <v>1300</v>
      </c>
      <c r="G113" s="167"/>
      <c r="H113" s="167">
        <v>1</v>
      </c>
      <c r="I113" s="167"/>
      <c r="J113" s="154">
        <v>24323</v>
      </c>
      <c r="K113" s="559" t="s">
        <v>2612</v>
      </c>
      <c r="L113" s="170" t="s">
        <v>2613</v>
      </c>
      <c r="M113" s="532" t="s">
        <v>418</v>
      </c>
      <c r="N113" s="170"/>
      <c r="O113" s="1612"/>
      <c r="P113" s="1612"/>
      <c r="Q113" s="248"/>
      <c r="R113" s="324">
        <v>766800</v>
      </c>
      <c r="S113" s="248"/>
      <c r="T113" s="371">
        <v>500000</v>
      </c>
      <c r="U113" s="248"/>
      <c r="V113" s="247"/>
      <c r="W113" s="248"/>
      <c r="X113" s="158"/>
      <c r="Y113" s="340">
        <f t="shared" si="34"/>
        <v>500000</v>
      </c>
      <c r="Z113" s="344">
        <f t="shared" si="35"/>
        <v>0</v>
      </c>
      <c r="AA113" s="249"/>
      <c r="AB113" s="341">
        <v>7100000</v>
      </c>
      <c r="AC113" s="342">
        <f t="shared" si="36"/>
        <v>8168000.0000000009</v>
      </c>
      <c r="AD113" s="341">
        <f t="shared" si="37"/>
        <v>7668000.0000000009</v>
      </c>
    </row>
    <row r="114" spans="1:33" ht="22.5" customHeight="1">
      <c r="A114" s="3701" t="s">
        <v>2586</v>
      </c>
      <c r="B114" s="3718"/>
      <c r="C114" s="3718"/>
      <c r="D114" s="3718"/>
      <c r="E114" s="3718"/>
      <c r="F114" s="3718"/>
      <c r="G114" s="3718"/>
      <c r="H114" s="3718"/>
      <c r="I114" s="3718"/>
      <c r="J114" s="3718"/>
      <c r="K114" s="3718"/>
      <c r="L114" s="3718"/>
      <c r="M114" s="346"/>
      <c r="N114" s="346"/>
      <c r="O114" s="346"/>
      <c r="P114" s="346"/>
      <c r="Q114" s="486"/>
      <c r="R114" s="500"/>
      <c r="S114" s="486">
        <f>+R107+Q108+R108+W108+R113</f>
        <v>3418943</v>
      </c>
      <c r="T114" s="486">
        <f>SUM(T107:T113)</f>
        <v>3000000</v>
      </c>
      <c r="U114" s="486"/>
      <c r="V114" s="487"/>
      <c r="W114" s="486"/>
      <c r="X114" s="488"/>
      <c r="Y114" s="488">
        <f>SUM(Y108:Y113)</f>
        <v>3618543</v>
      </c>
      <c r="Z114" s="489">
        <f>SUM(Z102:Z110)</f>
        <v>0</v>
      </c>
      <c r="AA114" s="490"/>
      <c r="AB114" s="488">
        <f>SUM(AB108:AB113)</f>
        <v>38150000</v>
      </c>
      <c r="AC114" s="488">
        <f>SUM(AC108:AC113)</f>
        <v>46980543</v>
      </c>
      <c r="AD114" s="492">
        <f>SUM(AD108:AD113)</f>
        <v>43362000.000000007</v>
      </c>
      <c r="AE114" s="346"/>
      <c r="AF114" s="346"/>
      <c r="AG114" s="493"/>
    </row>
    <row r="115" spans="1:33" ht="26.4">
      <c r="A115" s="326">
        <v>1</v>
      </c>
      <c r="C115" s="631" t="s">
        <v>2640</v>
      </c>
      <c r="D115" s="46" t="s">
        <v>2629</v>
      </c>
      <c r="E115" s="47" t="s">
        <v>2677</v>
      </c>
      <c r="F115" s="126" t="s">
        <v>210</v>
      </c>
      <c r="G115" s="167"/>
      <c r="H115" s="167">
        <v>1</v>
      </c>
      <c r="I115" s="167"/>
      <c r="J115" s="154">
        <f>18110.19+6739.52</f>
        <v>24849.71</v>
      </c>
      <c r="K115" s="559" t="s">
        <v>2641</v>
      </c>
      <c r="L115" s="170" t="s">
        <v>2642</v>
      </c>
      <c r="M115" s="170" t="s">
        <v>210</v>
      </c>
      <c r="N115" s="170"/>
      <c r="O115" s="1612"/>
      <c r="P115" s="1612"/>
      <c r="Q115" s="248"/>
      <c r="R115" s="248"/>
      <c r="S115" s="248"/>
      <c r="T115" s="371">
        <v>500000</v>
      </c>
      <c r="U115" s="248"/>
      <c r="V115" s="247"/>
      <c r="W115" s="248"/>
      <c r="X115" s="341">
        <v>400000</v>
      </c>
      <c r="Y115" s="340">
        <f t="shared" ref="Y115:Y122" si="39">Q115+T115+U115+W115</f>
        <v>500000</v>
      </c>
      <c r="Z115" s="344">
        <f t="shared" ref="Z115:Z122" si="40">+V115</f>
        <v>0</v>
      </c>
      <c r="AA115" s="249" t="s">
        <v>1416</v>
      </c>
      <c r="AB115" s="341">
        <v>7100000</v>
      </c>
      <c r="AC115" s="342">
        <f t="shared" ref="AC115:AC122" si="41">((AB115+X115)*1.08)+Y115</f>
        <v>8600000</v>
      </c>
      <c r="AD115" s="341">
        <f t="shared" ref="AD115:AD122" si="42">(AB115+X115)*1.08</f>
        <v>8100000.0000000009</v>
      </c>
    </row>
    <row r="116" spans="1:33" ht="28.5" customHeight="1">
      <c r="A116" s="326">
        <f>+A117+1</f>
        <v>3</v>
      </c>
      <c r="C116" s="636" t="s">
        <v>2754</v>
      </c>
      <c r="D116" s="46" t="s">
        <v>2633</v>
      </c>
      <c r="E116" s="47" t="s">
        <v>2678</v>
      </c>
      <c r="F116" s="126" t="s">
        <v>1300</v>
      </c>
      <c r="G116" s="167"/>
      <c r="H116" s="167">
        <v>1</v>
      </c>
      <c r="I116" s="167"/>
      <c r="J116" s="154">
        <v>24053</v>
      </c>
      <c r="K116" s="559" t="s">
        <v>2680</v>
      </c>
      <c r="L116" s="170" t="s">
        <v>2679</v>
      </c>
      <c r="M116" s="532" t="s">
        <v>418</v>
      </c>
      <c r="N116" s="170"/>
      <c r="O116" s="1612"/>
      <c r="P116" s="1612"/>
      <c r="Q116" s="324">
        <v>545400</v>
      </c>
      <c r="R116" s="324">
        <v>766800</v>
      </c>
      <c r="S116" s="248"/>
      <c r="T116" s="371">
        <v>500000</v>
      </c>
      <c r="U116" s="248"/>
      <c r="V116" s="247"/>
      <c r="W116" s="324">
        <v>458100</v>
      </c>
      <c r="X116" s="341">
        <v>400000</v>
      </c>
      <c r="Y116" s="340">
        <f t="shared" si="39"/>
        <v>1503500</v>
      </c>
      <c r="Z116" s="344">
        <f t="shared" si="40"/>
        <v>0</v>
      </c>
      <c r="AA116" s="249"/>
      <c r="AB116" s="341">
        <v>7150000</v>
      </c>
      <c r="AC116" s="342">
        <f t="shared" si="41"/>
        <v>9657500</v>
      </c>
      <c r="AD116" s="341">
        <f t="shared" si="42"/>
        <v>8154000.0000000009</v>
      </c>
    </row>
    <row r="117" spans="1:33" ht="26.4">
      <c r="A117" s="326">
        <f>+A115+1</f>
        <v>2</v>
      </c>
      <c r="C117" s="631" t="s">
        <v>2673</v>
      </c>
      <c r="D117" s="46">
        <v>45448</v>
      </c>
      <c r="E117" s="47" t="s">
        <v>2675</v>
      </c>
      <c r="F117" s="126" t="s">
        <v>210</v>
      </c>
      <c r="G117" s="167"/>
      <c r="H117" s="167">
        <v>1</v>
      </c>
      <c r="I117" s="167"/>
      <c r="J117" s="154">
        <f>7790.44+16476.09</f>
        <v>24266.53</v>
      </c>
      <c r="K117" s="559" t="s">
        <v>2674</v>
      </c>
      <c r="L117" s="170" t="s">
        <v>2664</v>
      </c>
      <c r="M117" s="533" t="s">
        <v>136</v>
      </c>
      <c r="N117" s="170"/>
      <c r="O117" s="1612"/>
      <c r="P117" s="1612"/>
      <c r="Q117" s="248"/>
      <c r="R117" s="248"/>
      <c r="S117" s="248"/>
      <c r="T117" s="371">
        <v>500000</v>
      </c>
      <c r="U117" s="248"/>
      <c r="V117" s="247"/>
      <c r="W117" s="324">
        <v>475000</v>
      </c>
      <c r="X117" s="341">
        <v>400000</v>
      </c>
      <c r="Y117" s="340">
        <f t="shared" si="39"/>
        <v>975000</v>
      </c>
      <c r="Z117" s="344">
        <f t="shared" si="40"/>
        <v>0</v>
      </c>
      <c r="AA117" s="249"/>
      <c r="AB117" s="341">
        <v>7100000</v>
      </c>
      <c r="AC117" s="342">
        <f t="shared" si="41"/>
        <v>9075000</v>
      </c>
      <c r="AD117" s="341">
        <f t="shared" si="42"/>
        <v>8100000.0000000009</v>
      </c>
    </row>
    <row r="118" spans="1:33" ht="26.4">
      <c r="A118" s="326">
        <f>+A116+1</f>
        <v>4</v>
      </c>
      <c r="B118" s="644" t="s">
        <v>2692</v>
      </c>
      <c r="C118" s="640" t="s">
        <v>2696</v>
      </c>
      <c r="D118" s="46" t="s">
        <v>2692</v>
      </c>
      <c r="E118" s="47" t="s">
        <v>2695</v>
      </c>
      <c r="F118" s="126" t="s">
        <v>210</v>
      </c>
      <c r="G118" s="167"/>
      <c r="H118" s="167">
        <v>1</v>
      </c>
      <c r="I118" s="167"/>
      <c r="J118" s="154">
        <v>23474.370000000003</v>
      </c>
      <c r="K118" s="559" t="s">
        <v>2691</v>
      </c>
      <c r="L118" s="170" t="s">
        <v>2697</v>
      </c>
      <c r="M118" s="596" t="s">
        <v>210</v>
      </c>
      <c r="N118" s="170"/>
      <c r="O118" s="1612"/>
      <c r="P118" s="1612"/>
      <c r="Q118" s="248"/>
      <c r="R118" s="248"/>
      <c r="S118" s="248"/>
      <c r="T118" s="371">
        <v>500000</v>
      </c>
      <c r="U118" s="248"/>
      <c r="V118" s="247"/>
      <c r="W118" s="248"/>
      <c r="X118" s="341">
        <v>400000</v>
      </c>
      <c r="Y118" s="340">
        <f t="shared" si="39"/>
        <v>500000</v>
      </c>
      <c r="Z118" s="344">
        <f t="shared" si="40"/>
        <v>0</v>
      </c>
      <c r="AA118" s="249"/>
      <c r="AB118" s="341">
        <v>7100000</v>
      </c>
      <c r="AC118" s="342">
        <f t="shared" si="41"/>
        <v>8600000</v>
      </c>
      <c r="AD118" s="341">
        <f t="shared" si="42"/>
        <v>8100000.0000000009</v>
      </c>
    </row>
    <row r="119" spans="1:33" ht="27.75" customHeight="1">
      <c r="A119" s="326">
        <f>+A118+1</f>
        <v>5</v>
      </c>
      <c r="B119" s="98" t="s">
        <v>2698</v>
      </c>
      <c r="C119" s="636" t="s">
        <v>2714</v>
      </c>
      <c r="D119" s="46" t="s">
        <v>2688</v>
      </c>
      <c r="E119" s="47" t="s">
        <v>2723</v>
      </c>
      <c r="F119" s="126" t="s">
        <v>1300</v>
      </c>
      <c r="G119" s="167"/>
      <c r="H119" s="167">
        <v>1</v>
      </c>
      <c r="I119" s="167"/>
      <c r="J119" s="154">
        <v>24688.5</v>
      </c>
      <c r="K119" s="559" t="s">
        <v>2708</v>
      </c>
      <c r="L119" s="170" t="s">
        <v>2707</v>
      </c>
      <c r="M119" s="532" t="s">
        <v>418</v>
      </c>
      <c r="N119" s="170"/>
      <c r="O119" s="1612"/>
      <c r="P119" s="1612"/>
      <c r="Q119" s="324">
        <v>361800</v>
      </c>
      <c r="R119" s="324">
        <v>766800</v>
      </c>
      <c r="S119" s="248"/>
      <c r="T119" s="371">
        <v>500000</v>
      </c>
      <c r="U119" s="248"/>
      <c r="V119" s="247"/>
      <c r="W119" s="248"/>
      <c r="X119" s="341">
        <v>400000</v>
      </c>
      <c r="Y119" s="340">
        <f t="shared" si="39"/>
        <v>861800</v>
      </c>
      <c r="Z119" s="344">
        <f t="shared" si="40"/>
        <v>0</v>
      </c>
      <c r="AA119" s="249"/>
      <c r="AB119" s="341">
        <v>7150000</v>
      </c>
      <c r="AC119" s="342">
        <f t="shared" si="41"/>
        <v>9015800</v>
      </c>
      <c r="AD119" s="341">
        <f t="shared" si="42"/>
        <v>8154000.0000000009</v>
      </c>
    </row>
    <row r="120" spans="1:33" ht="26.4">
      <c r="A120" s="326">
        <f>+A119+1</f>
        <v>6</v>
      </c>
      <c r="B120" s="98" t="s">
        <v>2698</v>
      </c>
      <c r="C120" s="631" t="s">
        <v>2720</v>
      </c>
      <c r="D120" s="46" t="s">
        <v>2698</v>
      </c>
      <c r="E120" s="47" t="s">
        <v>2722</v>
      </c>
      <c r="F120" s="126" t="s">
        <v>210</v>
      </c>
      <c r="G120" s="167">
        <v>1</v>
      </c>
      <c r="H120" s="167"/>
      <c r="I120" s="167"/>
      <c r="J120" s="646">
        <v>14558.86</v>
      </c>
      <c r="K120" s="559" t="s">
        <v>2712</v>
      </c>
      <c r="L120" s="170" t="s">
        <v>2721</v>
      </c>
      <c r="M120" s="596" t="s">
        <v>210</v>
      </c>
      <c r="N120" s="170"/>
      <c r="O120" s="1612"/>
      <c r="P120" s="1612"/>
      <c r="Q120" s="248"/>
      <c r="R120" s="248"/>
      <c r="S120" s="248"/>
      <c r="T120" s="371">
        <v>250000</v>
      </c>
      <c r="U120" s="248"/>
      <c r="V120" s="247"/>
      <c r="W120" s="248"/>
      <c r="X120" s="341">
        <v>400000</v>
      </c>
      <c r="Y120" s="340">
        <f t="shared" si="39"/>
        <v>250000</v>
      </c>
      <c r="Z120" s="344">
        <f t="shared" si="40"/>
        <v>0</v>
      </c>
      <c r="AA120" s="249" t="s">
        <v>1416</v>
      </c>
      <c r="AB120" s="341">
        <v>6180000</v>
      </c>
      <c r="AC120" s="342">
        <f t="shared" si="41"/>
        <v>7356400.0000000009</v>
      </c>
      <c r="AD120" s="341">
        <f t="shared" si="42"/>
        <v>7106400.0000000009</v>
      </c>
    </row>
    <row r="121" spans="1:33" ht="26.4">
      <c r="A121" s="326">
        <f>+A120+1</f>
        <v>7</v>
      </c>
      <c r="B121" s="98" t="s">
        <v>2698</v>
      </c>
      <c r="C121" s="631" t="s">
        <v>2717</v>
      </c>
      <c r="D121" s="46" t="s">
        <v>2698</v>
      </c>
      <c r="E121" s="47" t="s">
        <v>2719</v>
      </c>
      <c r="F121" s="126" t="s">
        <v>210</v>
      </c>
      <c r="G121" s="167">
        <v>1</v>
      </c>
      <c r="H121" s="167"/>
      <c r="I121" s="167"/>
      <c r="J121" s="646">
        <v>14492.529999999999</v>
      </c>
      <c r="K121" s="559" t="s">
        <v>2713</v>
      </c>
      <c r="L121" s="170" t="s">
        <v>2718</v>
      </c>
      <c r="M121" s="596" t="s">
        <v>210</v>
      </c>
      <c r="N121" s="170"/>
      <c r="O121" s="1612"/>
      <c r="P121" s="1612"/>
      <c r="Q121" s="248"/>
      <c r="R121" s="248"/>
      <c r="S121" s="248"/>
      <c r="T121" s="371">
        <v>250000</v>
      </c>
      <c r="U121" s="248"/>
      <c r="V121" s="247"/>
      <c r="W121" s="248"/>
      <c r="X121" s="341">
        <v>400000</v>
      </c>
      <c r="Y121" s="340">
        <f t="shared" si="39"/>
        <v>250000</v>
      </c>
      <c r="Z121" s="344">
        <f t="shared" si="40"/>
        <v>0</v>
      </c>
      <c r="AA121" s="249" t="s">
        <v>1416</v>
      </c>
      <c r="AB121" s="341">
        <v>6180000</v>
      </c>
      <c r="AC121" s="342">
        <f t="shared" si="41"/>
        <v>7356400.0000000009</v>
      </c>
      <c r="AD121" s="341">
        <f t="shared" si="42"/>
        <v>7106400.0000000009</v>
      </c>
    </row>
    <row r="122" spans="1:33">
      <c r="A122" s="326">
        <f>+A121+1</f>
        <v>8</v>
      </c>
      <c r="B122" s="98" t="s">
        <v>2729</v>
      </c>
      <c r="C122" s="631" t="s">
        <v>2730</v>
      </c>
      <c r="D122" s="98" t="s">
        <v>2729</v>
      </c>
      <c r="E122" s="47" t="s">
        <v>2734</v>
      </c>
      <c r="F122" s="126" t="s">
        <v>210</v>
      </c>
      <c r="G122" s="167"/>
      <c r="H122" s="167"/>
      <c r="I122" s="167" t="s">
        <v>128</v>
      </c>
      <c r="J122" s="154">
        <v>85</v>
      </c>
      <c r="K122" s="559" t="s">
        <v>2731</v>
      </c>
      <c r="L122" s="170"/>
      <c r="M122" s="596" t="s">
        <v>210</v>
      </c>
      <c r="N122" s="170"/>
      <c r="O122" s="1612"/>
      <c r="P122" s="1612"/>
      <c r="Q122" s="248"/>
      <c r="R122" s="248"/>
      <c r="S122" s="248"/>
      <c r="T122" s="248"/>
      <c r="U122" s="248"/>
      <c r="V122" s="247"/>
      <c r="W122" s="248"/>
      <c r="X122" s="158"/>
      <c r="Y122" s="340">
        <f t="shared" si="39"/>
        <v>0</v>
      </c>
      <c r="Z122" s="344">
        <f t="shared" si="40"/>
        <v>0</v>
      </c>
      <c r="AA122" s="249" t="s">
        <v>1416</v>
      </c>
      <c r="AB122" s="341">
        <v>2930000</v>
      </c>
      <c r="AC122" s="342">
        <f t="shared" si="41"/>
        <v>3164400</v>
      </c>
      <c r="AD122" s="341">
        <f t="shared" si="42"/>
        <v>3164400</v>
      </c>
    </row>
    <row r="123" spans="1:33">
      <c r="A123" s="3701" t="s">
        <v>2756</v>
      </c>
      <c r="B123" s="3718"/>
      <c r="C123" s="3718"/>
      <c r="D123" s="3718"/>
      <c r="E123" s="3718"/>
      <c r="F123" s="3718"/>
      <c r="G123" s="3718"/>
      <c r="H123" s="3718"/>
      <c r="I123" s="3718"/>
      <c r="J123" s="3718"/>
      <c r="K123" s="3718"/>
      <c r="L123" s="3718"/>
      <c r="M123" s="346"/>
      <c r="N123" s="346"/>
      <c r="O123" s="346"/>
      <c r="P123" s="346"/>
      <c r="Q123" s="486"/>
      <c r="R123" s="500"/>
      <c r="S123" s="486">
        <f>+Q116+R116+Q119+R119+W117+W116</f>
        <v>3373900</v>
      </c>
      <c r="T123" s="486">
        <f>SUM(T115:T122)</f>
        <v>3000000</v>
      </c>
      <c r="U123" s="486"/>
      <c r="V123" s="487"/>
      <c r="W123" s="486"/>
      <c r="X123" s="488"/>
      <c r="Y123" s="488">
        <f>SUM(Y116:Y122)</f>
        <v>4340300</v>
      </c>
      <c r="Z123" s="489">
        <f>SUM(Z111:Z119)</f>
        <v>0</v>
      </c>
      <c r="AA123" s="490"/>
      <c r="AB123" s="488">
        <f>SUM(AB116:AB122)</f>
        <v>43790000</v>
      </c>
      <c r="AC123" s="488">
        <f>SUM(AC116:AC122)</f>
        <v>54225500</v>
      </c>
      <c r="AD123" s="492">
        <f>SUM(AD116:AD122)</f>
        <v>49885200.000000007</v>
      </c>
    </row>
    <row r="124" spans="1:33" ht="26.4">
      <c r="A124" s="326">
        <v>1</v>
      </c>
      <c r="B124" s="98" t="s">
        <v>2753</v>
      </c>
      <c r="C124" s="640" t="s">
        <v>2767</v>
      </c>
      <c r="D124" s="46" t="s">
        <v>2753</v>
      </c>
      <c r="E124" s="47" t="s">
        <v>2822</v>
      </c>
      <c r="F124" s="126" t="s">
        <v>210</v>
      </c>
      <c r="G124" s="167"/>
      <c r="H124" s="167">
        <v>1</v>
      </c>
      <c r="I124" s="167"/>
      <c r="J124" s="659">
        <v>28332.7</v>
      </c>
      <c r="K124" s="559" t="s">
        <v>2755</v>
      </c>
      <c r="L124" s="170" t="s">
        <v>2769</v>
      </c>
      <c r="M124" s="596" t="s">
        <v>210</v>
      </c>
      <c r="N124" s="477" t="s">
        <v>2759</v>
      </c>
      <c r="O124" s="1602"/>
      <c r="P124" s="1602"/>
      <c r="Q124" s="248"/>
      <c r="R124" s="248"/>
      <c r="S124" s="248"/>
      <c r="T124" s="371">
        <v>500000</v>
      </c>
      <c r="U124" s="248"/>
      <c r="V124" s="247"/>
      <c r="W124" s="248"/>
      <c r="X124" s="341">
        <v>400000</v>
      </c>
      <c r="Y124" s="340">
        <f t="shared" ref="Y124:Y136" si="43">Q124+T124+U124+W124</f>
        <v>500000</v>
      </c>
      <c r="Z124" s="344">
        <f t="shared" ref="Z124:Z136" si="44">+V124</f>
        <v>0</v>
      </c>
      <c r="AA124" s="249"/>
      <c r="AB124" s="341">
        <f>7100000+190000</f>
        <v>7290000</v>
      </c>
      <c r="AC124" s="342">
        <f t="shared" ref="AC124:AC136" si="45">((AB124+X124)*1.08)+Y124</f>
        <v>8805200</v>
      </c>
      <c r="AD124" s="341">
        <f t="shared" ref="AD124:AD136" si="46">(AB124+X124)*1.08</f>
        <v>8305200.0000000009</v>
      </c>
    </row>
    <row r="125" spans="1:33" ht="26.4">
      <c r="A125" s="326">
        <f>+A124+1</f>
        <v>2</v>
      </c>
      <c r="B125" s="98" t="s">
        <v>2779</v>
      </c>
      <c r="C125" s="717" t="s">
        <v>2781</v>
      </c>
      <c r="D125" s="46" t="s">
        <v>2779</v>
      </c>
      <c r="E125" s="47" t="s">
        <v>2823</v>
      </c>
      <c r="F125" s="126" t="s">
        <v>210</v>
      </c>
      <c r="G125" s="167"/>
      <c r="H125" s="167"/>
      <c r="I125" s="167">
        <v>1</v>
      </c>
      <c r="J125" s="154">
        <v>4423</v>
      </c>
      <c r="K125" s="559" t="s">
        <v>2780</v>
      </c>
      <c r="L125" s="170"/>
      <c r="M125" s="596" t="s">
        <v>210</v>
      </c>
      <c r="N125" s="477" t="s">
        <v>2782</v>
      </c>
      <c r="O125" s="1602"/>
      <c r="P125" s="1602"/>
      <c r="Q125" s="248"/>
      <c r="R125" s="248"/>
      <c r="S125" s="248"/>
      <c r="T125" s="371">
        <v>62631</v>
      </c>
      <c r="U125" s="248"/>
      <c r="V125" s="247"/>
      <c r="W125" s="248"/>
      <c r="X125" s="341">
        <v>400000</v>
      </c>
      <c r="Y125" s="340">
        <f t="shared" si="43"/>
        <v>62631</v>
      </c>
      <c r="Z125" s="344">
        <f t="shared" si="44"/>
        <v>0</v>
      </c>
      <c r="AA125" s="249" t="s">
        <v>2951</v>
      </c>
      <c r="AB125" s="341">
        <f>674000*8</f>
        <v>5392000</v>
      </c>
      <c r="AC125" s="342">
        <f t="shared" si="45"/>
        <v>6317991</v>
      </c>
      <c r="AD125" s="341">
        <f t="shared" si="46"/>
        <v>6255360</v>
      </c>
    </row>
    <row r="126" spans="1:33">
      <c r="A126" s="326">
        <v>3</v>
      </c>
      <c r="B126" s="591">
        <v>45419</v>
      </c>
      <c r="C126" s="717" t="s">
        <v>2817</v>
      </c>
      <c r="D126" s="46">
        <v>45478</v>
      </c>
      <c r="E126" s="47" t="s">
        <v>2824</v>
      </c>
      <c r="F126" s="126" t="s">
        <v>210</v>
      </c>
      <c r="G126" s="167"/>
      <c r="H126" s="167"/>
      <c r="I126" s="167">
        <v>1</v>
      </c>
      <c r="J126" s="154">
        <v>1608</v>
      </c>
      <c r="K126" s="559" t="s">
        <v>2804</v>
      </c>
      <c r="L126" s="170"/>
      <c r="M126" s="596" t="s">
        <v>210</v>
      </c>
      <c r="N126" s="477" t="s">
        <v>2805</v>
      </c>
      <c r="O126" s="1602"/>
      <c r="P126" s="1602"/>
      <c r="Q126" s="248"/>
      <c r="R126" s="248"/>
      <c r="S126" s="248"/>
      <c r="T126" s="371">
        <v>24120</v>
      </c>
      <c r="U126" s="248"/>
      <c r="V126" s="247"/>
      <c r="W126" s="248"/>
      <c r="X126" s="158"/>
      <c r="Y126" s="340">
        <f t="shared" si="43"/>
        <v>24120</v>
      </c>
      <c r="Z126" s="344">
        <f t="shared" si="44"/>
        <v>0</v>
      </c>
      <c r="AA126" s="249"/>
      <c r="AB126" s="341">
        <v>3250000</v>
      </c>
      <c r="AC126" s="342">
        <f t="shared" si="45"/>
        <v>3534120</v>
      </c>
      <c r="AD126" s="341">
        <f t="shared" si="46"/>
        <v>3510000</v>
      </c>
    </row>
    <row r="127" spans="1:33" ht="39.6">
      <c r="A127" s="326">
        <f>+A126+1</f>
        <v>4</v>
      </c>
      <c r="B127" s="681">
        <v>45542</v>
      </c>
      <c r="C127" s="718" t="s">
        <v>2834</v>
      </c>
      <c r="D127" s="46">
        <v>45478</v>
      </c>
      <c r="E127" s="47" t="s">
        <v>2825</v>
      </c>
      <c r="F127" s="709" t="s">
        <v>1300</v>
      </c>
      <c r="G127" s="167"/>
      <c r="H127" s="167">
        <v>2</v>
      </c>
      <c r="I127" s="167"/>
      <c r="J127" s="154">
        <f>47780/2</f>
        <v>23890</v>
      </c>
      <c r="K127" s="559" t="s">
        <v>2809</v>
      </c>
      <c r="L127" s="170" t="s">
        <v>2810</v>
      </c>
      <c r="M127" s="596" t="s">
        <v>210</v>
      </c>
      <c r="N127" s="664"/>
      <c r="O127" s="1641"/>
      <c r="P127" s="1641"/>
      <c r="Q127" s="324">
        <v>723600</v>
      </c>
      <c r="R127" s="324">
        <v>1533600</v>
      </c>
      <c r="S127" s="248"/>
      <c r="T127" s="371">
        <v>1000000</v>
      </c>
      <c r="U127" s="248"/>
      <c r="V127" s="247"/>
      <c r="W127" s="248"/>
      <c r="X127" s="341">
        <v>800000</v>
      </c>
      <c r="Y127" s="340">
        <f t="shared" si="43"/>
        <v>1723600</v>
      </c>
      <c r="Z127" s="344">
        <f t="shared" si="44"/>
        <v>0</v>
      </c>
      <c r="AA127" s="249"/>
      <c r="AB127" s="341">
        <f>7150000*2-(1500000)</f>
        <v>12800000</v>
      </c>
      <c r="AC127" s="342">
        <f t="shared" si="45"/>
        <v>16411600.000000002</v>
      </c>
      <c r="AD127" s="341">
        <f t="shared" si="46"/>
        <v>14688000.000000002</v>
      </c>
    </row>
    <row r="128" spans="1:33" ht="26.4">
      <c r="A128" s="326">
        <f>+A127+1</f>
        <v>5</v>
      </c>
      <c r="B128" s="591">
        <v>45511</v>
      </c>
      <c r="C128" s="717" t="s">
        <v>2833</v>
      </c>
      <c r="D128" s="386" t="s">
        <v>2806</v>
      </c>
      <c r="E128" s="47" t="s">
        <v>2832</v>
      </c>
      <c r="F128" s="126" t="s">
        <v>210</v>
      </c>
      <c r="G128" s="167"/>
      <c r="H128" s="167">
        <v>1</v>
      </c>
      <c r="I128" s="167"/>
      <c r="J128" s="154">
        <v>28438</v>
      </c>
      <c r="K128" s="559" t="s">
        <v>2802</v>
      </c>
      <c r="L128" s="170" t="s">
        <v>2831</v>
      </c>
      <c r="M128" s="596" t="s">
        <v>210</v>
      </c>
      <c r="N128" s="664" t="s">
        <v>2803</v>
      </c>
      <c r="O128" s="1641"/>
      <c r="P128" s="1641"/>
      <c r="Q128" s="248"/>
      <c r="R128" s="248"/>
      <c r="S128" s="248"/>
      <c r="T128" s="371">
        <v>500000</v>
      </c>
      <c r="U128" s="248"/>
      <c r="V128" s="247"/>
      <c r="W128" s="248"/>
      <c r="X128" s="341">
        <v>400000</v>
      </c>
      <c r="Y128" s="340">
        <f t="shared" si="43"/>
        <v>500000</v>
      </c>
      <c r="Z128" s="344">
        <f t="shared" si="44"/>
        <v>0</v>
      </c>
      <c r="AA128" s="249"/>
      <c r="AB128" s="341">
        <v>7100000</v>
      </c>
      <c r="AC128" s="342">
        <f t="shared" si="45"/>
        <v>8600000</v>
      </c>
      <c r="AD128" s="341">
        <f t="shared" si="46"/>
        <v>8100000.0000000009</v>
      </c>
    </row>
    <row r="129" spans="1:33" ht="26.4">
      <c r="A129" s="326">
        <v>6</v>
      </c>
      <c r="B129" s="668">
        <v>45542</v>
      </c>
      <c r="C129" s="719" t="s">
        <v>2841</v>
      </c>
      <c r="D129" s="682" t="s">
        <v>2812</v>
      </c>
      <c r="E129" s="332" t="s">
        <v>2842</v>
      </c>
      <c r="F129" s="444" t="s">
        <v>210</v>
      </c>
      <c r="G129" s="167"/>
      <c r="H129" s="167"/>
      <c r="I129" s="167">
        <v>1</v>
      </c>
      <c r="J129" s="127"/>
      <c r="K129" s="1669" t="s">
        <v>2835</v>
      </c>
      <c r="L129" s="1776"/>
      <c r="M129" s="596" t="s">
        <v>210</v>
      </c>
      <c r="N129" s="669" t="s">
        <v>2836</v>
      </c>
      <c r="O129" s="2141"/>
      <c r="P129" s="1642"/>
      <c r="Q129" s="409"/>
      <c r="R129" s="409"/>
      <c r="S129" s="409"/>
      <c r="T129" s="371">
        <v>75999</v>
      </c>
      <c r="U129" s="409"/>
      <c r="V129" s="410"/>
      <c r="W129" s="409"/>
      <c r="X129" s="341">
        <v>400000</v>
      </c>
      <c r="Y129" s="340">
        <f t="shared" si="43"/>
        <v>75999</v>
      </c>
      <c r="Z129" s="344">
        <f t="shared" si="44"/>
        <v>0</v>
      </c>
      <c r="AA129" s="249" t="s">
        <v>2977</v>
      </c>
      <c r="AB129" s="341">
        <f>674000*8</f>
        <v>5392000</v>
      </c>
      <c r="AC129" s="342">
        <f t="shared" si="45"/>
        <v>6331359</v>
      </c>
      <c r="AD129" s="341">
        <f t="shared" si="46"/>
        <v>6255360</v>
      </c>
    </row>
    <row r="130" spans="1:33" s="678" customFormat="1" ht="52.8">
      <c r="A130" s="98">
        <v>7</v>
      </c>
      <c r="B130" s="708" t="s">
        <v>2899</v>
      </c>
      <c r="C130" s="721" t="s">
        <v>3027</v>
      </c>
      <c r="D130" s="684" t="s">
        <v>2847</v>
      </c>
      <c r="E130" s="47" t="s">
        <v>2910</v>
      </c>
      <c r="F130" s="166" t="s">
        <v>1300</v>
      </c>
      <c r="G130" s="87"/>
      <c r="H130" s="98">
        <v>1</v>
      </c>
      <c r="I130" s="87"/>
      <c r="J130" s="679">
        <v>18891</v>
      </c>
      <c r="K130" s="1673" t="s">
        <v>2837</v>
      </c>
      <c r="L130" s="1918" t="s">
        <v>2838</v>
      </c>
      <c r="M130" s="533" t="s">
        <v>136</v>
      </c>
      <c r="N130" s="680">
        <v>45572</v>
      </c>
      <c r="O130" s="1643"/>
      <c r="P130" s="1643"/>
      <c r="Q130" s="324">
        <v>629640</v>
      </c>
      <c r="R130" s="324">
        <v>766800</v>
      </c>
      <c r="S130" s="248"/>
      <c r="T130" s="371">
        <v>500000</v>
      </c>
      <c r="U130" s="248"/>
      <c r="V130" s="247"/>
      <c r="W130" s="716">
        <v>70000</v>
      </c>
      <c r="X130" s="341">
        <v>1200000</v>
      </c>
      <c r="Y130" s="340">
        <f t="shared" si="43"/>
        <v>1199640</v>
      </c>
      <c r="Z130" s="344">
        <f t="shared" si="44"/>
        <v>0</v>
      </c>
      <c r="AA130" s="391" t="s">
        <v>2101</v>
      </c>
      <c r="AB130" s="341">
        <v>7050000</v>
      </c>
      <c r="AC130" s="342">
        <f t="shared" si="45"/>
        <v>10109640</v>
      </c>
      <c r="AD130" s="341">
        <f t="shared" si="46"/>
        <v>8910000</v>
      </c>
      <c r="AE130" s="87"/>
      <c r="AF130" s="87"/>
      <c r="AG130" s="46"/>
    </row>
    <row r="131" spans="1:33" ht="26.4">
      <c r="A131" s="670">
        <v>8</v>
      </c>
      <c r="B131" s="671" t="s">
        <v>2845</v>
      </c>
      <c r="C131" s="720" t="s">
        <v>2881</v>
      </c>
      <c r="D131" s="699" t="s">
        <v>2882</v>
      </c>
      <c r="E131" s="672" t="s">
        <v>2888</v>
      </c>
      <c r="F131" s="673" t="s">
        <v>210</v>
      </c>
      <c r="G131" s="445"/>
      <c r="H131" s="445">
        <v>1</v>
      </c>
      <c r="I131" s="445"/>
      <c r="J131" s="701">
        <v>24806.98</v>
      </c>
      <c r="K131" s="1674" t="s">
        <v>2851</v>
      </c>
      <c r="L131" s="1777" t="s">
        <v>2861</v>
      </c>
      <c r="M131" s="700" t="s">
        <v>210</v>
      </c>
      <c r="N131" s="581" t="s">
        <v>2811</v>
      </c>
      <c r="O131" s="581"/>
      <c r="P131" s="581"/>
      <c r="Q131" s="425"/>
      <c r="R131" s="425"/>
      <c r="S131" s="425"/>
      <c r="T131" s="371">
        <v>500000</v>
      </c>
      <c r="U131" s="425"/>
      <c r="V131" s="426"/>
      <c r="W131" s="425"/>
      <c r="X131" s="341">
        <v>400000</v>
      </c>
      <c r="Y131" s="674">
        <f t="shared" si="43"/>
        <v>500000</v>
      </c>
      <c r="Z131" s="675">
        <f t="shared" si="44"/>
        <v>0</v>
      </c>
      <c r="AA131" s="667"/>
      <c r="AB131" s="341">
        <v>7100000</v>
      </c>
      <c r="AC131" s="677">
        <f t="shared" si="45"/>
        <v>8600000</v>
      </c>
      <c r="AD131" s="676">
        <f t="shared" si="46"/>
        <v>8100000.0000000009</v>
      </c>
    </row>
    <row r="132" spans="1:33" ht="26.4">
      <c r="A132" s="326">
        <v>9</v>
      </c>
      <c r="B132" s="686" t="s">
        <v>2887</v>
      </c>
      <c r="C132" s="717" t="s">
        <v>2927</v>
      </c>
      <c r="D132" s="386" t="s">
        <v>2887</v>
      </c>
      <c r="E132" s="47" t="s">
        <v>2928</v>
      </c>
      <c r="F132" s="126" t="s">
        <v>210</v>
      </c>
      <c r="G132" s="167">
        <v>1</v>
      </c>
      <c r="H132" s="167"/>
      <c r="I132" s="167"/>
      <c r="J132" s="646">
        <v>14796.23</v>
      </c>
      <c r="K132" s="559" t="s">
        <v>2859</v>
      </c>
      <c r="L132" s="170" t="s">
        <v>2917</v>
      </c>
      <c r="M132" s="700" t="s">
        <v>210</v>
      </c>
      <c r="N132" s="477" t="s">
        <v>2919</v>
      </c>
      <c r="O132" s="1602"/>
      <c r="P132" s="1602"/>
      <c r="Q132" s="248"/>
      <c r="R132" s="248"/>
      <c r="S132" s="248"/>
      <c r="T132" s="371">
        <v>250000</v>
      </c>
      <c r="U132" s="248"/>
      <c r="V132" s="247"/>
      <c r="W132" s="248"/>
      <c r="X132" s="341">
        <v>400000</v>
      </c>
      <c r="Y132" s="674">
        <f t="shared" si="43"/>
        <v>250000</v>
      </c>
      <c r="Z132" s="675">
        <f t="shared" si="44"/>
        <v>0</v>
      </c>
      <c r="AA132" s="249"/>
      <c r="AB132" s="676">
        <v>6180000</v>
      </c>
      <c r="AC132" s="677">
        <f t="shared" si="45"/>
        <v>7356400.0000000009</v>
      </c>
      <c r="AD132" s="676">
        <f t="shared" si="46"/>
        <v>7106400.0000000009</v>
      </c>
    </row>
    <row r="133" spans="1:33" ht="26.4">
      <c r="A133" s="670">
        <v>10</v>
      </c>
      <c r="B133" s="686" t="s">
        <v>2887</v>
      </c>
      <c r="C133" s="717" t="s">
        <v>2958</v>
      </c>
      <c r="D133" s="386" t="s">
        <v>2887</v>
      </c>
      <c r="E133" s="47" t="s">
        <v>2929</v>
      </c>
      <c r="F133" s="126" t="s">
        <v>210</v>
      </c>
      <c r="G133" s="167"/>
      <c r="H133" s="167">
        <v>1</v>
      </c>
      <c r="I133" s="167"/>
      <c r="J133" s="646">
        <v>24846.47</v>
      </c>
      <c r="K133" s="559" t="s">
        <v>2860</v>
      </c>
      <c r="L133" s="170" t="s">
        <v>2918</v>
      </c>
      <c r="M133" s="700" t="s">
        <v>210</v>
      </c>
      <c r="N133" s="477" t="s">
        <v>2919</v>
      </c>
      <c r="O133" s="1602"/>
      <c r="P133" s="1602"/>
      <c r="Q133" s="248"/>
      <c r="R133" s="248"/>
      <c r="S133" s="248"/>
      <c r="T133" s="371">
        <v>500000</v>
      </c>
      <c r="U133" s="248"/>
      <c r="V133" s="247"/>
      <c r="W133" s="248"/>
      <c r="X133" s="341">
        <v>400000</v>
      </c>
      <c r="Y133" s="674">
        <f t="shared" si="43"/>
        <v>500000</v>
      </c>
      <c r="Z133" s="675">
        <f t="shared" si="44"/>
        <v>0</v>
      </c>
      <c r="AA133" s="249"/>
      <c r="AB133" s="341">
        <v>7100000</v>
      </c>
      <c r="AC133" s="677">
        <f t="shared" si="45"/>
        <v>8600000</v>
      </c>
      <c r="AD133" s="676">
        <f t="shared" si="46"/>
        <v>8100000.0000000009</v>
      </c>
    </row>
    <row r="134" spans="1:33" ht="32.25" customHeight="1">
      <c r="A134" s="326">
        <v>11</v>
      </c>
      <c r="B134" s="686" t="s">
        <v>2935</v>
      </c>
      <c r="C134" s="632" t="s">
        <v>2959</v>
      </c>
      <c r="D134" s="386" t="s">
        <v>2935</v>
      </c>
      <c r="E134" s="713" t="s">
        <v>2963</v>
      </c>
      <c r="F134" s="126" t="s">
        <v>210</v>
      </c>
      <c r="G134" s="167"/>
      <c r="H134" s="167">
        <v>1</v>
      </c>
      <c r="I134" s="167"/>
      <c r="J134" s="154"/>
      <c r="K134" s="1675" t="s">
        <v>2936</v>
      </c>
      <c r="L134" s="170" t="s">
        <v>2962</v>
      </c>
      <c r="M134" s="700" t="s">
        <v>210</v>
      </c>
      <c r="N134" s="477" t="s">
        <v>2964</v>
      </c>
      <c r="O134" s="1602"/>
      <c r="P134" s="1602"/>
      <c r="Q134" s="248"/>
      <c r="R134" s="248"/>
      <c r="S134" s="248"/>
      <c r="T134" s="371">
        <v>500000</v>
      </c>
      <c r="U134" s="248"/>
      <c r="V134" s="247"/>
      <c r="W134" s="248"/>
      <c r="X134" s="341">
        <v>400000</v>
      </c>
      <c r="Y134" s="674">
        <f t="shared" si="43"/>
        <v>500000</v>
      </c>
      <c r="Z134" s="675">
        <f t="shared" si="44"/>
        <v>0</v>
      </c>
      <c r="AA134" s="249"/>
      <c r="AB134" s="341">
        <v>7100000</v>
      </c>
      <c r="AC134" s="677">
        <f t="shared" si="45"/>
        <v>8600000</v>
      </c>
      <c r="AD134" s="676">
        <f t="shared" si="46"/>
        <v>8100000.0000000009</v>
      </c>
    </row>
    <row r="135" spans="1:33" ht="26.4">
      <c r="A135" s="670">
        <v>12</v>
      </c>
      <c r="B135" s="686" t="s">
        <v>2953</v>
      </c>
      <c r="C135" s="710" t="s">
        <v>2968</v>
      </c>
      <c r="D135" s="386" t="s">
        <v>2925</v>
      </c>
      <c r="E135" s="714" t="s">
        <v>2969</v>
      </c>
      <c r="F135" s="709" t="s">
        <v>1300</v>
      </c>
      <c r="G135" s="167"/>
      <c r="H135" s="167"/>
      <c r="I135" s="167">
        <v>1</v>
      </c>
      <c r="J135" s="646">
        <v>9808.4</v>
      </c>
      <c r="K135" s="559" t="s">
        <v>2916</v>
      </c>
      <c r="L135" s="170"/>
      <c r="M135" s="715" t="s">
        <v>663</v>
      </c>
      <c r="N135" s="477" t="s">
        <v>2899</v>
      </c>
      <c r="O135" s="1602"/>
      <c r="P135" s="1602"/>
      <c r="Q135" s="248"/>
      <c r="R135" s="248"/>
      <c r="S135" s="248"/>
      <c r="T135" s="324">
        <v>147126</v>
      </c>
      <c r="U135" s="248"/>
      <c r="V135" s="247"/>
      <c r="W135" s="716">
        <f>1040217+120000</f>
        <v>1160217</v>
      </c>
      <c r="X135" s="341">
        <v>400000</v>
      </c>
      <c r="Y135" s="674">
        <f t="shared" si="43"/>
        <v>1307343</v>
      </c>
      <c r="Z135" s="675">
        <f t="shared" si="44"/>
        <v>0</v>
      </c>
      <c r="AA135" s="391" t="s">
        <v>2101</v>
      </c>
      <c r="AB135" s="341">
        <f>674000*9.8</f>
        <v>6605200.0000000009</v>
      </c>
      <c r="AC135" s="677">
        <f t="shared" si="45"/>
        <v>8872959.0000000019</v>
      </c>
      <c r="AD135" s="676">
        <f t="shared" si="46"/>
        <v>7565616.0000000019</v>
      </c>
    </row>
    <row r="136" spans="1:33" ht="30" customHeight="1">
      <c r="A136" s="326">
        <v>13</v>
      </c>
      <c r="B136" s="686" t="s">
        <v>2979</v>
      </c>
      <c r="C136" s="639" t="s">
        <v>3028</v>
      </c>
      <c r="D136" s="386" t="s">
        <v>2953</v>
      </c>
      <c r="E136" s="47" t="s">
        <v>2972</v>
      </c>
      <c r="F136" s="709" t="s">
        <v>1300</v>
      </c>
      <c r="G136" s="167"/>
      <c r="H136" s="167">
        <v>1</v>
      </c>
      <c r="I136" s="167"/>
      <c r="J136" s="154">
        <v>24373</v>
      </c>
      <c r="K136" s="559" t="s">
        <v>2933</v>
      </c>
      <c r="L136" s="170" t="s">
        <v>2934</v>
      </c>
      <c r="M136" s="723" t="s">
        <v>136</v>
      </c>
      <c r="N136" s="477" t="s">
        <v>2935</v>
      </c>
      <c r="O136" s="1602"/>
      <c r="P136" s="1602"/>
      <c r="Q136" s="324">
        <f>361800+267840</f>
        <v>629640</v>
      </c>
      <c r="R136" s="324">
        <v>766800</v>
      </c>
      <c r="S136" s="248"/>
      <c r="T136" s="324">
        <v>500000</v>
      </c>
      <c r="U136" s="248"/>
      <c r="V136" s="247"/>
      <c r="W136" s="248"/>
      <c r="X136" s="341">
        <v>400000</v>
      </c>
      <c r="Y136" s="674">
        <f t="shared" si="43"/>
        <v>1129640</v>
      </c>
      <c r="Z136" s="675">
        <f t="shared" si="44"/>
        <v>0</v>
      </c>
      <c r="AA136" s="249" t="s">
        <v>2949</v>
      </c>
      <c r="AB136" s="341">
        <v>7150000</v>
      </c>
      <c r="AC136" s="677">
        <f t="shared" si="45"/>
        <v>9283640</v>
      </c>
      <c r="AD136" s="676">
        <f t="shared" si="46"/>
        <v>8154000.0000000009</v>
      </c>
    </row>
    <row r="137" spans="1:33">
      <c r="A137" s="3701" t="s">
        <v>2941</v>
      </c>
      <c r="B137" s="3718"/>
      <c r="C137" s="3718"/>
      <c r="D137" s="3718"/>
      <c r="E137" s="3718"/>
      <c r="F137" s="3718"/>
      <c r="G137" s="3718"/>
      <c r="H137" s="3718"/>
      <c r="I137" s="3718"/>
      <c r="J137" s="3718"/>
      <c r="K137" s="3718"/>
      <c r="L137" s="3718"/>
      <c r="M137" s="346"/>
      <c r="N137" s="346"/>
      <c r="O137" s="346"/>
      <c r="P137" s="346"/>
      <c r="Q137" s="486"/>
      <c r="R137" s="500"/>
      <c r="S137" s="486">
        <f>+Q127+R127+Q130+R130+T135+T136+Q136+R136+W130+W135</f>
        <v>6927423</v>
      </c>
      <c r="T137" s="486">
        <f>SUM(T124:T134)</f>
        <v>4412750</v>
      </c>
      <c r="U137" s="486"/>
      <c r="V137" s="487"/>
      <c r="W137" s="486"/>
      <c r="X137" s="488"/>
      <c r="Y137" s="488">
        <f>SUM(Y124:Y136)</f>
        <v>8272973</v>
      </c>
      <c r="Z137" s="489">
        <f>SUM(Z123:Z131)</f>
        <v>0</v>
      </c>
      <c r="AA137" s="490"/>
      <c r="AB137" s="488">
        <f>SUM(AB124:AB136)</f>
        <v>89509200</v>
      </c>
      <c r="AC137" s="488">
        <f>SUM(AC124:AC136)</f>
        <v>111422909</v>
      </c>
      <c r="AD137" s="488">
        <f>SUM(AD124:AD136)</f>
        <v>103149936</v>
      </c>
    </row>
    <row r="138" spans="1:33">
      <c r="A138" s="326">
        <v>1</v>
      </c>
      <c r="C138" s="717" t="s">
        <v>2817</v>
      </c>
      <c r="D138" s="46">
        <v>45478</v>
      </c>
      <c r="E138" s="47" t="s">
        <v>3161</v>
      </c>
      <c r="F138" s="126" t="s">
        <v>210</v>
      </c>
      <c r="G138" s="167"/>
      <c r="H138" s="167"/>
      <c r="I138" s="167"/>
      <c r="J138" s="154">
        <v>1608</v>
      </c>
      <c r="K138" s="559" t="s">
        <v>2804</v>
      </c>
      <c r="L138" s="170"/>
      <c r="M138" s="596" t="s">
        <v>210</v>
      </c>
      <c r="N138" s="477" t="s">
        <v>2805</v>
      </c>
      <c r="O138" s="1602"/>
      <c r="P138" s="1602"/>
      <c r="Q138" s="248"/>
      <c r="R138" s="248"/>
      <c r="S138" s="248"/>
      <c r="T138" s="324">
        <v>60000</v>
      </c>
      <c r="U138" s="248"/>
      <c r="V138" s="247"/>
      <c r="W138" s="248"/>
      <c r="X138" s="158"/>
      <c r="Y138" s="674">
        <f>Q138+T138+U138+W138</f>
        <v>60000</v>
      </c>
      <c r="Z138" s="675">
        <f t="shared" ref="Z138:Z148" si="47">+V138</f>
        <v>0</v>
      </c>
      <c r="AA138" s="249" t="s">
        <v>3076</v>
      </c>
      <c r="AB138" s="341">
        <v>800000</v>
      </c>
      <c r="AC138" s="677">
        <f t="shared" ref="AC138:AC148" si="48">((AB138+X138)*1.08)+Y138</f>
        <v>924000</v>
      </c>
      <c r="AD138" s="676">
        <f t="shared" ref="AD138:AD148" si="49">(AB138+X138)*1.08</f>
        <v>864000</v>
      </c>
    </row>
    <row r="139" spans="1:33" ht="26.4">
      <c r="A139" s="326">
        <v>2</v>
      </c>
      <c r="C139" s="717" t="s">
        <v>2781</v>
      </c>
      <c r="D139" s="46" t="s">
        <v>2779</v>
      </c>
      <c r="E139" s="47" t="s">
        <v>3162</v>
      </c>
      <c r="F139" s="126" t="s">
        <v>210</v>
      </c>
      <c r="G139" s="167"/>
      <c r="H139" s="167"/>
      <c r="I139" s="167"/>
      <c r="J139" s="154">
        <v>4423</v>
      </c>
      <c r="K139" s="559" t="s">
        <v>2780</v>
      </c>
      <c r="L139" s="170"/>
      <c r="M139" s="596" t="s">
        <v>210</v>
      </c>
      <c r="N139" s="477" t="s">
        <v>2782</v>
      </c>
      <c r="O139" s="1602"/>
      <c r="P139" s="1602"/>
      <c r="Q139" s="248"/>
      <c r="R139" s="248"/>
      <c r="S139" s="248"/>
      <c r="T139" s="324">
        <v>60000</v>
      </c>
      <c r="U139" s="248"/>
      <c r="V139" s="247"/>
      <c r="W139" s="248"/>
      <c r="X139" s="158"/>
      <c r="Y139" s="674">
        <f>Q139+T139+U139+W139</f>
        <v>60000</v>
      </c>
      <c r="Z139" s="675">
        <f t="shared" si="47"/>
        <v>0</v>
      </c>
      <c r="AA139" s="249" t="s">
        <v>3077</v>
      </c>
      <c r="AB139" s="341">
        <v>800000</v>
      </c>
      <c r="AC139" s="677">
        <f t="shared" si="48"/>
        <v>924000</v>
      </c>
      <c r="AD139" s="676">
        <f t="shared" si="49"/>
        <v>864000</v>
      </c>
    </row>
    <row r="140" spans="1:33" ht="26.4">
      <c r="A140" s="326">
        <v>3</v>
      </c>
      <c r="C140" s="719" t="s">
        <v>2841</v>
      </c>
      <c r="D140" s="682" t="s">
        <v>2812</v>
      </c>
      <c r="E140" s="332" t="s">
        <v>3163</v>
      </c>
      <c r="F140" s="444" t="s">
        <v>210</v>
      </c>
      <c r="G140" s="167"/>
      <c r="H140" s="167"/>
      <c r="I140" s="167"/>
      <c r="J140" s="127"/>
      <c r="K140" s="1669" t="s">
        <v>2835</v>
      </c>
      <c r="L140" s="1776"/>
      <c r="M140" s="596" t="s">
        <v>210</v>
      </c>
      <c r="N140" s="669" t="s">
        <v>2836</v>
      </c>
      <c r="O140" s="2141"/>
      <c r="P140" s="1642"/>
      <c r="Q140" s="248"/>
      <c r="R140" s="248"/>
      <c r="S140" s="248"/>
      <c r="T140" s="324">
        <v>60000</v>
      </c>
      <c r="U140" s="248"/>
      <c r="V140" s="247"/>
      <c r="W140" s="248"/>
      <c r="X140" s="158"/>
      <c r="Y140" s="674">
        <f>Q140+T140+U140+W140</f>
        <v>60000</v>
      </c>
      <c r="Z140" s="675">
        <f t="shared" si="47"/>
        <v>0</v>
      </c>
      <c r="AA140" s="249" t="s">
        <v>3077</v>
      </c>
      <c r="AB140" s="341">
        <v>800000</v>
      </c>
      <c r="AC140" s="677">
        <f t="shared" si="48"/>
        <v>924000</v>
      </c>
      <c r="AD140" s="676">
        <f t="shared" si="49"/>
        <v>864000</v>
      </c>
    </row>
    <row r="141" spans="1:33">
      <c r="A141" s="326">
        <v>4</v>
      </c>
      <c r="B141" s="731" t="s">
        <v>3045</v>
      </c>
      <c r="C141" s="45" t="s">
        <v>3207</v>
      </c>
      <c r="D141" s="386" t="s">
        <v>3206</v>
      </c>
      <c r="E141" s="47" t="s">
        <v>3072</v>
      </c>
      <c r="F141" s="126" t="s">
        <v>1300</v>
      </c>
      <c r="G141" s="167"/>
      <c r="H141" s="167"/>
      <c r="I141" s="154"/>
      <c r="J141" s="733"/>
      <c r="K141" s="737"/>
      <c r="L141" s="737"/>
      <c r="M141" s="736"/>
      <c r="N141" s="736"/>
      <c r="O141" s="1644"/>
      <c r="P141" s="1644"/>
      <c r="Q141" s="736"/>
      <c r="R141" s="736"/>
      <c r="S141" s="736"/>
      <c r="T141" s="736"/>
      <c r="U141" s="736"/>
      <c r="V141" s="736"/>
      <c r="W141" s="736"/>
      <c r="X141" s="736"/>
      <c r="Y141" s="674">
        <f>Q141+T141+U141+W141</f>
        <v>0</v>
      </c>
      <c r="Z141" s="675">
        <f t="shared" si="47"/>
        <v>0</v>
      </c>
      <c r="AA141" s="490" t="s">
        <v>3160</v>
      </c>
      <c r="AB141" s="341">
        <v>1500000</v>
      </c>
      <c r="AC141" s="677">
        <f t="shared" si="48"/>
        <v>1620000</v>
      </c>
      <c r="AD141" s="676">
        <f t="shared" si="49"/>
        <v>1620000</v>
      </c>
      <c r="AE141" s="751"/>
      <c r="AF141" s="13"/>
      <c r="AG141" s="13"/>
    </row>
    <row r="142" spans="1:33">
      <c r="A142" s="326">
        <v>5</v>
      </c>
      <c r="B142" s="686" t="s">
        <v>3049</v>
      </c>
      <c r="C142" s="635" t="s">
        <v>3030</v>
      </c>
      <c r="D142" s="386" t="s">
        <v>3009</v>
      </c>
      <c r="E142" s="47" t="s">
        <v>3061</v>
      </c>
      <c r="F142" s="709" t="s">
        <v>1300</v>
      </c>
      <c r="G142" s="167"/>
      <c r="H142" s="167"/>
      <c r="I142" s="167">
        <v>1</v>
      </c>
      <c r="J142" s="154">
        <v>6600</v>
      </c>
      <c r="K142" s="559" t="s">
        <v>2986</v>
      </c>
      <c r="L142" s="170"/>
      <c r="M142" s="758" t="s">
        <v>418</v>
      </c>
      <c r="N142" s="477" t="s">
        <v>3007</v>
      </c>
      <c r="O142" s="1602"/>
      <c r="P142" s="1602"/>
      <c r="Q142" s="248"/>
      <c r="R142" s="248"/>
      <c r="S142" s="248"/>
      <c r="T142" s="371">
        <v>99000</v>
      </c>
      <c r="U142" s="248"/>
      <c r="V142" s="247"/>
      <c r="W142" s="248"/>
      <c r="X142" s="158"/>
      <c r="Y142" s="674">
        <f>Q142+T142+U142+W142</f>
        <v>99000</v>
      </c>
      <c r="Z142" s="675">
        <f t="shared" si="47"/>
        <v>0</v>
      </c>
      <c r="AA142" s="249"/>
      <c r="AB142" s="341">
        <f>674000*6.6</f>
        <v>4448400</v>
      </c>
      <c r="AC142" s="677">
        <f t="shared" si="48"/>
        <v>4903272</v>
      </c>
      <c r="AD142" s="676">
        <f t="shared" si="49"/>
        <v>4804272</v>
      </c>
    </row>
    <row r="143" spans="1:33" ht="26.4">
      <c r="A143" s="326">
        <v>6</v>
      </c>
      <c r="B143" s="686" t="s">
        <v>3016</v>
      </c>
      <c r="C143" s="632" t="s">
        <v>3057</v>
      </c>
      <c r="D143" s="386" t="s">
        <v>3016</v>
      </c>
      <c r="E143" s="47" t="s">
        <v>3062</v>
      </c>
      <c r="F143" s="126" t="s">
        <v>210</v>
      </c>
      <c r="G143" s="167"/>
      <c r="H143" s="730">
        <v>1</v>
      </c>
      <c r="I143" s="167"/>
      <c r="J143" s="762">
        <f>7.90566+16.96592</f>
        <v>24.871580000000002</v>
      </c>
      <c r="K143" s="559" t="s">
        <v>3017</v>
      </c>
      <c r="L143" s="170" t="s">
        <v>3054</v>
      </c>
      <c r="M143" s="596" t="s">
        <v>210</v>
      </c>
      <c r="N143" s="477" t="s">
        <v>3055</v>
      </c>
      <c r="O143" s="1602"/>
      <c r="P143" s="1602"/>
      <c r="Q143" s="248"/>
      <c r="R143" s="776"/>
      <c r="S143" s="776"/>
      <c r="T143" s="371">
        <v>500000</v>
      </c>
      <c r="U143" s="248"/>
      <c r="V143" s="247"/>
      <c r="W143" s="248"/>
      <c r="X143" s="341">
        <v>400000</v>
      </c>
      <c r="Y143" s="674">
        <f>S143+T143+U143+W143</f>
        <v>500000</v>
      </c>
      <c r="Z143" s="675">
        <f t="shared" si="47"/>
        <v>0</v>
      </c>
      <c r="AA143" s="249" t="s">
        <v>3174</v>
      </c>
      <c r="AB143" s="341">
        <f>7100000</f>
        <v>7100000</v>
      </c>
      <c r="AC143" s="677">
        <f t="shared" si="48"/>
        <v>8600000</v>
      </c>
      <c r="AD143" s="676">
        <f t="shared" si="49"/>
        <v>8100000.0000000009</v>
      </c>
    </row>
    <row r="144" spans="1:33" ht="26.4">
      <c r="A144" s="326">
        <v>7</v>
      </c>
      <c r="B144" s="686" t="s">
        <v>3016</v>
      </c>
      <c r="C144" s="345" t="s">
        <v>3056</v>
      </c>
      <c r="D144" s="386" t="s">
        <v>3016</v>
      </c>
      <c r="E144" s="47" t="s">
        <v>3063</v>
      </c>
      <c r="F144" s="126" t="s">
        <v>210</v>
      </c>
      <c r="G144" s="167"/>
      <c r="H144" s="730">
        <v>1</v>
      </c>
      <c r="I144" s="167"/>
      <c r="J144" s="154">
        <f>19113.05+5562.4</f>
        <v>24675.449999999997</v>
      </c>
      <c r="K144" s="559" t="s">
        <v>2998</v>
      </c>
      <c r="L144" s="170" t="s">
        <v>3053</v>
      </c>
      <c r="M144" s="596" t="s">
        <v>210</v>
      </c>
      <c r="N144" s="477" t="s">
        <v>3055</v>
      </c>
      <c r="O144" s="1602"/>
      <c r="P144" s="1602"/>
      <c r="Q144" s="248"/>
      <c r="R144" s="776"/>
      <c r="S144" s="776"/>
      <c r="T144" s="371">
        <v>500000</v>
      </c>
      <c r="U144" s="248"/>
      <c r="V144" s="247"/>
      <c r="W144" s="248"/>
      <c r="X144" s="341">
        <v>400000</v>
      </c>
      <c r="Y144" s="674">
        <f>S144+T144+U144+W144</f>
        <v>500000</v>
      </c>
      <c r="Z144" s="675">
        <f t="shared" si="47"/>
        <v>0</v>
      </c>
      <c r="AA144" s="249"/>
      <c r="AB144" s="341">
        <f>7100000</f>
        <v>7100000</v>
      </c>
      <c r="AC144" s="677">
        <f t="shared" si="48"/>
        <v>8600000</v>
      </c>
      <c r="AD144" s="676">
        <f t="shared" si="49"/>
        <v>8100000.0000000009</v>
      </c>
    </row>
    <row r="145" spans="1:33" ht="26.4">
      <c r="A145" s="326">
        <v>8</v>
      </c>
      <c r="B145" s="686" t="s">
        <v>3046</v>
      </c>
      <c r="C145" s="763" t="s">
        <v>3074</v>
      </c>
      <c r="D145" s="386" t="s">
        <v>3059</v>
      </c>
      <c r="E145" s="47" t="s">
        <v>3066</v>
      </c>
      <c r="F145" s="709" t="s">
        <v>1300</v>
      </c>
      <c r="G145" s="167"/>
      <c r="H145" s="730">
        <v>2</v>
      </c>
      <c r="I145" s="167"/>
      <c r="J145" s="766">
        <f>47788</f>
        <v>47788</v>
      </c>
      <c r="K145" s="559" t="s">
        <v>3047</v>
      </c>
      <c r="L145" s="170" t="s">
        <v>3078</v>
      </c>
      <c r="M145" s="758" t="s">
        <v>418</v>
      </c>
      <c r="N145" s="477" t="s">
        <v>3045</v>
      </c>
      <c r="O145" s="1602"/>
      <c r="P145" s="1602"/>
      <c r="Q145" s="324">
        <v>723600</v>
      </c>
      <c r="R145" s="324">
        <v>1533600</v>
      </c>
      <c r="S145" s="776"/>
      <c r="T145" s="371">
        <v>1000000</v>
      </c>
      <c r="U145" s="248"/>
      <c r="V145" s="247"/>
      <c r="W145" s="248"/>
      <c r="X145" s="341">
        <v>400000</v>
      </c>
      <c r="Y145" s="674">
        <f>Q145+T145+U145+W145</f>
        <v>1723600</v>
      </c>
      <c r="Z145" s="675">
        <f t="shared" si="47"/>
        <v>0</v>
      </c>
      <c r="AA145" s="249"/>
      <c r="AB145" s="341">
        <f>7150000*2</f>
        <v>14300000</v>
      </c>
      <c r="AC145" s="677">
        <f t="shared" si="48"/>
        <v>17599600</v>
      </c>
      <c r="AD145" s="676">
        <f t="shared" si="49"/>
        <v>15876000.000000002</v>
      </c>
    </row>
    <row r="146" spans="1:33" ht="26.4">
      <c r="A146" s="326">
        <v>9</v>
      </c>
      <c r="B146" s="686" t="s">
        <v>3046</v>
      </c>
      <c r="C146" s="627" t="s">
        <v>3085</v>
      </c>
      <c r="D146" s="699" t="s">
        <v>3046</v>
      </c>
      <c r="E146" s="672" t="s">
        <v>3087</v>
      </c>
      <c r="F146" s="673" t="s">
        <v>210</v>
      </c>
      <c r="G146" s="167"/>
      <c r="H146" s="730">
        <v>1</v>
      </c>
      <c r="I146" s="728"/>
      <c r="J146" s="646">
        <f>8242.12+15163.09</f>
        <v>23405.21</v>
      </c>
      <c r="K146" s="559" t="s">
        <v>3018</v>
      </c>
      <c r="L146" s="170" t="s">
        <v>3086</v>
      </c>
      <c r="M146" s="596" t="s">
        <v>210</v>
      </c>
      <c r="N146" s="477" t="s">
        <v>3048</v>
      </c>
      <c r="O146" s="1602"/>
      <c r="P146" s="1602"/>
      <c r="Q146" s="248"/>
      <c r="R146" s="248"/>
      <c r="S146" s="248"/>
      <c r="T146" s="371">
        <v>500000</v>
      </c>
      <c r="U146" s="248"/>
      <c r="V146" s="247"/>
      <c r="W146" s="248"/>
      <c r="X146" s="341">
        <v>400000</v>
      </c>
      <c r="Y146" s="674">
        <f>Q146+T146+U146+W146</f>
        <v>500000</v>
      </c>
      <c r="Z146" s="675">
        <f t="shared" si="47"/>
        <v>0</v>
      </c>
      <c r="AA146" s="249"/>
      <c r="AB146" s="341">
        <f>7100000</f>
        <v>7100000</v>
      </c>
      <c r="AC146" s="677">
        <f t="shared" si="48"/>
        <v>8600000</v>
      </c>
      <c r="AD146" s="676">
        <f t="shared" si="49"/>
        <v>8100000.0000000009</v>
      </c>
    </row>
    <row r="147" spans="1:33" ht="26.4">
      <c r="A147" s="326">
        <v>10</v>
      </c>
      <c r="B147" s="686" t="s">
        <v>3111</v>
      </c>
      <c r="C147" s="636" t="s">
        <v>3115</v>
      </c>
      <c r="D147" s="386" t="s">
        <v>3098</v>
      </c>
      <c r="E147" s="47" t="s">
        <v>3118</v>
      </c>
      <c r="F147" s="709" t="s">
        <v>1300</v>
      </c>
      <c r="G147" s="167"/>
      <c r="H147" s="167">
        <v>1</v>
      </c>
      <c r="I147" s="167"/>
      <c r="J147" s="154">
        <v>24267</v>
      </c>
      <c r="K147" s="559" t="s">
        <v>3097</v>
      </c>
      <c r="L147" s="170" t="s">
        <v>3116</v>
      </c>
      <c r="M147" s="758" t="s">
        <v>418</v>
      </c>
      <c r="N147" s="477" t="s">
        <v>3098</v>
      </c>
      <c r="O147" s="1602"/>
      <c r="P147" s="1602"/>
      <c r="Q147" s="248"/>
      <c r="R147" s="324">
        <v>766800</v>
      </c>
      <c r="S147" s="776"/>
      <c r="T147" s="371">
        <v>500000</v>
      </c>
      <c r="U147" s="248"/>
      <c r="V147" s="247"/>
      <c r="W147" s="248"/>
      <c r="X147" s="341">
        <v>400000</v>
      </c>
      <c r="Y147" s="674">
        <f>Q147+T147+U147+W147</f>
        <v>500000</v>
      </c>
      <c r="Z147" s="675">
        <f t="shared" si="47"/>
        <v>0</v>
      </c>
      <c r="AA147" s="249"/>
      <c r="AB147" s="341">
        <f>7150000</f>
        <v>7150000</v>
      </c>
      <c r="AC147" s="677">
        <f t="shared" si="48"/>
        <v>8654000</v>
      </c>
      <c r="AD147" s="676">
        <f t="shared" si="49"/>
        <v>8154000.0000000009</v>
      </c>
    </row>
    <row r="148" spans="1:33" ht="26.4">
      <c r="A148" s="326">
        <v>11</v>
      </c>
      <c r="B148" s="686" t="s">
        <v>3105</v>
      </c>
      <c r="C148" s="627" t="s">
        <v>3139</v>
      </c>
      <c r="D148" s="386" t="s">
        <v>3105</v>
      </c>
      <c r="E148" s="47" t="s">
        <v>3145</v>
      </c>
      <c r="F148" s="126" t="s">
        <v>210</v>
      </c>
      <c r="G148" s="730"/>
      <c r="H148" s="730">
        <v>1</v>
      </c>
      <c r="I148" s="730"/>
      <c r="J148" s="154"/>
      <c r="K148" s="559" t="s">
        <v>3104</v>
      </c>
      <c r="L148" s="170" t="s">
        <v>3140</v>
      </c>
      <c r="M148" s="596" t="s">
        <v>210</v>
      </c>
      <c r="N148" s="477" t="s">
        <v>3114</v>
      </c>
      <c r="O148" s="1602"/>
      <c r="P148" s="1602"/>
      <c r="Q148" s="248"/>
      <c r="R148" s="248"/>
      <c r="S148" s="248"/>
      <c r="T148" s="371">
        <v>500000</v>
      </c>
      <c r="U148" s="248"/>
      <c r="V148" s="247"/>
      <c r="W148" s="248"/>
      <c r="X148" s="341">
        <v>400000</v>
      </c>
      <c r="Y148" s="674">
        <f>Q148+T148+U148+W148</f>
        <v>500000</v>
      </c>
      <c r="Z148" s="675">
        <f t="shared" si="47"/>
        <v>0</v>
      </c>
      <c r="AA148" s="249"/>
      <c r="AB148" s="341">
        <f>7100000</f>
        <v>7100000</v>
      </c>
      <c r="AC148" s="677">
        <f t="shared" si="48"/>
        <v>8600000</v>
      </c>
      <c r="AD148" s="676">
        <f t="shared" si="49"/>
        <v>8100000.0000000009</v>
      </c>
    </row>
    <row r="149" spans="1:33">
      <c r="A149" s="3701" t="s">
        <v>3132</v>
      </c>
      <c r="B149" s="3718"/>
      <c r="C149" s="3718"/>
      <c r="D149" s="3718"/>
      <c r="E149" s="3718"/>
      <c r="F149" s="3718"/>
      <c r="G149" s="3718"/>
      <c r="H149" s="3718"/>
      <c r="I149" s="3718"/>
      <c r="J149" s="3718"/>
      <c r="K149" s="3718"/>
      <c r="L149" s="3718"/>
      <c r="M149" s="346"/>
      <c r="N149" s="346"/>
      <c r="O149" s="346"/>
      <c r="P149" s="346"/>
      <c r="Q149" s="486"/>
      <c r="R149" s="500">
        <f>+T138+T139+T140+Q145+R145+R147</f>
        <v>3204000</v>
      </c>
      <c r="S149" s="486"/>
      <c r="T149" s="486">
        <f>SUM(T142:T148)</f>
        <v>3599000</v>
      </c>
      <c r="U149" s="486"/>
      <c r="V149" s="487"/>
      <c r="W149" s="486"/>
      <c r="X149" s="488"/>
      <c r="Y149" s="488">
        <f>SUM(Y138:Y148)</f>
        <v>4502600</v>
      </c>
      <c r="Z149" s="489">
        <f>SUM(Z134:Z143)</f>
        <v>0</v>
      </c>
      <c r="AA149" s="490"/>
      <c r="AB149" s="488">
        <f>SUM(AB138:AB148)</f>
        <v>58198400</v>
      </c>
      <c r="AC149" s="488">
        <f>SUM(AC138:AC148)</f>
        <v>69948872</v>
      </c>
      <c r="AD149" s="488">
        <f>SUM(AD138:AD148)</f>
        <v>65446272</v>
      </c>
    </row>
    <row r="150" spans="1:33" ht="26.4">
      <c r="A150" s="326">
        <v>1</v>
      </c>
      <c r="B150" s="686" t="s">
        <v>3164</v>
      </c>
      <c r="C150" s="627" t="s">
        <v>3175</v>
      </c>
      <c r="D150" s="386" t="s">
        <v>3164</v>
      </c>
      <c r="E150" s="47" t="s">
        <v>3177</v>
      </c>
      <c r="F150" s="126" t="s">
        <v>210</v>
      </c>
      <c r="G150" s="167"/>
      <c r="H150" s="167">
        <v>1</v>
      </c>
      <c r="I150" s="167"/>
      <c r="J150" s="646">
        <f>20234.81+4608.36</f>
        <v>24843.170000000002</v>
      </c>
      <c r="K150" s="559" t="s">
        <v>3165</v>
      </c>
      <c r="L150" s="170" t="s">
        <v>3176</v>
      </c>
      <c r="M150" s="86" t="s">
        <v>210</v>
      </c>
      <c r="N150" s="780" t="s">
        <v>3166</v>
      </c>
      <c r="O150" s="1645"/>
      <c r="P150" s="1645"/>
      <c r="Q150" s="248"/>
      <c r="R150" s="248"/>
      <c r="S150" s="248"/>
      <c r="T150" s="371">
        <v>500000</v>
      </c>
      <c r="U150" s="248"/>
      <c r="V150" s="247"/>
      <c r="W150" s="248"/>
      <c r="X150" s="341">
        <v>400000</v>
      </c>
      <c r="Y150" s="674">
        <f t="shared" ref="Y150:Y161" si="50">Q150+T150+U150+W150</f>
        <v>500000</v>
      </c>
      <c r="Z150" s="675">
        <f t="shared" ref="Z150:Z161" si="51">+V150</f>
        <v>0</v>
      </c>
      <c r="AA150" s="249"/>
      <c r="AB150" s="341">
        <f>7100000+190000</f>
        <v>7290000</v>
      </c>
      <c r="AC150" s="677">
        <f t="shared" ref="AC150:AC161" si="52">((AB150+X150)*1.08)+Y150</f>
        <v>8805200</v>
      </c>
      <c r="AD150" s="676">
        <f t="shared" ref="AD150:AD161" si="53">(AB150+X150)*1.08</f>
        <v>8305200.0000000009</v>
      </c>
    </row>
    <row r="151" spans="1:33">
      <c r="A151" s="326">
        <f>+A150+1</f>
        <v>2</v>
      </c>
      <c r="B151" s="686" t="s">
        <v>3179</v>
      </c>
      <c r="C151" s="627" t="s">
        <v>3188</v>
      </c>
      <c r="D151" s="46" t="s">
        <v>3179</v>
      </c>
      <c r="E151" s="47" t="s">
        <v>3191</v>
      </c>
      <c r="F151" s="126" t="s">
        <v>210</v>
      </c>
      <c r="G151" s="167"/>
      <c r="H151" s="167"/>
      <c r="I151" s="1026" t="s">
        <v>128</v>
      </c>
      <c r="J151" s="154">
        <v>74</v>
      </c>
      <c r="K151" s="559" t="s">
        <v>3189</v>
      </c>
      <c r="L151" s="170"/>
      <c r="M151" s="596" t="s">
        <v>210</v>
      </c>
      <c r="N151" s="477" t="s">
        <v>3190</v>
      </c>
      <c r="O151" s="1602"/>
      <c r="P151" s="1602"/>
      <c r="Q151" s="248"/>
      <c r="R151" s="248"/>
      <c r="S151" s="248"/>
      <c r="T151" s="248"/>
      <c r="U151" s="248"/>
      <c r="V151" s="247"/>
      <c r="W151" s="248"/>
      <c r="X151" s="248"/>
      <c r="Y151" s="674">
        <f t="shared" si="50"/>
        <v>0</v>
      </c>
      <c r="Z151" s="675">
        <f t="shared" si="51"/>
        <v>0</v>
      </c>
      <c r="AA151" s="208" t="s">
        <v>3256</v>
      </c>
      <c r="AB151" s="341">
        <f>2930000+1300000</f>
        <v>4230000</v>
      </c>
      <c r="AC151" s="677">
        <f t="shared" si="52"/>
        <v>4568400</v>
      </c>
      <c r="AD151" s="676">
        <f t="shared" si="53"/>
        <v>4568400</v>
      </c>
    </row>
    <row r="152" spans="1:33" ht="26.4">
      <c r="A152" s="326">
        <f>+A151+1</f>
        <v>3</v>
      </c>
      <c r="B152" s="686" t="s">
        <v>3208</v>
      </c>
      <c r="C152" s="627" t="s">
        <v>3219</v>
      </c>
      <c r="D152" s="386" t="s">
        <v>3208</v>
      </c>
      <c r="E152" s="47" t="s">
        <v>3234</v>
      </c>
      <c r="F152" s="126" t="s">
        <v>210</v>
      </c>
      <c r="G152" s="167">
        <v>1</v>
      </c>
      <c r="H152" s="167"/>
      <c r="I152" s="167"/>
      <c r="J152" s="646">
        <v>14390.9</v>
      </c>
      <c r="K152" s="559" t="s">
        <v>3192</v>
      </c>
      <c r="L152" s="170" t="s">
        <v>3220</v>
      </c>
      <c r="M152" s="596" t="s">
        <v>210</v>
      </c>
      <c r="N152" s="477" t="s">
        <v>3242</v>
      </c>
      <c r="O152" s="1602"/>
      <c r="P152" s="1602"/>
      <c r="Q152" s="248"/>
      <c r="R152" s="248"/>
      <c r="S152" s="248"/>
      <c r="T152" s="371">
        <v>250000</v>
      </c>
      <c r="U152" s="248"/>
      <c r="V152" s="247"/>
      <c r="W152" s="248"/>
      <c r="X152" s="341">
        <v>400000</v>
      </c>
      <c r="Y152" s="674">
        <f t="shared" si="50"/>
        <v>250000</v>
      </c>
      <c r="Z152" s="675">
        <f t="shared" si="51"/>
        <v>0</v>
      </c>
      <c r="AA152" s="249"/>
      <c r="AB152" s="341">
        <v>6180000</v>
      </c>
      <c r="AC152" s="677">
        <f t="shared" si="52"/>
        <v>7356400.0000000009</v>
      </c>
      <c r="AD152" s="676">
        <f t="shared" si="53"/>
        <v>7106400.0000000009</v>
      </c>
    </row>
    <row r="153" spans="1:33" ht="26.4">
      <c r="A153" s="326">
        <f>+A152+1</f>
        <v>4</v>
      </c>
      <c r="B153" s="686" t="s">
        <v>3208</v>
      </c>
      <c r="C153" s="627" t="s">
        <v>3221</v>
      </c>
      <c r="D153" s="46">
        <v>45544</v>
      </c>
      <c r="E153" s="47" t="s">
        <v>3235</v>
      </c>
      <c r="F153" s="126" t="s">
        <v>210</v>
      </c>
      <c r="G153" s="167">
        <v>1</v>
      </c>
      <c r="H153" s="167"/>
      <c r="I153" s="167"/>
      <c r="J153" s="646">
        <f>9750.96+4876.73</f>
        <v>14627.689999999999</v>
      </c>
      <c r="K153" s="559" t="s">
        <v>3193</v>
      </c>
      <c r="L153" s="170" t="s">
        <v>3236</v>
      </c>
      <c r="M153" s="596" t="s">
        <v>210</v>
      </c>
      <c r="N153" s="477" t="s">
        <v>3242</v>
      </c>
      <c r="O153" s="1602"/>
      <c r="P153" s="1602"/>
      <c r="Q153" s="248"/>
      <c r="R153" s="248"/>
      <c r="S153" s="248"/>
      <c r="T153" s="371">
        <v>250000</v>
      </c>
      <c r="U153" s="248"/>
      <c r="V153" s="247"/>
      <c r="W153" s="248"/>
      <c r="X153" s="341">
        <v>400000</v>
      </c>
      <c r="Y153" s="674">
        <f t="shared" si="50"/>
        <v>250000</v>
      </c>
      <c r="Z153" s="675">
        <f t="shared" si="51"/>
        <v>0</v>
      </c>
      <c r="AA153" s="249"/>
      <c r="AB153" s="341">
        <v>6180000</v>
      </c>
      <c r="AC153" s="677">
        <f t="shared" si="52"/>
        <v>7356400.0000000009</v>
      </c>
      <c r="AD153" s="676">
        <f t="shared" si="53"/>
        <v>7106400.0000000009</v>
      </c>
    </row>
    <row r="154" spans="1:33" ht="26.4">
      <c r="A154" s="326">
        <f>+A153+1</f>
        <v>5</v>
      </c>
      <c r="B154" s="686" t="s">
        <v>3244</v>
      </c>
      <c r="C154" s="636" t="s">
        <v>3260</v>
      </c>
      <c r="D154" s="386" t="s">
        <v>3258</v>
      </c>
      <c r="E154" s="47" t="s">
        <v>3261</v>
      </c>
      <c r="F154" s="709" t="s">
        <v>1300</v>
      </c>
      <c r="G154" s="167"/>
      <c r="H154" s="167"/>
      <c r="I154" s="167">
        <v>1</v>
      </c>
      <c r="J154" s="1010">
        <v>1513</v>
      </c>
      <c r="K154" s="559" t="s">
        <v>3249</v>
      </c>
      <c r="L154" s="170" t="s">
        <v>3348</v>
      </c>
      <c r="M154" s="596" t="s">
        <v>210</v>
      </c>
      <c r="N154" s="477" t="s">
        <v>3208</v>
      </c>
      <c r="O154" s="1602"/>
      <c r="P154" s="1602"/>
      <c r="Q154" s="248"/>
      <c r="R154" s="248"/>
      <c r="S154" s="248"/>
      <c r="T154" s="371">
        <v>22695</v>
      </c>
      <c r="U154" s="248"/>
      <c r="V154" s="247"/>
      <c r="W154" s="248"/>
      <c r="X154" s="341">
        <v>400000</v>
      </c>
      <c r="Y154" s="674">
        <f t="shared" si="50"/>
        <v>22695</v>
      </c>
      <c r="Z154" s="675">
        <f t="shared" si="51"/>
        <v>0</v>
      </c>
      <c r="AA154" s="391" t="s">
        <v>3373</v>
      </c>
      <c r="AB154" s="341">
        <f>674000*5</f>
        <v>3370000</v>
      </c>
      <c r="AC154" s="677">
        <f t="shared" si="52"/>
        <v>4094295.0000000005</v>
      </c>
      <c r="AD154" s="676">
        <f t="shared" si="53"/>
        <v>4071600.0000000005</v>
      </c>
    </row>
    <row r="155" spans="1:33" ht="26.4">
      <c r="A155" s="326">
        <f>+A154+1</f>
        <v>6</v>
      </c>
      <c r="B155" s="686" t="s">
        <v>3244</v>
      </c>
      <c r="C155" s="627" t="s">
        <v>3273</v>
      </c>
      <c r="D155" s="386" t="s">
        <v>3244</v>
      </c>
      <c r="E155" s="47" t="s">
        <v>3262</v>
      </c>
      <c r="F155" s="126" t="s">
        <v>210</v>
      </c>
      <c r="G155" s="167"/>
      <c r="H155" s="167">
        <v>1</v>
      </c>
      <c r="I155" s="167"/>
      <c r="J155" s="957">
        <f>10346.43+14583.68</f>
        <v>24930.11</v>
      </c>
      <c r="K155" s="1676" t="s">
        <v>3245</v>
      </c>
      <c r="L155" s="170" t="s">
        <v>3274</v>
      </c>
      <c r="M155" s="596" t="s">
        <v>210</v>
      </c>
      <c r="N155" s="477" t="s">
        <v>3275</v>
      </c>
      <c r="O155" s="1602"/>
      <c r="P155" s="1602"/>
      <c r="Q155" s="248"/>
      <c r="R155" s="248"/>
      <c r="S155" s="248"/>
      <c r="T155" s="371">
        <v>500000</v>
      </c>
      <c r="U155" s="248"/>
      <c r="V155" s="247"/>
      <c r="W155" s="248"/>
      <c r="X155" s="341">
        <v>400000</v>
      </c>
      <c r="Y155" s="674">
        <f t="shared" si="50"/>
        <v>500000</v>
      </c>
      <c r="Z155" s="675">
        <f t="shared" si="51"/>
        <v>0</v>
      </c>
      <c r="AA155" s="249"/>
      <c r="AB155" s="341">
        <v>7100000</v>
      </c>
      <c r="AC155" s="677">
        <f t="shared" si="52"/>
        <v>8600000</v>
      </c>
      <c r="AD155" s="676">
        <f t="shared" si="53"/>
        <v>8100000.0000000009</v>
      </c>
    </row>
    <row r="156" spans="1:33" s="885" customFormat="1">
      <c r="A156" s="868">
        <v>7</v>
      </c>
      <c r="B156" s="988" t="s">
        <v>3281</v>
      </c>
      <c r="C156" s="918" t="s">
        <v>3333</v>
      </c>
      <c r="D156" s="984" t="s">
        <v>3298</v>
      </c>
      <c r="E156" s="872" t="s">
        <v>3309</v>
      </c>
      <c r="F156" s="970" t="s">
        <v>1300</v>
      </c>
      <c r="G156" s="968"/>
      <c r="H156" s="874">
        <v>1</v>
      </c>
      <c r="I156" s="968"/>
      <c r="J156" s="1010">
        <v>24256</v>
      </c>
      <c r="K156" s="1677" t="s">
        <v>3283</v>
      </c>
      <c r="L156" s="967" t="s">
        <v>3304</v>
      </c>
      <c r="M156" s="868" t="s">
        <v>210</v>
      </c>
      <c r="N156" s="971" t="s">
        <v>3279</v>
      </c>
      <c r="O156" s="1602"/>
      <c r="P156" s="1602"/>
      <c r="Q156" s="876"/>
      <c r="R156" s="324">
        <v>766800</v>
      </c>
      <c r="S156" s="876"/>
      <c r="T156" s="371">
        <v>500000</v>
      </c>
      <c r="U156" s="876"/>
      <c r="V156" s="816"/>
      <c r="W156" s="876"/>
      <c r="X156" s="968"/>
      <c r="Y156" s="674">
        <f t="shared" si="50"/>
        <v>500000</v>
      </c>
      <c r="Z156" s="675">
        <f t="shared" si="51"/>
        <v>0</v>
      </c>
      <c r="AA156" s="880"/>
      <c r="AB156" s="341">
        <v>7150000</v>
      </c>
      <c r="AC156" s="677">
        <f t="shared" si="52"/>
        <v>8222000.0000000009</v>
      </c>
      <c r="AD156" s="676">
        <f t="shared" si="53"/>
        <v>7722000.0000000009</v>
      </c>
      <c r="AE156" s="968"/>
      <c r="AF156" s="968"/>
      <c r="AG156" s="871"/>
    </row>
    <row r="157" spans="1:33" ht="26.4">
      <c r="A157" s="670">
        <v>8</v>
      </c>
      <c r="B157" s="965" t="s">
        <v>3281</v>
      </c>
      <c r="C157" s="627" t="s">
        <v>3321</v>
      </c>
      <c r="D157" s="699" t="s">
        <v>3281</v>
      </c>
      <c r="E157" s="672" t="s">
        <v>3324</v>
      </c>
      <c r="F157" s="673" t="s">
        <v>210</v>
      </c>
      <c r="G157" s="445"/>
      <c r="H157" s="445">
        <v>1</v>
      </c>
      <c r="I157" s="445"/>
      <c r="J157" s="966">
        <v>24324.11</v>
      </c>
      <c r="K157" s="1674" t="s">
        <v>3282</v>
      </c>
      <c r="L157" s="1777" t="s">
        <v>3314</v>
      </c>
      <c r="M157" s="987" t="s">
        <v>210</v>
      </c>
      <c r="N157" s="581" t="s">
        <v>3284</v>
      </c>
      <c r="O157" s="581"/>
      <c r="P157" s="581"/>
      <c r="Q157" s="425"/>
      <c r="R157" s="425"/>
      <c r="S157" s="425"/>
      <c r="T157" s="371">
        <v>500000</v>
      </c>
      <c r="U157" s="425"/>
      <c r="V157" s="426"/>
      <c r="W157" s="425"/>
      <c r="X157" s="341">
        <v>400000</v>
      </c>
      <c r="Y157" s="674">
        <f t="shared" si="50"/>
        <v>500000</v>
      </c>
      <c r="Z157" s="675">
        <f t="shared" si="51"/>
        <v>0</v>
      </c>
      <c r="AA157" s="961"/>
      <c r="AB157" s="341">
        <v>7100000</v>
      </c>
      <c r="AC157" s="677">
        <f t="shared" si="52"/>
        <v>8600000</v>
      </c>
      <c r="AD157" s="676">
        <f t="shared" si="53"/>
        <v>8100000.0000000009</v>
      </c>
    </row>
    <row r="158" spans="1:33">
      <c r="A158" s="849">
        <v>9</v>
      </c>
      <c r="B158" s="986" t="s">
        <v>3320</v>
      </c>
      <c r="C158" s="634" t="s">
        <v>3353</v>
      </c>
      <c r="D158" s="985" t="s">
        <v>3281</v>
      </c>
      <c r="E158" s="903" t="s">
        <v>3338</v>
      </c>
      <c r="F158" s="962" t="s">
        <v>1300</v>
      </c>
      <c r="G158" s="167"/>
      <c r="H158" s="167">
        <v>1</v>
      </c>
      <c r="I158" s="167"/>
      <c r="J158" s="127">
        <v>14145</v>
      </c>
      <c r="K158" s="1678" t="s">
        <v>3280</v>
      </c>
      <c r="L158" s="170" t="s">
        <v>3319</v>
      </c>
      <c r="M158" s="723" t="s">
        <v>123</v>
      </c>
      <c r="N158" s="963" t="s">
        <v>3279</v>
      </c>
      <c r="O158" s="2141"/>
      <c r="P158" s="1642"/>
      <c r="Q158" s="324">
        <v>361800</v>
      </c>
      <c r="R158" s="324">
        <v>766800</v>
      </c>
      <c r="S158" s="856"/>
      <c r="T158" s="371">
        <v>500000</v>
      </c>
      <c r="U158" s="856"/>
      <c r="V158" s="859"/>
      <c r="W158" s="856"/>
      <c r="X158" s="964"/>
      <c r="Y158" s="939">
        <f t="shared" si="50"/>
        <v>861800</v>
      </c>
      <c r="Z158" s="940">
        <f t="shared" si="51"/>
        <v>0</v>
      </c>
      <c r="AA158" s="983" t="s">
        <v>2101</v>
      </c>
      <c r="AB158" s="341">
        <v>7050000</v>
      </c>
      <c r="AC158" s="943">
        <f t="shared" si="52"/>
        <v>8475800</v>
      </c>
      <c r="AD158" s="942">
        <f t="shared" si="53"/>
        <v>7614000.0000000009</v>
      </c>
    </row>
    <row r="159" spans="1:33" ht="26.4">
      <c r="A159" s="849">
        <v>10</v>
      </c>
      <c r="B159" s="986" t="s">
        <v>3352</v>
      </c>
      <c r="C159" s="1011" t="s">
        <v>3349</v>
      </c>
      <c r="D159" s="1016" t="s">
        <v>3345</v>
      </c>
      <c r="E159" s="903" t="s">
        <v>3365</v>
      </c>
      <c r="F159" s="962" t="s">
        <v>1300</v>
      </c>
      <c r="G159" s="167">
        <v>1</v>
      </c>
      <c r="H159" s="167">
        <v>1</v>
      </c>
      <c r="I159" s="167"/>
      <c r="J159" s="1003">
        <v>45838</v>
      </c>
      <c r="K159" s="1678" t="s">
        <v>3341</v>
      </c>
      <c r="L159" s="977" t="s">
        <v>3342</v>
      </c>
      <c r="M159" s="723" t="s">
        <v>123</v>
      </c>
      <c r="N159" s="963" t="s">
        <v>3320</v>
      </c>
      <c r="O159" s="2141"/>
      <c r="P159" s="1642"/>
      <c r="Q159" s="857">
        <v>561600</v>
      </c>
      <c r="R159" s="857">
        <v>1198800</v>
      </c>
      <c r="S159" s="856"/>
      <c r="T159" s="324">
        <v>750000</v>
      </c>
      <c r="U159" s="856"/>
      <c r="V159" s="859"/>
      <c r="W159" s="857">
        <v>340000</v>
      </c>
      <c r="X159" s="341">
        <v>400000</v>
      </c>
      <c r="Y159" s="939">
        <f t="shared" si="50"/>
        <v>1651600</v>
      </c>
      <c r="Z159" s="940">
        <f t="shared" si="51"/>
        <v>0</v>
      </c>
      <c r="AA159" s="862"/>
      <c r="AB159" s="341">
        <f>6730000+7150000</f>
        <v>13880000</v>
      </c>
      <c r="AC159" s="943">
        <f t="shared" si="52"/>
        <v>17074000</v>
      </c>
      <c r="AD159" s="942">
        <f t="shared" si="53"/>
        <v>15422400.000000002</v>
      </c>
    </row>
    <row r="160" spans="1:33" s="885" customFormat="1">
      <c r="A160" s="868">
        <f>+A159+1</f>
        <v>11</v>
      </c>
      <c r="B160" s="1021" t="s">
        <v>3361</v>
      </c>
      <c r="C160" s="918" t="s">
        <v>3350</v>
      </c>
      <c r="D160" s="1016" t="s">
        <v>3345</v>
      </c>
      <c r="E160" s="872" t="s">
        <v>3363</v>
      </c>
      <c r="F160" s="970" t="s">
        <v>1300</v>
      </c>
      <c r="G160" s="874">
        <v>1</v>
      </c>
      <c r="H160" s="874"/>
      <c r="I160" s="874"/>
      <c r="J160" s="847">
        <v>20674</v>
      </c>
      <c r="K160" s="1679" t="s">
        <v>3344</v>
      </c>
      <c r="L160" s="837" t="s">
        <v>3362</v>
      </c>
      <c r="M160" s="1017" t="s">
        <v>210</v>
      </c>
      <c r="N160" s="971" t="s">
        <v>3343</v>
      </c>
      <c r="O160" s="1602"/>
      <c r="P160" s="1602"/>
      <c r="Q160" s="876"/>
      <c r="R160" s="324">
        <v>432000</v>
      </c>
      <c r="S160" s="876"/>
      <c r="T160" s="324">
        <v>250000</v>
      </c>
      <c r="U160" s="876"/>
      <c r="V160" s="816"/>
      <c r="W160" s="876"/>
      <c r="X160" s="875"/>
      <c r="Y160" s="878">
        <f t="shared" si="50"/>
        <v>250000</v>
      </c>
      <c r="Z160" s="879">
        <f t="shared" si="51"/>
        <v>0</v>
      </c>
      <c r="AA160" s="880"/>
      <c r="AB160" s="341">
        <v>6730000</v>
      </c>
      <c r="AC160" s="882">
        <f t="shared" si="52"/>
        <v>7518400.0000000009</v>
      </c>
      <c r="AD160" s="881">
        <f t="shared" si="53"/>
        <v>7268400.0000000009</v>
      </c>
      <c r="AE160" s="968"/>
      <c r="AF160" s="968"/>
      <c r="AG160" s="871"/>
    </row>
    <row r="161" spans="1:33">
      <c r="A161" s="868">
        <f>+A160+1</f>
        <v>12</v>
      </c>
      <c r="B161" s="686" t="s">
        <v>3352</v>
      </c>
      <c r="C161" s="627" t="s">
        <v>3380</v>
      </c>
      <c r="D161" s="386" t="s">
        <v>3352</v>
      </c>
      <c r="E161" s="47" t="s">
        <v>3382</v>
      </c>
      <c r="F161" s="126" t="s">
        <v>210</v>
      </c>
      <c r="G161" s="1027"/>
      <c r="H161" s="1028"/>
      <c r="I161" s="1029" t="s">
        <v>128</v>
      </c>
      <c r="J161" s="847">
        <v>141</v>
      </c>
      <c r="K161" s="559" t="s">
        <v>3374</v>
      </c>
      <c r="L161" s="170"/>
      <c r="M161" s="596" t="s">
        <v>210</v>
      </c>
      <c r="N161" s="477" t="s">
        <v>3375</v>
      </c>
      <c r="O161" s="1602"/>
      <c r="P161" s="1602"/>
      <c r="Q161" s="248"/>
      <c r="R161" s="248"/>
      <c r="S161" s="248"/>
      <c r="T161" s="248"/>
      <c r="U161" s="248"/>
      <c r="V161" s="247"/>
      <c r="W161" s="876"/>
      <c r="X161" s="158"/>
      <c r="Y161" s="878">
        <f t="shared" si="50"/>
        <v>0</v>
      </c>
      <c r="Z161" s="879">
        <f t="shared" si="51"/>
        <v>0</v>
      </c>
      <c r="AA161" s="249" t="s">
        <v>3381</v>
      </c>
      <c r="AB161" s="341">
        <f>2930000+800000</f>
        <v>3730000</v>
      </c>
      <c r="AC161" s="882">
        <f t="shared" si="52"/>
        <v>4028400.0000000005</v>
      </c>
      <c r="AD161" s="881">
        <f t="shared" si="53"/>
        <v>4028400.0000000005</v>
      </c>
    </row>
    <row r="162" spans="1:33">
      <c r="A162" s="3701" t="s">
        <v>3330</v>
      </c>
      <c r="B162" s="3718"/>
      <c r="C162" s="3718"/>
      <c r="D162" s="3718"/>
      <c r="E162" s="3718"/>
      <c r="F162" s="3718"/>
      <c r="G162" s="3718"/>
      <c r="H162" s="3718"/>
      <c r="I162" s="3718"/>
      <c r="J162" s="3718"/>
      <c r="K162" s="3718"/>
      <c r="L162" s="3718"/>
      <c r="M162" s="346"/>
      <c r="N162" s="346"/>
      <c r="O162" s="346"/>
      <c r="P162" s="346"/>
      <c r="Q162" s="1004"/>
      <c r="R162" s="1005"/>
      <c r="S162" s="1004"/>
      <c r="T162" s="1004">
        <f>+R156+Q158+R158+Q159+R159+T159+W159+R160+T160</f>
        <v>5427800</v>
      </c>
      <c r="U162" s="1004"/>
      <c r="V162" s="1006"/>
      <c r="W162" s="1004"/>
      <c r="X162" s="1007"/>
      <c r="Y162" s="1007">
        <f>SUM(Y150:Y160)</f>
        <v>5286095</v>
      </c>
      <c r="Z162" s="1008">
        <f>SUM(Z146:Z155)</f>
        <v>0</v>
      </c>
      <c r="AA162" s="1009"/>
      <c r="AB162" s="1007">
        <f>SUM(AB150:AB161)</f>
        <v>79990000</v>
      </c>
      <c r="AC162" s="1007">
        <f>SUM(AC150:AC161)</f>
        <v>94699295</v>
      </c>
      <c r="AD162" s="1007">
        <f>SUM(AD150:AD161)</f>
        <v>89413200</v>
      </c>
    </row>
    <row r="163" spans="1:33">
      <c r="A163" s="326">
        <v>1</v>
      </c>
      <c r="B163" s="686" t="s">
        <v>3352</v>
      </c>
      <c r="C163" s="627" t="s">
        <v>3380</v>
      </c>
      <c r="D163" s="386" t="s">
        <v>3352</v>
      </c>
      <c r="E163" s="47" t="s">
        <v>3399</v>
      </c>
      <c r="F163" s="126" t="s">
        <v>210</v>
      </c>
      <c r="G163" s="1027"/>
      <c r="H163" s="1028"/>
      <c r="I163" s="1029" t="s">
        <v>128</v>
      </c>
      <c r="J163" s="847">
        <v>141</v>
      </c>
      <c r="K163" s="559" t="s">
        <v>3374</v>
      </c>
      <c r="L163" s="1118"/>
      <c r="M163" s="596" t="s">
        <v>210</v>
      </c>
      <c r="N163" s="477" t="s">
        <v>3375</v>
      </c>
      <c r="O163" s="1602"/>
      <c r="P163" s="1602"/>
      <c r="Q163" s="248"/>
      <c r="R163" s="248"/>
      <c r="S163" s="248"/>
      <c r="T163" s="248"/>
      <c r="U163" s="248"/>
      <c r="V163" s="247"/>
      <c r="W163" s="877">
        <v>60000</v>
      </c>
      <c r="X163" s="158"/>
      <c r="Y163" s="878">
        <f t="shared" ref="Y163:Y174" si="54">Q163+T163+U163+W163</f>
        <v>60000</v>
      </c>
      <c r="Z163" s="879">
        <f t="shared" ref="Z163:Z174" si="55">+V163</f>
        <v>0</v>
      </c>
      <c r="AA163" s="249" t="s">
        <v>3400</v>
      </c>
      <c r="AB163" s="250"/>
      <c r="AC163" s="882">
        <f t="shared" ref="AC163:AC174" si="56">((AB163+X163)*1.08)+Y163</f>
        <v>60000</v>
      </c>
      <c r="AD163" s="881">
        <f t="shared" ref="AD163:AD187" si="57">(AB163+X163)*1.08</f>
        <v>0</v>
      </c>
    </row>
    <row r="164" spans="1:33" s="1000" customFormat="1">
      <c r="A164" s="868">
        <f>+A163+1</f>
        <v>2</v>
      </c>
      <c r="B164" s="1021" t="s">
        <v>3360</v>
      </c>
      <c r="C164" s="634" t="s">
        <v>3376</v>
      </c>
      <c r="D164" s="1001" t="s">
        <v>3388</v>
      </c>
      <c r="E164" s="1031" t="s">
        <v>3390</v>
      </c>
      <c r="F164" s="970" t="s">
        <v>1300</v>
      </c>
      <c r="G164" s="1001">
        <v>1</v>
      </c>
      <c r="H164" s="997"/>
      <c r="I164" s="997"/>
      <c r="J164" s="847">
        <v>16720</v>
      </c>
      <c r="K164" s="1022" t="s">
        <v>3370</v>
      </c>
      <c r="L164" s="1133" t="s">
        <v>3389</v>
      </c>
      <c r="M164" s="1001" t="s">
        <v>210</v>
      </c>
      <c r="N164" s="1025" t="s">
        <v>3372</v>
      </c>
      <c r="O164" s="1646"/>
      <c r="P164" s="1646"/>
      <c r="Q164" s="993"/>
      <c r="R164" s="324">
        <v>432000</v>
      </c>
      <c r="S164" s="993"/>
      <c r="T164" s="371">
        <v>250000</v>
      </c>
      <c r="U164" s="993"/>
      <c r="V164" s="994"/>
      <c r="W164" s="993"/>
      <c r="X164" s="995"/>
      <c r="Y164" s="878">
        <f t="shared" si="54"/>
        <v>250000</v>
      </c>
      <c r="Z164" s="879">
        <f t="shared" si="55"/>
        <v>0</v>
      </c>
      <c r="AA164" s="996"/>
      <c r="AB164" s="341">
        <v>6280000</v>
      </c>
      <c r="AC164" s="882">
        <f>((AB164+X164)*1.08)+Y164</f>
        <v>7032400</v>
      </c>
      <c r="AD164" s="881">
        <f t="shared" si="57"/>
        <v>6782400</v>
      </c>
      <c r="AE164" s="998"/>
      <c r="AF164" s="998"/>
      <c r="AG164" s="999"/>
    </row>
    <row r="165" spans="1:33" ht="26.4">
      <c r="A165" s="868">
        <f>+A164+1</f>
        <v>3</v>
      </c>
      <c r="B165" s="98" t="s">
        <v>3360</v>
      </c>
      <c r="C165" s="632" t="s">
        <v>3402</v>
      </c>
      <c r="D165" s="386" t="s">
        <v>3360</v>
      </c>
      <c r="E165" s="47" t="s">
        <v>3409</v>
      </c>
      <c r="F165" s="126" t="s">
        <v>210</v>
      </c>
      <c r="G165" s="874"/>
      <c r="H165" s="874">
        <v>1</v>
      </c>
      <c r="I165" s="874"/>
      <c r="J165" s="646">
        <f>9603.21+14898.66</f>
        <v>24501.87</v>
      </c>
      <c r="K165" s="559" t="s">
        <v>3359</v>
      </c>
      <c r="L165" s="1118" t="s">
        <v>3401</v>
      </c>
      <c r="M165" s="86" t="s">
        <v>210</v>
      </c>
      <c r="N165" s="477" t="s">
        <v>3337</v>
      </c>
      <c r="O165" s="1602"/>
      <c r="P165" s="1602"/>
      <c r="Q165" s="248"/>
      <c r="R165" s="248"/>
      <c r="S165" s="248"/>
      <c r="T165" s="371">
        <v>500000</v>
      </c>
      <c r="U165" s="248"/>
      <c r="V165" s="247"/>
      <c r="W165" s="248"/>
      <c r="X165" s="341">
        <v>400000</v>
      </c>
      <c r="Y165" s="878">
        <f t="shared" si="54"/>
        <v>500000</v>
      </c>
      <c r="Z165" s="879">
        <f t="shared" si="55"/>
        <v>0</v>
      </c>
      <c r="AA165" s="249"/>
      <c r="AB165" s="341">
        <v>7100000</v>
      </c>
      <c r="AC165" s="882">
        <f t="shared" si="56"/>
        <v>8600000</v>
      </c>
      <c r="AD165" s="881">
        <f t="shared" si="57"/>
        <v>8100000.0000000009</v>
      </c>
    </row>
    <row r="166" spans="1:33" ht="26.4">
      <c r="A166" s="868">
        <f>+A165+1</f>
        <v>4</v>
      </c>
      <c r="B166" s="1045">
        <v>45332</v>
      </c>
      <c r="C166" s="1044" t="s">
        <v>3426</v>
      </c>
      <c r="D166" s="699" t="s">
        <v>3415</v>
      </c>
      <c r="E166" s="672" t="s">
        <v>3428</v>
      </c>
      <c r="F166" s="673" t="s">
        <v>210</v>
      </c>
      <c r="G166" s="445"/>
      <c r="H166" s="445">
        <v>1</v>
      </c>
      <c r="I166" s="445"/>
      <c r="J166" s="966">
        <f>17963.47+5685.2</f>
        <v>23648.670000000002</v>
      </c>
      <c r="K166" s="1674" t="s">
        <v>3335</v>
      </c>
      <c r="L166" s="1118" t="s">
        <v>3425</v>
      </c>
      <c r="M166" s="700" t="s">
        <v>210</v>
      </c>
      <c r="N166" s="581" t="s">
        <v>3337</v>
      </c>
      <c r="O166" s="581"/>
      <c r="P166" s="581"/>
      <c r="Q166" s="425"/>
      <c r="R166" s="425"/>
      <c r="S166" s="425"/>
      <c r="T166" s="371">
        <v>500000</v>
      </c>
      <c r="U166" s="425"/>
      <c r="V166" s="426"/>
      <c r="W166" s="425"/>
      <c r="X166" s="341">
        <v>400000</v>
      </c>
      <c r="Y166" s="878">
        <f t="shared" si="54"/>
        <v>500000</v>
      </c>
      <c r="Z166" s="879">
        <f t="shared" si="55"/>
        <v>0</v>
      </c>
      <c r="AA166" s="992" t="s">
        <v>1416</v>
      </c>
      <c r="AB166" s="341">
        <v>7100000</v>
      </c>
      <c r="AC166" s="882">
        <f t="shared" si="56"/>
        <v>8600000</v>
      </c>
      <c r="AD166" s="881">
        <f t="shared" si="57"/>
        <v>8100000.0000000009</v>
      </c>
    </row>
    <row r="167" spans="1:33" ht="26.4">
      <c r="A167" s="868">
        <v>5</v>
      </c>
      <c r="B167" s="591">
        <v>45361</v>
      </c>
      <c r="C167" s="1044" t="s">
        <v>3440</v>
      </c>
      <c r="D167" s="386" t="s">
        <v>3412</v>
      </c>
      <c r="E167" s="47" t="s">
        <v>3441</v>
      </c>
      <c r="F167" s="126" t="s">
        <v>210</v>
      </c>
      <c r="G167" s="167"/>
      <c r="H167" s="167"/>
      <c r="I167" s="167">
        <v>1</v>
      </c>
      <c r="J167" s="577">
        <f>341.55+5494.45</f>
        <v>5836</v>
      </c>
      <c r="K167" s="559" t="s">
        <v>3437</v>
      </c>
      <c r="L167" s="1118"/>
      <c r="M167" s="715" t="s">
        <v>123</v>
      </c>
      <c r="N167" s="968" t="s">
        <v>3485</v>
      </c>
      <c r="O167" s="1647"/>
      <c r="P167" s="1647"/>
      <c r="Q167" s="248"/>
      <c r="R167" s="248"/>
      <c r="S167" s="248"/>
      <c r="T167" s="371">
        <v>82416</v>
      </c>
      <c r="U167" s="248"/>
      <c r="V167" s="247"/>
      <c r="W167" s="248"/>
      <c r="X167" s="341">
        <v>400000</v>
      </c>
      <c r="Y167" s="878">
        <f t="shared" si="54"/>
        <v>82416</v>
      </c>
      <c r="Z167" s="879">
        <f t="shared" si="55"/>
        <v>0</v>
      </c>
      <c r="AA167" s="391" t="s">
        <v>2977</v>
      </c>
      <c r="AB167" s="341">
        <f>(674000*8)+1750000</f>
        <v>7142000</v>
      </c>
      <c r="AC167" s="882">
        <f t="shared" si="56"/>
        <v>8227776.0000000009</v>
      </c>
      <c r="AD167" s="881">
        <f t="shared" si="57"/>
        <v>8145360.0000000009</v>
      </c>
    </row>
    <row r="168" spans="1:33" ht="26.4">
      <c r="A168" s="868">
        <v>6</v>
      </c>
      <c r="B168" s="591">
        <v>45545</v>
      </c>
      <c r="C168" s="632" t="s">
        <v>3479</v>
      </c>
      <c r="D168" s="386" t="s">
        <v>3450</v>
      </c>
      <c r="E168" s="47" t="s">
        <v>3480</v>
      </c>
      <c r="F168" s="126" t="s">
        <v>210</v>
      </c>
      <c r="G168" s="167"/>
      <c r="H168" s="167">
        <v>1</v>
      </c>
      <c r="I168" s="167"/>
      <c r="J168" s="646">
        <f>13384.93+10438.03</f>
        <v>23822.959999999999</v>
      </c>
      <c r="K168" s="559" t="s">
        <v>3334</v>
      </c>
      <c r="L168" s="1118" t="s">
        <v>3478</v>
      </c>
      <c r="M168" s="86" t="s">
        <v>210</v>
      </c>
      <c r="N168" s="477" t="s">
        <v>3336</v>
      </c>
      <c r="O168" s="1602"/>
      <c r="P168" s="1602"/>
      <c r="Q168" s="248"/>
      <c r="R168" s="248"/>
      <c r="S168" s="248"/>
      <c r="T168" s="371">
        <v>500000</v>
      </c>
      <c r="U168" s="248"/>
      <c r="V168" s="247"/>
      <c r="W168" s="248"/>
      <c r="X168" s="341">
        <v>400000</v>
      </c>
      <c r="Y168" s="878">
        <f t="shared" si="54"/>
        <v>500000</v>
      </c>
      <c r="Z168" s="879">
        <f t="shared" si="55"/>
        <v>0</v>
      </c>
      <c r="AA168" s="391" t="s">
        <v>1416</v>
      </c>
      <c r="AB168" s="341">
        <v>7100000</v>
      </c>
      <c r="AC168" s="882">
        <f t="shared" si="56"/>
        <v>8600000</v>
      </c>
      <c r="AD168" s="881">
        <f t="shared" si="57"/>
        <v>8100000.0000000009</v>
      </c>
    </row>
    <row r="169" spans="1:33" s="1000" customFormat="1" ht="26.4">
      <c r="A169" s="868">
        <v>7</v>
      </c>
      <c r="B169" s="1059" t="s">
        <v>3502</v>
      </c>
      <c r="C169" s="1056" t="s">
        <v>3494</v>
      </c>
      <c r="D169" s="1057" t="s">
        <v>3489</v>
      </c>
      <c r="E169" s="1031" t="s">
        <v>3501</v>
      </c>
      <c r="F169" s="970" t="s">
        <v>1300</v>
      </c>
      <c r="G169" s="1001">
        <v>1</v>
      </c>
      <c r="H169" s="997"/>
      <c r="I169" s="997"/>
      <c r="J169" s="646">
        <v>24668</v>
      </c>
      <c r="K169" s="1021" t="s">
        <v>3413</v>
      </c>
      <c r="L169" s="1133" t="s">
        <v>3414</v>
      </c>
      <c r="M169" s="715" t="s">
        <v>123</v>
      </c>
      <c r="N169" s="1058" t="s">
        <v>3486</v>
      </c>
      <c r="O169" s="1648"/>
      <c r="P169" s="1648"/>
      <c r="Q169" s="324">
        <v>453600</v>
      </c>
      <c r="R169" s="324">
        <v>432000</v>
      </c>
      <c r="S169" s="993"/>
      <c r="T169" s="371">
        <v>250000</v>
      </c>
      <c r="U169" s="993"/>
      <c r="W169" s="877">
        <f>408000+204000</f>
        <v>612000</v>
      </c>
      <c r="X169" s="995"/>
      <c r="Y169" s="878">
        <f t="shared" si="54"/>
        <v>1315600</v>
      </c>
      <c r="Z169" s="879">
        <f t="shared" si="55"/>
        <v>0</v>
      </c>
      <c r="AA169" s="996"/>
      <c r="AB169" s="341">
        <v>6730000</v>
      </c>
      <c r="AC169" s="882">
        <f t="shared" si="56"/>
        <v>8584000</v>
      </c>
      <c r="AD169" s="881">
        <f t="shared" si="57"/>
        <v>7268400.0000000009</v>
      </c>
      <c r="AE169" s="998"/>
      <c r="AF169" s="998"/>
      <c r="AG169" s="999"/>
    </row>
    <row r="170" spans="1:33" ht="26.4">
      <c r="A170" s="868">
        <v>8</v>
      </c>
      <c r="B170" s="686" t="s">
        <v>3500</v>
      </c>
      <c r="C170" s="632" t="s">
        <v>3543</v>
      </c>
      <c r="D170" s="386" t="s">
        <v>3500</v>
      </c>
      <c r="E170" s="47" t="s">
        <v>3549</v>
      </c>
      <c r="F170" s="126" t="s">
        <v>210</v>
      </c>
      <c r="G170" s="167">
        <v>1</v>
      </c>
      <c r="H170" s="167"/>
      <c r="I170" s="167"/>
      <c r="J170" s="1060">
        <f>13225.75+1734.6+2150</f>
        <v>17110.349999999999</v>
      </c>
      <c r="K170" s="1680" t="s">
        <v>3496</v>
      </c>
      <c r="L170" s="1118" t="s">
        <v>3537</v>
      </c>
      <c r="M170" s="86" t="s">
        <v>210</v>
      </c>
      <c r="N170" s="1058" t="s">
        <v>3511</v>
      </c>
      <c r="O170" s="1648"/>
      <c r="P170" s="1648"/>
      <c r="Q170" s="248"/>
      <c r="R170" s="248"/>
      <c r="S170" s="248"/>
      <c r="T170" s="371">
        <v>250000</v>
      </c>
      <c r="U170" s="248"/>
      <c r="V170" s="247"/>
      <c r="W170" s="248"/>
      <c r="X170" s="341">
        <v>400000</v>
      </c>
      <c r="Y170" s="878">
        <f t="shared" si="54"/>
        <v>250000</v>
      </c>
      <c r="Z170" s="879">
        <f t="shared" si="55"/>
        <v>0</v>
      </c>
      <c r="AA170" s="249"/>
      <c r="AB170" s="341">
        <v>6180000</v>
      </c>
      <c r="AC170" s="882">
        <f t="shared" si="56"/>
        <v>7356400.0000000009</v>
      </c>
      <c r="AD170" s="881">
        <f t="shared" si="57"/>
        <v>7106400.0000000009</v>
      </c>
    </row>
    <row r="171" spans="1:33" ht="26.4">
      <c r="A171" s="868">
        <v>9</v>
      </c>
      <c r="B171" s="686" t="s">
        <v>3500</v>
      </c>
      <c r="C171" s="632" t="s">
        <v>3544</v>
      </c>
      <c r="D171" s="386" t="s">
        <v>3500</v>
      </c>
      <c r="E171" s="47" t="s">
        <v>3550</v>
      </c>
      <c r="F171" s="126" t="s">
        <v>210</v>
      </c>
      <c r="G171" s="167">
        <v>1</v>
      </c>
      <c r="H171" s="167"/>
      <c r="I171" s="167"/>
      <c r="J171" s="1060">
        <f>10643.17+4007.02+2150</f>
        <v>16800.190000000002</v>
      </c>
      <c r="K171" s="1680" t="s">
        <v>3497</v>
      </c>
      <c r="L171" s="1118" t="s">
        <v>3536</v>
      </c>
      <c r="M171" s="86" t="s">
        <v>210</v>
      </c>
      <c r="N171" s="1058" t="s">
        <v>3511</v>
      </c>
      <c r="O171" s="1648"/>
      <c r="P171" s="1648"/>
      <c r="Q171" s="248"/>
      <c r="R171" s="248"/>
      <c r="S171" s="248"/>
      <c r="T171" s="371">
        <v>250000</v>
      </c>
      <c r="U171" s="248"/>
      <c r="V171" s="247"/>
      <c r="W171" s="248"/>
      <c r="X171" s="341">
        <v>400000</v>
      </c>
      <c r="Y171" s="878">
        <f t="shared" si="54"/>
        <v>250000</v>
      </c>
      <c r="Z171" s="879">
        <f t="shared" si="55"/>
        <v>0</v>
      </c>
      <c r="AA171" s="249"/>
      <c r="AB171" s="341">
        <v>6180000</v>
      </c>
      <c r="AC171" s="882">
        <f t="shared" si="56"/>
        <v>7356400.0000000009</v>
      </c>
      <c r="AD171" s="881">
        <f t="shared" si="57"/>
        <v>7106400.0000000009</v>
      </c>
    </row>
    <row r="172" spans="1:33" ht="26.4">
      <c r="A172" s="868">
        <f>+A171+1</f>
        <v>10</v>
      </c>
      <c r="B172" s="686" t="s">
        <v>3542</v>
      </c>
      <c r="C172" s="763" t="s">
        <v>3558</v>
      </c>
      <c r="D172" s="386" t="s">
        <v>3500</v>
      </c>
      <c r="E172" s="47" t="s">
        <v>3551</v>
      </c>
      <c r="F172" s="970" t="s">
        <v>1300</v>
      </c>
      <c r="G172" s="167">
        <v>1</v>
      </c>
      <c r="H172" s="167">
        <v>1</v>
      </c>
      <c r="I172" s="167"/>
      <c r="J172" s="577">
        <v>45876</v>
      </c>
      <c r="K172" s="1681" t="s">
        <v>3506</v>
      </c>
      <c r="L172" s="1134" t="s">
        <v>3545</v>
      </c>
      <c r="M172" s="715" t="s">
        <v>123</v>
      </c>
      <c r="N172" s="1058" t="s">
        <v>3529</v>
      </c>
      <c r="O172" s="1648"/>
      <c r="P172" s="1648"/>
      <c r="Q172" s="248"/>
      <c r="R172" s="324">
        <v>1198800</v>
      </c>
      <c r="S172" s="248"/>
      <c r="T172" s="371">
        <v>750000</v>
      </c>
      <c r="U172" s="248"/>
      <c r="V172" s="247"/>
      <c r="W172" s="248"/>
      <c r="X172" s="341">
        <v>400000</v>
      </c>
      <c r="Y172" s="878">
        <f t="shared" si="54"/>
        <v>750000</v>
      </c>
      <c r="Z172" s="879">
        <f t="shared" si="55"/>
        <v>0</v>
      </c>
      <c r="AA172" s="249"/>
      <c r="AB172" s="341">
        <f>6730000+7150000</f>
        <v>13880000</v>
      </c>
      <c r="AC172" s="882">
        <f t="shared" si="56"/>
        <v>16172400.000000002</v>
      </c>
      <c r="AD172" s="881">
        <f t="shared" si="57"/>
        <v>15422400.000000002</v>
      </c>
    </row>
    <row r="173" spans="1:33" ht="26.4">
      <c r="A173" s="868">
        <f>+A172+1</f>
        <v>11</v>
      </c>
      <c r="B173" s="98" t="s">
        <v>3553</v>
      </c>
      <c r="C173" s="632" t="s">
        <v>3900</v>
      </c>
      <c r="D173" s="46" t="s">
        <v>3553</v>
      </c>
      <c r="E173" s="47" t="s">
        <v>3904</v>
      </c>
      <c r="F173" s="126" t="s">
        <v>210</v>
      </c>
      <c r="G173" s="874"/>
      <c r="H173" s="728">
        <v>1</v>
      </c>
      <c r="I173" s="167"/>
      <c r="J173" s="966">
        <f>19530.87+4244.72</f>
        <v>23775.59</v>
      </c>
      <c r="K173" s="1677" t="s">
        <v>3552</v>
      </c>
      <c r="L173" s="1118" t="s">
        <v>3901</v>
      </c>
      <c r="M173" s="86" t="s">
        <v>210</v>
      </c>
      <c r="N173" s="477" t="s">
        <v>3911</v>
      </c>
      <c r="O173" s="1602"/>
      <c r="P173" s="1602"/>
      <c r="Q173" s="248"/>
      <c r="R173" s="248"/>
      <c r="S173" s="248"/>
      <c r="T173" s="371">
        <v>500000</v>
      </c>
      <c r="U173" s="248"/>
      <c r="V173" s="247"/>
      <c r="W173" s="248"/>
      <c r="X173" s="341">
        <v>400000</v>
      </c>
      <c r="Y173" s="878">
        <f t="shared" si="54"/>
        <v>500000</v>
      </c>
      <c r="Z173" s="879">
        <f t="shared" si="55"/>
        <v>0</v>
      </c>
      <c r="AA173" s="391" t="s">
        <v>1416</v>
      </c>
      <c r="AB173" s="341">
        <v>7100000</v>
      </c>
      <c r="AC173" s="882">
        <f t="shared" si="56"/>
        <v>8600000</v>
      </c>
      <c r="AD173" s="881">
        <f t="shared" si="57"/>
        <v>8100000.0000000009</v>
      </c>
    </row>
    <row r="174" spans="1:33">
      <c r="A174" s="1101">
        <f>+A173+1</f>
        <v>12</v>
      </c>
      <c r="B174" s="1101" t="s">
        <v>3566</v>
      </c>
      <c r="C174" s="636" t="s">
        <v>3954</v>
      </c>
      <c r="D174" s="1121" t="s">
        <v>3542</v>
      </c>
      <c r="E174" s="1077" t="s">
        <v>3910</v>
      </c>
      <c r="F174" s="1132" t="s">
        <v>3569</v>
      </c>
      <c r="G174" s="1103"/>
      <c r="H174" s="728"/>
      <c r="I174" s="167"/>
      <c r="J174" s="127"/>
      <c r="K174" s="1682"/>
      <c r="L174" s="1118"/>
      <c r="M174" s="86" t="s">
        <v>210</v>
      </c>
      <c r="N174" s="477"/>
      <c r="O174" s="1602"/>
      <c r="P174" s="1602"/>
      <c r="Q174" s="248"/>
      <c r="R174" s="248"/>
      <c r="S174" s="248"/>
      <c r="T174" s="248"/>
      <c r="U174" s="248"/>
      <c r="V174" s="247"/>
      <c r="W174" s="248"/>
      <c r="X174" s="158"/>
      <c r="Y174" s="878">
        <f t="shared" si="54"/>
        <v>0</v>
      </c>
      <c r="Z174" s="879">
        <f t="shared" si="55"/>
        <v>0</v>
      </c>
      <c r="AA174" s="249"/>
      <c r="AB174" s="341">
        <v>1500000</v>
      </c>
      <c r="AC174" s="882">
        <f t="shared" si="56"/>
        <v>1620000</v>
      </c>
      <c r="AD174" s="881">
        <f t="shared" si="57"/>
        <v>1620000</v>
      </c>
    </row>
    <row r="175" spans="1:33">
      <c r="A175" s="3721" t="s">
        <v>3560</v>
      </c>
      <c r="B175" s="3721"/>
      <c r="C175" s="3721"/>
      <c r="D175" s="3721"/>
      <c r="E175" s="3721"/>
      <c r="F175" s="3721"/>
      <c r="G175" s="3721"/>
      <c r="H175" s="3721"/>
      <c r="I175" s="3721"/>
      <c r="J175" s="3721"/>
      <c r="K175" s="3721"/>
      <c r="L175" s="3721"/>
      <c r="M175" s="346"/>
      <c r="N175" s="346"/>
      <c r="O175" s="346"/>
      <c r="P175" s="346"/>
      <c r="Q175" s="1004"/>
      <c r="R175" s="1005"/>
      <c r="S175" s="1004">
        <f>+W163+R164+Q169+R169+W169+R172</f>
        <v>3188400</v>
      </c>
      <c r="T175" s="1004">
        <f>SUM(T164:T174)</f>
        <v>3832416</v>
      </c>
      <c r="U175" s="1004"/>
      <c r="V175" s="1006"/>
      <c r="W175" s="1004"/>
      <c r="X175" s="1007"/>
      <c r="Y175" s="1007">
        <f>SUM(Y163:Y174)</f>
        <v>4958016</v>
      </c>
      <c r="Z175" s="1008"/>
      <c r="AA175" s="1009"/>
      <c r="AB175" s="1126">
        <f>SUM(AB163:AB174)</f>
        <v>76292000</v>
      </c>
      <c r="AC175" s="1126">
        <f>SUM(AC163:AC174)</f>
        <v>90809376</v>
      </c>
      <c r="AD175" s="1126">
        <f>SUM(AD163:AD174)</f>
        <v>85851360</v>
      </c>
    </row>
    <row r="176" spans="1:33" ht="26.4">
      <c r="A176" s="1104">
        <v>1</v>
      </c>
      <c r="B176" s="1104" t="s">
        <v>3923</v>
      </c>
      <c r="C176" s="632" t="s">
        <v>3949</v>
      </c>
      <c r="D176" s="1061" t="s">
        <v>3923</v>
      </c>
      <c r="E176" s="672" t="s">
        <v>4062</v>
      </c>
      <c r="F176" s="673" t="s">
        <v>210</v>
      </c>
      <c r="G176" s="445">
        <v>1</v>
      </c>
      <c r="H176" s="445"/>
      <c r="I176" s="445"/>
      <c r="J176" s="966">
        <f>9047.89+5301.01</f>
        <v>14348.9</v>
      </c>
      <c r="K176" s="1677" t="s">
        <v>3913</v>
      </c>
      <c r="L176" s="1777" t="s">
        <v>3948</v>
      </c>
      <c r="M176" s="86" t="s">
        <v>210</v>
      </c>
      <c r="N176" s="477" t="s">
        <v>3924</v>
      </c>
      <c r="O176" s="1602"/>
      <c r="P176" s="1602"/>
      <c r="Q176" s="248"/>
      <c r="R176" s="248"/>
      <c r="S176" s="248"/>
      <c r="T176" s="371">
        <v>250000</v>
      </c>
      <c r="U176" s="248"/>
      <c r="V176" s="247"/>
      <c r="W176" s="248"/>
      <c r="X176" s="341">
        <v>400000</v>
      </c>
      <c r="Y176" s="878">
        <f>Q176+T176+U176+W176</f>
        <v>250000</v>
      </c>
      <c r="Z176" s="879">
        <f>+V176</f>
        <v>0</v>
      </c>
      <c r="AA176" s="391" t="s">
        <v>1416</v>
      </c>
      <c r="AB176" s="341">
        <v>6180000</v>
      </c>
      <c r="AC176" s="882">
        <f>((AB176+X176)*1.08)+Y176</f>
        <v>7356400.0000000009</v>
      </c>
      <c r="AD176" s="881">
        <f t="shared" si="57"/>
        <v>7106400.0000000009</v>
      </c>
    </row>
    <row r="177" spans="1:30">
      <c r="A177" s="868">
        <v>2</v>
      </c>
      <c r="B177" s="686" t="s">
        <v>3953</v>
      </c>
      <c r="C177" s="635" t="s">
        <v>3955</v>
      </c>
      <c r="D177" s="46" t="s">
        <v>3915</v>
      </c>
      <c r="E177" s="47" t="s">
        <v>3936</v>
      </c>
      <c r="F177" s="970" t="s">
        <v>1300</v>
      </c>
      <c r="G177" s="167"/>
      <c r="H177" s="167"/>
      <c r="I177" s="167">
        <v>1</v>
      </c>
      <c r="J177" s="1156">
        <v>552.5</v>
      </c>
      <c r="K177" s="1683" t="s">
        <v>3930</v>
      </c>
      <c r="L177" s="170"/>
      <c r="M177" s="596" t="s">
        <v>210</v>
      </c>
      <c r="N177" s="477" t="s">
        <v>3931</v>
      </c>
      <c r="O177" s="1602"/>
      <c r="P177" s="1602"/>
      <c r="Q177" s="324">
        <v>35345</v>
      </c>
      <c r="R177" s="248"/>
      <c r="S177" s="248"/>
      <c r="T177" s="371">
        <v>8288</v>
      </c>
      <c r="U177" s="248"/>
      <c r="V177" s="247"/>
      <c r="W177" s="248"/>
      <c r="X177" s="158"/>
      <c r="Y177" s="878">
        <f t="shared" ref="Y177:Y187" si="58">Q177+T177+U177+W177</f>
        <v>43633</v>
      </c>
      <c r="Z177" s="879">
        <f t="shared" ref="Z177:Z187" si="59">+V177</f>
        <v>0</v>
      </c>
      <c r="AA177" s="249"/>
      <c r="AB177" s="341">
        <v>3050000</v>
      </c>
      <c r="AC177" s="882">
        <f t="shared" ref="AC177:AC187" si="60">((AB177+X177)*1.08)+Y177</f>
        <v>3337633</v>
      </c>
      <c r="AD177" s="881">
        <f t="shared" si="57"/>
        <v>3294000</v>
      </c>
    </row>
    <row r="178" spans="1:30" ht="26.4">
      <c r="A178" s="1104">
        <v>3</v>
      </c>
      <c r="B178" s="1155">
        <v>45607</v>
      </c>
      <c r="C178" s="632" t="s">
        <v>3994</v>
      </c>
      <c r="D178" s="1108">
        <v>45607</v>
      </c>
      <c r="E178" s="1106" t="s">
        <v>3997</v>
      </c>
      <c r="F178" s="673" t="s">
        <v>210</v>
      </c>
      <c r="G178" s="1158"/>
      <c r="H178" s="1158"/>
      <c r="I178" s="1158">
        <v>1</v>
      </c>
      <c r="J178" s="1159">
        <v>3193</v>
      </c>
      <c r="K178" s="1683" t="s">
        <v>3991</v>
      </c>
      <c r="L178" s="1109"/>
      <c r="M178" s="596" t="s">
        <v>210</v>
      </c>
      <c r="N178" s="1152" t="s">
        <v>3992</v>
      </c>
      <c r="O178" s="1602"/>
      <c r="P178" s="1602"/>
      <c r="Q178" s="1160"/>
      <c r="R178" s="1070"/>
      <c r="S178" s="1070"/>
      <c r="T178" s="1224">
        <v>1782</v>
      </c>
      <c r="U178" s="1070"/>
      <c r="V178" s="1071"/>
      <c r="W178" s="1070"/>
      <c r="X178" s="341">
        <v>400000</v>
      </c>
      <c r="Y178" s="878">
        <f t="shared" si="58"/>
        <v>1782</v>
      </c>
      <c r="Z178" s="1154"/>
      <c r="AA178" s="391" t="s">
        <v>3993</v>
      </c>
      <c r="AB178" s="341">
        <f>(674000*5)+(1550000)</f>
        <v>4920000</v>
      </c>
      <c r="AC178" s="882">
        <f t="shared" si="60"/>
        <v>5747382</v>
      </c>
      <c r="AD178" s="881">
        <f t="shared" si="57"/>
        <v>5745600</v>
      </c>
    </row>
    <row r="179" spans="1:30" ht="26.4">
      <c r="A179" s="868">
        <v>4</v>
      </c>
      <c r="B179" s="686" t="s">
        <v>3984</v>
      </c>
      <c r="C179" s="632" t="s">
        <v>4008</v>
      </c>
      <c r="D179" s="46" t="s">
        <v>3984</v>
      </c>
      <c r="E179" s="47" t="s">
        <v>4010</v>
      </c>
      <c r="F179" s="673" t="s">
        <v>210</v>
      </c>
      <c r="G179" s="445">
        <v>1</v>
      </c>
      <c r="H179" s="445"/>
      <c r="I179" s="1157"/>
      <c r="J179" s="966">
        <f>10573.29+3095.46</f>
        <v>13668.75</v>
      </c>
      <c r="K179" s="559" t="s">
        <v>3981</v>
      </c>
      <c r="L179" s="170" t="s">
        <v>4003</v>
      </c>
      <c r="M179" s="596" t="s">
        <v>210</v>
      </c>
      <c r="N179" s="477" t="s">
        <v>3982</v>
      </c>
      <c r="O179" s="1602"/>
      <c r="P179" s="1602"/>
      <c r="Q179" s="248"/>
      <c r="R179" s="248"/>
      <c r="S179" s="248"/>
      <c r="T179" s="371">
        <v>250000</v>
      </c>
      <c r="U179" s="248"/>
      <c r="V179" s="247"/>
      <c r="W179" s="248"/>
      <c r="X179" s="341">
        <v>400000</v>
      </c>
      <c r="Y179" s="878">
        <f t="shared" si="58"/>
        <v>250000</v>
      </c>
      <c r="Z179" s="879">
        <f t="shared" si="59"/>
        <v>0</v>
      </c>
      <c r="AA179" s="249"/>
      <c r="AB179" s="341">
        <v>6180000</v>
      </c>
      <c r="AC179" s="882">
        <f t="shared" si="60"/>
        <v>7356400.0000000009</v>
      </c>
      <c r="AD179" s="881">
        <f t="shared" si="57"/>
        <v>7106400.0000000009</v>
      </c>
    </row>
    <row r="180" spans="1:30" ht="26.4">
      <c r="A180" s="1104">
        <v>5</v>
      </c>
      <c r="B180" s="686" t="s">
        <v>3984</v>
      </c>
      <c r="C180" s="632" t="s">
        <v>4009</v>
      </c>
      <c r="D180" s="46" t="s">
        <v>3984</v>
      </c>
      <c r="E180" s="47" t="s">
        <v>4011</v>
      </c>
      <c r="F180" s="673" t="s">
        <v>210</v>
      </c>
      <c r="G180" s="167"/>
      <c r="H180" s="167">
        <v>1</v>
      </c>
      <c r="I180" s="167"/>
      <c r="J180" s="646">
        <f>16677.82+7161.42</f>
        <v>23839.239999999998</v>
      </c>
      <c r="K180" s="559" t="s">
        <v>3983</v>
      </c>
      <c r="L180" s="170" t="s">
        <v>4002</v>
      </c>
      <c r="M180" s="596" t="s">
        <v>210</v>
      </c>
      <c r="N180" s="477" t="s">
        <v>3982</v>
      </c>
      <c r="O180" s="1602"/>
      <c r="P180" s="1602"/>
      <c r="Q180" s="248"/>
      <c r="R180" s="248"/>
      <c r="S180" s="248"/>
      <c r="T180" s="371">
        <v>500000</v>
      </c>
      <c r="U180" s="248"/>
      <c r="V180" s="247"/>
      <c r="W180" s="248"/>
      <c r="X180" s="341">
        <v>400000</v>
      </c>
      <c r="Y180" s="878">
        <f t="shared" si="58"/>
        <v>500000</v>
      </c>
      <c r="Z180" s="879">
        <f t="shared" si="59"/>
        <v>0</v>
      </c>
      <c r="AB180" s="341">
        <v>7100000</v>
      </c>
      <c r="AC180" s="882">
        <f>((AB180+X180)*1.08)+Y180</f>
        <v>8600000</v>
      </c>
      <c r="AD180" s="881">
        <f t="shared" si="57"/>
        <v>8100000.0000000009</v>
      </c>
    </row>
    <row r="181" spans="1:30" ht="26.4">
      <c r="A181" s="868">
        <v>6</v>
      </c>
      <c r="B181" s="98" t="s">
        <v>3999</v>
      </c>
      <c r="C181" s="636" t="s">
        <v>4049</v>
      </c>
      <c r="D181" s="386" t="s">
        <v>3996</v>
      </c>
      <c r="E181" s="47" t="s">
        <v>4001</v>
      </c>
      <c r="F181" s="709" t="s">
        <v>1300</v>
      </c>
      <c r="G181" s="167"/>
      <c r="H181" s="167">
        <v>1</v>
      </c>
      <c r="I181" s="167"/>
      <c r="J181" s="154">
        <v>22673</v>
      </c>
      <c r="K181" s="559" t="s">
        <v>3995</v>
      </c>
      <c r="L181" s="170" t="s">
        <v>4067</v>
      </c>
      <c r="M181" s="715" t="s">
        <v>123</v>
      </c>
      <c r="N181" s="477" t="s">
        <v>3996</v>
      </c>
      <c r="O181" s="1639"/>
      <c r="P181" s="1639"/>
      <c r="R181" s="324">
        <v>766800</v>
      </c>
      <c r="S181" s="248"/>
      <c r="T181" s="371">
        <v>500000</v>
      </c>
      <c r="U181" s="248"/>
      <c r="V181" s="247"/>
      <c r="W181" s="248"/>
      <c r="X181" s="341">
        <v>400000</v>
      </c>
      <c r="Y181" s="878">
        <f>R181+T181+U181+W181</f>
        <v>1266800</v>
      </c>
      <c r="Z181" s="879">
        <f t="shared" si="59"/>
        <v>0</v>
      </c>
      <c r="AA181" s="249"/>
      <c r="AB181" s="341">
        <v>7150000</v>
      </c>
      <c r="AC181" s="882">
        <f>((AB181+X181)*1.08)+Y181</f>
        <v>9420800</v>
      </c>
      <c r="AD181" s="881">
        <f t="shared" si="57"/>
        <v>8154000.0000000009</v>
      </c>
    </row>
    <row r="182" spans="1:30" ht="26.4">
      <c r="A182" s="1104">
        <v>7</v>
      </c>
      <c r="B182" s="98" t="s">
        <v>4018</v>
      </c>
      <c r="C182" s="632" t="s">
        <v>4050</v>
      </c>
      <c r="D182" s="46" t="s">
        <v>4018</v>
      </c>
      <c r="E182" s="47" t="s">
        <v>4061</v>
      </c>
      <c r="F182" s="126" t="s">
        <v>210</v>
      </c>
      <c r="G182" s="167">
        <v>1</v>
      </c>
      <c r="H182" s="167"/>
      <c r="I182" s="167"/>
      <c r="J182" s="154">
        <f>12189.4+2571.26+2240</f>
        <v>17000.66</v>
      </c>
      <c r="K182" s="559" t="s">
        <v>4012</v>
      </c>
      <c r="L182" s="170" t="s">
        <v>4047</v>
      </c>
      <c r="M182" s="596" t="s">
        <v>210</v>
      </c>
      <c r="N182" s="477" t="s">
        <v>4013</v>
      </c>
      <c r="O182" s="1602"/>
      <c r="P182" s="1602"/>
      <c r="Q182" s="248"/>
      <c r="R182" s="248"/>
      <c r="S182" s="248"/>
      <c r="T182" s="371">
        <v>250000</v>
      </c>
      <c r="U182" s="248"/>
      <c r="V182" s="247"/>
      <c r="W182" s="248"/>
      <c r="X182" s="341">
        <v>400000</v>
      </c>
      <c r="Y182" s="878">
        <f t="shared" si="58"/>
        <v>250000</v>
      </c>
      <c r="Z182" s="879">
        <f t="shared" si="59"/>
        <v>0</v>
      </c>
      <c r="AA182" s="391" t="s">
        <v>1416</v>
      </c>
      <c r="AB182" s="341">
        <v>6180000</v>
      </c>
      <c r="AC182" s="882">
        <f>((AB182+X182)*1.08)+Y182</f>
        <v>7356400.0000000009</v>
      </c>
      <c r="AD182" s="881">
        <f t="shared" si="57"/>
        <v>7106400.0000000009</v>
      </c>
    </row>
    <row r="183" spans="1:30">
      <c r="A183" s="868">
        <v>8</v>
      </c>
      <c r="B183" s="98" t="s">
        <v>4043</v>
      </c>
      <c r="C183" s="1226" t="s">
        <v>4065</v>
      </c>
      <c r="D183" s="98" t="s">
        <v>4043</v>
      </c>
      <c r="E183" s="1225" t="s">
        <v>4066</v>
      </c>
      <c r="F183" s="98" t="s">
        <v>210</v>
      </c>
      <c r="G183" s="98"/>
      <c r="H183" s="98"/>
      <c r="I183" s="1225" t="s">
        <v>128</v>
      </c>
      <c r="J183" s="154">
        <v>422</v>
      </c>
      <c r="K183" s="559" t="s">
        <v>4048</v>
      </c>
      <c r="L183" s="170"/>
      <c r="M183" s="596" t="s">
        <v>210</v>
      </c>
      <c r="N183" s="477" t="s">
        <v>4044</v>
      </c>
      <c r="O183" s="1602"/>
      <c r="P183" s="1602"/>
      <c r="Q183" s="248"/>
      <c r="R183" s="248"/>
      <c r="S183" s="248"/>
      <c r="T183" s="248"/>
      <c r="U183" s="248"/>
      <c r="V183" s="247"/>
      <c r="W183" s="248"/>
      <c r="X183" s="158"/>
      <c r="Y183" s="878">
        <f t="shared" si="58"/>
        <v>0</v>
      </c>
      <c r="Z183" s="879">
        <f t="shared" si="59"/>
        <v>0</v>
      </c>
      <c r="AA183" s="249"/>
      <c r="AB183" s="341">
        <v>2980000</v>
      </c>
      <c r="AC183" s="882">
        <f t="shared" si="60"/>
        <v>3218400</v>
      </c>
      <c r="AD183" s="881">
        <f t="shared" si="57"/>
        <v>3218400</v>
      </c>
    </row>
    <row r="184" spans="1:30">
      <c r="A184" s="3721" t="s">
        <v>4268</v>
      </c>
      <c r="B184" s="3721"/>
      <c r="C184" s="3721"/>
      <c r="D184" s="3721"/>
      <c r="E184" s="3721"/>
      <c r="F184" s="3721"/>
      <c r="G184" s="3721"/>
      <c r="H184" s="3721"/>
      <c r="I184" s="3721"/>
      <c r="J184" s="3721"/>
      <c r="K184" s="3721"/>
      <c r="L184" s="3721"/>
      <c r="M184" s="346"/>
      <c r="N184" s="346"/>
      <c r="O184" s="346"/>
      <c r="P184" s="346"/>
      <c r="Q184" s="1004"/>
      <c r="R184" s="1005"/>
      <c r="S184" s="1004"/>
      <c r="T184" s="1004"/>
      <c r="U184" s="1004"/>
      <c r="V184" s="1006"/>
      <c r="W184" s="1004"/>
      <c r="X184" s="1007"/>
      <c r="Y184" s="1007">
        <f>SUM(Y176:Y183)</f>
        <v>2562215</v>
      </c>
      <c r="Z184" s="1007">
        <f>SUM(Z176:Z183)</f>
        <v>0</v>
      </c>
      <c r="AA184" s="1009"/>
      <c r="AB184" s="1126">
        <f>SUM(AB176:AB183)</f>
        <v>43740000</v>
      </c>
      <c r="AC184" s="1126">
        <f>SUM(AC176:AC183)</f>
        <v>52393415</v>
      </c>
      <c r="AD184" s="1126">
        <f>SUM(AD176:AD183)</f>
        <v>49831200</v>
      </c>
    </row>
    <row r="185" spans="1:30" ht="26.4">
      <c r="A185" s="1104">
        <v>1</v>
      </c>
      <c r="B185" s="98" t="s">
        <v>4068</v>
      </c>
      <c r="C185" s="636" t="s">
        <v>4075</v>
      </c>
      <c r="D185" s="46" t="s">
        <v>4052</v>
      </c>
      <c r="E185" s="47" t="s">
        <v>4104</v>
      </c>
      <c r="F185" s="709" t="s">
        <v>1300</v>
      </c>
      <c r="G185" s="167"/>
      <c r="H185" s="167">
        <v>1</v>
      </c>
      <c r="I185" s="167"/>
      <c r="J185" s="154">
        <v>23479</v>
      </c>
      <c r="K185" s="559" t="s">
        <v>4063</v>
      </c>
      <c r="L185" s="170" t="s">
        <v>4064</v>
      </c>
      <c r="M185" s="715" t="s">
        <v>123</v>
      </c>
      <c r="N185" s="1229" t="s">
        <v>4052</v>
      </c>
      <c r="O185" s="1649"/>
      <c r="P185" s="1649"/>
      <c r="Q185" s="324">
        <v>361800</v>
      </c>
      <c r="R185" s="324">
        <v>766800</v>
      </c>
      <c r="S185" s="248"/>
      <c r="T185" s="371">
        <v>500000</v>
      </c>
      <c r="U185" s="248"/>
      <c r="V185" s="247"/>
      <c r="W185" s="248"/>
      <c r="X185" s="341">
        <v>400000</v>
      </c>
      <c r="Y185" s="878">
        <f>Q185+T185+U185+W185+R185</f>
        <v>1628600</v>
      </c>
      <c r="Z185" s="879">
        <f>+V185</f>
        <v>0</v>
      </c>
      <c r="AA185" s="249"/>
      <c r="AB185" s="341">
        <v>7150000</v>
      </c>
      <c r="AC185" s="882">
        <f>((AB185+X185)*1.08)+Y185</f>
        <v>9782600</v>
      </c>
      <c r="AD185" s="881">
        <f t="shared" si="57"/>
        <v>8154000.0000000009</v>
      </c>
    </row>
    <row r="186" spans="1:30" ht="26.4">
      <c r="A186" s="868">
        <v>2</v>
      </c>
      <c r="B186" s="98" t="s">
        <v>4068</v>
      </c>
      <c r="C186" s="636" t="s">
        <v>4116</v>
      </c>
      <c r="D186" s="46" t="s">
        <v>4053</v>
      </c>
      <c r="E186" s="47" t="s">
        <v>4113</v>
      </c>
      <c r="F186" s="709" t="s">
        <v>1300</v>
      </c>
      <c r="G186" s="167"/>
      <c r="H186" s="167">
        <v>1</v>
      </c>
      <c r="I186" s="167"/>
      <c r="J186" s="154">
        <v>23381</v>
      </c>
      <c r="K186" s="559" t="s">
        <v>4082</v>
      </c>
      <c r="L186" s="170" t="s">
        <v>4081</v>
      </c>
      <c r="M186" s="715" t="s">
        <v>136</v>
      </c>
      <c r="N186" s="780" t="s">
        <v>4085</v>
      </c>
      <c r="O186" s="1645"/>
      <c r="P186" s="1645"/>
      <c r="Q186" s="324">
        <v>70000</v>
      </c>
      <c r="R186" s="324">
        <v>766800</v>
      </c>
      <c r="S186" s="248"/>
      <c r="T186" s="371">
        <v>500000</v>
      </c>
      <c r="U186" s="248"/>
      <c r="V186" s="247"/>
      <c r="W186" s="248"/>
      <c r="X186" s="341">
        <v>400000</v>
      </c>
      <c r="Y186" s="878">
        <f>Q186+T186+U186+W186+R186</f>
        <v>1336800</v>
      </c>
      <c r="Z186" s="879">
        <f t="shared" si="59"/>
        <v>0</v>
      </c>
      <c r="AA186" s="249"/>
      <c r="AB186" s="341">
        <v>7150000</v>
      </c>
      <c r="AC186" s="882">
        <f>((AB186+X186)*1.08)+Y186</f>
        <v>9490800</v>
      </c>
      <c r="AD186" s="881">
        <f t="shared" si="57"/>
        <v>8154000.0000000009</v>
      </c>
    </row>
    <row r="187" spans="1:30" ht="26.4">
      <c r="A187" s="1104">
        <v>3</v>
      </c>
      <c r="B187" s="98" t="s">
        <v>4068</v>
      </c>
      <c r="C187" s="717" t="s">
        <v>4115</v>
      </c>
      <c r="D187" s="46" t="s">
        <v>4068</v>
      </c>
      <c r="E187" s="47" t="s">
        <v>4117</v>
      </c>
      <c r="F187" s="126" t="s">
        <v>210</v>
      </c>
      <c r="G187" s="167">
        <v>1</v>
      </c>
      <c r="H187" s="167"/>
      <c r="I187" s="167"/>
      <c r="J187" s="154">
        <f>8930.54+5847.67+2150</f>
        <v>16928.21</v>
      </c>
      <c r="K187" s="559" t="s">
        <v>4069</v>
      </c>
      <c r="L187" s="170" t="s">
        <v>4114</v>
      </c>
      <c r="M187" s="86" t="s">
        <v>210</v>
      </c>
      <c r="N187" s="780" t="s">
        <v>4079</v>
      </c>
      <c r="O187" s="1645"/>
      <c r="P187" s="1645"/>
      <c r="Q187" s="248"/>
      <c r="R187" s="248"/>
      <c r="S187" s="248"/>
      <c r="T187" s="371">
        <v>250000</v>
      </c>
      <c r="U187" s="248"/>
      <c r="V187" s="247"/>
      <c r="W187" s="248"/>
      <c r="X187" s="341">
        <v>400000</v>
      </c>
      <c r="Y187" s="878">
        <f t="shared" si="58"/>
        <v>250000</v>
      </c>
      <c r="Z187" s="879">
        <f t="shared" si="59"/>
        <v>0</v>
      </c>
      <c r="AA187" s="391" t="s">
        <v>1416</v>
      </c>
      <c r="AB187" s="341">
        <v>6180000</v>
      </c>
      <c r="AC187" s="882">
        <f t="shared" si="60"/>
        <v>7356400.0000000009</v>
      </c>
      <c r="AD187" s="881">
        <f t="shared" si="57"/>
        <v>7106400.0000000009</v>
      </c>
    </row>
    <row r="188" spans="1:30" ht="26.4">
      <c r="A188" s="868">
        <v>4</v>
      </c>
      <c r="B188" s="1258">
        <v>45334</v>
      </c>
      <c r="C188" s="1283" t="s">
        <v>4124</v>
      </c>
      <c r="D188" s="1263" t="s">
        <v>4130</v>
      </c>
      <c r="E188" s="1255" t="s">
        <v>4131</v>
      </c>
      <c r="F188" s="1256" t="s">
        <v>210</v>
      </c>
      <c r="G188" s="167"/>
      <c r="H188" s="167"/>
      <c r="I188" s="167">
        <v>1</v>
      </c>
      <c r="J188" s="659">
        <v>3318.5</v>
      </c>
      <c r="K188" s="1684" t="s">
        <v>4121</v>
      </c>
      <c r="M188" s="1267" t="s">
        <v>210</v>
      </c>
      <c r="N188" s="1259" t="s">
        <v>4125</v>
      </c>
      <c r="O188" s="1259"/>
      <c r="P188" s="1259"/>
      <c r="Q188" s="1243"/>
      <c r="R188" s="1243"/>
      <c r="S188" s="1243"/>
      <c r="T188" s="371">
        <v>49556</v>
      </c>
      <c r="U188" s="1243"/>
      <c r="V188" s="1244"/>
      <c r="W188" s="1243"/>
      <c r="X188" s="341">
        <v>400000</v>
      </c>
      <c r="Y188" s="878">
        <f t="shared" ref="Y188:Y212" si="61">Q188+T188+U188+W188</f>
        <v>49556</v>
      </c>
      <c r="Z188" s="879">
        <f t="shared" ref="Z188:Z212" si="62">+V188</f>
        <v>0</v>
      </c>
      <c r="AA188" s="1257" t="s">
        <v>3993</v>
      </c>
      <c r="AB188" s="341">
        <f>(674000*5)+(1550000)</f>
        <v>4920000</v>
      </c>
      <c r="AC188" s="882">
        <f t="shared" ref="AC188:AC203" si="63">((AB188+X188)*1.08)+Y188</f>
        <v>5795156</v>
      </c>
      <c r="AD188" s="881">
        <f t="shared" ref="AD188:AD203" si="64">(AB188+X188)*1.08</f>
        <v>5745600</v>
      </c>
    </row>
    <row r="189" spans="1:30" ht="29.25" customHeight="1">
      <c r="A189" s="1104">
        <v>5</v>
      </c>
      <c r="B189" s="591">
        <v>45424</v>
      </c>
      <c r="C189" s="717" t="s">
        <v>4141</v>
      </c>
      <c r="D189" s="386" t="s">
        <v>4183</v>
      </c>
      <c r="E189" s="47" t="s">
        <v>4143</v>
      </c>
      <c r="F189" s="126" t="s">
        <v>210</v>
      </c>
      <c r="G189" s="167">
        <v>1</v>
      </c>
      <c r="H189" s="167"/>
      <c r="I189" s="167"/>
      <c r="J189" s="646">
        <f>11103.81+3606.86</f>
        <v>14710.67</v>
      </c>
      <c r="K189" s="559" t="s">
        <v>4118</v>
      </c>
      <c r="L189" s="170" t="s">
        <v>4140</v>
      </c>
      <c r="M189" s="1267" t="s">
        <v>210</v>
      </c>
      <c r="N189" s="1260" t="s">
        <v>4153</v>
      </c>
      <c r="O189" s="1650"/>
      <c r="P189" s="1650"/>
      <c r="Q189" s="248"/>
      <c r="R189" s="248"/>
      <c r="S189" s="248"/>
      <c r="T189" s="371">
        <v>250000</v>
      </c>
      <c r="U189" s="248"/>
      <c r="V189" s="247"/>
      <c r="W189" s="248"/>
      <c r="X189" s="341">
        <v>400000</v>
      </c>
      <c r="Y189" s="878">
        <f t="shared" si="61"/>
        <v>250000</v>
      </c>
      <c r="Z189" s="879">
        <f t="shared" si="62"/>
        <v>0</v>
      </c>
      <c r="AA189" s="249"/>
      <c r="AB189" s="341">
        <v>6180000</v>
      </c>
      <c r="AC189" s="882">
        <f t="shared" si="63"/>
        <v>7356400.0000000009</v>
      </c>
      <c r="AD189" s="881">
        <f t="shared" si="64"/>
        <v>7106400.0000000009</v>
      </c>
    </row>
    <row r="190" spans="1:30">
      <c r="A190" s="868">
        <v>6</v>
      </c>
      <c r="B190" s="686" t="s">
        <v>4172</v>
      </c>
      <c r="C190" s="635" t="s">
        <v>4170</v>
      </c>
      <c r="D190" s="1291" t="s">
        <v>4156</v>
      </c>
      <c r="E190" s="47" t="s">
        <v>4173</v>
      </c>
      <c r="F190" s="709" t="s">
        <v>1300</v>
      </c>
      <c r="G190" s="167"/>
      <c r="H190" s="167">
        <v>1</v>
      </c>
      <c r="I190" s="167"/>
      <c r="J190" s="154">
        <v>24120</v>
      </c>
      <c r="K190" s="559" t="s">
        <v>4144</v>
      </c>
      <c r="L190" s="170" t="s">
        <v>4216</v>
      </c>
      <c r="M190" s="715" t="s">
        <v>123</v>
      </c>
      <c r="N190" s="780" t="s">
        <v>4146</v>
      </c>
      <c r="O190" s="1645"/>
      <c r="P190" s="1645"/>
      <c r="Q190" s="248"/>
      <c r="R190" s="324">
        <v>766800</v>
      </c>
      <c r="S190" s="248"/>
      <c r="T190" s="371">
        <v>500000</v>
      </c>
      <c r="U190" s="248"/>
      <c r="V190" s="247"/>
      <c r="W190" s="248"/>
      <c r="X190" s="158"/>
      <c r="Y190" s="878">
        <f>Q190+T190+U190+W190+R190</f>
        <v>1266800</v>
      </c>
      <c r="Z190" s="879">
        <f t="shared" si="62"/>
        <v>0</v>
      </c>
      <c r="AA190" s="249"/>
      <c r="AB190" s="341">
        <v>7150000</v>
      </c>
      <c r="AC190" s="882">
        <f t="shared" si="63"/>
        <v>8988800</v>
      </c>
      <c r="AD190" s="881">
        <f t="shared" si="64"/>
        <v>7722000.0000000009</v>
      </c>
    </row>
    <row r="191" spans="1:30" ht="26.4">
      <c r="A191" s="1104">
        <v>7</v>
      </c>
      <c r="B191" s="686" t="s">
        <v>4172</v>
      </c>
      <c r="C191" s="636" t="s">
        <v>4171</v>
      </c>
      <c r="D191" s="1291" t="s">
        <v>4156</v>
      </c>
      <c r="E191" s="47" t="s">
        <v>4174</v>
      </c>
      <c r="F191" s="709" t="s">
        <v>1300</v>
      </c>
      <c r="G191" s="167"/>
      <c r="H191" s="167">
        <v>1</v>
      </c>
      <c r="I191" s="167"/>
      <c r="J191" s="154">
        <v>23340</v>
      </c>
      <c r="K191" s="559" t="s">
        <v>4145</v>
      </c>
      <c r="L191" s="170" t="s">
        <v>4215</v>
      </c>
      <c r="M191" s="715" t="s">
        <v>123</v>
      </c>
      <c r="N191" s="780" t="s">
        <v>4146</v>
      </c>
      <c r="O191" s="1645"/>
      <c r="P191" s="1645"/>
      <c r="Q191" s="248"/>
      <c r="R191" s="324">
        <v>766800</v>
      </c>
      <c r="S191" s="248"/>
      <c r="T191" s="371">
        <v>500000</v>
      </c>
      <c r="U191" s="248"/>
      <c r="V191" s="247"/>
      <c r="W191" s="248"/>
      <c r="X191" s="341">
        <v>400000</v>
      </c>
      <c r="Y191" s="878">
        <f>Q191+T191+U191+W191+R191</f>
        <v>1266800</v>
      </c>
      <c r="Z191" s="879">
        <f t="shared" si="62"/>
        <v>0</v>
      </c>
      <c r="AA191" s="249"/>
      <c r="AB191" s="341">
        <v>7150000</v>
      </c>
      <c r="AC191" s="882">
        <f t="shared" si="63"/>
        <v>9420800</v>
      </c>
      <c r="AD191" s="881">
        <f t="shared" si="64"/>
        <v>8154000.0000000009</v>
      </c>
    </row>
    <row r="192" spans="1:30" ht="27" customHeight="1">
      <c r="A192" s="868">
        <v>8</v>
      </c>
      <c r="B192" s="686" t="s">
        <v>4154</v>
      </c>
      <c r="C192" s="632" t="s">
        <v>4205</v>
      </c>
      <c r="D192" s="1292">
        <v>45638</v>
      </c>
      <c r="E192" s="47" t="s">
        <v>4212</v>
      </c>
      <c r="F192" s="126" t="s">
        <v>210</v>
      </c>
      <c r="G192" s="167"/>
      <c r="H192" s="167">
        <v>1</v>
      </c>
      <c r="I192" s="167"/>
      <c r="J192" s="154">
        <v>23616.79</v>
      </c>
      <c r="K192" s="559" t="s">
        <v>4155</v>
      </c>
      <c r="L192" s="170" t="s">
        <v>4208</v>
      </c>
      <c r="M192" s="715" t="s">
        <v>123</v>
      </c>
      <c r="N192" s="1260" t="s">
        <v>4202</v>
      </c>
      <c r="O192" s="1650"/>
      <c r="P192" s="1650"/>
      <c r="Q192" s="248"/>
      <c r="R192" s="248"/>
      <c r="S192" s="248"/>
      <c r="T192" s="371">
        <v>500000</v>
      </c>
      <c r="U192" s="248"/>
      <c r="V192" s="247"/>
      <c r="W192" s="248"/>
      <c r="X192" s="341">
        <v>400000</v>
      </c>
      <c r="Y192" s="878">
        <f t="shared" si="61"/>
        <v>500000</v>
      </c>
      <c r="Z192" s="879">
        <f t="shared" si="62"/>
        <v>0</v>
      </c>
      <c r="AA192" s="249"/>
      <c r="AB192" s="341">
        <v>7100000</v>
      </c>
      <c r="AC192" s="882">
        <f t="shared" si="63"/>
        <v>8600000</v>
      </c>
      <c r="AD192" s="881">
        <f t="shared" si="64"/>
        <v>8100000.0000000009</v>
      </c>
    </row>
    <row r="193" spans="1:30" ht="27" customHeight="1">
      <c r="A193" s="1104">
        <v>9</v>
      </c>
      <c r="B193" s="98" t="s">
        <v>4218</v>
      </c>
      <c r="C193" s="632" t="s">
        <v>4252</v>
      </c>
      <c r="D193" s="1292" t="s">
        <v>4218</v>
      </c>
      <c r="E193" s="47" t="s">
        <v>4258</v>
      </c>
      <c r="F193" s="126" t="s">
        <v>210</v>
      </c>
      <c r="G193" s="167">
        <v>1</v>
      </c>
      <c r="H193" s="167"/>
      <c r="I193" s="167"/>
      <c r="J193" s="154">
        <f>12557.66+2265.81</f>
        <v>14823.47</v>
      </c>
      <c r="K193" s="559" t="s">
        <v>4219</v>
      </c>
      <c r="L193" s="170" t="s">
        <v>4251</v>
      </c>
      <c r="M193" s="86" t="s">
        <v>210</v>
      </c>
      <c r="N193" s="1260" t="s">
        <v>4253</v>
      </c>
      <c r="O193" s="1650"/>
      <c r="P193" s="1650"/>
      <c r="Q193" s="248"/>
      <c r="R193" s="248"/>
      <c r="S193" s="248"/>
      <c r="T193" s="371">
        <v>250000</v>
      </c>
      <c r="U193" s="248"/>
      <c r="V193" s="247"/>
      <c r="W193" s="248"/>
      <c r="X193" s="341">
        <v>400000</v>
      </c>
      <c r="Y193" s="878">
        <f t="shared" si="61"/>
        <v>250000</v>
      </c>
      <c r="Z193" s="879">
        <f t="shared" si="62"/>
        <v>0</v>
      </c>
      <c r="AA193" s="391" t="s">
        <v>1416</v>
      </c>
      <c r="AB193" s="341">
        <v>6180000</v>
      </c>
      <c r="AC193" s="882">
        <f t="shared" si="63"/>
        <v>7356400.0000000009</v>
      </c>
      <c r="AD193" s="881">
        <f t="shared" si="64"/>
        <v>7106400.0000000009</v>
      </c>
    </row>
    <row r="194" spans="1:30">
      <c r="A194" s="3721" t="s">
        <v>4267</v>
      </c>
      <c r="B194" s="3721"/>
      <c r="C194" s="3721"/>
      <c r="D194" s="3721"/>
      <c r="E194" s="3721"/>
      <c r="F194" s="3721"/>
      <c r="G194" s="3721"/>
      <c r="H194" s="3721"/>
      <c r="I194" s="3721"/>
      <c r="J194" s="3721"/>
      <c r="K194" s="3721"/>
      <c r="L194" s="3721"/>
      <c r="M194" s="346"/>
      <c r="N194" s="346"/>
      <c r="O194" s="346"/>
      <c r="P194" s="346"/>
      <c r="Q194" s="1004"/>
      <c r="R194" s="1005"/>
      <c r="S194" s="1004"/>
      <c r="T194" s="1004">
        <f>SUM(T185:T193)</f>
        <v>3299556</v>
      </c>
      <c r="U194" s="1004"/>
      <c r="V194" s="1006"/>
      <c r="W194" s="1004"/>
      <c r="X194" s="1007"/>
      <c r="Y194" s="1007">
        <f>SUM(Y185:Y193)</f>
        <v>6798556</v>
      </c>
      <c r="Z194" s="1007">
        <f>SUM(Z176:Z193)</f>
        <v>0</v>
      </c>
      <c r="AA194" s="1009"/>
      <c r="AB194" s="1126">
        <f>SUM(AB185:AB193)</f>
        <v>59160000</v>
      </c>
      <c r="AC194" s="1126">
        <f>+Y194+AB194</f>
        <v>65958556</v>
      </c>
      <c r="AD194" s="1126">
        <f>SUM(AD185:AD193)</f>
        <v>67348800.000000015</v>
      </c>
    </row>
    <row r="195" spans="1:30" ht="39" customHeight="1">
      <c r="A195" s="868">
        <v>1</v>
      </c>
      <c r="C195" s="635" t="s">
        <v>4305</v>
      </c>
      <c r="D195" s="1291" t="s">
        <v>4284</v>
      </c>
      <c r="E195" s="1461" t="s">
        <v>4350</v>
      </c>
      <c r="F195" s="126" t="s">
        <v>4303</v>
      </c>
      <c r="G195" s="3808" t="s">
        <v>4445</v>
      </c>
      <c r="H195" s="3809"/>
      <c r="I195" s="3810"/>
      <c r="J195" s="762">
        <f>840+23.5+23.5+1004.5+24.5+24.5+1056+880+7+590.2+864+23.5+120+5+27+27.5</f>
        <v>5540.7</v>
      </c>
      <c r="K195" s="559">
        <v>112400035235995</v>
      </c>
      <c r="L195" s="170"/>
      <c r="M195" s="723" t="s">
        <v>136</v>
      </c>
      <c r="N195" s="477"/>
      <c r="O195" s="1602"/>
      <c r="P195" s="1602"/>
      <c r="Q195" s="248"/>
      <c r="R195" s="248"/>
      <c r="S195" s="248"/>
      <c r="T195" s="248"/>
      <c r="U195" s="248"/>
      <c r="V195" s="247"/>
      <c r="W195" s="248"/>
      <c r="X195" s="158"/>
      <c r="Y195" s="878">
        <f t="shared" si="61"/>
        <v>0</v>
      </c>
      <c r="Z195" s="879">
        <f t="shared" si="62"/>
        <v>0</v>
      </c>
      <c r="AA195" s="391"/>
      <c r="AB195" s="341">
        <v>6350000</v>
      </c>
      <c r="AC195" s="882">
        <f>((AB195+X195)*1.08)+Y195</f>
        <v>6858000</v>
      </c>
      <c r="AD195" s="881">
        <f t="shared" si="64"/>
        <v>6858000</v>
      </c>
    </row>
    <row r="196" spans="1:30" ht="26.4">
      <c r="A196" s="868">
        <f t="shared" ref="A196:A212" si="65">+A195+1</f>
        <v>2</v>
      </c>
      <c r="B196" s="98" t="s">
        <v>4282</v>
      </c>
      <c r="C196" s="1290" t="s">
        <v>4316</v>
      </c>
      <c r="D196" s="1293" t="s">
        <v>4282</v>
      </c>
      <c r="E196" s="1461" t="s">
        <v>4351</v>
      </c>
      <c r="F196" s="1295" t="s">
        <v>210</v>
      </c>
      <c r="G196" s="728">
        <v>1</v>
      </c>
      <c r="H196" s="167"/>
      <c r="I196" s="167"/>
      <c r="J196" s="1156">
        <f>8779.44+5746.05</f>
        <v>14525.490000000002</v>
      </c>
      <c r="K196" s="1685" t="s">
        <v>4263</v>
      </c>
      <c r="L196" s="1779" t="s">
        <v>4320</v>
      </c>
      <c r="M196" s="1296" t="s">
        <v>210</v>
      </c>
      <c r="N196" s="1297" t="s">
        <v>4417</v>
      </c>
      <c r="O196" s="1297"/>
      <c r="P196" s="1651"/>
      <c r="Q196" s="248"/>
      <c r="R196" s="248"/>
      <c r="S196" s="248"/>
      <c r="T196" s="371">
        <v>250000</v>
      </c>
      <c r="U196" s="248"/>
      <c r="V196" s="247"/>
      <c r="W196" s="248"/>
      <c r="X196" s="341">
        <v>400000</v>
      </c>
      <c r="Y196" s="878">
        <f t="shared" si="61"/>
        <v>250000</v>
      </c>
      <c r="Z196" s="879">
        <f t="shared" si="62"/>
        <v>0</v>
      </c>
      <c r="AA196" s="391" t="s">
        <v>1416</v>
      </c>
      <c r="AB196" s="341">
        <v>6180000</v>
      </c>
      <c r="AC196" s="882">
        <f t="shared" si="63"/>
        <v>7356400.0000000009</v>
      </c>
      <c r="AD196" s="881">
        <f t="shared" si="64"/>
        <v>7106400.0000000009</v>
      </c>
    </row>
    <row r="197" spans="1:30" ht="26.4">
      <c r="A197" s="868">
        <f t="shared" si="65"/>
        <v>3</v>
      </c>
      <c r="B197" s="681">
        <v>45809</v>
      </c>
      <c r="C197" s="1290" t="s">
        <v>4361</v>
      </c>
      <c r="D197" s="681">
        <v>45809</v>
      </c>
      <c r="E197" s="1462" t="s">
        <v>4381</v>
      </c>
      <c r="F197" s="1286" t="s">
        <v>210</v>
      </c>
      <c r="G197" s="1321"/>
      <c r="H197" s="1321">
        <v>1</v>
      </c>
      <c r="I197" s="1321"/>
      <c r="J197" s="1322">
        <f>21374.09+2317.11</f>
        <v>23691.200000000001</v>
      </c>
      <c r="K197" s="1686" t="s">
        <v>4331</v>
      </c>
      <c r="L197" s="1686" t="s">
        <v>4359</v>
      </c>
      <c r="M197" s="1323" t="s">
        <v>123</v>
      </c>
      <c r="N197" s="1371" t="s">
        <v>4418</v>
      </c>
      <c r="O197" s="1645"/>
      <c r="P197" s="1645"/>
      <c r="Q197" s="248"/>
      <c r="R197" s="248"/>
      <c r="S197" s="248"/>
      <c r="T197" s="371">
        <v>500000</v>
      </c>
      <c r="U197" s="248"/>
      <c r="V197" s="247"/>
      <c r="W197" s="248"/>
      <c r="X197" s="341">
        <v>400000</v>
      </c>
      <c r="Y197" s="878">
        <f t="shared" si="61"/>
        <v>500000</v>
      </c>
      <c r="Z197" s="879">
        <f t="shared" si="62"/>
        <v>0</v>
      </c>
      <c r="AA197" s="249"/>
      <c r="AB197" s="341">
        <v>7100000</v>
      </c>
      <c r="AC197" s="882">
        <f t="shared" si="63"/>
        <v>8600000</v>
      </c>
      <c r="AD197" s="881">
        <f t="shared" si="64"/>
        <v>8100000.0000000009</v>
      </c>
    </row>
    <row r="198" spans="1:30" ht="26.4">
      <c r="A198" s="868">
        <f t="shared" si="65"/>
        <v>4</v>
      </c>
      <c r="B198" s="681">
        <v>45839</v>
      </c>
      <c r="C198" s="1290" t="s">
        <v>4412</v>
      </c>
      <c r="D198" s="681">
        <v>45839</v>
      </c>
      <c r="E198" s="1462" t="s">
        <v>4456</v>
      </c>
      <c r="F198" s="1286" t="s">
        <v>210</v>
      </c>
      <c r="G198" s="728"/>
      <c r="H198" s="167">
        <v>1</v>
      </c>
      <c r="I198" s="167"/>
      <c r="J198" s="154">
        <f>7805.97+15657.76</f>
        <v>23463.73</v>
      </c>
      <c r="K198" s="1674" t="s">
        <v>4330</v>
      </c>
      <c r="L198" s="1686" t="s">
        <v>4393</v>
      </c>
      <c r="M198" s="86" t="s">
        <v>210</v>
      </c>
      <c r="N198" s="477" t="s">
        <v>4418</v>
      </c>
      <c r="O198" s="1602"/>
      <c r="P198" s="1602"/>
      <c r="Q198" s="248"/>
      <c r="R198" s="248"/>
      <c r="S198" s="248"/>
      <c r="T198" s="371">
        <v>500000</v>
      </c>
      <c r="U198" s="248"/>
      <c r="V198" s="247"/>
      <c r="W198" s="248"/>
      <c r="X198" s="341">
        <v>400000</v>
      </c>
      <c r="Y198" s="878">
        <f t="shared" si="61"/>
        <v>500000</v>
      </c>
      <c r="Z198" s="879">
        <f t="shared" si="62"/>
        <v>0</v>
      </c>
      <c r="AA198" s="249"/>
      <c r="AB198" s="341">
        <v>7100000</v>
      </c>
      <c r="AC198" s="882">
        <f t="shared" si="63"/>
        <v>8600000</v>
      </c>
      <c r="AD198" s="881">
        <f t="shared" si="64"/>
        <v>8100000.0000000009</v>
      </c>
    </row>
    <row r="199" spans="1:30" ht="26.4">
      <c r="A199" s="868">
        <f t="shared" si="65"/>
        <v>5</v>
      </c>
      <c r="B199" s="681">
        <v>45870</v>
      </c>
      <c r="C199" s="636" t="s">
        <v>4340</v>
      </c>
      <c r="D199" s="386" t="s">
        <v>4336</v>
      </c>
      <c r="E199" s="1462" t="s">
        <v>4352</v>
      </c>
      <c r="F199" s="1299" t="s">
        <v>1300</v>
      </c>
      <c r="G199" s="1300"/>
      <c r="H199" s="1300"/>
      <c r="I199" s="1301">
        <v>1</v>
      </c>
      <c r="J199" s="1302" t="s">
        <v>4339</v>
      </c>
      <c r="K199" s="1687" t="s">
        <v>4338</v>
      </c>
      <c r="L199" s="1384"/>
      <c r="M199" s="715" t="s">
        <v>123</v>
      </c>
      <c r="N199" s="1300" t="s">
        <v>4382</v>
      </c>
      <c r="O199" s="1647"/>
      <c r="P199" s="1647"/>
      <c r="Q199" s="248"/>
      <c r="R199" s="248"/>
      <c r="S199" s="248"/>
      <c r="T199" s="371">
        <v>87311</v>
      </c>
      <c r="U199" s="248"/>
      <c r="V199" s="247"/>
      <c r="W199" s="248"/>
      <c r="X199" s="341">
        <v>400000</v>
      </c>
      <c r="Y199" s="878">
        <f t="shared" si="61"/>
        <v>87311</v>
      </c>
      <c r="Z199" s="879">
        <f t="shared" si="62"/>
        <v>0</v>
      </c>
      <c r="AA199" s="249"/>
      <c r="AB199" s="341">
        <v>3922680</v>
      </c>
      <c r="AC199" s="882">
        <f t="shared" si="63"/>
        <v>4755805.4000000004</v>
      </c>
      <c r="AD199" s="881">
        <f t="shared" si="64"/>
        <v>4668494.4000000004</v>
      </c>
    </row>
    <row r="200" spans="1:30" ht="26.4">
      <c r="A200" s="868">
        <f t="shared" si="65"/>
        <v>6</v>
      </c>
      <c r="B200" s="1455" t="s">
        <v>4467</v>
      </c>
      <c r="C200" s="1438" t="s">
        <v>4482</v>
      </c>
      <c r="D200" s="1439" t="s">
        <v>4421</v>
      </c>
      <c r="E200" s="1462" t="s">
        <v>4457</v>
      </c>
      <c r="F200" s="1299" t="s">
        <v>1300</v>
      </c>
      <c r="G200" s="1300"/>
      <c r="H200" s="1301">
        <v>1</v>
      </c>
      <c r="I200" s="1300"/>
      <c r="J200" s="1401" t="s">
        <v>4415</v>
      </c>
      <c r="K200" s="1687" t="s">
        <v>4413</v>
      </c>
      <c r="L200" s="1286" t="s">
        <v>4414</v>
      </c>
      <c r="M200" s="715" t="s">
        <v>123</v>
      </c>
      <c r="N200" s="1402" t="s">
        <v>4416</v>
      </c>
      <c r="O200" s="1652"/>
      <c r="P200" s="1652"/>
      <c r="Q200" s="324">
        <v>361800</v>
      </c>
      <c r="R200" s="324">
        <v>766800</v>
      </c>
      <c r="S200" s="248"/>
      <c r="T200" s="371">
        <v>500000</v>
      </c>
      <c r="U200" s="248"/>
      <c r="V200" s="247"/>
      <c r="W200" s="324">
        <v>150000</v>
      </c>
      <c r="X200" s="341">
        <v>400000</v>
      </c>
      <c r="Y200" s="878">
        <f t="shared" si="61"/>
        <v>1011800</v>
      </c>
      <c r="Z200" s="879">
        <f t="shared" si="62"/>
        <v>0</v>
      </c>
      <c r="AA200" s="391" t="s">
        <v>2101</v>
      </c>
      <c r="AB200" s="341">
        <v>7500000</v>
      </c>
      <c r="AC200" s="882">
        <f t="shared" si="63"/>
        <v>9543800</v>
      </c>
      <c r="AD200" s="881">
        <f t="shared" si="64"/>
        <v>8532000</v>
      </c>
    </row>
    <row r="201" spans="1:30" ht="26.4">
      <c r="A201" s="868">
        <f>+A203+1</f>
        <v>9</v>
      </c>
      <c r="B201" s="1456" t="s">
        <v>4467</v>
      </c>
      <c r="C201" s="1226" t="s">
        <v>4514</v>
      </c>
      <c r="D201" s="46" t="s">
        <v>4467</v>
      </c>
      <c r="E201" s="1208" t="s">
        <v>4525</v>
      </c>
      <c r="F201" s="126" t="s">
        <v>210</v>
      </c>
      <c r="G201" s="167">
        <v>1</v>
      </c>
      <c r="H201" s="167"/>
      <c r="I201" s="167"/>
      <c r="J201" s="1446">
        <v>4734.5</v>
      </c>
      <c r="K201" s="1687">
        <v>2754282430</v>
      </c>
      <c r="L201" s="86" t="s">
        <v>4496</v>
      </c>
      <c r="M201" s="86" t="s">
        <v>210</v>
      </c>
      <c r="N201" s="1402" t="s">
        <v>4468</v>
      </c>
      <c r="O201" s="1652"/>
      <c r="P201" s="1652"/>
      <c r="Q201" s="1427"/>
      <c r="R201" s="248"/>
      <c r="S201" s="248"/>
      <c r="T201" s="371">
        <v>250000</v>
      </c>
      <c r="U201" s="248"/>
      <c r="V201" s="247"/>
      <c r="W201" s="248"/>
      <c r="X201" s="158"/>
      <c r="Y201" s="878">
        <f>Q201+T201+U201+W201</f>
        <v>250000</v>
      </c>
      <c r="Z201" s="879">
        <f>+V201</f>
        <v>0</v>
      </c>
      <c r="AA201" s="249"/>
      <c r="AB201" s="341">
        <v>6180000</v>
      </c>
      <c r="AC201" s="882">
        <f t="shared" si="63"/>
        <v>6924400</v>
      </c>
      <c r="AD201" s="881">
        <f t="shared" si="64"/>
        <v>6674400</v>
      </c>
    </row>
    <row r="202" spans="1:30" ht="39.6">
      <c r="A202" s="868">
        <f>+A200+1</f>
        <v>7</v>
      </c>
      <c r="B202" s="1460" t="s">
        <v>4483</v>
      </c>
      <c r="C202" s="1311" t="s">
        <v>4470</v>
      </c>
      <c r="D202" s="1439" t="s">
        <v>4428</v>
      </c>
      <c r="E202" s="1463" t="s">
        <v>4526</v>
      </c>
      <c r="F202" s="1299" t="s">
        <v>1300</v>
      </c>
      <c r="G202" s="1300"/>
      <c r="H202" s="1301">
        <v>1</v>
      </c>
      <c r="I202" s="1300"/>
      <c r="J202" s="1441">
        <v>23996</v>
      </c>
      <c r="K202" s="1687" t="s">
        <v>4463</v>
      </c>
      <c r="L202" s="1286" t="s">
        <v>4464</v>
      </c>
      <c r="M202" s="715" t="s">
        <v>123</v>
      </c>
      <c r="N202" s="1402" t="s">
        <v>4501</v>
      </c>
      <c r="O202" s="1652"/>
      <c r="P202" s="1652"/>
      <c r="Q202" s="373">
        <v>361800</v>
      </c>
      <c r="R202" s="324">
        <v>766800</v>
      </c>
      <c r="S202" s="248"/>
      <c r="T202" s="371">
        <v>500000</v>
      </c>
      <c r="U202" s="248"/>
      <c r="V202" s="247"/>
      <c r="W202" s="248"/>
      <c r="X202" s="158"/>
      <c r="Y202" s="878">
        <f t="shared" si="61"/>
        <v>861800</v>
      </c>
      <c r="Z202" s="879">
        <f t="shared" si="62"/>
        <v>0</v>
      </c>
      <c r="AA202" s="249"/>
      <c r="AB202" s="341">
        <v>7150000</v>
      </c>
      <c r="AC202" s="882">
        <f t="shared" si="63"/>
        <v>8583800</v>
      </c>
      <c r="AD202" s="881">
        <f t="shared" si="64"/>
        <v>7722000.0000000009</v>
      </c>
    </row>
    <row r="203" spans="1:30" ht="39.6">
      <c r="A203" s="868">
        <f t="shared" si="65"/>
        <v>8</v>
      </c>
      <c r="B203" s="1501" t="s">
        <v>4500</v>
      </c>
      <c r="C203" s="1447" t="s">
        <v>4621</v>
      </c>
      <c r="D203" s="699" t="s">
        <v>4467</v>
      </c>
      <c r="E203" s="1464" t="s">
        <v>4527</v>
      </c>
      <c r="F203" s="1299" t="s">
        <v>1300</v>
      </c>
      <c r="G203" s="445"/>
      <c r="H203" s="1301">
        <v>1</v>
      </c>
      <c r="I203" s="445"/>
      <c r="J203" s="1441">
        <v>23482</v>
      </c>
      <c r="K203" s="1687" t="s">
        <v>4465</v>
      </c>
      <c r="L203" s="1286" t="s">
        <v>4466</v>
      </c>
      <c r="M203" s="715" t="s">
        <v>123</v>
      </c>
      <c r="N203" s="1402" t="s">
        <v>4502</v>
      </c>
      <c r="O203" s="1652"/>
      <c r="P203" s="1652"/>
      <c r="Q203" s="324">
        <f>361800+267840</f>
        <v>629640</v>
      </c>
      <c r="R203" s="324">
        <v>766800</v>
      </c>
      <c r="S203" s="248"/>
      <c r="T203" s="371">
        <v>500000</v>
      </c>
      <c r="U203" s="248"/>
      <c r="V203" s="247"/>
      <c r="W203" s="248"/>
      <c r="X203" s="341">
        <v>400000</v>
      </c>
      <c r="Y203" s="878">
        <f>Q203+T203+U203+W203</f>
        <v>1129640</v>
      </c>
      <c r="Z203" s="879">
        <f t="shared" si="62"/>
        <v>0</v>
      </c>
      <c r="AA203" s="249"/>
      <c r="AB203" s="341">
        <v>7150000</v>
      </c>
      <c r="AC203" s="882">
        <f t="shared" si="63"/>
        <v>9283640</v>
      </c>
      <c r="AD203" s="881">
        <f t="shared" si="64"/>
        <v>8154000.0000000009</v>
      </c>
    </row>
    <row r="204" spans="1:30">
      <c r="A204" s="868">
        <v>9</v>
      </c>
      <c r="B204" s="1501" t="s">
        <v>4478</v>
      </c>
      <c r="C204" s="1226" t="s">
        <v>4512</v>
      </c>
      <c r="D204" s="46" t="s">
        <v>4513</v>
      </c>
      <c r="E204" s="1208" t="s">
        <v>4528</v>
      </c>
      <c r="F204" s="126" t="s">
        <v>210</v>
      </c>
      <c r="G204" s="167"/>
      <c r="H204" s="167"/>
      <c r="I204" s="167" t="s">
        <v>128</v>
      </c>
      <c r="J204" s="1453">
        <v>46.402000000000001</v>
      </c>
      <c r="K204" s="1674"/>
      <c r="L204" s="170"/>
      <c r="M204" s="596" t="s">
        <v>210</v>
      </c>
      <c r="N204" s="477"/>
      <c r="O204" s="1602"/>
      <c r="P204" s="1602"/>
      <c r="Q204" s="248"/>
      <c r="R204" s="248"/>
      <c r="S204" s="248"/>
      <c r="T204" s="248"/>
      <c r="U204" s="248"/>
      <c r="V204" s="247"/>
      <c r="W204" s="248"/>
      <c r="X204" s="158"/>
      <c r="Y204" s="878">
        <f t="shared" si="61"/>
        <v>0</v>
      </c>
      <c r="Z204" s="879">
        <f t="shared" si="62"/>
        <v>0</v>
      </c>
      <c r="AA204" s="249" t="s">
        <v>3160</v>
      </c>
      <c r="AB204" s="341">
        <v>1500000</v>
      </c>
      <c r="AC204" s="882">
        <f>((AB204+X204)*1.08)+Y204</f>
        <v>1620000</v>
      </c>
      <c r="AD204" s="881">
        <f>(AB204+X204)*1.08</f>
        <v>1620000</v>
      </c>
    </row>
    <row r="205" spans="1:30">
      <c r="A205" s="868">
        <f t="shared" si="65"/>
        <v>10</v>
      </c>
      <c r="B205" s="1501" t="s">
        <v>4532</v>
      </c>
      <c r="C205" s="635" t="s">
        <v>4529</v>
      </c>
      <c r="D205" s="386" t="s">
        <v>4478</v>
      </c>
      <c r="E205" s="1208" t="s">
        <v>4530</v>
      </c>
      <c r="F205" s="1299" t="s">
        <v>1300</v>
      </c>
      <c r="G205" s="167"/>
      <c r="H205" s="167">
        <v>1</v>
      </c>
      <c r="I205" s="167"/>
      <c r="J205" s="154"/>
      <c r="K205" s="559" t="s">
        <v>4509</v>
      </c>
      <c r="L205" s="170" t="s">
        <v>4508</v>
      </c>
      <c r="M205" s="715" t="s">
        <v>123</v>
      </c>
      <c r="N205" s="477"/>
      <c r="O205" s="1602"/>
      <c r="P205" s="1602"/>
      <c r="Q205" s="324">
        <v>361800</v>
      </c>
      <c r="R205" s="324">
        <v>766800</v>
      </c>
      <c r="S205" s="248"/>
      <c r="T205" s="371">
        <v>500000</v>
      </c>
      <c r="U205" s="248"/>
      <c r="V205" s="247"/>
      <c r="W205" s="248"/>
      <c r="X205" s="158"/>
      <c r="Y205" s="878">
        <f t="shared" si="61"/>
        <v>861800</v>
      </c>
      <c r="Z205" s="879">
        <f t="shared" si="62"/>
        <v>0</v>
      </c>
      <c r="AA205" s="249"/>
      <c r="AB205" s="341">
        <v>7150000</v>
      </c>
      <c r="AC205" s="882">
        <f>((AB205+X205)*1.08)+Y205</f>
        <v>8583800</v>
      </c>
      <c r="AD205" s="881">
        <f>(AB205+X205)*1.08</f>
        <v>7722000.0000000009</v>
      </c>
    </row>
    <row r="206" spans="1:30">
      <c r="A206" s="868">
        <f t="shared" si="65"/>
        <v>11</v>
      </c>
      <c r="B206" s="98" t="s">
        <v>4500</v>
      </c>
      <c r="C206" s="1226" t="s">
        <v>4674</v>
      </c>
      <c r="D206" s="46" t="s">
        <v>4500</v>
      </c>
      <c r="E206" s="179" t="s">
        <v>4681</v>
      </c>
      <c r="F206" s="126" t="s">
        <v>210</v>
      </c>
      <c r="G206" s="167"/>
      <c r="H206" s="167"/>
      <c r="I206" s="167">
        <v>1</v>
      </c>
      <c r="J206" s="154">
        <v>1107</v>
      </c>
      <c r="K206" s="559" t="s">
        <v>4670</v>
      </c>
      <c r="L206" s="170"/>
      <c r="M206" s="596" t="s">
        <v>210</v>
      </c>
      <c r="N206" s="477" t="s">
        <v>4516</v>
      </c>
      <c r="O206" s="1602"/>
      <c r="P206" s="1602"/>
      <c r="Q206" s="248"/>
      <c r="R206" s="248"/>
      <c r="S206" s="248"/>
      <c r="T206" s="324">
        <v>16605</v>
      </c>
      <c r="U206" s="248"/>
      <c r="V206" s="247"/>
      <c r="W206" s="248"/>
      <c r="X206" s="158"/>
      <c r="Y206" s="878">
        <f t="shared" si="61"/>
        <v>16605</v>
      </c>
      <c r="Z206" s="879">
        <f t="shared" si="62"/>
        <v>0</v>
      </c>
      <c r="AA206" s="391" t="s">
        <v>4671</v>
      </c>
      <c r="AB206" s="341">
        <v>3370000</v>
      </c>
      <c r="AC206" s="882">
        <f>((AB206+X206)*1.08)+Y206</f>
        <v>3656205.0000000005</v>
      </c>
      <c r="AD206" s="881">
        <f>(AB206+X206)*1.08</f>
        <v>3639600.0000000005</v>
      </c>
    </row>
    <row r="207" spans="1:30">
      <c r="A207" s="3721" t="s">
        <v>4669</v>
      </c>
      <c r="B207" s="3721"/>
      <c r="C207" s="3721"/>
      <c r="D207" s="3721"/>
      <c r="E207" s="3721"/>
      <c r="F207" s="3721"/>
      <c r="G207" s="3721"/>
      <c r="H207" s="3721"/>
      <c r="I207" s="3721"/>
      <c r="J207" s="3721"/>
      <c r="K207" s="3721"/>
      <c r="L207" s="3721"/>
      <c r="M207" s="346"/>
      <c r="N207" s="346"/>
      <c r="O207" s="346"/>
      <c r="P207" s="346"/>
      <c r="Q207" s="1004"/>
      <c r="R207" s="1005"/>
      <c r="S207" s="1004"/>
      <c r="T207" s="1004">
        <f>SUM(T195:T205)</f>
        <v>3587311</v>
      </c>
      <c r="U207" s="1004"/>
      <c r="V207" s="1006"/>
      <c r="W207" s="1004"/>
      <c r="X207" s="1007"/>
      <c r="Y207" s="1126">
        <f>SUM(Y195:Y206)</f>
        <v>5468956</v>
      </c>
      <c r="Z207" s="1007">
        <f>SUM(Z189:Z206)</f>
        <v>0</v>
      </c>
      <c r="AA207" s="1009"/>
      <c r="AB207" s="1126">
        <f>SUM(AB195:AB206)</f>
        <v>70652680</v>
      </c>
      <c r="AC207" s="1126">
        <f>+Y207+AB207</f>
        <v>76121636</v>
      </c>
      <c r="AD207" s="1126">
        <f>SUM(AD198:AD206)</f>
        <v>56832494.400000006</v>
      </c>
    </row>
    <row r="208" spans="1:30" ht="26.4">
      <c r="A208" s="868">
        <v>1</v>
      </c>
      <c r="B208" s="591">
        <v>45963</v>
      </c>
      <c r="C208" s="632" t="s">
        <v>4770</v>
      </c>
      <c r="D208" s="386" t="s">
        <v>4771</v>
      </c>
      <c r="E208" s="179" t="s">
        <v>4780</v>
      </c>
      <c r="F208" s="126" t="s">
        <v>210</v>
      </c>
      <c r="G208" s="167"/>
      <c r="H208" s="167">
        <v>1</v>
      </c>
      <c r="I208" s="167"/>
      <c r="J208" s="154">
        <f>16886.46+6779.19</f>
        <v>23665.649999999998</v>
      </c>
      <c r="K208" s="559" t="s">
        <v>4695</v>
      </c>
      <c r="L208" s="170" t="s">
        <v>4768</v>
      </c>
      <c r="M208" s="596" t="s">
        <v>210</v>
      </c>
      <c r="N208" s="477"/>
      <c r="O208" s="1602"/>
      <c r="P208" s="1602"/>
      <c r="Q208" s="248"/>
      <c r="R208" s="248"/>
      <c r="S208" s="248"/>
      <c r="T208" s="371">
        <v>500000</v>
      </c>
      <c r="U208" s="248"/>
      <c r="V208" s="247"/>
      <c r="W208" s="248"/>
      <c r="X208" s="341">
        <v>400000</v>
      </c>
      <c r="Y208" s="878">
        <f t="shared" si="61"/>
        <v>500000</v>
      </c>
      <c r="Z208" s="879">
        <f t="shared" si="62"/>
        <v>0</v>
      </c>
      <c r="AA208" s="391" t="s">
        <v>1416</v>
      </c>
      <c r="AB208" s="341">
        <v>7100000</v>
      </c>
      <c r="AC208" s="882">
        <f t="shared" ref="AC208:AC214" si="66">((AB208+X208)*1.08)+Y208</f>
        <v>8600000</v>
      </c>
      <c r="AD208" s="881">
        <f t="shared" ref="AD208:AD214" si="67">(AB208+X208)*1.08</f>
        <v>8100000.0000000009</v>
      </c>
    </row>
    <row r="209" spans="1:30">
      <c r="A209" s="1599">
        <v>2</v>
      </c>
      <c r="B209" s="1600" t="s">
        <v>4763</v>
      </c>
      <c r="C209" s="632" t="s">
        <v>4803</v>
      </c>
      <c r="D209" s="1616" t="s">
        <v>4763</v>
      </c>
      <c r="E209" s="179" t="s">
        <v>4806</v>
      </c>
      <c r="F209" s="1601" t="s">
        <v>210</v>
      </c>
      <c r="G209" s="167">
        <v>1</v>
      </c>
      <c r="H209" s="167"/>
      <c r="I209" s="167"/>
      <c r="J209" s="646">
        <f>14322.7+2240</f>
        <v>16562.7</v>
      </c>
      <c r="K209" s="1688" t="s">
        <v>4764</v>
      </c>
      <c r="L209" s="170" t="s">
        <v>4802</v>
      </c>
      <c r="M209" s="596" t="s">
        <v>210</v>
      </c>
      <c r="N209" s="1602"/>
      <c r="O209" s="1602"/>
      <c r="P209" s="1602"/>
      <c r="Q209" s="1603"/>
      <c r="R209" s="1603"/>
      <c r="S209" s="1603"/>
      <c r="T209" s="371">
        <v>250000</v>
      </c>
      <c r="U209" s="1603"/>
      <c r="V209" s="1604"/>
      <c r="W209" s="1603"/>
      <c r="X209" s="1632"/>
      <c r="Y209" s="878">
        <f t="shared" si="61"/>
        <v>250000</v>
      </c>
      <c r="Z209" s="879">
        <f t="shared" si="62"/>
        <v>0</v>
      </c>
      <c r="AA209" s="391" t="s">
        <v>1416</v>
      </c>
      <c r="AB209" s="341">
        <v>6180000</v>
      </c>
      <c r="AC209" s="882">
        <f t="shared" si="66"/>
        <v>6924400</v>
      </c>
      <c r="AD209" s="881">
        <f t="shared" si="67"/>
        <v>6674400</v>
      </c>
    </row>
    <row r="210" spans="1:30" ht="26.4">
      <c r="A210" s="868">
        <v>3</v>
      </c>
      <c r="B210" s="1600" t="s">
        <v>4763</v>
      </c>
      <c r="C210" s="632" t="s">
        <v>4804</v>
      </c>
      <c r="D210" s="1616" t="s">
        <v>4763</v>
      </c>
      <c r="E210" s="179" t="s">
        <v>4807</v>
      </c>
      <c r="F210" s="126" t="s">
        <v>210</v>
      </c>
      <c r="G210" s="167"/>
      <c r="H210" s="167">
        <v>1</v>
      </c>
      <c r="I210" s="167"/>
      <c r="J210" s="154">
        <v>23625.789999999997</v>
      </c>
      <c r="K210" s="559" t="s">
        <v>4765</v>
      </c>
      <c r="L210" s="170" t="s">
        <v>4795</v>
      </c>
      <c r="M210" s="86" t="s">
        <v>210</v>
      </c>
      <c r="N210" s="477"/>
      <c r="O210" s="1602"/>
      <c r="P210" s="1602"/>
      <c r="Q210" s="248"/>
      <c r="R210" s="248"/>
      <c r="S210" s="248"/>
      <c r="T210" s="371">
        <v>500000</v>
      </c>
      <c r="U210" s="248"/>
      <c r="V210" s="247"/>
      <c r="W210" s="248"/>
      <c r="X210" s="341">
        <v>400000</v>
      </c>
      <c r="Y210" s="878">
        <f t="shared" si="61"/>
        <v>500000</v>
      </c>
      <c r="Z210" s="879">
        <f t="shared" si="62"/>
        <v>0</v>
      </c>
      <c r="AA210" s="391" t="s">
        <v>1416</v>
      </c>
      <c r="AB210" s="341">
        <v>7100000</v>
      </c>
      <c r="AC210" s="882">
        <f t="shared" si="66"/>
        <v>8600000</v>
      </c>
      <c r="AD210" s="881">
        <f t="shared" si="67"/>
        <v>8100000.0000000009</v>
      </c>
    </row>
    <row r="211" spans="1:30" ht="26.4">
      <c r="A211" s="868">
        <f t="shared" si="65"/>
        <v>4</v>
      </c>
      <c r="B211" s="98" t="s">
        <v>4820</v>
      </c>
      <c r="C211" s="636" t="s">
        <v>4781</v>
      </c>
      <c r="D211" s="386" t="s">
        <v>4782</v>
      </c>
      <c r="E211" s="179" t="s">
        <v>4783</v>
      </c>
      <c r="F211" s="709" t="s">
        <v>1300</v>
      </c>
      <c r="G211" s="167"/>
      <c r="H211" s="167">
        <v>1</v>
      </c>
      <c r="I211" s="167"/>
      <c r="J211" s="154">
        <v>23458</v>
      </c>
      <c r="K211" s="559" t="s">
        <v>4744</v>
      </c>
      <c r="L211" s="170" t="s">
        <v>4745</v>
      </c>
      <c r="M211" s="1609" t="s">
        <v>123</v>
      </c>
      <c r="N211" s="1577" t="s">
        <v>4724</v>
      </c>
      <c r="O211" s="1653"/>
      <c r="P211" s="1653"/>
      <c r="Q211" s="324">
        <f>671760+83160</f>
        <v>754920</v>
      </c>
      <c r="R211" s="324">
        <v>766800</v>
      </c>
      <c r="S211" s="248"/>
      <c r="T211" s="371">
        <v>500000</v>
      </c>
      <c r="U211" s="248"/>
      <c r="V211" s="247"/>
      <c r="W211" s="248"/>
      <c r="X211" s="341">
        <v>400000</v>
      </c>
      <c r="Y211" s="878">
        <f t="shared" si="61"/>
        <v>1254920</v>
      </c>
      <c r="Z211" s="879">
        <f t="shared" si="62"/>
        <v>0</v>
      </c>
      <c r="AA211" s="249"/>
      <c r="AB211" s="341">
        <v>7150000</v>
      </c>
      <c r="AC211" s="882">
        <f t="shared" si="66"/>
        <v>9408920</v>
      </c>
      <c r="AD211" s="881">
        <f t="shared" si="67"/>
        <v>8154000.0000000009</v>
      </c>
    </row>
    <row r="212" spans="1:30" ht="26.4">
      <c r="A212" s="868">
        <f t="shared" si="65"/>
        <v>5</v>
      </c>
      <c r="B212" s="1631" t="s">
        <v>4826</v>
      </c>
      <c r="C212" s="632" t="s">
        <v>4831</v>
      </c>
      <c r="D212" s="386" t="s">
        <v>4826</v>
      </c>
      <c r="E212" s="179" t="s">
        <v>4856</v>
      </c>
      <c r="F212" s="126" t="s">
        <v>210</v>
      </c>
      <c r="G212" s="167"/>
      <c r="H212" s="167">
        <v>1</v>
      </c>
      <c r="I212" s="167"/>
      <c r="J212" s="154">
        <f>14923.54+8662.96</f>
        <v>23586.5</v>
      </c>
      <c r="K212" s="559" t="s">
        <v>4810</v>
      </c>
      <c r="L212" s="170" t="s">
        <v>4844</v>
      </c>
      <c r="M212" s="86" t="s">
        <v>210</v>
      </c>
      <c r="N212" s="477" t="s">
        <v>4809</v>
      </c>
      <c r="O212" s="1602"/>
      <c r="P212" s="1602"/>
      <c r="Q212" s="248"/>
      <c r="R212" s="248"/>
      <c r="S212" s="248"/>
      <c r="T212" s="371">
        <v>500000</v>
      </c>
      <c r="U212" s="248"/>
      <c r="V212" s="247"/>
      <c r="W212" s="248"/>
      <c r="X212" s="341">
        <v>400000</v>
      </c>
      <c r="Y212" s="878">
        <f t="shared" si="61"/>
        <v>500000</v>
      </c>
      <c r="Z212" s="879">
        <f t="shared" si="62"/>
        <v>0</v>
      </c>
      <c r="AA212" s="249"/>
      <c r="AB212" s="341">
        <v>7100000</v>
      </c>
      <c r="AC212" s="882">
        <f t="shared" si="66"/>
        <v>8600000</v>
      </c>
      <c r="AD212" s="881">
        <f t="shared" si="67"/>
        <v>8100000.0000000009</v>
      </c>
    </row>
    <row r="213" spans="1:30" ht="26.4">
      <c r="A213" s="868"/>
      <c r="B213" s="1456" t="s">
        <v>4467</v>
      </c>
      <c r="C213" s="1714" t="s">
        <v>4514</v>
      </c>
      <c r="D213" s="46" t="s">
        <v>4467</v>
      </c>
      <c r="E213" s="1208" t="s">
        <v>4890</v>
      </c>
      <c r="F213" s="126" t="s">
        <v>210</v>
      </c>
      <c r="G213" s="167">
        <v>1</v>
      </c>
      <c r="H213" s="167"/>
      <c r="I213" s="167"/>
      <c r="J213" s="1446">
        <v>4734.5</v>
      </c>
      <c r="K213" s="1687">
        <v>2754282430</v>
      </c>
      <c r="L213" s="86" t="s">
        <v>4496</v>
      </c>
      <c r="M213" s="86" t="s">
        <v>210</v>
      </c>
      <c r="N213" s="1402" t="s">
        <v>4468</v>
      </c>
      <c r="O213" s="1652"/>
      <c r="P213" s="324">
        <v>60000</v>
      </c>
      <c r="Q213" s="1427"/>
      <c r="R213" s="248"/>
      <c r="S213" s="248"/>
      <c r="T213" s="776"/>
      <c r="U213" s="248"/>
      <c r="V213" s="247"/>
      <c r="W213" s="248"/>
      <c r="X213" s="158"/>
      <c r="Y213" s="878">
        <f>Q213+T213+U213+W213+P213</f>
        <v>60000</v>
      </c>
      <c r="Z213" s="879">
        <f>+V213</f>
        <v>0</v>
      </c>
      <c r="AA213" s="249"/>
      <c r="AB213" s="341">
        <v>800000</v>
      </c>
      <c r="AC213" s="882">
        <f t="shared" si="66"/>
        <v>924000</v>
      </c>
      <c r="AD213" s="881">
        <f t="shared" si="67"/>
        <v>864000</v>
      </c>
    </row>
    <row r="214" spans="1:30">
      <c r="A214" s="868"/>
      <c r="B214" s="98" t="s">
        <v>4500</v>
      </c>
      <c r="C214" s="1714" t="s">
        <v>4674</v>
      </c>
      <c r="D214" s="46" t="s">
        <v>4500</v>
      </c>
      <c r="E214" s="179" t="s">
        <v>4893</v>
      </c>
      <c r="F214" s="126" t="s">
        <v>210</v>
      </c>
      <c r="G214" s="167"/>
      <c r="H214" s="167"/>
      <c r="I214" s="167">
        <v>1</v>
      </c>
      <c r="J214" s="154">
        <v>1107</v>
      </c>
      <c r="K214" s="559" t="s">
        <v>4670</v>
      </c>
      <c r="L214" s="170"/>
      <c r="M214" s="596" t="s">
        <v>210</v>
      </c>
      <c r="N214" s="477" t="s">
        <v>4516</v>
      </c>
      <c r="O214" s="1602"/>
      <c r="P214" s="324">
        <v>60000</v>
      </c>
      <c r="Q214" s="248"/>
      <c r="R214" s="248"/>
      <c r="S214" s="248"/>
      <c r="T214" s="776"/>
      <c r="U214" s="248"/>
      <c r="V214" s="247"/>
      <c r="W214" s="248"/>
      <c r="X214" s="158"/>
      <c r="Y214" s="878">
        <f>Q214+T214+U214+W214+P214</f>
        <v>60000</v>
      </c>
      <c r="Z214" s="879">
        <f t="shared" ref="Z214:Z245" si="68">+V214</f>
        <v>0</v>
      </c>
      <c r="AA214" s="391"/>
      <c r="AB214" s="341">
        <v>800000</v>
      </c>
      <c r="AC214" s="882">
        <f t="shared" si="66"/>
        <v>924000</v>
      </c>
      <c r="AD214" s="881">
        <f t="shared" si="67"/>
        <v>864000</v>
      </c>
    </row>
    <row r="215" spans="1:30">
      <c r="A215" s="3794" t="s">
        <v>4866</v>
      </c>
      <c r="B215" s="3795"/>
      <c r="C215" s="3795"/>
      <c r="D215" s="3795"/>
      <c r="E215" s="3795"/>
      <c r="F215" s="3795"/>
      <c r="G215" s="3795"/>
      <c r="H215" s="3795"/>
      <c r="I215" s="3795"/>
      <c r="J215" s="3795"/>
      <c r="K215" s="3795"/>
      <c r="L215" s="3796"/>
      <c r="M215" s="346"/>
      <c r="N215" s="346"/>
      <c r="O215" s="346"/>
      <c r="P215" s="501"/>
      <c r="Q215" s="1004"/>
      <c r="R215" s="1005"/>
      <c r="S215" s="1004"/>
      <c r="T215" s="1004"/>
      <c r="U215" s="1004"/>
      <c r="V215" s="1006"/>
      <c r="W215" s="1004"/>
      <c r="X215" s="1007"/>
      <c r="Y215" s="1126">
        <f>SUM(Y208:Y214)</f>
        <v>3124920</v>
      </c>
      <c r="Z215" s="1007">
        <f>SUM(Z195:Z212)</f>
        <v>0</v>
      </c>
      <c r="AA215" s="1009"/>
      <c r="AB215" s="1126">
        <f>SUM(AB208:AB214)</f>
        <v>36230000</v>
      </c>
      <c r="AC215" s="1126">
        <f>+Y215+AB215</f>
        <v>39354920</v>
      </c>
      <c r="AD215" s="1126">
        <f>SUM(AD204:AD212)</f>
        <v>108942494.40000001</v>
      </c>
    </row>
    <row r="216" spans="1:30" ht="26.4">
      <c r="A216" s="868">
        <v>1</v>
      </c>
      <c r="B216" s="1695" t="s">
        <v>4913</v>
      </c>
      <c r="C216" s="632" t="s">
        <v>4930</v>
      </c>
      <c r="D216" s="386" t="s">
        <v>4913</v>
      </c>
      <c r="E216" s="179" t="s">
        <v>4933</v>
      </c>
      <c r="F216" s="126" t="s">
        <v>210</v>
      </c>
      <c r="G216" s="167"/>
      <c r="H216" s="167">
        <v>1</v>
      </c>
      <c r="I216" s="167"/>
      <c r="J216" s="154">
        <v>23730.59</v>
      </c>
      <c r="K216" s="1689" t="s">
        <v>4873</v>
      </c>
      <c r="L216" s="170" t="s">
        <v>4929</v>
      </c>
      <c r="M216" s="86" t="s">
        <v>210</v>
      </c>
      <c r="N216" s="477" t="s">
        <v>4874</v>
      </c>
      <c r="O216" s="1602"/>
      <c r="P216" s="1641"/>
      <c r="Q216" s="248"/>
      <c r="R216" s="248"/>
      <c r="S216" s="248"/>
      <c r="T216" s="371">
        <v>500000</v>
      </c>
      <c r="U216" s="248"/>
      <c r="V216" s="247"/>
      <c r="W216" s="248"/>
      <c r="X216" s="341">
        <v>400000</v>
      </c>
      <c r="Y216" s="878">
        <f>Q216+T216+U216+W216+P216</f>
        <v>500000</v>
      </c>
      <c r="Z216" s="879">
        <f t="shared" si="68"/>
        <v>0</v>
      </c>
      <c r="AA216" s="249"/>
      <c r="AB216" s="341">
        <v>7300000</v>
      </c>
      <c r="AC216" s="882">
        <f>((AB216+X216)*1.08)+Y216</f>
        <v>8816000</v>
      </c>
      <c r="AD216" s="881">
        <f>(AB216+X216)*1.08</f>
        <v>8316000.0000000009</v>
      </c>
    </row>
    <row r="217" spans="1:30" ht="39.6">
      <c r="A217" s="868">
        <v>2</v>
      </c>
      <c r="B217" s="1695" t="s">
        <v>4944</v>
      </c>
      <c r="C217" s="639" t="s">
        <v>4996</v>
      </c>
      <c r="D217" s="684" t="s">
        <v>4936</v>
      </c>
      <c r="E217" s="179" t="s">
        <v>4995</v>
      </c>
      <c r="F217" s="126" t="s">
        <v>206</v>
      </c>
      <c r="G217" s="167"/>
      <c r="H217" s="167">
        <v>1</v>
      </c>
      <c r="I217" s="167"/>
      <c r="J217" s="154">
        <v>23863</v>
      </c>
      <c r="K217" s="1674" t="s">
        <v>4968</v>
      </c>
      <c r="L217" s="170" t="s">
        <v>4969</v>
      </c>
      <c r="M217" s="1721" t="s">
        <v>136</v>
      </c>
      <c r="N217" s="1577" t="s">
        <v>4970</v>
      </c>
      <c r="O217" s="1653"/>
      <c r="P217" s="324">
        <v>70000</v>
      </c>
      <c r="Q217" s="324">
        <v>361800</v>
      </c>
      <c r="R217" s="324">
        <v>766800</v>
      </c>
      <c r="S217" s="248"/>
      <c r="T217" s="371">
        <v>500000</v>
      </c>
      <c r="U217" s="248"/>
      <c r="V217" s="247"/>
      <c r="W217" s="248"/>
      <c r="X217" s="341">
        <v>800000</v>
      </c>
      <c r="Y217" s="878">
        <f t="shared" ref="Y217:Y245" si="69">Q217+T217+U217+W217+P217</f>
        <v>931800</v>
      </c>
      <c r="Z217" s="879">
        <f t="shared" si="68"/>
        <v>0</v>
      </c>
      <c r="AA217" s="1974" t="s">
        <v>5158</v>
      </c>
      <c r="AB217" s="341">
        <v>7350000</v>
      </c>
      <c r="AC217" s="882">
        <f>((AB217+X217)*1.08)+Y217</f>
        <v>9733800</v>
      </c>
      <c r="AD217" s="881">
        <f>(AB217+X217)*1.08</f>
        <v>8802000</v>
      </c>
    </row>
    <row r="218" spans="1:30" ht="26.4">
      <c r="A218" s="326">
        <v>3</v>
      </c>
      <c r="B218" s="1695" t="s">
        <v>4991</v>
      </c>
      <c r="C218" s="636" t="s">
        <v>5003</v>
      </c>
      <c r="D218" s="684" t="s">
        <v>4936</v>
      </c>
      <c r="E218" s="179" t="s">
        <v>4994</v>
      </c>
      <c r="F218" s="126" t="s">
        <v>206</v>
      </c>
      <c r="G218" s="167"/>
      <c r="H218" s="167">
        <v>1</v>
      </c>
      <c r="I218" s="167"/>
      <c r="J218" s="154">
        <v>23323</v>
      </c>
      <c r="K218" s="559" t="s">
        <v>4971</v>
      </c>
      <c r="L218" s="170" t="s">
        <v>4984</v>
      </c>
      <c r="M218" s="715" t="s">
        <v>123</v>
      </c>
      <c r="N218" s="477" t="s">
        <v>4970</v>
      </c>
      <c r="O218" s="1602"/>
      <c r="P218" s="1641"/>
      <c r="Q218" s="248"/>
      <c r="R218" s="324">
        <v>766800</v>
      </c>
      <c r="S218" s="248"/>
      <c r="T218" s="371">
        <v>500000</v>
      </c>
      <c r="U218" s="248"/>
      <c r="V218" s="247"/>
      <c r="W218" s="248"/>
      <c r="X218" s="341">
        <v>400000</v>
      </c>
      <c r="Y218" s="878">
        <f t="shared" si="69"/>
        <v>500000</v>
      </c>
      <c r="Z218" s="879">
        <f t="shared" si="68"/>
        <v>0</v>
      </c>
      <c r="AA218" s="249"/>
      <c r="AB218" s="341">
        <v>7350000</v>
      </c>
      <c r="AC218" s="882">
        <f>((AB218+X218)*1.08)+Y218</f>
        <v>8870000</v>
      </c>
      <c r="AD218" s="881">
        <f>(AB218+X218)*1.08</f>
        <v>8370000.0000000009</v>
      </c>
    </row>
    <row r="219" spans="1:30" ht="26.4">
      <c r="A219" s="326">
        <f>+A218+1</f>
        <v>4</v>
      </c>
      <c r="B219" s="1740">
        <v>45841</v>
      </c>
      <c r="C219" s="632" t="s">
        <v>5006</v>
      </c>
      <c r="D219" s="386" t="s">
        <v>4944</v>
      </c>
      <c r="E219" s="179" t="s">
        <v>5017</v>
      </c>
      <c r="F219" s="126" t="s">
        <v>210</v>
      </c>
      <c r="G219" s="167"/>
      <c r="H219" s="167">
        <v>1</v>
      </c>
      <c r="I219" s="167"/>
      <c r="J219" s="127">
        <f>13049.5+10487.56</f>
        <v>23537.059999999998</v>
      </c>
      <c r="K219" s="1751" t="s">
        <v>4945</v>
      </c>
      <c r="L219" s="170" t="s">
        <v>5007</v>
      </c>
      <c r="M219" s="86" t="s">
        <v>210</v>
      </c>
      <c r="N219" s="1577" t="s">
        <v>4946</v>
      </c>
      <c r="O219" s="1653"/>
      <c r="P219" s="1641"/>
      <c r="Q219" s="248"/>
      <c r="R219" s="248"/>
      <c r="S219" s="248"/>
      <c r="T219" s="371">
        <v>500000</v>
      </c>
      <c r="U219" s="248"/>
      <c r="V219" s="247"/>
      <c r="W219" s="248"/>
      <c r="X219" s="341">
        <v>400000</v>
      </c>
      <c r="Y219" s="878">
        <f t="shared" si="69"/>
        <v>500000</v>
      </c>
      <c r="Z219" s="879">
        <f t="shared" si="68"/>
        <v>0</v>
      </c>
      <c r="AA219" s="391" t="s">
        <v>1416</v>
      </c>
      <c r="AB219" s="341">
        <v>7300000</v>
      </c>
      <c r="AC219" s="882">
        <f>((AB219+X219)*1.08)+Y219</f>
        <v>8816000</v>
      </c>
      <c r="AD219" s="881">
        <f>(AB219+X219)*1.08</f>
        <v>8316000.0000000009</v>
      </c>
    </row>
    <row r="220" spans="1:30" ht="26.4">
      <c r="A220" s="326">
        <f>+A219+1</f>
        <v>5</v>
      </c>
      <c r="B220" s="1631" t="s">
        <v>5041</v>
      </c>
      <c r="C220" s="632" t="s">
        <v>5080</v>
      </c>
      <c r="D220" s="1631" t="s">
        <v>5041</v>
      </c>
      <c r="E220" s="1770" t="s">
        <v>5082</v>
      </c>
      <c r="F220" s="126" t="s">
        <v>210</v>
      </c>
      <c r="G220" s="167"/>
      <c r="H220" s="1745">
        <v>1</v>
      </c>
      <c r="I220" s="1745"/>
      <c r="J220" s="1587">
        <v>23179.23</v>
      </c>
      <c r="K220" s="1688" t="s">
        <v>5008</v>
      </c>
      <c r="L220" s="1919" t="s">
        <v>5075</v>
      </c>
      <c r="M220" s="86" t="s">
        <v>210</v>
      </c>
      <c r="N220" s="151" t="s">
        <v>5009</v>
      </c>
      <c r="O220" s="2038"/>
      <c r="P220" s="1641"/>
      <c r="Q220" s="248"/>
      <c r="R220" s="248"/>
      <c r="S220" s="248"/>
      <c r="T220" s="371">
        <v>500000</v>
      </c>
      <c r="U220" s="248"/>
      <c r="V220" s="247"/>
      <c r="W220" s="248"/>
      <c r="X220" s="341">
        <v>400000</v>
      </c>
      <c r="Y220" s="878">
        <f t="shared" si="69"/>
        <v>500000</v>
      </c>
      <c r="Z220" s="879">
        <f t="shared" si="68"/>
        <v>0</v>
      </c>
      <c r="AA220" s="391" t="s">
        <v>1416</v>
      </c>
      <c r="AB220" s="341">
        <v>7300000</v>
      </c>
      <c r="AC220" s="882">
        <f t="shared" ref="AC220:AC225" si="70">((AB220+X220)*1.08)+Y220</f>
        <v>8816000</v>
      </c>
      <c r="AD220" s="881">
        <f t="shared" ref="AD220:AD225" si="71">(AB220+X220)*1.08</f>
        <v>8316000.0000000009</v>
      </c>
    </row>
    <row r="221" spans="1:30" ht="26.4">
      <c r="A221" s="326">
        <v>6</v>
      </c>
      <c r="B221" s="1695" t="s">
        <v>5114</v>
      </c>
      <c r="C221" s="636" t="s">
        <v>5128</v>
      </c>
      <c r="D221" s="386" t="s">
        <v>5094</v>
      </c>
      <c r="E221" s="1929" t="s">
        <v>5125</v>
      </c>
      <c r="F221" s="126" t="s">
        <v>206</v>
      </c>
      <c r="G221" s="167"/>
      <c r="H221" s="1745">
        <v>2</v>
      </c>
      <c r="I221" s="1745"/>
      <c r="J221" s="1587">
        <f>46871/2</f>
        <v>23435.5</v>
      </c>
      <c r="K221" s="1795" t="s">
        <v>5096</v>
      </c>
      <c r="L221" s="1612" t="s">
        <v>5116</v>
      </c>
      <c r="M221" s="715" t="s">
        <v>123</v>
      </c>
      <c r="N221" s="477" t="s">
        <v>5097</v>
      </c>
      <c r="O221" s="1602"/>
      <c r="P221" s="1602"/>
      <c r="Q221" s="248"/>
      <c r="R221" s="324">
        <v>1764000</v>
      </c>
      <c r="S221" s="248"/>
      <c r="T221" s="371">
        <v>1000000</v>
      </c>
      <c r="U221" s="248"/>
      <c r="V221" s="247"/>
      <c r="W221" s="248"/>
      <c r="X221" s="341">
        <v>400000</v>
      </c>
      <c r="Y221" s="878">
        <f>Q221+T221+U221+W221+P221</f>
        <v>1000000</v>
      </c>
      <c r="Z221" s="879">
        <f>+V221</f>
        <v>0</v>
      </c>
      <c r="AA221" s="249"/>
      <c r="AB221" s="341">
        <v>7350000</v>
      </c>
      <c r="AC221" s="882">
        <f>((AB221+X221)*1.08)+Y221</f>
        <v>9370000</v>
      </c>
      <c r="AD221" s="881">
        <f>(AB221+X221)*1.08</f>
        <v>8370000.0000000009</v>
      </c>
    </row>
    <row r="222" spans="1:30" ht="26.4">
      <c r="A222" s="326">
        <v>7</v>
      </c>
      <c r="B222" s="1695" t="s">
        <v>5115</v>
      </c>
      <c r="C222" s="632" t="s">
        <v>5131</v>
      </c>
      <c r="D222" s="386" t="s">
        <v>5115</v>
      </c>
      <c r="E222" s="179" t="s">
        <v>5132</v>
      </c>
      <c r="F222" s="126" t="s">
        <v>210</v>
      </c>
      <c r="G222" s="167"/>
      <c r="H222" s="1745">
        <v>1</v>
      </c>
      <c r="I222" s="1745"/>
      <c r="J222" s="1587">
        <f>22976.09</f>
        <v>22976.09</v>
      </c>
      <c r="K222" s="1688" t="s">
        <v>5098</v>
      </c>
      <c r="L222" s="170" t="s">
        <v>5129</v>
      </c>
      <c r="M222" s="86" t="s">
        <v>210</v>
      </c>
      <c r="N222" s="477" t="s">
        <v>5079</v>
      </c>
      <c r="O222" s="1602"/>
      <c r="P222" s="1602"/>
      <c r="Q222" s="248"/>
      <c r="R222" s="248"/>
      <c r="S222" s="248"/>
      <c r="T222" s="371">
        <v>500000</v>
      </c>
      <c r="U222" s="248"/>
      <c r="V222" s="247"/>
      <c r="W222" s="248"/>
      <c r="X222" s="341">
        <v>400000</v>
      </c>
      <c r="Y222" s="878">
        <f t="shared" si="69"/>
        <v>500000</v>
      </c>
      <c r="Z222" s="879">
        <f t="shared" si="68"/>
        <v>0</v>
      </c>
      <c r="AA222" s="249"/>
      <c r="AB222" s="341">
        <v>7300000</v>
      </c>
      <c r="AC222" s="882">
        <f t="shared" si="70"/>
        <v>8816000</v>
      </c>
      <c r="AD222" s="881">
        <f t="shared" si="71"/>
        <v>8316000.0000000009</v>
      </c>
    </row>
    <row r="223" spans="1:30">
      <c r="A223" s="3794" t="s">
        <v>5142</v>
      </c>
      <c r="B223" s="3795"/>
      <c r="C223" s="3795"/>
      <c r="D223" s="3795"/>
      <c r="E223" s="3795"/>
      <c r="F223" s="3795"/>
      <c r="G223" s="3795"/>
      <c r="H223" s="3795"/>
      <c r="I223" s="3795"/>
      <c r="J223" s="3795"/>
      <c r="K223" s="3795"/>
      <c r="L223" s="3796"/>
      <c r="M223" s="346"/>
      <c r="N223" s="346"/>
      <c r="O223" s="346"/>
      <c r="P223" s="501"/>
      <c r="Q223" s="1004"/>
      <c r="R223" s="1005"/>
      <c r="S223" s="1004"/>
      <c r="T223" s="1004"/>
      <c r="U223" s="1004"/>
      <c r="V223" s="1006"/>
      <c r="W223" s="1004"/>
      <c r="X223" s="1007"/>
      <c r="Y223" s="1126">
        <f>SUM(Y216:Y222)</f>
        <v>4431800</v>
      </c>
      <c r="Z223" s="1007">
        <f>SUM(Z203:Z220)</f>
        <v>0</v>
      </c>
      <c r="AA223" s="1009"/>
      <c r="AB223" s="1126">
        <f>SUM(AB216:AB222)</f>
        <v>51250000</v>
      </c>
      <c r="AC223" s="1126">
        <f>+AB223+Y223</f>
        <v>55681800</v>
      </c>
      <c r="AD223" s="1126">
        <f>SUM(AD216:AD222)</f>
        <v>58806000</v>
      </c>
    </row>
    <row r="224" spans="1:30" ht="26.4">
      <c r="A224" s="326">
        <v>1</v>
      </c>
      <c r="B224" s="1631" t="s">
        <v>5193</v>
      </c>
      <c r="C224" s="632" t="s">
        <v>5217</v>
      </c>
      <c r="D224" s="386" t="s">
        <v>5193</v>
      </c>
      <c r="E224" s="179" t="s">
        <v>5324</v>
      </c>
      <c r="F224" s="126" t="s">
        <v>210</v>
      </c>
      <c r="G224" s="167"/>
      <c r="H224" s="167">
        <v>1</v>
      </c>
      <c r="I224" s="167"/>
      <c r="J224" s="154"/>
      <c r="K224" s="559" t="s">
        <v>5133</v>
      </c>
      <c r="L224" s="170" t="s">
        <v>5216</v>
      </c>
      <c r="M224" s="86" t="s">
        <v>210</v>
      </c>
      <c r="N224" s="780" t="s">
        <v>5134</v>
      </c>
      <c r="O224" s="1645"/>
      <c r="P224" s="1602"/>
      <c r="Q224" s="248"/>
      <c r="R224" s="248"/>
      <c r="S224" s="248"/>
      <c r="T224" s="371">
        <v>500000</v>
      </c>
      <c r="U224" s="248"/>
      <c r="V224" s="247"/>
      <c r="W224" s="248"/>
      <c r="X224" s="341">
        <v>400000</v>
      </c>
      <c r="Y224" s="878">
        <f t="shared" si="69"/>
        <v>500000</v>
      </c>
      <c r="Z224" s="879">
        <f t="shared" si="68"/>
        <v>0</v>
      </c>
      <c r="AA224" s="249"/>
      <c r="AB224" s="341">
        <v>7300000</v>
      </c>
      <c r="AC224" s="882">
        <f>((AB224+X224)*1.08)+Y224</f>
        <v>8816000</v>
      </c>
      <c r="AD224" s="881">
        <f>(AB224+X224)*1.08</f>
        <v>8316000.0000000009</v>
      </c>
    </row>
    <row r="225" spans="1:33" ht="26.4">
      <c r="A225" s="326">
        <v>2</v>
      </c>
      <c r="B225" s="1695" t="s">
        <v>5284</v>
      </c>
      <c r="C225" s="632" t="s">
        <v>5292</v>
      </c>
      <c r="D225" s="1695" t="s">
        <v>5284</v>
      </c>
      <c r="E225" s="179" t="s">
        <v>5325</v>
      </c>
      <c r="F225" s="126" t="s">
        <v>210</v>
      </c>
      <c r="G225" s="167"/>
      <c r="H225" s="167">
        <v>1</v>
      </c>
      <c r="I225" s="167"/>
      <c r="J225" s="154">
        <v>22807.68</v>
      </c>
      <c r="K225" s="559" t="s">
        <v>5218</v>
      </c>
      <c r="L225" s="170" t="s">
        <v>5291</v>
      </c>
      <c r="M225" s="86" t="s">
        <v>210</v>
      </c>
      <c r="N225" s="477" t="s">
        <v>5247</v>
      </c>
      <c r="O225" s="2142"/>
      <c r="P225" s="1602"/>
      <c r="Q225" s="248"/>
      <c r="R225" s="1658">
        <v>1250000</v>
      </c>
      <c r="S225" s="324">
        <v>882000</v>
      </c>
      <c r="T225" s="371">
        <v>500000</v>
      </c>
      <c r="U225" s="248"/>
      <c r="V225" s="247"/>
      <c r="W225" s="248"/>
      <c r="X225" s="341">
        <v>400000</v>
      </c>
      <c r="Y225" s="878">
        <f t="shared" si="69"/>
        <v>500000</v>
      </c>
      <c r="Z225" s="879">
        <f t="shared" si="68"/>
        <v>0</v>
      </c>
      <c r="AA225" s="249"/>
      <c r="AB225" s="341">
        <v>7300000</v>
      </c>
      <c r="AC225" s="882">
        <f t="shared" si="70"/>
        <v>8816000</v>
      </c>
      <c r="AD225" s="881">
        <f t="shared" si="71"/>
        <v>8316000.0000000009</v>
      </c>
    </row>
    <row r="226" spans="1:33" ht="26.4">
      <c r="A226" s="326">
        <f>+A225+1</f>
        <v>3</v>
      </c>
      <c r="B226" s="686" t="s">
        <v>5351</v>
      </c>
      <c r="C226" s="636" t="s">
        <v>5314</v>
      </c>
      <c r="D226" s="386" t="s">
        <v>5284</v>
      </c>
      <c r="E226" s="179" t="s">
        <v>5356</v>
      </c>
      <c r="F226" s="126" t="s">
        <v>206</v>
      </c>
      <c r="G226" s="167"/>
      <c r="H226" s="167"/>
      <c r="I226" s="167">
        <v>1</v>
      </c>
      <c r="J226" s="154"/>
      <c r="K226" s="559" t="s">
        <v>5304</v>
      </c>
      <c r="L226" s="170" t="s">
        <v>5306</v>
      </c>
      <c r="M226" s="822" t="s">
        <v>123</v>
      </c>
      <c r="N226" s="477" t="s">
        <v>5305</v>
      </c>
      <c r="O226" s="2142"/>
      <c r="P226" s="1602"/>
      <c r="Q226" s="248"/>
      <c r="R226" s="248"/>
      <c r="S226" s="248"/>
      <c r="T226" s="371">
        <v>18900</v>
      </c>
      <c r="U226" s="248"/>
      <c r="V226" s="247"/>
      <c r="W226" s="248"/>
      <c r="X226" s="341">
        <v>400000</v>
      </c>
      <c r="Y226" s="878">
        <f t="shared" si="69"/>
        <v>18900</v>
      </c>
      <c r="Z226" s="879">
        <f t="shared" si="68"/>
        <v>0</v>
      </c>
      <c r="AA226" s="249"/>
      <c r="AB226" s="341">
        <v>3300000</v>
      </c>
      <c r="AC226" s="882">
        <f t="shared" ref="AC226:AC244" si="72">((AB226+X226)*1.08)+Y226</f>
        <v>4014900.0000000005</v>
      </c>
      <c r="AD226" s="881">
        <f t="shared" ref="AD226:AD244" si="73">(AB226+X226)*1.08</f>
        <v>3996000.0000000005</v>
      </c>
    </row>
    <row r="227" spans="1:33" ht="26.4">
      <c r="A227" s="326">
        <f>+A226+1</f>
        <v>4</v>
      </c>
      <c r="B227" s="686" t="s">
        <v>5310</v>
      </c>
      <c r="C227" s="632" t="s">
        <v>5322</v>
      </c>
      <c r="D227" s="386" t="s">
        <v>5310</v>
      </c>
      <c r="E227" s="179" t="s">
        <v>5326</v>
      </c>
      <c r="F227" s="126" t="s">
        <v>210</v>
      </c>
      <c r="G227" s="167"/>
      <c r="H227" s="167">
        <v>1</v>
      </c>
      <c r="I227" s="167"/>
      <c r="J227" s="646">
        <v>23074.21</v>
      </c>
      <c r="K227" s="559" t="s">
        <v>5313</v>
      </c>
      <c r="L227" s="170" t="s">
        <v>5321</v>
      </c>
      <c r="M227" s="86" t="s">
        <v>210</v>
      </c>
      <c r="N227" s="477"/>
      <c r="O227" s="2142"/>
      <c r="P227" s="1602"/>
      <c r="Q227" s="248"/>
      <c r="R227" s="1658">
        <v>1450000</v>
      </c>
      <c r="S227" s="324">
        <v>882000</v>
      </c>
      <c r="T227" s="371">
        <v>500000</v>
      </c>
      <c r="U227" s="248"/>
      <c r="V227" s="247"/>
      <c r="W227" s="248"/>
      <c r="X227" s="341">
        <v>400000</v>
      </c>
      <c r="Y227" s="878">
        <f t="shared" si="69"/>
        <v>500000</v>
      </c>
      <c r="Z227" s="879">
        <f t="shared" si="68"/>
        <v>0</v>
      </c>
      <c r="AA227" s="249"/>
      <c r="AB227" s="341">
        <v>7300000</v>
      </c>
      <c r="AC227" s="882">
        <f t="shared" si="72"/>
        <v>8816000</v>
      </c>
      <c r="AD227" s="881">
        <f t="shared" si="73"/>
        <v>8316000.0000000009</v>
      </c>
    </row>
    <row r="228" spans="1:33" ht="26.4">
      <c r="A228" s="326">
        <f>+A227+1</f>
        <v>5</v>
      </c>
      <c r="B228" s="1695" t="s">
        <v>5335</v>
      </c>
      <c r="C228" s="632" t="s">
        <v>5399</v>
      </c>
      <c r="D228" s="46" t="s">
        <v>5335</v>
      </c>
      <c r="E228" s="179" t="s">
        <v>5415</v>
      </c>
      <c r="F228" s="126" t="s">
        <v>210</v>
      </c>
      <c r="G228" s="167"/>
      <c r="H228" s="167"/>
      <c r="I228" s="167">
        <v>1</v>
      </c>
      <c r="J228" s="154">
        <v>1109</v>
      </c>
      <c r="K228" s="559" t="s">
        <v>5401</v>
      </c>
      <c r="L228" s="170" t="s">
        <v>5429</v>
      </c>
      <c r="M228" s="86" t="s">
        <v>210</v>
      </c>
      <c r="N228" s="477" t="s">
        <v>5393</v>
      </c>
      <c r="O228" s="2142"/>
      <c r="P228" s="1602"/>
      <c r="Q228" s="248"/>
      <c r="R228" s="248"/>
      <c r="S228" s="248"/>
      <c r="T228" s="371">
        <v>11148</v>
      </c>
      <c r="U228" s="248"/>
      <c r="V228" s="247"/>
      <c r="W228" s="248"/>
      <c r="X228" s="341">
        <v>400000</v>
      </c>
      <c r="Y228" s="878">
        <f t="shared" si="69"/>
        <v>11148</v>
      </c>
      <c r="Z228" s="879">
        <f t="shared" si="68"/>
        <v>0</v>
      </c>
      <c r="AA228" s="249"/>
      <c r="AB228" s="341">
        <v>3300000</v>
      </c>
      <c r="AC228" s="882">
        <f t="shared" si="72"/>
        <v>4007148.0000000005</v>
      </c>
      <c r="AD228" s="881">
        <f t="shared" si="73"/>
        <v>3996000.0000000005</v>
      </c>
    </row>
    <row r="229" spans="1:33" ht="26.4">
      <c r="A229" s="326">
        <f>+A228+1</f>
        <v>6</v>
      </c>
      <c r="B229" s="1695" t="s">
        <v>5335</v>
      </c>
      <c r="C229" s="632" t="s">
        <v>5396</v>
      </c>
      <c r="D229" s="46" t="s">
        <v>5335</v>
      </c>
      <c r="E229" s="179" t="s">
        <v>5416</v>
      </c>
      <c r="F229" s="126" t="s">
        <v>210</v>
      </c>
      <c r="G229" s="167"/>
      <c r="H229" s="167">
        <v>1</v>
      </c>
      <c r="I229" s="167"/>
      <c r="J229" s="646">
        <f>23218.91+3750</f>
        <v>26968.91</v>
      </c>
      <c r="K229" s="559" t="s">
        <v>5400</v>
      </c>
      <c r="L229" s="170" t="s">
        <v>5395</v>
      </c>
      <c r="M229" s="86" t="s">
        <v>210</v>
      </c>
      <c r="N229" s="477" t="s">
        <v>5392</v>
      </c>
      <c r="O229" s="2142"/>
      <c r="P229" s="1602"/>
      <c r="Q229" s="248"/>
      <c r="R229" s="1658">
        <v>1450000</v>
      </c>
      <c r="S229" s="324">
        <v>882000</v>
      </c>
      <c r="T229" s="371">
        <v>500000</v>
      </c>
      <c r="U229" s="248"/>
      <c r="V229" s="247"/>
      <c r="W229" s="248"/>
      <c r="X229" s="341">
        <v>400000</v>
      </c>
      <c r="Y229" s="878">
        <f t="shared" si="69"/>
        <v>500000</v>
      </c>
      <c r="Z229" s="879">
        <f t="shared" si="68"/>
        <v>0</v>
      </c>
      <c r="AA229" s="391" t="s">
        <v>1416</v>
      </c>
      <c r="AB229" s="341">
        <v>7300000</v>
      </c>
      <c r="AC229" s="882">
        <f t="shared" si="72"/>
        <v>8816000</v>
      </c>
      <c r="AD229" s="881">
        <f t="shared" si="73"/>
        <v>8316000.0000000009</v>
      </c>
    </row>
    <row r="230" spans="1:33">
      <c r="A230" s="3794" t="s">
        <v>5428</v>
      </c>
      <c r="B230" s="3795"/>
      <c r="C230" s="3795"/>
      <c r="D230" s="3795"/>
      <c r="E230" s="3795"/>
      <c r="F230" s="3795"/>
      <c r="G230" s="3795"/>
      <c r="H230" s="3795"/>
      <c r="I230" s="3795"/>
      <c r="J230" s="3795"/>
      <c r="K230" s="3795"/>
      <c r="L230" s="3796"/>
      <c r="M230" s="346"/>
      <c r="N230" s="346"/>
      <c r="O230" s="346"/>
      <c r="P230" s="501"/>
      <c r="Q230" s="1004"/>
      <c r="R230" s="2170"/>
      <c r="S230" s="1004"/>
      <c r="T230" s="1004"/>
      <c r="U230" s="1004"/>
      <c r="V230" s="1006"/>
      <c r="W230" s="1004"/>
      <c r="X230" s="1007"/>
      <c r="Y230" s="1126">
        <f>SUM(Y223:Y229)</f>
        <v>6461848</v>
      </c>
      <c r="Z230" s="1007">
        <f>SUM(Z210:Z227)</f>
        <v>0</v>
      </c>
      <c r="AA230" s="1009"/>
      <c r="AB230" s="1126">
        <f>SUM(AB223:AB229)</f>
        <v>87050000</v>
      </c>
      <c r="AC230" s="1126">
        <f>+AB230+Y230</f>
        <v>93511848</v>
      </c>
      <c r="AD230" s="1126">
        <f>SUM(AD223:AD229)</f>
        <v>100062000</v>
      </c>
    </row>
    <row r="231" spans="1:33" ht="27">
      <c r="A231" s="2378">
        <v>15</v>
      </c>
      <c r="B231" s="2367"/>
      <c r="C231" s="2379" t="s">
        <v>5399</v>
      </c>
      <c r="D231" s="1726" t="s">
        <v>5335</v>
      </c>
      <c r="E231" s="1725" t="s">
        <v>5728</v>
      </c>
      <c r="F231" s="1728" t="s">
        <v>210</v>
      </c>
      <c r="G231" s="2380"/>
      <c r="H231" s="2380"/>
      <c r="I231" s="2380">
        <v>1</v>
      </c>
      <c r="J231" s="2376">
        <v>1109</v>
      </c>
      <c r="K231" s="1751" t="s">
        <v>5401</v>
      </c>
      <c r="L231" s="1729" t="s">
        <v>5429</v>
      </c>
      <c r="M231" s="1642"/>
      <c r="N231" s="1642"/>
      <c r="O231" s="1642"/>
      <c r="P231" s="2410">
        <v>60000</v>
      </c>
      <c r="Q231" s="1593"/>
      <c r="R231" s="1593"/>
      <c r="S231" s="2395"/>
      <c r="T231" s="2381"/>
      <c r="U231" s="1593"/>
      <c r="V231" s="1594"/>
      <c r="W231" s="1593"/>
      <c r="X231" s="2370"/>
      <c r="Y231" s="939"/>
      <c r="Z231" s="940"/>
      <c r="AA231" s="2366" t="s">
        <v>6043</v>
      </c>
      <c r="AB231" s="942">
        <v>800000</v>
      </c>
      <c r="AC231" s="882">
        <f t="shared" si="72"/>
        <v>864000</v>
      </c>
      <c r="AD231" s="881">
        <f t="shared" si="73"/>
        <v>864000</v>
      </c>
    </row>
    <row r="232" spans="1:33" ht="26.4">
      <c r="A232" s="326">
        <v>1</v>
      </c>
      <c r="B232" s="1695" t="s">
        <v>5501</v>
      </c>
      <c r="C232" s="632" t="s">
        <v>5508</v>
      </c>
      <c r="D232" s="1695" t="s">
        <v>5501</v>
      </c>
      <c r="E232" s="1208" t="s">
        <v>5523</v>
      </c>
      <c r="F232" s="126" t="s">
        <v>210</v>
      </c>
      <c r="G232" s="167"/>
      <c r="H232" s="167">
        <v>1</v>
      </c>
      <c r="I232" s="167"/>
      <c r="J232" s="2168">
        <f>22841.52</f>
        <v>22841.52</v>
      </c>
      <c r="K232" s="559" t="s">
        <v>5427</v>
      </c>
      <c r="L232" s="170" t="s">
        <v>5510</v>
      </c>
      <c r="M232" s="86" t="s">
        <v>210</v>
      </c>
      <c r="N232" s="1577" t="s">
        <v>5472</v>
      </c>
      <c r="O232" s="2356"/>
      <c r="P232" s="1602"/>
      <c r="Q232" s="248"/>
      <c r="R232" s="1658">
        <v>1450000</v>
      </c>
      <c r="S232" s="324">
        <v>882000</v>
      </c>
      <c r="T232" s="371">
        <v>500000</v>
      </c>
      <c r="U232" s="248"/>
      <c r="V232" s="247"/>
      <c r="W232" s="248"/>
      <c r="X232" s="341">
        <v>400000</v>
      </c>
      <c r="Y232" s="878">
        <f t="shared" si="69"/>
        <v>500000</v>
      </c>
      <c r="Z232" s="879">
        <f t="shared" si="68"/>
        <v>0</v>
      </c>
      <c r="AA232" s="391" t="s">
        <v>1416</v>
      </c>
      <c r="AB232" s="341">
        <v>7300000</v>
      </c>
      <c r="AC232" s="882">
        <f>((AB232+X232)*1.08)+Y232</f>
        <v>8816000</v>
      </c>
      <c r="AD232" s="881">
        <f t="shared" si="73"/>
        <v>8316000.0000000009</v>
      </c>
    </row>
    <row r="233" spans="1:33" ht="26.4">
      <c r="A233" s="326">
        <v>2</v>
      </c>
      <c r="B233" s="1695" t="s">
        <v>5512</v>
      </c>
      <c r="C233" s="717" t="s">
        <v>5516</v>
      </c>
      <c r="D233" s="1695" t="s">
        <v>5512</v>
      </c>
      <c r="E233" s="1208" t="s">
        <v>5524</v>
      </c>
      <c r="F233" s="126" t="s">
        <v>210</v>
      </c>
      <c r="G233" s="167"/>
      <c r="H233" s="167">
        <v>1</v>
      </c>
      <c r="I233" s="167"/>
      <c r="J233" s="2168">
        <f>23122.55</f>
        <v>23122.55</v>
      </c>
      <c r="K233" s="559" t="s">
        <v>5473</v>
      </c>
      <c r="L233" s="170" t="s">
        <v>5514</v>
      </c>
      <c r="M233" s="86" t="s">
        <v>210</v>
      </c>
      <c r="N233" s="477" t="s">
        <v>5511</v>
      </c>
      <c r="O233" s="2356"/>
      <c r="P233" s="1602"/>
      <c r="Q233" s="248"/>
      <c r="R233" s="1658">
        <v>1450000</v>
      </c>
      <c r="S233" s="324">
        <v>882000</v>
      </c>
      <c r="T233" s="371">
        <v>500000</v>
      </c>
      <c r="U233" s="248"/>
      <c r="V233" s="247"/>
      <c r="W233" s="248"/>
      <c r="X233" s="341">
        <v>400000</v>
      </c>
      <c r="Y233" s="878">
        <f t="shared" si="69"/>
        <v>500000</v>
      </c>
      <c r="Z233" s="879">
        <f t="shared" si="68"/>
        <v>0</v>
      </c>
      <c r="AA233" s="249"/>
      <c r="AB233" s="341">
        <v>7300000</v>
      </c>
      <c r="AC233" s="882">
        <f t="shared" si="72"/>
        <v>8816000</v>
      </c>
      <c r="AD233" s="881">
        <f t="shared" si="73"/>
        <v>8316000.0000000009</v>
      </c>
    </row>
    <row r="234" spans="1:33" ht="26.4">
      <c r="A234" s="326">
        <v>3</v>
      </c>
      <c r="B234" s="1695" t="s">
        <v>5512</v>
      </c>
      <c r="C234" s="2387" t="s">
        <v>5519</v>
      </c>
      <c r="D234" s="1695" t="s">
        <v>5512</v>
      </c>
      <c r="E234" s="2173" t="s">
        <v>5539</v>
      </c>
      <c r="F234" s="126" t="s">
        <v>210</v>
      </c>
      <c r="G234" s="167"/>
      <c r="H234" s="167"/>
      <c r="I234" s="167">
        <v>1</v>
      </c>
      <c r="J234" s="154">
        <v>2291.5</v>
      </c>
      <c r="K234" s="2462" t="s">
        <v>5506</v>
      </c>
      <c r="L234" s="1612"/>
      <c r="M234" s="2306" t="s">
        <v>210</v>
      </c>
      <c r="N234" s="1602" t="s">
        <v>5507</v>
      </c>
      <c r="O234" s="2306"/>
      <c r="P234" s="324">
        <v>60000</v>
      </c>
      <c r="Q234" s="1603"/>
      <c r="R234" s="1603"/>
      <c r="S234" s="1603"/>
      <c r="T234" s="371">
        <v>25487</v>
      </c>
      <c r="U234" s="1603"/>
      <c r="V234" s="1604"/>
      <c r="W234" s="1603"/>
      <c r="X234" s="341">
        <v>400000</v>
      </c>
      <c r="Y234" s="878">
        <f t="shared" si="69"/>
        <v>85487</v>
      </c>
      <c r="Z234" s="879">
        <f t="shared" si="68"/>
        <v>0</v>
      </c>
      <c r="AA234" s="1614" t="s">
        <v>6044</v>
      </c>
      <c r="AB234" s="341">
        <f>3520000+800000</f>
        <v>4320000</v>
      </c>
      <c r="AC234" s="882">
        <f t="shared" si="72"/>
        <v>5183087</v>
      </c>
      <c r="AD234" s="881">
        <f t="shared" si="73"/>
        <v>5097600</v>
      </c>
    </row>
    <row r="235" spans="1:33">
      <c r="A235" s="326">
        <v>4</v>
      </c>
      <c r="B235" s="686" t="s">
        <v>5520</v>
      </c>
      <c r="C235" s="2388" t="s">
        <v>5515</v>
      </c>
      <c r="D235" s="46" t="s">
        <v>5501</v>
      </c>
      <c r="E235" s="2172" t="s">
        <v>5538</v>
      </c>
      <c r="F235" s="126" t="s">
        <v>206</v>
      </c>
      <c r="G235" s="167"/>
      <c r="H235" s="167">
        <v>1</v>
      </c>
      <c r="I235" s="167"/>
      <c r="J235" s="154">
        <v>24069</v>
      </c>
      <c r="K235" s="559" t="s">
        <v>5504</v>
      </c>
      <c r="L235" s="170" t="s">
        <v>5536</v>
      </c>
      <c r="M235" s="822" t="s">
        <v>123</v>
      </c>
      <c r="N235" s="477" t="s">
        <v>5505</v>
      </c>
      <c r="O235" s="2356"/>
      <c r="P235" s="1602"/>
      <c r="Q235" s="248"/>
      <c r="R235" s="324">
        <v>882000</v>
      </c>
      <c r="S235" s="1658">
        <v>1250000</v>
      </c>
      <c r="T235" s="371">
        <v>500000</v>
      </c>
      <c r="U235" s="248"/>
      <c r="V235" s="247"/>
      <c r="W235" s="248"/>
      <c r="X235" s="1632"/>
      <c r="Y235" s="878">
        <f t="shared" si="69"/>
        <v>500000</v>
      </c>
      <c r="Z235" s="879">
        <f t="shared" si="68"/>
        <v>0</v>
      </c>
      <c r="AA235" s="249"/>
      <c r="AB235" s="341">
        <v>7350000</v>
      </c>
      <c r="AC235" s="882">
        <f t="shared" si="72"/>
        <v>8438000</v>
      </c>
      <c r="AD235" s="881">
        <f t="shared" si="73"/>
        <v>7938000.0000000009</v>
      </c>
    </row>
    <row r="236" spans="1:33" ht="27.75" customHeight="1">
      <c r="A236" s="326">
        <v>5</v>
      </c>
      <c r="B236" s="686" t="s">
        <v>5520</v>
      </c>
      <c r="C236" s="718" t="s">
        <v>5518</v>
      </c>
      <c r="D236" s="46" t="s">
        <v>5501</v>
      </c>
      <c r="E236" s="2172" t="s">
        <v>5540</v>
      </c>
      <c r="F236" s="126" t="s">
        <v>206</v>
      </c>
      <c r="G236" s="167"/>
      <c r="H236" s="167">
        <v>1</v>
      </c>
      <c r="I236" s="167"/>
      <c r="J236" s="154">
        <v>23944</v>
      </c>
      <c r="K236" s="559" t="s">
        <v>5509</v>
      </c>
      <c r="L236" s="170" t="s">
        <v>5535</v>
      </c>
      <c r="M236" s="822" t="s">
        <v>123</v>
      </c>
      <c r="N236" s="477" t="s">
        <v>5505</v>
      </c>
      <c r="O236" s="2411"/>
      <c r="P236" s="1602"/>
      <c r="Q236" s="248"/>
      <c r="R236" s="324">
        <v>882000</v>
      </c>
      <c r="S236" s="1658">
        <v>1450000</v>
      </c>
      <c r="T236" s="371">
        <v>500000</v>
      </c>
      <c r="U236" s="248"/>
      <c r="V236" s="247"/>
      <c r="W236" s="248"/>
      <c r="X236" s="341">
        <v>400000</v>
      </c>
      <c r="Y236" s="878">
        <f t="shared" si="69"/>
        <v>500000</v>
      </c>
      <c r="Z236" s="879">
        <f t="shared" si="68"/>
        <v>0</v>
      </c>
      <c r="AA236" s="249"/>
      <c r="AB236" s="341">
        <f>7350000-882000</f>
        <v>6468000</v>
      </c>
      <c r="AC236" s="882">
        <f>((AB236+X236)*1.08)+Y236</f>
        <v>7917440.0000000009</v>
      </c>
      <c r="AD236" s="881">
        <f t="shared" si="73"/>
        <v>7417440.0000000009</v>
      </c>
    </row>
    <row r="237" spans="1:33" ht="26.4">
      <c r="A237" s="326">
        <v>6</v>
      </c>
      <c r="B237" s="1695" t="s">
        <v>5526</v>
      </c>
      <c r="C237" s="717" t="s">
        <v>5563</v>
      </c>
      <c r="D237" s="386" t="s">
        <v>5526</v>
      </c>
      <c r="E237" s="1208" t="s">
        <v>5613</v>
      </c>
      <c r="F237" s="126" t="s">
        <v>210</v>
      </c>
      <c r="G237" s="167">
        <v>1</v>
      </c>
      <c r="H237" s="167"/>
      <c r="I237" s="167"/>
      <c r="J237" s="2168">
        <v>12387.98</v>
      </c>
      <c r="K237" s="559" t="s">
        <v>5525</v>
      </c>
      <c r="L237" s="170" t="s">
        <v>5570</v>
      </c>
      <c r="M237" s="596" t="s">
        <v>210</v>
      </c>
      <c r="N237" s="477" t="s">
        <v>5537</v>
      </c>
      <c r="O237" s="2356"/>
      <c r="P237" s="1602"/>
      <c r="Q237" s="248"/>
      <c r="R237" s="1658">
        <v>900000</v>
      </c>
      <c r="S237" s="324">
        <v>497000</v>
      </c>
      <c r="T237" s="371">
        <v>250000</v>
      </c>
      <c r="U237" s="248"/>
      <c r="V237" s="247"/>
      <c r="W237" s="248"/>
      <c r="X237" s="341">
        <v>400000</v>
      </c>
      <c r="Y237" s="878">
        <f t="shared" si="69"/>
        <v>250000</v>
      </c>
      <c r="Z237" s="879">
        <f t="shared" si="68"/>
        <v>0</v>
      </c>
      <c r="AA237" s="249"/>
      <c r="AB237" s="341">
        <v>6900000</v>
      </c>
      <c r="AC237" s="882">
        <f t="shared" si="72"/>
        <v>8134000.0000000009</v>
      </c>
      <c r="AD237" s="881">
        <f t="shared" si="73"/>
        <v>7884000.0000000009</v>
      </c>
    </row>
    <row r="238" spans="1:33" ht="26.4">
      <c r="A238" s="326">
        <v>7</v>
      </c>
      <c r="B238" s="686" t="s">
        <v>5575</v>
      </c>
      <c r="C238" s="718" t="s">
        <v>5564</v>
      </c>
      <c r="D238" s="386" t="s">
        <v>5526</v>
      </c>
      <c r="E238" s="1208" t="s">
        <v>5614</v>
      </c>
      <c r="F238" s="126" t="s">
        <v>206</v>
      </c>
      <c r="G238" s="167"/>
      <c r="H238" s="167">
        <v>1</v>
      </c>
      <c r="I238" s="167"/>
      <c r="J238" s="154">
        <v>23772.5</v>
      </c>
      <c r="K238" s="559" t="s">
        <v>5550</v>
      </c>
      <c r="L238" s="170" t="s">
        <v>5541</v>
      </c>
      <c r="M238" s="822" t="s">
        <v>123</v>
      </c>
      <c r="N238" s="477" t="s">
        <v>5542</v>
      </c>
      <c r="O238" s="2356"/>
      <c r="P238" s="1602"/>
      <c r="Q238" s="324">
        <v>416000</v>
      </c>
      <c r="R238" s="324">
        <v>882000</v>
      </c>
      <c r="S238" s="1658">
        <v>1500000</v>
      </c>
      <c r="T238" s="371">
        <v>500000</v>
      </c>
      <c r="U238" s="248"/>
      <c r="V238" s="247"/>
      <c r="W238" s="248"/>
      <c r="X238" s="341">
        <v>400000</v>
      </c>
      <c r="Y238" s="878">
        <f t="shared" si="69"/>
        <v>916000</v>
      </c>
      <c r="Z238" s="879">
        <f t="shared" si="68"/>
        <v>0</v>
      </c>
      <c r="AA238" s="2304"/>
      <c r="AB238" s="341">
        <v>7700000</v>
      </c>
      <c r="AC238" s="882">
        <f t="shared" si="72"/>
        <v>9664000</v>
      </c>
      <c r="AD238" s="881">
        <f t="shared" si="73"/>
        <v>8748000</v>
      </c>
    </row>
    <row r="239" spans="1:33" ht="30.75" customHeight="1">
      <c r="A239" s="326">
        <v>8</v>
      </c>
      <c r="B239" s="686" t="s">
        <v>5602</v>
      </c>
      <c r="C239" s="2388" t="s">
        <v>5606</v>
      </c>
      <c r="D239" s="386" t="s">
        <v>5575</v>
      </c>
      <c r="E239" s="1440" t="s">
        <v>5727</v>
      </c>
      <c r="F239" s="126" t="s">
        <v>206</v>
      </c>
      <c r="G239" s="167"/>
      <c r="H239" s="167"/>
      <c r="I239" s="167">
        <v>1</v>
      </c>
      <c r="J239" s="154">
        <v>2584</v>
      </c>
      <c r="K239" s="559" t="s">
        <v>5560</v>
      </c>
      <c r="L239" s="170" t="s">
        <v>5562</v>
      </c>
      <c r="M239" s="596" t="s">
        <v>210</v>
      </c>
      <c r="N239" s="1577" t="s">
        <v>5561</v>
      </c>
      <c r="O239" s="2306"/>
      <c r="P239" s="1602"/>
      <c r="Q239" s="776"/>
      <c r="R239" s="248"/>
      <c r="S239" s="248"/>
      <c r="T239" s="371">
        <v>38760</v>
      </c>
      <c r="U239" s="248"/>
      <c r="V239" s="247"/>
      <c r="W239" s="248"/>
      <c r="X239" s="158"/>
      <c r="Y239" s="878">
        <f t="shared" si="69"/>
        <v>38760</v>
      </c>
      <c r="Z239" s="879">
        <f t="shared" si="68"/>
        <v>0</v>
      </c>
      <c r="AA239" s="1607" t="s">
        <v>5737</v>
      </c>
      <c r="AB239" s="341">
        <f>3520000</f>
        <v>3520000</v>
      </c>
      <c r="AC239" s="882">
        <f t="shared" si="72"/>
        <v>3840360.0000000005</v>
      </c>
      <c r="AD239" s="881">
        <f t="shared" si="73"/>
        <v>3801600.0000000005</v>
      </c>
    </row>
    <row r="240" spans="1:33" s="2331" customFormat="1" ht="27">
      <c r="A240" s="326">
        <v>9</v>
      </c>
      <c r="B240" s="686" t="s">
        <v>5602</v>
      </c>
      <c r="C240" s="718" t="s">
        <v>5628</v>
      </c>
      <c r="D240" s="386" t="s">
        <v>5575</v>
      </c>
      <c r="E240" s="2318" t="s">
        <v>5627</v>
      </c>
      <c r="F240" s="2319" t="s">
        <v>206</v>
      </c>
      <c r="G240" s="2320">
        <v>1</v>
      </c>
      <c r="H240" s="167"/>
      <c r="I240" s="167"/>
      <c r="J240" s="154">
        <v>24751.35</v>
      </c>
      <c r="K240" s="1670" t="s">
        <v>5629</v>
      </c>
      <c r="L240" s="2321" t="s">
        <v>5623</v>
      </c>
      <c r="M240" s="2322" t="s">
        <v>123</v>
      </c>
      <c r="N240" s="1651" t="s">
        <v>5552</v>
      </c>
      <c r="O240" s="2356"/>
      <c r="P240" s="1645"/>
      <c r="Q240" s="2323">
        <v>348000</v>
      </c>
      <c r="R240" s="2323">
        <v>497000</v>
      </c>
      <c r="S240" s="1658">
        <v>1000000</v>
      </c>
      <c r="T240" s="371">
        <v>250000</v>
      </c>
      <c r="U240" s="2324"/>
      <c r="V240" s="2325"/>
      <c r="W240" s="2323">
        <v>275000</v>
      </c>
      <c r="X240" s="341">
        <v>400000</v>
      </c>
      <c r="Y240" s="878">
        <f t="shared" si="69"/>
        <v>873000</v>
      </c>
      <c r="Z240" s="2326">
        <f t="shared" si="68"/>
        <v>0</v>
      </c>
      <c r="AA240" s="2327"/>
      <c r="AB240" s="2328">
        <v>6930000</v>
      </c>
      <c r="AC240" s="2329">
        <f t="shared" si="72"/>
        <v>8789400</v>
      </c>
      <c r="AD240" s="2330">
        <f t="shared" si="73"/>
        <v>7916400.0000000009</v>
      </c>
      <c r="AE240" s="6"/>
      <c r="AF240" s="6"/>
      <c r="AG240" s="5"/>
    </row>
    <row r="241" spans="1:34" ht="27">
      <c r="A241" s="326">
        <v>10</v>
      </c>
      <c r="B241" s="1695" t="s">
        <v>5633</v>
      </c>
      <c r="C241" s="717" t="s">
        <v>5661</v>
      </c>
      <c r="D241" s="46" t="s">
        <v>5633</v>
      </c>
      <c r="E241" s="179" t="s">
        <v>5670</v>
      </c>
      <c r="F241" s="126" t="s">
        <v>210</v>
      </c>
      <c r="G241" s="167">
        <v>1</v>
      </c>
      <c r="H241" s="167"/>
      <c r="I241" s="167"/>
      <c r="J241" s="2168">
        <f>11662.47</f>
        <v>11662.47</v>
      </c>
      <c r="K241" s="559" t="s">
        <v>5621</v>
      </c>
      <c r="L241" s="170" t="s">
        <v>5659</v>
      </c>
      <c r="M241" s="596" t="s">
        <v>210</v>
      </c>
      <c r="N241" s="477" t="s">
        <v>5622</v>
      </c>
      <c r="O241" s="2356"/>
      <c r="P241" s="1602"/>
      <c r="Q241" s="1603"/>
      <c r="R241" s="1658">
        <v>900000</v>
      </c>
      <c r="S241" s="2323">
        <v>497000</v>
      </c>
      <c r="T241" s="371">
        <v>250000</v>
      </c>
      <c r="U241" s="248"/>
      <c r="V241" s="247"/>
      <c r="W241" s="248"/>
      <c r="X241" s="341">
        <v>400000</v>
      </c>
      <c r="Y241" s="878">
        <f t="shared" si="69"/>
        <v>250000</v>
      </c>
      <c r="Z241" s="879">
        <f t="shared" si="68"/>
        <v>0</v>
      </c>
      <c r="AA241" s="249"/>
      <c r="AB241" s="341">
        <v>6380000</v>
      </c>
      <c r="AC241" s="882">
        <f t="shared" si="72"/>
        <v>7572400.0000000009</v>
      </c>
      <c r="AD241" s="881">
        <f t="shared" si="73"/>
        <v>7322400.0000000009</v>
      </c>
    </row>
    <row r="242" spans="1:34" ht="27">
      <c r="A242" s="326">
        <v>11</v>
      </c>
      <c r="B242" s="1695" t="s">
        <v>5633</v>
      </c>
      <c r="C242" s="717" t="s">
        <v>5669</v>
      </c>
      <c r="D242" s="46" t="s">
        <v>5633</v>
      </c>
      <c r="E242" s="179" t="s">
        <v>5671</v>
      </c>
      <c r="F242" s="126" t="s">
        <v>210</v>
      </c>
      <c r="G242" s="167">
        <v>1</v>
      </c>
      <c r="H242" s="167"/>
      <c r="I242" s="167"/>
      <c r="J242" s="2168">
        <f>13343.008</f>
        <v>13343.008</v>
      </c>
      <c r="K242" s="559" t="s">
        <v>5620</v>
      </c>
      <c r="L242" s="170" t="s">
        <v>5660</v>
      </c>
      <c r="M242" s="596" t="s">
        <v>210</v>
      </c>
      <c r="N242" s="477" t="s">
        <v>5622</v>
      </c>
      <c r="O242" s="2356"/>
      <c r="P242" s="1602"/>
      <c r="Q242" s="1603"/>
      <c r="R242" s="1658">
        <v>900000</v>
      </c>
      <c r="S242" s="2323">
        <v>497000</v>
      </c>
      <c r="T242" s="371">
        <v>250000</v>
      </c>
      <c r="U242" s="248"/>
      <c r="V242" s="247"/>
      <c r="W242" s="248"/>
      <c r="X242" s="341">
        <v>400000</v>
      </c>
      <c r="Y242" s="878">
        <f t="shared" si="69"/>
        <v>250000</v>
      </c>
      <c r="Z242" s="879">
        <f>+V242</f>
        <v>0</v>
      </c>
      <c r="AA242" s="249"/>
      <c r="AB242" s="341">
        <v>6380000</v>
      </c>
      <c r="AC242" s="882">
        <f t="shared" si="72"/>
        <v>7572400.0000000009</v>
      </c>
      <c r="AD242" s="881">
        <f>(AB242+X242)*1.08</f>
        <v>7322400.0000000009</v>
      </c>
    </row>
    <row r="243" spans="1:34" ht="27">
      <c r="A243" s="326">
        <v>12</v>
      </c>
      <c r="B243" s="2367" t="s">
        <v>5656</v>
      </c>
      <c r="C243" s="2389" t="s">
        <v>5722</v>
      </c>
      <c r="D243" s="2367" t="s">
        <v>5656</v>
      </c>
      <c r="E243" s="1725" t="s">
        <v>5726</v>
      </c>
      <c r="F243" s="1728" t="s">
        <v>210</v>
      </c>
      <c r="G243" s="167"/>
      <c r="H243" s="167">
        <v>1</v>
      </c>
      <c r="I243" s="167"/>
      <c r="J243" s="127">
        <v>22905.48</v>
      </c>
      <c r="K243" s="1751" t="s">
        <v>5673</v>
      </c>
      <c r="L243" s="1729" t="s">
        <v>5710</v>
      </c>
      <c r="M243" s="2322" t="s">
        <v>123</v>
      </c>
      <c r="N243" s="1642" t="s">
        <v>5674</v>
      </c>
      <c r="O243" s="1642"/>
      <c r="P243" s="1642"/>
      <c r="Q243" s="1593"/>
      <c r="R243" s="1658">
        <v>1450000</v>
      </c>
      <c r="S243" s="2368">
        <v>882000</v>
      </c>
      <c r="T243" s="2369">
        <v>500000</v>
      </c>
      <c r="U243" s="1593"/>
      <c r="V243" s="1594"/>
      <c r="W243" s="1593"/>
      <c r="X243" s="2370">
        <v>400000</v>
      </c>
      <c r="Y243" s="878">
        <f t="shared" si="69"/>
        <v>500000</v>
      </c>
      <c r="Z243" s="879">
        <f t="shared" si="68"/>
        <v>0</v>
      </c>
      <c r="AA243" s="391" t="s">
        <v>1416</v>
      </c>
      <c r="AB243" s="341">
        <v>7300000</v>
      </c>
      <c r="AC243" s="882">
        <f t="shared" si="72"/>
        <v>8816000</v>
      </c>
      <c r="AD243" s="881">
        <f t="shared" si="73"/>
        <v>8316000.0000000009</v>
      </c>
    </row>
    <row r="244" spans="1:34" ht="27">
      <c r="A244" s="1599">
        <v>13</v>
      </c>
      <c r="B244" s="2408" t="s">
        <v>5717</v>
      </c>
      <c r="C244" s="2372" t="s">
        <v>5747</v>
      </c>
      <c r="D244" s="1824" t="s">
        <v>5717</v>
      </c>
      <c r="E244" s="2394" t="s">
        <v>5761</v>
      </c>
      <c r="F244" s="1601" t="s">
        <v>206</v>
      </c>
      <c r="G244" s="1745"/>
      <c r="H244" s="1745"/>
      <c r="I244" s="1745">
        <v>1</v>
      </c>
      <c r="J244" s="1587"/>
      <c r="K244" s="1688" t="s">
        <v>5729</v>
      </c>
      <c r="L244" s="1612" t="s">
        <v>5730</v>
      </c>
      <c r="M244" s="2663" t="s">
        <v>123</v>
      </c>
      <c r="N244" s="1602"/>
      <c r="O244" s="1602"/>
      <c r="P244" s="2382"/>
      <c r="Q244" s="1603"/>
      <c r="R244" s="1603"/>
      <c r="S244" s="2256"/>
      <c r="T244" s="2373">
        <v>62454</v>
      </c>
      <c r="U244" s="1603"/>
      <c r="V244" s="1604"/>
      <c r="W244" s="1603"/>
      <c r="X244" s="2370">
        <v>400000</v>
      </c>
      <c r="Y244" s="878">
        <f t="shared" si="69"/>
        <v>62454</v>
      </c>
      <c r="Z244" s="879">
        <f t="shared" si="68"/>
        <v>0</v>
      </c>
      <c r="AA244" s="2383" t="s">
        <v>5753</v>
      </c>
      <c r="AB244" s="2374">
        <f>+(2020000*2)+1500000</f>
        <v>5540000</v>
      </c>
      <c r="AC244" s="1703">
        <f t="shared" si="72"/>
        <v>6477654</v>
      </c>
      <c r="AD244" s="2374">
        <f t="shared" si="73"/>
        <v>6415200</v>
      </c>
    </row>
    <row r="245" spans="1:34" ht="27">
      <c r="A245" s="1599">
        <v>14</v>
      </c>
      <c r="B245" s="2408" t="s">
        <v>5717</v>
      </c>
      <c r="C245" s="2372" t="s">
        <v>5748</v>
      </c>
      <c r="D245" s="1824" t="s">
        <v>5717</v>
      </c>
      <c r="E245" s="2173" t="s">
        <v>5762</v>
      </c>
      <c r="F245" s="1601" t="s">
        <v>206</v>
      </c>
      <c r="G245" s="1745"/>
      <c r="H245" s="1745"/>
      <c r="I245" s="1745">
        <v>1</v>
      </c>
      <c r="J245" s="1587"/>
      <c r="K245" s="1688" t="s">
        <v>5731</v>
      </c>
      <c r="L245" s="1612" t="s">
        <v>5732</v>
      </c>
      <c r="M245" s="2663" t="s">
        <v>123</v>
      </c>
      <c r="N245" s="1602"/>
      <c r="O245" s="1602"/>
      <c r="P245" s="2382"/>
      <c r="Q245" s="1603"/>
      <c r="R245" s="1603"/>
      <c r="S245" s="2256"/>
      <c r="T245" s="2373">
        <v>59925</v>
      </c>
      <c r="U245" s="1603"/>
      <c r="V245" s="1604"/>
      <c r="W245" s="1603"/>
      <c r="X245" s="2370">
        <v>400000</v>
      </c>
      <c r="Y245" s="878">
        <f t="shared" si="69"/>
        <v>59925</v>
      </c>
      <c r="Z245" s="879">
        <f t="shared" si="68"/>
        <v>0</v>
      </c>
      <c r="AA245" s="2383" t="s">
        <v>5753</v>
      </c>
      <c r="AB245" s="2374">
        <f>+(2020000*2)+1500000</f>
        <v>5540000</v>
      </c>
      <c r="AC245" s="1703">
        <f>((AB245+X245)*1.08)+Y245</f>
        <v>6475125</v>
      </c>
      <c r="AD245" s="2374">
        <f>(AB245+X245)*1.08</f>
        <v>6415200</v>
      </c>
    </row>
    <row r="246" spans="1:34">
      <c r="A246" s="3714" t="s">
        <v>5867</v>
      </c>
      <c r="B246" s="3714"/>
      <c r="C246" s="3714"/>
      <c r="D246" s="3714"/>
      <c r="E246" s="3714"/>
      <c r="F246" s="3714"/>
      <c r="G246" s="3714"/>
      <c r="H246" s="3714"/>
      <c r="I246" s="3714"/>
      <c r="J246" s="3714"/>
      <c r="K246" s="3714"/>
      <c r="L246" s="3714"/>
      <c r="M246" s="1708"/>
      <c r="N246" s="1708"/>
      <c r="O246" s="1708"/>
      <c r="P246" s="501"/>
      <c r="Q246" s="1004"/>
      <c r="R246" s="2371"/>
      <c r="S246" s="1004"/>
      <c r="T246" s="1004"/>
      <c r="U246" s="1004"/>
      <c r="V246" s="1006"/>
      <c r="W246" s="1004"/>
      <c r="X246" s="1007"/>
      <c r="Y246" s="1126">
        <f>SUM(Y237:Y243)</f>
        <v>3077760</v>
      </c>
      <c r="Z246" s="1007"/>
      <c r="AA246" s="1009"/>
      <c r="AB246" s="1126">
        <f>SUM(AB237:AB244)</f>
        <v>50650000</v>
      </c>
      <c r="AC246" s="1126">
        <f>+AB246+Y246</f>
        <v>53727760</v>
      </c>
      <c r="AD246" s="1126">
        <f>SUM(AD237:AD243)</f>
        <v>51310800</v>
      </c>
    </row>
    <row r="247" spans="1:34" ht="27">
      <c r="A247" s="326"/>
      <c r="B247" s="2408" t="s">
        <v>5717</v>
      </c>
      <c r="C247" s="2372" t="s">
        <v>5747</v>
      </c>
      <c r="D247" s="1824" t="s">
        <v>5717</v>
      </c>
      <c r="E247" s="2394" t="s">
        <v>6041</v>
      </c>
      <c r="F247" s="1601" t="s">
        <v>206</v>
      </c>
      <c r="G247" s="1745"/>
      <c r="H247" s="1745"/>
      <c r="I247" s="1745">
        <v>1</v>
      </c>
      <c r="J247" s="1587"/>
      <c r="K247" s="1688" t="s">
        <v>5729</v>
      </c>
      <c r="L247" s="1612" t="s">
        <v>5730</v>
      </c>
      <c r="M247" s="2322" t="s">
        <v>123</v>
      </c>
      <c r="N247" s="1602"/>
      <c r="P247" s="2368">
        <v>60000</v>
      </c>
      <c r="Q247" s="1603"/>
      <c r="R247" s="1603"/>
      <c r="S247" s="2256"/>
      <c r="T247" s="2256"/>
      <c r="U247" s="1603"/>
      <c r="V247" s="1604"/>
      <c r="W247" s="1603"/>
      <c r="X247" s="2542"/>
      <c r="Y247" s="878">
        <f>Q247+T247+U247+W247+P247</f>
        <v>60000</v>
      </c>
      <c r="Z247" s="2683"/>
      <c r="AA247" s="391" t="s">
        <v>6043</v>
      </c>
      <c r="AB247" s="341">
        <v>800000</v>
      </c>
      <c r="AC247" s="1703">
        <f>((AB247+X247)*1.08)+Y247</f>
        <v>924000</v>
      </c>
      <c r="AD247" s="2374">
        <f>(AB247+X247)*1.08</f>
        <v>864000</v>
      </c>
    </row>
    <row r="248" spans="1:34" ht="27">
      <c r="A248" s="326"/>
      <c r="B248" s="2408" t="s">
        <v>5717</v>
      </c>
      <c r="C248" s="2372" t="s">
        <v>5748</v>
      </c>
      <c r="D248" s="1824" t="s">
        <v>5717</v>
      </c>
      <c r="E248" s="2173" t="s">
        <v>6042</v>
      </c>
      <c r="F248" s="1601" t="s">
        <v>206</v>
      </c>
      <c r="G248" s="1745"/>
      <c r="H248" s="1745"/>
      <c r="I248" s="1745">
        <v>1</v>
      </c>
      <c r="J248" s="1587"/>
      <c r="K248" s="1688" t="s">
        <v>5731</v>
      </c>
      <c r="L248" s="1612" t="s">
        <v>5732</v>
      </c>
      <c r="M248" s="2322" t="s">
        <v>123</v>
      </c>
      <c r="N248" s="1602"/>
      <c r="O248" s="2580"/>
      <c r="P248" s="2368">
        <v>60000</v>
      </c>
      <c r="Q248" s="1603"/>
      <c r="R248" s="1603"/>
      <c r="S248" s="2256"/>
      <c r="T248" s="2256"/>
      <c r="U248" s="1603"/>
      <c r="V248" s="1604"/>
      <c r="W248" s="1603"/>
      <c r="X248" s="2542"/>
      <c r="Y248" s="878">
        <f>Q248+T248+U248+W248+P248</f>
        <v>60000</v>
      </c>
      <c r="Z248" s="2683"/>
      <c r="AA248" s="391" t="s">
        <v>6043</v>
      </c>
      <c r="AB248" s="341">
        <v>800000</v>
      </c>
      <c r="AC248" s="1703">
        <f>((AB248+X248)*1.08)+Y248</f>
        <v>924000</v>
      </c>
      <c r="AD248" s="2374">
        <f>(AB248+X248)*1.08</f>
        <v>864000</v>
      </c>
    </row>
    <row r="249" spans="1:34" ht="34.5" customHeight="1">
      <c r="A249" s="326">
        <v>1</v>
      </c>
      <c r="B249" s="2449" t="s">
        <v>5802</v>
      </c>
      <c r="C249" s="2372" t="s">
        <v>5813</v>
      </c>
      <c r="D249" s="386" t="s">
        <v>5802</v>
      </c>
      <c r="E249" s="1208" t="s">
        <v>5868</v>
      </c>
      <c r="F249" s="126" t="s">
        <v>210</v>
      </c>
      <c r="G249" s="167"/>
      <c r="H249" s="167">
        <v>1</v>
      </c>
      <c r="I249" s="167"/>
      <c r="J249" s="154">
        <f>23056.49+3750</f>
        <v>26806.49</v>
      </c>
      <c r="K249" s="559" t="s">
        <v>5777</v>
      </c>
      <c r="L249" s="170" t="s">
        <v>5812</v>
      </c>
      <c r="M249" s="596" t="s">
        <v>210</v>
      </c>
      <c r="N249" s="1577" t="s">
        <v>5803</v>
      </c>
      <c r="O249" s="2579" t="s">
        <v>5944</v>
      </c>
      <c r="P249" s="1602"/>
      <c r="Q249" s="248"/>
      <c r="R249" s="2670">
        <v>1450000</v>
      </c>
      <c r="S249" s="2368">
        <v>882000</v>
      </c>
      <c r="T249" s="371">
        <v>500000</v>
      </c>
      <c r="U249" s="248"/>
      <c r="V249" s="247"/>
      <c r="W249" s="248"/>
      <c r="X249" s="2370">
        <v>400000</v>
      </c>
      <c r="Y249" s="878">
        <f>Q249+T249+U249+W249+P249</f>
        <v>500000</v>
      </c>
      <c r="Z249" s="2683"/>
      <c r="AA249" s="391" t="s">
        <v>1416</v>
      </c>
      <c r="AB249" s="341">
        <v>7300000</v>
      </c>
      <c r="AC249" s="1703">
        <f>((AB249+X249)*1.08)+Y249</f>
        <v>8816000</v>
      </c>
      <c r="AD249" s="2374">
        <f>(AB249+X249)*1.08</f>
        <v>8316000.0000000009</v>
      </c>
    </row>
    <row r="250" spans="1:34" ht="66.599999999999994">
      <c r="A250" s="326">
        <v>2</v>
      </c>
      <c r="B250" s="686" t="s">
        <v>5848</v>
      </c>
      <c r="C250" s="636" t="s">
        <v>5815</v>
      </c>
      <c r="D250" s="386" t="s">
        <v>5802</v>
      </c>
      <c r="E250" s="1208" t="s">
        <v>5899</v>
      </c>
      <c r="F250" s="126" t="s">
        <v>206</v>
      </c>
      <c r="G250" s="167"/>
      <c r="H250" s="167">
        <v>5</v>
      </c>
      <c r="I250" s="167"/>
      <c r="J250" s="154">
        <f>107126/5</f>
        <v>21425.200000000001</v>
      </c>
      <c r="K250" s="559" t="s">
        <v>5736</v>
      </c>
      <c r="L250" s="170" t="s">
        <v>5817</v>
      </c>
      <c r="M250" s="2466" t="s">
        <v>136</v>
      </c>
      <c r="N250" s="477" t="s">
        <v>5816</v>
      </c>
      <c r="O250" s="2692" t="s">
        <v>6072</v>
      </c>
      <c r="P250" s="1602"/>
      <c r="Q250" s="2368">
        <v>3615000</v>
      </c>
      <c r="R250" s="2368">
        <f>882000*5</f>
        <v>4410000</v>
      </c>
      <c r="S250" s="2671">
        <f>1500000*5</f>
        <v>7500000</v>
      </c>
      <c r="T250" s="371">
        <v>2500000</v>
      </c>
      <c r="U250" s="248"/>
      <c r="V250" s="247"/>
      <c r="W250" s="2368">
        <v>350000</v>
      </c>
      <c r="X250" s="2370">
        <f>400000*2</f>
        <v>800000</v>
      </c>
      <c r="Y250" s="878">
        <f t="shared" ref="Y250:Y259" si="74">Q250+T250+U250+W250+P250</f>
        <v>6465000</v>
      </c>
      <c r="Z250" s="2683"/>
      <c r="AA250" s="2691" t="s">
        <v>6065</v>
      </c>
      <c r="AB250" s="2374">
        <f>7700000*4+(1000000*5)</f>
        <v>35800000</v>
      </c>
      <c r="AC250" s="1703">
        <f t="shared" ref="AC250:AC259" si="75">((AB250+X250)*1.08)+Y250</f>
        <v>45993000</v>
      </c>
      <c r="AD250" s="2374">
        <f t="shared" ref="AD250:AD259" si="76">(AB250+X250)*1.08</f>
        <v>39528000</v>
      </c>
    </row>
    <row r="251" spans="1:34" ht="27">
      <c r="A251" s="326">
        <v>3</v>
      </c>
      <c r="B251" s="686" t="s">
        <v>5826</v>
      </c>
      <c r="C251" s="2372" t="s">
        <v>5836</v>
      </c>
      <c r="D251" s="686" t="s">
        <v>5826</v>
      </c>
      <c r="E251" s="1208" t="s">
        <v>5900</v>
      </c>
      <c r="F251" s="126" t="s">
        <v>210</v>
      </c>
      <c r="G251" s="167"/>
      <c r="H251" s="167"/>
      <c r="I251" s="167">
        <v>1</v>
      </c>
      <c r="J251" s="2512">
        <v>154.5</v>
      </c>
      <c r="K251" s="1751" t="s">
        <v>5823</v>
      </c>
      <c r="L251" s="1729" t="s">
        <v>5824</v>
      </c>
      <c r="M251" s="596" t="s">
        <v>210</v>
      </c>
      <c r="N251" s="1642"/>
      <c r="O251" s="2581" t="s">
        <v>5948</v>
      </c>
      <c r="P251" s="2368">
        <v>60000</v>
      </c>
      <c r="Q251" s="1593"/>
      <c r="R251" s="1593"/>
      <c r="S251" s="1593"/>
      <c r="T251" s="1593"/>
      <c r="U251" s="1593"/>
      <c r="V251" s="1594"/>
      <c r="W251" s="1593"/>
      <c r="X251" s="2370">
        <v>400000</v>
      </c>
      <c r="Y251" s="878">
        <f t="shared" si="74"/>
        <v>60000</v>
      </c>
      <c r="Z251" s="2682"/>
      <c r="AA251" s="391" t="s">
        <v>6045</v>
      </c>
      <c r="AB251" s="2374">
        <f>3080000+800000</f>
        <v>3880000</v>
      </c>
      <c r="AC251" s="1703">
        <f t="shared" si="75"/>
        <v>4682400</v>
      </c>
      <c r="AD251" s="2374">
        <f t="shared" si="76"/>
        <v>4622400</v>
      </c>
    </row>
    <row r="252" spans="1:34" ht="27">
      <c r="A252" s="326">
        <f>+A251+1</f>
        <v>4</v>
      </c>
      <c r="B252" s="686" t="s">
        <v>5734</v>
      </c>
      <c r="C252" s="632" t="s">
        <v>5885</v>
      </c>
      <c r="D252" s="386" t="s">
        <v>5875</v>
      </c>
      <c r="E252" s="1208" t="s">
        <v>5901</v>
      </c>
      <c r="F252" s="126" t="s">
        <v>210</v>
      </c>
      <c r="G252" s="167"/>
      <c r="H252" s="1688" t="s">
        <v>973</v>
      </c>
      <c r="I252" s="2317"/>
      <c r="J252" s="2513">
        <v>23187.68</v>
      </c>
      <c r="K252" s="1688" t="s">
        <v>5849</v>
      </c>
      <c r="L252" s="170" t="s">
        <v>5883</v>
      </c>
      <c r="M252" s="596" t="s">
        <v>210</v>
      </c>
      <c r="N252" s="477" t="s">
        <v>5850</v>
      </c>
      <c r="O252" s="2581" t="s">
        <v>5942</v>
      </c>
      <c r="P252" s="2317"/>
      <c r="Q252" s="2317"/>
      <c r="R252" s="2671">
        <v>1450000</v>
      </c>
      <c r="S252" s="2368">
        <v>882000</v>
      </c>
      <c r="T252" s="371">
        <v>500000</v>
      </c>
      <c r="U252" s="2317"/>
      <c r="V252" s="2317"/>
      <c r="W252" s="2317"/>
      <c r="X252" s="2370">
        <v>400000</v>
      </c>
      <c r="Y252" s="878">
        <f t="shared" si="74"/>
        <v>500000</v>
      </c>
      <c r="Z252" s="2683"/>
      <c r="AB252" s="2374">
        <v>7300000</v>
      </c>
      <c r="AC252" s="1703">
        <f t="shared" si="75"/>
        <v>8816000</v>
      </c>
      <c r="AD252" s="2374">
        <f t="shared" si="76"/>
        <v>8316000.0000000009</v>
      </c>
      <c r="AE252" s="2672"/>
      <c r="AF252" s="2672"/>
      <c r="AG252" s="2672"/>
      <c r="AH252" s="2672"/>
    </row>
    <row r="253" spans="1:34" ht="27">
      <c r="A253" s="326">
        <f>+A252+1</f>
        <v>5</v>
      </c>
      <c r="B253" s="2449" t="s">
        <v>5931</v>
      </c>
      <c r="C253" s="632" t="s">
        <v>6004</v>
      </c>
      <c r="D253" s="2449" t="s">
        <v>5931</v>
      </c>
      <c r="E253" s="1208" t="s">
        <v>6017</v>
      </c>
      <c r="F253" s="126" t="s">
        <v>210</v>
      </c>
      <c r="G253" s="167"/>
      <c r="H253" s="1688" t="s">
        <v>973</v>
      </c>
      <c r="I253" s="2317"/>
      <c r="J253" s="2625">
        <f>22877.35+3750</f>
        <v>26627.35</v>
      </c>
      <c r="K253" s="1688" t="s">
        <v>5909</v>
      </c>
      <c r="L253" s="170" t="s">
        <v>5993</v>
      </c>
      <c r="M253" s="596" t="s">
        <v>210</v>
      </c>
      <c r="N253" s="477" t="s">
        <v>5910</v>
      </c>
      <c r="O253" s="2581" t="s">
        <v>5972</v>
      </c>
      <c r="P253" s="2317"/>
      <c r="Q253" s="2317"/>
      <c r="R253" s="2671">
        <v>1450000</v>
      </c>
      <c r="S253" s="2373">
        <v>882000</v>
      </c>
      <c r="T253" s="371">
        <v>500000</v>
      </c>
      <c r="U253" s="2317"/>
      <c r="V253" s="2317"/>
      <c r="W253" s="2317"/>
      <c r="X253" s="2370">
        <v>400000</v>
      </c>
      <c r="Y253" s="878">
        <f t="shared" si="74"/>
        <v>500000</v>
      </c>
      <c r="Z253" s="2683"/>
      <c r="AA253" s="2317"/>
      <c r="AB253" s="2374">
        <v>7300000</v>
      </c>
      <c r="AC253" s="1703">
        <f t="shared" si="75"/>
        <v>8816000</v>
      </c>
      <c r="AD253" s="2374">
        <f t="shared" si="76"/>
        <v>8316000.0000000009</v>
      </c>
      <c r="AE253" s="2672"/>
      <c r="AF253" s="2672"/>
      <c r="AG253" s="2672"/>
      <c r="AH253" s="2672"/>
    </row>
    <row r="254" spans="1:34" ht="27">
      <c r="A254" s="326">
        <f>+A253+1</f>
        <v>6</v>
      </c>
      <c r="B254" s="1456" t="s">
        <v>6063</v>
      </c>
      <c r="C254" s="632" t="s">
        <v>6080</v>
      </c>
      <c r="D254" s="1456" t="s">
        <v>6063</v>
      </c>
      <c r="E254" s="1208" t="s">
        <v>6086</v>
      </c>
      <c r="F254" s="126" t="s">
        <v>210</v>
      </c>
      <c r="G254" s="167"/>
      <c r="H254" s="1745">
        <v>1</v>
      </c>
      <c r="I254" s="1298"/>
      <c r="J254" s="966">
        <f>23198.84+3750</f>
        <v>26948.84</v>
      </c>
      <c r="K254" s="1688" t="s">
        <v>5997</v>
      </c>
      <c r="L254" s="2693" t="s">
        <v>6074</v>
      </c>
      <c r="M254" s="596" t="s">
        <v>210</v>
      </c>
      <c r="N254" s="2708" t="s">
        <v>5998</v>
      </c>
      <c r="O254" s="987" t="s">
        <v>5958</v>
      </c>
      <c r="P254" s="581"/>
      <c r="Q254" s="425"/>
      <c r="R254" s="2671">
        <v>1450000</v>
      </c>
      <c r="S254" s="2373">
        <v>882000</v>
      </c>
      <c r="T254" s="324">
        <v>500000</v>
      </c>
      <c r="U254" s="425"/>
      <c r="V254" s="426"/>
      <c r="W254" s="425"/>
      <c r="X254" s="2370">
        <v>400000</v>
      </c>
      <c r="Y254" s="878">
        <f t="shared" si="74"/>
        <v>500000</v>
      </c>
      <c r="Z254" s="2684"/>
      <c r="AA254" s="2666" t="s">
        <v>1416</v>
      </c>
      <c r="AB254" s="2374">
        <v>7300000</v>
      </c>
      <c r="AC254" s="1703">
        <f t="shared" si="75"/>
        <v>8816000</v>
      </c>
      <c r="AD254" s="2374">
        <f t="shared" si="76"/>
        <v>8316000.0000000009</v>
      </c>
    </row>
    <row r="255" spans="1:34">
      <c r="A255" s="3714" t="s">
        <v>6083</v>
      </c>
      <c r="B255" s="3714"/>
      <c r="C255" s="3714"/>
      <c r="D255" s="3714"/>
      <c r="E255" s="3714"/>
      <c r="F255" s="3714"/>
      <c r="G255" s="3714"/>
      <c r="H255" s="3714"/>
      <c r="I255" s="3714"/>
      <c r="J255" s="3714"/>
      <c r="K255" s="3714"/>
      <c r="L255" s="3714"/>
      <c r="M255" s="1708"/>
      <c r="N255" s="1708"/>
      <c r="O255" s="1708"/>
      <c r="P255" s="501"/>
      <c r="Q255" s="1004"/>
      <c r="R255" s="2371"/>
      <c r="S255" s="1004"/>
      <c r="T255" s="1004"/>
      <c r="U255" s="1004"/>
      <c r="V255" s="1006"/>
      <c r="W255" s="1004"/>
      <c r="X255" s="1007"/>
      <c r="Y255" s="1126">
        <f>SUM(Y246:Y252)</f>
        <v>10722760</v>
      </c>
      <c r="Z255" s="1007">
        <f>SUM(Z232:Z250)</f>
        <v>0</v>
      </c>
      <c r="AA255" s="2710"/>
      <c r="AB255" s="1126">
        <f>SUM(AB246:AB253)</f>
        <v>113830000</v>
      </c>
      <c r="AC255" s="1126">
        <f>+AB255+Y255</f>
        <v>124552760</v>
      </c>
      <c r="AD255" s="1126">
        <f>SUM(AD246:AD252)</f>
        <v>113821200</v>
      </c>
    </row>
    <row r="256" spans="1:34" ht="27">
      <c r="A256" s="326">
        <v>1</v>
      </c>
      <c r="B256" s="1456" t="s">
        <v>6124</v>
      </c>
      <c r="C256" s="632" t="s">
        <v>6165</v>
      </c>
      <c r="D256" s="386" t="s">
        <v>6124</v>
      </c>
      <c r="E256" s="47" t="s">
        <v>6182</v>
      </c>
      <c r="F256" s="126" t="s">
        <v>210</v>
      </c>
      <c r="G256" s="167"/>
      <c r="H256" s="1745">
        <v>1</v>
      </c>
      <c r="I256" s="728"/>
      <c r="J256" s="154">
        <f>23197.24+3750</f>
        <v>26947.24</v>
      </c>
      <c r="K256" s="1688" t="s">
        <v>6081</v>
      </c>
      <c r="L256" s="170" t="s">
        <v>6141</v>
      </c>
      <c r="M256" s="596" t="s">
        <v>210</v>
      </c>
      <c r="N256" s="1577" t="s">
        <v>6082</v>
      </c>
      <c r="O256" s="2306" t="s">
        <v>5944</v>
      </c>
      <c r="P256" s="1602"/>
      <c r="Q256" s="248"/>
      <c r="R256" s="2671">
        <v>1450000</v>
      </c>
      <c r="S256" s="2373">
        <v>882000</v>
      </c>
      <c r="T256" s="371">
        <v>500000</v>
      </c>
      <c r="U256" s="248"/>
      <c r="V256" s="247"/>
      <c r="W256" s="248"/>
      <c r="X256" s="158"/>
      <c r="Y256" s="878">
        <f t="shared" si="74"/>
        <v>500000</v>
      </c>
      <c r="Z256" s="2684">
        <f t="shared" ref="Z256:Z259" si="77">+V256</f>
        <v>0</v>
      </c>
      <c r="AA256" s="2694" t="s">
        <v>1416</v>
      </c>
      <c r="AB256" s="2374">
        <v>7300000</v>
      </c>
      <c r="AC256" s="1703">
        <f t="shared" si="75"/>
        <v>8384000.0000000009</v>
      </c>
      <c r="AD256" s="2374">
        <f t="shared" si="76"/>
        <v>7884000.0000000009</v>
      </c>
    </row>
    <row r="257" spans="1:30" ht="27">
      <c r="A257" s="326">
        <f t="shared" ref="A257:A287" si="78">+A256+1</f>
        <v>2</v>
      </c>
      <c r="B257" s="708" t="s">
        <v>6053</v>
      </c>
      <c r="C257" s="636" t="s">
        <v>6166</v>
      </c>
      <c r="D257" s="46" t="s">
        <v>6122</v>
      </c>
      <c r="E257" s="47" t="s">
        <v>6181</v>
      </c>
      <c r="F257" s="126" t="s">
        <v>206</v>
      </c>
      <c r="G257" s="167"/>
      <c r="H257" s="445">
        <v>1</v>
      </c>
      <c r="I257" s="167"/>
      <c r="J257" s="154">
        <v>23116</v>
      </c>
      <c r="K257" s="559" t="s">
        <v>6121</v>
      </c>
      <c r="L257" s="170" t="s">
        <v>6167</v>
      </c>
      <c r="M257" s="2322" t="s">
        <v>123</v>
      </c>
      <c r="N257" s="477" t="s">
        <v>6122</v>
      </c>
      <c r="O257" s="2306" t="s">
        <v>5944</v>
      </c>
      <c r="P257" s="1602"/>
      <c r="Q257" s="2373">
        <v>416000</v>
      </c>
      <c r="R257" s="2373">
        <v>882000</v>
      </c>
      <c r="S257" s="2671">
        <v>1500000</v>
      </c>
      <c r="T257" s="371">
        <v>500000</v>
      </c>
      <c r="U257" s="248"/>
      <c r="V257" s="247"/>
      <c r="W257" s="248"/>
      <c r="X257" s="158"/>
      <c r="Y257" s="878">
        <f t="shared" si="74"/>
        <v>916000</v>
      </c>
      <c r="Z257" s="2684">
        <f t="shared" si="77"/>
        <v>0</v>
      </c>
      <c r="AA257" s="249"/>
      <c r="AB257" s="2374">
        <v>7350000</v>
      </c>
      <c r="AC257" s="1703">
        <f t="shared" si="75"/>
        <v>8854000</v>
      </c>
      <c r="AD257" s="2374">
        <f t="shared" si="76"/>
        <v>7938000.0000000009</v>
      </c>
    </row>
    <row r="258" spans="1:30" ht="27">
      <c r="A258" s="326">
        <f t="shared" si="78"/>
        <v>3</v>
      </c>
      <c r="B258" s="1456" t="s">
        <v>6248</v>
      </c>
      <c r="C258" s="632" t="s">
        <v>6253</v>
      </c>
      <c r="D258" s="386" t="s">
        <v>6248</v>
      </c>
      <c r="E258" s="47" t="s">
        <v>6261</v>
      </c>
      <c r="F258" s="126" t="s">
        <v>210</v>
      </c>
      <c r="G258" s="167">
        <v>1</v>
      </c>
      <c r="H258" s="167"/>
      <c r="I258" s="167"/>
      <c r="J258" s="154">
        <v>17170.259999999998</v>
      </c>
      <c r="K258" s="559" t="s">
        <v>6168</v>
      </c>
      <c r="L258" s="170" t="s">
        <v>6252</v>
      </c>
      <c r="M258" s="596" t="s">
        <v>210</v>
      </c>
      <c r="N258" s="477" t="s">
        <v>6169</v>
      </c>
      <c r="O258" s="2581" t="s">
        <v>5972</v>
      </c>
      <c r="P258" s="1602"/>
      <c r="Q258" s="248"/>
      <c r="R258" s="2671">
        <v>900000</v>
      </c>
      <c r="S258" s="2373">
        <v>497000</v>
      </c>
      <c r="T258" s="371">
        <v>500000</v>
      </c>
      <c r="U258" s="248"/>
      <c r="V258" s="247"/>
      <c r="W258" s="248"/>
      <c r="X258" s="158"/>
      <c r="Y258" s="878">
        <f t="shared" si="74"/>
        <v>500000</v>
      </c>
      <c r="Z258" s="2684">
        <f t="shared" si="77"/>
        <v>0</v>
      </c>
      <c r="AA258" s="249"/>
      <c r="AB258" s="2374">
        <v>6930000</v>
      </c>
      <c r="AC258" s="1703">
        <f t="shared" si="75"/>
        <v>7984400.0000000009</v>
      </c>
      <c r="AD258" s="2374">
        <f t="shared" si="76"/>
        <v>7484400.0000000009</v>
      </c>
    </row>
    <row r="259" spans="1:30">
      <c r="A259" s="326">
        <f t="shared" si="78"/>
        <v>4</v>
      </c>
      <c r="B259" s="2880"/>
      <c r="C259" s="635"/>
      <c r="D259" s="46"/>
      <c r="E259" s="47"/>
      <c r="F259" s="126" t="s">
        <v>210</v>
      </c>
      <c r="G259" s="167"/>
      <c r="H259" s="167">
        <v>1</v>
      </c>
      <c r="I259" s="167"/>
      <c r="J259" s="154"/>
      <c r="K259" s="559" t="s">
        <v>6263</v>
      </c>
      <c r="L259" s="170"/>
      <c r="M259" s="477"/>
      <c r="N259" s="477" t="s">
        <v>6282</v>
      </c>
      <c r="O259" s="1602"/>
      <c r="P259" s="1602"/>
      <c r="Q259" s="248"/>
      <c r="R259" s="248"/>
      <c r="S259" s="248"/>
      <c r="T259" s="248"/>
      <c r="U259" s="248"/>
      <c r="V259" s="247"/>
      <c r="W259" s="248"/>
      <c r="X259" s="158"/>
      <c r="Y259" s="878">
        <f t="shared" si="74"/>
        <v>0</v>
      </c>
      <c r="Z259" s="2684">
        <f t="shared" si="77"/>
        <v>0</v>
      </c>
      <c r="AA259" s="249"/>
      <c r="AB259" s="2374">
        <v>7700000</v>
      </c>
      <c r="AC259" s="1703">
        <f t="shared" si="75"/>
        <v>8316000.0000000009</v>
      </c>
      <c r="AD259" s="2374">
        <f t="shared" si="76"/>
        <v>8316000.0000000009</v>
      </c>
    </row>
    <row r="260" spans="1:30">
      <c r="A260" s="326">
        <f t="shared" si="78"/>
        <v>5</v>
      </c>
      <c r="C260" s="635"/>
      <c r="D260" s="46"/>
      <c r="E260" s="47"/>
      <c r="F260" s="126"/>
      <c r="G260" s="167"/>
      <c r="H260" s="167"/>
      <c r="I260" s="167"/>
      <c r="J260" s="154"/>
      <c r="K260" s="559"/>
      <c r="L260" s="170"/>
      <c r="M260" s="477"/>
      <c r="N260" s="477"/>
      <c r="O260" s="1602"/>
      <c r="P260" s="1602"/>
      <c r="Q260" s="248"/>
      <c r="R260" s="248"/>
      <c r="S260" s="248"/>
      <c r="T260" s="248"/>
      <c r="U260" s="248"/>
      <c r="V260" s="247"/>
      <c r="W260" s="248"/>
      <c r="X260" s="158"/>
      <c r="Y260" s="248"/>
      <c r="Z260" s="194"/>
      <c r="AA260" s="249"/>
      <c r="AB260" s="250"/>
      <c r="AC260" s="251"/>
      <c r="AD260" s="252"/>
    </row>
    <row r="261" spans="1:30">
      <c r="A261" s="326">
        <f t="shared" si="78"/>
        <v>6</v>
      </c>
      <c r="C261" s="635"/>
      <c r="D261" s="46"/>
      <c r="E261" s="47"/>
      <c r="F261" s="126"/>
      <c r="G261" s="167"/>
      <c r="H261" s="167"/>
      <c r="I261" s="167"/>
      <c r="J261" s="154"/>
      <c r="K261" s="559"/>
      <c r="L261" s="170"/>
      <c r="M261" s="477"/>
      <c r="N261" s="477"/>
      <c r="O261" s="1602"/>
      <c r="P261" s="1602"/>
      <c r="Q261" s="248"/>
      <c r="R261" s="248"/>
      <c r="S261" s="248"/>
      <c r="T261" s="248"/>
      <c r="U261" s="248"/>
      <c r="V261" s="247"/>
      <c r="W261" s="248"/>
      <c r="X261" s="158"/>
      <c r="Y261" s="248"/>
      <c r="Z261" s="194"/>
      <c r="AA261" s="249"/>
      <c r="AB261" s="250"/>
      <c r="AC261" s="251"/>
      <c r="AD261" s="252"/>
    </row>
    <row r="262" spans="1:30">
      <c r="A262" s="326">
        <f t="shared" si="78"/>
        <v>7</v>
      </c>
      <c r="C262" s="635"/>
      <c r="D262" s="46"/>
      <c r="E262" s="47"/>
      <c r="F262" s="126"/>
      <c r="G262" s="167"/>
      <c r="H262" s="167"/>
      <c r="I262" s="167"/>
      <c r="J262" s="154"/>
      <c r="K262" s="559"/>
      <c r="L262" s="170"/>
      <c r="M262" s="477"/>
      <c r="N262" s="477"/>
      <c r="O262" s="1602"/>
      <c r="P262" s="1602"/>
      <c r="Q262" s="248"/>
      <c r="R262" s="248"/>
      <c r="S262" s="248"/>
      <c r="T262" s="248"/>
      <c r="U262" s="248"/>
      <c r="V262" s="247"/>
      <c r="W262" s="248"/>
      <c r="X262" s="158"/>
      <c r="Y262" s="248"/>
      <c r="Z262" s="194"/>
      <c r="AA262" s="249"/>
      <c r="AB262" s="250"/>
      <c r="AC262" s="251"/>
      <c r="AD262" s="252"/>
    </row>
    <row r="263" spans="1:30">
      <c r="A263" s="326">
        <f t="shared" si="78"/>
        <v>8</v>
      </c>
      <c r="C263" s="635"/>
      <c r="D263" s="46"/>
      <c r="E263" s="47"/>
      <c r="F263" s="126"/>
      <c r="G263" s="167"/>
      <c r="H263" s="167"/>
      <c r="I263" s="167"/>
      <c r="J263" s="154"/>
      <c r="K263" s="559"/>
      <c r="L263" s="170"/>
      <c r="M263" s="477"/>
      <c r="N263" s="477"/>
      <c r="O263" s="1602"/>
      <c r="P263" s="1602"/>
      <c r="Q263" s="248"/>
      <c r="R263" s="248"/>
      <c r="S263" s="248"/>
      <c r="T263" s="248"/>
      <c r="U263" s="248"/>
      <c r="V263" s="247"/>
      <c r="W263" s="248"/>
      <c r="X263" s="2940"/>
      <c r="Y263" s="248"/>
      <c r="Z263" s="194"/>
      <c r="AA263" s="249"/>
      <c r="AB263" s="250"/>
      <c r="AC263" s="251"/>
      <c r="AD263" s="252"/>
    </row>
    <row r="264" spans="1:30">
      <c r="A264" s="326">
        <f t="shared" si="78"/>
        <v>9</v>
      </c>
      <c r="C264" s="635"/>
      <c r="D264" s="46"/>
      <c r="E264" s="47"/>
      <c r="F264" s="126"/>
      <c r="G264" s="167"/>
      <c r="H264" s="167"/>
      <c r="I264" s="167"/>
      <c r="J264" s="154"/>
      <c r="K264" s="559"/>
      <c r="L264" s="170"/>
      <c r="M264" s="477"/>
      <c r="N264" s="477"/>
      <c r="O264" s="1602"/>
      <c r="P264" s="1602"/>
      <c r="Q264" s="248"/>
      <c r="R264" s="248"/>
      <c r="S264" s="248"/>
      <c r="T264" s="248"/>
      <c r="U264" s="248"/>
      <c r="V264" s="247"/>
      <c r="W264" s="248"/>
      <c r="X264" s="158"/>
      <c r="Y264" s="248"/>
      <c r="Z264" s="194"/>
      <c r="AA264" s="249"/>
      <c r="AB264" s="250"/>
      <c r="AC264" s="251"/>
      <c r="AD264" s="252"/>
    </row>
    <row r="265" spans="1:30">
      <c r="A265" s="326">
        <f t="shared" si="78"/>
        <v>10</v>
      </c>
      <c r="C265" s="635"/>
      <c r="D265" s="46"/>
      <c r="E265" s="47"/>
      <c r="F265" s="126"/>
      <c r="G265" s="167"/>
      <c r="H265" s="167"/>
      <c r="I265" s="167"/>
      <c r="J265" s="154"/>
      <c r="K265" s="559"/>
      <c r="L265" s="170"/>
      <c r="M265" s="477"/>
      <c r="N265" s="477"/>
      <c r="O265" s="1602"/>
      <c r="P265" s="1602"/>
      <c r="Q265" s="248"/>
      <c r="R265" s="248"/>
      <c r="S265" s="248"/>
      <c r="T265" s="248"/>
      <c r="U265" s="248"/>
      <c r="V265" s="247"/>
      <c r="W265" s="248"/>
      <c r="X265" s="158"/>
      <c r="Y265" s="248"/>
      <c r="Z265" s="194"/>
      <c r="AA265" s="249"/>
      <c r="AB265" s="250"/>
      <c r="AC265" s="251"/>
      <c r="AD265" s="252"/>
    </row>
    <row r="266" spans="1:30">
      <c r="A266" s="326">
        <f t="shared" si="78"/>
        <v>11</v>
      </c>
      <c r="C266" s="635"/>
      <c r="D266" s="46"/>
      <c r="E266" s="47"/>
      <c r="F266" s="126"/>
      <c r="G266" s="167"/>
      <c r="H266" s="167"/>
      <c r="I266" s="167"/>
      <c r="J266" s="154"/>
      <c r="K266" s="559"/>
      <c r="L266" s="170"/>
      <c r="M266" s="477"/>
      <c r="N266" s="477"/>
      <c r="O266" s="1602"/>
      <c r="P266" s="1602"/>
      <c r="Q266" s="248"/>
      <c r="R266" s="248"/>
      <c r="S266" s="248"/>
      <c r="T266" s="248"/>
      <c r="U266" s="248"/>
      <c r="V266" s="247"/>
      <c r="W266" s="248"/>
      <c r="X266" s="158"/>
      <c r="Y266" s="248"/>
      <c r="Z266" s="194"/>
      <c r="AA266" s="249"/>
      <c r="AB266" s="250"/>
      <c r="AC266" s="251"/>
      <c r="AD266" s="252"/>
    </row>
    <row r="267" spans="1:30">
      <c r="A267" s="326">
        <f t="shared" si="78"/>
        <v>12</v>
      </c>
      <c r="C267" s="635"/>
      <c r="D267" s="46"/>
      <c r="E267" s="47"/>
      <c r="F267" s="126"/>
      <c r="G267" s="167"/>
      <c r="H267" s="167"/>
      <c r="I267" s="167"/>
      <c r="J267" s="154"/>
      <c r="K267" s="559"/>
      <c r="L267" s="170"/>
      <c r="M267" s="477"/>
      <c r="N267" s="477"/>
      <c r="O267" s="1602"/>
      <c r="P267" s="1602"/>
      <c r="Q267" s="248"/>
      <c r="R267" s="248"/>
      <c r="S267" s="248"/>
      <c r="T267" s="248"/>
      <c r="U267" s="248"/>
      <c r="V267" s="247"/>
      <c r="W267" s="248"/>
      <c r="X267" s="158"/>
      <c r="Y267" s="248"/>
      <c r="Z267" s="194"/>
      <c r="AA267" s="249"/>
      <c r="AB267" s="250"/>
      <c r="AC267" s="251"/>
      <c r="AD267" s="252"/>
    </row>
    <row r="268" spans="1:30">
      <c r="A268" s="326">
        <f t="shared" si="78"/>
        <v>13</v>
      </c>
      <c r="C268" s="635"/>
      <c r="D268" s="46"/>
      <c r="E268" s="47"/>
      <c r="F268" s="126"/>
      <c r="G268" s="167"/>
      <c r="H268" s="167"/>
      <c r="I268" s="167"/>
      <c r="J268" s="154"/>
      <c r="K268" s="559"/>
      <c r="L268" s="170"/>
      <c r="M268" s="477"/>
      <c r="N268" s="477"/>
      <c r="O268" s="1602"/>
      <c r="P268" s="1602"/>
      <c r="Q268" s="248"/>
      <c r="R268" s="248"/>
      <c r="S268" s="248"/>
      <c r="T268" s="248"/>
      <c r="U268" s="248"/>
      <c r="V268" s="247"/>
      <c r="W268" s="248"/>
      <c r="X268" s="158"/>
      <c r="Y268" s="248"/>
      <c r="Z268" s="194"/>
      <c r="AA268" s="249"/>
      <c r="AB268" s="250"/>
      <c r="AC268" s="251"/>
      <c r="AD268" s="252"/>
    </row>
    <row r="269" spans="1:30">
      <c r="A269" s="326">
        <f t="shared" si="78"/>
        <v>14</v>
      </c>
      <c r="C269" s="635"/>
      <c r="D269" s="46"/>
      <c r="E269" s="47"/>
      <c r="F269" s="126"/>
      <c r="G269" s="167"/>
      <c r="H269" s="167"/>
      <c r="I269" s="167"/>
      <c r="J269" s="154"/>
      <c r="K269" s="559"/>
      <c r="L269" s="170"/>
      <c r="M269" s="477"/>
      <c r="N269" s="477"/>
      <c r="O269" s="1602"/>
      <c r="P269" s="1602"/>
      <c r="Q269" s="248"/>
      <c r="R269" s="248"/>
      <c r="S269" s="248"/>
      <c r="T269" s="248"/>
      <c r="U269" s="248"/>
      <c r="V269" s="247"/>
      <c r="W269" s="248"/>
      <c r="X269" s="158"/>
      <c r="Y269" s="248"/>
      <c r="Z269" s="194"/>
      <c r="AA269" s="249"/>
      <c r="AB269" s="250"/>
      <c r="AC269" s="251"/>
      <c r="AD269" s="252"/>
    </row>
    <row r="270" spans="1:30">
      <c r="A270" s="326">
        <f t="shared" si="78"/>
        <v>15</v>
      </c>
      <c r="C270" s="635"/>
      <c r="D270" s="46"/>
      <c r="E270" s="47"/>
      <c r="F270" s="126"/>
      <c r="G270" s="167"/>
      <c r="H270" s="167"/>
      <c r="I270" s="167"/>
      <c r="J270" s="154"/>
      <c r="K270" s="559"/>
      <c r="L270" s="170"/>
      <c r="M270" s="477"/>
      <c r="N270" s="477"/>
      <c r="O270" s="1602"/>
      <c r="P270" s="1602"/>
      <c r="Q270" s="248"/>
      <c r="R270" s="248"/>
      <c r="S270" s="248"/>
      <c r="T270" s="248"/>
      <c r="U270" s="248"/>
      <c r="V270" s="247"/>
      <c r="W270" s="248"/>
      <c r="X270" s="158"/>
      <c r="Y270" s="248"/>
      <c r="Z270" s="194"/>
      <c r="AA270" s="249"/>
      <c r="AB270" s="250"/>
      <c r="AC270" s="251"/>
      <c r="AD270" s="252"/>
    </row>
    <row r="271" spans="1:30">
      <c r="A271" s="326">
        <f t="shared" si="78"/>
        <v>16</v>
      </c>
      <c r="C271" s="635"/>
      <c r="D271" s="46"/>
      <c r="E271" s="47"/>
      <c r="F271" s="126"/>
      <c r="G271" s="167"/>
      <c r="H271" s="167"/>
      <c r="I271" s="167"/>
      <c r="J271" s="154"/>
      <c r="K271" s="559"/>
      <c r="L271" s="170"/>
      <c r="M271" s="477"/>
      <c r="N271" s="477"/>
      <c r="O271" s="1602"/>
      <c r="P271" s="1602"/>
      <c r="Q271" s="248"/>
      <c r="R271" s="248"/>
      <c r="S271" s="248"/>
      <c r="T271" s="248"/>
      <c r="U271" s="248"/>
      <c r="V271" s="247"/>
      <c r="W271" s="248"/>
      <c r="X271" s="158"/>
      <c r="Y271" s="248"/>
      <c r="Z271" s="194"/>
      <c r="AA271" s="249"/>
      <c r="AB271" s="250"/>
      <c r="AC271" s="251"/>
      <c r="AD271" s="252"/>
    </row>
    <row r="272" spans="1:30">
      <c r="A272" s="326">
        <f t="shared" si="78"/>
        <v>17</v>
      </c>
      <c r="C272" s="635"/>
      <c r="D272" s="46"/>
      <c r="E272" s="47"/>
      <c r="F272" s="126"/>
      <c r="G272" s="167"/>
      <c r="H272" s="167"/>
      <c r="I272" s="167"/>
      <c r="J272" s="154"/>
      <c r="K272" s="559"/>
      <c r="L272" s="170"/>
      <c r="M272" s="477"/>
      <c r="N272" s="477"/>
      <c r="O272" s="1602"/>
      <c r="P272" s="1602"/>
      <c r="Q272" s="248"/>
      <c r="R272" s="248"/>
      <c r="S272" s="248"/>
      <c r="T272" s="248"/>
      <c r="U272" s="248"/>
      <c r="V272" s="247"/>
      <c r="W272" s="248"/>
      <c r="X272" s="158"/>
      <c r="Y272" s="248"/>
      <c r="Z272" s="194"/>
      <c r="AA272" s="249"/>
      <c r="AB272" s="250"/>
      <c r="AC272" s="251"/>
      <c r="AD272" s="252"/>
    </row>
    <row r="273" spans="1:30">
      <c r="A273" s="326">
        <f t="shared" si="78"/>
        <v>18</v>
      </c>
      <c r="C273" s="635"/>
      <c r="D273" s="46"/>
      <c r="E273" s="47"/>
      <c r="F273" s="126"/>
      <c r="G273" s="167"/>
      <c r="H273" s="167"/>
      <c r="I273" s="167"/>
      <c r="J273" s="154"/>
      <c r="K273" s="559"/>
      <c r="L273" s="170"/>
      <c r="M273" s="477"/>
      <c r="N273" s="477"/>
      <c r="O273" s="1602"/>
      <c r="P273" s="1602"/>
      <c r="Q273" s="248"/>
      <c r="R273" s="248"/>
      <c r="S273" s="248"/>
      <c r="T273" s="248"/>
      <c r="U273" s="248"/>
      <c r="V273" s="247"/>
      <c r="W273" s="248"/>
      <c r="X273" s="158"/>
      <c r="Y273" s="248"/>
      <c r="Z273" s="194"/>
      <c r="AA273" s="249"/>
      <c r="AB273" s="250"/>
      <c r="AC273" s="251"/>
      <c r="AD273" s="252"/>
    </row>
    <row r="274" spans="1:30">
      <c r="A274" s="326">
        <f t="shared" si="78"/>
        <v>19</v>
      </c>
      <c r="C274" s="635"/>
      <c r="D274" s="46"/>
      <c r="E274" s="47"/>
      <c r="F274" s="126"/>
      <c r="G274" s="167"/>
      <c r="H274" s="167"/>
      <c r="I274" s="167"/>
      <c r="J274" s="154"/>
      <c r="K274" s="559"/>
      <c r="L274" s="170"/>
      <c r="M274" s="477"/>
      <c r="N274" s="477"/>
      <c r="O274" s="1602"/>
      <c r="P274" s="1602"/>
      <c r="Q274" s="248"/>
      <c r="R274" s="248"/>
      <c r="S274" s="248"/>
      <c r="T274" s="248"/>
      <c r="U274" s="248"/>
      <c r="V274" s="247"/>
      <c r="W274" s="248"/>
      <c r="X274" s="158"/>
      <c r="Y274" s="248"/>
      <c r="Z274" s="194"/>
      <c r="AA274" s="249"/>
      <c r="AB274" s="250"/>
      <c r="AC274" s="251"/>
      <c r="AD274" s="252"/>
    </row>
    <row r="275" spans="1:30">
      <c r="A275" s="326">
        <f t="shared" si="78"/>
        <v>20</v>
      </c>
      <c r="C275" s="635"/>
      <c r="D275" s="46"/>
      <c r="E275" s="47"/>
      <c r="F275" s="126"/>
      <c r="G275" s="167"/>
      <c r="H275" s="167"/>
      <c r="I275" s="167"/>
      <c r="J275" s="154"/>
      <c r="K275" s="559"/>
      <c r="L275" s="170"/>
      <c r="M275" s="477"/>
      <c r="N275" s="477"/>
      <c r="O275" s="1602"/>
      <c r="P275" s="1602"/>
      <c r="Q275" s="248"/>
      <c r="R275" s="248"/>
      <c r="S275" s="248"/>
      <c r="T275" s="248"/>
      <c r="U275" s="248"/>
      <c r="V275" s="247"/>
      <c r="W275" s="248"/>
      <c r="X275" s="158"/>
      <c r="Y275" s="248"/>
      <c r="Z275" s="194"/>
      <c r="AA275" s="249"/>
      <c r="AB275" s="250"/>
      <c r="AC275" s="251"/>
      <c r="AD275" s="252"/>
    </row>
    <row r="276" spans="1:30">
      <c r="A276" s="326">
        <f t="shared" si="78"/>
        <v>21</v>
      </c>
      <c r="C276" s="635"/>
      <c r="D276" s="46"/>
      <c r="E276" s="47"/>
      <c r="F276" s="126"/>
      <c r="G276" s="167"/>
      <c r="H276" s="167"/>
      <c r="I276" s="167"/>
      <c r="J276" s="154"/>
      <c r="K276" s="559"/>
      <c r="L276" s="170"/>
      <c r="M276" s="477"/>
      <c r="N276" s="477"/>
      <c r="O276" s="1602"/>
      <c r="P276" s="1602"/>
      <c r="Q276" s="248"/>
      <c r="R276" s="248"/>
      <c r="S276" s="248"/>
      <c r="T276" s="248"/>
      <c r="U276" s="248"/>
      <c r="V276" s="247"/>
      <c r="W276" s="248"/>
      <c r="X276" s="158"/>
      <c r="Y276" s="248"/>
      <c r="Z276" s="194"/>
      <c r="AA276" s="249"/>
      <c r="AB276" s="250"/>
      <c r="AC276" s="251"/>
      <c r="AD276" s="252"/>
    </row>
    <row r="277" spans="1:30">
      <c r="A277" s="326">
        <f t="shared" si="78"/>
        <v>22</v>
      </c>
      <c r="C277" s="635"/>
      <c r="D277" s="46"/>
      <c r="E277" s="47"/>
      <c r="F277" s="126"/>
      <c r="G277" s="167"/>
      <c r="H277" s="167"/>
      <c r="I277" s="167"/>
      <c r="J277" s="154"/>
      <c r="K277" s="559"/>
      <c r="L277" s="170"/>
      <c r="M277" s="477"/>
      <c r="N277" s="477"/>
      <c r="O277" s="1602"/>
      <c r="P277" s="1602"/>
      <c r="Q277" s="248"/>
      <c r="R277" s="248"/>
      <c r="S277" s="248"/>
      <c r="T277" s="248"/>
      <c r="U277" s="248"/>
      <c r="V277" s="247"/>
      <c r="W277" s="248"/>
      <c r="X277" s="158"/>
      <c r="Y277" s="248"/>
      <c r="Z277" s="194"/>
      <c r="AA277" s="249"/>
      <c r="AB277" s="250"/>
      <c r="AC277" s="251"/>
      <c r="AD277" s="252"/>
    </row>
    <row r="278" spans="1:30">
      <c r="A278" s="326">
        <f t="shared" si="78"/>
        <v>23</v>
      </c>
      <c r="C278" s="635"/>
      <c r="D278" s="46"/>
      <c r="E278" s="47"/>
      <c r="F278" s="126"/>
      <c r="G278" s="167"/>
      <c r="H278" s="167"/>
      <c r="I278" s="167"/>
      <c r="J278" s="154"/>
      <c r="K278" s="559"/>
      <c r="L278" s="170"/>
      <c r="M278" s="477"/>
      <c r="N278" s="477"/>
      <c r="O278" s="1602"/>
      <c r="P278" s="1602"/>
      <c r="Q278" s="248"/>
      <c r="R278" s="248"/>
      <c r="S278" s="248"/>
      <c r="T278" s="248"/>
      <c r="U278" s="248"/>
      <c r="V278" s="247"/>
      <c r="W278" s="248"/>
      <c r="X278" s="158"/>
      <c r="Y278" s="248"/>
      <c r="Z278" s="194"/>
      <c r="AA278" s="249"/>
      <c r="AB278" s="250"/>
      <c r="AC278" s="251"/>
      <c r="AD278" s="252"/>
    </row>
    <row r="279" spans="1:30">
      <c r="A279" s="326">
        <f t="shared" si="78"/>
        <v>24</v>
      </c>
      <c r="C279" s="635"/>
      <c r="D279" s="46"/>
      <c r="E279" s="47"/>
      <c r="F279" s="126"/>
      <c r="G279" s="167"/>
      <c r="H279" s="167"/>
      <c r="I279" s="167"/>
      <c r="J279" s="154"/>
      <c r="K279" s="559"/>
      <c r="L279" s="170"/>
      <c r="M279" s="477"/>
      <c r="N279" s="477"/>
      <c r="O279" s="1602"/>
      <c r="P279" s="1602"/>
      <c r="Q279" s="248"/>
      <c r="R279" s="248"/>
      <c r="S279" s="248"/>
      <c r="T279" s="248"/>
      <c r="U279" s="248"/>
      <c r="V279" s="247"/>
      <c r="W279" s="248"/>
      <c r="X279" s="158"/>
      <c r="Y279" s="248"/>
      <c r="Z279" s="194"/>
      <c r="AA279" s="249"/>
      <c r="AB279" s="250"/>
      <c r="AC279" s="251"/>
      <c r="AD279" s="252"/>
    </row>
    <row r="280" spans="1:30">
      <c r="A280" s="326">
        <f t="shared" si="78"/>
        <v>25</v>
      </c>
      <c r="C280" s="635"/>
      <c r="D280" s="46"/>
      <c r="E280" s="47"/>
      <c r="F280" s="126"/>
      <c r="G280" s="167"/>
      <c r="H280" s="167"/>
      <c r="I280" s="167"/>
      <c r="J280" s="154"/>
      <c r="K280" s="559"/>
      <c r="L280" s="170"/>
      <c r="M280" s="477"/>
      <c r="N280" s="477"/>
      <c r="O280" s="1602"/>
      <c r="P280" s="1602"/>
      <c r="Q280" s="248"/>
      <c r="R280" s="248"/>
      <c r="S280" s="248"/>
      <c r="T280" s="248"/>
      <c r="U280" s="248"/>
      <c r="V280" s="247"/>
      <c r="W280" s="248"/>
      <c r="X280" s="158"/>
      <c r="Y280" s="248"/>
      <c r="Z280" s="194"/>
      <c r="AA280" s="249"/>
      <c r="AB280" s="250"/>
      <c r="AC280" s="251"/>
      <c r="AD280" s="252"/>
    </row>
    <row r="281" spans="1:30">
      <c r="A281" s="326">
        <f t="shared" si="78"/>
        <v>26</v>
      </c>
      <c r="C281" s="635"/>
      <c r="D281" s="46"/>
      <c r="E281" s="47"/>
      <c r="F281" s="126"/>
      <c r="G281" s="167"/>
      <c r="H281" s="167"/>
      <c r="I281" s="167"/>
      <c r="J281" s="154"/>
      <c r="K281" s="559"/>
      <c r="L281" s="170"/>
      <c r="M281" s="477"/>
      <c r="N281" s="477"/>
      <c r="O281" s="1602"/>
      <c r="P281" s="1602"/>
      <c r="Q281" s="248"/>
      <c r="R281" s="248"/>
      <c r="S281" s="248"/>
      <c r="T281" s="248"/>
      <c r="U281" s="248"/>
      <c r="V281" s="247"/>
      <c r="W281" s="248"/>
      <c r="X281" s="158"/>
      <c r="Y281" s="248"/>
      <c r="Z281" s="194"/>
      <c r="AA281" s="249"/>
      <c r="AB281" s="250"/>
      <c r="AC281" s="251"/>
      <c r="AD281" s="252"/>
    </row>
    <row r="282" spans="1:30">
      <c r="A282" s="326">
        <f t="shared" si="78"/>
        <v>27</v>
      </c>
      <c r="C282" s="635"/>
      <c r="D282" s="46"/>
      <c r="E282" s="47"/>
      <c r="F282" s="126"/>
      <c r="G282" s="167"/>
      <c r="H282" s="167"/>
      <c r="I282" s="167"/>
      <c r="J282" s="154"/>
      <c r="K282" s="559"/>
      <c r="L282" s="170"/>
      <c r="M282" s="477"/>
      <c r="N282" s="477"/>
      <c r="O282" s="1602"/>
      <c r="P282" s="1602"/>
      <c r="Q282" s="248"/>
      <c r="R282" s="248"/>
      <c r="S282" s="248"/>
      <c r="T282" s="248"/>
      <c r="U282" s="248"/>
      <c r="V282" s="247"/>
      <c r="W282" s="248"/>
      <c r="X282" s="158"/>
      <c r="Y282" s="248"/>
      <c r="Z282" s="194"/>
      <c r="AA282" s="249"/>
      <c r="AB282" s="250"/>
      <c r="AC282" s="251"/>
      <c r="AD282" s="252"/>
    </row>
    <row r="283" spans="1:30">
      <c r="A283" s="326">
        <f t="shared" si="78"/>
        <v>28</v>
      </c>
      <c r="C283" s="635"/>
      <c r="D283" s="46"/>
      <c r="E283" s="47"/>
      <c r="F283" s="126"/>
      <c r="G283" s="167"/>
      <c r="H283" s="167"/>
      <c r="I283" s="167"/>
      <c r="J283" s="154"/>
      <c r="K283" s="559"/>
      <c r="L283" s="170"/>
      <c r="M283" s="477"/>
      <c r="N283" s="477"/>
      <c r="O283" s="1602"/>
      <c r="P283" s="1602"/>
      <c r="Q283" s="248"/>
      <c r="R283" s="248"/>
      <c r="S283" s="248"/>
      <c r="T283" s="248"/>
      <c r="U283" s="248"/>
      <c r="V283" s="247"/>
      <c r="W283" s="248"/>
      <c r="X283" s="158"/>
      <c r="Y283" s="248"/>
      <c r="Z283" s="194"/>
      <c r="AA283" s="249"/>
      <c r="AB283" s="250"/>
      <c r="AC283" s="251"/>
      <c r="AD283" s="252"/>
    </row>
    <row r="284" spans="1:30">
      <c r="A284" s="326">
        <f t="shared" si="78"/>
        <v>29</v>
      </c>
      <c r="C284" s="635"/>
      <c r="D284" s="46"/>
      <c r="E284" s="47"/>
      <c r="F284" s="126"/>
      <c r="G284" s="167"/>
      <c r="H284" s="167"/>
      <c r="I284" s="167"/>
      <c r="J284" s="154"/>
      <c r="K284" s="559"/>
      <c r="L284" s="170"/>
      <c r="M284" s="477"/>
      <c r="N284" s="477"/>
      <c r="O284" s="1602"/>
      <c r="P284" s="1602"/>
      <c r="Q284" s="248"/>
      <c r="R284" s="248"/>
      <c r="S284" s="248"/>
      <c r="T284" s="248"/>
      <c r="U284" s="248"/>
      <c r="V284" s="247"/>
      <c r="W284" s="248"/>
      <c r="X284" s="158"/>
      <c r="Y284" s="248"/>
      <c r="Z284" s="194"/>
      <c r="AA284" s="249"/>
      <c r="AB284" s="250"/>
      <c r="AC284" s="251"/>
      <c r="AD284" s="252"/>
    </row>
    <row r="285" spans="1:30">
      <c r="A285" s="326">
        <f t="shared" si="78"/>
        <v>30</v>
      </c>
      <c r="C285" s="635"/>
      <c r="D285" s="46"/>
      <c r="E285" s="47"/>
      <c r="F285" s="126"/>
      <c r="G285" s="167"/>
      <c r="H285" s="167"/>
      <c r="I285" s="167"/>
      <c r="J285" s="154"/>
      <c r="K285" s="559"/>
      <c r="L285" s="170"/>
      <c r="M285" s="477"/>
      <c r="N285" s="477"/>
      <c r="O285" s="1602"/>
      <c r="P285" s="1602"/>
      <c r="Q285" s="248"/>
      <c r="R285" s="248"/>
      <c r="S285" s="248"/>
      <c r="T285" s="248"/>
      <c r="U285" s="248"/>
      <c r="V285" s="247"/>
      <c r="W285" s="248"/>
      <c r="X285" s="158"/>
      <c r="Y285" s="248"/>
      <c r="Z285" s="194"/>
      <c r="AA285" s="249"/>
      <c r="AB285" s="250"/>
      <c r="AC285" s="251"/>
      <c r="AD285" s="252"/>
    </row>
    <row r="286" spans="1:30">
      <c r="A286" s="326">
        <f t="shared" si="78"/>
        <v>31</v>
      </c>
      <c r="C286" s="635"/>
      <c r="D286" s="46"/>
      <c r="E286" s="47"/>
      <c r="F286" s="126"/>
      <c r="G286" s="167"/>
      <c r="H286" s="167"/>
      <c r="I286" s="167"/>
      <c r="J286" s="154"/>
      <c r="K286" s="559"/>
      <c r="L286" s="170"/>
      <c r="M286" s="477"/>
      <c r="N286" s="477"/>
      <c r="O286" s="1602"/>
      <c r="P286" s="1602"/>
      <c r="Q286" s="248"/>
      <c r="R286" s="248"/>
      <c r="S286" s="248"/>
      <c r="T286" s="248"/>
      <c r="U286" s="248"/>
      <c r="V286" s="247"/>
      <c r="W286" s="248"/>
      <c r="X286" s="158"/>
      <c r="Y286" s="248"/>
      <c r="Z286" s="194"/>
      <c r="AA286" s="249"/>
      <c r="AB286" s="250"/>
      <c r="AC286" s="251"/>
      <c r="AD286" s="252"/>
    </row>
    <row r="287" spans="1:30">
      <c r="A287" s="326">
        <f t="shared" si="78"/>
        <v>32</v>
      </c>
      <c r="C287" s="635"/>
      <c r="D287" s="46"/>
      <c r="E287" s="47"/>
      <c r="F287" s="126"/>
      <c r="G287" s="167"/>
      <c r="H287" s="167"/>
      <c r="I287" s="167"/>
      <c r="J287" s="154"/>
      <c r="K287" s="559"/>
      <c r="L287" s="170"/>
      <c r="M287" s="477"/>
      <c r="N287" s="477"/>
      <c r="O287" s="1602"/>
      <c r="P287" s="1602"/>
      <c r="Q287" s="248"/>
      <c r="R287" s="248"/>
      <c r="S287" s="248"/>
      <c r="T287" s="248"/>
      <c r="U287" s="248"/>
      <c r="V287" s="247"/>
      <c r="W287" s="248"/>
      <c r="X287" s="158"/>
      <c r="Y287" s="248"/>
      <c r="Z287" s="194"/>
      <c r="AA287" s="249"/>
      <c r="AB287" s="250"/>
      <c r="AC287" s="251"/>
      <c r="AD287" s="252"/>
    </row>
    <row r="288" spans="1:30">
      <c r="A288" s="326">
        <f t="shared" ref="A288:A319" si="79">+A287+1</f>
        <v>33</v>
      </c>
      <c r="C288" s="635"/>
      <c r="D288" s="46"/>
      <c r="E288" s="47"/>
      <c r="F288" s="126"/>
      <c r="G288" s="167"/>
      <c r="H288" s="167"/>
      <c r="I288" s="167"/>
      <c r="J288" s="154"/>
      <c r="K288" s="559"/>
      <c r="L288" s="170"/>
      <c r="M288" s="477"/>
      <c r="N288" s="477"/>
      <c r="O288" s="1602"/>
      <c r="P288" s="1602"/>
      <c r="Q288" s="248"/>
      <c r="R288" s="248"/>
      <c r="S288" s="248"/>
      <c r="T288" s="248"/>
      <c r="U288" s="248"/>
      <c r="V288" s="247"/>
      <c r="W288" s="248"/>
      <c r="X288" s="158"/>
      <c r="Y288" s="248"/>
      <c r="Z288" s="194"/>
      <c r="AA288" s="249"/>
      <c r="AB288" s="250"/>
      <c r="AC288" s="251"/>
      <c r="AD288" s="252"/>
    </row>
    <row r="289" spans="1:30">
      <c r="A289" s="326">
        <f t="shared" si="79"/>
        <v>34</v>
      </c>
      <c r="C289" s="635"/>
      <c r="D289" s="46"/>
      <c r="E289" s="47"/>
      <c r="F289" s="126"/>
      <c r="G289" s="167"/>
      <c r="H289" s="167"/>
      <c r="I289" s="167"/>
      <c r="J289" s="154"/>
      <c r="K289" s="559"/>
      <c r="L289" s="170"/>
      <c r="M289" s="477"/>
      <c r="N289" s="477"/>
      <c r="O289" s="1602"/>
      <c r="P289" s="1602"/>
      <c r="Q289" s="248"/>
      <c r="R289" s="248"/>
      <c r="S289" s="248"/>
      <c r="T289" s="248"/>
      <c r="U289" s="248"/>
      <c r="V289" s="247"/>
      <c r="W289" s="248"/>
      <c r="X289" s="158"/>
      <c r="Y289" s="248"/>
      <c r="Z289" s="194"/>
      <c r="AA289" s="249"/>
      <c r="AB289" s="250"/>
      <c r="AC289" s="251"/>
      <c r="AD289" s="252"/>
    </row>
    <row r="290" spans="1:30">
      <c r="A290" s="326">
        <f t="shared" si="79"/>
        <v>35</v>
      </c>
      <c r="C290" s="635"/>
      <c r="D290" s="46"/>
      <c r="E290" s="47"/>
      <c r="F290" s="126"/>
      <c r="G290" s="167"/>
      <c r="H290" s="167"/>
      <c r="I290" s="167"/>
      <c r="J290" s="154"/>
      <c r="K290" s="559"/>
      <c r="L290" s="170"/>
      <c r="M290" s="477"/>
      <c r="N290" s="477"/>
      <c r="O290" s="1602"/>
      <c r="P290" s="1602"/>
      <c r="Q290" s="248"/>
      <c r="R290" s="248"/>
      <c r="S290" s="248"/>
      <c r="T290" s="248"/>
      <c r="U290" s="248"/>
      <c r="V290" s="247"/>
      <c r="W290" s="248"/>
      <c r="X290" s="158"/>
      <c r="Y290" s="248"/>
      <c r="Z290" s="194"/>
      <c r="AA290" s="249"/>
      <c r="AB290" s="250"/>
      <c r="AC290" s="251"/>
      <c r="AD290" s="252"/>
    </row>
    <row r="291" spans="1:30">
      <c r="A291" s="326">
        <f t="shared" si="79"/>
        <v>36</v>
      </c>
      <c r="C291" s="635"/>
      <c r="D291" s="46"/>
      <c r="E291" s="47"/>
      <c r="F291" s="126"/>
      <c r="G291" s="167"/>
      <c r="H291" s="167"/>
      <c r="I291" s="167"/>
      <c r="J291" s="154"/>
      <c r="K291" s="559"/>
      <c r="L291" s="170"/>
      <c r="M291" s="477"/>
      <c r="N291" s="477"/>
      <c r="O291" s="1602"/>
      <c r="P291" s="1602"/>
      <c r="Q291" s="248"/>
      <c r="R291" s="248"/>
      <c r="S291" s="248"/>
      <c r="T291" s="248"/>
      <c r="U291" s="248"/>
      <c r="V291" s="247"/>
      <c r="W291" s="248"/>
      <c r="X291" s="158"/>
      <c r="Y291" s="248"/>
      <c r="Z291" s="194"/>
      <c r="AA291" s="249"/>
      <c r="AB291" s="250"/>
      <c r="AC291" s="251"/>
      <c r="AD291" s="252"/>
    </row>
    <row r="292" spans="1:30">
      <c r="A292" s="326">
        <f t="shared" si="79"/>
        <v>37</v>
      </c>
      <c r="C292" s="635"/>
      <c r="D292" s="46"/>
      <c r="E292" s="47"/>
      <c r="F292" s="126"/>
      <c r="G292" s="167"/>
      <c r="H292" s="167"/>
      <c r="I292" s="167"/>
      <c r="J292" s="154"/>
      <c r="K292" s="559"/>
      <c r="L292" s="170"/>
      <c r="M292" s="477"/>
      <c r="N292" s="477"/>
      <c r="O292" s="1602"/>
      <c r="P292" s="1602"/>
      <c r="Q292" s="248"/>
      <c r="R292" s="248"/>
      <c r="S292" s="248"/>
      <c r="T292" s="248"/>
      <c r="U292" s="248"/>
      <c r="V292" s="247"/>
      <c r="W292" s="248"/>
      <c r="X292" s="158"/>
      <c r="Y292" s="248"/>
      <c r="Z292" s="194"/>
      <c r="AA292" s="249"/>
      <c r="AB292" s="250"/>
      <c r="AC292" s="251"/>
      <c r="AD292" s="252"/>
    </row>
    <row r="293" spans="1:30">
      <c r="A293" s="326">
        <f t="shared" si="79"/>
        <v>38</v>
      </c>
      <c r="C293" s="635"/>
      <c r="D293" s="46"/>
      <c r="E293" s="47"/>
      <c r="F293" s="126"/>
      <c r="G293" s="167"/>
      <c r="H293" s="167"/>
      <c r="I293" s="167"/>
      <c r="J293" s="154"/>
      <c r="K293" s="559"/>
      <c r="L293" s="170"/>
      <c r="M293" s="477"/>
      <c r="N293" s="477"/>
      <c r="O293" s="1602"/>
      <c r="P293" s="1602"/>
      <c r="Q293" s="248"/>
      <c r="R293" s="248"/>
      <c r="S293" s="248"/>
      <c r="T293" s="248"/>
      <c r="U293" s="248"/>
      <c r="V293" s="247"/>
      <c r="W293" s="248"/>
      <c r="X293" s="158"/>
      <c r="Y293" s="248"/>
      <c r="Z293" s="194"/>
      <c r="AA293" s="249"/>
      <c r="AB293" s="250"/>
      <c r="AC293" s="251"/>
      <c r="AD293" s="252"/>
    </row>
    <row r="294" spans="1:30">
      <c r="A294" s="326">
        <f t="shared" si="79"/>
        <v>39</v>
      </c>
      <c r="C294" s="635"/>
      <c r="D294" s="46"/>
      <c r="E294" s="47"/>
      <c r="F294" s="126"/>
      <c r="G294" s="167"/>
      <c r="H294" s="167"/>
      <c r="I294" s="167"/>
      <c r="J294" s="154"/>
      <c r="K294" s="559"/>
      <c r="L294" s="170"/>
      <c r="M294" s="477"/>
      <c r="N294" s="477"/>
      <c r="O294" s="1602"/>
      <c r="P294" s="1602"/>
      <c r="Q294" s="248"/>
      <c r="R294" s="248"/>
      <c r="S294" s="248"/>
      <c r="T294" s="248"/>
      <c r="U294" s="248"/>
      <c r="V294" s="247"/>
      <c r="W294" s="248"/>
      <c r="X294" s="158"/>
      <c r="Y294" s="248"/>
      <c r="Z294" s="194"/>
      <c r="AA294" s="249"/>
      <c r="AB294" s="250"/>
      <c r="AC294" s="251"/>
      <c r="AD294" s="252"/>
    </row>
    <row r="295" spans="1:30">
      <c r="A295" s="326">
        <f t="shared" si="79"/>
        <v>40</v>
      </c>
      <c r="C295" s="635"/>
      <c r="D295" s="46"/>
      <c r="E295" s="47"/>
      <c r="F295" s="126"/>
      <c r="G295" s="167"/>
      <c r="H295" s="167"/>
      <c r="I295" s="167"/>
      <c r="J295" s="154"/>
      <c r="K295" s="559"/>
      <c r="L295" s="170"/>
      <c r="M295" s="477"/>
      <c r="N295" s="477"/>
      <c r="O295" s="1602"/>
      <c r="P295" s="1602"/>
      <c r="Q295" s="248"/>
      <c r="R295" s="248"/>
      <c r="S295" s="248"/>
      <c r="T295" s="248"/>
      <c r="U295" s="248"/>
      <c r="V295" s="247"/>
      <c r="W295" s="248"/>
      <c r="X295" s="158"/>
      <c r="Y295" s="248"/>
      <c r="Z295" s="194"/>
      <c r="AA295" s="249"/>
      <c r="AB295" s="250"/>
      <c r="AC295" s="251"/>
      <c r="AD295" s="252"/>
    </row>
    <row r="296" spans="1:30">
      <c r="A296" s="326">
        <f t="shared" si="79"/>
        <v>41</v>
      </c>
      <c r="C296" s="635"/>
      <c r="D296" s="46"/>
      <c r="E296" s="47"/>
      <c r="F296" s="126"/>
      <c r="G296" s="167"/>
      <c r="H296" s="167"/>
      <c r="I296" s="167"/>
      <c r="J296" s="154"/>
      <c r="K296" s="559"/>
      <c r="L296" s="170"/>
      <c r="M296" s="477"/>
      <c r="N296" s="477"/>
      <c r="O296" s="1602"/>
      <c r="P296" s="1602"/>
      <c r="Q296" s="248"/>
      <c r="R296" s="248"/>
      <c r="S296" s="248"/>
      <c r="T296" s="248"/>
      <c r="U296" s="248"/>
      <c r="V296" s="247"/>
      <c r="W296" s="248"/>
      <c r="X296" s="158"/>
      <c r="Y296" s="248"/>
      <c r="Z296" s="194"/>
      <c r="AA296" s="249"/>
      <c r="AB296" s="250"/>
      <c r="AC296" s="251"/>
      <c r="AD296" s="252"/>
    </row>
    <row r="297" spans="1:30">
      <c r="A297" s="326">
        <f t="shared" si="79"/>
        <v>42</v>
      </c>
      <c r="C297" s="635"/>
      <c r="D297" s="46"/>
      <c r="E297" s="47"/>
      <c r="F297" s="126"/>
      <c r="G297" s="167"/>
      <c r="H297" s="167"/>
      <c r="I297" s="167"/>
      <c r="J297" s="154"/>
      <c r="K297" s="559"/>
      <c r="L297" s="170"/>
      <c r="M297" s="477"/>
      <c r="N297" s="477"/>
      <c r="O297" s="1602"/>
      <c r="P297" s="1602"/>
      <c r="Q297" s="248"/>
      <c r="R297" s="248"/>
      <c r="S297" s="248"/>
      <c r="T297" s="248"/>
      <c r="U297" s="248"/>
      <c r="V297" s="247"/>
      <c r="W297" s="248"/>
      <c r="X297" s="158"/>
      <c r="Y297" s="248"/>
      <c r="Z297" s="194"/>
      <c r="AA297" s="249"/>
      <c r="AB297" s="250"/>
      <c r="AC297" s="251"/>
      <c r="AD297" s="252"/>
    </row>
    <row r="298" spans="1:30">
      <c r="A298" s="326">
        <f t="shared" si="79"/>
        <v>43</v>
      </c>
      <c r="C298" s="635"/>
      <c r="D298" s="46"/>
      <c r="E298" s="47"/>
      <c r="F298" s="126"/>
      <c r="G298" s="167"/>
      <c r="H298" s="167"/>
      <c r="I298" s="167"/>
      <c r="J298" s="154"/>
      <c r="K298" s="559"/>
      <c r="L298" s="170"/>
      <c r="M298" s="477"/>
      <c r="N298" s="477"/>
      <c r="O298" s="1602"/>
      <c r="P298" s="1602"/>
      <c r="Q298" s="248"/>
      <c r="R298" s="248"/>
      <c r="S298" s="248"/>
      <c r="T298" s="248"/>
      <c r="U298" s="248"/>
      <c r="V298" s="247"/>
      <c r="W298" s="248"/>
      <c r="X298" s="158"/>
      <c r="Y298" s="248"/>
      <c r="Z298" s="194"/>
      <c r="AA298" s="249"/>
      <c r="AB298" s="250"/>
      <c r="AC298" s="251"/>
      <c r="AD298" s="252"/>
    </row>
    <row r="299" spans="1:30">
      <c r="A299" s="326">
        <f t="shared" si="79"/>
        <v>44</v>
      </c>
      <c r="C299" s="635"/>
      <c r="D299" s="46"/>
      <c r="E299" s="47"/>
      <c r="F299" s="126"/>
      <c r="G299" s="167"/>
      <c r="H299" s="167"/>
      <c r="I299" s="167"/>
      <c r="J299" s="154"/>
      <c r="K299" s="559"/>
      <c r="L299" s="170"/>
      <c r="M299" s="477"/>
      <c r="N299" s="477"/>
      <c r="O299" s="1602"/>
      <c r="P299" s="1602"/>
      <c r="Q299" s="248"/>
      <c r="R299" s="248"/>
      <c r="S299" s="248"/>
      <c r="T299" s="248"/>
      <c r="U299" s="248"/>
      <c r="V299" s="247"/>
      <c r="W299" s="248"/>
      <c r="X299" s="158"/>
      <c r="Y299" s="248"/>
      <c r="Z299" s="194"/>
      <c r="AA299" s="249"/>
      <c r="AB299" s="250"/>
      <c r="AC299" s="251"/>
      <c r="AD299" s="252"/>
    </row>
    <row r="300" spans="1:30">
      <c r="A300" s="326">
        <f t="shared" si="79"/>
        <v>45</v>
      </c>
      <c r="C300" s="635"/>
      <c r="D300" s="46"/>
      <c r="E300" s="47"/>
      <c r="F300" s="126"/>
      <c r="G300" s="167"/>
      <c r="H300" s="167"/>
      <c r="I300" s="167"/>
      <c r="J300" s="154"/>
      <c r="K300" s="559"/>
      <c r="L300" s="170"/>
      <c r="M300" s="477"/>
      <c r="N300" s="477"/>
      <c r="O300" s="1602"/>
      <c r="P300" s="1602"/>
      <c r="Q300" s="248"/>
      <c r="R300" s="248"/>
      <c r="S300" s="248"/>
      <c r="T300" s="248"/>
      <c r="U300" s="248"/>
      <c r="V300" s="247"/>
      <c r="W300" s="248"/>
      <c r="X300" s="158"/>
      <c r="Y300" s="248"/>
      <c r="Z300" s="194"/>
      <c r="AA300" s="249"/>
      <c r="AB300" s="250"/>
      <c r="AC300" s="251"/>
      <c r="AD300" s="252"/>
    </row>
    <row r="301" spans="1:30">
      <c r="A301" s="326">
        <f t="shared" si="79"/>
        <v>46</v>
      </c>
      <c r="C301" s="635"/>
      <c r="D301" s="46"/>
      <c r="E301" s="47"/>
      <c r="F301" s="126"/>
      <c r="G301" s="167"/>
      <c r="H301" s="167"/>
      <c r="I301" s="167"/>
      <c r="J301" s="154"/>
      <c r="K301" s="559"/>
      <c r="L301" s="170"/>
      <c r="M301" s="477"/>
      <c r="N301" s="477"/>
      <c r="O301" s="1602"/>
      <c r="P301" s="1602"/>
      <c r="Q301" s="248"/>
      <c r="R301" s="248"/>
      <c r="S301" s="248"/>
      <c r="T301" s="248"/>
      <c r="U301" s="248"/>
      <c r="V301" s="247"/>
      <c r="W301" s="248"/>
      <c r="X301" s="158"/>
      <c r="Y301" s="248"/>
      <c r="Z301" s="194"/>
      <c r="AA301" s="249"/>
      <c r="AB301" s="250"/>
      <c r="AC301" s="251"/>
      <c r="AD301" s="252"/>
    </row>
    <row r="302" spans="1:30">
      <c r="A302" s="326">
        <f t="shared" si="79"/>
        <v>47</v>
      </c>
      <c r="C302" s="635"/>
      <c r="D302" s="46"/>
      <c r="E302" s="47"/>
      <c r="F302" s="126"/>
      <c r="G302" s="167"/>
      <c r="H302" s="167"/>
      <c r="I302" s="167"/>
      <c r="J302" s="154"/>
      <c r="K302" s="559"/>
      <c r="L302" s="170"/>
      <c r="M302" s="477"/>
      <c r="N302" s="477"/>
      <c r="O302" s="1602"/>
      <c r="P302" s="1602"/>
      <c r="Q302" s="248"/>
      <c r="R302" s="248"/>
      <c r="S302" s="248"/>
      <c r="T302" s="248"/>
      <c r="U302" s="248"/>
      <c r="V302" s="247"/>
      <c r="W302" s="248"/>
      <c r="X302" s="158"/>
      <c r="Y302" s="248"/>
      <c r="Z302" s="194"/>
      <c r="AA302" s="249"/>
      <c r="AB302" s="250"/>
      <c r="AC302" s="251"/>
      <c r="AD302" s="252"/>
    </row>
    <row r="303" spans="1:30">
      <c r="A303" s="326">
        <f t="shared" si="79"/>
        <v>48</v>
      </c>
      <c r="C303" s="635"/>
      <c r="D303" s="46"/>
      <c r="E303" s="47"/>
      <c r="F303" s="126"/>
      <c r="G303" s="167"/>
      <c r="H303" s="167"/>
      <c r="I303" s="167"/>
      <c r="J303" s="154"/>
      <c r="K303" s="559"/>
      <c r="L303" s="170"/>
      <c r="M303" s="477"/>
      <c r="N303" s="477"/>
      <c r="O303" s="1602"/>
      <c r="P303" s="1602"/>
      <c r="Q303" s="248"/>
      <c r="R303" s="248"/>
      <c r="S303" s="248"/>
      <c r="T303" s="248"/>
      <c r="U303" s="248"/>
      <c r="V303" s="247"/>
      <c r="W303" s="248"/>
      <c r="X303" s="158"/>
      <c r="Y303" s="248"/>
      <c r="Z303" s="194"/>
      <c r="AA303" s="249"/>
      <c r="AB303" s="250"/>
      <c r="AC303" s="251"/>
      <c r="AD303" s="252"/>
    </row>
    <row r="304" spans="1:30">
      <c r="A304" s="326">
        <f t="shared" si="79"/>
        <v>49</v>
      </c>
      <c r="C304" s="635"/>
      <c r="D304" s="46"/>
      <c r="E304" s="47"/>
      <c r="F304" s="126"/>
      <c r="G304" s="167"/>
      <c r="H304" s="167"/>
      <c r="I304" s="167"/>
      <c r="J304" s="154"/>
      <c r="K304" s="559"/>
      <c r="L304" s="170"/>
      <c r="M304" s="477"/>
      <c r="N304" s="477"/>
      <c r="O304" s="1602"/>
      <c r="P304" s="1602"/>
      <c r="Q304" s="248"/>
      <c r="R304" s="248"/>
      <c r="S304" s="248"/>
      <c r="T304" s="248"/>
      <c r="U304" s="248"/>
      <c r="V304" s="247"/>
      <c r="W304" s="248"/>
      <c r="X304" s="158"/>
      <c r="Y304" s="248"/>
      <c r="Z304" s="194"/>
      <c r="AA304" s="249"/>
      <c r="AB304" s="250"/>
      <c r="AC304" s="251"/>
      <c r="AD304" s="252"/>
    </row>
    <row r="305" spans="1:30">
      <c r="A305" s="326">
        <f t="shared" si="79"/>
        <v>50</v>
      </c>
      <c r="C305" s="635"/>
      <c r="D305" s="46"/>
      <c r="E305" s="47"/>
      <c r="F305" s="126"/>
      <c r="G305" s="167"/>
      <c r="H305" s="167"/>
      <c r="I305" s="167"/>
      <c r="J305" s="154"/>
      <c r="K305" s="559"/>
      <c r="L305" s="170"/>
      <c r="M305" s="477"/>
      <c r="N305" s="477"/>
      <c r="O305" s="1602"/>
      <c r="P305" s="1602"/>
      <c r="Q305" s="248"/>
      <c r="R305" s="248"/>
      <c r="S305" s="248"/>
      <c r="T305" s="248"/>
      <c r="U305" s="248"/>
      <c r="V305" s="247"/>
      <c r="W305" s="248"/>
      <c r="X305" s="158"/>
      <c r="Y305" s="248"/>
      <c r="Z305" s="194"/>
      <c r="AA305" s="249"/>
      <c r="AB305" s="250"/>
      <c r="AC305" s="251"/>
      <c r="AD305" s="252"/>
    </row>
    <row r="306" spans="1:30">
      <c r="A306" s="326">
        <f t="shared" si="79"/>
        <v>51</v>
      </c>
      <c r="C306" s="635"/>
      <c r="D306" s="46"/>
      <c r="E306" s="47"/>
      <c r="F306" s="126"/>
      <c r="G306" s="167"/>
      <c r="H306" s="167"/>
      <c r="I306" s="167"/>
      <c r="J306" s="154"/>
      <c r="K306" s="559"/>
      <c r="L306" s="170"/>
      <c r="M306" s="477"/>
      <c r="N306" s="477"/>
      <c r="O306" s="1602"/>
      <c r="P306" s="1602"/>
      <c r="Q306" s="248"/>
      <c r="R306" s="248"/>
      <c r="S306" s="248"/>
      <c r="T306" s="248"/>
      <c r="U306" s="248"/>
      <c r="V306" s="247"/>
      <c r="W306" s="248"/>
      <c r="X306" s="158"/>
      <c r="Y306" s="248"/>
      <c r="Z306" s="194"/>
      <c r="AA306" s="249"/>
      <c r="AB306" s="250"/>
      <c r="AC306" s="251"/>
      <c r="AD306" s="252"/>
    </row>
    <row r="307" spans="1:30">
      <c r="A307" s="326">
        <f t="shared" si="79"/>
        <v>52</v>
      </c>
      <c r="C307" s="635"/>
      <c r="D307" s="46"/>
      <c r="E307" s="47"/>
      <c r="F307" s="126"/>
      <c r="G307" s="167"/>
      <c r="H307" s="167"/>
      <c r="I307" s="167"/>
      <c r="J307" s="154"/>
      <c r="K307" s="559"/>
      <c r="L307" s="170"/>
      <c r="M307" s="477"/>
      <c r="N307" s="477"/>
      <c r="O307" s="1602"/>
      <c r="P307" s="1602"/>
      <c r="Q307" s="248"/>
      <c r="R307" s="248"/>
      <c r="S307" s="248"/>
      <c r="T307" s="248"/>
      <c r="U307" s="248"/>
      <c r="V307" s="247"/>
      <c r="W307" s="248"/>
      <c r="X307" s="158"/>
      <c r="Y307" s="248"/>
      <c r="Z307" s="194"/>
      <c r="AA307" s="249"/>
      <c r="AB307" s="250"/>
      <c r="AC307" s="251"/>
      <c r="AD307" s="252"/>
    </row>
    <row r="308" spans="1:30">
      <c r="A308" s="326">
        <f t="shared" si="79"/>
        <v>53</v>
      </c>
      <c r="C308" s="635"/>
      <c r="D308" s="46"/>
      <c r="E308" s="47"/>
      <c r="F308" s="126"/>
      <c r="G308" s="167"/>
      <c r="H308" s="167"/>
      <c r="I308" s="167"/>
      <c r="J308" s="154"/>
      <c r="K308" s="559"/>
      <c r="L308" s="170"/>
      <c r="M308" s="477"/>
      <c r="N308" s="477"/>
      <c r="O308" s="1602"/>
      <c r="P308" s="1602"/>
      <c r="Q308" s="248"/>
      <c r="R308" s="248"/>
      <c r="S308" s="248"/>
      <c r="T308" s="248"/>
      <c r="U308" s="248"/>
      <c r="V308" s="247"/>
      <c r="W308" s="248"/>
      <c r="X308" s="158"/>
      <c r="Y308" s="248"/>
      <c r="Z308" s="194"/>
      <c r="AA308" s="249"/>
      <c r="AB308" s="250"/>
      <c r="AC308" s="251"/>
      <c r="AD308" s="252"/>
    </row>
    <row r="309" spans="1:30">
      <c r="A309" s="326">
        <f t="shared" si="79"/>
        <v>54</v>
      </c>
      <c r="C309" s="635"/>
      <c r="D309" s="46"/>
      <c r="E309" s="47"/>
      <c r="F309" s="126"/>
      <c r="G309" s="167"/>
      <c r="H309" s="167"/>
      <c r="I309" s="167"/>
      <c r="J309" s="154"/>
      <c r="K309" s="559"/>
      <c r="L309" s="170"/>
      <c r="M309" s="477"/>
      <c r="N309" s="477"/>
      <c r="O309" s="1602"/>
      <c r="P309" s="1602"/>
      <c r="Q309" s="248"/>
      <c r="R309" s="248"/>
      <c r="S309" s="248"/>
      <c r="T309" s="248"/>
      <c r="U309" s="248"/>
      <c r="V309" s="247"/>
      <c r="W309" s="248"/>
      <c r="X309" s="158"/>
      <c r="Y309" s="248"/>
      <c r="Z309" s="194"/>
      <c r="AA309" s="249"/>
      <c r="AB309" s="250"/>
      <c r="AC309" s="251"/>
      <c r="AD309" s="252"/>
    </row>
    <row r="310" spans="1:30">
      <c r="A310" s="326">
        <f t="shared" si="79"/>
        <v>55</v>
      </c>
      <c r="C310" s="635"/>
      <c r="D310" s="46"/>
      <c r="E310" s="47"/>
      <c r="F310" s="126"/>
      <c r="G310" s="167"/>
      <c r="H310" s="167"/>
      <c r="I310" s="167"/>
      <c r="J310" s="154"/>
      <c r="K310" s="559"/>
      <c r="L310" s="170"/>
      <c r="M310" s="477"/>
      <c r="N310" s="477"/>
      <c r="O310" s="1602"/>
      <c r="P310" s="1602"/>
      <c r="Q310" s="248"/>
      <c r="R310" s="248"/>
      <c r="S310" s="248"/>
      <c r="T310" s="248"/>
      <c r="U310" s="248"/>
      <c r="V310" s="247"/>
      <c r="W310" s="248"/>
      <c r="X310" s="158"/>
      <c r="Y310" s="248"/>
      <c r="Z310" s="194"/>
      <c r="AA310" s="249"/>
      <c r="AB310" s="250"/>
      <c r="AC310" s="251"/>
      <c r="AD310" s="252"/>
    </row>
    <row r="311" spans="1:30">
      <c r="A311" s="326">
        <f t="shared" si="79"/>
        <v>56</v>
      </c>
      <c r="C311" s="635"/>
      <c r="D311" s="46"/>
      <c r="E311" s="47"/>
      <c r="F311" s="126"/>
      <c r="G311" s="167"/>
      <c r="H311" s="167"/>
      <c r="I311" s="167"/>
      <c r="J311" s="154"/>
      <c r="K311" s="559"/>
      <c r="L311" s="170"/>
      <c r="M311" s="477"/>
      <c r="N311" s="477"/>
      <c r="O311" s="1602"/>
      <c r="P311" s="1602"/>
      <c r="Q311" s="248"/>
      <c r="R311" s="248"/>
      <c r="S311" s="248"/>
      <c r="T311" s="248"/>
      <c r="U311" s="248"/>
      <c r="V311" s="247"/>
      <c r="W311" s="248"/>
      <c r="X311" s="158"/>
      <c r="Y311" s="248"/>
      <c r="Z311" s="194"/>
      <c r="AA311" s="249"/>
      <c r="AB311" s="250"/>
      <c r="AC311" s="251"/>
      <c r="AD311" s="252"/>
    </row>
    <row r="312" spans="1:30">
      <c r="A312" s="326">
        <f t="shared" si="79"/>
        <v>57</v>
      </c>
      <c r="C312" s="635"/>
      <c r="D312" s="46"/>
      <c r="E312" s="47"/>
      <c r="F312" s="126"/>
      <c r="G312" s="167"/>
      <c r="H312" s="167"/>
      <c r="I312" s="167"/>
      <c r="J312" s="154"/>
      <c r="K312" s="559"/>
      <c r="L312" s="170"/>
      <c r="M312" s="477"/>
      <c r="N312" s="477"/>
      <c r="O312" s="1602"/>
      <c r="P312" s="1602"/>
      <c r="Q312" s="248"/>
      <c r="R312" s="248"/>
      <c r="S312" s="248"/>
      <c r="T312" s="248"/>
      <c r="U312" s="248"/>
      <c r="V312" s="247"/>
      <c r="W312" s="248"/>
      <c r="X312" s="158"/>
      <c r="Y312" s="248"/>
      <c r="Z312" s="194"/>
      <c r="AA312" s="249"/>
      <c r="AB312" s="250"/>
      <c r="AC312" s="251"/>
      <c r="AD312" s="252"/>
    </row>
    <row r="313" spans="1:30">
      <c r="A313" s="326">
        <f t="shared" si="79"/>
        <v>58</v>
      </c>
      <c r="C313" s="635"/>
      <c r="D313" s="46"/>
      <c r="E313" s="47"/>
      <c r="F313" s="126"/>
      <c r="G313" s="167"/>
      <c r="H313" s="167"/>
      <c r="I313" s="167"/>
      <c r="J313" s="154"/>
      <c r="K313" s="559"/>
      <c r="L313" s="170"/>
      <c r="M313" s="477"/>
      <c r="N313" s="477"/>
      <c r="O313" s="1602"/>
      <c r="P313" s="1602"/>
      <c r="Q313" s="248"/>
      <c r="R313" s="248"/>
      <c r="S313" s="248"/>
      <c r="T313" s="248"/>
      <c r="U313" s="248"/>
      <c r="V313" s="247"/>
      <c r="W313" s="248"/>
      <c r="X313" s="158"/>
      <c r="Y313" s="248"/>
      <c r="Z313" s="194"/>
      <c r="AA313" s="249"/>
      <c r="AB313" s="250"/>
      <c r="AC313" s="251"/>
      <c r="AD313" s="252"/>
    </row>
    <row r="314" spans="1:30">
      <c r="A314" s="326">
        <f t="shared" si="79"/>
        <v>59</v>
      </c>
      <c r="C314" s="635"/>
      <c r="D314" s="46"/>
      <c r="E314" s="47"/>
      <c r="F314" s="126"/>
      <c r="G314" s="167"/>
      <c r="H314" s="167"/>
      <c r="I314" s="167"/>
      <c r="J314" s="154"/>
      <c r="K314" s="559"/>
      <c r="L314" s="170"/>
      <c r="M314" s="477"/>
      <c r="N314" s="477"/>
      <c r="O314" s="1602"/>
      <c r="P314" s="1602"/>
      <c r="Q314" s="248"/>
      <c r="R314" s="248"/>
      <c r="S314" s="248"/>
      <c r="T314" s="248"/>
      <c r="U314" s="248"/>
      <c r="V314" s="247"/>
      <c r="W314" s="248"/>
      <c r="X314" s="158"/>
      <c r="Y314" s="248"/>
      <c r="Z314" s="194"/>
      <c r="AA314" s="249"/>
      <c r="AB314" s="250"/>
      <c r="AC314" s="251"/>
      <c r="AD314" s="252"/>
    </row>
    <row r="315" spans="1:30">
      <c r="A315" s="326">
        <f t="shared" si="79"/>
        <v>60</v>
      </c>
      <c r="C315" s="635"/>
      <c r="D315" s="46"/>
      <c r="E315" s="47"/>
      <c r="F315" s="126"/>
      <c r="G315" s="167"/>
      <c r="H315" s="167"/>
      <c r="I315" s="167"/>
      <c r="J315" s="154"/>
      <c r="K315" s="559"/>
      <c r="L315" s="170"/>
      <c r="M315" s="477"/>
      <c r="N315" s="477"/>
      <c r="O315" s="1602"/>
      <c r="P315" s="1602"/>
      <c r="Q315" s="248"/>
      <c r="R315" s="248"/>
      <c r="S315" s="248"/>
      <c r="T315" s="248"/>
      <c r="U315" s="248"/>
      <c r="V315" s="247"/>
      <c r="W315" s="248"/>
      <c r="X315" s="158"/>
      <c r="Y315" s="248"/>
      <c r="Z315" s="194"/>
      <c r="AA315" s="249"/>
      <c r="AB315" s="250"/>
      <c r="AC315" s="251"/>
      <c r="AD315" s="252"/>
    </row>
    <row r="316" spans="1:30">
      <c r="A316" s="326">
        <f t="shared" si="79"/>
        <v>61</v>
      </c>
      <c r="C316" s="635"/>
      <c r="D316" s="46"/>
      <c r="E316" s="47"/>
      <c r="F316" s="126"/>
      <c r="G316" s="167"/>
      <c r="H316" s="167"/>
      <c r="I316" s="167"/>
      <c r="J316" s="154"/>
      <c r="K316" s="559"/>
      <c r="L316" s="170"/>
      <c r="M316" s="477"/>
      <c r="N316" s="477"/>
      <c r="O316" s="1602"/>
      <c r="P316" s="1602"/>
      <c r="Q316" s="248"/>
      <c r="R316" s="248"/>
      <c r="S316" s="248"/>
      <c r="T316" s="248"/>
      <c r="U316" s="248"/>
      <c r="V316" s="247"/>
      <c r="W316" s="248"/>
      <c r="X316" s="158"/>
      <c r="Y316" s="248"/>
      <c r="Z316" s="194"/>
      <c r="AA316" s="249"/>
      <c r="AB316" s="250"/>
      <c r="AC316" s="251"/>
      <c r="AD316" s="252"/>
    </row>
    <row r="317" spans="1:30">
      <c r="A317" s="326">
        <f t="shared" si="79"/>
        <v>62</v>
      </c>
      <c r="C317" s="635"/>
      <c r="D317" s="46"/>
      <c r="E317" s="47"/>
      <c r="F317" s="126"/>
      <c r="G317" s="167"/>
      <c r="H317" s="167"/>
      <c r="I317" s="167"/>
      <c r="J317" s="154"/>
      <c r="K317" s="559"/>
      <c r="L317" s="170"/>
      <c r="M317" s="477"/>
      <c r="N317" s="477"/>
      <c r="O317" s="1602"/>
      <c r="P317" s="1602"/>
      <c r="Q317" s="248"/>
      <c r="R317" s="248"/>
      <c r="S317" s="248"/>
      <c r="T317" s="248"/>
      <c r="U317" s="248"/>
      <c r="V317" s="247"/>
      <c r="W317" s="248"/>
      <c r="X317" s="158"/>
      <c r="Y317" s="248"/>
      <c r="Z317" s="194"/>
      <c r="AA317" s="249"/>
      <c r="AB317" s="250"/>
      <c r="AC317" s="251"/>
      <c r="AD317" s="252"/>
    </row>
    <row r="318" spans="1:30">
      <c r="A318" s="326">
        <f t="shared" si="79"/>
        <v>63</v>
      </c>
      <c r="C318" s="635"/>
      <c r="D318" s="46"/>
      <c r="E318" s="47"/>
      <c r="F318" s="126"/>
      <c r="G318" s="167"/>
      <c r="H318" s="167"/>
      <c r="I318" s="167"/>
      <c r="J318" s="154"/>
      <c r="K318" s="559"/>
      <c r="L318" s="170"/>
      <c r="M318" s="477"/>
      <c r="N318" s="477"/>
      <c r="O318" s="1602"/>
      <c r="P318" s="1602"/>
      <c r="Q318" s="248"/>
      <c r="R318" s="248"/>
      <c r="S318" s="248"/>
      <c r="T318" s="248"/>
      <c r="U318" s="248"/>
      <c r="V318" s="247"/>
      <c r="W318" s="248"/>
      <c r="X318" s="158"/>
      <c r="Y318" s="248"/>
      <c r="Z318" s="194"/>
      <c r="AA318" s="249"/>
      <c r="AB318" s="250"/>
      <c r="AC318" s="251"/>
      <c r="AD318" s="252"/>
    </row>
    <row r="319" spans="1:30">
      <c r="A319" s="326">
        <f t="shared" si="79"/>
        <v>64</v>
      </c>
      <c r="C319" s="635"/>
      <c r="D319" s="46"/>
      <c r="E319" s="47"/>
      <c r="F319" s="126"/>
      <c r="G319" s="167"/>
      <c r="H319" s="167"/>
      <c r="I319" s="167"/>
      <c r="J319" s="154"/>
      <c r="K319" s="559"/>
      <c r="L319" s="170"/>
      <c r="M319" s="477"/>
      <c r="N319" s="477"/>
      <c r="O319" s="1602"/>
      <c r="P319" s="1602"/>
      <c r="Q319" s="248"/>
      <c r="R319" s="248"/>
      <c r="S319" s="248"/>
      <c r="T319" s="248"/>
      <c r="U319" s="248"/>
      <c r="V319" s="247"/>
      <c r="W319" s="248"/>
      <c r="X319" s="158"/>
      <c r="Y319" s="248"/>
      <c r="Z319" s="194"/>
      <c r="AA319" s="249"/>
      <c r="AB319" s="250"/>
      <c r="AC319" s="251"/>
      <c r="AD319" s="252"/>
    </row>
    <row r="320" spans="1:30">
      <c r="A320" s="326">
        <f t="shared" ref="A320:A353" si="80">+A319+1</f>
        <v>65</v>
      </c>
      <c r="C320" s="635"/>
      <c r="D320" s="46"/>
      <c r="E320" s="47"/>
      <c r="F320" s="126"/>
      <c r="G320" s="167"/>
      <c r="H320" s="167"/>
      <c r="I320" s="167"/>
      <c r="J320" s="154"/>
      <c r="K320" s="559"/>
      <c r="L320" s="170"/>
      <c r="M320" s="477"/>
      <c r="N320" s="477"/>
      <c r="O320" s="1602"/>
      <c r="P320" s="1602"/>
      <c r="Q320" s="248"/>
      <c r="R320" s="248"/>
      <c r="S320" s="248"/>
      <c r="T320" s="248"/>
      <c r="U320" s="248"/>
      <c r="V320" s="247"/>
      <c r="W320" s="248"/>
      <c r="X320" s="158"/>
      <c r="Y320" s="248"/>
      <c r="Z320" s="194"/>
      <c r="AA320" s="249"/>
      <c r="AB320" s="250"/>
      <c r="AC320" s="251"/>
      <c r="AD320" s="252"/>
    </row>
    <row r="321" spans="1:30">
      <c r="A321" s="326">
        <f t="shared" si="80"/>
        <v>66</v>
      </c>
      <c r="C321" s="635"/>
      <c r="D321" s="46"/>
      <c r="E321" s="47"/>
      <c r="F321" s="126"/>
      <c r="G321" s="167"/>
      <c r="H321" s="167"/>
      <c r="I321" s="167"/>
      <c r="J321" s="154"/>
      <c r="K321" s="559"/>
      <c r="L321" s="170"/>
      <c r="M321" s="477"/>
      <c r="N321" s="477"/>
      <c r="O321" s="1602"/>
      <c r="P321" s="1602"/>
      <c r="Q321" s="248"/>
      <c r="R321" s="248"/>
      <c r="S321" s="248"/>
      <c r="T321" s="248"/>
      <c r="U321" s="248"/>
      <c r="V321" s="247"/>
      <c r="W321" s="248"/>
      <c r="X321" s="158"/>
      <c r="Y321" s="248"/>
      <c r="Z321" s="194"/>
      <c r="AA321" s="249"/>
      <c r="AB321" s="250"/>
      <c r="AC321" s="251"/>
      <c r="AD321" s="252"/>
    </row>
    <row r="322" spans="1:30">
      <c r="A322" s="326">
        <f t="shared" si="80"/>
        <v>67</v>
      </c>
      <c r="C322" s="635"/>
      <c r="D322" s="46"/>
      <c r="E322" s="47"/>
      <c r="F322" s="126"/>
      <c r="G322" s="167"/>
      <c r="H322" s="167"/>
      <c r="I322" s="167"/>
      <c r="J322" s="154"/>
      <c r="K322" s="559"/>
      <c r="L322" s="170"/>
      <c r="M322" s="477"/>
      <c r="N322" s="477"/>
      <c r="O322" s="1602"/>
      <c r="P322" s="1602"/>
      <c r="Q322" s="248"/>
      <c r="R322" s="248"/>
      <c r="S322" s="248"/>
      <c r="T322" s="248"/>
      <c r="U322" s="248"/>
      <c r="V322" s="247"/>
      <c r="W322" s="248"/>
      <c r="X322" s="158"/>
      <c r="Y322" s="248"/>
      <c r="Z322" s="194"/>
      <c r="AA322" s="249"/>
      <c r="AB322" s="250"/>
      <c r="AC322" s="251"/>
      <c r="AD322" s="252"/>
    </row>
    <row r="323" spans="1:30">
      <c r="A323" s="326">
        <f t="shared" si="80"/>
        <v>68</v>
      </c>
      <c r="C323" s="635"/>
      <c r="D323" s="46"/>
      <c r="E323" s="47"/>
      <c r="F323" s="126"/>
      <c r="G323" s="167"/>
      <c r="H323" s="167"/>
      <c r="I323" s="167"/>
      <c r="J323" s="154"/>
      <c r="K323" s="559"/>
      <c r="L323" s="170"/>
      <c r="M323" s="477"/>
      <c r="N323" s="477"/>
      <c r="O323" s="1602"/>
      <c r="P323" s="1602"/>
      <c r="Q323" s="248"/>
      <c r="R323" s="248"/>
      <c r="S323" s="248"/>
      <c r="T323" s="248"/>
      <c r="U323" s="248"/>
      <c r="V323" s="247"/>
      <c r="W323" s="248"/>
      <c r="X323" s="158"/>
      <c r="Y323" s="248"/>
      <c r="Z323" s="194"/>
      <c r="AA323" s="249"/>
      <c r="AB323" s="250"/>
      <c r="AC323" s="251"/>
      <c r="AD323" s="252"/>
    </row>
    <row r="324" spans="1:30">
      <c r="A324" s="326">
        <f t="shared" si="80"/>
        <v>69</v>
      </c>
      <c r="C324" s="635"/>
      <c r="D324" s="46"/>
      <c r="E324" s="47"/>
      <c r="F324" s="126"/>
      <c r="G324" s="167"/>
      <c r="H324" s="167"/>
      <c r="I324" s="167"/>
      <c r="J324" s="154"/>
      <c r="K324" s="559"/>
      <c r="L324" s="170"/>
      <c r="M324" s="477"/>
      <c r="N324" s="477"/>
      <c r="O324" s="1602"/>
      <c r="P324" s="1602"/>
      <c r="Q324" s="248"/>
      <c r="R324" s="248"/>
      <c r="S324" s="248"/>
      <c r="T324" s="248"/>
      <c r="U324" s="248"/>
      <c r="V324" s="247"/>
      <c r="W324" s="248"/>
      <c r="X324" s="158"/>
      <c r="Y324" s="248"/>
      <c r="Z324" s="194"/>
      <c r="AA324" s="249"/>
      <c r="AB324" s="250"/>
      <c r="AC324" s="251"/>
      <c r="AD324" s="252"/>
    </row>
    <row r="325" spans="1:30">
      <c r="A325" s="326">
        <f t="shared" si="80"/>
        <v>70</v>
      </c>
      <c r="C325" s="635"/>
      <c r="D325" s="46"/>
      <c r="E325" s="47"/>
      <c r="F325" s="126"/>
      <c r="G325" s="167"/>
      <c r="H325" s="167"/>
      <c r="I325" s="167"/>
      <c r="J325" s="154"/>
      <c r="K325" s="559"/>
      <c r="L325" s="170"/>
      <c r="M325" s="477"/>
      <c r="N325" s="477"/>
      <c r="O325" s="1602"/>
      <c r="P325" s="1602"/>
      <c r="Q325" s="248"/>
      <c r="R325" s="248"/>
      <c r="S325" s="248"/>
      <c r="T325" s="248"/>
      <c r="U325" s="248"/>
      <c r="V325" s="247"/>
      <c r="W325" s="248"/>
      <c r="X325" s="158"/>
      <c r="Y325" s="248"/>
      <c r="Z325" s="194"/>
      <c r="AA325" s="249"/>
      <c r="AB325" s="250"/>
      <c r="AC325" s="251"/>
      <c r="AD325" s="252"/>
    </row>
    <row r="326" spans="1:30">
      <c r="A326" s="326">
        <f t="shared" si="80"/>
        <v>71</v>
      </c>
      <c r="C326" s="635"/>
      <c r="D326" s="46"/>
      <c r="E326" s="47"/>
      <c r="F326" s="126"/>
      <c r="G326" s="167"/>
      <c r="H326" s="167"/>
      <c r="I326" s="167"/>
      <c r="J326" s="154"/>
      <c r="K326" s="559"/>
      <c r="L326" s="170"/>
      <c r="M326" s="477"/>
      <c r="N326" s="477"/>
      <c r="O326" s="1602"/>
      <c r="P326" s="1602"/>
      <c r="Q326" s="248"/>
      <c r="R326" s="248"/>
      <c r="S326" s="248"/>
      <c r="T326" s="248"/>
      <c r="U326" s="248"/>
      <c r="V326" s="247"/>
      <c r="W326" s="248"/>
      <c r="X326" s="158"/>
      <c r="Y326" s="248"/>
      <c r="Z326" s="194"/>
      <c r="AA326" s="249"/>
      <c r="AB326" s="250"/>
      <c r="AC326" s="251"/>
      <c r="AD326" s="252"/>
    </row>
    <row r="327" spans="1:30">
      <c r="A327" s="326">
        <f t="shared" si="80"/>
        <v>72</v>
      </c>
      <c r="C327" s="635"/>
      <c r="D327" s="46"/>
      <c r="E327" s="47"/>
      <c r="F327" s="126"/>
      <c r="G327" s="167"/>
      <c r="H327" s="167"/>
      <c r="I327" s="167"/>
      <c r="J327" s="154"/>
      <c r="K327" s="559"/>
      <c r="L327" s="170"/>
      <c r="M327" s="477"/>
      <c r="N327" s="477"/>
      <c r="O327" s="1602"/>
      <c r="P327" s="1602"/>
      <c r="Q327" s="248"/>
      <c r="R327" s="248"/>
      <c r="S327" s="248"/>
      <c r="T327" s="248"/>
      <c r="U327" s="248"/>
      <c r="V327" s="247"/>
      <c r="W327" s="248"/>
      <c r="X327" s="158"/>
      <c r="Y327" s="248"/>
      <c r="Z327" s="194"/>
      <c r="AA327" s="249"/>
      <c r="AB327" s="250"/>
      <c r="AC327" s="251"/>
      <c r="AD327" s="252"/>
    </row>
    <row r="328" spans="1:30">
      <c r="A328" s="326">
        <f t="shared" si="80"/>
        <v>73</v>
      </c>
      <c r="C328" s="635"/>
      <c r="D328" s="46"/>
      <c r="E328" s="47"/>
      <c r="F328" s="126"/>
      <c r="G328" s="167"/>
      <c r="H328" s="167"/>
      <c r="I328" s="167"/>
      <c r="J328" s="154"/>
      <c r="K328" s="559"/>
      <c r="L328" s="170"/>
      <c r="M328" s="477"/>
      <c r="N328" s="477"/>
      <c r="O328" s="1602"/>
      <c r="P328" s="1602"/>
      <c r="Q328" s="248"/>
      <c r="R328" s="248"/>
      <c r="S328" s="248"/>
      <c r="T328" s="248"/>
      <c r="U328" s="248"/>
      <c r="V328" s="247"/>
      <c r="W328" s="248"/>
      <c r="X328" s="158"/>
      <c r="Y328" s="248"/>
      <c r="Z328" s="194"/>
      <c r="AA328" s="249"/>
      <c r="AB328" s="250"/>
      <c r="AC328" s="251"/>
      <c r="AD328" s="252"/>
    </row>
    <row r="329" spans="1:30">
      <c r="A329" s="326">
        <f t="shared" si="80"/>
        <v>74</v>
      </c>
      <c r="C329" s="635"/>
      <c r="D329" s="46"/>
      <c r="E329" s="47"/>
      <c r="F329" s="126"/>
      <c r="G329" s="167"/>
      <c r="H329" s="167"/>
      <c r="I329" s="167"/>
      <c r="J329" s="154"/>
      <c r="K329" s="559"/>
      <c r="L329" s="170"/>
      <c r="M329" s="477"/>
      <c r="N329" s="477"/>
      <c r="O329" s="1602"/>
      <c r="P329" s="1602"/>
      <c r="Q329" s="248"/>
      <c r="R329" s="248"/>
      <c r="S329" s="248"/>
      <c r="T329" s="248"/>
      <c r="U329" s="248"/>
      <c r="V329" s="247"/>
      <c r="W329" s="248"/>
      <c r="X329" s="158"/>
      <c r="Y329" s="248"/>
      <c r="Z329" s="194"/>
      <c r="AA329" s="249"/>
      <c r="AB329" s="250"/>
      <c r="AC329" s="251"/>
      <c r="AD329" s="252"/>
    </row>
    <row r="330" spans="1:30">
      <c r="A330" s="326">
        <f t="shared" si="80"/>
        <v>75</v>
      </c>
      <c r="C330" s="635"/>
      <c r="D330" s="46"/>
      <c r="E330" s="47"/>
      <c r="F330" s="126"/>
      <c r="G330" s="167"/>
      <c r="H330" s="167"/>
      <c r="I330" s="167"/>
      <c r="J330" s="154"/>
      <c r="K330" s="559"/>
      <c r="L330" s="170"/>
      <c r="M330" s="477"/>
      <c r="N330" s="477"/>
      <c r="O330" s="1602"/>
      <c r="P330" s="1602"/>
      <c r="Q330" s="248"/>
      <c r="R330" s="248"/>
      <c r="S330" s="248"/>
      <c r="T330" s="248"/>
      <c r="U330" s="248"/>
      <c r="V330" s="247"/>
      <c r="W330" s="248"/>
      <c r="X330" s="158"/>
      <c r="Y330" s="248"/>
      <c r="Z330" s="194"/>
      <c r="AA330" s="249"/>
      <c r="AB330" s="250"/>
      <c r="AC330" s="251"/>
      <c r="AD330" s="252"/>
    </row>
    <row r="331" spans="1:30">
      <c r="A331" s="326">
        <f t="shared" si="80"/>
        <v>76</v>
      </c>
      <c r="C331" s="635"/>
      <c r="D331" s="46"/>
      <c r="E331" s="47"/>
      <c r="F331" s="126"/>
      <c r="G331" s="167"/>
      <c r="H331" s="167"/>
      <c r="I331" s="167"/>
      <c r="J331" s="154"/>
      <c r="K331" s="559"/>
      <c r="L331" s="170"/>
      <c r="M331" s="477"/>
      <c r="N331" s="477"/>
      <c r="O331" s="1602"/>
      <c r="P331" s="1602"/>
      <c r="Q331" s="248"/>
      <c r="R331" s="248"/>
      <c r="S331" s="248"/>
      <c r="T331" s="248"/>
      <c r="U331" s="248"/>
      <c r="V331" s="247"/>
      <c r="W331" s="248"/>
      <c r="X331" s="158"/>
      <c r="Y331" s="248"/>
      <c r="Z331" s="194"/>
      <c r="AA331" s="249"/>
      <c r="AB331" s="250"/>
      <c r="AC331" s="251"/>
      <c r="AD331" s="252"/>
    </row>
    <row r="332" spans="1:30">
      <c r="A332" s="326">
        <f t="shared" si="80"/>
        <v>77</v>
      </c>
      <c r="C332" s="635"/>
      <c r="D332" s="46"/>
      <c r="E332" s="47"/>
      <c r="F332" s="126"/>
      <c r="G332" s="167"/>
      <c r="H332" s="167"/>
      <c r="I332" s="167"/>
      <c r="J332" s="154"/>
      <c r="K332" s="559"/>
      <c r="L332" s="170"/>
      <c r="M332" s="477"/>
      <c r="N332" s="477"/>
      <c r="O332" s="1602"/>
      <c r="P332" s="1602"/>
      <c r="Q332" s="248"/>
      <c r="R332" s="248"/>
      <c r="S332" s="248"/>
      <c r="T332" s="248"/>
      <c r="U332" s="248"/>
      <c r="V332" s="247"/>
      <c r="W332" s="248"/>
      <c r="X332" s="158"/>
      <c r="Y332" s="248"/>
      <c r="Z332" s="194"/>
      <c r="AA332" s="249"/>
      <c r="AB332" s="250"/>
      <c r="AC332" s="251"/>
      <c r="AD332" s="252"/>
    </row>
    <row r="333" spans="1:30">
      <c r="A333" s="326">
        <f t="shared" si="80"/>
        <v>78</v>
      </c>
      <c r="C333" s="635"/>
      <c r="D333" s="46"/>
      <c r="E333" s="47"/>
      <c r="F333" s="126"/>
      <c r="G333" s="167"/>
      <c r="H333" s="167"/>
      <c r="I333" s="167"/>
      <c r="J333" s="154"/>
      <c r="K333" s="559"/>
      <c r="L333" s="170"/>
      <c r="M333" s="477"/>
      <c r="N333" s="477"/>
      <c r="O333" s="1602"/>
      <c r="P333" s="1602"/>
      <c r="Q333" s="248"/>
      <c r="R333" s="248"/>
      <c r="S333" s="248"/>
      <c r="T333" s="248"/>
      <c r="U333" s="248"/>
      <c r="V333" s="247"/>
      <c r="W333" s="248"/>
      <c r="X333" s="158"/>
      <c r="Y333" s="248"/>
      <c r="Z333" s="194"/>
      <c r="AA333" s="249"/>
      <c r="AB333" s="250"/>
      <c r="AC333" s="251"/>
      <c r="AD333" s="252"/>
    </row>
    <row r="334" spans="1:30">
      <c r="A334" s="326">
        <f t="shared" si="80"/>
        <v>79</v>
      </c>
      <c r="C334" s="635"/>
      <c r="D334" s="46"/>
      <c r="E334" s="47"/>
      <c r="F334" s="126"/>
      <c r="G334" s="167"/>
      <c r="H334" s="167"/>
      <c r="I334" s="167"/>
      <c r="J334" s="154"/>
      <c r="K334" s="559"/>
      <c r="L334" s="170"/>
      <c r="M334" s="477"/>
      <c r="N334" s="477"/>
      <c r="O334" s="1602"/>
      <c r="P334" s="1602"/>
      <c r="Q334" s="248"/>
      <c r="R334" s="248"/>
      <c r="S334" s="248"/>
      <c r="T334" s="248"/>
      <c r="U334" s="248"/>
      <c r="V334" s="247"/>
      <c r="W334" s="248"/>
      <c r="X334" s="158"/>
      <c r="Y334" s="248"/>
      <c r="Z334" s="194"/>
      <c r="AA334" s="249"/>
      <c r="AB334" s="250"/>
      <c r="AC334" s="251"/>
      <c r="AD334" s="252"/>
    </row>
    <row r="335" spans="1:30">
      <c r="A335" s="326">
        <f t="shared" si="80"/>
        <v>80</v>
      </c>
      <c r="C335" s="635"/>
      <c r="D335" s="46"/>
      <c r="E335" s="47"/>
      <c r="F335" s="126"/>
      <c r="G335" s="167"/>
      <c r="H335" s="167"/>
      <c r="I335" s="167"/>
      <c r="J335" s="154"/>
      <c r="K335" s="559"/>
      <c r="L335" s="170"/>
      <c r="M335" s="477"/>
      <c r="N335" s="477"/>
      <c r="O335" s="1602"/>
      <c r="P335" s="1602"/>
      <c r="Q335" s="248"/>
      <c r="R335" s="248"/>
      <c r="S335" s="248"/>
      <c r="T335" s="248"/>
      <c r="U335" s="248"/>
      <c r="V335" s="247"/>
      <c r="W335" s="248"/>
      <c r="X335" s="158"/>
      <c r="Y335" s="248"/>
      <c r="Z335" s="194"/>
      <c r="AA335" s="249"/>
      <c r="AB335" s="250"/>
      <c r="AC335" s="251"/>
      <c r="AD335" s="252"/>
    </row>
    <row r="336" spans="1:30">
      <c r="A336" s="326">
        <f t="shared" si="80"/>
        <v>81</v>
      </c>
      <c r="C336" s="635"/>
      <c r="D336" s="46"/>
      <c r="E336" s="47"/>
      <c r="F336" s="126"/>
      <c r="G336" s="167"/>
      <c r="H336" s="167"/>
      <c r="I336" s="167"/>
      <c r="J336" s="154"/>
      <c r="K336" s="559"/>
      <c r="L336" s="170"/>
      <c r="M336" s="477"/>
      <c r="N336" s="477"/>
      <c r="O336" s="1602"/>
      <c r="P336" s="1602"/>
      <c r="Q336" s="248"/>
      <c r="R336" s="248"/>
      <c r="S336" s="248"/>
      <c r="T336" s="248"/>
      <c r="U336" s="248"/>
      <c r="V336" s="247"/>
      <c r="W336" s="248"/>
      <c r="X336" s="158"/>
      <c r="Y336" s="248"/>
      <c r="Z336" s="194"/>
      <c r="AA336" s="249"/>
      <c r="AB336" s="250"/>
      <c r="AC336" s="251"/>
      <c r="AD336" s="252"/>
    </row>
    <row r="337" spans="1:30">
      <c r="A337" s="326">
        <f t="shared" si="80"/>
        <v>82</v>
      </c>
      <c r="C337" s="635"/>
      <c r="D337" s="46"/>
      <c r="E337" s="47"/>
      <c r="F337" s="126"/>
      <c r="G337" s="167"/>
      <c r="H337" s="167"/>
      <c r="I337" s="167"/>
      <c r="J337" s="154"/>
      <c r="K337" s="559"/>
      <c r="L337" s="170"/>
      <c r="M337" s="477"/>
      <c r="N337" s="477"/>
      <c r="O337" s="1602"/>
      <c r="P337" s="1602"/>
      <c r="Q337" s="248"/>
      <c r="R337" s="248"/>
      <c r="S337" s="248"/>
      <c r="T337" s="248"/>
      <c r="U337" s="248"/>
      <c r="V337" s="247"/>
      <c r="W337" s="248"/>
      <c r="X337" s="158"/>
      <c r="Y337" s="248"/>
      <c r="Z337" s="194"/>
      <c r="AA337" s="249"/>
      <c r="AB337" s="250"/>
      <c r="AC337" s="251"/>
      <c r="AD337" s="252"/>
    </row>
    <row r="338" spans="1:30">
      <c r="A338" s="326">
        <f t="shared" si="80"/>
        <v>83</v>
      </c>
      <c r="C338" s="635"/>
      <c r="D338" s="46"/>
      <c r="E338" s="47"/>
      <c r="F338" s="126"/>
      <c r="G338" s="167"/>
      <c r="H338" s="167"/>
      <c r="I338" s="167"/>
      <c r="J338" s="154"/>
      <c r="K338" s="559"/>
      <c r="L338" s="170"/>
      <c r="M338" s="477"/>
      <c r="N338" s="477"/>
      <c r="O338" s="1602"/>
      <c r="P338" s="1602"/>
      <c r="Q338" s="248"/>
      <c r="R338" s="248"/>
      <c r="S338" s="248"/>
      <c r="T338" s="248"/>
      <c r="U338" s="248"/>
      <c r="V338" s="247"/>
      <c r="W338" s="248"/>
      <c r="X338" s="158"/>
      <c r="Y338" s="248"/>
      <c r="Z338" s="194"/>
      <c r="AA338" s="249"/>
      <c r="AB338" s="250"/>
      <c r="AC338" s="251"/>
      <c r="AD338" s="252"/>
    </row>
    <row r="339" spans="1:30">
      <c r="A339" s="326">
        <f t="shared" si="80"/>
        <v>84</v>
      </c>
      <c r="C339" s="635"/>
      <c r="D339" s="46"/>
      <c r="E339" s="47"/>
      <c r="F339" s="126"/>
      <c r="G339" s="167"/>
      <c r="H339" s="167"/>
      <c r="I339" s="167"/>
      <c r="J339" s="154"/>
      <c r="K339" s="559"/>
      <c r="L339" s="170"/>
      <c r="M339" s="477"/>
      <c r="N339" s="477"/>
      <c r="O339" s="1602"/>
      <c r="P339" s="1602"/>
      <c r="Q339" s="248"/>
      <c r="R339" s="248"/>
      <c r="S339" s="248"/>
      <c r="T339" s="248"/>
      <c r="U339" s="248"/>
      <c r="V339" s="247"/>
      <c r="W339" s="248"/>
      <c r="X339" s="158"/>
      <c r="Y339" s="248"/>
      <c r="Z339" s="194"/>
      <c r="AA339" s="249"/>
      <c r="AB339" s="250"/>
      <c r="AC339" s="251"/>
      <c r="AD339" s="252"/>
    </row>
    <row r="340" spans="1:30">
      <c r="A340" s="326">
        <f t="shared" si="80"/>
        <v>85</v>
      </c>
      <c r="C340" s="635"/>
      <c r="D340" s="46"/>
      <c r="E340" s="47"/>
      <c r="F340" s="126"/>
      <c r="G340" s="167"/>
      <c r="H340" s="167"/>
      <c r="I340" s="167"/>
      <c r="J340" s="154"/>
      <c r="K340" s="559"/>
      <c r="L340" s="170"/>
      <c r="M340" s="477"/>
      <c r="N340" s="477"/>
      <c r="O340" s="1602"/>
      <c r="P340" s="1602"/>
      <c r="Q340" s="248"/>
      <c r="R340" s="248"/>
      <c r="S340" s="248"/>
      <c r="T340" s="248"/>
      <c r="U340" s="248"/>
      <c r="V340" s="247"/>
      <c r="W340" s="248"/>
      <c r="X340" s="158"/>
      <c r="Y340" s="248"/>
      <c r="Z340" s="194"/>
      <c r="AA340" s="249"/>
      <c r="AB340" s="250"/>
      <c r="AC340" s="251"/>
      <c r="AD340" s="252"/>
    </row>
    <row r="341" spans="1:30">
      <c r="A341" s="326">
        <f t="shared" si="80"/>
        <v>86</v>
      </c>
      <c r="C341" s="635"/>
      <c r="D341" s="46"/>
      <c r="E341" s="47"/>
      <c r="F341" s="126"/>
      <c r="G341" s="167"/>
      <c r="H341" s="167"/>
      <c r="I341" s="167"/>
      <c r="J341" s="154"/>
      <c r="K341" s="559"/>
      <c r="L341" s="170"/>
      <c r="M341" s="477"/>
      <c r="N341" s="477"/>
      <c r="O341" s="1602"/>
      <c r="P341" s="1602"/>
      <c r="Q341" s="248"/>
      <c r="R341" s="248"/>
      <c r="S341" s="248"/>
      <c r="T341" s="248"/>
      <c r="U341" s="248"/>
      <c r="V341" s="247"/>
      <c r="W341" s="248"/>
      <c r="X341" s="158"/>
      <c r="Y341" s="248"/>
      <c r="Z341" s="194"/>
      <c r="AA341" s="249"/>
      <c r="AB341" s="250"/>
      <c r="AC341" s="251"/>
      <c r="AD341" s="252"/>
    </row>
    <row r="342" spans="1:30">
      <c r="A342" s="326">
        <f t="shared" si="80"/>
        <v>87</v>
      </c>
      <c r="C342" s="635"/>
      <c r="D342" s="46"/>
      <c r="E342" s="47"/>
      <c r="F342" s="126"/>
      <c r="G342" s="167"/>
      <c r="H342" s="167"/>
      <c r="I342" s="167"/>
      <c r="J342" s="154"/>
      <c r="K342" s="559"/>
      <c r="L342" s="170"/>
      <c r="M342" s="477"/>
      <c r="N342" s="477"/>
      <c r="O342" s="1602"/>
      <c r="P342" s="1602"/>
      <c r="Q342" s="248"/>
      <c r="R342" s="248"/>
      <c r="S342" s="248"/>
      <c r="T342" s="248"/>
      <c r="U342" s="248"/>
      <c r="V342" s="247"/>
      <c r="W342" s="248"/>
      <c r="X342" s="158"/>
      <c r="Y342" s="248"/>
      <c r="Z342" s="194"/>
      <c r="AA342" s="249"/>
      <c r="AB342" s="250"/>
      <c r="AC342" s="251"/>
      <c r="AD342" s="252"/>
    </row>
    <row r="343" spans="1:30">
      <c r="A343" s="326">
        <f t="shared" si="80"/>
        <v>88</v>
      </c>
      <c r="C343" s="635"/>
      <c r="D343" s="46"/>
      <c r="E343" s="47"/>
      <c r="F343" s="126"/>
      <c r="G343" s="167"/>
      <c r="H343" s="167"/>
      <c r="I343" s="167"/>
      <c r="J343" s="154"/>
      <c r="K343" s="559"/>
      <c r="L343" s="170"/>
      <c r="M343" s="477"/>
      <c r="N343" s="477"/>
      <c r="O343" s="1602"/>
      <c r="P343" s="1602"/>
      <c r="Q343" s="248"/>
      <c r="R343" s="248"/>
      <c r="S343" s="248"/>
      <c r="T343" s="248"/>
      <c r="U343" s="248"/>
      <c r="V343" s="247"/>
      <c r="W343" s="248"/>
      <c r="X343" s="158"/>
      <c r="Y343" s="248"/>
      <c r="Z343" s="194"/>
      <c r="AA343" s="249"/>
      <c r="AB343" s="250"/>
      <c r="AC343" s="251"/>
      <c r="AD343" s="252"/>
    </row>
    <row r="344" spans="1:30">
      <c r="A344" s="326">
        <f t="shared" si="80"/>
        <v>89</v>
      </c>
      <c r="C344" s="635"/>
      <c r="D344" s="46"/>
      <c r="E344" s="47"/>
      <c r="F344" s="126"/>
      <c r="G344" s="167"/>
      <c r="H344" s="167"/>
      <c r="I344" s="167"/>
      <c r="J344" s="154"/>
      <c r="K344" s="559"/>
      <c r="L344" s="170"/>
      <c r="M344" s="477"/>
      <c r="N344" s="477"/>
      <c r="O344" s="1602"/>
      <c r="P344" s="1602"/>
      <c r="Q344" s="248"/>
      <c r="R344" s="248"/>
      <c r="S344" s="248"/>
      <c r="T344" s="248"/>
      <c r="U344" s="248"/>
      <c r="V344" s="247"/>
      <c r="W344" s="248"/>
      <c r="X344" s="158"/>
      <c r="Y344" s="248"/>
      <c r="Z344" s="194"/>
      <c r="AA344" s="249"/>
      <c r="AB344" s="250"/>
      <c r="AC344" s="251"/>
      <c r="AD344" s="252"/>
    </row>
    <row r="345" spans="1:30">
      <c r="A345" s="326">
        <f t="shared" si="80"/>
        <v>90</v>
      </c>
      <c r="C345" s="635"/>
      <c r="D345" s="46"/>
      <c r="E345" s="47"/>
      <c r="F345" s="126"/>
      <c r="G345" s="167"/>
      <c r="H345" s="167"/>
      <c r="I345" s="167"/>
      <c r="J345" s="154"/>
      <c r="K345" s="559"/>
      <c r="L345" s="170"/>
      <c r="M345" s="477"/>
      <c r="N345" s="477"/>
      <c r="O345" s="1602"/>
      <c r="P345" s="1602"/>
      <c r="Q345" s="248"/>
      <c r="R345" s="248"/>
      <c r="S345" s="248"/>
      <c r="T345" s="248"/>
      <c r="U345" s="248"/>
      <c r="V345" s="247"/>
      <c r="W345" s="248"/>
      <c r="X345" s="158"/>
      <c r="Y345" s="248"/>
      <c r="Z345" s="194"/>
      <c r="AA345" s="249"/>
      <c r="AB345" s="250"/>
      <c r="AC345" s="251"/>
      <c r="AD345" s="252"/>
    </row>
    <row r="346" spans="1:30">
      <c r="A346" s="326">
        <f t="shared" si="80"/>
        <v>91</v>
      </c>
      <c r="C346" s="635"/>
      <c r="D346" s="46"/>
      <c r="E346" s="47"/>
      <c r="F346" s="126"/>
      <c r="G346" s="167"/>
      <c r="H346" s="167"/>
      <c r="I346" s="167"/>
      <c r="J346" s="154"/>
      <c r="K346" s="559"/>
      <c r="L346" s="170"/>
      <c r="M346" s="477"/>
      <c r="N346" s="477"/>
      <c r="O346" s="1602"/>
      <c r="P346" s="1602"/>
      <c r="Q346" s="248"/>
      <c r="R346" s="248"/>
      <c r="S346" s="248"/>
      <c r="T346" s="248"/>
      <c r="U346" s="248"/>
      <c r="V346" s="247"/>
      <c r="W346" s="248"/>
      <c r="X346" s="158"/>
      <c r="Y346" s="248"/>
      <c r="Z346" s="194"/>
      <c r="AA346" s="249"/>
      <c r="AB346" s="250"/>
      <c r="AC346" s="251"/>
      <c r="AD346" s="252"/>
    </row>
    <row r="347" spans="1:30">
      <c r="A347" s="326">
        <f t="shared" si="80"/>
        <v>92</v>
      </c>
      <c r="C347" s="635"/>
      <c r="D347" s="46"/>
      <c r="E347" s="47"/>
      <c r="F347" s="126"/>
      <c r="G347" s="167"/>
      <c r="H347" s="167"/>
      <c r="I347" s="167"/>
      <c r="J347" s="154"/>
      <c r="K347" s="559"/>
      <c r="L347" s="170"/>
      <c r="M347" s="477"/>
      <c r="N347" s="477"/>
      <c r="O347" s="1602"/>
      <c r="P347" s="1602"/>
      <c r="Q347" s="248"/>
      <c r="R347" s="248"/>
      <c r="S347" s="248"/>
      <c r="T347" s="248"/>
      <c r="U347" s="248"/>
      <c r="V347" s="247"/>
      <c r="W347" s="248"/>
      <c r="X347" s="158"/>
      <c r="Y347" s="248"/>
      <c r="Z347" s="194"/>
      <c r="AA347" s="249"/>
      <c r="AB347" s="250"/>
      <c r="AC347" s="251"/>
      <c r="AD347" s="252"/>
    </row>
    <row r="348" spans="1:30">
      <c r="A348" s="326">
        <f t="shared" si="80"/>
        <v>93</v>
      </c>
      <c r="C348" s="635"/>
      <c r="D348" s="46"/>
      <c r="E348" s="47"/>
      <c r="F348" s="126"/>
      <c r="G348" s="167"/>
      <c r="H348" s="167"/>
      <c r="I348" s="167"/>
      <c r="J348" s="154"/>
      <c r="K348" s="559"/>
      <c r="L348" s="170"/>
      <c r="M348" s="477"/>
      <c r="N348" s="477"/>
      <c r="O348" s="1602"/>
      <c r="P348" s="1602"/>
      <c r="Q348" s="248"/>
      <c r="R348" s="248"/>
      <c r="S348" s="248"/>
      <c r="T348" s="248"/>
      <c r="U348" s="248"/>
      <c r="V348" s="247"/>
      <c r="W348" s="248"/>
      <c r="X348" s="158"/>
      <c r="Y348" s="248"/>
      <c r="Z348" s="194"/>
      <c r="AA348" s="249"/>
      <c r="AB348" s="250"/>
      <c r="AC348" s="251"/>
      <c r="AD348" s="252"/>
    </row>
    <row r="349" spans="1:30">
      <c r="A349" s="326">
        <f t="shared" si="80"/>
        <v>94</v>
      </c>
      <c r="C349" s="635"/>
      <c r="D349" s="46"/>
      <c r="E349" s="47"/>
      <c r="F349" s="126"/>
      <c r="G349" s="167"/>
      <c r="H349" s="167"/>
      <c r="I349" s="167"/>
      <c r="J349" s="154"/>
      <c r="K349" s="559"/>
      <c r="L349" s="170"/>
      <c r="M349" s="477"/>
      <c r="N349" s="477"/>
      <c r="O349" s="1602"/>
      <c r="P349" s="1602"/>
      <c r="Q349" s="248"/>
      <c r="R349" s="248"/>
      <c r="S349" s="248"/>
      <c r="T349" s="248"/>
      <c r="U349" s="248"/>
      <c r="V349" s="247"/>
      <c r="W349" s="248"/>
      <c r="X349" s="158"/>
      <c r="Y349" s="248"/>
      <c r="Z349" s="194"/>
      <c r="AA349" s="249"/>
      <c r="AB349" s="250"/>
      <c r="AC349" s="251"/>
      <c r="AD349" s="252"/>
    </row>
    <row r="350" spans="1:30">
      <c r="A350" s="326">
        <f t="shared" si="80"/>
        <v>95</v>
      </c>
      <c r="C350" s="635"/>
      <c r="D350" s="46"/>
      <c r="E350" s="47"/>
      <c r="F350" s="126"/>
      <c r="G350" s="167"/>
      <c r="H350" s="167"/>
      <c r="I350" s="167"/>
      <c r="J350" s="154"/>
      <c r="K350" s="559"/>
      <c r="L350" s="170"/>
      <c r="M350" s="477"/>
      <c r="N350" s="477"/>
      <c r="O350" s="1602"/>
      <c r="P350" s="1602"/>
      <c r="Q350" s="248"/>
      <c r="R350" s="248"/>
      <c r="S350" s="248"/>
      <c r="T350" s="248"/>
      <c r="U350" s="248"/>
      <c r="V350" s="247"/>
      <c r="W350" s="248"/>
      <c r="X350" s="158"/>
      <c r="Y350" s="248"/>
      <c r="Z350" s="194"/>
      <c r="AA350" s="249"/>
      <c r="AB350" s="250"/>
      <c r="AC350" s="251"/>
      <c r="AD350" s="252"/>
    </row>
    <row r="351" spans="1:30">
      <c r="A351" s="326">
        <f t="shared" si="80"/>
        <v>96</v>
      </c>
      <c r="C351" s="635"/>
      <c r="D351" s="46"/>
      <c r="E351" s="47"/>
      <c r="F351" s="126"/>
      <c r="G351" s="167"/>
      <c r="H351" s="167"/>
      <c r="I351" s="167"/>
      <c r="J351" s="154"/>
      <c r="K351" s="559"/>
      <c r="L351" s="170"/>
      <c r="M351" s="477"/>
      <c r="N351" s="477"/>
      <c r="O351" s="1602"/>
      <c r="P351" s="1602"/>
      <c r="Q351" s="248"/>
      <c r="R351" s="248"/>
      <c r="S351" s="248"/>
      <c r="T351" s="248"/>
      <c r="U351" s="248"/>
      <c r="V351" s="247"/>
      <c r="W351" s="248"/>
      <c r="X351" s="158"/>
      <c r="Y351" s="248"/>
      <c r="Z351" s="194"/>
      <c r="AA351" s="249"/>
      <c r="AB351" s="250"/>
      <c r="AC351" s="251"/>
      <c r="AD351" s="252"/>
    </row>
    <row r="352" spans="1:30">
      <c r="A352" s="326">
        <f t="shared" si="80"/>
        <v>97</v>
      </c>
      <c r="C352" s="635"/>
      <c r="D352" s="46"/>
      <c r="E352" s="47"/>
      <c r="F352" s="126"/>
      <c r="G352" s="167"/>
      <c r="H352" s="167"/>
      <c r="I352" s="167"/>
      <c r="J352" s="154"/>
      <c r="K352" s="559"/>
      <c r="L352" s="170"/>
      <c r="M352" s="477"/>
      <c r="N352" s="477"/>
      <c r="O352" s="1602"/>
      <c r="P352" s="1602"/>
      <c r="Q352" s="248"/>
      <c r="R352" s="248"/>
      <c r="S352" s="248"/>
      <c r="T352" s="248"/>
      <c r="U352" s="248"/>
      <c r="V352" s="247"/>
      <c r="W352" s="248"/>
      <c r="X352" s="158"/>
      <c r="Y352" s="248"/>
      <c r="Z352" s="194"/>
      <c r="AA352" s="249"/>
      <c r="AB352" s="250"/>
      <c r="AC352" s="251"/>
      <c r="AD352" s="252"/>
    </row>
    <row r="353" spans="1:30">
      <c r="A353" s="326">
        <f t="shared" si="80"/>
        <v>98</v>
      </c>
      <c r="C353" s="635"/>
      <c r="D353" s="46"/>
      <c r="E353" s="47"/>
      <c r="F353" s="126"/>
      <c r="G353" s="167"/>
      <c r="H353" s="167"/>
      <c r="I353" s="167"/>
      <c r="J353" s="154"/>
      <c r="K353" s="559"/>
      <c r="L353" s="170"/>
      <c r="M353" s="477"/>
      <c r="N353" s="477"/>
      <c r="O353" s="1602"/>
      <c r="P353" s="1602"/>
      <c r="Q353" s="248"/>
      <c r="R353" s="248"/>
      <c r="S353" s="248"/>
      <c r="T353" s="248"/>
      <c r="U353" s="248"/>
      <c r="V353" s="247"/>
      <c r="W353" s="248"/>
      <c r="X353" s="158"/>
      <c r="Y353" s="248"/>
      <c r="Z353" s="194"/>
      <c r="AA353" s="249"/>
      <c r="AB353" s="250"/>
      <c r="AC353" s="251"/>
      <c r="AD353" s="252"/>
    </row>
    <row r="354" spans="1:30">
      <c r="Q354" s="248"/>
      <c r="R354" s="248"/>
      <c r="S354" s="248"/>
      <c r="T354" s="248"/>
      <c r="U354" s="248"/>
      <c r="V354" s="247"/>
      <c r="W354" s="248"/>
      <c r="Y354" s="248"/>
      <c r="Z354" s="194"/>
      <c r="AA354" s="249"/>
      <c r="AB354" s="250"/>
      <c r="AC354" s="251"/>
      <c r="AD354" s="252"/>
    </row>
    <row r="355" spans="1:30">
      <c r="Q355" s="248"/>
      <c r="R355" s="248"/>
      <c r="S355" s="248"/>
      <c r="T355" s="248"/>
      <c r="U355" s="248"/>
      <c r="V355" s="247"/>
      <c r="W355" s="248"/>
      <c r="Y355" s="248"/>
      <c r="Z355" s="194"/>
      <c r="AA355" s="249"/>
      <c r="AB355" s="250"/>
      <c r="AC355" s="251"/>
      <c r="AD355" s="252"/>
    </row>
    <row r="356" spans="1:30">
      <c r="Q356" s="248"/>
      <c r="R356" s="248"/>
      <c r="S356" s="248"/>
      <c r="T356" s="248"/>
      <c r="U356" s="248"/>
      <c r="V356" s="247"/>
      <c r="W356" s="248"/>
      <c r="Y356" s="248"/>
      <c r="Z356" s="194"/>
      <c r="AA356" s="249"/>
      <c r="AB356" s="250"/>
      <c r="AC356" s="251"/>
      <c r="AD356" s="252"/>
    </row>
    <row r="357" spans="1:30">
      <c r="Q357" s="248"/>
      <c r="R357" s="248"/>
      <c r="S357" s="248"/>
      <c r="T357" s="248"/>
      <c r="U357" s="248"/>
      <c r="V357" s="247"/>
      <c r="W357" s="248"/>
      <c r="Y357" s="248"/>
      <c r="Z357" s="194"/>
      <c r="AA357" s="249"/>
      <c r="AB357" s="250"/>
      <c r="AC357" s="251"/>
      <c r="AD357" s="252"/>
    </row>
    <row r="358" spans="1:30">
      <c r="Q358" s="248"/>
      <c r="R358" s="248"/>
      <c r="S358" s="248"/>
      <c r="T358" s="248"/>
      <c r="U358" s="248"/>
      <c r="V358" s="247"/>
      <c r="W358" s="248"/>
      <c r="Y358" s="248"/>
      <c r="Z358" s="194"/>
      <c r="AA358" s="249"/>
      <c r="AB358" s="250"/>
      <c r="AC358" s="251"/>
      <c r="AD358" s="252"/>
    </row>
    <row r="359" spans="1:30">
      <c r="Q359" s="248"/>
      <c r="R359" s="248"/>
      <c r="S359" s="248"/>
      <c r="T359" s="248"/>
      <c r="U359" s="248"/>
      <c r="V359" s="247"/>
      <c r="W359" s="248"/>
      <c r="Y359" s="248"/>
      <c r="Z359" s="194"/>
      <c r="AA359" s="249"/>
      <c r="AB359" s="250"/>
      <c r="AC359" s="251"/>
      <c r="AD359" s="252"/>
    </row>
    <row r="360" spans="1:30">
      <c r="Q360" s="248"/>
      <c r="R360" s="248"/>
      <c r="S360" s="248"/>
      <c r="T360" s="248"/>
      <c r="U360" s="248"/>
      <c r="V360" s="247"/>
      <c r="W360" s="248"/>
      <c r="Y360" s="248"/>
      <c r="Z360" s="194"/>
      <c r="AA360" s="249"/>
      <c r="AB360" s="250"/>
      <c r="AC360" s="251"/>
      <c r="AD360" s="252"/>
    </row>
    <row r="361" spans="1:30">
      <c r="Q361" s="248"/>
      <c r="R361" s="248"/>
      <c r="S361" s="248"/>
      <c r="T361" s="248"/>
      <c r="U361" s="248"/>
      <c r="V361" s="247"/>
      <c r="W361" s="248"/>
      <c r="Y361" s="248"/>
      <c r="Z361" s="194"/>
      <c r="AA361" s="249"/>
      <c r="AB361" s="250"/>
      <c r="AC361" s="251"/>
      <c r="AD361" s="252"/>
    </row>
    <row r="362" spans="1:30">
      <c r="Q362" s="248"/>
      <c r="R362" s="248"/>
      <c r="S362" s="248"/>
      <c r="T362" s="248"/>
      <c r="U362" s="248"/>
      <c r="V362" s="247"/>
      <c r="W362" s="248"/>
      <c r="Y362" s="248"/>
      <c r="Z362" s="194"/>
      <c r="AA362" s="249"/>
      <c r="AB362" s="250"/>
      <c r="AC362" s="251"/>
      <c r="AD362" s="252"/>
    </row>
    <row r="363" spans="1:30">
      <c r="Q363" s="248"/>
      <c r="R363" s="248"/>
      <c r="S363" s="248"/>
      <c r="T363" s="248"/>
      <c r="U363" s="248"/>
      <c r="V363" s="247"/>
      <c r="W363" s="248"/>
      <c r="Y363" s="248"/>
      <c r="Z363" s="194"/>
      <c r="AA363" s="249"/>
      <c r="AB363" s="250"/>
      <c r="AC363" s="251"/>
      <c r="AD363" s="252"/>
    </row>
    <row r="364" spans="1:30">
      <c r="Q364" s="248"/>
      <c r="R364" s="248"/>
      <c r="S364" s="248"/>
      <c r="T364" s="248"/>
      <c r="U364" s="248"/>
      <c r="V364" s="247"/>
      <c r="W364" s="248"/>
      <c r="Y364" s="248"/>
      <c r="Z364" s="194"/>
      <c r="AA364" s="249"/>
      <c r="AB364" s="250"/>
      <c r="AC364" s="251"/>
      <c r="AD364" s="252"/>
    </row>
    <row r="365" spans="1:30">
      <c r="Q365" s="248"/>
      <c r="R365" s="248"/>
      <c r="S365" s="248"/>
      <c r="T365" s="248"/>
      <c r="U365" s="248"/>
      <c r="V365" s="247"/>
      <c r="W365" s="248"/>
      <c r="Y365" s="248"/>
      <c r="Z365" s="194"/>
      <c r="AA365" s="249"/>
      <c r="AB365" s="250"/>
      <c r="AC365" s="251"/>
      <c r="AD365" s="252"/>
    </row>
    <row r="366" spans="1:30">
      <c r="Q366" s="248"/>
      <c r="R366" s="248"/>
      <c r="S366" s="248"/>
      <c r="T366" s="248"/>
      <c r="U366" s="248"/>
      <c r="V366" s="247"/>
      <c r="W366" s="248"/>
      <c r="Y366" s="248"/>
      <c r="Z366" s="194"/>
      <c r="AA366" s="249"/>
      <c r="AB366" s="250"/>
      <c r="AC366" s="251"/>
      <c r="AD366" s="252"/>
    </row>
    <row r="367" spans="1:30">
      <c r="Q367" s="248"/>
      <c r="R367" s="248"/>
      <c r="S367" s="248"/>
      <c r="T367" s="248"/>
      <c r="U367" s="248"/>
      <c r="V367" s="247"/>
      <c r="W367" s="248"/>
      <c r="Y367" s="248"/>
      <c r="Z367" s="194"/>
      <c r="AA367" s="249"/>
      <c r="AB367" s="250"/>
      <c r="AC367" s="251"/>
      <c r="AD367" s="252"/>
    </row>
    <row r="368" spans="1:30">
      <c r="Q368" s="248"/>
      <c r="R368" s="248"/>
      <c r="S368" s="248"/>
      <c r="T368" s="248"/>
      <c r="U368" s="248"/>
      <c r="V368" s="247"/>
      <c r="W368" s="248"/>
      <c r="Y368" s="248"/>
      <c r="Z368" s="194"/>
      <c r="AA368" s="249"/>
      <c r="AB368" s="250"/>
      <c r="AC368" s="251"/>
      <c r="AD368" s="252"/>
    </row>
    <row r="369" spans="17:30">
      <c r="Q369" s="248"/>
      <c r="R369" s="248"/>
      <c r="S369" s="248"/>
      <c r="T369" s="248"/>
      <c r="U369" s="248"/>
      <c r="V369" s="247"/>
      <c r="W369" s="248"/>
      <c r="Y369" s="248"/>
      <c r="Z369" s="194"/>
      <c r="AA369" s="249"/>
      <c r="AB369" s="250"/>
      <c r="AC369" s="251"/>
      <c r="AD369" s="252"/>
    </row>
    <row r="370" spans="17:30">
      <c r="Q370" s="248"/>
      <c r="R370" s="248"/>
      <c r="S370" s="248"/>
      <c r="T370" s="248"/>
      <c r="U370" s="248"/>
      <c r="V370" s="247"/>
      <c r="W370" s="248"/>
      <c r="Y370" s="248"/>
      <c r="Z370" s="194"/>
      <c r="AA370" s="249"/>
      <c r="AB370" s="250"/>
      <c r="AC370" s="251"/>
      <c r="AD370" s="252"/>
    </row>
    <row r="371" spans="17:30">
      <c r="Q371" s="248"/>
      <c r="R371" s="248"/>
      <c r="S371" s="248"/>
      <c r="T371" s="248"/>
      <c r="U371" s="248"/>
      <c r="V371" s="247"/>
      <c r="W371" s="248"/>
      <c r="Y371" s="248"/>
      <c r="Z371" s="194"/>
      <c r="AA371" s="249"/>
      <c r="AB371" s="250"/>
      <c r="AC371" s="251"/>
      <c r="AD371" s="252"/>
    </row>
    <row r="372" spans="17:30">
      <c r="Q372" s="248"/>
      <c r="R372" s="248"/>
      <c r="S372" s="248"/>
      <c r="T372" s="248"/>
      <c r="U372" s="248"/>
      <c r="V372" s="247"/>
      <c r="W372" s="248"/>
      <c r="Y372" s="248"/>
      <c r="Z372" s="194"/>
      <c r="AA372" s="249"/>
      <c r="AB372" s="250"/>
      <c r="AC372" s="251"/>
      <c r="AD372" s="252"/>
    </row>
    <row r="373" spans="17:30">
      <c r="Q373" s="248"/>
      <c r="R373" s="248"/>
      <c r="S373" s="248"/>
      <c r="T373" s="248"/>
      <c r="U373" s="248"/>
      <c r="V373" s="247"/>
      <c r="W373" s="248"/>
      <c r="Y373" s="248"/>
      <c r="Z373" s="194"/>
      <c r="AA373" s="249"/>
      <c r="AB373" s="250"/>
      <c r="AC373" s="251"/>
      <c r="AD373" s="252"/>
    </row>
    <row r="374" spans="17:30">
      <c r="Q374" s="248"/>
      <c r="R374" s="248"/>
      <c r="S374" s="248"/>
      <c r="T374" s="248"/>
      <c r="U374" s="248"/>
      <c r="V374" s="247"/>
      <c r="W374" s="248"/>
      <c r="Y374" s="248"/>
      <c r="Z374" s="194"/>
      <c r="AA374" s="249"/>
      <c r="AB374" s="250"/>
      <c r="AC374" s="251"/>
      <c r="AD374" s="252"/>
    </row>
    <row r="375" spans="17:30">
      <c r="Q375" s="248"/>
      <c r="R375" s="248"/>
      <c r="S375" s="248"/>
      <c r="T375" s="248"/>
      <c r="U375" s="248"/>
      <c r="V375" s="247"/>
      <c r="W375" s="248"/>
      <c r="Y375" s="248"/>
      <c r="Z375" s="194"/>
      <c r="AA375" s="249"/>
      <c r="AB375" s="250"/>
      <c r="AC375" s="251"/>
      <c r="AD375" s="252"/>
    </row>
    <row r="376" spans="17:30">
      <c r="Q376" s="248"/>
      <c r="R376" s="248"/>
      <c r="S376" s="248"/>
      <c r="T376" s="248"/>
      <c r="U376" s="248"/>
      <c r="V376" s="247"/>
      <c r="W376" s="248"/>
      <c r="Y376" s="248"/>
      <c r="Z376" s="194"/>
      <c r="AA376" s="249"/>
      <c r="AB376" s="250"/>
      <c r="AC376" s="251"/>
      <c r="AD376" s="252"/>
    </row>
    <row r="377" spans="17:30">
      <c r="Q377" s="248"/>
      <c r="R377" s="248"/>
      <c r="S377" s="248"/>
      <c r="T377" s="248"/>
      <c r="U377" s="248"/>
      <c r="V377" s="247"/>
      <c r="W377" s="248"/>
      <c r="Y377" s="248"/>
      <c r="Z377" s="194"/>
      <c r="AA377" s="249"/>
      <c r="AB377" s="250"/>
      <c r="AC377" s="251"/>
      <c r="AD377" s="252"/>
    </row>
    <row r="378" spans="17:30">
      <c r="Q378" s="248"/>
      <c r="R378" s="248"/>
      <c r="S378" s="248"/>
      <c r="T378" s="248"/>
      <c r="U378" s="248"/>
      <c r="V378" s="247"/>
      <c r="W378" s="248"/>
      <c r="Y378" s="248"/>
      <c r="Z378" s="194"/>
      <c r="AA378" s="249"/>
      <c r="AB378" s="250"/>
      <c r="AC378" s="251"/>
      <c r="AD378" s="252"/>
    </row>
    <row r="379" spans="17:30">
      <c r="Q379" s="248"/>
      <c r="R379" s="248"/>
      <c r="S379" s="248"/>
      <c r="T379" s="248"/>
      <c r="U379" s="248"/>
      <c r="V379" s="247"/>
      <c r="W379" s="248"/>
      <c r="Y379" s="248"/>
      <c r="Z379" s="194"/>
      <c r="AA379" s="249"/>
      <c r="AB379" s="250"/>
      <c r="AC379" s="251"/>
      <c r="AD379" s="252"/>
    </row>
    <row r="380" spans="17:30">
      <c r="Q380" s="248"/>
      <c r="R380" s="248"/>
      <c r="S380" s="248"/>
      <c r="T380" s="248"/>
      <c r="U380" s="248"/>
      <c r="V380" s="247"/>
      <c r="W380" s="248"/>
      <c r="Y380" s="248"/>
      <c r="Z380" s="194"/>
      <c r="AA380" s="249"/>
      <c r="AB380" s="250"/>
      <c r="AC380" s="251"/>
      <c r="AD380" s="252"/>
    </row>
    <row r="381" spans="17:30">
      <c r="Q381" s="248"/>
      <c r="R381" s="248"/>
      <c r="S381" s="248"/>
      <c r="T381" s="248"/>
      <c r="U381" s="248"/>
      <c r="V381" s="247"/>
      <c r="W381" s="248"/>
      <c r="Y381" s="248"/>
      <c r="Z381" s="194"/>
      <c r="AA381" s="249"/>
      <c r="AB381" s="250"/>
      <c r="AC381" s="251"/>
      <c r="AD381" s="252"/>
    </row>
    <row r="382" spans="17:30">
      <c r="Q382" s="248"/>
      <c r="R382" s="248"/>
      <c r="S382" s="248"/>
      <c r="T382" s="248"/>
      <c r="U382" s="248"/>
      <c r="V382" s="247"/>
      <c r="W382" s="248"/>
      <c r="Y382" s="248"/>
      <c r="Z382" s="194"/>
      <c r="AA382" s="249"/>
      <c r="AB382" s="250"/>
      <c r="AC382" s="251"/>
      <c r="AD382" s="252"/>
    </row>
    <row r="383" spans="17:30">
      <c r="Q383" s="248"/>
      <c r="R383" s="248"/>
      <c r="S383" s="248"/>
      <c r="T383" s="248"/>
      <c r="U383" s="248"/>
      <c r="V383" s="247"/>
      <c r="W383" s="248"/>
      <c r="Y383" s="248"/>
      <c r="Z383" s="194"/>
      <c r="AA383" s="249"/>
      <c r="AB383" s="250"/>
      <c r="AC383" s="251"/>
      <c r="AD383" s="252"/>
    </row>
    <row r="384" spans="17:30">
      <c r="Q384" s="248"/>
      <c r="R384" s="248"/>
      <c r="S384" s="248"/>
      <c r="T384" s="248"/>
      <c r="U384" s="248"/>
      <c r="V384" s="247"/>
      <c r="W384" s="248"/>
      <c r="Y384" s="248"/>
      <c r="Z384" s="194"/>
      <c r="AA384" s="249"/>
      <c r="AB384" s="250"/>
      <c r="AC384" s="251"/>
      <c r="AD384" s="252"/>
    </row>
    <row r="385" spans="17:30">
      <c r="Q385" s="248"/>
      <c r="R385" s="248"/>
      <c r="S385" s="248"/>
      <c r="T385" s="248"/>
      <c r="U385" s="248"/>
      <c r="V385" s="247"/>
      <c r="W385" s="248"/>
      <c r="Y385" s="248"/>
      <c r="Z385" s="194"/>
      <c r="AA385" s="249"/>
      <c r="AB385" s="250"/>
      <c r="AC385" s="251"/>
      <c r="AD385" s="252"/>
    </row>
    <row r="386" spans="17:30">
      <c r="Q386" s="248"/>
      <c r="R386" s="248"/>
      <c r="S386" s="248"/>
      <c r="T386" s="248"/>
      <c r="U386" s="248"/>
      <c r="V386" s="247"/>
      <c r="W386" s="248"/>
      <c r="Y386" s="248"/>
      <c r="Z386" s="194"/>
      <c r="AA386" s="249"/>
      <c r="AB386" s="250"/>
      <c r="AC386" s="251"/>
      <c r="AD386" s="252"/>
    </row>
    <row r="387" spans="17:30">
      <c r="Q387" s="248"/>
      <c r="R387" s="248"/>
      <c r="S387" s="248"/>
      <c r="T387" s="248"/>
      <c r="U387" s="248"/>
      <c r="V387" s="247"/>
      <c r="W387" s="248"/>
      <c r="Y387" s="248"/>
      <c r="Z387" s="194"/>
      <c r="AA387" s="249"/>
      <c r="AB387" s="250"/>
      <c r="AC387" s="251"/>
      <c r="AD387" s="252"/>
    </row>
    <row r="388" spans="17:30">
      <c r="Q388" s="248"/>
      <c r="R388" s="248"/>
      <c r="S388" s="248"/>
      <c r="T388" s="248"/>
      <c r="U388" s="248"/>
      <c r="V388" s="247"/>
      <c r="W388" s="248"/>
      <c r="Y388" s="248"/>
      <c r="Z388" s="194"/>
      <c r="AA388" s="249"/>
      <c r="AB388" s="250"/>
      <c r="AC388" s="251"/>
      <c r="AD388" s="252"/>
    </row>
    <row r="389" spans="17:30">
      <c r="Q389" s="248"/>
      <c r="R389" s="248"/>
      <c r="S389" s="248"/>
      <c r="T389" s="248"/>
      <c r="U389" s="248"/>
      <c r="V389" s="247"/>
      <c r="W389" s="248"/>
      <c r="Y389" s="248"/>
      <c r="Z389" s="194"/>
      <c r="AA389" s="249"/>
      <c r="AB389" s="250"/>
      <c r="AC389" s="251"/>
      <c r="AD389" s="252"/>
    </row>
    <row r="390" spans="17:30">
      <c r="Q390" s="248"/>
      <c r="R390" s="248"/>
      <c r="S390" s="248"/>
      <c r="T390" s="248"/>
      <c r="U390" s="248"/>
      <c r="V390" s="247"/>
      <c r="W390" s="248"/>
      <c r="Y390" s="248"/>
      <c r="Z390" s="194"/>
      <c r="AA390" s="249"/>
      <c r="AB390" s="250"/>
      <c r="AC390" s="251"/>
      <c r="AD390" s="252"/>
    </row>
    <row r="391" spans="17:30">
      <c r="Q391" s="248"/>
      <c r="R391" s="248"/>
      <c r="S391" s="248"/>
      <c r="T391" s="248"/>
      <c r="U391" s="248"/>
      <c r="V391" s="247"/>
      <c r="W391" s="248"/>
      <c r="Y391" s="248"/>
      <c r="Z391" s="194"/>
      <c r="AA391" s="249"/>
      <c r="AB391" s="250"/>
      <c r="AC391" s="251"/>
      <c r="AD391" s="252"/>
    </row>
    <row r="392" spans="17:30">
      <c r="Q392" s="248"/>
      <c r="R392" s="248"/>
      <c r="S392" s="248"/>
      <c r="T392" s="248"/>
      <c r="U392" s="248"/>
      <c r="V392" s="247"/>
      <c r="W392" s="248"/>
      <c r="Y392" s="248"/>
      <c r="Z392" s="194"/>
      <c r="AA392" s="249"/>
      <c r="AB392" s="250"/>
      <c r="AC392" s="251"/>
      <c r="AD392" s="252"/>
    </row>
    <row r="393" spans="17:30">
      <c r="Q393" s="248"/>
      <c r="R393" s="248"/>
      <c r="S393" s="248"/>
      <c r="T393" s="248"/>
      <c r="U393" s="248"/>
      <c r="V393" s="247"/>
      <c r="W393" s="248"/>
      <c r="Y393" s="248"/>
      <c r="Z393" s="194"/>
      <c r="AA393" s="249"/>
      <c r="AB393" s="250"/>
      <c r="AC393" s="251"/>
      <c r="AD393" s="252"/>
    </row>
    <row r="394" spans="17:30">
      <c r="Q394" s="248"/>
      <c r="R394" s="248"/>
      <c r="S394" s="248"/>
      <c r="T394" s="248"/>
      <c r="U394" s="248"/>
      <c r="V394" s="247"/>
      <c r="W394" s="248"/>
      <c r="Y394" s="248"/>
      <c r="Z394" s="194"/>
      <c r="AA394" s="249"/>
      <c r="AB394" s="250"/>
      <c r="AC394" s="251"/>
      <c r="AD394" s="252"/>
    </row>
    <row r="395" spans="17:30">
      <c r="Q395" s="248"/>
      <c r="R395" s="248"/>
      <c r="S395" s="248"/>
      <c r="T395" s="248"/>
      <c r="U395" s="248"/>
      <c r="V395" s="247"/>
      <c r="W395" s="248"/>
      <c r="Y395" s="248"/>
      <c r="Z395" s="194"/>
      <c r="AA395" s="249"/>
      <c r="AB395" s="250"/>
      <c r="AC395" s="251"/>
      <c r="AD395" s="252"/>
    </row>
    <row r="396" spans="17:30">
      <c r="Q396" s="248"/>
      <c r="R396" s="248"/>
      <c r="S396" s="248"/>
      <c r="T396" s="248"/>
      <c r="U396" s="248"/>
      <c r="V396" s="247"/>
      <c r="W396" s="248"/>
      <c r="Y396" s="248"/>
      <c r="Z396" s="194"/>
      <c r="AA396" s="249"/>
      <c r="AB396" s="250"/>
      <c r="AC396" s="251"/>
      <c r="AD396" s="252"/>
    </row>
    <row r="397" spans="17:30">
      <c r="Q397" s="248"/>
      <c r="R397" s="248"/>
      <c r="S397" s="248"/>
      <c r="T397" s="248"/>
      <c r="U397" s="248"/>
      <c r="V397" s="247"/>
      <c r="W397" s="248"/>
      <c r="Y397" s="248"/>
      <c r="Z397" s="194"/>
      <c r="AA397" s="249"/>
      <c r="AB397" s="250"/>
      <c r="AC397" s="251"/>
      <c r="AD397" s="252"/>
    </row>
    <row r="398" spans="17:30">
      <c r="Q398" s="248"/>
      <c r="R398" s="248"/>
      <c r="S398" s="248"/>
      <c r="T398" s="248"/>
      <c r="U398" s="248"/>
      <c r="V398" s="247"/>
      <c r="W398" s="248"/>
      <c r="Y398" s="248"/>
      <c r="Z398" s="194"/>
      <c r="AA398" s="249"/>
      <c r="AB398" s="250"/>
      <c r="AC398" s="251"/>
      <c r="AD398" s="252"/>
    </row>
    <row r="399" spans="17:30">
      <c r="Q399" s="248"/>
      <c r="R399" s="248"/>
      <c r="S399" s="248"/>
      <c r="T399" s="248"/>
      <c r="U399" s="248"/>
      <c r="V399" s="247"/>
      <c r="W399" s="248"/>
      <c r="Y399" s="248"/>
      <c r="Z399" s="194"/>
      <c r="AA399" s="249"/>
      <c r="AB399" s="250"/>
      <c r="AC399" s="251"/>
      <c r="AD399" s="252"/>
    </row>
    <row r="400" spans="17:30">
      <c r="Q400" s="248"/>
      <c r="R400" s="248"/>
      <c r="S400" s="248"/>
      <c r="T400" s="248"/>
      <c r="U400" s="248"/>
      <c r="V400" s="247"/>
      <c r="W400" s="248"/>
      <c r="Y400" s="248"/>
      <c r="Z400" s="194"/>
      <c r="AA400" s="249"/>
      <c r="AB400" s="250"/>
      <c r="AC400" s="251"/>
      <c r="AD400" s="252"/>
    </row>
    <row r="401" spans="17:30">
      <c r="Q401" s="248"/>
      <c r="R401" s="248"/>
      <c r="S401" s="248"/>
      <c r="T401" s="248"/>
      <c r="U401" s="248"/>
      <c r="V401" s="247"/>
      <c r="W401" s="248"/>
      <c r="Y401" s="248"/>
      <c r="Z401" s="194"/>
      <c r="AA401" s="249"/>
      <c r="AB401" s="250"/>
      <c r="AC401" s="251"/>
      <c r="AD401" s="252"/>
    </row>
    <row r="402" spans="17:30">
      <c r="Q402" s="248"/>
      <c r="R402" s="248"/>
      <c r="S402" s="248"/>
      <c r="T402" s="248"/>
      <c r="U402" s="248"/>
      <c r="V402" s="247"/>
      <c r="W402" s="248"/>
      <c r="Y402" s="248"/>
      <c r="Z402" s="194"/>
      <c r="AA402" s="249"/>
      <c r="AB402" s="250"/>
      <c r="AC402" s="251"/>
      <c r="AD402" s="252"/>
    </row>
    <row r="403" spans="17:30">
      <c r="Q403" s="248"/>
      <c r="R403" s="248"/>
      <c r="S403" s="248"/>
      <c r="T403" s="248"/>
      <c r="U403" s="248"/>
      <c r="V403" s="247"/>
      <c r="W403" s="248"/>
      <c r="Y403" s="248"/>
      <c r="Z403" s="194"/>
      <c r="AA403" s="249"/>
      <c r="AB403" s="250"/>
      <c r="AC403" s="251"/>
      <c r="AD403" s="252"/>
    </row>
    <row r="404" spans="17:30">
      <c r="Q404" s="248"/>
      <c r="R404" s="248"/>
      <c r="S404" s="248"/>
      <c r="T404" s="248"/>
      <c r="U404" s="248"/>
      <c r="V404" s="247"/>
      <c r="W404" s="248"/>
      <c r="Y404" s="248"/>
      <c r="Z404" s="194"/>
      <c r="AA404" s="249"/>
      <c r="AB404" s="250"/>
      <c r="AC404" s="251"/>
      <c r="AD404" s="252"/>
    </row>
    <row r="405" spans="17:30">
      <c r="Q405" s="248"/>
      <c r="R405" s="248"/>
      <c r="S405" s="248"/>
      <c r="T405" s="248"/>
      <c r="U405" s="248"/>
      <c r="V405" s="247"/>
      <c r="W405" s="248"/>
      <c r="Y405" s="248"/>
      <c r="Z405" s="194"/>
      <c r="AA405" s="249"/>
      <c r="AB405" s="250"/>
      <c r="AC405" s="251"/>
      <c r="AD405" s="252"/>
    </row>
    <row r="406" spans="17:30">
      <c r="Q406" s="248"/>
      <c r="R406" s="248"/>
      <c r="S406" s="248"/>
      <c r="T406" s="248"/>
      <c r="U406" s="248"/>
      <c r="V406" s="247"/>
      <c r="W406" s="248"/>
      <c r="Y406" s="248"/>
      <c r="Z406" s="194"/>
      <c r="AA406" s="249"/>
      <c r="AB406" s="250"/>
      <c r="AC406" s="251"/>
      <c r="AD406" s="252"/>
    </row>
    <row r="407" spans="17:30">
      <c r="Q407" s="248"/>
      <c r="R407" s="248"/>
      <c r="S407" s="248"/>
      <c r="T407" s="248"/>
      <c r="U407" s="248"/>
      <c r="V407" s="247"/>
      <c r="W407" s="248"/>
      <c r="Y407" s="248"/>
      <c r="Z407" s="194"/>
      <c r="AA407" s="249"/>
      <c r="AB407" s="250"/>
      <c r="AC407" s="251"/>
      <c r="AD407" s="252"/>
    </row>
    <row r="408" spans="17:30">
      <c r="Q408" s="248"/>
      <c r="R408" s="248"/>
      <c r="S408" s="248"/>
      <c r="T408" s="248"/>
      <c r="U408" s="248"/>
      <c r="V408" s="247"/>
      <c r="W408" s="248"/>
      <c r="Y408" s="248"/>
      <c r="Z408" s="194"/>
      <c r="AA408" s="249"/>
      <c r="AB408" s="250"/>
      <c r="AC408" s="251"/>
      <c r="AD408" s="252"/>
    </row>
    <row r="409" spans="17:30">
      <c r="Q409" s="248"/>
      <c r="R409" s="248"/>
      <c r="S409" s="248"/>
      <c r="T409" s="248"/>
      <c r="U409" s="248"/>
      <c r="V409" s="247"/>
      <c r="W409" s="248"/>
      <c r="Y409" s="248"/>
      <c r="Z409" s="194"/>
      <c r="AA409" s="249"/>
      <c r="AB409" s="250"/>
      <c r="AC409" s="251"/>
      <c r="AD409" s="252"/>
    </row>
    <row r="410" spans="17:30">
      <c r="Q410" s="248"/>
      <c r="R410" s="248"/>
      <c r="S410" s="248"/>
      <c r="T410" s="248"/>
      <c r="U410" s="248"/>
      <c r="V410" s="247"/>
      <c r="W410" s="248"/>
      <c r="Y410" s="248"/>
      <c r="Z410" s="194"/>
      <c r="AA410" s="249"/>
      <c r="AB410" s="250"/>
      <c r="AC410" s="251"/>
      <c r="AD410" s="252"/>
    </row>
    <row r="411" spans="17:30">
      <c r="Q411" s="248"/>
      <c r="R411" s="248"/>
      <c r="S411" s="248"/>
      <c r="T411" s="248"/>
      <c r="U411" s="248"/>
      <c r="V411" s="247"/>
      <c r="W411" s="248"/>
      <c r="Y411" s="248"/>
      <c r="Z411" s="194"/>
      <c r="AA411" s="249"/>
      <c r="AB411" s="250"/>
      <c r="AC411" s="251"/>
      <c r="AD411" s="252"/>
    </row>
    <row r="412" spans="17:30">
      <c r="Q412" s="248"/>
      <c r="R412" s="248"/>
      <c r="S412" s="248"/>
      <c r="T412" s="248"/>
      <c r="U412" s="248"/>
      <c r="V412" s="247"/>
      <c r="W412" s="248"/>
      <c r="Y412" s="248"/>
      <c r="Z412" s="194"/>
      <c r="AA412" s="249"/>
      <c r="AB412" s="250"/>
      <c r="AC412" s="251"/>
      <c r="AD412" s="252"/>
    </row>
    <row r="413" spans="17:30">
      <c r="Q413" s="248"/>
      <c r="R413" s="248"/>
      <c r="S413" s="248"/>
      <c r="T413" s="248"/>
      <c r="U413" s="248"/>
      <c r="V413" s="247"/>
      <c r="W413" s="248"/>
      <c r="Y413" s="248"/>
      <c r="Z413" s="194"/>
      <c r="AA413" s="249"/>
      <c r="AB413" s="250"/>
      <c r="AC413" s="251"/>
      <c r="AD413" s="252"/>
    </row>
    <row r="414" spans="17:30">
      <c r="Q414" s="248"/>
      <c r="R414" s="248"/>
      <c r="S414" s="248"/>
      <c r="T414" s="248"/>
      <c r="U414" s="248"/>
      <c r="V414" s="247"/>
      <c r="W414" s="248"/>
      <c r="Y414" s="248"/>
      <c r="Z414" s="194"/>
      <c r="AA414" s="249"/>
      <c r="AB414" s="250"/>
      <c r="AC414" s="251"/>
      <c r="AD414" s="252"/>
    </row>
    <row r="415" spans="17:30">
      <c r="Q415" s="248"/>
      <c r="R415" s="248"/>
      <c r="S415" s="248"/>
      <c r="T415" s="248"/>
      <c r="U415" s="248"/>
      <c r="V415" s="247"/>
      <c r="W415" s="248"/>
      <c r="Y415" s="248"/>
      <c r="Z415" s="194"/>
      <c r="AA415" s="249"/>
      <c r="AB415" s="250"/>
      <c r="AC415" s="251"/>
      <c r="AD415" s="252"/>
    </row>
    <row r="416" spans="17:30">
      <c r="Q416" s="248"/>
      <c r="R416" s="248"/>
      <c r="S416" s="248"/>
      <c r="T416" s="248"/>
      <c r="U416" s="248"/>
      <c r="V416" s="247"/>
      <c r="W416" s="248"/>
      <c r="Y416" s="248"/>
      <c r="Z416" s="194"/>
      <c r="AA416" s="249"/>
      <c r="AB416" s="250"/>
      <c r="AC416" s="251"/>
      <c r="AD416" s="252"/>
    </row>
    <row r="417" spans="17:30">
      <c r="Q417" s="248"/>
      <c r="R417" s="248"/>
      <c r="S417" s="248"/>
      <c r="T417" s="248"/>
      <c r="U417" s="248"/>
      <c r="V417" s="247"/>
      <c r="W417" s="248"/>
      <c r="Y417" s="248"/>
      <c r="Z417" s="194"/>
      <c r="AA417" s="249"/>
      <c r="AB417" s="250"/>
      <c r="AC417" s="251"/>
      <c r="AD417" s="252"/>
    </row>
    <row r="418" spans="17:30">
      <c r="Q418" s="248"/>
      <c r="R418" s="248"/>
      <c r="S418" s="248"/>
      <c r="T418" s="248"/>
      <c r="U418" s="248"/>
      <c r="V418" s="247"/>
      <c r="W418" s="248"/>
      <c r="Y418" s="248"/>
      <c r="Z418" s="194"/>
      <c r="AA418" s="249"/>
      <c r="AB418" s="250"/>
      <c r="AC418" s="251"/>
      <c r="AD418" s="252"/>
    </row>
    <row r="419" spans="17:30">
      <c r="Q419" s="248"/>
      <c r="R419" s="248"/>
      <c r="S419" s="248"/>
      <c r="T419" s="248"/>
      <c r="U419" s="248"/>
      <c r="V419" s="247"/>
      <c r="W419" s="248"/>
      <c r="Y419" s="248"/>
      <c r="Z419" s="194"/>
      <c r="AA419" s="249"/>
      <c r="AB419" s="250"/>
      <c r="AC419" s="251"/>
      <c r="AD419" s="252"/>
    </row>
    <row r="420" spans="17:30">
      <c r="Q420" s="248"/>
      <c r="R420" s="248"/>
      <c r="S420" s="248"/>
      <c r="T420" s="248"/>
      <c r="U420" s="248"/>
      <c r="V420" s="247"/>
      <c r="W420" s="248"/>
      <c r="Y420" s="248"/>
      <c r="Z420" s="194"/>
      <c r="AA420" s="249"/>
      <c r="AB420" s="250"/>
      <c r="AC420" s="251"/>
      <c r="AD420" s="252"/>
    </row>
    <row r="421" spans="17:30">
      <c r="Q421" s="248"/>
      <c r="R421" s="248"/>
      <c r="S421" s="248"/>
      <c r="T421" s="248"/>
      <c r="U421" s="248"/>
      <c r="V421" s="247"/>
      <c r="W421" s="248"/>
      <c r="Y421" s="248"/>
      <c r="Z421" s="194"/>
      <c r="AA421" s="249"/>
      <c r="AB421" s="250"/>
      <c r="AC421" s="251"/>
      <c r="AD421" s="252"/>
    </row>
    <row r="422" spans="17:30">
      <c r="Q422" s="248"/>
      <c r="R422" s="248"/>
      <c r="S422" s="248"/>
      <c r="T422" s="248"/>
      <c r="U422" s="248"/>
      <c r="V422" s="247"/>
      <c r="W422" s="248"/>
      <c r="Y422" s="248"/>
      <c r="Z422" s="194"/>
      <c r="AA422" s="249"/>
      <c r="AB422" s="250"/>
      <c r="AC422" s="251"/>
      <c r="AD422" s="252"/>
    </row>
    <row r="423" spans="17:30">
      <c r="Q423" s="248"/>
      <c r="R423" s="248"/>
      <c r="S423" s="248"/>
      <c r="T423" s="248"/>
      <c r="U423" s="248"/>
      <c r="V423" s="247"/>
      <c r="W423" s="248"/>
      <c r="Y423" s="248"/>
      <c r="Z423" s="194"/>
      <c r="AA423" s="249"/>
      <c r="AB423" s="250"/>
      <c r="AC423" s="251"/>
      <c r="AD423" s="252"/>
    </row>
    <row r="424" spans="17:30">
      <c r="Q424" s="248"/>
      <c r="R424" s="248"/>
      <c r="S424" s="248"/>
      <c r="T424" s="248"/>
      <c r="U424" s="248"/>
      <c r="V424" s="247"/>
      <c r="W424" s="248"/>
      <c r="Y424" s="248"/>
      <c r="Z424" s="194"/>
      <c r="AA424" s="249"/>
      <c r="AB424" s="250"/>
      <c r="AC424" s="251"/>
      <c r="AD424" s="252"/>
    </row>
    <row r="425" spans="17:30">
      <c r="Q425" s="248"/>
      <c r="R425" s="248"/>
      <c r="S425" s="248"/>
      <c r="T425" s="248"/>
      <c r="U425" s="248"/>
      <c r="V425" s="247"/>
      <c r="W425" s="248"/>
      <c r="Y425" s="248"/>
      <c r="Z425" s="194"/>
      <c r="AA425" s="249"/>
      <c r="AB425" s="250"/>
      <c r="AC425" s="251"/>
      <c r="AD425" s="252"/>
    </row>
    <row r="426" spans="17:30">
      <c r="Q426" s="248"/>
      <c r="R426" s="248"/>
      <c r="S426" s="248"/>
      <c r="T426" s="248"/>
      <c r="U426" s="248"/>
      <c r="V426" s="247"/>
      <c r="W426" s="248"/>
      <c r="Y426" s="248"/>
      <c r="Z426" s="194"/>
      <c r="AA426" s="249"/>
      <c r="AB426" s="250"/>
      <c r="AC426" s="251"/>
      <c r="AD426" s="252"/>
    </row>
    <row r="427" spans="17:30">
      <c r="Q427" s="248"/>
      <c r="R427" s="248"/>
      <c r="S427" s="248"/>
      <c r="T427" s="248"/>
      <c r="U427" s="248"/>
      <c r="V427" s="247"/>
      <c r="W427" s="248"/>
      <c r="Y427" s="248"/>
      <c r="Z427" s="194"/>
      <c r="AA427" s="249"/>
      <c r="AB427" s="250"/>
      <c r="AC427" s="251"/>
      <c r="AD427" s="252"/>
    </row>
    <row r="428" spans="17:30">
      <c r="Q428" s="248"/>
      <c r="R428" s="248"/>
      <c r="S428" s="248"/>
      <c r="T428" s="248"/>
      <c r="U428" s="248"/>
      <c r="V428" s="247"/>
      <c r="W428" s="248"/>
      <c r="Y428" s="248"/>
      <c r="Z428" s="194"/>
      <c r="AA428" s="249"/>
      <c r="AB428" s="250"/>
      <c r="AC428" s="251"/>
      <c r="AD428" s="252"/>
    </row>
    <row r="429" spans="17:30">
      <c r="Q429" s="248"/>
      <c r="R429" s="248"/>
      <c r="S429" s="248"/>
      <c r="T429" s="248"/>
      <c r="U429" s="248"/>
      <c r="V429" s="247"/>
      <c r="W429" s="248"/>
      <c r="Y429" s="248"/>
      <c r="Z429" s="194"/>
      <c r="AA429" s="249"/>
      <c r="AB429" s="250"/>
      <c r="AC429" s="251"/>
      <c r="AD429" s="252"/>
    </row>
    <row r="430" spans="17:30">
      <c r="Q430" s="248"/>
      <c r="R430" s="248"/>
      <c r="S430" s="248"/>
      <c r="T430" s="248"/>
      <c r="U430" s="248"/>
      <c r="V430" s="247"/>
      <c r="W430" s="248"/>
      <c r="Y430" s="248"/>
      <c r="Z430" s="194"/>
      <c r="AA430" s="249"/>
      <c r="AB430" s="250"/>
      <c r="AC430" s="251"/>
      <c r="AD430" s="252"/>
    </row>
    <row r="431" spans="17:30">
      <c r="Q431" s="248"/>
      <c r="R431" s="248"/>
      <c r="S431" s="248"/>
      <c r="T431" s="248"/>
      <c r="U431" s="248"/>
      <c r="V431" s="247"/>
      <c r="W431" s="248"/>
      <c r="Y431" s="248"/>
      <c r="Z431" s="194"/>
      <c r="AA431" s="249"/>
      <c r="AB431" s="250"/>
      <c r="AC431" s="251"/>
      <c r="AD431" s="252"/>
    </row>
  </sheetData>
  <mergeCells count="31">
    <mergeCell ref="A255:L255"/>
    <mergeCell ref="A246:L246"/>
    <mergeCell ref="AF5:AF15"/>
    <mergeCell ref="AE27:AE33"/>
    <mergeCell ref="AF27:AF33"/>
    <mergeCell ref="AE5:AE15"/>
    <mergeCell ref="A16:L16"/>
    <mergeCell ref="A26:L26"/>
    <mergeCell ref="A149:L149"/>
    <mergeCell ref="A137:L137"/>
    <mergeCell ref="A123:L123"/>
    <mergeCell ref="A230:L230"/>
    <mergeCell ref="A162:L162"/>
    <mergeCell ref="A184:L184"/>
    <mergeCell ref="A207:L207"/>
    <mergeCell ref="G195:I195"/>
    <mergeCell ref="A194:L194"/>
    <mergeCell ref="A175:L175"/>
    <mergeCell ref="A223:L223"/>
    <mergeCell ref="A215:L215"/>
    <mergeCell ref="A2:L2"/>
    <mergeCell ref="A114:L114"/>
    <mergeCell ref="A68:L68"/>
    <mergeCell ref="A81:L81"/>
    <mergeCell ref="A87:L87"/>
    <mergeCell ref="A94:L94"/>
    <mergeCell ref="A106:L106"/>
    <mergeCell ref="A55:L55"/>
    <mergeCell ref="A34:L34"/>
    <mergeCell ref="A45:L45"/>
    <mergeCell ref="D3:I3"/>
  </mergeCells>
  <hyperlinks>
    <hyperlink ref="E82" r:id="rId1" display="javascript:void(0)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78"/>
  <sheetViews>
    <sheetView topLeftCell="B1" zoomScale="70" zoomScaleNormal="70" workbookViewId="0">
      <pane xSplit="20" ySplit="3" topLeftCell="W4" activePane="bottomRight" state="frozen"/>
      <selection activeCell="H139" sqref="H139"/>
      <selection pane="topRight" activeCell="H139" sqref="H139"/>
      <selection pane="bottomLeft" activeCell="H139" sqref="H139"/>
      <selection pane="bottomRight" activeCell="Q22" sqref="Q22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24.88671875" style="605" customWidth="1"/>
    <col min="8" max="8" width="23.109375" style="262" customWidth="1"/>
    <col min="9" max="9" width="6.6640625" style="261" customWidth="1"/>
    <col min="10" max="12" width="5.109375" style="261" customWidth="1"/>
    <col min="13" max="13" width="4.6640625" style="263" hidden="1" customWidth="1"/>
    <col min="14" max="14" width="7.5546875" style="265" hidden="1" customWidth="1"/>
    <col min="15" max="15" width="22.33203125" style="263" customWidth="1"/>
    <col min="16" max="16" width="20" style="263" customWidth="1"/>
    <col min="17" max="17" width="27.109375" style="266" customWidth="1"/>
    <col min="18" max="18" width="13.33203125" style="266" customWidth="1"/>
    <col min="19" max="19" width="14" style="266" customWidth="1"/>
    <col min="20" max="20" width="13.5546875" style="263" customWidth="1"/>
    <col min="21" max="22" width="0.109375" style="263" customWidth="1"/>
    <col min="23" max="23" width="14.33203125" style="264" customWidth="1"/>
    <col min="24" max="24" width="15.6640625" style="268" customWidth="1"/>
    <col min="25" max="25" width="12.6640625" style="268" customWidth="1"/>
    <col min="26" max="26" width="14" style="268" customWidth="1"/>
    <col min="27" max="27" width="15.6640625" style="264" customWidth="1"/>
    <col min="28" max="28" width="14.44140625" style="268" customWidth="1"/>
    <col min="29" max="29" width="19.44140625" style="268" customWidth="1"/>
    <col min="30" max="30" width="15.5546875" style="269" customWidth="1"/>
    <col min="31" max="31" width="27" style="270" customWidth="1"/>
    <col min="32" max="32" width="18.6640625" style="271" customWidth="1"/>
    <col min="33" max="33" width="16.6640625" style="272" customWidth="1"/>
    <col min="34" max="34" width="15.109375" style="273" customWidth="1"/>
    <col min="35" max="35" width="20.44140625" style="274" hidden="1" customWidth="1"/>
    <col min="36" max="36" width="20.6640625" style="274" hidden="1" customWidth="1"/>
    <col min="37" max="37" width="22" style="274" hidden="1" customWidth="1"/>
    <col min="38" max="38" width="26.109375" style="269" hidden="1" customWidth="1"/>
    <col min="39" max="39" width="34.33203125" style="196" hidden="1" customWidth="1"/>
    <col min="40" max="40" width="18.88671875" style="196" bestFit="1" customWidth="1"/>
    <col min="41" max="41" width="15" style="196" bestFit="1" customWidth="1"/>
    <col min="42" max="16384" width="9.109375" style="196"/>
  </cols>
  <sheetData>
    <row r="1" spans="1:41" s="702" customFormat="1" ht="15.75" customHeight="1">
      <c r="B1" s="3813" t="s">
        <v>7099</v>
      </c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3813"/>
      <c r="Q1" s="3813"/>
      <c r="R1" s="3813"/>
      <c r="S1" s="3813"/>
      <c r="T1" s="381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  <c r="AO1" s="703"/>
    </row>
    <row r="2" spans="1:41" ht="18">
      <c r="A2" s="193"/>
      <c r="B2" s="197"/>
      <c r="C2" s="198"/>
      <c r="D2" s="2835" t="s">
        <v>7330</v>
      </c>
      <c r="F2" s="600"/>
      <c r="G2" s="455" t="s">
        <v>6910</v>
      </c>
      <c r="H2" s="2838" t="s">
        <v>6911</v>
      </c>
      <c r="I2" s="2832"/>
      <c r="J2" s="2833"/>
      <c r="K2" s="2832"/>
      <c r="L2" s="2832"/>
      <c r="M2" s="2834"/>
      <c r="N2" s="2835"/>
      <c r="O2" s="2835"/>
      <c r="P2" s="2835"/>
      <c r="Q2" s="2836"/>
      <c r="R2" s="2837"/>
      <c r="S2" s="2837"/>
      <c r="T2" s="202"/>
      <c r="U2" s="203"/>
      <c r="V2" s="2549"/>
      <c r="W2" s="202"/>
      <c r="X2" s="198"/>
      <c r="Y2" s="198"/>
      <c r="Z2" s="198"/>
      <c r="AA2" s="199"/>
      <c r="AB2" s="199"/>
      <c r="AC2" s="199"/>
      <c r="AD2" s="199"/>
      <c r="AE2" s="205"/>
      <c r="AF2" s="199"/>
      <c r="AG2" s="199"/>
      <c r="AH2" s="206"/>
      <c r="AI2" s="207"/>
      <c r="AJ2" s="207"/>
      <c r="AK2" s="207"/>
      <c r="AL2" s="194"/>
      <c r="AM2" s="195"/>
      <c r="AN2" s="195"/>
    </row>
    <row r="3" spans="1:41" s="226" customFormat="1" ht="62.25" customHeight="1">
      <c r="A3" s="208" t="s">
        <v>174</v>
      </c>
      <c r="B3" s="209" t="s">
        <v>2</v>
      </c>
      <c r="C3" s="210" t="s">
        <v>3571</v>
      </c>
      <c r="D3" s="214" t="s">
        <v>7506</v>
      </c>
      <c r="E3" s="456" t="s">
        <v>175</v>
      </c>
      <c r="F3" s="601" t="s">
        <v>176</v>
      </c>
      <c r="G3" s="3270" t="s">
        <v>7307</v>
      </c>
      <c r="H3" s="212" t="s">
        <v>177</v>
      </c>
      <c r="I3" s="211" t="s">
        <v>179</v>
      </c>
      <c r="J3" s="211" t="s">
        <v>8</v>
      </c>
      <c r="K3" s="211" t="s">
        <v>9</v>
      </c>
      <c r="L3" s="211" t="s">
        <v>102</v>
      </c>
      <c r="M3" s="211" t="s">
        <v>404</v>
      </c>
      <c r="N3" s="214" t="s">
        <v>183</v>
      </c>
      <c r="O3" s="211" t="s">
        <v>185</v>
      </c>
      <c r="P3" s="210" t="s">
        <v>188</v>
      </c>
      <c r="Q3" s="215" t="s">
        <v>186</v>
      </c>
      <c r="R3" s="2562" t="s">
        <v>5941</v>
      </c>
      <c r="S3" s="210" t="s">
        <v>4398</v>
      </c>
      <c r="T3" s="210" t="s">
        <v>8097</v>
      </c>
      <c r="U3" s="211" t="s">
        <v>3572</v>
      </c>
      <c r="V3" s="2550"/>
      <c r="W3" s="212" t="s">
        <v>1291</v>
      </c>
      <c r="X3" s="217" t="s">
        <v>190</v>
      </c>
      <c r="Y3" s="217" t="s">
        <v>191</v>
      </c>
      <c r="Z3" s="218" t="s">
        <v>3574</v>
      </c>
      <c r="AA3" s="218" t="s">
        <v>1313</v>
      </c>
      <c r="AB3" s="219" t="s">
        <v>194</v>
      </c>
      <c r="AC3" s="219" t="s">
        <v>195</v>
      </c>
      <c r="AD3" s="220" t="s">
        <v>196</v>
      </c>
      <c r="AE3" s="221" t="s">
        <v>197</v>
      </c>
      <c r="AF3" s="218" t="s">
        <v>198</v>
      </c>
      <c r="AG3" s="219" t="s">
        <v>199</v>
      </c>
      <c r="AH3" s="222" t="s">
        <v>200</v>
      </c>
      <c r="AI3" s="223" t="s">
        <v>3575</v>
      </c>
      <c r="AJ3" s="223" t="s">
        <v>3576</v>
      </c>
      <c r="AK3" s="223" t="s">
        <v>3577</v>
      </c>
      <c r="AL3" s="224" t="s">
        <v>204</v>
      </c>
      <c r="AM3" s="225" t="s">
        <v>205</v>
      </c>
      <c r="AN3" s="225"/>
    </row>
    <row r="4" spans="1:41">
      <c r="B4" s="3811" t="s">
        <v>7126</v>
      </c>
      <c r="C4" s="3716"/>
      <c r="D4" s="3716"/>
      <c r="E4" s="3716"/>
      <c r="F4" s="3716"/>
      <c r="G4" s="3812"/>
      <c r="H4" s="3716"/>
      <c r="I4" s="3716"/>
      <c r="J4" s="3716"/>
      <c r="K4" s="3716"/>
      <c r="L4" s="3716"/>
      <c r="M4" s="3716"/>
      <c r="N4" s="346"/>
      <c r="O4" s="346"/>
      <c r="P4" s="346"/>
      <c r="Q4" s="346"/>
      <c r="R4" s="346"/>
      <c r="S4" s="346"/>
      <c r="T4" s="346"/>
      <c r="U4" s="346"/>
      <c r="V4" s="346"/>
      <c r="W4" s="590"/>
      <c r="X4" s="2165"/>
      <c r="Y4" s="590"/>
      <c r="Z4" s="357"/>
      <c r="AA4" s="357"/>
      <c r="AB4" s="357"/>
      <c r="AC4" s="590"/>
      <c r="AD4" s="358"/>
      <c r="AE4" s="358"/>
      <c r="AF4" s="1289"/>
      <c r="AG4" s="1289"/>
      <c r="AH4" s="1289"/>
      <c r="AI4" s="241"/>
      <c r="AJ4" s="241"/>
      <c r="AK4" s="241"/>
      <c r="AL4" s="194"/>
      <c r="AM4" s="195"/>
      <c r="AN4" s="195"/>
      <c r="AO4" s="1136"/>
    </row>
    <row r="5" spans="1:41" ht="31.2">
      <c r="B5" s="253">
        <v>1</v>
      </c>
      <c r="C5" s="244"/>
      <c r="D5" s="2447" t="s">
        <v>7331</v>
      </c>
      <c r="E5" s="3273">
        <v>107599803031</v>
      </c>
      <c r="F5" s="1034" t="s">
        <v>7313</v>
      </c>
      <c r="G5" s="228" t="s">
        <v>7210</v>
      </c>
      <c r="H5" s="1607" t="s">
        <v>7896</v>
      </c>
      <c r="I5" s="230"/>
      <c r="J5" s="230"/>
      <c r="K5" s="230">
        <v>1</v>
      </c>
      <c r="L5" s="230"/>
      <c r="M5" s="228"/>
      <c r="N5" s="257"/>
      <c r="O5" s="3272" t="s">
        <v>7308</v>
      </c>
      <c r="P5" s="228" t="s">
        <v>7309</v>
      </c>
      <c r="Q5" s="1284" t="s">
        <v>7310</v>
      </c>
      <c r="R5" s="2578" t="s">
        <v>7468</v>
      </c>
      <c r="S5" s="254" t="s">
        <v>287</v>
      </c>
      <c r="T5" s="254"/>
      <c r="U5" s="228"/>
      <c r="V5" s="2552"/>
      <c r="W5" s="256"/>
      <c r="X5" s="3276">
        <v>882000</v>
      </c>
      <c r="Y5" s="373">
        <v>1512000</v>
      </c>
      <c r="Z5" s="248"/>
      <c r="AA5" s="3276">
        <v>500000</v>
      </c>
      <c r="AB5" s="248"/>
      <c r="AC5" s="340">
        <f>W5+X5+Y5+AB5+Z5+AA5</f>
        <v>2894000</v>
      </c>
      <c r="AD5" s="347">
        <f>AC5</f>
        <v>2894000</v>
      </c>
      <c r="AE5" s="249" t="s">
        <v>1596</v>
      </c>
      <c r="AF5" s="3318">
        <f>(J5*4590000+K5*4690000)*1.08+(300000*1.08)+300000*1.08</f>
        <v>5713200</v>
      </c>
      <c r="AG5" s="342">
        <f>AF5+AD5</f>
        <v>8607200</v>
      </c>
      <c r="AH5" s="252"/>
      <c r="AI5" s="241"/>
      <c r="AJ5" s="241"/>
      <c r="AK5" s="241"/>
      <c r="AL5" s="194"/>
      <c r="AM5" s="195"/>
      <c r="AN5" s="195"/>
    </row>
    <row r="6" spans="1:41">
      <c r="B6" s="3811" t="s">
        <v>7528</v>
      </c>
      <c r="C6" s="3716"/>
      <c r="D6" s="3716"/>
      <c r="E6" s="3716"/>
      <c r="F6" s="3716"/>
      <c r="G6" s="3812"/>
      <c r="H6" s="3716"/>
      <c r="I6" s="3716"/>
      <c r="J6" s="3716"/>
      <c r="K6" s="3716"/>
      <c r="L6" s="3716"/>
      <c r="M6" s="3716"/>
      <c r="N6" s="346"/>
      <c r="O6" s="346"/>
      <c r="P6" s="346"/>
      <c r="Q6" s="346"/>
      <c r="R6" s="346"/>
      <c r="S6" s="346"/>
      <c r="T6" s="346"/>
      <c r="U6" s="346"/>
      <c r="V6" s="346"/>
      <c r="W6" s="590"/>
      <c r="X6" s="2165"/>
      <c r="Y6" s="590"/>
      <c r="Z6" s="357"/>
      <c r="AA6" s="357"/>
      <c r="AB6" s="357"/>
      <c r="AC6" s="590"/>
      <c r="AD6" s="358"/>
      <c r="AE6" s="358"/>
      <c r="AF6" s="1289"/>
      <c r="AG6" s="1289"/>
      <c r="AH6" s="1289"/>
      <c r="AI6" s="241"/>
      <c r="AJ6" s="241"/>
      <c r="AK6" s="241"/>
      <c r="AL6" s="194"/>
      <c r="AM6" s="195"/>
      <c r="AN6" s="195"/>
      <c r="AO6" s="1136"/>
    </row>
    <row r="7" spans="1:41" ht="31.2">
      <c r="B7" s="253">
        <f>+B5+1</f>
        <v>2</v>
      </c>
      <c r="C7" s="244"/>
      <c r="D7" s="1034" t="s">
        <v>7955</v>
      </c>
      <c r="E7" s="3273">
        <v>107719203100</v>
      </c>
      <c r="F7" s="1034" t="s">
        <v>7696</v>
      </c>
      <c r="G7" s="228" t="s">
        <v>7209</v>
      </c>
      <c r="H7" s="391" t="s">
        <v>8034</v>
      </c>
      <c r="I7" s="230" t="s">
        <v>206</v>
      </c>
      <c r="J7" s="230"/>
      <c r="K7" s="230">
        <v>1</v>
      </c>
      <c r="L7" s="230"/>
      <c r="M7" s="228"/>
      <c r="N7" s="257"/>
      <c r="O7" s="2570" t="s">
        <v>7526</v>
      </c>
      <c r="P7" s="228" t="s">
        <v>7505</v>
      </c>
      <c r="Q7" s="1284" t="s">
        <v>7722</v>
      </c>
      <c r="R7" s="2578" t="s">
        <v>8080</v>
      </c>
      <c r="S7" s="254" t="s">
        <v>287</v>
      </c>
      <c r="T7" s="254"/>
      <c r="U7" s="228"/>
      <c r="V7" s="2552"/>
      <c r="W7" s="256"/>
      <c r="X7" s="3276">
        <v>3910000</v>
      </c>
      <c r="Y7" s="373">
        <v>1500000</v>
      </c>
      <c r="Z7" s="248"/>
      <c r="AA7" s="3564">
        <v>500000</v>
      </c>
      <c r="AB7" s="3564">
        <v>592808</v>
      </c>
      <c r="AC7" s="340">
        <f>W7+X7+Y7+AB7+Z7+AA7</f>
        <v>6502808</v>
      </c>
      <c r="AD7" s="347">
        <f>AC7</f>
        <v>6502808</v>
      </c>
      <c r="AE7" s="249"/>
      <c r="AF7" s="3318">
        <f>(J7*4590000+K7*4690000)*1.08</f>
        <v>5065200</v>
      </c>
      <c r="AG7" s="342">
        <f>AF7+AD7</f>
        <v>11568008</v>
      </c>
      <c r="AH7" s="252"/>
      <c r="AI7" s="241"/>
      <c r="AJ7" s="241"/>
      <c r="AK7" s="241"/>
      <c r="AL7" s="194"/>
      <c r="AM7" s="195"/>
      <c r="AN7" s="195"/>
    </row>
    <row r="8" spans="1:41">
      <c r="B8" s="3811" t="s">
        <v>7960</v>
      </c>
      <c r="C8" s="3716"/>
      <c r="D8" s="3716"/>
      <c r="E8" s="3716"/>
      <c r="F8" s="3716"/>
      <c r="G8" s="3812"/>
      <c r="H8" s="3716"/>
      <c r="I8" s="3716"/>
      <c r="J8" s="3716"/>
      <c r="K8" s="3716"/>
      <c r="L8" s="3716"/>
      <c r="M8" s="3716"/>
      <c r="N8" s="346"/>
      <c r="O8" s="346"/>
      <c r="P8" s="346"/>
      <c r="Q8" s="346"/>
      <c r="R8" s="346"/>
      <c r="S8" s="346"/>
      <c r="T8" s="346"/>
      <c r="U8" s="346"/>
      <c r="V8" s="346"/>
      <c r="W8" s="590"/>
      <c r="X8" s="2165"/>
      <c r="Y8" s="590"/>
      <c r="Z8" s="357"/>
      <c r="AA8" s="357"/>
      <c r="AB8" s="357"/>
      <c r="AC8" s="590"/>
      <c r="AD8" s="358"/>
      <c r="AE8" s="358"/>
      <c r="AF8" s="1289">
        <f>SUM(AF5:AF7)</f>
        <v>10778400</v>
      </c>
      <c r="AG8" s="1289">
        <f>SUM(AG5:AG7)</f>
        <v>20175208</v>
      </c>
      <c r="AH8" s="1289"/>
      <c r="AI8" s="241"/>
      <c r="AJ8" s="241"/>
      <c r="AK8" s="241"/>
      <c r="AL8" s="194"/>
      <c r="AM8" s="195"/>
      <c r="AN8" s="195"/>
      <c r="AO8" s="1136"/>
    </row>
    <row r="9" spans="1:41" ht="46.8">
      <c r="B9" s="253">
        <v>1</v>
      </c>
      <c r="C9" s="244"/>
      <c r="D9" s="2447" t="s">
        <v>8113</v>
      </c>
      <c r="E9" s="466">
        <v>107728894450</v>
      </c>
      <c r="F9" s="645" t="s">
        <v>7844</v>
      </c>
      <c r="G9" s="3271" t="s">
        <v>7605</v>
      </c>
      <c r="H9" s="391" t="s">
        <v>8135</v>
      </c>
      <c r="I9" s="230" t="s">
        <v>206</v>
      </c>
      <c r="J9" s="230"/>
      <c r="K9" s="230">
        <v>1</v>
      </c>
      <c r="L9" s="230"/>
      <c r="M9" s="228"/>
      <c r="N9" s="257"/>
      <c r="O9" s="230">
        <v>264622030</v>
      </c>
      <c r="P9" s="228" t="s">
        <v>7878</v>
      </c>
      <c r="Q9" s="1284" t="s">
        <v>7918</v>
      </c>
      <c r="R9" s="2576" t="s">
        <v>8191</v>
      </c>
      <c r="S9" s="254" t="s">
        <v>287</v>
      </c>
      <c r="T9" s="254" t="s">
        <v>8103</v>
      </c>
      <c r="U9" s="1566"/>
      <c r="V9" s="1566"/>
      <c r="W9" s="256"/>
      <c r="X9" s="3276">
        <v>3482000</v>
      </c>
      <c r="Y9" s="373">
        <v>1500000</v>
      </c>
      <c r="Z9" s="248"/>
      <c r="AA9" s="3276">
        <v>500000</v>
      </c>
      <c r="AB9" s="248"/>
      <c r="AC9" s="340">
        <f>W9+X9+Y9+AB9+Z9+AA9</f>
        <v>5482000</v>
      </c>
      <c r="AD9" s="347">
        <f>AC9</f>
        <v>5482000</v>
      </c>
      <c r="AE9" s="249"/>
      <c r="AF9" s="3318">
        <f>(J9*4590000+K9*4690000)*1.08</f>
        <v>5065200</v>
      </c>
      <c r="AG9" s="342">
        <f>AF9+AD9</f>
        <v>10547200</v>
      </c>
      <c r="AH9" s="252"/>
      <c r="AI9" s="241"/>
      <c r="AJ9" s="241"/>
      <c r="AK9" s="241"/>
      <c r="AL9" s="194"/>
      <c r="AM9" s="195"/>
      <c r="AN9" s="195"/>
    </row>
    <row r="10" spans="1:41">
      <c r="B10" s="253">
        <f>+B9+1</f>
        <v>2</v>
      </c>
      <c r="C10" s="244"/>
      <c r="D10" s="661"/>
      <c r="E10" s="466"/>
      <c r="F10" s="615"/>
      <c r="G10" s="3271"/>
      <c r="H10" s="391"/>
      <c r="I10" s="230"/>
      <c r="J10" s="230"/>
      <c r="K10" s="230"/>
      <c r="L10" s="230"/>
      <c r="M10" s="228"/>
      <c r="N10" s="257"/>
      <c r="O10" s="228"/>
      <c r="P10" s="228"/>
      <c r="Q10" s="258"/>
      <c r="R10" s="2577"/>
      <c r="S10" s="2577"/>
      <c r="T10" s="254"/>
      <c r="U10" s="228"/>
      <c r="V10" s="2552"/>
      <c r="W10" s="256"/>
      <c r="X10" s="248"/>
      <c r="Y10" s="248"/>
      <c r="Z10" s="248"/>
      <c r="AA10" s="247"/>
      <c r="AB10" s="248"/>
      <c r="AC10" s="248"/>
      <c r="AD10" s="194"/>
      <c r="AE10" s="249"/>
      <c r="AF10" s="250"/>
      <c r="AG10" s="251"/>
      <c r="AH10" s="252"/>
      <c r="AI10" s="241"/>
      <c r="AJ10" s="241"/>
      <c r="AK10" s="241"/>
      <c r="AL10" s="194"/>
      <c r="AM10" s="195"/>
      <c r="AN10" s="195"/>
    </row>
    <row r="11" spans="1:41">
      <c r="B11" s="253">
        <f t="shared" ref="B11:B51" si="0">+B10+1</f>
        <v>3</v>
      </c>
      <c r="C11" s="244"/>
      <c r="D11" s="661"/>
      <c r="E11" s="466"/>
      <c r="F11" s="615"/>
      <c r="G11" s="3271"/>
      <c r="H11" s="391"/>
      <c r="I11" s="230"/>
      <c r="J11" s="230"/>
      <c r="K11" s="230"/>
      <c r="L11" s="230"/>
      <c r="M11" s="228"/>
      <c r="N11" s="257"/>
      <c r="O11" s="228"/>
      <c r="P11" s="228"/>
      <c r="Q11" s="258"/>
      <c r="R11" s="2577"/>
      <c r="S11" s="2577"/>
      <c r="T11" s="254"/>
      <c r="U11" s="228"/>
      <c r="V11" s="2552"/>
      <c r="W11" s="256"/>
      <c r="X11" s="248"/>
      <c r="Y11" s="248"/>
      <c r="Z11" s="248"/>
      <c r="AA11" s="247"/>
      <c r="AB11" s="248"/>
      <c r="AC11" s="248"/>
      <c r="AD11" s="194"/>
      <c r="AE11" s="249"/>
      <c r="AF11" s="250"/>
      <c r="AG11" s="251"/>
      <c r="AH11" s="252"/>
      <c r="AI11" s="241"/>
      <c r="AJ11" s="241"/>
      <c r="AK11" s="241"/>
      <c r="AL11" s="194"/>
      <c r="AM11" s="195"/>
      <c r="AN11" s="195"/>
    </row>
    <row r="12" spans="1:41">
      <c r="B12" s="253">
        <f t="shared" si="0"/>
        <v>4</v>
      </c>
      <c r="C12" s="244"/>
      <c r="D12" s="661"/>
      <c r="E12" s="466"/>
      <c r="F12" s="615"/>
      <c r="G12" s="3271"/>
      <c r="H12" s="230"/>
      <c r="I12" s="230"/>
      <c r="J12" s="230"/>
      <c r="K12" s="230"/>
      <c r="L12" s="230"/>
      <c r="M12" s="228"/>
      <c r="N12" s="257"/>
      <c r="O12" s="228"/>
      <c r="P12" s="228"/>
      <c r="Q12" s="258"/>
      <c r="R12" s="2577"/>
      <c r="S12" s="2577"/>
      <c r="T12" s="254"/>
      <c r="U12" s="228"/>
      <c r="V12" s="2552"/>
      <c r="W12" s="256"/>
      <c r="X12" s="248"/>
      <c r="Y12" s="248"/>
      <c r="Z12" s="248"/>
      <c r="AA12" s="247"/>
      <c r="AB12" s="248"/>
      <c r="AC12" s="248"/>
      <c r="AD12" s="194"/>
      <c r="AE12" s="249"/>
      <c r="AF12" s="250"/>
      <c r="AG12" s="251"/>
      <c r="AH12" s="252"/>
      <c r="AI12" s="241"/>
      <c r="AJ12" s="241"/>
      <c r="AK12" s="241"/>
      <c r="AL12" s="194"/>
      <c r="AM12" s="195"/>
      <c r="AN12" s="195"/>
    </row>
    <row r="13" spans="1:41">
      <c r="B13" s="253">
        <f t="shared" si="0"/>
        <v>5</v>
      </c>
      <c r="C13" s="244"/>
      <c r="D13" s="661"/>
      <c r="E13" s="466"/>
      <c r="F13" s="615"/>
      <c r="G13" s="3271"/>
      <c r="H13" s="230"/>
      <c r="I13" s="230"/>
      <c r="J13" s="230"/>
      <c r="K13" s="230"/>
      <c r="L13" s="230"/>
      <c r="M13" s="228"/>
      <c r="N13" s="257"/>
      <c r="O13" s="228"/>
      <c r="P13" s="228"/>
      <c r="Q13" s="258"/>
      <c r="R13" s="2577"/>
      <c r="S13" s="2577"/>
      <c r="T13" s="254"/>
      <c r="U13" s="228"/>
      <c r="V13" s="2552"/>
      <c r="W13" s="256"/>
      <c r="X13" s="248"/>
      <c r="Y13" s="248"/>
      <c r="Z13" s="248"/>
      <c r="AA13" s="247"/>
      <c r="AB13" s="248"/>
      <c r="AC13" s="248"/>
      <c r="AD13" s="194"/>
      <c r="AE13" s="249"/>
      <c r="AF13" s="250"/>
      <c r="AG13" s="251"/>
      <c r="AH13" s="252"/>
      <c r="AI13" s="241"/>
      <c r="AJ13" s="241"/>
      <c r="AK13" s="241"/>
      <c r="AL13" s="194"/>
      <c r="AM13" s="195"/>
      <c r="AN13" s="195"/>
    </row>
    <row r="14" spans="1:41">
      <c r="B14" s="253">
        <f t="shared" si="0"/>
        <v>6</v>
      </c>
      <c r="C14" s="244"/>
      <c r="D14" s="661"/>
      <c r="E14" s="466"/>
      <c r="F14" s="615"/>
      <c r="G14" s="3271"/>
      <c r="H14" s="230"/>
      <c r="I14" s="230"/>
      <c r="J14" s="230"/>
      <c r="K14" s="230"/>
      <c r="L14" s="230"/>
      <c r="M14" s="228"/>
      <c r="N14" s="257"/>
      <c r="O14" s="228"/>
      <c r="P14" s="228"/>
      <c r="Q14" s="258"/>
      <c r="R14" s="2577"/>
      <c r="S14" s="2577"/>
      <c r="T14" s="3433"/>
      <c r="U14" s="228"/>
      <c r="V14" s="2552"/>
      <c r="W14" s="256"/>
      <c r="X14" s="248"/>
      <c r="Y14" s="248"/>
      <c r="Z14" s="248"/>
      <c r="AA14" s="247"/>
      <c r="AB14" s="248"/>
      <c r="AC14" s="248"/>
      <c r="AD14" s="194"/>
      <c r="AE14" s="249"/>
      <c r="AF14" s="250"/>
      <c r="AG14" s="251"/>
      <c r="AH14" s="252"/>
      <c r="AI14" s="241"/>
      <c r="AJ14" s="241"/>
      <c r="AK14" s="241"/>
      <c r="AL14" s="194"/>
      <c r="AM14" s="195"/>
      <c r="AN14" s="195"/>
    </row>
    <row r="15" spans="1:41">
      <c r="B15" s="253">
        <f t="shared" si="0"/>
        <v>7</v>
      </c>
      <c r="C15" s="244"/>
      <c r="D15" s="661"/>
      <c r="E15" s="466"/>
      <c r="F15" s="615"/>
      <c r="G15" s="3271"/>
      <c r="H15" s="230"/>
      <c r="I15" s="230"/>
      <c r="J15" s="230"/>
      <c r="K15" s="230"/>
      <c r="L15" s="230"/>
      <c r="M15" s="228"/>
      <c r="N15" s="257"/>
      <c r="O15" s="228"/>
      <c r="P15" s="228"/>
      <c r="Q15" s="258"/>
      <c r="R15" s="2577"/>
      <c r="S15" s="2577"/>
      <c r="T15" s="254"/>
      <c r="U15" s="228"/>
      <c r="V15" s="2552"/>
      <c r="W15" s="256"/>
      <c r="X15" s="248"/>
      <c r="Y15" s="248"/>
      <c r="Z15" s="248"/>
      <c r="AA15" s="247"/>
      <c r="AB15" s="248"/>
      <c r="AC15" s="248"/>
      <c r="AD15" s="194"/>
      <c r="AE15" s="249"/>
      <c r="AF15" s="250"/>
      <c r="AG15" s="251"/>
      <c r="AH15" s="252"/>
      <c r="AI15" s="241"/>
      <c r="AJ15" s="241"/>
      <c r="AK15" s="241"/>
      <c r="AL15" s="194"/>
      <c r="AM15" s="195"/>
      <c r="AN15" s="195"/>
    </row>
    <row r="16" spans="1:41">
      <c r="B16" s="253">
        <f t="shared" si="0"/>
        <v>8</v>
      </c>
      <c r="C16" s="244"/>
      <c r="D16" s="661"/>
      <c r="E16" s="466"/>
      <c r="F16" s="615"/>
      <c r="G16" s="3271"/>
      <c r="H16" s="230"/>
      <c r="I16" s="230"/>
      <c r="J16" s="230"/>
      <c r="K16" s="230"/>
      <c r="L16" s="230"/>
      <c r="M16" s="228"/>
      <c r="N16" s="257"/>
      <c r="O16" s="228"/>
      <c r="P16" s="228"/>
      <c r="Q16" s="258"/>
      <c r="R16" s="2577"/>
      <c r="S16" s="2577"/>
      <c r="T16" s="254"/>
      <c r="U16" s="228"/>
      <c r="V16" s="2552"/>
      <c r="W16" s="256"/>
      <c r="X16" s="248"/>
      <c r="Y16" s="248"/>
      <c r="Z16" s="248"/>
      <c r="AA16" s="247"/>
      <c r="AB16" s="248"/>
      <c r="AC16" s="248"/>
      <c r="AD16" s="194"/>
      <c r="AE16" s="249"/>
      <c r="AF16" s="250"/>
      <c r="AG16" s="251"/>
      <c r="AH16" s="252"/>
      <c r="AI16" s="241"/>
      <c r="AJ16" s="241"/>
      <c r="AK16" s="241"/>
      <c r="AL16" s="194"/>
      <c r="AM16" s="195"/>
      <c r="AN16" s="195"/>
    </row>
    <row r="17" spans="2:40">
      <c r="B17" s="253">
        <f t="shared" si="0"/>
        <v>9</v>
      </c>
      <c r="C17" s="244"/>
      <c r="D17" s="661"/>
      <c r="E17" s="466"/>
      <c r="F17" s="615"/>
      <c r="G17" s="3271"/>
      <c r="H17" s="230"/>
      <c r="I17" s="230"/>
      <c r="J17" s="230"/>
      <c r="K17" s="230"/>
      <c r="L17" s="230"/>
      <c r="M17" s="228"/>
      <c r="N17" s="257"/>
      <c r="O17" s="228"/>
      <c r="P17" s="228"/>
      <c r="Q17" s="258"/>
      <c r="R17" s="2577"/>
      <c r="S17" s="2577"/>
      <c r="T17" s="254"/>
      <c r="U17" s="228"/>
      <c r="V17" s="2552"/>
      <c r="W17" s="256"/>
      <c r="X17" s="248"/>
      <c r="Y17" s="248"/>
      <c r="Z17" s="248"/>
      <c r="AA17" s="247"/>
      <c r="AB17" s="248"/>
      <c r="AC17" s="248"/>
      <c r="AD17" s="194"/>
      <c r="AE17" s="249"/>
      <c r="AF17" s="250"/>
      <c r="AG17" s="251"/>
      <c r="AH17" s="252"/>
      <c r="AI17" s="241"/>
      <c r="AJ17" s="241"/>
      <c r="AK17" s="241"/>
      <c r="AL17" s="194"/>
      <c r="AM17" s="195"/>
      <c r="AN17" s="195"/>
    </row>
    <row r="18" spans="2:40">
      <c r="B18" s="253">
        <f t="shared" si="0"/>
        <v>10</v>
      </c>
      <c r="C18" s="244"/>
      <c r="D18" s="661"/>
      <c r="E18" s="466"/>
      <c r="F18" s="615"/>
      <c r="G18" s="3271"/>
      <c r="H18" s="230"/>
      <c r="I18" s="230"/>
      <c r="J18" s="230"/>
      <c r="K18" s="230"/>
      <c r="L18" s="230"/>
      <c r="M18" s="228"/>
      <c r="N18" s="257"/>
      <c r="O18" s="228"/>
      <c r="P18" s="228"/>
      <c r="Q18" s="258"/>
      <c r="R18" s="2577"/>
      <c r="S18" s="2577"/>
      <c r="T18" s="254"/>
      <c r="U18" s="228"/>
      <c r="V18" s="2552"/>
      <c r="W18" s="256"/>
      <c r="X18" s="248"/>
      <c r="Y18" s="248"/>
      <c r="Z18" s="248"/>
      <c r="AA18" s="247"/>
      <c r="AB18" s="248"/>
      <c r="AC18" s="248"/>
      <c r="AD18" s="194"/>
      <c r="AE18" s="249"/>
      <c r="AF18" s="250"/>
      <c r="AG18" s="251"/>
      <c r="AH18" s="252"/>
      <c r="AI18" s="241"/>
      <c r="AJ18" s="241"/>
      <c r="AK18" s="241"/>
      <c r="AL18" s="194"/>
      <c r="AM18" s="195"/>
      <c r="AN18" s="195"/>
    </row>
    <row r="19" spans="2:40">
      <c r="B19" s="253">
        <f t="shared" si="0"/>
        <v>11</v>
      </c>
      <c r="C19" s="244"/>
      <c r="D19" s="661"/>
      <c r="E19" s="466"/>
      <c r="F19" s="615"/>
      <c r="G19" s="3271"/>
      <c r="H19" s="230"/>
      <c r="I19" s="230"/>
      <c r="J19" s="230"/>
      <c r="K19" s="230"/>
      <c r="L19" s="230"/>
      <c r="M19" s="228"/>
      <c r="N19" s="257"/>
      <c r="O19" s="228"/>
      <c r="P19" s="228"/>
      <c r="Q19" s="258"/>
      <c r="R19" s="2577"/>
      <c r="S19" s="2577"/>
      <c r="T19" s="254"/>
      <c r="U19" s="228"/>
      <c r="V19" s="2552"/>
      <c r="W19" s="256"/>
      <c r="X19" s="248"/>
      <c r="Y19" s="248"/>
      <c r="Z19" s="248"/>
      <c r="AA19" s="247"/>
      <c r="AB19" s="248"/>
      <c r="AC19" s="248"/>
      <c r="AD19" s="194"/>
      <c r="AE19" s="249"/>
      <c r="AF19" s="250"/>
      <c r="AG19" s="251"/>
      <c r="AH19" s="252"/>
      <c r="AI19" s="241"/>
      <c r="AJ19" s="241"/>
      <c r="AK19" s="241"/>
      <c r="AL19" s="194"/>
      <c r="AM19" s="195"/>
      <c r="AN19" s="195"/>
    </row>
    <row r="20" spans="2:40">
      <c r="B20" s="253">
        <f t="shared" si="0"/>
        <v>12</v>
      </c>
      <c r="C20" s="244"/>
      <c r="D20" s="661"/>
      <c r="E20" s="466"/>
      <c r="F20" s="615"/>
      <c r="G20" s="3271"/>
      <c r="H20" s="230"/>
      <c r="I20" s="230"/>
      <c r="J20" s="230"/>
      <c r="K20" s="230"/>
      <c r="L20" s="230"/>
      <c r="M20" s="228"/>
      <c r="N20" s="257"/>
      <c r="O20" s="228"/>
      <c r="P20" s="228"/>
      <c r="Q20" s="258"/>
      <c r="R20" s="2577"/>
      <c r="S20" s="2577"/>
      <c r="T20" s="254"/>
      <c r="U20" s="228"/>
      <c r="V20" s="2552"/>
      <c r="W20" s="256"/>
      <c r="X20" s="248"/>
      <c r="Y20" s="248"/>
      <c r="Z20" s="248"/>
      <c r="AA20" s="247"/>
      <c r="AB20" s="248"/>
      <c r="AC20" s="248"/>
      <c r="AD20" s="194"/>
      <c r="AE20" s="249"/>
      <c r="AF20" s="250"/>
      <c r="AG20" s="251"/>
      <c r="AH20" s="252"/>
      <c r="AI20" s="241"/>
      <c r="AJ20" s="241"/>
      <c r="AK20" s="241"/>
      <c r="AL20" s="194"/>
      <c r="AM20" s="195"/>
      <c r="AN20" s="195"/>
    </row>
    <row r="21" spans="2:40">
      <c r="B21" s="253">
        <f t="shared" si="0"/>
        <v>13</v>
      </c>
      <c r="C21" s="244"/>
      <c r="D21" s="661"/>
      <c r="E21" s="466"/>
      <c r="F21" s="615"/>
      <c r="G21" s="3271"/>
      <c r="H21" s="230"/>
      <c r="I21" s="230"/>
      <c r="J21" s="230"/>
      <c r="K21" s="230"/>
      <c r="L21" s="230"/>
      <c r="M21" s="228"/>
      <c r="N21" s="257"/>
      <c r="O21" s="228"/>
      <c r="P21" s="228"/>
      <c r="Q21" s="258"/>
      <c r="R21" s="2577"/>
      <c r="S21" s="2577"/>
      <c r="T21" s="254"/>
      <c r="U21" s="228"/>
      <c r="V21" s="2552"/>
      <c r="W21" s="256"/>
      <c r="X21" s="248"/>
      <c r="Y21" s="248"/>
      <c r="Z21" s="248"/>
      <c r="AA21" s="247"/>
      <c r="AB21" s="248"/>
      <c r="AC21" s="248"/>
      <c r="AD21" s="194"/>
      <c r="AE21" s="249"/>
      <c r="AF21" s="250"/>
      <c r="AG21" s="251"/>
      <c r="AH21" s="252"/>
      <c r="AI21" s="241"/>
      <c r="AJ21" s="241"/>
      <c r="AK21" s="241"/>
      <c r="AL21" s="194"/>
      <c r="AM21" s="195"/>
      <c r="AN21" s="195"/>
    </row>
    <row r="22" spans="2:40">
      <c r="B22" s="253">
        <f t="shared" si="0"/>
        <v>14</v>
      </c>
      <c r="C22" s="244"/>
      <c r="D22" s="661"/>
      <c r="E22" s="466"/>
      <c r="F22" s="615"/>
      <c r="G22" s="3271"/>
      <c r="H22" s="230"/>
      <c r="I22" s="230"/>
      <c r="J22" s="230"/>
      <c r="K22" s="230"/>
      <c r="L22" s="230"/>
      <c r="M22" s="228"/>
      <c r="N22" s="257"/>
      <c r="O22" s="228"/>
      <c r="P22" s="228"/>
      <c r="Q22" s="258"/>
      <c r="R22" s="2577"/>
      <c r="S22" s="2577"/>
      <c r="T22" s="254"/>
      <c r="U22" s="228"/>
      <c r="V22" s="2552"/>
      <c r="W22" s="256"/>
      <c r="X22" s="248"/>
      <c r="Y22" s="248"/>
      <c r="Z22" s="248"/>
      <c r="AA22" s="247"/>
      <c r="AB22" s="248"/>
      <c r="AC22" s="248"/>
      <c r="AD22" s="194"/>
      <c r="AE22" s="249"/>
      <c r="AF22" s="250"/>
      <c r="AG22" s="251"/>
      <c r="AH22" s="252"/>
      <c r="AI22" s="241"/>
      <c r="AJ22" s="241"/>
      <c r="AK22" s="241"/>
      <c r="AL22" s="194"/>
      <c r="AM22" s="195"/>
      <c r="AN22" s="195"/>
    </row>
    <row r="23" spans="2:40">
      <c r="B23" s="253">
        <f t="shared" si="0"/>
        <v>15</v>
      </c>
      <c r="C23" s="244"/>
      <c r="D23" s="661"/>
      <c r="E23" s="466"/>
      <c r="F23" s="615"/>
      <c r="H23" s="230"/>
      <c r="I23" s="230"/>
      <c r="J23" s="230"/>
      <c r="K23" s="230"/>
      <c r="L23" s="230"/>
      <c r="M23" s="228"/>
      <c r="N23" s="257"/>
      <c r="O23" s="228"/>
      <c r="P23" s="228"/>
      <c r="Q23" s="258"/>
      <c r="R23" s="2577"/>
      <c r="S23" s="2577"/>
      <c r="T23" s="254"/>
      <c r="U23" s="228"/>
      <c r="V23" s="2552"/>
      <c r="W23" s="256"/>
      <c r="X23" s="248"/>
      <c r="Y23" s="248"/>
      <c r="Z23" s="248"/>
      <c r="AA23" s="247"/>
      <c r="AB23" s="248"/>
      <c r="AC23" s="248"/>
      <c r="AD23" s="194"/>
      <c r="AE23" s="249"/>
      <c r="AF23" s="250"/>
      <c r="AG23" s="251"/>
      <c r="AH23" s="252"/>
      <c r="AI23" s="241"/>
      <c r="AJ23" s="241"/>
      <c r="AK23" s="241"/>
      <c r="AL23" s="194"/>
      <c r="AM23" s="195"/>
      <c r="AN23" s="195"/>
    </row>
    <row r="24" spans="2:40">
      <c r="B24" s="253">
        <f t="shared" si="0"/>
        <v>16</v>
      </c>
      <c r="C24" s="244"/>
      <c r="D24" s="661"/>
      <c r="E24" s="466"/>
      <c r="F24" s="615"/>
      <c r="G24" s="3271"/>
      <c r="H24" s="230"/>
      <c r="I24" s="230"/>
      <c r="J24" s="230"/>
      <c r="K24" s="230"/>
      <c r="L24" s="230"/>
      <c r="M24" s="228"/>
      <c r="N24" s="257"/>
      <c r="O24" s="228"/>
      <c r="P24" s="228"/>
      <c r="Q24" s="258"/>
      <c r="R24" s="2577"/>
      <c r="S24" s="2577"/>
      <c r="T24" s="254"/>
      <c r="U24" s="228"/>
      <c r="V24" s="2552"/>
      <c r="W24" s="256"/>
      <c r="X24" s="248"/>
      <c r="Y24" s="248"/>
      <c r="Z24" s="248"/>
      <c r="AA24" s="247"/>
      <c r="AB24" s="248"/>
      <c r="AC24" s="248"/>
      <c r="AD24" s="194"/>
      <c r="AE24" s="249"/>
      <c r="AF24" s="250"/>
      <c r="AG24" s="251"/>
      <c r="AH24" s="252"/>
      <c r="AI24" s="241"/>
      <c r="AJ24" s="241"/>
      <c r="AK24" s="241"/>
      <c r="AL24" s="194"/>
      <c r="AM24" s="195"/>
      <c r="AN24" s="195"/>
    </row>
    <row r="25" spans="2:40">
      <c r="B25" s="253">
        <f t="shared" si="0"/>
        <v>17</v>
      </c>
      <c r="C25" s="244"/>
      <c r="D25" s="661"/>
      <c r="E25" s="466"/>
      <c r="F25" s="615"/>
      <c r="G25" s="3271"/>
      <c r="H25" s="230"/>
      <c r="I25" s="230"/>
      <c r="J25" s="230"/>
      <c r="K25" s="230"/>
      <c r="L25" s="230"/>
      <c r="M25" s="228"/>
      <c r="N25" s="257"/>
      <c r="O25" s="228"/>
      <c r="P25" s="228"/>
      <c r="Q25" s="258"/>
      <c r="R25" s="2577"/>
      <c r="S25" s="2577"/>
      <c r="T25" s="254"/>
      <c r="U25" s="228"/>
      <c r="V25" s="2552"/>
      <c r="W25" s="256"/>
      <c r="X25" s="248"/>
      <c r="Y25" s="248"/>
      <c r="Z25" s="248"/>
      <c r="AA25" s="247"/>
      <c r="AB25" s="248"/>
      <c r="AC25" s="248"/>
      <c r="AD25" s="194"/>
      <c r="AE25" s="249"/>
      <c r="AF25" s="250"/>
      <c r="AG25" s="251"/>
      <c r="AH25" s="252"/>
      <c r="AI25" s="241"/>
      <c r="AJ25" s="241"/>
      <c r="AK25" s="241"/>
      <c r="AL25" s="194"/>
      <c r="AM25" s="195"/>
      <c r="AN25" s="195"/>
    </row>
    <row r="26" spans="2:40">
      <c r="B26" s="253">
        <f t="shared" si="0"/>
        <v>18</v>
      </c>
      <c r="C26" s="244"/>
      <c r="D26" s="661"/>
      <c r="E26" s="466"/>
      <c r="F26" s="615"/>
      <c r="G26" s="3271"/>
      <c r="H26" s="230"/>
      <c r="I26" s="230"/>
      <c r="J26" s="230"/>
      <c r="K26" s="230"/>
      <c r="L26" s="230"/>
      <c r="M26" s="228"/>
      <c r="N26" s="257"/>
      <c r="O26" s="228"/>
      <c r="P26" s="228"/>
      <c r="Q26" s="258"/>
      <c r="R26" s="2577"/>
      <c r="S26" s="2577"/>
      <c r="T26" s="254"/>
      <c r="U26" s="228"/>
      <c r="V26" s="2552"/>
      <c r="W26" s="256"/>
      <c r="X26" s="248"/>
      <c r="Y26" s="248"/>
      <c r="Z26" s="248"/>
      <c r="AA26" s="247"/>
      <c r="AB26" s="248"/>
      <c r="AC26" s="248"/>
      <c r="AD26" s="194"/>
      <c r="AE26" s="249"/>
      <c r="AF26" s="250"/>
      <c r="AG26" s="251"/>
      <c r="AH26" s="252"/>
      <c r="AI26" s="241"/>
      <c r="AJ26" s="241"/>
      <c r="AK26" s="241"/>
      <c r="AL26" s="194"/>
      <c r="AM26" s="195"/>
      <c r="AN26" s="195"/>
    </row>
    <row r="27" spans="2:40">
      <c r="B27" s="253">
        <f t="shared" si="0"/>
        <v>19</v>
      </c>
      <c r="C27" s="244"/>
      <c r="D27" s="661"/>
      <c r="E27" s="466"/>
      <c r="F27" s="615"/>
      <c r="G27" s="3271"/>
      <c r="H27" s="230"/>
      <c r="I27" s="230"/>
      <c r="J27" s="230"/>
      <c r="K27" s="230"/>
      <c r="L27" s="230"/>
      <c r="M27" s="228"/>
      <c r="N27" s="257"/>
      <c r="O27" s="228"/>
      <c r="P27" s="228"/>
      <c r="Q27" s="258"/>
      <c r="R27" s="2577"/>
      <c r="S27" s="2577"/>
      <c r="T27" s="254"/>
      <c r="U27" s="228"/>
      <c r="V27" s="2552"/>
      <c r="W27" s="256"/>
      <c r="X27" s="248"/>
      <c r="Y27" s="248"/>
      <c r="Z27" s="248"/>
      <c r="AA27" s="247"/>
      <c r="AB27" s="248"/>
      <c r="AC27" s="248"/>
      <c r="AD27" s="194"/>
      <c r="AE27" s="249"/>
      <c r="AF27" s="250"/>
      <c r="AG27" s="251"/>
      <c r="AH27" s="252"/>
      <c r="AI27" s="241"/>
      <c r="AJ27" s="241"/>
      <c r="AK27" s="241"/>
      <c r="AL27" s="194"/>
      <c r="AM27" s="195"/>
      <c r="AN27" s="195"/>
    </row>
    <row r="28" spans="2:40">
      <c r="B28" s="253">
        <f t="shared" si="0"/>
        <v>20</v>
      </c>
      <c r="C28" s="244"/>
      <c r="D28" s="661"/>
      <c r="E28" s="466"/>
      <c r="F28" s="615"/>
      <c r="G28" s="3271"/>
      <c r="H28" s="230"/>
      <c r="I28" s="230"/>
      <c r="J28" s="230"/>
      <c r="K28" s="230"/>
      <c r="L28" s="230"/>
      <c r="M28" s="228"/>
      <c r="N28" s="257"/>
      <c r="O28" s="228"/>
      <c r="P28" s="228"/>
      <c r="Q28" s="258"/>
      <c r="R28" s="2577"/>
      <c r="S28" s="2577"/>
      <c r="T28" s="254"/>
      <c r="U28" s="228"/>
      <c r="V28" s="2552"/>
      <c r="W28" s="256"/>
      <c r="X28" s="248"/>
      <c r="Y28" s="248"/>
      <c r="Z28" s="248"/>
      <c r="AA28" s="247"/>
      <c r="AB28" s="248"/>
      <c r="AC28" s="248"/>
      <c r="AD28" s="194"/>
      <c r="AE28" s="249"/>
      <c r="AF28" s="250"/>
      <c r="AG28" s="251"/>
      <c r="AH28" s="252"/>
      <c r="AI28" s="241"/>
      <c r="AJ28" s="241"/>
      <c r="AK28" s="241"/>
      <c r="AL28" s="194"/>
      <c r="AM28" s="195"/>
      <c r="AN28" s="195"/>
    </row>
    <row r="29" spans="2:40">
      <c r="B29" s="253">
        <f t="shared" si="0"/>
        <v>21</v>
      </c>
      <c r="C29" s="244"/>
      <c r="D29" s="661"/>
      <c r="E29" s="466"/>
      <c r="F29" s="615"/>
      <c r="G29" s="3271"/>
      <c r="H29" s="230"/>
      <c r="I29" s="230"/>
      <c r="J29" s="230"/>
      <c r="K29" s="230"/>
      <c r="L29" s="230"/>
      <c r="M29" s="228"/>
      <c r="N29" s="257"/>
      <c r="O29" s="228"/>
      <c r="P29" s="228"/>
      <c r="Q29" s="258"/>
      <c r="R29" s="2577"/>
      <c r="S29" s="2577"/>
      <c r="T29" s="254"/>
      <c r="U29" s="228"/>
      <c r="V29" s="2552"/>
      <c r="W29" s="256"/>
      <c r="X29" s="248"/>
      <c r="Y29" s="248"/>
      <c r="Z29" s="248"/>
      <c r="AA29" s="247"/>
      <c r="AB29" s="248"/>
      <c r="AC29" s="248"/>
      <c r="AD29" s="194"/>
      <c r="AE29" s="249"/>
      <c r="AF29" s="250"/>
      <c r="AG29" s="251"/>
      <c r="AH29" s="252"/>
      <c r="AI29" s="241"/>
      <c r="AJ29" s="241"/>
      <c r="AK29" s="241"/>
      <c r="AL29" s="194"/>
      <c r="AM29" s="195"/>
      <c r="AN29" s="195"/>
    </row>
    <row r="30" spans="2:40">
      <c r="B30" s="253">
        <f t="shared" si="0"/>
        <v>22</v>
      </c>
      <c r="C30" s="244"/>
      <c r="D30" s="661"/>
      <c r="E30" s="466"/>
      <c r="F30" s="615"/>
      <c r="G30" s="3271"/>
      <c r="H30" s="230"/>
      <c r="I30" s="230"/>
      <c r="J30" s="230"/>
      <c r="K30" s="230"/>
      <c r="L30" s="230"/>
      <c r="M30" s="228"/>
      <c r="N30" s="257"/>
      <c r="O30" s="228"/>
      <c r="P30" s="228"/>
      <c r="Q30" s="258"/>
      <c r="R30" s="2577"/>
      <c r="S30" s="2577"/>
      <c r="T30" s="254"/>
      <c r="U30" s="228"/>
      <c r="V30" s="2552"/>
      <c r="W30" s="256"/>
      <c r="X30" s="248"/>
      <c r="Y30" s="248"/>
      <c r="Z30" s="248"/>
      <c r="AA30" s="247"/>
      <c r="AB30" s="248"/>
      <c r="AC30" s="248"/>
      <c r="AD30" s="194"/>
      <c r="AE30" s="249"/>
      <c r="AF30" s="250"/>
      <c r="AG30" s="251"/>
      <c r="AH30" s="252"/>
      <c r="AI30" s="241"/>
      <c r="AJ30" s="241"/>
      <c r="AK30" s="241"/>
      <c r="AL30" s="194"/>
      <c r="AM30" s="195"/>
      <c r="AN30" s="195"/>
    </row>
    <row r="31" spans="2:40">
      <c r="B31" s="253">
        <f t="shared" si="0"/>
        <v>23</v>
      </c>
      <c r="C31" s="244"/>
      <c r="D31" s="661"/>
      <c r="E31" s="466"/>
      <c r="F31" s="615"/>
      <c r="G31" s="3271"/>
      <c r="H31" s="230"/>
      <c r="I31" s="230"/>
      <c r="J31" s="230"/>
      <c r="K31" s="230"/>
      <c r="L31" s="230"/>
      <c r="M31" s="228"/>
      <c r="N31" s="257"/>
      <c r="O31" s="228"/>
      <c r="P31" s="228"/>
      <c r="Q31" s="258"/>
      <c r="R31" s="2577"/>
      <c r="S31" s="2577"/>
      <c r="T31" s="254"/>
      <c r="U31" s="228"/>
      <c r="V31" s="2552"/>
      <c r="W31" s="256"/>
      <c r="X31" s="248"/>
      <c r="Y31" s="248"/>
      <c r="Z31" s="248"/>
      <c r="AA31" s="247"/>
      <c r="AB31" s="248"/>
      <c r="AC31" s="248"/>
      <c r="AD31" s="194"/>
      <c r="AE31" s="249"/>
      <c r="AF31" s="250"/>
      <c r="AG31" s="251"/>
      <c r="AH31" s="252"/>
      <c r="AI31" s="241"/>
      <c r="AJ31" s="241"/>
      <c r="AK31" s="241"/>
      <c r="AL31" s="194"/>
      <c r="AM31" s="195"/>
      <c r="AN31" s="195"/>
    </row>
    <row r="32" spans="2:40">
      <c r="B32" s="253">
        <f t="shared" si="0"/>
        <v>24</v>
      </c>
      <c r="C32" s="244"/>
      <c r="D32" s="661"/>
      <c r="E32" s="466"/>
      <c r="F32" s="615"/>
      <c r="G32" s="3271"/>
      <c r="H32" s="230"/>
      <c r="I32" s="230"/>
      <c r="J32" s="230"/>
      <c r="K32" s="230"/>
      <c r="L32" s="230"/>
      <c r="M32" s="228"/>
      <c r="N32" s="257"/>
      <c r="O32" s="228"/>
      <c r="P32" s="228"/>
      <c r="Q32" s="258"/>
      <c r="R32" s="2577"/>
      <c r="S32" s="2577"/>
      <c r="T32" s="254"/>
      <c r="U32" s="228"/>
      <c r="V32" s="2552"/>
      <c r="W32" s="256"/>
      <c r="X32" s="248"/>
      <c r="Y32" s="248"/>
      <c r="Z32" s="248"/>
      <c r="AA32" s="247"/>
      <c r="AB32" s="248"/>
      <c r="AC32" s="248"/>
      <c r="AD32" s="194"/>
      <c r="AE32" s="249"/>
      <c r="AF32" s="250"/>
      <c r="AG32" s="251"/>
      <c r="AH32" s="252"/>
      <c r="AI32" s="241"/>
      <c r="AJ32" s="241"/>
      <c r="AK32" s="241"/>
      <c r="AL32" s="194"/>
      <c r="AM32" s="195"/>
      <c r="AN32" s="195"/>
    </row>
    <row r="33" spans="2:40">
      <c r="B33" s="253">
        <f t="shared" si="0"/>
        <v>25</v>
      </c>
      <c r="C33" s="244"/>
      <c r="D33" s="661"/>
      <c r="E33" s="466"/>
      <c r="F33" s="615"/>
      <c r="G33" s="3271"/>
      <c r="H33" s="230"/>
      <c r="I33" s="230"/>
      <c r="J33" s="230"/>
      <c r="K33" s="230"/>
      <c r="L33" s="230"/>
      <c r="M33" s="228"/>
      <c r="N33" s="257"/>
      <c r="O33" s="228"/>
      <c r="P33" s="228"/>
      <c r="Q33" s="258"/>
      <c r="R33" s="2577"/>
      <c r="S33" s="2577"/>
      <c r="T33" s="254"/>
      <c r="U33" s="228"/>
      <c r="V33" s="2552"/>
      <c r="W33" s="256"/>
      <c r="X33" s="248"/>
      <c r="Y33" s="248"/>
      <c r="Z33" s="248"/>
      <c r="AA33" s="247"/>
      <c r="AB33" s="248"/>
      <c r="AC33" s="248"/>
      <c r="AD33" s="194"/>
      <c r="AE33" s="249"/>
      <c r="AF33" s="250"/>
      <c r="AG33" s="251"/>
      <c r="AH33" s="252"/>
      <c r="AI33" s="241"/>
      <c r="AJ33" s="241"/>
      <c r="AK33" s="241"/>
      <c r="AL33" s="194"/>
      <c r="AM33" s="195"/>
      <c r="AN33" s="195"/>
    </row>
    <row r="34" spans="2:40">
      <c r="B34" s="253">
        <f t="shared" si="0"/>
        <v>26</v>
      </c>
      <c r="C34" s="244"/>
      <c r="D34" s="661"/>
      <c r="E34" s="466"/>
      <c r="F34" s="615"/>
      <c r="G34" s="3271"/>
      <c r="H34" s="230"/>
      <c r="I34" s="230"/>
      <c r="J34" s="230"/>
      <c r="K34" s="230"/>
      <c r="L34" s="230"/>
      <c r="M34" s="228"/>
      <c r="N34" s="257"/>
      <c r="O34" s="228"/>
      <c r="P34" s="228"/>
      <c r="Q34" s="258"/>
      <c r="R34" s="2577"/>
      <c r="S34" s="2577"/>
      <c r="T34" s="254"/>
      <c r="U34" s="228"/>
      <c r="V34" s="2552"/>
      <c r="W34" s="256"/>
      <c r="X34" s="248"/>
      <c r="Y34" s="248"/>
      <c r="Z34" s="248"/>
      <c r="AA34" s="247"/>
      <c r="AB34" s="248"/>
      <c r="AC34" s="248"/>
      <c r="AD34" s="194"/>
      <c r="AE34" s="249"/>
      <c r="AF34" s="250"/>
      <c r="AG34" s="251"/>
      <c r="AH34" s="252"/>
      <c r="AI34" s="241"/>
      <c r="AJ34" s="241"/>
      <c r="AK34" s="241"/>
      <c r="AL34" s="194"/>
      <c r="AM34" s="195"/>
      <c r="AN34" s="195"/>
    </row>
    <row r="35" spans="2:40">
      <c r="B35" s="253">
        <f t="shared" si="0"/>
        <v>27</v>
      </c>
      <c r="C35" s="244"/>
      <c r="D35" s="661"/>
      <c r="E35" s="466"/>
      <c r="F35" s="615"/>
      <c r="G35" s="3271"/>
      <c r="H35" s="230"/>
      <c r="I35" s="230"/>
      <c r="J35" s="230"/>
      <c r="K35" s="230"/>
      <c r="L35" s="230"/>
      <c r="M35" s="228"/>
      <c r="N35" s="257"/>
      <c r="O35" s="228"/>
      <c r="P35" s="228"/>
      <c r="Q35" s="258"/>
      <c r="R35" s="2577"/>
      <c r="S35" s="2577"/>
      <c r="T35" s="254"/>
      <c r="U35" s="228"/>
      <c r="V35" s="2552"/>
      <c r="W35" s="256"/>
      <c r="X35" s="248"/>
      <c r="Y35" s="248"/>
      <c r="Z35" s="248"/>
      <c r="AA35" s="247"/>
      <c r="AB35" s="248"/>
      <c r="AC35" s="248"/>
      <c r="AD35" s="194"/>
      <c r="AE35" s="249"/>
      <c r="AF35" s="250"/>
      <c r="AG35" s="251"/>
      <c r="AH35" s="252"/>
      <c r="AI35" s="241"/>
      <c r="AJ35" s="241"/>
      <c r="AK35" s="241"/>
      <c r="AL35" s="194"/>
      <c r="AM35" s="195"/>
      <c r="AN35" s="195"/>
    </row>
    <row r="36" spans="2:40">
      <c r="B36" s="253">
        <f t="shared" si="0"/>
        <v>28</v>
      </c>
      <c r="C36" s="244"/>
      <c r="D36" s="661"/>
      <c r="E36" s="466"/>
      <c r="F36" s="615"/>
      <c r="G36" s="3271"/>
      <c r="H36" s="230"/>
      <c r="I36" s="230"/>
      <c r="J36" s="230"/>
      <c r="K36" s="230"/>
      <c r="L36" s="230"/>
      <c r="M36" s="228"/>
      <c r="N36" s="257"/>
      <c r="O36" s="228"/>
      <c r="P36" s="228"/>
      <c r="Q36" s="258"/>
      <c r="R36" s="2577"/>
      <c r="S36" s="2577"/>
      <c r="T36" s="254"/>
      <c r="U36" s="228"/>
      <c r="V36" s="2552"/>
      <c r="W36" s="256"/>
      <c r="X36" s="248"/>
      <c r="Y36" s="248"/>
      <c r="Z36" s="248"/>
      <c r="AA36" s="247"/>
      <c r="AB36" s="248"/>
      <c r="AC36" s="248"/>
      <c r="AD36" s="194"/>
      <c r="AE36" s="249"/>
      <c r="AF36" s="250"/>
      <c r="AG36" s="251"/>
      <c r="AH36" s="252"/>
      <c r="AI36" s="241"/>
      <c r="AJ36" s="241"/>
      <c r="AK36" s="241"/>
      <c r="AL36" s="194"/>
      <c r="AM36" s="195"/>
      <c r="AN36" s="195"/>
    </row>
    <row r="37" spans="2:40">
      <c r="B37" s="253">
        <f t="shared" si="0"/>
        <v>29</v>
      </c>
      <c r="C37" s="244"/>
      <c r="D37" s="661"/>
      <c r="E37" s="466"/>
      <c r="F37" s="615"/>
      <c r="G37" s="3271"/>
      <c r="H37" s="230"/>
      <c r="I37" s="230"/>
      <c r="J37" s="230"/>
      <c r="K37" s="230"/>
      <c r="L37" s="230"/>
      <c r="M37" s="228"/>
      <c r="N37" s="257"/>
      <c r="O37" s="228"/>
      <c r="P37" s="228"/>
      <c r="Q37" s="258"/>
      <c r="R37" s="2577"/>
      <c r="S37" s="2577"/>
      <c r="T37" s="254"/>
      <c r="U37" s="228"/>
      <c r="V37" s="2552"/>
      <c r="W37" s="256"/>
      <c r="X37" s="248"/>
      <c r="Y37" s="248"/>
      <c r="Z37" s="248"/>
      <c r="AA37" s="247"/>
      <c r="AB37" s="248"/>
      <c r="AC37" s="248"/>
      <c r="AD37" s="194"/>
      <c r="AE37" s="249"/>
      <c r="AF37" s="250"/>
      <c r="AG37" s="251"/>
      <c r="AH37" s="252"/>
      <c r="AI37" s="241"/>
      <c r="AJ37" s="241"/>
      <c r="AK37" s="241"/>
      <c r="AL37" s="194"/>
      <c r="AM37" s="195"/>
      <c r="AN37" s="195"/>
    </row>
    <row r="38" spans="2:40">
      <c r="B38" s="253">
        <f t="shared" si="0"/>
        <v>30</v>
      </c>
      <c r="C38" s="244"/>
      <c r="D38" s="661"/>
      <c r="E38" s="466"/>
      <c r="F38" s="615"/>
      <c r="G38" s="3271"/>
      <c r="H38" s="230"/>
      <c r="I38" s="230"/>
      <c r="J38" s="230"/>
      <c r="K38" s="230"/>
      <c r="L38" s="230"/>
      <c r="M38" s="228"/>
      <c r="N38" s="257"/>
      <c r="O38" s="228"/>
      <c r="P38" s="228"/>
      <c r="Q38" s="258"/>
      <c r="R38" s="2577"/>
      <c r="S38" s="2577"/>
      <c r="T38" s="254"/>
      <c r="U38" s="228"/>
      <c r="V38" s="2552"/>
      <c r="W38" s="256"/>
      <c r="X38" s="248"/>
      <c r="Y38" s="248"/>
      <c r="Z38" s="248"/>
      <c r="AA38" s="247"/>
      <c r="AB38" s="248"/>
      <c r="AC38" s="248"/>
      <c r="AD38" s="194"/>
      <c r="AE38" s="249"/>
      <c r="AF38" s="250"/>
      <c r="AG38" s="251"/>
      <c r="AH38" s="252"/>
      <c r="AI38" s="241"/>
      <c r="AJ38" s="241"/>
      <c r="AK38" s="241"/>
      <c r="AL38" s="194"/>
      <c r="AM38" s="195"/>
      <c r="AN38" s="195"/>
    </row>
    <row r="39" spans="2:40">
      <c r="B39" s="253">
        <f t="shared" si="0"/>
        <v>31</v>
      </c>
      <c r="C39" s="244"/>
      <c r="D39" s="661"/>
      <c r="E39" s="466"/>
      <c r="F39" s="615"/>
      <c r="G39" s="3271"/>
      <c r="H39" s="230"/>
      <c r="I39" s="230"/>
      <c r="J39" s="230"/>
      <c r="K39" s="230"/>
      <c r="L39" s="230"/>
      <c r="M39" s="228"/>
      <c r="N39" s="257"/>
      <c r="O39" s="228"/>
      <c r="P39" s="228"/>
      <c r="Q39" s="258"/>
      <c r="R39" s="2577"/>
      <c r="S39" s="2577"/>
      <c r="T39" s="254"/>
      <c r="U39" s="228"/>
      <c r="V39" s="2552"/>
      <c r="W39" s="256"/>
      <c r="X39" s="248"/>
      <c r="Y39" s="248"/>
      <c r="Z39" s="248"/>
      <c r="AA39" s="247"/>
      <c r="AB39" s="248"/>
      <c r="AC39" s="248"/>
      <c r="AD39" s="194"/>
      <c r="AE39" s="249"/>
      <c r="AF39" s="250"/>
      <c r="AG39" s="251"/>
      <c r="AH39" s="252"/>
      <c r="AI39" s="241"/>
      <c r="AJ39" s="241"/>
      <c r="AK39" s="241"/>
      <c r="AL39" s="194"/>
      <c r="AM39" s="195"/>
      <c r="AN39" s="195"/>
    </row>
    <row r="40" spans="2:40">
      <c r="B40" s="253">
        <f t="shared" si="0"/>
        <v>32</v>
      </c>
      <c r="C40" s="244"/>
      <c r="D40" s="661"/>
      <c r="E40" s="466"/>
      <c r="F40" s="615"/>
      <c r="G40" s="3271"/>
      <c r="H40" s="230"/>
      <c r="I40" s="230"/>
      <c r="J40" s="230"/>
      <c r="K40" s="230"/>
      <c r="L40" s="230"/>
      <c r="M40" s="228"/>
      <c r="N40" s="257"/>
      <c r="O40" s="228"/>
      <c r="P40" s="228"/>
      <c r="Q40" s="258"/>
      <c r="R40" s="2577"/>
      <c r="S40" s="2577"/>
      <c r="T40" s="254"/>
      <c r="U40" s="228"/>
      <c r="V40" s="2552"/>
      <c r="W40" s="256"/>
      <c r="X40" s="248"/>
      <c r="Y40" s="248"/>
      <c r="Z40" s="248"/>
      <c r="AA40" s="247"/>
      <c r="AB40" s="248"/>
      <c r="AC40" s="248"/>
      <c r="AD40" s="194"/>
      <c r="AE40" s="249"/>
      <c r="AF40" s="250"/>
      <c r="AG40" s="251"/>
      <c r="AH40" s="252"/>
      <c r="AI40" s="241"/>
      <c r="AJ40" s="241"/>
      <c r="AK40" s="241"/>
      <c r="AL40" s="194"/>
      <c r="AM40" s="195"/>
      <c r="AN40" s="195"/>
    </row>
    <row r="41" spans="2:40">
      <c r="B41" s="253">
        <f t="shared" si="0"/>
        <v>33</v>
      </c>
      <c r="C41" s="244"/>
      <c r="D41" s="661"/>
      <c r="E41" s="466"/>
      <c r="F41" s="615"/>
      <c r="G41" s="3271"/>
      <c r="H41" s="230"/>
      <c r="I41" s="230"/>
      <c r="J41" s="230"/>
      <c r="K41" s="230"/>
      <c r="L41" s="230"/>
      <c r="M41" s="228"/>
      <c r="N41" s="257"/>
      <c r="O41" s="228"/>
      <c r="P41" s="228"/>
      <c r="Q41" s="258"/>
      <c r="R41" s="2577"/>
      <c r="S41" s="2577"/>
      <c r="T41" s="254"/>
      <c r="U41" s="228"/>
      <c r="V41" s="2552"/>
      <c r="W41" s="256"/>
      <c r="X41" s="248"/>
      <c r="Y41" s="248"/>
      <c r="Z41" s="248"/>
      <c r="AA41" s="247"/>
      <c r="AB41" s="248"/>
      <c r="AC41" s="248"/>
      <c r="AD41" s="194"/>
      <c r="AE41" s="249"/>
      <c r="AF41" s="250"/>
      <c r="AG41" s="251"/>
      <c r="AH41" s="252"/>
      <c r="AI41" s="241"/>
      <c r="AJ41" s="241"/>
      <c r="AK41" s="241"/>
      <c r="AL41" s="194"/>
      <c r="AM41" s="195"/>
      <c r="AN41" s="195"/>
    </row>
    <row r="42" spans="2:40">
      <c r="B42" s="253">
        <f t="shared" si="0"/>
        <v>34</v>
      </c>
      <c r="C42" s="244"/>
      <c r="D42" s="661"/>
      <c r="E42" s="466"/>
      <c r="F42" s="615"/>
      <c r="G42" s="3271"/>
      <c r="H42" s="230"/>
      <c r="I42" s="230"/>
      <c r="J42" s="230"/>
      <c r="K42" s="230"/>
      <c r="L42" s="230"/>
      <c r="M42" s="228"/>
      <c r="N42" s="257"/>
      <c r="O42" s="228"/>
      <c r="P42" s="228"/>
      <c r="Q42" s="258"/>
      <c r="R42" s="2577"/>
      <c r="S42" s="2577"/>
      <c r="T42" s="254"/>
      <c r="U42" s="228"/>
      <c r="V42" s="2552"/>
      <c r="W42" s="256"/>
      <c r="X42" s="248"/>
      <c r="Y42" s="248"/>
      <c r="Z42" s="248"/>
      <c r="AA42" s="247"/>
      <c r="AB42" s="248"/>
      <c r="AC42" s="248"/>
      <c r="AD42" s="194"/>
      <c r="AE42" s="249"/>
      <c r="AF42" s="250"/>
      <c r="AG42" s="251"/>
      <c r="AH42" s="252"/>
      <c r="AI42" s="241"/>
      <c r="AJ42" s="241"/>
      <c r="AK42" s="241"/>
      <c r="AL42" s="194"/>
      <c r="AM42" s="195"/>
      <c r="AN42" s="195"/>
    </row>
    <row r="43" spans="2:40">
      <c r="B43" s="253">
        <f t="shared" si="0"/>
        <v>35</v>
      </c>
      <c r="C43" s="244"/>
      <c r="D43" s="661"/>
      <c r="E43" s="466"/>
      <c r="F43" s="615"/>
      <c r="G43" s="3271"/>
      <c r="H43" s="230"/>
      <c r="I43" s="230"/>
      <c r="J43" s="230"/>
      <c r="K43" s="230"/>
      <c r="L43" s="230"/>
      <c r="M43" s="228"/>
      <c r="N43" s="257"/>
      <c r="O43" s="228"/>
      <c r="P43" s="228"/>
      <c r="Q43" s="258"/>
      <c r="R43" s="2577"/>
      <c r="S43" s="2577"/>
      <c r="T43" s="254"/>
      <c r="U43" s="228"/>
      <c r="V43" s="2552"/>
      <c r="W43" s="256"/>
      <c r="X43" s="248"/>
      <c r="Y43" s="248"/>
      <c r="Z43" s="248"/>
      <c r="AA43" s="247"/>
      <c r="AB43" s="248"/>
      <c r="AC43" s="248"/>
      <c r="AD43" s="194"/>
      <c r="AE43" s="249"/>
      <c r="AF43" s="250"/>
      <c r="AG43" s="251"/>
      <c r="AH43" s="252"/>
      <c r="AI43" s="241"/>
      <c r="AJ43" s="241"/>
      <c r="AK43" s="241"/>
      <c r="AL43" s="194"/>
      <c r="AM43" s="195"/>
      <c r="AN43" s="195"/>
    </row>
    <row r="44" spans="2:40">
      <c r="B44" s="253">
        <f t="shared" si="0"/>
        <v>36</v>
      </c>
      <c r="C44" s="244"/>
      <c r="D44" s="661"/>
      <c r="E44" s="466"/>
      <c r="F44" s="615"/>
      <c r="G44" s="3271"/>
      <c r="H44" s="230"/>
      <c r="I44" s="230"/>
      <c r="J44" s="230"/>
      <c r="K44" s="230"/>
      <c r="L44" s="230"/>
      <c r="M44" s="228"/>
      <c r="N44" s="257"/>
      <c r="O44" s="228"/>
      <c r="P44" s="228"/>
      <c r="Q44" s="258"/>
      <c r="R44" s="2577"/>
      <c r="S44" s="2577"/>
      <c r="T44" s="254"/>
      <c r="U44" s="228"/>
      <c r="V44" s="2552"/>
      <c r="W44" s="256"/>
      <c r="X44" s="248"/>
      <c r="Y44" s="248"/>
      <c r="Z44" s="248"/>
      <c r="AA44" s="247"/>
      <c r="AB44" s="248"/>
      <c r="AC44" s="248"/>
      <c r="AD44" s="194"/>
      <c r="AE44" s="249"/>
      <c r="AF44" s="250"/>
      <c r="AG44" s="251"/>
      <c r="AH44" s="252"/>
      <c r="AI44" s="241"/>
      <c r="AJ44" s="241"/>
      <c r="AK44" s="241"/>
      <c r="AL44" s="194"/>
      <c r="AM44" s="195"/>
      <c r="AN44" s="195"/>
    </row>
    <row r="45" spans="2:40">
      <c r="B45" s="253">
        <f t="shared" si="0"/>
        <v>37</v>
      </c>
      <c r="C45" s="244"/>
      <c r="D45" s="661"/>
      <c r="E45" s="466"/>
      <c r="F45" s="615"/>
      <c r="G45" s="3271"/>
      <c r="H45" s="230"/>
      <c r="I45" s="230"/>
      <c r="J45" s="230"/>
      <c r="K45" s="230"/>
      <c r="L45" s="230"/>
      <c r="M45" s="228"/>
      <c r="N45" s="257"/>
      <c r="O45" s="228"/>
      <c r="P45" s="228"/>
      <c r="Q45" s="258"/>
      <c r="R45" s="2577"/>
      <c r="S45" s="2577"/>
      <c r="T45" s="254"/>
      <c r="U45" s="228"/>
      <c r="V45" s="2552"/>
      <c r="W45" s="256"/>
      <c r="X45" s="248"/>
      <c r="Y45" s="248"/>
      <c r="Z45" s="248"/>
      <c r="AA45" s="247"/>
      <c r="AB45" s="248"/>
      <c r="AC45" s="248"/>
      <c r="AD45" s="194"/>
      <c r="AE45" s="249"/>
      <c r="AF45" s="250"/>
      <c r="AG45" s="251"/>
      <c r="AH45" s="252"/>
      <c r="AI45" s="241"/>
      <c r="AJ45" s="241"/>
      <c r="AK45" s="241"/>
      <c r="AL45" s="194"/>
      <c r="AM45" s="195"/>
      <c r="AN45" s="195"/>
    </row>
    <row r="46" spans="2:40">
      <c r="B46" s="253">
        <f t="shared" si="0"/>
        <v>38</v>
      </c>
      <c r="C46" s="244"/>
      <c r="D46" s="661"/>
      <c r="E46" s="466"/>
      <c r="F46" s="615"/>
      <c r="G46" s="3271"/>
      <c r="H46" s="230"/>
      <c r="I46" s="230"/>
      <c r="J46" s="230"/>
      <c r="K46" s="230"/>
      <c r="L46" s="230"/>
      <c r="M46" s="228"/>
      <c r="N46" s="257"/>
      <c r="O46" s="228"/>
      <c r="P46" s="228"/>
      <c r="Q46" s="258"/>
      <c r="R46" s="2577"/>
      <c r="S46" s="2577"/>
      <c r="T46" s="254"/>
      <c r="U46" s="228"/>
      <c r="V46" s="2552"/>
      <c r="W46" s="256"/>
      <c r="X46" s="248"/>
      <c r="Y46" s="248"/>
      <c r="Z46" s="248"/>
      <c r="AA46" s="247"/>
      <c r="AB46" s="248"/>
      <c r="AC46" s="248"/>
      <c r="AD46" s="194"/>
      <c r="AE46" s="249"/>
      <c r="AF46" s="250"/>
      <c r="AG46" s="251"/>
      <c r="AH46" s="252"/>
      <c r="AI46" s="241"/>
      <c r="AJ46" s="241"/>
      <c r="AK46" s="241"/>
      <c r="AL46" s="194"/>
      <c r="AM46" s="195"/>
      <c r="AN46" s="195"/>
    </row>
    <row r="47" spans="2:40">
      <c r="B47" s="253">
        <f t="shared" si="0"/>
        <v>39</v>
      </c>
      <c r="C47" s="244"/>
      <c r="D47" s="661"/>
      <c r="E47" s="466"/>
      <c r="F47" s="615"/>
      <c r="G47" s="3271"/>
      <c r="H47" s="230"/>
      <c r="I47" s="230"/>
      <c r="J47" s="230"/>
      <c r="K47" s="230"/>
      <c r="L47" s="230"/>
      <c r="M47" s="228"/>
      <c r="N47" s="257"/>
      <c r="O47" s="228"/>
      <c r="P47" s="228"/>
      <c r="Q47" s="258"/>
      <c r="R47" s="2577"/>
      <c r="S47" s="2577"/>
      <c r="T47" s="254"/>
      <c r="U47" s="228"/>
      <c r="V47" s="2552"/>
      <c r="W47" s="256"/>
      <c r="X47" s="248"/>
      <c r="Y47" s="248"/>
      <c r="Z47" s="248"/>
      <c r="AA47" s="247"/>
      <c r="AB47" s="248"/>
      <c r="AC47" s="248"/>
      <c r="AD47" s="194"/>
      <c r="AE47" s="249"/>
      <c r="AF47" s="250"/>
      <c r="AG47" s="251"/>
      <c r="AH47" s="252"/>
      <c r="AI47" s="241"/>
      <c r="AJ47" s="241"/>
      <c r="AK47" s="241"/>
      <c r="AL47" s="194"/>
      <c r="AM47" s="195"/>
      <c r="AN47" s="195"/>
    </row>
    <row r="48" spans="2:40">
      <c r="B48" s="253">
        <f t="shared" si="0"/>
        <v>40</v>
      </c>
      <c r="C48" s="244"/>
      <c r="D48" s="661"/>
      <c r="E48" s="466"/>
      <c r="F48" s="615"/>
      <c r="G48" s="3271"/>
      <c r="H48" s="230"/>
      <c r="I48" s="230"/>
      <c r="J48" s="230"/>
      <c r="K48" s="230"/>
      <c r="L48" s="230"/>
      <c r="M48" s="228"/>
      <c r="N48" s="257"/>
      <c r="O48" s="228"/>
      <c r="P48" s="228"/>
      <c r="Q48" s="258"/>
      <c r="R48" s="2577"/>
      <c r="S48" s="2577"/>
      <c r="T48" s="254"/>
      <c r="U48" s="228"/>
      <c r="V48" s="2552"/>
      <c r="W48" s="256"/>
      <c r="X48" s="248"/>
      <c r="Y48" s="248"/>
      <c r="Z48" s="248"/>
      <c r="AA48" s="247"/>
      <c r="AB48" s="248"/>
      <c r="AC48" s="248"/>
      <c r="AD48" s="194"/>
      <c r="AE48" s="249"/>
      <c r="AF48" s="250"/>
      <c r="AG48" s="251"/>
      <c r="AH48" s="252"/>
      <c r="AI48" s="241"/>
      <c r="AJ48" s="241"/>
      <c r="AK48" s="241"/>
      <c r="AL48" s="194"/>
      <c r="AM48" s="195"/>
      <c r="AN48" s="195"/>
    </row>
    <row r="49" spans="2:40">
      <c r="B49" s="253">
        <f t="shared" si="0"/>
        <v>41</v>
      </c>
      <c r="C49" s="244"/>
      <c r="D49" s="661"/>
      <c r="E49" s="466"/>
      <c r="F49" s="615"/>
      <c r="G49" s="3271"/>
      <c r="H49" s="230"/>
      <c r="I49" s="230"/>
      <c r="J49" s="230"/>
      <c r="K49" s="230"/>
      <c r="L49" s="230"/>
      <c r="M49" s="228"/>
      <c r="N49" s="257"/>
      <c r="O49" s="228"/>
      <c r="P49" s="228"/>
      <c r="Q49" s="258"/>
      <c r="R49" s="2577"/>
      <c r="S49" s="2577"/>
      <c r="T49" s="254"/>
      <c r="U49" s="228"/>
      <c r="V49" s="2552"/>
      <c r="W49" s="256"/>
      <c r="X49" s="248"/>
      <c r="Y49" s="248"/>
      <c r="Z49" s="248"/>
      <c r="AA49" s="247"/>
      <c r="AB49" s="248"/>
      <c r="AC49" s="248"/>
      <c r="AD49" s="194"/>
      <c r="AE49" s="249"/>
      <c r="AF49" s="250"/>
      <c r="AG49" s="251"/>
      <c r="AH49" s="252"/>
      <c r="AI49" s="241"/>
      <c r="AJ49" s="241"/>
      <c r="AK49" s="241"/>
      <c r="AL49" s="194"/>
      <c r="AM49" s="195"/>
      <c r="AN49" s="195"/>
    </row>
    <row r="50" spans="2:40">
      <c r="B50" s="253">
        <f t="shared" si="0"/>
        <v>42</v>
      </c>
      <c r="C50" s="244"/>
      <c r="D50" s="661"/>
      <c r="E50" s="466"/>
      <c r="F50" s="615"/>
      <c r="G50" s="3271"/>
      <c r="H50" s="230"/>
      <c r="I50" s="230"/>
      <c r="J50" s="230"/>
      <c r="K50" s="230"/>
      <c r="L50" s="230"/>
      <c r="M50" s="228"/>
      <c r="N50" s="257"/>
      <c r="O50" s="228"/>
      <c r="P50" s="228"/>
      <c r="Q50" s="258"/>
      <c r="R50" s="2577"/>
      <c r="S50" s="2577"/>
      <c r="T50" s="254"/>
      <c r="U50" s="228"/>
      <c r="V50" s="2552"/>
      <c r="W50" s="256"/>
      <c r="X50" s="248"/>
      <c r="Y50" s="248"/>
      <c r="Z50" s="248"/>
      <c r="AA50" s="247"/>
      <c r="AB50" s="248"/>
      <c r="AC50" s="248"/>
      <c r="AD50" s="194"/>
      <c r="AE50" s="249"/>
      <c r="AF50" s="250"/>
      <c r="AG50" s="251"/>
      <c r="AH50" s="252"/>
      <c r="AI50" s="241"/>
      <c r="AJ50" s="241"/>
      <c r="AK50" s="241"/>
      <c r="AL50" s="194"/>
      <c r="AM50" s="195"/>
      <c r="AN50" s="195"/>
    </row>
    <row r="51" spans="2:40">
      <c r="B51" s="253">
        <f t="shared" si="0"/>
        <v>43</v>
      </c>
      <c r="C51" s="244"/>
      <c r="D51" s="661"/>
      <c r="E51" s="466"/>
      <c r="F51" s="615"/>
      <c r="G51" s="3271"/>
      <c r="H51" s="230"/>
      <c r="I51" s="230"/>
      <c r="J51" s="230"/>
      <c r="K51" s="230"/>
      <c r="L51" s="230"/>
      <c r="M51" s="228"/>
      <c r="N51" s="257"/>
      <c r="O51" s="228"/>
      <c r="P51" s="228"/>
      <c r="Q51" s="258"/>
      <c r="R51" s="2577"/>
      <c r="S51" s="2577"/>
      <c r="T51" s="254"/>
      <c r="U51" s="228"/>
      <c r="V51" s="2552"/>
      <c r="W51" s="256"/>
      <c r="X51" s="248"/>
      <c r="Y51" s="248"/>
      <c r="Z51" s="248"/>
      <c r="AA51" s="247"/>
      <c r="AB51" s="248"/>
      <c r="AC51" s="248"/>
      <c r="AD51" s="194"/>
      <c r="AE51" s="249"/>
      <c r="AF51" s="250"/>
      <c r="AG51" s="251"/>
      <c r="AH51" s="252"/>
      <c r="AI51" s="241"/>
      <c r="AJ51" s="241"/>
      <c r="AK51" s="241"/>
      <c r="AL51" s="194"/>
      <c r="AM51" s="195"/>
      <c r="AN51" s="195"/>
    </row>
    <row r="52" spans="2:40">
      <c r="B52" s="253">
        <f t="shared" ref="B52:B115" si="1">+B51+1</f>
        <v>44</v>
      </c>
      <c r="C52" s="244"/>
      <c r="D52" s="661"/>
      <c r="E52" s="466"/>
      <c r="F52" s="615"/>
      <c r="G52" s="3271"/>
      <c r="H52" s="230"/>
      <c r="I52" s="230"/>
      <c r="J52" s="230"/>
      <c r="K52" s="230"/>
      <c r="L52" s="230"/>
      <c r="M52" s="228"/>
      <c r="N52" s="257"/>
      <c r="O52" s="228"/>
      <c r="P52" s="228"/>
      <c r="Q52" s="258"/>
      <c r="R52" s="2577"/>
      <c r="S52" s="2577"/>
      <c r="T52" s="254"/>
      <c r="U52" s="228"/>
      <c r="V52" s="2552"/>
      <c r="W52" s="256"/>
      <c r="X52" s="248"/>
      <c r="Y52" s="248"/>
      <c r="Z52" s="248"/>
      <c r="AA52" s="247"/>
      <c r="AB52" s="248"/>
      <c r="AC52" s="248"/>
      <c r="AD52" s="194"/>
      <c r="AE52" s="249"/>
      <c r="AF52" s="250"/>
      <c r="AG52" s="251"/>
      <c r="AH52" s="252"/>
      <c r="AI52" s="241"/>
      <c r="AJ52" s="241"/>
      <c r="AK52" s="241"/>
      <c r="AL52" s="194"/>
      <c r="AM52" s="195"/>
      <c r="AN52" s="195"/>
    </row>
    <row r="53" spans="2:40">
      <c r="B53" s="253">
        <f t="shared" si="1"/>
        <v>45</v>
      </c>
      <c r="C53" s="244"/>
      <c r="D53" s="661"/>
      <c r="E53" s="466"/>
      <c r="F53" s="615"/>
      <c r="G53" s="3271"/>
      <c r="H53" s="230"/>
      <c r="I53" s="230"/>
      <c r="J53" s="230"/>
      <c r="K53" s="230"/>
      <c r="L53" s="230"/>
      <c r="M53" s="228"/>
      <c r="N53" s="257"/>
      <c r="O53" s="228"/>
      <c r="P53" s="228"/>
      <c r="Q53" s="258"/>
      <c r="R53" s="2577"/>
      <c r="S53" s="2577"/>
      <c r="T53" s="254"/>
      <c r="U53" s="228"/>
      <c r="V53" s="2552"/>
      <c r="W53" s="256"/>
      <c r="X53" s="248"/>
      <c r="Y53" s="248"/>
      <c r="Z53" s="248"/>
      <c r="AA53" s="247"/>
      <c r="AB53" s="248"/>
      <c r="AC53" s="248"/>
      <c r="AD53" s="194"/>
      <c r="AE53" s="249"/>
      <c r="AF53" s="250"/>
      <c r="AG53" s="251"/>
      <c r="AH53" s="252"/>
      <c r="AI53" s="241"/>
      <c r="AJ53" s="241"/>
      <c r="AK53" s="241"/>
      <c r="AL53" s="194"/>
      <c r="AM53" s="195"/>
      <c r="AN53" s="195"/>
    </row>
    <row r="54" spans="2:40">
      <c r="B54" s="253">
        <f t="shared" si="1"/>
        <v>46</v>
      </c>
      <c r="C54" s="244"/>
      <c r="D54" s="661"/>
      <c r="E54" s="466"/>
      <c r="F54" s="615"/>
      <c r="G54" s="3271"/>
      <c r="H54" s="230"/>
      <c r="I54" s="230"/>
      <c r="J54" s="230"/>
      <c r="K54" s="230"/>
      <c r="L54" s="230"/>
      <c r="M54" s="228"/>
      <c r="N54" s="257"/>
      <c r="O54" s="228"/>
      <c r="P54" s="228"/>
      <c r="Q54" s="258"/>
      <c r="R54" s="2577"/>
      <c r="S54" s="2577"/>
      <c r="T54" s="254"/>
      <c r="U54" s="228"/>
      <c r="V54" s="2552"/>
      <c r="W54" s="256"/>
      <c r="X54" s="248"/>
      <c r="Y54" s="248"/>
      <c r="Z54" s="248"/>
      <c r="AA54" s="247"/>
      <c r="AB54" s="248"/>
      <c r="AC54" s="248"/>
      <c r="AD54" s="194"/>
      <c r="AE54" s="249"/>
      <c r="AF54" s="250"/>
      <c r="AG54" s="251"/>
      <c r="AH54" s="252"/>
      <c r="AI54" s="241"/>
      <c r="AJ54" s="241"/>
      <c r="AK54" s="241"/>
      <c r="AL54" s="194"/>
      <c r="AM54" s="195"/>
      <c r="AN54" s="195"/>
    </row>
    <row r="55" spans="2:40">
      <c r="B55" s="253">
        <f t="shared" si="1"/>
        <v>47</v>
      </c>
      <c r="C55" s="244"/>
      <c r="D55" s="661"/>
      <c r="E55" s="466"/>
      <c r="F55" s="615"/>
      <c r="G55" s="3271"/>
      <c r="H55" s="230"/>
      <c r="I55" s="230"/>
      <c r="J55" s="230"/>
      <c r="K55" s="230"/>
      <c r="L55" s="230"/>
      <c r="M55" s="228"/>
      <c r="N55" s="257"/>
      <c r="O55" s="228"/>
      <c r="P55" s="228"/>
      <c r="Q55" s="258"/>
      <c r="R55" s="2577"/>
      <c r="S55" s="2577"/>
      <c r="T55" s="254"/>
      <c r="U55" s="228"/>
      <c r="V55" s="2552"/>
      <c r="W55" s="256"/>
      <c r="X55" s="248"/>
      <c r="Y55" s="248"/>
      <c r="Z55" s="248"/>
      <c r="AA55" s="247"/>
      <c r="AB55" s="248"/>
      <c r="AC55" s="248"/>
      <c r="AD55" s="194"/>
      <c r="AE55" s="249"/>
      <c r="AF55" s="250"/>
      <c r="AG55" s="251"/>
      <c r="AH55" s="252"/>
      <c r="AI55" s="241"/>
      <c r="AJ55" s="241"/>
      <c r="AK55" s="241"/>
      <c r="AL55" s="194"/>
      <c r="AM55" s="195"/>
      <c r="AN55" s="195"/>
    </row>
    <row r="56" spans="2:40">
      <c r="B56" s="253">
        <f t="shared" si="1"/>
        <v>48</v>
      </c>
      <c r="C56" s="244"/>
      <c r="D56" s="661"/>
      <c r="E56" s="466"/>
      <c r="F56" s="615"/>
      <c r="G56" s="3271"/>
      <c r="H56" s="230"/>
      <c r="I56" s="230"/>
      <c r="J56" s="230"/>
      <c r="K56" s="230"/>
      <c r="L56" s="230"/>
      <c r="M56" s="228"/>
      <c r="N56" s="257"/>
      <c r="O56" s="228"/>
      <c r="P56" s="228"/>
      <c r="Q56" s="258"/>
      <c r="R56" s="2577"/>
      <c r="S56" s="2577"/>
      <c r="T56" s="254"/>
      <c r="U56" s="228"/>
      <c r="V56" s="2552"/>
      <c r="W56" s="256"/>
      <c r="X56" s="248"/>
      <c r="Y56" s="248"/>
      <c r="Z56" s="248"/>
      <c r="AA56" s="247"/>
      <c r="AB56" s="248"/>
      <c r="AC56" s="248"/>
      <c r="AD56" s="194"/>
      <c r="AE56" s="249"/>
      <c r="AF56" s="250"/>
      <c r="AG56" s="251"/>
      <c r="AH56" s="252"/>
      <c r="AI56" s="241"/>
      <c r="AJ56" s="241"/>
      <c r="AK56" s="241"/>
      <c r="AL56" s="194"/>
      <c r="AM56" s="195"/>
      <c r="AN56" s="195"/>
    </row>
    <row r="57" spans="2:40">
      <c r="B57" s="253">
        <f t="shared" si="1"/>
        <v>49</v>
      </c>
      <c r="C57" s="244"/>
      <c r="D57" s="661"/>
      <c r="E57" s="466"/>
      <c r="F57" s="615"/>
      <c r="G57" s="3271"/>
      <c r="H57" s="230"/>
      <c r="I57" s="230"/>
      <c r="J57" s="230"/>
      <c r="K57" s="230"/>
      <c r="L57" s="230"/>
      <c r="M57" s="228"/>
      <c r="N57" s="257"/>
      <c r="O57" s="228"/>
      <c r="P57" s="228"/>
      <c r="Q57" s="258"/>
      <c r="R57" s="2577"/>
      <c r="S57" s="2577"/>
      <c r="T57" s="254"/>
      <c r="U57" s="228"/>
      <c r="V57" s="2552"/>
      <c r="W57" s="256"/>
      <c r="X57" s="248"/>
      <c r="Y57" s="248"/>
      <c r="Z57" s="248"/>
      <c r="AA57" s="247"/>
      <c r="AB57" s="248"/>
      <c r="AC57" s="248"/>
      <c r="AD57" s="194"/>
      <c r="AE57" s="249"/>
      <c r="AF57" s="250"/>
      <c r="AG57" s="251"/>
      <c r="AH57" s="252"/>
      <c r="AI57" s="241"/>
      <c r="AJ57" s="241"/>
      <c r="AK57" s="241"/>
      <c r="AL57" s="194"/>
      <c r="AM57" s="195"/>
      <c r="AN57" s="195"/>
    </row>
    <row r="58" spans="2:40">
      <c r="B58" s="253">
        <f t="shared" si="1"/>
        <v>50</v>
      </c>
      <c r="C58" s="244"/>
      <c r="D58" s="661"/>
      <c r="E58" s="466"/>
      <c r="F58" s="615"/>
      <c r="G58" s="3271"/>
      <c r="H58" s="230"/>
      <c r="I58" s="230"/>
      <c r="J58" s="230"/>
      <c r="K58" s="230"/>
      <c r="L58" s="230"/>
      <c r="M58" s="228"/>
      <c r="N58" s="257"/>
      <c r="O58" s="228"/>
      <c r="P58" s="228"/>
      <c r="Q58" s="258"/>
      <c r="R58" s="2577"/>
      <c r="S58" s="2577"/>
      <c r="T58" s="254"/>
      <c r="U58" s="228"/>
      <c r="V58" s="2552"/>
      <c r="W58" s="256"/>
      <c r="X58" s="248"/>
      <c r="Y58" s="248"/>
      <c r="Z58" s="248"/>
      <c r="AA58" s="247"/>
      <c r="AB58" s="248"/>
      <c r="AC58" s="248"/>
      <c r="AD58" s="194"/>
      <c r="AE58" s="249"/>
      <c r="AF58" s="250"/>
      <c r="AG58" s="251"/>
      <c r="AH58" s="252"/>
      <c r="AI58" s="241"/>
      <c r="AJ58" s="241"/>
      <c r="AK58" s="241"/>
      <c r="AL58" s="194"/>
      <c r="AM58" s="195"/>
      <c r="AN58" s="195"/>
    </row>
    <row r="59" spans="2:40">
      <c r="B59" s="253">
        <f t="shared" si="1"/>
        <v>51</v>
      </c>
      <c r="C59" s="244"/>
      <c r="D59" s="661"/>
      <c r="E59" s="466"/>
      <c r="F59" s="615"/>
      <c r="G59" s="3271"/>
      <c r="H59" s="230"/>
      <c r="I59" s="230"/>
      <c r="J59" s="230"/>
      <c r="K59" s="230"/>
      <c r="L59" s="230"/>
      <c r="M59" s="228"/>
      <c r="N59" s="257"/>
      <c r="O59" s="228"/>
      <c r="P59" s="228"/>
      <c r="Q59" s="258"/>
      <c r="R59" s="2577"/>
      <c r="S59" s="2577"/>
      <c r="T59" s="254"/>
      <c r="U59" s="228"/>
      <c r="V59" s="2552"/>
      <c r="W59" s="256"/>
      <c r="X59" s="248"/>
      <c r="Y59" s="248"/>
      <c r="Z59" s="248"/>
      <c r="AA59" s="247"/>
      <c r="AB59" s="248"/>
      <c r="AC59" s="248"/>
      <c r="AD59" s="194"/>
      <c r="AE59" s="249"/>
      <c r="AF59" s="250"/>
      <c r="AG59" s="251"/>
      <c r="AH59" s="252"/>
      <c r="AI59" s="241"/>
      <c r="AJ59" s="241"/>
      <c r="AK59" s="241"/>
      <c r="AL59" s="194"/>
      <c r="AM59" s="195"/>
      <c r="AN59" s="195"/>
    </row>
    <row r="60" spans="2:40">
      <c r="B60" s="253">
        <f t="shared" si="1"/>
        <v>52</v>
      </c>
      <c r="C60" s="244"/>
      <c r="D60" s="661"/>
      <c r="E60" s="466"/>
      <c r="F60" s="615"/>
      <c r="G60" s="3271"/>
      <c r="H60" s="230"/>
      <c r="I60" s="230"/>
      <c r="J60" s="230"/>
      <c r="K60" s="230"/>
      <c r="L60" s="230"/>
      <c r="M60" s="228"/>
      <c r="N60" s="257"/>
      <c r="O60" s="228"/>
      <c r="P60" s="228"/>
      <c r="Q60" s="258"/>
      <c r="R60" s="2577"/>
      <c r="S60" s="2577"/>
      <c r="T60" s="254"/>
      <c r="U60" s="228"/>
      <c r="V60" s="2552"/>
      <c r="W60" s="256"/>
      <c r="X60" s="248"/>
      <c r="Y60" s="248"/>
      <c r="Z60" s="248"/>
      <c r="AA60" s="247"/>
      <c r="AB60" s="248"/>
      <c r="AC60" s="248"/>
      <c r="AD60" s="194"/>
      <c r="AE60" s="249"/>
      <c r="AF60" s="250"/>
      <c r="AG60" s="251"/>
      <c r="AH60" s="252"/>
      <c r="AI60" s="241"/>
      <c r="AJ60" s="241"/>
      <c r="AK60" s="241"/>
      <c r="AL60" s="194"/>
      <c r="AM60" s="195"/>
      <c r="AN60" s="195"/>
    </row>
    <row r="61" spans="2:40">
      <c r="B61" s="253">
        <f t="shared" si="1"/>
        <v>53</v>
      </c>
      <c r="C61" s="244"/>
      <c r="D61" s="661"/>
      <c r="E61" s="466"/>
      <c r="F61" s="615"/>
      <c r="G61" s="3271"/>
      <c r="H61" s="230"/>
      <c r="I61" s="230"/>
      <c r="J61" s="230"/>
      <c r="K61" s="230"/>
      <c r="L61" s="230"/>
      <c r="M61" s="228"/>
      <c r="N61" s="257"/>
      <c r="O61" s="228"/>
      <c r="P61" s="228"/>
      <c r="Q61" s="258"/>
      <c r="R61" s="2577"/>
      <c r="S61" s="2577"/>
      <c r="T61" s="254"/>
      <c r="U61" s="228"/>
      <c r="V61" s="2552"/>
      <c r="W61" s="256"/>
      <c r="X61" s="248"/>
      <c r="Y61" s="248"/>
      <c r="Z61" s="248"/>
      <c r="AA61" s="247"/>
      <c r="AB61" s="248"/>
      <c r="AC61" s="248"/>
      <c r="AD61" s="194"/>
      <c r="AE61" s="249"/>
      <c r="AF61" s="250"/>
      <c r="AG61" s="251"/>
      <c r="AH61" s="252"/>
      <c r="AI61" s="241"/>
      <c r="AJ61" s="241"/>
      <c r="AK61" s="241"/>
      <c r="AL61" s="194"/>
      <c r="AM61" s="195"/>
      <c r="AN61" s="195"/>
    </row>
    <row r="62" spans="2:40">
      <c r="B62" s="253">
        <f t="shared" si="1"/>
        <v>54</v>
      </c>
      <c r="C62" s="244"/>
      <c r="D62" s="661"/>
      <c r="E62" s="466"/>
      <c r="F62" s="615"/>
      <c r="G62" s="3271"/>
      <c r="H62" s="230"/>
      <c r="I62" s="230"/>
      <c r="J62" s="230"/>
      <c r="K62" s="230"/>
      <c r="L62" s="230"/>
      <c r="M62" s="228"/>
      <c r="N62" s="257"/>
      <c r="O62" s="228"/>
      <c r="P62" s="228"/>
      <c r="Q62" s="258"/>
      <c r="R62" s="2577"/>
      <c r="S62" s="2577"/>
      <c r="T62" s="254"/>
      <c r="U62" s="228"/>
      <c r="V62" s="2552"/>
      <c r="W62" s="256"/>
      <c r="X62" s="248"/>
      <c r="Y62" s="248"/>
      <c r="Z62" s="248"/>
      <c r="AA62" s="247"/>
      <c r="AB62" s="248"/>
      <c r="AC62" s="248"/>
      <c r="AD62" s="194"/>
      <c r="AE62" s="249"/>
      <c r="AF62" s="250"/>
      <c r="AG62" s="251"/>
      <c r="AH62" s="252"/>
      <c r="AI62" s="241"/>
      <c r="AJ62" s="241"/>
      <c r="AK62" s="241"/>
      <c r="AL62" s="194"/>
      <c r="AM62" s="195"/>
      <c r="AN62" s="195"/>
    </row>
    <row r="63" spans="2:40">
      <c r="B63" s="253">
        <f t="shared" si="1"/>
        <v>55</v>
      </c>
      <c r="C63" s="244"/>
      <c r="D63" s="661"/>
      <c r="E63" s="466"/>
      <c r="F63" s="615"/>
      <c r="G63" s="3271"/>
      <c r="H63" s="230"/>
      <c r="I63" s="230"/>
      <c r="J63" s="230"/>
      <c r="K63" s="230"/>
      <c r="L63" s="230"/>
      <c r="M63" s="228"/>
      <c r="N63" s="257"/>
      <c r="O63" s="228"/>
      <c r="P63" s="228"/>
      <c r="Q63" s="258"/>
      <c r="R63" s="2577"/>
      <c r="S63" s="2577"/>
      <c r="T63" s="254"/>
      <c r="U63" s="228"/>
      <c r="V63" s="2552"/>
      <c r="W63" s="256"/>
      <c r="X63" s="248"/>
      <c r="Y63" s="248"/>
      <c r="Z63" s="248"/>
      <c r="AA63" s="247"/>
      <c r="AB63" s="248"/>
      <c r="AC63" s="248"/>
      <c r="AD63" s="194"/>
      <c r="AE63" s="249"/>
      <c r="AF63" s="250"/>
      <c r="AG63" s="251"/>
      <c r="AH63" s="252"/>
      <c r="AI63" s="241"/>
      <c r="AJ63" s="241"/>
      <c r="AK63" s="241"/>
      <c r="AL63" s="194"/>
      <c r="AM63" s="195"/>
      <c r="AN63" s="195"/>
    </row>
    <row r="64" spans="2:40">
      <c r="B64" s="253">
        <f t="shared" si="1"/>
        <v>56</v>
      </c>
      <c r="C64" s="244"/>
      <c r="D64" s="661"/>
      <c r="E64" s="466"/>
      <c r="F64" s="615"/>
      <c r="G64" s="3271"/>
      <c r="H64" s="230"/>
      <c r="I64" s="230"/>
      <c r="J64" s="230"/>
      <c r="K64" s="230"/>
      <c r="L64" s="230"/>
      <c r="M64" s="228"/>
      <c r="N64" s="257"/>
      <c r="O64" s="228"/>
      <c r="P64" s="228"/>
      <c r="Q64" s="258"/>
      <c r="R64" s="2577"/>
      <c r="S64" s="2577"/>
      <c r="T64" s="254"/>
      <c r="U64" s="228"/>
      <c r="V64" s="2552"/>
      <c r="W64" s="256"/>
      <c r="X64" s="248"/>
      <c r="Y64" s="248"/>
      <c r="Z64" s="248"/>
      <c r="AA64" s="247"/>
      <c r="AB64" s="248"/>
      <c r="AC64" s="248"/>
      <c r="AD64" s="194"/>
      <c r="AE64" s="249"/>
      <c r="AF64" s="250"/>
      <c r="AG64" s="251"/>
      <c r="AH64" s="252"/>
      <c r="AI64" s="241"/>
      <c r="AJ64" s="241"/>
      <c r="AK64" s="241"/>
      <c r="AL64" s="194"/>
      <c r="AM64" s="195"/>
      <c r="AN64" s="195"/>
    </row>
    <row r="65" spans="2:40">
      <c r="B65" s="253">
        <f t="shared" si="1"/>
        <v>57</v>
      </c>
      <c r="C65" s="244"/>
      <c r="D65" s="661"/>
      <c r="E65" s="466"/>
      <c r="F65" s="615"/>
      <c r="G65" s="3271"/>
      <c r="H65" s="230"/>
      <c r="I65" s="230"/>
      <c r="J65" s="230"/>
      <c r="K65" s="230"/>
      <c r="L65" s="230"/>
      <c r="M65" s="228"/>
      <c r="N65" s="257"/>
      <c r="O65" s="228"/>
      <c r="P65" s="228"/>
      <c r="Q65" s="258"/>
      <c r="R65" s="2577"/>
      <c r="S65" s="2577"/>
      <c r="T65" s="254"/>
      <c r="U65" s="228"/>
      <c r="V65" s="2552"/>
      <c r="W65" s="256"/>
      <c r="X65" s="248"/>
      <c r="Y65" s="248"/>
      <c r="Z65" s="248"/>
      <c r="AA65" s="247"/>
      <c r="AB65" s="248"/>
      <c r="AC65" s="248"/>
      <c r="AD65" s="194"/>
      <c r="AE65" s="249"/>
      <c r="AF65" s="250"/>
      <c r="AG65" s="251"/>
      <c r="AH65" s="252"/>
      <c r="AI65" s="241"/>
      <c r="AJ65" s="241"/>
      <c r="AK65" s="241"/>
      <c r="AL65" s="194"/>
      <c r="AM65" s="195"/>
      <c r="AN65" s="195"/>
    </row>
    <row r="66" spans="2:40">
      <c r="B66" s="253">
        <f t="shared" si="1"/>
        <v>58</v>
      </c>
      <c r="C66" s="244"/>
      <c r="D66" s="661"/>
      <c r="E66" s="466"/>
      <c r="F66" s="615"/>
      <c r="G66" s="3271"/>
      <c r="H66" s="230"/>
      <c r="I66" s="230"/>
      <c r="J66" s="230"/>
      <c r="K66" s="230"/>
      <c r="L66" s="230"/>
      <c r="M66" s="228"/>
      <c r="N66" s="257"/>
      <c r="O66" s="228"/>
      <c r="P66" s="228"/>
      <c r="Q66" s="258"/>
      <c r="R66" s="2577"/>
      <c r="S66" s="2577"/>
      <c r="T66" s="254"/>
      <c r="U66" s="228"/>
      <c r="V66" s="2552"/>
      <c r="W66" s="256"/>
      <c r="X66" s="248"/>
      <c r="Y66" s="248"/>
      <c r="Z66" s="248"/>
      <c r="AA66" s="247"/>
      <c r="AB66" s="248"/>
      <c r="AC66" s="248"/>
      <c r="AD66" s="194"/>
      <c r="AE66" s="249"/>
      <c r="AF66" s="250"/>
      <c r="AG66" s="251"/>
      <c r="AH66" s="252"/>
      <c r="AI66" s="241"/>
      <c r="AJ66" s="241"/>
      <c r="AK66" s="241"/>
      <c r="AL66" s="194"/>
      <c r="AM66" s="195"/>
      <c r="AN66" s="195"/>
    </row>
    <row r="67" spans="2:40">
      <c r="B67" s="253">
        <f t="shared" si="1"/>
        <v>59</v>
      </c>
      <c r="C67" s="244"/>
      <c r="D67" s="661"/>
      <c r="E67" s="466"/>
      <c r="F67" s="615"/>
      <c r="G67" s="3271"/>
      <c r="H67" s="230"/>
      <c r="I67" s="230"/>
      <c r="J67" s="230"/>
      <c r="K67" s="230"/>
      <c r="L67" s="230"/>
      <c r="M67" s="228"/>
      <c r="N67" s="257"/>
      <c r="O67" s="228"/>
      <c r="P67" s="228"/>
      <c r="Q67" s="258"/>
      <c r="R67" s="2577"/>
      <c r="S67" s="2577"/>
      <c r="T67" s="254"/>
      <c r="U67" s="228"/>
      <c r="V67" s="2552"/>
      <c r="W67" s="256"/>
      <c r="X67" s="248"/>
      <c r="Y67" s="248"/>
      <c r="Z67" s="248"/>
      <c r="AA67" s="247"/>
      <c r="AB67" s="248"/>
      <c r="AC67" s="248"/>
      <c r="AD67" s="194"/>
      <c r="AE67" s="249"/>
      <c r="AF67" s="250"/>
      <c r="AG67" s="251"/>
      <c r="AH67" s="252"/>
      <c r="AI67" s="241"/>
      <c r="AJ67" s="241"/>
      <c r="AK67" s="241"/>
      <c r="AL67" s="194"/>
      <c r="AM67" s="195"/>
      <c r="AN67" s="195"/>
    </row>
    <row r="68" spans="2:40">
      <c r="B68" s="253">
        <f t="shared" si="1"/>
        <v>60</v>
      </c>
      <c r="C68" s="244"/>
      <c r="D68" s="661"/>
      <c r="E68" s="466"/>
      <c r="F68" s="615"/>
      <c r="G68" s="3271"/>
      <c r="H68" s="230"/>
      <c r="I68" s="230"/>
      <c r="J68" s="230"/>
      <c r="K68" s="230"/>
      <c r="L68" s="230"/>
      <c r="M68" s="228"/>
      <c r="N68" s="257"/>
      <c r="O68" s="228"/>
      <c r="P68" s="228"/>
      <c r="Q68" s="258"/>
      <c r="R68" s="2577"/>
      <c r="S68" s="2577"/>
      <c r="T68" s="254"/>
      <c r="U68" s="228"/>
      <c r="V68" s="2552"/>
      <c r="W68" s="256"/>
      <c r="X68" s="248"/>
      <c r="Y68" s="248"/>
      <c r="Z68" s="248"/>
      <c r="AA68" s="247"/>
      <c r="AB68" s="248"/>
      <c r="AC68" s="248"/>
      <c r="AD68" s="194"/>
      <c r="AE68" s="249"/>
      <c r="AF68" s="250"/>
      <c r="AG68" s="251"/>
      <c r="AH68" s="252"/>
      <c r="AI68" s="241"/>
      <c r="AJ68" s="241"/>
      <c r="AK68" s="241"/>
      <c r="AL68" s="194"/>
      <c r="AM68" s="195"/>
      <c r="AN68" s="195"/>
    </row>
    <row r="69" spans="2:40">
      <c r="B69" s="253">
        <f t="shared" si="1"/>
        <v>61</v>
      </c>
      <c r="C69" s="244"/>
      <c r="D69" s="661"/>
      <c r="E69" s="466"/>
      <c r="F69" s="615"/>
      <c r="G69" s="3271"/>
      <c r="H69" s="230"/>
      <c r="I69" s="230"/>
      <c r="J69" s="230"/>
      <c r="K69" s="230"/>
      <c r="L69" s="230"/>
      <c r="M69" s="228"/>
      <c r="N69" s="257"/>
      <c r="O69" s="228"/>
      <c r="P69" s="228"/>
      <c r="Q69" s="258"/>
      <c r="R69" s="2577"/>
      <c r="S69" s="2577"/>
      <c r="T69" s="254"/>
      <c r="U69" s="228"/>
      <c r="V69" s="2552"/>
      <c r="W69" s="256"/>
      <c r="X69" s="248"/>
      <c r="Y69" s="248"/>
      <c r="Z69" s="248"/>
      <c r="AA69" s="247"/>
      <c r="AB69" s="248"/>
      <c r="AC69" s="248"/>
      <c r="AD69" s="194"/>
      <c r="AE69" s="249"/>
      <c r="AF69" s="250"/>
      <c r="AG69" s="251"/>
      <c r="AH69" s="252"/>
      <c r="AI69" s="241"/>
      <c r="AJ69" s="241"/>
      <c r="AK69" s="241"/>
      <c r="AL69" s="194"/>
      <c r="AM69" s="195"/>
      <c r="AN69" s="195"/>
    </row>
    <row r="70" spans="2:40">
      <c r="B70" s="253">
        <f t="shared" si="1"/>
        <v>62</v>
      </c>
      <c r="C70" s="244"/>
      <c r="D70" s="661"/>
      <c r="E70" s="466"/>
      <c r="F70" s="615"/>
      <c r="G70" s="3271"/>
      <c r="H70" s="230"/>
      <c r="I70" s="230"/>
      <c r="J70" s="230"/>
      <c r="K70" s="230"/>
      <c r="L70" s="230"/>
      <c r="M70" s="228"/>
      <c r="N70" s="257"/>
      <c r="O70" s="228"/>
      <c r="P70" s="228"/>
      <c r="Q70" s="258"/>
      <c r="R70" s="2577"/>
      <c r="S70" s="2577"/>
      <c r="T70" s="254"/>
      <c r="U70" s="228"/>
      <c r="V70" s="2552"/>
      <c r="W70" s="256"/>
      <c r="X70" s="248"/>
      <c r="Y70" s="248"/>
      <c r="Z70" s="248"/>
      <c r="AA70" s="247"/>
      <c r="AB70" s="248"/>
      <c r="AC70" s="248"/>
      <c r="AD70" s="194"/>
      <c r="AE70" s="249"/>
      <c r="AF70" s="250"/>
      <c r="AG70" s="251"/>
      <c r="AH70" s="252"/>
      <c r="AI70" s="241"/>
      <c r="AJ70" s="241"/>
      <c r="AK70" s="241"/>
      <c r="AL70" s="194"/>
      <c r="AM70" s="195"/>
      <c r="AN70" s="195"/>
    </row>
    <row r="71" spans="2:40">
      <c r="B71" s="253">
        <f t="shared" si="1"/>
        <v>63</v>
      </c>
      <c r="C71" s="244"/>
      <c r="D71" s="661"/>
      <c r="E71" s="466"/>
      <c r="F71" s="615"/>
      <c r="G71" s="3271"/>
      <c r="H71" s="230"/>
      <c r="I71" s="230"/>
      <c r="J71" s="230"/>
      <c r="K71" s="230"/>
      <c r="L71" s="230"/>
      <c r="M71" s="228"/>
      <c r="N71" s="257"/>
      <c r="O71" s="228"/>
      <c r="P71" s="228"/>
      <c r="Q71" s="258"/>
      <c r="R71" s="2577"/>
      <c r="S71" s="2577"/>
      <c r="T71" s="254"/>
      <c r="U71" s="228"/>
      <c r="V71" s="2552"/>
      <c r="W71" s="256"/>
      <c r="X71" s="248"/>
      <c r="Y71" s="248"/>
      <c r="Z71" s="248"/>
      <c r="AA71" s="247"/>
      <c r="AB71" s="248"/>
      <c r="AC71" s="248"/>
      <c r="AD71" s="194"/>
      <c r="AE71" s="249"/>
      <c r="AF71" s="250"/>
      <c r="AG71" s="251"/>
      <c r="AH71" s="252"/>
      <c r="AI71" s="241"/>
      <c r="AJ71" s="241"/>
      <c r="AK71" s="241"/>
      <c r="AL71" s="194"/>
      <c r="AM71" s="195"/>
      <c r="AN71" s="195"/>
    </row>
    <row r="72" spans="2:40">
      <c r="B72" s="253">
        <f t="shared" si="1"/>
        <v>64</v>
      </c>
      <c r="C72" s="244"/>
      <c r="D72" s="661"/>
      <c r="E72" s="466"/>
      <c r="F72" s="615"/>
      <c r="G72" s="3271"/>
      <c r="H72" s="230"/>
      <c r="I72" s="230"/>
      <c r="J72" s="230"/>
      <c r="K72" s="230"/>
      <c r="L72" s="230"/>
      <c r="M72" s="228"/>
      <c r="N72" s="257"/>
      <c r="O72" s="228"/>
      <c r="P72" s="228"/>
      <c r="Q72" s="258"/>
      <c r="R72" s="2577"/>
      <c r="S72" s="2577"/>
      <c r="T72" s="254"/>
      <c r="U72" s="228"/>
      <c r="V72" s="2552"/>
      <c r="W72" s="256"/>
      <c r="X72" s="248"/>
      <c r="Y72" s="248"/>
      <c r="Z72" s="248"/>
      <c r="AA72" s="247"/>
      <c r="AB72" s="248"/>
      <c r="AC72" s="248"/>
      <c r="AD72" s="194"/>
      <c r="AE72" s="249"/>
      <c r="AF72" s="250"/>
      <c r="AG72" s="251"/>
      <c r="AH72" s="252"/>
      <c r="AI72" s="241"/>
      <c r="AJ72" s="241"/>
      <c r="AK72" s="241"/>
      <c r="AL72" s="194"/>
      <c r="AM72" s="195"/>
      <c r="AN72" s="195"/>
    </row>
    <row r="73" spans="2:40">
      <c r="B73" s="253">
        <f t="shared" si="1"/>
        <v>65</v>
      </c>
      <c r="C73" s="244"/>
      <c r="D73" s="661"/>
      <c r="E73" s="466"/>
      <c r="F73" s="615"/>
      <c r="G73" s="3271"/>
      <c r="H73" s="230"/>
      <c r="I73" s="230"/>
      <c r="J73" s="230"/>
      <c r="K73" s="230"/>
      <c r="L73" s="230"/>
      <c r="M73" s="228"/>
      <c r="N73" s="257"/>
      <c r="O73" s="228"/>
      <c r="P73" s="228"/>
      <c r="Q73" s="258"/>
      <c r="R73" s="2577"/>
      <c r="S73" s="2577"/>
      <c r="T73" s="254"/>
      <c r="U73" s="228"/>
      <c r="V73" s="2552"/>
      <c r="W73" s="256"/>
      <c r="X73" s="248"/>
      <c r="Y73" s="248"/>
      <c r="Z73" s="248"/>
      <c r="AA73" s="247"/>
      <c r="AB73" s="248"/>
      <c r="AC73" s="248"/>
      <c r="AD73" s="194"/>
      <c r="AE73" s="249"/>
      <c r="AF73" s="250"/>
      <c r="AG73" s="251"/>
      <c r="AH73" s="252"/>
      <c r="AI73" s="241"/>
      <c r="AJ73" s="241"/>
      <c r="AK73" s="241"/>
      <c r="AL73" s="194"/>
      <c r="AM73" s="195"/>
      <c r="AN73" s="195"/>
    </row>
    <row r="74" spans="2:40">
      <c r="B74" s="253">
        <f t="shared" si="1"/>
        <v>66</v>
      </c>
      <c r="C74" s="244"/>
      <c r="D74" s="661"/>
      <c r="E74" s="466"/>
      <c r="F74" s="615"/>
      <c r="G74" s="3271"/>
      <c r="H74" s="230"/>
      <c r="I74" s="230"/>
      <c r="J74" s="230"/>
      <c r="K74" s="230"/>
      <c r="L74" s="230"/>
      <c r="M74" s="228"/>
      <c r="N74" s="257"/>
      <c r="O74" s="228"/>
      <c r="P74" s="228"/>
      <c r="Q74" s="258"/>
      <c r="R74" s="2577"/>
      <c r="S74" s="2577"/>
      <c r="T74" s="254"/>
      <c r="U74" s="228"/>
      <c r="V74" s="2552"/>
      <c r="W74" s="256"/>
      <c r="X74" s="248"/>
      <c r="Y74" s="248"/>
      <c r="Z74" s="248"/>
      <c r="AA74" s="247"/>
      <c r="AB74" s="248"/>
      <c r="AC74" s="248"/>
      <c r="AD74" s="194"/>
      <c r="AE74" s="249"/>
      <c r="AF74" s="250"/>
      <c r="AG74" s="251"/>
      <c r="AH74" s="252"/>
      <c r="AI74" s="241"/>
      <c r="AJ74" s="241"/>
      <c r="AK74" s="241"/>
      <c r="AL74" s="194"/>
      <c r="AM74" s="195"/>
      <c r="AN74" s="195"/>
    </row>
    <row r="75" spans="2:40">
      <c r="B75" s="253">
        <f t="shared" si="1"/>
        <v>67</v>
      </c>
      <c r="C75" s="244"/>
      <c r="D75" s="661"/>
      <c r="E75" s="466"/>
      <c r="F75" s="615"/>
      <c r="G75" s="3271"/>
      <c r="H75" s="230"/>
      <c r="I75" s="230"/>
      <c r="J75" s="230"/>
      <c r="K75" s="230"/>
      <c r="L75" s="230"/>
      <c r="M75" s="228"/>
      <c r="N75" s="257"/>
      <c r="O75" s="228"/>
      <c r="P75" s="228"/>
      <c r="Q75" s="258"/>
      <c r="R75" s="2577"/>
      <c r="S75" s="2577"/>
      <c r="T75" s="254"/>
      <c r="U75" s="228"/>
      <c r="V75" s="2552"/>
      <c r="W75" s="256"/>
      <c r="X75" s="248"/>
      <c r="Y75" s="248"/>
      <c r="Z75" s="248"/>
      <c r="AA75" s="247"/>
      <c r="AB75" s="248"/>
      <c r="AC75" s="248"/>
      <c r="AD75" s="194"/>
      <c r="AE75" s="249"/>
      <c r="AF75" s="250"/>
      <c r="AG75" s="251"/>
      <c r="AH75" s="252"/>
      <c r="AI75" s="241"/>
      <c r="AJ75" s="241"/>
      <c r="AK75" s="241"/>
      <c r="AL75" s="194"/>
      <c r="AM75" s="195"/>
      <c r="AN75" s="195"/>
    </row>
    <row r="76" spans="2:40">
      <c r="B76" s="253">
        <f t="shared" si="1"/>
        <v>68</v>
      </c>
      <c r="C76" s="244"/>
      <c r="D76" s="661"/>
      <c r="E76" s="466"/>
      <c r="F76" s="615"/>
      <c r="G76" s="3271"/>
      <c r="H76" s="230"/>
      <c r="I76" s="230"/>
      <c r="J76" s="230"/>
      <c r="K76" s="230"/>
      <c r="L76" s="230"/>
      <c r="M76" s="228"/>
      <c r="N76" s="257"/>
      <c r="O76" s="228"/>
      <c r="P76" s="228"/>
      <c r="Q76" s="258"/>
      <c r="R76" s="2577"/>
      <c r="S76" s="2577"/>
      <c r="T76" s="254"/>
      <c r="U76" s="228"/>
      <c r="V76" s="2552"/>
      <c r="W76" s="256"/>
      <c r="X76" s="248"/>
      <c r="Y76" s="248"/>
      <c r="Z76" s="248"/>
      <c r="AA76" s="247"/>
      <c r="AB76" s="248"/>
      <c r="AC76" s="248"/>
      <c r="AD76" s="194"/>
      <c r="AE76" s="249"/>
      <c r="AF76" s="250"/>
      <c r="AG76" s="251"/>
      <c r="AH76" s="252"/>
      <c r="AI76" s="241"/>
      <c r="AJ76" s="241"/>
      <c r="AK76" s="241"/>
      <c r="AL76" s="194"/>
      <c r="AM76" s="195"/>
      <c r="AN76" s="195"/>
    </row>
    <row r="77" spans="2:40">
      <c r="B77" s="253">
        <f t="shared" si="1"/>
        <v>69</v>
      </c>
      <c r="C77" s="244"/>
      <c r="D77" s="661"/>
      <c r="E77" s="466"/>
      <c r="F77" s="615"/>
      <c r="G77" s="3271"/>
      <c r="H77" s="230"/>
      <c r="I77" s="230"/>
      <c r="J77" s="230"/>
      <c r="K77" s="230"/>
      <c r="L77" s="230"/>
      <c r="M77" s="228"/>
      <c r="N77" s="257"/>
      <c r="O77" s="228"/>
      <c r="P77" s="228"/>
      <c r="Q77" s="258"/>
      <c r="R77" s="2577"/>
      <c r="S77" s="2577"/>
      <c r="T77" s="254"/>
      <c r="U77" s="228"/>
      <c r="V77" s="2552"/>
      <c r="W77" s="256"/>
      <c r="X77" s="248"/>
      <c r="Y77" s="248"/>
      <c r="Z77" s="248"/>
      <c r="AA77" s="247"/>
      <c r="AB77" s="248"/>
      <c r="AC77" s="248"/>
      <c r="AD77" s="194"/>
      <c r="AE77" s="249"/>
      <c r="AF77" s="250"/>
      <c r="AG77" s="251"/>
      <c r="AH77" s="252"/>
      <c r="AI77" s="241"/>
      <c r="AJ77" s="241"/>
      <c r="AK77" s="241"/>
      <c r="AL77" s="194"/>
      <c r="AM77" s="195"/>
      <c r="AN77" s="195"/>
    </row>
    <row r="78" spans="2:40">
      <c r="B78" s="253">
        <f t="shared" si="1"/>
        <v>70</v>
      </c>
      <c r="C78" s="244"/>
      <c r="D78" s="661"/>
      <c r="E78" s="466"/>
      <c r="F78" s="615"/>
      <c r="G78" s="3271"/>
      <c r="H78" s="230"/>
      <c r="I78" s="230"/>
      <c r="J78" s="230"/>
      <c r="K78" s="230"/>
      <c r="L78" s="230"/>
      <c r="M78" s="228"/>
      <c r="N78" s="257"/>
      <c r="O78" s="228"/>
      <c r="P78" s="228"/>
      <c r="Q78" s="258"/>
      <c r="R78" s="2577"/>
      <c r="S78" s="2577"/>
      <c r="T78" s="254"/>
      <c r="U78" s="228"/>
      <c r="V78" s="2552"/>
      <c r="W78" s="256"/>
      <c r="X78" s="248"/>
      <c r="Y78" s="248"/>
      <c r="Z78" s="248"/>
      <c r="AA78" s="247"/>
      <c r="AB78" s="248"/>
      <c r="AC78" s="248"/>
      <c r="AD78" s="194"/>
      <c r="AE78" s="249"/>
      <c r="AF78" s="250"/>
      <c r="AG78" s="251"/>
      <c r="AH78" s="252"/>
      <c r="AI78" s="241"/>
      <c r="AJ78" s="241"/>
      <c r="AK78" s="241"/>
      <c r="AL78" s="194"/>
      <c r="AM78" s="195"/>
      <c r="AN78" s="195"/>
    </row>
    <row r="79" spans="2:40">
      <c r="B79" s="253">
        <f t="shared" si="1"/>
        <v>71</v>
      </c>
      <c r="C79" s="244"/>
      <c r="D79" s="661"/>
      <c r="E79" s="466"/>
      <c r="F79" s="615"/>
      <c r="G79" s="3271"/>
      <c r="H79" s="230"/>
      <c r="I79" s="230"/>
      <c r="J79" s="230"/>
      <c r="K79" s="230"/>
      <c r="L79" s="230"/>
      <c r="M79" s="228"/>
      <c r="N79" s="257"/>
      <c r="O79" s="228"/>
      <c r="P79" s="228"/>
      <c r="Q79" s="258"/>
      <c r="R79" s="2577"/>
      <c r="S79" s="2577"/>
      <c r="T79" s="254"/>
      <c r="U79" s="228"/>
      <c r="V79" s="2552"/>
      <c r="W79" s="256"/>
      <c r="X79" s="248"/>
      <c r="Y79" s="248"/>
      <c r="Z79" s="248"/>
      <c r="AA79" s="247"/>
      <c r="AB79" s="248"/>
      <c r="AC79" s="248"/>
      <c r="AD79" s="194"/>
      <c r="AE79" s="249"/>
      <c r="AF79" s="250"/>
      <c r="AG79" s="251"/>
      <c r="AH79" s="252"/>
      <c r="AI79" s="241"/>
      <c r="AJ79" s="241"/>
      <c r="AK79" s="241"/>
      <c r="AL79" s="194"/>
      <c r="AM79" s="195"/>
      <c r="AN79" s="195"/>
    </row>
    <row r="80" spans="2:40">
      <c r="B80" s="253">
        <f t="shared" si="1"/>
        <v>72</v>
      </c>
      <c r="C80" s="244"/>
      <c r="D80" s="661"/>
      <c r="E80" s="466"/>
      <c r="F80" s="615"/>
      <c r="G80" s="3271"/>
      <c r="H80" s="230"/>
      <c r="I80" s="230"/>
      <c r="J80" s="230"/>
      <c r="K80" s="230"/>
      <c r="L80" s="230"/>
      <c r="M80" s="228"/>
      <c r="N80" s="257"/>
      <c r="O80" s="228"/>
      <c r="P80" s="228"/>
      <c r="Q80" s="258"/>
      <c r="R80" s="2577"/>
      <c r="S80" s="2577"/>
      <c r="T80" s="254"/>
      <c r="U80" s="228"/>
      <c r="V80" s="2552"/>
      <c r="W80" s="256"/>
      <c r="X80" s="248"/>
      <c r="Y80" s="248"/>
      <c r="Z80" s="248"/>
      <c r="AA80" s="247"/>
      <c r="AB80" s="248"/>
      <c r="AC80" s="248"/>
      <c r="AD80" s="194"/>
      <c r="AE80" s="249"/>
      <c r="AF80" s="250"/>
      <c r="AG80" s="251"/>
      <c r="AH80" s="252"/>
      <c r="AI80" s="241"/>
      <c r="AJ80" s="241"/>
      <c r="AK80" s="241"/>
      <c r="AL80" s="194"/>
      <c r="AM80" s="195"/>
      <c r="AN80" s="195"/>
    </row>
    <row r="81" spans="2:40">
      <c r="B81" s="253">
        <f t="shared" si="1"/>
        <v>73</v>
      </c>
      <c r="C81" s="244"/>
      <c r="D81" s="661"/>
      <c r="E81" s="466"/>
      <c r="F81" s="615"/>
      <c r="G81" s="3271"/>
      <c r="H81" s="230"/>
      <c r="I81" s="230"/>
      <c r="J81" s="230"/>
      <c r="K81" s="230"/>
      <c r="L81" s="230"/>
      <c r="M81" s="228"/>
      <c r="N81" s="257"/>
      <c r="O81" s="228"/>
      <c r="P81" s="228"/>
      <c r="Q81" s="258"/>
      <c r="R81" s="2577"/>
      <c r="S81" s="2577"/>
      <c r="T81" s="254"/>
      <c r="U81" s="228"/>
      <c r="V81" s="2552"/>
      <c r="W81" s="256"/>
      <c r="X81" s="248"/>
      <c r="Y81" s="248"/>
      <c r="Z81" s="248"/>
      <c r="AA81" s="247"/>
      <c r="AB81" s="248"/>
      <c r="AC81" s="248"/>
      <c r="AD81" s="194"/>
      <c r="AE81" s="249"/>
      <c r="AF81" s="250"/>
      <c r="AG81" s="251"/>
      <c r="AH81" s="252"/>
      <c r="AI81" s="241"/>
      <c r="AJ81" s="241"/>
      <c r="AK81" s="241"/>
      <c r="AL81" s="194"/>
      <c r="AM81" s="195"/>
      <c r="AN81" s="195"/>
    </row>
    <row r="82" spans="2:40">
      <c r="B82" s="253">
        <f t="shared" si="1"/>
        <v>74</v>
      </c>
      <c r="C82" s="244"/>
      <c r="D82" s="661"/>
      <c r="E82" s="466"/>
      <c r="F82" s="615"/>
      <c r="G82" s="3271"/>
      <c r="H82" s="230"/>
      <c r="I82" s="230"/>
      <c r="J82" s="230"/>
      <c r="K82" s="230"/>
      <c r="L82" s="230"/>
      <c r="M82" s="228"/>
      <c r="N82" s="257"/>
      <c r="O82" s="228"/>
      <c r="P82" s="228"/>
      <c r="Q82" s="258"/>
      <c r="R82" s="2577"/>
      <c r="S82" s="2577"/>
      <c r="T82" s="254"/>
      <c r="U82" s="228"/>
      <c r="V82" s="2552"/>
      <c r="W82" s="256"/>
      <c r="X82" s="248"/>
      <c r="Y82" s="248"/>
      <c r="Z82" s="248"/>
      <c r="AA82" s="247"/>
      <c r="AB82" s="248"/>
      <c r="AC82" s="248"/>
      <c r="AD82" s="194"/>
      <c r="AE82" s="249"/>
      <c r="AF82" s="250"/>
      <c r="AG82" s="251"/>
      <c r="AH82" s="252"/>
      <c r="AI82" s="241"/>
      <c r="AJ82" s="241"/>
      <c r="AK82" s="241"/>
      <c r="AL82" s="194"/>
      <c r="AM82" s="195"/>
      <c r="AN82" s="195"/>
    </row>
    <row r="83" spans="2:40">
      <c r="B83" s="253">
        <f t="shared" si="1"/>
        <v>75</v>
      </c>
      <c r="C83" s="244"/>
      <c r="D83" s="661"/>
      <c r="E83" s="466"/>
      <c r="F83" s="615"/>
      <c r="G83" s="3271"/>
      <c r="H83" s="230"/>
      <c r="I83" s="230"/>
      <c r="J83" s="230"/>
      <c r="K83" s="230"/>
      <c r="L83" s="230"/>
      <c r="M83" s="228"/>
      <c r="N83" s="257"/>
      <c r="O83" s="228"/>
      <c r="P83" s="228"/>
      <c r="Q83" s="258"/>
      <c r="R83" s="2577"/>
      <c r="S83" s="2577"/>
      <c r="T83" s="254"/>
      <c r="U83" s="228"/>
      <c r="V83" s="2552"/>
      <c r="W83" s="256"/>
      <c r="X83" s="248"/>
      <c r="Y83" s="248"/>
      <c r="Z83" s="248"/>
      <c r="AA83" s="247"/>
      <c r="AB83" s="248"/>
      <c r="AC83" s="248"/>
      <c r="AD83" s="194"/>
      <c r="AE83" s="249"/>
      <c r="AF83" s="250"/>
      <c r="AG83" s="251"/>
      <c r="AH83" s="252"/>
      <c r="AI83" s="241"/>
      <c r="AJ83" s="241"/>
      <c r="AK83" s="241"/>
      <c r="AL83" s="194"/>
      <c r="AM83" s="195"/>
      <c r="AN83" s="195"/>
    </row>
    <row r="84" spans="2:40">
      <c r="B84" s="253">
        <f t="shared" si="1"/>
        <v>76</v>
      </c>
      <c r="C84" s="244"/>
      <c r="D84" s="661"/>
      <c r="E84" s="466"/>
      <c r="F84" s="615"/>
      <c r="G84" s="3271"/>
      <c r="H84" s="230"/>
      <c r="I84" s="230"/>
      <c r="J84" s="230"/>
      <c r="K84" s="230"/>
      <c r="L84" s="230"/>
      <c r="M84" s="228"/>
      <c r="N84" s="257"/>
      <c r="O84" s="228"/>
      <c r="P84" s="228"/>
      <c r="Q84" s="258"/>
      <c r="R84" s="2577"/>
      <c r="S84" s="2577"/>
      <c r="T84" s="254"/>
      <c r="U84" s="228"/>
      <c r="V84" s="2552"/>
      <c r="W84" s="256"/>
      <c r="X84" s="248"/>
      <c r="Y84" s="248"/>
      <c r="Z84" s="248"/>
      <c r="AA84" s="247"/>
      <c r="AB84" s="248"/>
      <c r="AC84" s="248"/>
      <c r="AD84" s="194"/>
      <c r="AE84" s="249"/>
      <c r="AF84" s="250"/>
      <c r="AG84" s="251"/>
      <c r="AH84" s="252"/>
      <c r="AI84" s="241"/>
      <c r="AJ84" s="241"/>
      <c r="AK84" s="241"/>
      <c r="AL84" s="194"/>
      <c r="AM84" s="195"/>
      <c r="AN84" s="195"/>
    </row>
    <row r="85" spans="2:40">
      <c r="B85" s="253">
        <f t="shared" si="1"/>
        <v>77</v>
      </c>
      <c r="C85" s="244"/>
      <c r="D85" s="661"/>
      <c r="E85" s="466"/>
      <c r="F85" s="615"/>
      <c r="G85" s="3271"/>
      <c r="H85" s="230"/>
      <c r="I85" s="230"/>
      <c r="J85" s="230"/>
      <c r="K85" s="230"/>
      <c r="L85" s="230"/>
      <c r="M85" s="228"/>
      <c r="N85" s="257"/>
      <c r="O85" s="228"/>
      <c r="P85" s="228"/>
      <c r="Q85" s="258"/>
      <c r="R85" s="2577"/>
      <c r="S85" s="2577"/>
      <c r="T85" s="254"/>
      <c r="U85" s="228"/>
      <c r="V85" s="2552"/>
      <c r="W85" s="256"/>
      <c r="X85" s="248"/>
      <c r="Y85" s="248"/>
      <c r="Z85" s="248"/>
      <c r="AA85" s="247"/>
      <c r="AB85" s="248"/>
      <c r="AC85" s="248"/>
      <c r="AD85" s="194"/>
      <c r="AE85" s="249"/>
      <c r="AF85" s="250"/>
      <c r="AG85" s="251"/>
      <c r="AH85" s="252"/>
      <c r="AI85" s="241"/>
      <c r="AJ85" s="241"/>
      <c r="AK85" s="241"/>
      <c r="AL85" s="194"/>
      <c r="AM85" s="195"/>
      <c r="AN85" s="195"/>
    </row>
    <row r="86" spans="2:40">
      <c r="B86" s="253">
        <f t="shared" si="1"/>
        <v>78</v>
      </c>
      <c r="C86" s="244"/>
      <c r="D86" s="661"/>
      <c r="E86" s="466"/>
      <c r="F86" s="615"/>
      <c r="G86" s="3271"/>
      <c r="H86" s="230"/>
      <c r="I86" s="230"/>
      <c r="J86" s="230"/>
      <c r="K86" s="230"/>
      <c r="L86" s="230"/>
      <c r="M86" s="228"/>
      <c r="N86" s="257"/>
      <c r="O86" s="228"/>
      <c r="P86" s="228"/>
      <c r="Q86" s="258"/>
      <c r="R86" s="2577"/>
      <c r="S86" s="2577"/>
      <c r="T86" s="254"/>
      <c r="U86" s="228"/>
      <c r="V86" s="2552"/>
      <c r="W86" s="256"/>
      <c r="X86" s="248"/>
      <c r="Y86" s="248"/>
      <c r="Z86" s="248"/>
      <c r="AA86" s="247"/>
      <c r="AB86" s="248"/>
      <c r="AC86" s="248"/>
      <c r="AD86" s="194"/>
      <c r="AE86" s="249"/>
      <c r="AF86" s="250"/>
      <c r="AG86" s="251"/>
      <c r="AH86" s="252"/>
      <c r="AI86" s="241"/>
      <c r="AJ86" s="241"/>
      <c r="AK86" s="241"/>
      <c r="AL86" s="194"/>
      <c r="AM86" s="195"/>
      <c r="AN86" s="195"/>
    </row>
    <row r="87" spans="2:40">
      <c r="B87" s="253">
        <f t="shared" si="1"/>
        <v>79</v>
      </c>
      <c r="C87" s="244"/>
      <c r="D87" s="661"/>
      <c r="E87" s="466"/>
      <c r="F87" s="615"/>
      <c r="G87" s="3271"/>
      <c r="H87" s="230"/>
      <c r="I87" s="230"/>
      <c r="J87" s="230"/>
      <c r="K87" s="230"/>
      <c r="L87" s="230"/>
      <c r="M87" s="228"/>
      <c r="N87" s="257"/>
      <c r="O87" s="228"/>
      <c r="P87" s="228"/>
      <c r="Q87" s="258"/>
      <c r="R87" s="2577"/>
      <c r="S87" s="2577"/>
      <c r="T87" s="254"/>
      <c r="U87" s="228"/>
      <c r="V87" s="2552"/>
      <c r="W87" s="256"/>
      <c r="X87" s="248"/>
      <c r="Y87" s="248"/>
      <c r="Z87" s="248"/>
      <c r="AA87" s="247"/>
      <c r="AB87" s="248"/>
      <c r="AC87" s="248"/>
      <c r="AD87" s="194"/>
      <c r="AE87" s="249"/>
      <c r="AF87" s="250"/>
      <c r="AG87" s="251"/>
      <c r="AH87" s="252"/>
      <c r="AI87" s="241"/>
      <c r="AJ87" s="241"/>
      <c r="AK87" s="241"/>
      <c r="AL87" s="194"/>
      <c r="AM87" s="195"/>
      <c r="AN87" s="195"/>
    </row>
    <row r="88" spans="2:40">
      <c r="B88" s="253">
        <f t="shared" si="1"/>
        <v>80</v>
      </c>
      <c r="C88" s="244"/>
      <c r="D88" s="661"/>
      <c r="E88" s="466"/>
      <c r="F88" s="615"/>
      <c r="G88" s="3271"/>
      <c r="H88" s="230"/>
      <c r="I88" s="230"/>
      <c r="J88" s="230"/>
      <c r="K88" s="230"/>
      <c r="L88" s="230"/>
      <c r="M88" s="228"/>
      <c r="N88" s="257"/>
      <c r="O88" s="228"/>
      <c r="P88" s="228"/>
      <c r="Q88" s="258"/>
      <c r="R88" s="2577"/>
      <c r="S88" s="2577"/>
      <c r="T88" s="254"/>
      <c r="U88" s="228"/>
      <c r="V88" s="2552"/>
      <c r="W88" s="256"/>
      <c r="X88" s="248"/>
      <c r="Y88" s="248"/>
      <c r="Z88" s="248"/>
      <c r="AA88" s="247"/>
      <c r="AB88" s="248"/>
      <c r="AC88" s="248"/>
      <c r="AD88" s="194"/>
      <c r="AE88" s="249"/>
      <c r="AF88" s="250"/>
      <c r="AG88" s="251"/>
      <c r="AH88" s="252"/>
      <c r="AI88" s="241"/>
      <c r="AJ88" s="241"/>
      <c r="AK88" s="241"/>
      <c r="AL88" s="194"/>
      <c r="AM88" s="195"/>
      <c r="AN88" s="195"/>
    </row>
    <row r="89" spans="2:40">
      <c r="B89" s="253">
        <f t="shared" si="1"/>
        <v>81</v>
      </c>
      <c r="C89" s="244"/>
      <c r="D89" s="661"/>
      <c r="E89" s="466"/>
      <c r="F89" s="615"/>
      <c r="G89" s="3271"/>
      <c r="H89" s="230"/>
      <c r="I89" s="230"/>
      <c r="J89" s="230"/>
      <c r="K89" s="230"/>
      <c r="L89" s="230"/>
      <c r="M89" s="228"/>
      <c r="N89" s="257"/>
      <c r="O89" s="228"/>
      <c r="P89" s="228"/>
      <c r="Q89" s="258"/>
      <c r="R89" s="2577"/>
      <c r="S89" s="2577"/>
      <c r="T89" s="254"/>
      <c r="U89" s="228"/>
      <c r="V89" s="2552"/>
      <c r="W89" s="256"/>
      <c r="X89" s="248"/>
      <c r="Y89" s="248"/>
      <c r="Z89" s="248"/>
      <c r="AA89" s="247"/>
      <c r="AB89" s="248"/>
      <c r="AC89" s="248"/>
      <c r="AD89" s="194"/>
      <c r="AE89" s="249"/>
      <c r="AF89" s="250"/>
      <c r="AG89" s="251"/>
      <c r="AH89" s="252"/>
      <c r="AI89" s="241"/>
      <c r="AJ89" s="241"/>
      <c r="AK89" s="241"/>
      <c r="AL89" s="194"/>
      <c r="AM89" s="195"/>
      <c r="AN89" s="195"/>
    </row>
    <row r="90" spans="2:40">
      <c r="B90" s="253">
        <f t="shared" si="1"/>
        <v>82</v>
      </c>
      <c r="C90" s="244"/>
      <c r="D90" s="661"/>
      <c r="E90" s="466"/>
      <c r="F90" s="615"/>
      <c r="G90" s="3271"/>
      <c r="H90" s="230"/>
      <c r="I90" s="230"/>
      <c r="J90" s="230"/>
      <c r="K90" s="230"/>
      <c r="L90" s="230"/>
      <c r="M90" s="228"/>
      <c r="N90" s="257"/>
      <c r="O90" s="228"/>
      <c r="P90" s="228"/>
      <c r="Q90" s="258"/>
      <c r="R90" s="2577"/>
      <c r="S90" s="2577"/>
      <c r="T90" s="254"/>
      <c r="U90" s="228"/>
      <c r="V90" s="2552"/>
      <c r="W90" s="256"/>
      <c r="X90" s="248"/>
      <c r="Y90" s="248"/>
      <c r="Z90" s="248"/>
      <c r="AA90" s="247"/>
      <c r="AB90" s="248"/>
      <c r="AC90" s="248"/>
      <c r="AD90" s="194"/>
      <c r="AE90" s="249"/>
      <c r="AF90" s="250"/>
      <c r="AG90" s="251"/>
      <c r="AH90" s="252"/>
      <c r="AI90" s="241"/>
      <c r="AJ90" s="241"/>
      <c r="AK90" s="241"/>
      <c r="AL90" s="194"/>
      <c r="AM90" s="195"/>
      <c r="AN90" s="195"/>
    </row>
    <row r="91" spans="2:40">
      <c r="B91" s="253">
        <f t="shared" si="1"/>
        <v>83</v>
      </c>
      <c r="C91" s="244"/>
      <c r="D91" s="661"/>
      <c r="E91" s="466"/>
      <c r="F91" s="615"/>
      <c r="G91" s="3271"/>
      <c r="H91" s="230"/>
      <c r="I91" s="230"/>
      <c r="J91" s="230"/>
      <c r="K91" s="230"/>
      <c r="L91" s="230"/>
      <c r="M91" s="228"/>
      <c r="N91" s="257"/>
      <c r="O91" s="228"/>
      <c r="P91" s="228"/>
      <c r="Q91" s="258"/>
      <c r="R91" s="2577"/>
      <c r="S91" s="2577"/>
      <c r="T91" s="254"/>
      <c r="U91" s="228"/>
      <c r="V91" s="2552"/>
      <c r="W91" s="256"/>
      <c r="X91" s="248"/>
      <c r="Y91" s="248"/>
      <c r="Z91" s="248"/>
      <c r="AA91" s="247"/>
      <c r="AB91" s="248"/>
      <c r="AC91" s="248"/>
      <c r="AD91" s="194"/>
      <c r="AE91" s="249"/>
      <c r="AF91" s="250"/>
      <c r="AG91" s="251"/>
      <c r="AH91" s="252"/>
      <c r="AI91" s="241"/>
      <c r="AJ91" s="241"/>
      <c r="AK91" s="241"/>
      <c r="AL91" s="194"/>
      <c r="AM91" s="195"/>
      <c r="AN91" s="195"/>
    </row>
    <row r="92" spans="2:40">
      <c r="B92" s="253">
        <f t="shared" si="1"/>
        <v>84</v>
      </c>
      <c r="C92" s="244"/>
      <c r="D92" s="661"/>
      <c r="E92" s="466"/>
      <c r="F92" s="615"/>
      <c r="G92" s="3271"/>
      <c r="H92" s="230"/>
      <c r="I92" s="230"/>
      <c r="J92" s="230"/>
      <c r="K92" s="230"/>
      <c r="L92" s="230"/>
      <c r="M92" s="228"/>
      <c r="N92" s="257"/>
      <c r="O92" s="228"/>
      <c r="P92" s="228"/>
      <c r="Q92" s="258"/>
      <c r="R92" s="2577"/>
      <c r="S92" s="2577"/>
      <c r="T92" s="254"/>
      <c r="U92" s="228"/>
      <c r="V92" s="2552"/>
      <c r="W92" s="256"/>
      <c r="X92" s="248"/>
      <c r="Y92" s="248"/>
      <c r="Z92" s="248"/>
      <c r="AA92" s="247"/>
      <c r="AB92" s="248"/>
      <c r="AC92" s="248"/>
      <c r="AD92" s="194"/>
      <c r="AE92" s="249"/>
      <c r="AF92" s="250"/>
      <c r="AG92" s="251"/>
      <c r="AH92" s="252"/>
      <c r="AI92" s="241"/>
      <c r="AJ92" s="241"/>
      <c r="AK92" s="241"/>
      <c r="AL92" s="194"/>
      <c r="AM92" s="195"/>
      <c r="AN92" s="195"/>
    </row>
    <row r="93" spans="2:40">
      <c r="B93" s="253">
        <f t="shared" si="1"/>
        <v>85</v>
      </c>
      <c r="C93" s="244"/>
      <c r="D93" s="661"/>
      <c r="E93" s="466"/>
      <c r="F93" s="615"/>
      <c r="G93" s="3271"/>
      <c r="H93" s="230"/>
      <c r="I93" s="230"/>
      <c r="J93" s="230"/>
      <c r="K93" s="230"/>
      <c r="L93" s="230"/>
      <c r="M93" s="228"/>
      <c r="N93" s="257"/>
      <c r="O93" s="228"/>
      <c r="P93" s="228"/>
      <c r="Q93" s="258"/>
      <c r="R93" s="2577"/>
      <c r="S93" s="2577"/>
      <c r="T93" s="254"/>
      <c r="U93" s="228"/>
      <c r="V93" s="2552"/>
      <c r="W93" s="256"/>
      <c r="X93" s="248"/>
      <c r="Y93" s="248"/>
      <c r="Z93" s="248"/>
      <c r="AA93" s="247"/>
      <c r="AB93" s="248"/>
      <c r="AC93" s="248"/>
      <c r="AD93" s="194"/>
      <c r="AE93" s="249"/>
      <c r="AF93" s="250"/>
      <c r="AG93" s="251"/>
      <c r="AH93" s="252"/>
      <c r="AI93" s="241"/>
      <c r="AJ93" s="241"/>
      <c r="AK93" s="241"/>
      <c r="AL93" s="194"/>
      <c r="AM93" s="195"/>
      <c r="AN93" s="195"/>
    </row>
    <row r="94" spans="2:40">
      <c r="B94" s="253">
        <f t="shared" si="1"/>
        <v>86</v>
      </c>
      <c r="C94" s="244"/>
      <c r="D94" s="661"/>
      <c r="E94" s="466"/>
      <c r="F94" s="615"/>
      <c r="G94" s="3271"/>
      <c r="H94" s="230"/>
      <c r="I94" s="230"/>
      <c r="J94" s="230"/>
      <c r="K94" s="230"/>
      <c r="L94" s="230"/>
      <c r="M94" s="228"/>
      <c r="N94" s="257"/>
      <c r="O94" s="228"/>
      <c r="P94" s="228"/>
      <c r="Q94" s="258"/>
      <c r="R94" s="2577"/>
      <c r="S94" s="2577"/>
      <c r="T94" s="254"/>
      <c r="U94" s="228"/>
      <c r="V94" s="2552"/>
      <c r="W94" s="256"/>
      <c r="X94" s="248"/>
      <c r="Y94" s="248"/>
      <c r="Z94" s="248"/>
      <c r="AA94" s="247"/>
      <c r="AB94" s="248"/>
      <c r="AC94" s="248"/>
      <c r="AD94" s="194"/>
      <c r="AE94" s="249"/>
      <c r="AF94" s="250"/>
      <c r="AG94" s="251"/>
      <c r="AH94" s="252"/>
      <c r="AI94" s="241"/>
      <c r="AJ94" s="241"/>
      <c r="AK94" s="241"/>
      <c r="AL94" s="194"/>
      <c r="AM94" s="195"/>
      <c r="AN94" s="195"/>
    </row>
    <row r="95" spans="2:40">
      <c r="B95" s="253">
        <f t="shared" si="1"/>
        <v>87</v>
      </c>
      <c r="C95" s="244"/>
      <c r="D95" s="661"/>
      <c r="E95" s="466"/>
      <c r="F95" s="615"/>
      <c r="G95" s="3271"/>
      <c r="H95" s="230"/>
      <c r="I95" s="230"/>
      <c r="J95" s="230"/>
      <c r="K95" s="230"/>
      <c r="L95" s="230"/>
      <c r="M95" s="228"/>
      <c r="N95" s="257"/>
      <c r="O95" s="228"/>
      <c r="P95" s="228"/>
      <c r="Q95" s="258"/>
      <c r="R95" s="2577"/>
      <c r="S95" s="2577"/>
      <c r="T95" s="254"/>
      <c r="U95" s="228"/>
      <c r="V95" s="2552"/>
      <c r="W95" s="256"/>
      <c r="X95" s="248"/>
      <c r="Y95" s="248"/>
      <c r="Z95" s="248"/>
      <c r="AA95" s="247"/>
      <c r="AB95" s="248"/>
      <c r="AC95" s="248"/>
      <c r="AD95" s="194"/>
      <c r="AE95" s="249"/>
      <c r="AF95" s="250"/>
      <c r="AG95" s="251"/>
      <c r="AH95" s="252"/>
      <c r="AI95" s="241"/>
      <c r="AJ95" s="241"/>
      <c r="AK95" s="241"/>
      <c r="AL95" s="194"/>
      <c r="AM95" s="195"/>
      <c r="AN95" s="195"/>
    </row>
    <row r="96" spans="2:40">
      <c r="B96" s="253">
        <f t="shared" si="1"/>
        <v>88</v>
      </c>
      <c r="C96" s="244"/>
      <c r="D96" s="661"/>
      <c r="E96" s="466"/>
      <c r="F96" s="615"/>
      <c r="G96" s="3271"/>
      <c r="H96" s="230"/>
      <c r="I96" s="230"/>
      <c r="J96" s="230"/>
      <c r="K96" s="230"/>
      <c r="L96" s="230"/>
      <c r="M96" s="228"/>
      <c r="N96" s="257"/>
      <c r="O96" s="228"/>
      <c r="P96" s="228"/>
      <c r="Q96" s="258"/>
      <c r="R96" s="2577"/>
      <c r="S96" s="2577"/>
      <c r="T96" s="254"/>
      <c r="U96" s="228"/>
      <c r="V96" s="2552"/>
      <c r="W96" s="256"/>
      <c r="X96" s="248"/>
      <c r="Y96" s="248"/>
      <c r="Z96" s="248"/>
      <c r="AA96" s="247"/>
      <c r="AB96" s="248"/>
      <c r="AC96" s="248"/>
      <c r="AD96" s="194"/>
      <c r="AE96" s="249"/>
      <c r="AF96" s="250"/>
      <c r="AG96" s="251"/>
      <c r="AH96" s="252"/>
      <c r="AI96" s="241"/>
      <c r="AJ96" s="241"/>
      <c r="AK96" s="241"/>
      <c r="AL96" s="194"/>
      <c r="AM96" s="195"/>
      <c r="AN96" s="195"/>
    </row>
    <row r="97" spans="2:40">
      <c r="B97" s="253">
        <f t="shared" si="1"/>
        <v>89</v>
      </c>
      <c r="C97" s="244"/>
      <c r="D97" s="661"/>
      <c r="E97" s="466"/>
      <c r="F97" s="615"/>
      <c r="G97" s="3271"/>
      <c r="H97" s="230"/>
      <c r="I97" s="230"/>
      <c r="J97" s="230"/>
      <c r="K97" s="230"/>
      <c r="L97" s="230"/>
      <c r="M97" s="228"/>
      <c r="N97" s="257"/>
      <c r="O97" s="228"/>
      <c r="P97" s="228"/>
      <c r="Q97" s="258"/>
      <c r="R97" s="2577"/>
      <c r="S97" s="2577"/>
      <c r="T97" s="254"/>
      <c r="U97" s="228"/>
      <c r="V97" s="2552"/>
      <c r="W97" s="256"/>
      <c r="X97" s="248"/>
      <c r="Y97" s="248"/>
      <c r="Z97" s="248"/>
      <c r="AA97" s="247"/>
      <c r="AB97" s="248"/>
      <c r="AC97" s="248"/>
      <c r="AD97" s="194"/>
      <c r="AE97" s="249"/>
      <c r="AF97" s="250"/>
      <c r="AG97" s="251"/>
      <c r="AH97" s="252"/>
      <c r="AI97" s="241"/>
      <c r="AJ97" s="241"/>
      <c r="AK97" s="241"/>
      <c r="AL97" s="194"/>
      <c r="AM97" s="195"/>
      <c r="AN97" s="195"/>
    </row>
    <row r="98" spans="2:40">
      <c r="B98" s="253">
        <f t="shared" si="1"/>
        <v>90</v>
      </c>
      <c r="C98" s="244"/>
      <c r="D98" s="661"/>
      <c r="E98" s="466"/>
      <c r="F98" s="615"/>
      <c r="G98" s="3271"/>
      <c r="H98" s="230"/>
      <c r="I98" s="230"/>
      <c r="J98" s="230"/>
      <c r="K98" s="230"/>
      <c r="L98" s="230"/>
      <c r="M98" s="228"/>
      <c r="N98" s="257"/>
      <c r="O98" s="228"/>
      <c r="P98" s="228"/>
      <c r="Q98" s="258"/>
      <c r="R98" s="2577"/>
      <c r="S98" s="2577"/>
      <c r="T98" s="254"/>
      <c r="U98" s="228"/>
      <c r="V98" s="2552"/>
      <c r="W98" s="256"/>
      <c r="X98" s="248"/>
      <c r="Y98" s="248"/>
      <c r="Z98" s="248"/>
      <c r="AA98" s="247"/>
      <c r="AB98" s="248"/>
      <c r="AC98" s="248"/>
      <c r="AD98" s="194"/>
      <c r="AE98" s="249"/>
      <c r="AF98" s="250"/>
      <c r="AG98" s="251"/>
      <c r="AH98" s="252"/>
      <c r="AI98" s="241"/>
      <c r="AJ98" s="241"/>
      <c r="AK98" s="241"/>
      <c r="AL98" s="194"/>
      <c r="AM98" s="195"/>
      <c r="AN98" s="195"/>
    </row>
    <row r="99" spans="2:40">
      <c r="B99" s="253">
        <f t="shared" si="1"/>
        <v>91</v>
      </c>
      <c r="C99" s="244"/>
      <c r="D99" s="661"/>
      <c r="E99" s="466"/>
      <c r="F99" s="615"/>
      <c r="G99" s="3271"/>
      <c r="H99" s="230"/>
      <c r="I99" s="230"/>
      <c r="J99" s="230"/>
      <c r="K99" s="230"/>
      <c r="L99" s="230"/>
      <c r="M99" s="228"/>
      <c r="N99" s="257"/>
      <c r="O99" s="228"/>
      <c r="P99" s="228"/>
      <c r="Q99" s="258"/>
      <c r="R99" s="2577"/>
      <c r="S99" s="2577"/>
      <c r="T99" s="254"/>
      <c r="U99" s="228"/>
      <c r="V99" s="2552"/>
      <c r="W99" s="256"/>
      <c r="X99" s="248"/>
      <c r="Y99" s="248"/>
      <c r="Z99" s="248"/>
      <c r="AA99" s="247"/>
      <c r="AB99" s="248"/>
      <c r="AC99" s="248"/>
      <c r="AD99" s="194"/>
      <c r="AE99" s="249"/>
      <c r="AF99" s="250"/>
      <c r="AG99" s="251"/>
      <c r="AH99" s="252"/>
      <c r="AI99" s="241"/>
      <c r="AJ99" s="241"/>
      <c r="AK99" s="241"/>
      <c r="AL99" s="194"/>
      <c r="AM99" s="195"/>
      <c r="AN99" s="195"/>
    </row>
    <row r="100" spans="2:40">
      <c r="B100" s="253">
        <f t="shared" si="1"/>
        <v>92</v>
      </c>
      <c r="C100" s="244"/>
      <c r="D100" s="661"/>
      <c r="E100" s="466"/>
      <c r="F100" s="615"/>
      <c r="G100" s="3271"/>
      <c r="H100" s="230"/>
      <c r="I100" s="230"/>
      <c r="J100" s="230"/>
      <c r="K100" s="230"/>
      <c r="L100" s="230"/>
      <c r="M100" s="228"/>
      <c r="N100" s="257"/>
      <c r="O100" s="228"/>
      <c r="P100" s="228"/>
      <c r="Q100" s="258"/>
      <c r="R100" s="2577"/>
      <c r="S100" s="2577"/>
      <c r="T100" s="254"/>
      <c r="U100" s="228"/>
      <c r="V100" s="2552"/>
      <c r="W100" s="256"/>
      <c r="X100" s="248"/>
      <c r="Y100" s="248"/>
      <c r="Z100" s="248"/>
      <c r="AA100" s="247"/>
      <c r="AB100" s="248"/>
      <c r="AC100" s="248"/>
      <c r="AD100" s="194"/>
      <c r="AE100" s="249"/>
      <c r="AF100" s="250"/>
      <c r="AG100" s="251"/>
      <c r="AH100" s="252"/>
      <c r="AI100" s="241"/>
      <c r="AJ100" s="241"/>
      <c r="AK100" s="241"/>
      <c r="AL100" s="194"/>
      <c r="AM100" s="195"/>
      <c r="AN100" s="195"/>
    </row>
    <row r="101" spans="2:40">
      <c r="B101" s="253">
        <f t="shared" si="1"/>
        <v>93</v>
      </c>
      <c r="C101" s="244"/>
      <c r="D101" s="661"/>
      <c r="E101" s="466"/>
      <c r="F101" s="615"/>
      <c r="G101" s="3271"/>
      <c r="H101" s="230"/>
      <c r="I101" s="230"/>
      <c r="J101" s="230"/>
      <c r="K101" s="230"/>
      <c r="L101" s="230"/>
      <c r="M101" s="228"/>
      <c r="N101" s="257"/>
      <c r="O101" s="228"/>
      <c r="P101" s="228"/>
      <c r="Q101" s="258"/>
      <c r="R101" s="2577"/>
      <c r="S101" s="2577"/>
      <c r="T101" s="254"/>
      <c r="U101" s="228"/>
      <c r="V101" s="2552"/>
      <c r="W101" s="256"/>
      <c r="X101" s="248"/>
      <c r="Y101" s="248"/>
      <c r="Z101" s="248"/>
      <c r="AA101" s="247"/>
      <c r="AB101" s="248"/>
      <c r="AC101" s="248"/>
      <c r="AD101" s="194"/>
      <c r="AE101" s="249"/>
      <c r="AF101" s="250"/>
      <c r="AG101" s="251"/>
      <c r="AH101" s="252"/>
      <c r="AI101" s="241"/>
      <c r="AJ101" s="241"/>
      <c r="AK101" s="241"/>
      <c r="AL101" s="194"/>
      <c r="AM101" s="195"/>
      <c r="AN101" s="195"/>
    </row>
    <row r="102" spans="2:40">
      <c r="B102" s="253">
        <f t="shared" si="1"/>
        <v>94</v>
      </c>
      <c r="C102" s="244"/>
      <c r="D102" s="661"/>
      <c r="E102" s="466"/>
      <c r="F102" s="615"/>
      <c r="G102" s="3271"/>
      <c r="H102" s="230"/>
      <c r="I102" s="230"/>
      <c r="J102" s="230"/>
      <c r="K102" s="230"/>
      <c r="L102" s="230"/>
      <c r="M102" s="228"/>
      <c r="N102" s="257"/>
      <c r="O102" s="228"/>
      <c r="P102" s="228"/>
      <c r="Q102" s="258"/>
      <c r="R102" s="2577"/>
      <c r="S102" s="2577"/>
      <c r="T102" s="254"/>
      <c r="U102" s="228"/>
      <c r="V102" s="2552"/>
      <c r="W102" s="256"/>
      <c r="X102" s="248"/>
      <c r="Y102" s="248"/>
      <c r="Z102" s="248"/>
      <c r="AA102" s="247"/>
      <c r="AB102" s="248"/>
      <c r="AC102" s="248"/>
      <c r="AD102" s="194"/>
      <c r="AE102" s="249"/>
      <c r="AF102" s="250"/>
      <c r="AG102" s="251"/>
      <c r="AH102" s="252"/>
      <c r="AI102" s="241"/>
      <c r="AJ102" s="241"/>
      <c r="AK102" s="241"/>
      <c r="AL102" s="194"/>
      <c r="AM102" s="195"/>
      <c r="AN102" s="195"/>
    </row>
    <row r="103" spans="2:40">
      <c r="B103" s="253">
        <f t="shared" si="1"/>
        <v>95</v>
      </c>
      <c r="C103" s="244"/>
      <c r="D103" s="661"/>
      <c r="E103" s="466"/>
      <c r="F103" s="615"/>
      <c r="G103" s="3271"/>
      <c r="H103" s="230"/>
      <c r="I103" s="230"/>
      <c r="J103" s="230"/>
      <c r="K103" s="230"/>
      <c r="L103" s="230"/>
      <c r="M103" s="228"/>
      <c r="N103" s="257"/>
      <c r="O103" s="228"/>
      <c r="P103" s="228"/>
      <c r="Q103" s="258"/>
      <c r="R103" s="2577"/>
      <c r="S103" s="2577"/>
      <c r="T103" s="254"/>
      <c r="U103" s="228"/>
      <c r="V103" s="2552"/>
      <c r="W103" s="256"/>
      <c r="X103" s="248"/>
      <c r="Y103" s="248"/>
      <c r="Z103" s="248"/>
      <c r="AA103" s="247"/>
      <c r="AB103" s="248"/>
      <c r="AC103" s="248"/>
      <c r="AD103" s="194"/>
      <c r="AE103" s="249"/>
      <c r="AF103" s="250"/>
      <c r="AG103" s="251"/>
      <c r="AH103" s="252"/>
      <c r="AI103" s="241"/>
      <c r="AJ103" s="241"/>
      <c r="AK103" s="241"/>
      <c r="AL103" s="194"/>
      <c r="AM103" s="195"/>
      <c r="AN103" s="195"/>
    </row>
    <row r="104" spans="2:40">
      <c r="B104" s="253">
        <f t="shared" si="1"/>
        <v>96</v>
      </c>
      <c r="C104" s="244"/>
      <c r="D104" s="661"/>
      <c r="E104" s="466"/>
      <c r="F104" s="615"/>
      <c r="G104" s="3271"/>
      <c r="H104" s="230"/>
      <c r="I104" s="230"/>
      <c r="J104" s="230"/>
      <c r="K104" s="230"/>
      <c r="L104" s="230"/>
      <c r="M104" s="228"/>
      <c r="N104" s="257"/>
      <c r="O104" s="228"/>
      <c r="P104" s="228"/>
      <c r="Q104" s="258"/>
      <c r="R104" s="2577"/>
      <c r="S104" s="2577"/>
      <c r="T104" s="254"/>
      <c r="U104" s="228"/>
      <c r="V104" s="2552"/>
      <c r="W104" s="256"/>
      <c r="X104" s="248"/>
      <c r="Y104" s="248"/>
      <c r="Z104" s="248"/>
      <c r="AA104" s="247"/>
      <c r="AB104" s="248"/>
      <c r="AC104" s="248"/>
      <c r="AD104" s="194"/>
      <c r="AE104" s="249"/>
      <c r="AF104" s="250"/>
      <c r="AG104" s="251"/>
      <c r="AH104" s="252"/>
      <c r="AI104" s="241"/>
      <c r="AJ104" s="241"/>
      <c r="AK104" s="241"/>
      <c r="AL104" s="194"/>
      <c r="AM104" s="195"/>
      <c r="AN104" s="195"/>
    </row>
    <row r="105" spans="2:40">
      <c r="B105" s="253">
        <f t="shared" si="1"/>
        <v>97</v>
      </c>
      <c r="C105" s="244"/>
      <c r="D105" s="661"/>
      <c r="E105" s="466"/>
      <c r="F105" s="615"/>
      <c r="G105" s="3271"/>
      <c r="H105" s="230"/>
      <c r="I105" s="230"/>
      <c r="J105" s="230"/>
      <c r="K105" s="230"/>
      <c r="L105" s="230"/>
      <c r="M105" s="228"/>
      <c r="N105" s="257"/>
      <c r="O105" s="228"/>
      <c r="P105" s="228"/>
      <c r="Q105" s="258"/>
      <c r="R105" s="2577"/>
      <c r="S105" s="2577"/>
      <c r="T105" s="254"/>
      <c r="U105" s="228"/>
      <c r="V105" s="2552"/>
      <c r="W105" s="256"/>
      <c r="X105" s="248"/>
      <c r="Y105" s="248"/>
      <c r="Z105" s="248"/>
      <c r="AA105" s="247"/>
      <c r="AB105" s="248"/>
      <c r="AC105" s="248"/>
      <c r="AD105" s="194"/>
      <c r="AE105" s="249"/>
      <c r="AF105" s="250"/>
      <c r="AG105" s="251"/>
      <c r="AH105" s="252"/>
      <c r="AI105" s="241"/>
      <c r="AJ105" s="241"/>
      <c r="AK105" s="241"/>
      <c r="AL105" s="194"/>
      <c r="AM105" s="195"/>
      <c r="AN105" s="195"/>
    </row>
    <row r="106" spans="2:40">
      <c r="B106" s="253">
        <f t="shared" si="1"/>
        <v>98</v>
      </c>
      <c r="C106" s="244"/>
      <c r="D106" s="661"/>
      <c r="E106" s="466"/>
      <c r="F106" s="615"/>
      <c r="G106" s="3271"/>
      <c r="H106" s="230"/>
      <c r="I106" s="230"/>
      <c r="J106" s="230"/>
      <c r="K106" s="230"/>
      <c r="L106" s="230"/>
      <c r="M106" s="228"/>
      <c r="N106" s="257"/>
      <c r="O106" s="228"/>
      <c r="P106" s="228"/>
      <c r="Q106" s="258"/>
      <c r="R106" s="2577"/>
      <c r="S106" s="2577"/>
      <c r="T106" s="254"/>
      <c r="U106" s="228"/>
      <c r="V106" s="2552"/>
      <c r="W106" s="256"/>
      <c r="X106" s="248"/>
      <c r="Y106" s="248"/>
      <c r="Z106" s="248"/>
      <c r="AA106" s="247"/>
      <c r="AB106" s="248"/>
      <c r="AC106" s="248"/>
      <c r="AD106" s="194"/>
      <c r="AE106" s="249"/>
      <c r="AF106" s="250"/>
      <c r="AG106" s="251"/>
      <c r="AH106" s="252"/>
      <c r="AI106" s="241"/>
      <c r="AJ106" s="241"/>
      <c r="AK106" s="241"/>
      <c r="AL106" s="194"/>
      <c r="AM106" s="195"/>
      <c r="AN106" s="195"/>
    </row>
    <row r="107" spans="2:40">
      <c r="B107" s="253">
        <f t="shared" si="1"/>
        <v>99</v>
      </c>
      <c r="C107" s="244"/>
      <c r="D107" s="661"/>
      <c r="E107" s="466"/>
      <c r="F107" s="615"/>
      <c r="G107" s="3271"/>
      <c r="H107" s="230"/>
      <c r="I107" s="230"/>
      <c r="J107" s="230"/>
      <c r="K107" s="230"/>
      <c r="L107" s="230"/>
      <c r="M107" s="228"/>
      <c r="N107" s="257"/>
      <c r="O107" s="228"/>
      <c r="P107" s="228"/>
      <c r="Q107" s="258"/>
      <c r="R107" s="2577"/>
      <c r="S107" s="2577"/>
      <c r="T107" s="254"/>
      <c r="U107" s="228"/>
      <c r="V107" s="2552"/>
      <c r="W107" s="256"/>
      <c r="X107" s="248"/>
      <c r="Y107" s="248"/>
      <c r="Z107" s="248"/>
      <c r="AA107" s="247"/>
      <c r="AB107" s="248"/>
      <c r="AC107" s="248"/>
      <c r="AD107" s="194"/>
      <c r="AE107" s="249"/>
      <c r="AF107" s="250"/>
      <c r="AG107" s="251"/>
      <c r="AH107" s="252"/>
      <c r="AI107" s="241"/>
      <c r="AJ107" s="241"/>
      <c r="AK107" s="241"/>
      <c r="AL107" s="194"/>
      <c r="AM107" s="195"/>
      <c r="AN107" s="195"/>
    </row>
    <row r="108" spans="2:40">
      <c r="B108" s="253">
        <f t="shared" si="1"/>
        <v>100</v>
      </c>
      <c r="C108" s="244"/>
      <c r="D108" s="661"/>
      <c r="E108" s="466"/>
      <c r="F108" s="615"/>
      <c r="G108" s="3271"/>
      <c r="H108" s="230"/>
      <c r="I108" s="230"/>
      <c r="J108" s="230"/>
      <c r="K108" s="230"/>
      <c r="L108" s="230"/>
      <c r="M108" s="228"/>
      <c r="N108" s="257"/>
      <c r="O108" s="228"/>
      <c r="P108" s="228"/>
      <c r="Q108" s="258"/>
      <c r="R108" s="2577"/>
      <c r="S108" s="2577"/>
      <c r="T108" s="254"/>
      <c r="U108" s="228"/>
      <c r="V108" s="2552"/>
      <c r="W108" s="256"/>
      <c r="X108" s="248"/>
      <c r="Y108" s="248"/>
      <c r="Z108" s="248"/>
      <c r="AA108" s="247"/>
      <c r="AB108" s="248"/>
      <c r="AC108" s="248"/>
      <c r="AD108" s="194"/>
      <c r="AE108" s="249"/>
      <c r="AF108" s="250"/>
      <c r="AG108" s="251"/>
      <c r="AH108" s="252"/>
      <c r="AI108" s="241"/>
      <c r="AJ108" s="241"/>
      <c r="AK108" s="241"/>
      <c r="AL108" s="194"/>
      <c r="AM108" s="195"/>
      <c r="AN108" s="195"/>
    </row>
    <row r="109" spans="2:40">
      <c r="B109" s="253">
        <f t="shared" si="1"/>
        <v>101</v>
      </c>
      <c r="C109" s="244"/>
      <c r="D109" s="661"/>
      <c r="E109" s="466"/>
      <c r="F109" s="615"/>
      <c r="G109" s="3271"/>
      <c r="H109" s="230"/>
      <c r="I109" s="230"/>
      <c r="J109" s="230"/>
      <c r="K109" s="230"/>
      <c r="L109" s="230"/>
      <c r="M109" s="228"/>
      <c r="N109" s="257"/>
      <c r="O109" s="228"/>
      <c r="P109" s="228"/>
      <c r="Q109" s="258"/>
      <c r="R109" s="2577"/>
      <c r="S109" s="2577"/>
      <c r="T109" s="254"/>
      <c r="U109" s="228"/>
      <c r="V109" s="2552"/>
      <c r="W109" s="256"/>
      <c r="X109" s="248"/>
      <c r="Y109" s="248"/>
      <c r="Z109" s="248"/>
      <c r="AA109" s="247"/>
      <c r="AB109" s="248"/>
      <c r="AC109" s="248"/>
      <c r="AD109" s="194"/>
      <c r="AE109" s="249"/>
      <c r="AF109" s="250"/>
      <c r="AG109" s="251"/>
      <c r="AH109" s="252"/>
      <c r="AI109" s="241"/>
      <c r="AJ109" s="241"/>
      <c r="AK109" s="241"/>
      <c r="AL109" s="194"/>
      <c r="AM109" s="195"/>
      <c r="AN109" s="195"/>
    </row>
    <row r="110" spans="2:40">
      <c r="B110" s="253">
        <f t="shared" si="1"/>
        <v>102</v>
      </c>
      <c r="C110" s="244"/>
      <c r="D110" s="661"/>
      <c r="E110" s="466"/>
      <c r="F110" s="615"/>
      <c r="G110" s="3271"/>
      <c r="H110" s="230"/>
      <c r="I110" s="230"/>
      <c r="J110" s="230"/>
      <c r="K110" s="230"/>
      <c r="L110" s="230"/>
      <c r="M110" s="228"/>
      <c r="N110" s="257"/>
      <c r="O110" s="228"/>
      <c r="P110" s="228"/>
      <c r="Q110" s="258"/>
      <c r="R110" s="2577"/>
      <c r="S110" s="2577"/>
      <c r="T110" s="254"/>
      <c r="U110" s="228"/>
      <c r="V110" s="2552"/>
      <c r="W110" s="256"/>
      <c r="X110" s="248"/>
      <c r="Y110" s="248"/>
      <c r="Z110" s="248"/>
      <c r="AA110" s="247"/>
      <c r="AB110" s="248"/>
      <c r="AC110" s="248"/>
      <c r="AD110" s="194"/>
      <c r="AE110" s="249"/>
      <c r="AF110" s="250"/>
      <c r="AG110" s="251"/>
      <c r="AH110" s="252"/>
      <c r="AI110" s="241"/>
      <c r="AJ110" s="241"/>
      <c r="AK110" s="241"/>
      <c r="AL110" s="194"/>
      <c r="AM110" s="195"/>
      <c r="AN110" s="195"/>
    </row>
    <row r="111" spans="2:40">
      <c r="B111" s="253">
        <f t="shared" si="1"/>
        <v>103</v>
      </c>
      <c r="C111" s="244"/>
      <c r="D111" s="661"/>
      <c r="E111" s="466"/>
      <c r="F111" s="615"/>
      <c r="G111" s="3271"/>
      <c r="H111" s="230"/>
      <c r="I111" s="230"/>
      <c r="J111" s="230"/>
      <c r="K111" s="230"/>
      <c r="L111" s="230"/>
      <c r="M111" s="228"/>
      <c r="N111" s="257"/>
      <c r="O111" s="228"/>
      <c r="P111" s="228"/>
      <c r="Q111" s="258"/>
      <c r="R111" s="2577"/>
      <c r="S111" s="2577"/>
      <c r="T111" s="254"/>
      <c r="U111" s="228"/>
      <c r="V111" s="2552"/>
      <c r="W111" s="256"/>
      <c r="X111" s="248"/>
      <c r="Y111" s="248"/>
      <c r="Z111" s="248"/>
      <c r="AA111" s="247"/>
      <c r="AB111" s="248"/>
      <c r="AC111" s="248"/>
      <c r="AD111" s="194"/>
      <c r="AE111" s="249"/>
      <c r="AF111" s="250"/>
      <c r="AG111" s="251"/>
      <c r="AH111" s="252"/>
      <c r="AI111" s="241"/>
      <c r="AJ111" s="241"/>
      <c r="AK111" s="241"/>
      <c r="AL111" s="194"/>
      <c r="AM111" s="195"/>
      <c r="AN111" s="195"/>
    </row>
    <row r="112" spans="2:40">
      <c r="B112" s="253">
        <f t="shared" si="1"/>
        <v>104</v>
      </c>
      <c r="C112" s="244"/>
      <c r="D112" s="661"/>
      <c r="E112" s="466"/>
      <c r="F112" s="615"/>
      <c r="G112" s="3271"/>
      <c r="H112" s="230"/>
      <c r="I112" s="230"/>
      <c r="J112" s="230"/>
      <c r="K112" s="230"/>
      <c r="L112" s="230"/>
      <c r="M112" s="228"/>
      <c r="N112" s="257"/>
      <c r="O112" s="228"/>
      <c r="P112" s="228"/>
      <c r="Q112" s="258"/>
      <c r="R112" s="2577"/>
      <c r="S112" s="2577"/>
      <c r="T112" s="254"/>
      <c r="U112" s="228"/>
      <c r="V112" s="2552"/>
      <c r="W112" s="256"/>
      <c r="X112" s="248"/>
      <c r="Y112" s="248"/>
      <c r="Z112" s="248"/>
      <c r="AA112" s="247"/>
      <c r="AB112" s="248"/>
      <c r="AC112" s="248"/>
      <c r="AD112" s="194"/>
      <c r="AE112" s="249"/>
      <c r="AF112" s="250"/>
      <c r="AG112" s="251"/>
      <c r="AH112" s="252"/>
      <c r="AI112" s="241"/>
      <c r="AJ112" s="241"/>
      <c r="AK112" s="241"/>
      <c r="AL112" s="194"/>
      <c r="AM112" s="195"/>
      <c r="AN112" s="195"/>
    </row>
    <row r="113" spans="2:40">
      <c r="B113" s="253">
        <f t="shared" si="1"/>
        <v>105</v>
      </c>
      <c r="C113" s="244"/>
      <c r="D113" s="661"/>
      <c r="E113" s="466"/>
      <c r="F113" s="615"/>
      <c r="G113" s="3271"/>
      <c r="H113" s="230"/>
      <c r="I113" s="230"/>
      <c r="J113" s="230"/>
      <c r="K113" s="230"/>
      <c r="L113" s="230"/>
      <c r="M113" s="228"/>
      <c r="N113" s="257"/>
      <c r="O113" s="228"/>
      <c r="P113" s="228"/>
      <c r="Q113" s="258"/>
      <c r="R113" s="2577"/>
      <c r="S113" s="2577"/>
      <c r="T113" s="254"/>
      <c r="U113" s="228"/>
      <c r="V113" s="2552"/>
      <c r="W113" s="256"/>
      <c r="X113" s="248"/>
      <c r="Y113" s="248"/>
      <c r="Z113" s="248"/>
      <c r="AA113" s="247"/>
      <c r="AB113" s="248"/>
      <c r="AC113" s="248"/>
      <c r="AD113" s="194"/>
      <c r="AE113" s="249"/>
      <c r="AF113" s="250"/>
      <c r="AG113" s="251"/>
      <c r="AH113" s="252"/>
      <c r="AI113" s="241"/>
      <c r="AJ113" s="241"/>
      <c r="AK113" s="241"/>
      <c r="AL113" s="194"/>
      <c r="AM113" s="195"/>
      <c r="AN113" s="195"/>
    </row>
    <row r="114" spans="2:40">
      <c r="B114" s="253">
        <f t="shared" si="1"/>
        <v>106</v>
      </c>
      <c r="C114" s="244"/>
      <c r="D114" s="661"/>
      <c r="E114" s="466"/>
      <c r="F114" s="615"/>
      <c r="G114" s="3271"/>
      <c r="H114" s="230"/>
      <c r="I114" s="230"/>
      <c r="J114" s="230"/>
      <c r="K114" s="230"/>
      <c r="L114" s="230"/>
      <c r="M114" s="228"/>
      <c r="N114" s="257"/>
      <c r="O114" s="228"/>
      <c r="P114" s="228"/>
      <c r="Q114" s="258"/>
      <c r="R114" s="2577"/>
      <c r="S114" s="2577"/>
      <c r="T114" s="254"/>
      <c r="U114" s="228"/>
      <c r="V114" s="2552"/>
      <c r="W114" s="256"/>
      <c r="X114" s="248"/>
      <c r="Y114" s="248"/>
      <c r="Z114" s="248"/>
      <c r="AA114" s="247"/>
      <c r="AB114" s="248"/>
      <c r="AC114" s="248"/>
      <c r="AD114" s="194"/>
      <c r="AE114" s="249"/>
      <c r="AF114" s="250"/>
      <c r="AG114" s="251"/>
      <c r="AH114" s="252"/>
      <c r="AI114" s="241"/>
      <c r="AJ114" s="241"/>
      <c r="AK114" s="241"/>
      <c r="AL114" s="194"/>
      <c r="AM114" s="195"/>
      <c r="AN114" s="195"/>
    </row>
    <row r="115" spans="2:40">
      <c r="B115" s="253">
        <f t="shared" si="1"/>
        <v>107</v>
      </c>
      <c r="C115" s="244"/>
      <c r="D115" s="661"/>
      <c r="E115" s="466"/>
      <c r="F115" s="615"/>
      <c r="G115" s="3271"/>
      <c r="H115" s="230"/>
      <c r="I115" s="230"/>
      <c r="J115" s="230"/>
      <c r="K115" s="230"/>
      <c r="L115" s="230"/>
      <c r="M115" s="228"/>
      <c r="N115" s="257"/>
      <c r="O115" s="228"/>
      <c r="P115" s="228"/>
      <c r="Q115" s="258"/>
      <c r="R115" s="2577"/>
      <c r="S115" s="2577"/>
      <c r="T115" s="254"/>
      <c r="U115" s="228"/>
      <c r="V115" s="2552"/>
      <c r="W115" s="256"/>
      <c r="X115" s="248"/>
      <c r="Y115" s="248"/>
      <c r="Z115" s="248"/>
      <c r="AA115" s="247"/>
      <c r="AB115" s="248"/>
      <c r="AC115" s="248"/>
      <c r="AD115" s="194"/>
      <c r="AE115" s="249"/>
      <c r="AF115" s="250"/>
      <c r="AG115" s="251"/>
      <c r="AH115" s="252"/>
      <c r="AI115" s="241"/>
      <c r="AJ115" s="241"/>
      <c r="AK115" s="241"/>
      <c r="AL115" s="194"/>
      <c r="AM115" s="195"/>
      <c r="AN115" s="195"/>
    </row>
    <row r="116" spans="2:40">
      <c r="B116" s="253">
        <f t="shared" ref="B116:B179" si="2">+B115+1</f>
        <v>108</v>
      </c>
      <c r="C116" s="244"/>
      <c r="D116" s="661"/>
      <c r="E116" s="466"/>
      <c r="F116" s="615"/>
      <c r="G116" s="3271"/>
      <c r="H116" s="230"/>
      <c r="I116" s="230"/>
      <c r="J116" s="230"/>
      <c r="K116" s="230"/>
      <c r="L116" s="230"/>
      <c r="M116" s="228"/>
      <c r="N116" s="257"/>
      <c r="O116" s="228"/>
      <c r="P116" s="228"/>
      <c r="Q116" s="258"/>
      <c r="R116" s="2577"/>
      <c r="S116" s="2577"/>
      <c r="T116" s="254"/>
      <c r="U116" s="228"/>
      <c r="V116" s="2552"/>
      <c r="W116" s="256"/>
      <c r="X116" s="248"/>
      <c r="Y116" s="248"/>
      <c r="Z116" s="248"/>
      <c r="AA116" s="247"/>
      <c r="AB116" s="248"/>
      <c r="AC116" s="248"/>
      <c r="AD116" s="194"/>
      <c r="AE116" s="249"/>
      <c r="AF116" s="250"/>
      <c r="AG116" s="251"/>
      <c r="AH116" s="252"/>
      <c r="AI116" s="241"/>
      <c r="AJ116" s="241"/>
      <c r="AK116" s="241"/>
      <c r="AL116" s="194"/>
      <c r="AM116" s="195"/>
      <c r="AN116" s="195"/>
    </row>
    <row r="117" spans="2:40">
      <c r="B117" s="253">
        <f t="shared" si="2"/>
        <v>109</v>
      </c>
      <c r="C117" s="244"/>
      <c r="D117" s="661"/>
      <c r="E117" s="466"/>
      <c r="F117" s="615"/>
      <c r="G117" s="3271"/>
      <c r="H117" s="230"/>
      <c r="I117" s="230"/>
      <c r="J117" s="230"/>
      <c r="K117" s="230"/>
      <c r="L117" s="230"/>
      <c r="M117" s="228"/>
      <c r="N117" s="257"/>
      <c r="O117" s="228"/>
      <c r="P117" s="228"/>
      <c r="Q117" s="258"/>
      <c r="R117" s="2577"/>
      <c r="S117" s="2577"/>
      <c r="T117" s="254"/>
      <c r="U117" s="228"/>
      <c r="V117" s="2552"/>
      <c r="W117" s="256"/>
      <c r="X117" s="248"/>
      <c r="Y117" s="248"/>
      <c r="Z117" s="248"/>
      <c r="AA117" s="247"/>
      <c r="AB117" s="248"/>
      <c r="AC117" s="248"/>
      <c r="AD117" s="194"/>
      <c r="AE117" s="249"/>
      <c r="AF117" s="250"/>
      <c r="AG117" s="251"/>
      <c r="AH117" s="252"/>
      <c r="AI117" s="241"/>
      <c r="AJ117" s="241"/>
      <c r="AK117" s="241"/>
      <c r="AL117" s="194"/>
      <c r="AM117" s="195"/>
      <c r="AN117" s="195"/>
    </row>
    <row r="118" spans="2:40">
      <c r="B118" s="253">
        <f t="shared" si="2"/>
        <v>110</v>
      </c>
      <c r="C118" s="244"/>
      <c r="D118" s="661"/>
      <c r="E118" s="466"/>
      <c r="F118" s="615"/>
      <c r="G118" s="3271"/>
      <c r="H118" s="230"/>
      <c r="I118" s="230"/>
      <c r="J118" s="230"/>
      <c r="K118" s="230"/>
      <c r="L118" s="230"/>
      <c r="M118" s="228"/>
      <c r="N118" s="257"/>
      <c r="O118" s="228"/>
      <c r="P118" s="228"/>
      <c r="Q118" s="258"/>
      <c r="R118" s="2577"/>
      <c r="S118" s="2577"/>
      <c r="T118" s="254"/>
      <c r="U118" s="228"/>
      <c r="V118" s="2552"/>
      <c r="W118" s="256"/>
      <c r="X118" s="248"/>
      <c r="Y118" s="248"/>
      <c r="Z118" s="248"/>
      <c r="AA118" s="247"/>
      <c r="AB118" s="248"/>
      <c r="AC118" s="248"/>
      <c r="AD118" s="194"/>
      <c r="AE118" s="249"/>
      <c r="AF118" s="250"/>
      <c r="AG118" s="251"/>
      <c r="AH118" s="252"/>
      <c r="AI118" s="241"/>
      <c r="AJ118" s="241"/>
      <c r="AK118" s="241"/>
      <c r="AL118" s="194"/>
      <c r="AM118" s="195"/>
      <c r="AN118" s="195"/>
    </row>
    <row r="119" spans="2:40">
      <c r="B119" s="253">
        <f t="shared" si="2"/>
        <v>111</v>
      </c>
      <c r="C119" s="244"/>
      <c r="D119" s="661"/>
      <c r="E119" s="466"/>
      <c r="F119" s="615"/>
      <c r="G119" s="3271"/>
      <c r="H119" s="230"/>
      <c r="I119" s="230"/>
      <c r="J119" s="230"/>
      <c r="K119" s="230"/>
      <c r="L119" s="230"/>
      <c r="M119" s="228"/>
      <c r="N119" s="257"/>
      <c r="O119" s="228"/>
      <c r="P119" s="228"/>
      <c r="Q119" s="258"/>
      <c r="R119" s="2577"/>
      <c r="S119" s="2577"/>
      <c r="T119" s="254"/>
      <c r="U119" s="228"/>
      <c r="V119" s="2552"/>
      <c r="W119" s="256"/>
      <c r="X119" s="248"/>
      <c r="Y119" s="248"/>
      <c r="Z119" s="248"/>
      <c r="AA119" s="247"/>
      <c r="AB119" s="248"/>
      <c r="AC119" s="248"/>
      <c r="AD119" s="194"/>
      <c r="AE119" s="249"/>
      <c r="AF119" s="250"/>
      <c r="AG119" s="251"/>
      <c r="AH119" s="252"/>
      <c r="AI119" s="241"/>
      <c r="AJ119" s="241"/>
      <c r="AK119" s="241"/>
      <c r="AL119" s="194"/>
      <c r="AM119" s="195"/>
      <c r="AN119" s="195"/>
    </row>
    <row r="120" spans="2:40">
      <c r="B120" s="253">
        <f t="shared" si="2"/>
        <v>112</v>
      </c>
      <c r="C120" s="244"/>
      <c r="D120" s="661"/>
      <c r="E120" s="466"/>
      <c r="F120" s="615"/>
      <c r="G120" s="3271"/>
      <c r="H120" s="230"/>
      <c r="I120" s="230"/>
      <c r="J120" s="230"/>
      <c r="K120" s="230"/>
      <c r="L120" s="230"/>
      <c r="M120" s="228"/>
      <c r="N120" s="257"/>
      <c r="O120" s="228"/>
      <c r="P120" s="228"/>
      <c r="Q120" s="258"/>
      <c r="R120" s="2577"/>
      <c r="S120" s="2577"/>
      <c r="T120" s="254"/>
      <c r="U120" s="228"/>
      <c r="V120" s="2552"/>
      <c r="W120" s="256"/>
      <c r="X120" s="248"/>
      <c r="Y120" s="248"/>
      <c r="Z120" s="248"/>
      <c r="AA120" s="247"/>
      <c r="AB120" s="248"/>
      <c r="AC120" s="248"/>
      <c r="AD120" s="194"/>
      <c r="AE120" s="249"/>
      <c r="AF120" s="250"/>
      <c r="AG120" s="251"/>
      <c r="AH120" s="252"/>
      <c r="AI120" s="241"/>
      <c r="AJ120" s="241"/>
      <c r="AK120" s="241"/>
      <c r="AL120" s="194"/>
      <c r="AM120" s="195"/>
      <c r="AN120" s="195"/>
    </row>
    <row r="121" spans="2:40">
      <c r="B121" s="253">
        <f t="shared" si="2"/>
        <v>113</v>
      </c>
      <c r="C121" s="244"/>
      <c r="D121" s="661"/>
      <c r="E121" s="466"/>
      <c r="F121" s="615"/>
      <c r="G121" s="3271"/>
      <c r="H121" s="230"/>
      <c r="I121" s="230"/>
      <c r="J121" s="230"/>
      <c r="K121" s="230"/>
      <c r="L121" s="230"/>
      <c r="M121" s="228"/>
      <c r="N121" s="257"/>
      <c r="O121" s="228"/>
      <c r="P121" s="228"/>
      <c r="Q121" s="258"/>
      <c r="R121" s="2577"/>
      <c r="S121" s="2577"/>
      <c r="T121" s="254"/>
      <c r="U121" s="228"/>
      <c r="V121" s="2552"/>
      <c r="W121" s="256"/>
      <c r="X121" s="248"/>
      <c r="Y121" s="248"/>
      <c r="Z121" s="248"/>
      <c r="AA121" s="247"/>
      <c r="AB121" s="248"/>
      <c r="AC121" s="248"/>
      <c r="AD121" s="194"/>
      <c r="AE121" s="249"/>
      <c r="AF121" s="250"/>
      <c r="AG121" s="251"/>
      <c r="AH121" s="252"/>
      <c r="AI121" s="241"/>
      <c r="AJ121" s="241"/>
      <c r="AK121" s="241"/>
      <c r="AL121" s="194"/>
      <c r="AM121" s="195"/>
      <c r="AN121" s="195"/>
    </row>
    <row r="122" spans="2:40">
      <c r="B122" s="253">
        <f t="shared" si="2"/>
        <v>114</v>
      </c>
      <c r="C122" s="244"/>
      <c r="D122" s="661"/>
      <c r="E122" s="466"/>
      <c r="F122" s="615"/>
      <c r="G122" s="3271"/>
      <c r="H122" s="230"/>
      <c r="I122" s="230"/>
      <c r="J122" s="230"/>
      <c r="K122" s="230"/>
      <c r="L122" s="230"/>
      <c r="M122" s="228"/>
      <c r="N122" s="257"/>
      <c r="O122" s="228"/>
      <c r="P122" s="228"/>
      <c r="Q122" s="258"/>
      <c r="R122" s="2577"/>
      <c r="S122" s="2577"/>
      <c r="T122" s="254"/>
      <c r="U122" s="228"/>
      <c r="V122" s="2552"/>
      <c r="W122" s="256"/>
      <c r="X122" s="248"/>
      <c r="Y122" s="248"/>
      <c r="Z122" s="248"/>
      <c r="AA122" s="247"/>
      <c r="AB122" s="248"/>
      <c r="AC122" s="248"/>
      <c r="AD122" s="194"/>
      <c r="AE122" s="249"/>
      <c r="AF122" s="250"/>
      <c r="AG122" s="251"/>
      <c r="AH122" s="252"/>
      <c r="AI122" s="241"/>
      <c r="AJ122" s="241"/>
      <c r="AK122" s="241"/>
      <c r="AL122" s="194"/>
      <c r="AM122" s="195"/>
      <c r="AN122" s="195"/>
    </row>
    <row r="123" spans="2:40">
      <c r="B123" s="253">
        <f t="shared" si="2"/>
        <v>115</v>
      </c>
      <c r="C123" s="244"/>
      <c r="D123" s="661"/>
      <c r="E123" s="466"/>
      <c r="F123" s="615"/>
      <c r="G123" s="3271"/>
      <c r="H123" s="230"/>
      <c r="I123" s="230"/>
      <c r="J123" s="230"/>
      <c r="K123" s="230"/>
      <c r="L123" s="230"/>
      <c r="M123" s="228"/>
      <c r="N123" s="257"/>
      <c r="O123" s="228"/>
      <c r="P123" s="228"/>
      <c r="Q123" s="258"/>
      <c r="R123" s="2577"/>
      <c r="S123" s="2577"/>
      <c r="T123" s="254"/>
      <c r="U123" s="228"/>
      <c r="V123" s="2552"/>
      <c r="W123" s="256"/>
      <c r="X123" s="248"/>
      <c r="Y123" s="248"/>
      <c r="Z123" s="248"/>
      <c r="AA123" s="247"/>
      <c r="AB123" s="248"/>
      <c r="AC123" s="248"/>
      <c r="AD123" s="194"/>
      <c r="AE123" s="249"/>
      <c r="AF123" s="250"/>
      <c r="AG123" s="251"/>
      <c r="AH123" s="252"/>
      <c r="AI123" s="241"/>
      <c r="AJ123" s="241"/>
      <c r="AK123" s="241"/>
      <c r="AL123" s="194"/>
      <c r="AM123" s="195"/>
      <c r="AN123" s="195"/>
    </row>
    <row r="124" spans="2:40">
      <c r="B124" s="253">
        <f t="shared" si="2"/>
        <v>116</v>
      </c>
      <c r="C124" s="244"/>
      <c r="D124" s="661"/>
      <c r="E124" s="466"/>
      <c r="F124" s="615"/>
      <c r="G124" s="3271"/>
      <c r="H124" s="230"/>
      <c r="I124" s="230"/>
      <c r="J124" s="230"/>
      <c r="K124" s="230"/>
      <c r="L124" s="230"/>
      <c r="M124" s="228"/>
      <c r="N124" s="257"/>
      <c r="O124" s="228"/>
      <c r="P124" s="228"/>
      <c r="Q124" s="258"/>
      <c r="R124" s="2577"/>
      <c r="S124" s="2577"/>
      <c r="T124" s="254"/>
      <c r="U124" s="228"/>
      <c r="V124" s="2552"/>
      <c r="W124" s="256"/>
      <c r="X124" s="248"/>
      <c r="Y124" s="248"/>
      <c r="Z124" s="248"/>
      <c r="AA124" s="247"/>
      <c r="AB124" s="248"/>
      <c r="AC124" s="248"/>
      <c r="AD124" s="194"/>
      <c r="AE124" s="249"/>
      <c r="AF124" s="250"/>
      <c r="AG124" s="251"/>
      <c r="AH124" s="252"/>
      <c r="AI124" s="241"/>
      <c r="AJ124" s="241"/>
      <c r="AK124" s="241"/>
      <c r="AL124" s="194"/>
      <c r="AM124" s="195"/>
      <c r="AN124" s="195"/>
    </row>
    <row r="125" spans="2:40">
      <c r="B125" s="253">
        <f t="shared" si="2"/>
        <v>117</v>
      </c>
      <c r="C125" s="244"/>
      <c r="D125" s="661"/>
      <c r="E125" s="466"/>
      <c r="F125" s="615"/>
      <c r="G125" s="3271"/>
      <c r="H125" s="230"/>
      <c r="I125" s="230"/>
      <c r="J125" s="230"/>
      <c r="K125" s="230"/>
      <c r="L125" s="230"/>
      <c r="M125" s="228"/>
      <c r="N125" s="257"/>
      <c r="O125" s="228"/>
      <c r="P125" s="228"/>
      <c r="Q125" s="258"/>
      <c r="R125" s="2577"/>
      <c r="S125" s="2577"/>
      <c r="T125" s="254"/>
      <c r="U125" s="228"/>
      <c r="V125" s="2552"/>
      <c r="W125" s="256"/>
      <c r="X125" s="248"/>
      <c r="Y125" s="248"/>
      <c r="Z125" s="248"/>
      <c r="AA125" s="247"/>
      <c r="AB125" s="248"/>
      <c r="AC125" s="248"/>
      <c r="AD125" s="194"/>
      <c r="AE125" s="249"/>
      <c r="AF125" s="250"/>
      <c r="AG125" s="251"/>
      <c r="AH125" s="252"/>
      <c r="AI125" s="241"/>
      <c r="AJ125" s="241"/>
      <c r="AK125" s="241"/>
      <c r="AL125" s="194"/>
      <c r="AM125" s="195"/>
      <c r="AN125" s="195"/>
    </row>
    <row r="126" spans="2:40">
      <c r="B126" s="253">
        <f t="shared" si="2"/>
        <v>118</v>
      </c>
      <c r="C126" s="244"/>
      <c r="D126" s="661"/>
      <c r="E126" s="466"/>
      <c r="F126" s="615"/>
      <c r="G126" s="3271"/>
      <c r="H126" s="230"/>
      <c r="I126" s="230"/>
      <c r="J126" s="230"/>
      <c r="K126" s="230"/>
      <c r="L126" s="230"/>
      <c r="M126" s="228"/>
      <c r="N126" s="257"/>
      <c r="O126" s="228"/>
      <c r="P126" s="228"/>
      <c r="Q126" s="258"/>
      <c r="R126" s="2577"/>
      <c r="S126" s="2577"/>
      <c r="T126" s="254"/>
      <c r="U126" s="228"/>
      <c r="V126" s="2552"/>
      <c r="W126" s="256"/>
      <c r="X126" s="248"/>
      <c r="Y126" s="248"/>
      <c r="Z126" s="248"/>
      <c r="AA126" s="247"/>
      <c r="AB126" s="248"/>
      <c r="AC126" s="248"/>
      <c r="AD126" s="194"/>
      <c r="AE126" s="249"/>
      <c r="AF126" s="250"/>
      <c r="AG126" s="251"/>
      <c r="AH126" s="252"/>
      <c r="AI126" s="241"/>
      <c r="AJ126" s="241"/>
      <c r="AK126" s="241"/>
      <c r="AL126" s="194"/>
      <c r="AM126" s="195"/>
      <c r="AN126" s="195"/>
    </row>
    <row r="127" spans="2:40">
      <c r="B127" s="253">
        <f t="shared" si="2"/>
        <v>119</v>
      </c>
      <c r="C127" s="244"/>
      <c r="D127" s="661"/>
      <c r="E127" s="466"/>
      <c r="F127" s="615"/>
      <c r="G127" s="3271"/>
      <c r="H127" s="230"/>
      <c r="I127" s="230"/>
      <c r="J127" s="230"/>
      <c r="K127" s="230"/>
      <c r="L127" s="230"/>
      <c r="M127" s="228"/>
      <c r="N127" s="257"/>
      <c r="O127" s="228"/>
      <c r="P127" s="228"/>
      <c r="Q127" s="258"/>
      <c r="R127" s="2577"/>
      <c r="S127" s="2577"/>
      <c r="T127" s="254"/>
      <c r="U127" s="228"/>
      <c r="V127" s="2552"/>
      <c r="W127" s="256"/>
      <c r="X127" s="248"/>
      <c r="Y127" s="248"/>
      <c r="Z127" s="248"/>
      <c r="AA127" s="247"/>
      <c r="AB127" s="248"/>
      <c r="AC127" s="248"/>
      <c r="AD127" s="194"/>
      <c r="AE127" s="249"/>
      <c r="AF127" s="250"/>
      <c r="AG127" s="251"/>
      <c r="AH127" s="252"/>
      <c r="AI127" s="241"/>
      <c r="AJ127" s="241"/>
      <c r="AK127" s="241"/>
      <c r="AL127" s="194"/>
      <c r="AM127" s="195"/>
      <c r="AN127" s="195"/>
    </row>
    <row r="128" spans="2:40">
      <c r="B128" s="253">
        <f t="shared" si="2"/>
        <v>120</v>
      </c>
      <c r="C128" s="244"/>
      <c r="D128" s="661"/>
      <c r="E128" s="466"/>
      <c r="F128" s="615"/>
      <c r="G128" s="3271"/>
      <c r="H128" s="230"/>
      <c r="I128" s="230"/>
      <c r="J128" s="230"/>
      <c r="K128" s="230"/>
      <c r="L128" s="230"/>
      <c r="M128" s="228"/>
      <c r="N128" s="257"/>
      <c r="O128" s="228"/>
      <c r="P128" s="228"/>
      <c r="Q128" s="258"/>
      <c r="R128" s="2577"/>
      <c r="S128" s="2577"/>
      <c r="T128" s="254"/>
      <c r="U128" s="228"/>
      <c r="V128" s="2552"/>
      <c r="W128" s="256"/>
      <c r="X128" s="248"/>
      <c r="Y128" s="248"/>
      <c r="Z128" s="248"/>
      <c r="AA128" s="247"/>
      <c r="AB128" s="248"/>
      <c r="AC128" s="248"/>
      <c r="AD128" s="194"/>
      <c r="AE128" s="249"/>
      <c r="AF128" s="250"/>
      <c r="AG128" s="251"/>
      <c r="AH128" s="252"/>
      <c r="AI128" s="241"/>
      <c r="AJ128" s="241"/>
      <c r="AK128" s="241"/>
      <c r="AL128" s="194"/>
      <c r="AM128" s="195"/>
      <c r="AN128" s="195"/>
    </row>
    <row r="129" spans="2:40">
      <c r="B129" s="253">
        <f t="shared" si="2"/>
        <v>121</v>
      </c>
      <c r="C129" s="244"/>
      <c r="D129" s="661"/>
      <c r="E129" s="466"/>
      <c r="F129" s="615"/>
      <c r="G129" s="3271"/>
      <c r="H129" s="230"/>
      <c r="I129" s="230"/>
      <c r="J129" s="230"/>
      <c r="K129" s="230"/>
      <c r="L129" s="230"/>
      <c r="M129" s="228"/>
      <c r="N129" s="257"/>
      <c r="O129" s="228"/>
      <c r="P129" s="228"/>
      <c r="Q129" s="258"/>
      <c r="R129" s="2577"/>
      <c r="S129" s="2577"/>
      <c r="T129" s="254"/>
      <c r="U129" s="228"/>
      <c r="V129" s="2552"/>
      <c r="W129" s="256"/>
      <c r="X129" s="248"/>
      <c r="Y129" s="248"/>
      <c r="Z129" s="248"/>
      <c r="AA129" s="247"/>
      <c r="AB129" s="248"/>
      <c r="AC129" s="248"/>
      <c r="AD129" s="194"/>
      <c r="AE129" s="249"/>
      <c r="AF129" s="250"/>
      <c r="AG129" s="251"/>
      <c r="AH129" s="252"/>
      <c r="AI129" s="241"/>
      <c r="AJ129" s="241"/>
      <c r="AK129" s="241"/>
      <c r="AL129" s="194"/>
      <c r="AM129" s="195"/>
      <c r="AN129" s="195"/>
    </row>
    <row r="130" spans="2:40">
      <c r="B130" s="253">
        <f t="shared" si="2"/>
        <v>122</v>
      </c>
      <c r="C130" s="244"/>
      <c r="D130" s="661"/>
      <c r="E130" s="466"/>
      <c r="F130" s="615"/>
      <c r="G130" s="3271"/>
      <c r="H130" s="230"/>
      <c r="I130" s="230"/>
      <c r="J130" s="230"/>
      <c r="K130" s="230"/>
      <c r="L130" s="230"/>
      <c r="M130" s="228"/>
      <c r="N130" s="257"/>
      <c r="O130" s="228"/>
      <c r="P130" s="228"/>
      <c r="Q130" s="258"/>
      <c r="R130" s="2577"/>
      <c r="S130" s="2577"/>
      <c r="T130" s="254"/>
      <c r="U130" s="228"/>
      <c r="V130" s="2552"/>
      <c r="W130" s="256"/>
      <c r="X130" s="248"/>
      <c r="Y130" s="248"/>
      <c r="Z130" s="248"/>
      <c r="AA130" s="247"/>
      <c r="AB130" s="248"/>
      <c r="AC130" s="248"/>
      <c r="AD130" s="194"/>
      <c r="AE130" s="249"/>
      <c r="AF130" s="250"/>
      <c r="AG130" s="251"/>
      <c r="AH130" s="252"/>
      <c r="AI130" s="241"/>
      <c r="AJ130" s="241"/>
      <c r="AK130" s="241"/>
      <c r="AL130" s="194"/>
      <c r="AM130" s="195"/>
      <c r="AN130" s="195"/>
    </row>
    <row r="131" spans="2:40">
      <c r="B131" s="253">
        <f t="shared" si="2"/>
        <v>123</v>
      </c>
      <c r="C131" s="244"/>
      <c r="D131" s="661"/>
      <c r="E131" s="466"/>
      <c r="F131" s="615"/>
      <c r="G131" s="3271"/>
      <c r="H131" s="230"/>
      <c r="I131" s="230"/>
      <c r="J131" s="230"/>
      <c r="K131" s="230"/>
      <c r="L131" s="230"/>
      <c r="M131" s="228"/>
      <c r="N131" s="257"/>
      <c r="O131" s="228"/>
      <c r="P131" s="228"/>
      <c r="Q131" s="258"/>
      <c r="R131" s="2577"/>
      <c r="S131" s="2577"/>
      <c r="T131" s="254"/>
      <c r="U131" s="228"/>
      <c r="V131" s="2552"/>
      <c r="W131" s="256"/>
      <c r="X131" s="248"/>
      <c r="Y131" s="248"/>
      <c r="Z131" s="248"/>
      <c r="AA131" s="247"/>
      <c r="AB131" s="248"/>
      <c r="AC131" s="248"/>
      <c r="AD131" s="194"/>
      <c r="AE131" s="249"/>
      <c r="AF131" s="250"/>
      <c r="AG131" s="251"/>
      <c r="AH131" s="252"/>
      <c r="AI131" s="241"/>
      <c r="AJ131" s="241"/>
      <c r="AK131" s="241"/>
      <c r="AL131" s="194"/>
      <c r="AM131" s="195"/>
      <c r="AN131" s="195"/>
    </row>
    <row r="132" spans="2:40">
      <c r="B132" s="253">
        <f t="shared" si="2"/>
        <v>124</v>
      </c>
      <c r="C132" s="244"/>
      <c r="D132" s="661"/>
      <c r="E132" s="466"/>
      <c r="F132" s="615"/>
      <c r="G132" s="3271"/>
      <c r="H132" s="230"/>
      <c r="I132" s="230"/>
      <c r="J132" s="230"/>
      <c r="K132" s="230"/>
      <c r="L132" s="230"/>
      <c r="M132" s="228"/>
      <c r="N132" s="257"/>
      <c r="O132" s="228"/>
      <c r="P132" s="228"/>
      <c r="Q132" s="258"/>
      <c r="R132" s="2577"/>
      <c r="S132" s="2577"/>
      <c r="T132" s="254"/>
      <c r="U132" s="228"/>
      <c r="V132" s="2552"/>
      <c r="W132" s="256"/>
      <c r="X132" s="248"/>
      <c r="Y132" s="248"/>
      <c r="Z132" s="248"/>
      <c r="AA132" s="247"/>
      <c r="AB132" s="248"/>
      <c r="AC132" s="248"/>
      <c r="AD132" s="194"/>
      <c r="AE132" s="249"/>
      <c r="AF132" s="250"/>
      <c r="AG132" s="251"/>
      <c r="AH132" s="252"/>
      <c r="AI132" s="241"/>
      <c r="AJ132" s="241"/>
      <c r="AK132" s="241"/>
      <c r="AL132" s="194"/>
      <c r="AM132" s="195"/>
      <c r="AN132" s="195"/>
    </row>
    <row r="133" spans="2:40">
      <c r="B133" s="253">
        <f t="shared" si="2"/>
        <v>125</v>
      </c>
      <c r="C133" s="244"/>
      <c r="D133" s="661"/>
      <c r="E133" s="466"/>
      <c r="F133" s="615"/>
      <c r="G133" s="3271"/>
      <c r="H133" s="230"/>
      <c r="I133" s="230"/>
      <c r="J133" s="230"/>
      <c r="K133" s="230"/>
      <c r="L133" s="230"/>
      <c r="M133" s="228"/>
      <c r="N133" s="257"/>
      <c r="O133" s="228"/>
      <c r="P133" s="228"/>
      <c r="Q133" s="258"/>
      <c r="R133" s="2577"/>
      <c r="S133" s="2577"/>
      <c r="T133" s="254"/>
      <c r="U133" s="228"/>
      <c r="V133" s="2552"/>
      <c r="W133" s="256"/>
      <c r="X133" s="248"/>
      <c r="Y133" s="248"/>
      <c r="Z133" s="248"/>
      <c r="AA133" s="247"/>
      <c r="AB133" s="248"/>
      <c r="AC133" s="248"/>
      <c r="AD133" s="194"/>
      <c r="AE133" s="249"/>
      <c r="AF133" s="250"/>
      <c r="AG133" s="251"/>
      <c r="AH133" s="252"/>
      <c r="AI133" s="241"/>
      <c r="AJ133" s="241"/>
      <c r="AK133" s="241"/>
      <c r="AL133" s="194"/>
      <c r="AM133" s="195"/>
      <c r="AN133" s="195"/>
    </row>
    <row r="134" spans="2:40">
      <c r="B134" s="253">
        <f t="shared" si="2"/>
        <v>126</v>
      </c>
      <c r="C134" s="244"/>
      <c r="D134" s="661"/>
      <c r="E134" s="466"/>
      <c r="F134" s="615"/>
      <c r="G134" s="3271"/>
      <c r="H134" s="230"/>
      <c r="I134" s="230"/>
      <c r="J134" s="230"/>
      <c r="K134" s="230"/>
      <c r="L134" s="230"/>
      <c r="M134" s="228"/>
      <c r="N134" s="257"/>
      <c r="O134" s="228"/>
      <c r="P134" s="228"/>
      <c r="Q134" s="258"/>
      <c r="R134" s="2577"/>
      <c r="S134" s="2577"/>
      <c r="T134" s="254"/>
      <c r="U134" s="228"/>
      <c r="V134" s="2552"/>
      <c r="W134" s="256"/>
      <c r="X134" s="248"/>
      <c r="Y134" s="248"/>
      <c r="Z134" s="248"/>
      <c r="AA134" s="247"/>
      <c r="AB134" s="248"/>
      <c r="AC134" s="248"/>
      <c r="AD134" s="194"/>
      <c r="AE134" s="249"/>
      <c r="AF134" s="250"/>
      <c r="AG134" s="251"/>
      <c r="AH134" s="252"/>
      <c r="AI134" s="241"/>
      <c r="AJ134" s="241"/>
      <c r="AK134" s="241"/>
      <c r="AL134" s="194"/>
      <c r="AM134" s="195"/>
      <c r="AN134" s="195"/>
    </row>
    <row r="135" spans="2:40">
      <c r="B135" s="253">
        <f t="shared" si="2"/>
        <v>127</v>
      </c>
      <c r="C135" s="244"/>
      <c r="D135" s="661"/>
      <c r="E135" s="466"/>
      <c r="F135" s="615"/>
      <c r="G135" s="3271"/>
      <c r="H135" s="230"/>
      <c r="I135" s="230"/>
      <c r="J135" s="230"/>
      <c r="K135" s="230"/>
      <c r="L135" s="230"/>
      <c r="M135" s="228"/>
      <c r="N135" s="257"/>
      <c r="O135" s="228"/>
      <c r="P135" s="228"/>
      <c r="Q135" s="258"/>
      <c r="R135" s="2577"/>
      <c r="S135" s="2577"/>
      <c r="T135" s="254"/>
      <c r="U135" s="228"/>
      <c r="V135" s="2552"/>
      <c r="W135" s="256"/>
      <c r="X135" s="248"/>
      <c r="Y135" s="248"/>
      <c r="Z135" s="248"/>
      <c r="AA135" s="247"/>
      <c r="AB135" s="248"/>
      <c r="AC135" s="248"/>
      <c r="AD135" s="194"/>
      <c r="AE135" s="249"/>
      <c r="AF135" s="250"/>
      <c r="AG135" s="251"/>
      <c r="AH135" s="252"/>
      <c r="AI135" s="241"/>
      <c r="AJ135" s="241"/>
      <c r="AK135" s="241"/>
      <c r="AL135" s="194"/>
      <c r="AM135" s="195"/>
      <c r="AN135" s="195"/>
    </row>
    <row r="136" spans="2:40">
      <c r="B136" s="253">
        <f t="shared" si="2"/>
        <v>128</v>
      </c>
      <c r="C136" s="244"/>
      <c r="D136" s="661"/>
      <c r="E136" s="466"/>
      <c r="F136" s="615"/>
      <c r="G136" s="3271"/>
      <c r="H136" s="230"/>
      <c r="I136" s="230"/>
      <c r="J136" s="230"/>
      <c r="K136" s="230"/>
      <c r="L136" s="230"/>
      <c r="M136" s="228"/>
      <c r="N136" s="257"/>
      <c r="O136" s="228"/>
      <c r="P136" s="228"/>
      <c r="Q136" s="258"/>
      <c r="R136" s="2577"/>
      <c r="S136" s="2577"/>
      <c r="T136" s="254"/>
      <c r="U136" s="228"/>
      <c r="V136" s="2552"/>
      <c r="W136" s="256"/>
      <c r="X136" s="248"/>
      <c r="Y136" s="248"/>
      <c r="Z136" s="248"/>
      <c r="AA136" s="247"/>
      <c r="AB136" s="248"/>
      <c r="AC136" s="248"/>
      <c r="AD136" s="194"/>
      <c r="AE136" s="249"/>
      <c r="AF136" s="250"/>
      <c r="AG136" s="251"/>
      <c r="AH136" s="252"/>
      <c r="AI136" s="241"/>
      <c r="AJ136" s="241"/>
      <c r="AK136" s="241"/>
      <c r="AL136" s="194"/>
      <c r="AM136" s="195"/>
      <c r="AN136" s="195"/>
    </row>
    <row r="137" spans="2:40">
      <c r="B137" s="253">
        <f t="shared" si="2"/>
        <v>129</v>
      </c>
      <c r="C137" s="244"/>
      <c r="D137" s="661"/>
      <c r="E137" s="466"/>
      <c r="F137" s="615"/>
      <c r="G137" s="3271"/>
      <c r="H137" s="230"/>
      <c r="I137" s="230"/>
      <c r="J137" s="230"/>
      <c r="K137" s="230"/>
      <c r="L137" s="230"/>
      <c r="M137" s="228"/>
      <c r="N137" s="257"/>
      <c r="O137" s="228"/>
      <c r="P137" s="228"/>
      <c r="Q137" s="258"/>
      <c r="R137" s="2577"/>
      <c r="S137" s="2577"/>
      <c r="T137" s="254"/>
      <c r="U137" s="228"/>
      <c r="V137" s="2552"/>
      <c r="W137" s="256"/>
      <c r="X137" s="248"/>
      <c r="Y137" s="248"/>
      <c r="Z137" s="248"/>
      <c r="AA137" s="247"/>
      <c r="AB137" s="248"/>
      <c r="AC137" s="248"/>
      <c r="AD137" s="194"/>
      <c r="AE137" s="249"/>
      <c r="AF137" s="250"/>
      <c r="AG137" s="251"/>
      <c r="AH137" s="252"/>
      <c r="AI137" s="241"/>
      <c r="AJ137" s="241"/>
      <c r="AK137" s="241"/>
      <c r="AL137" s="194"/>
      <c r="AM137" s="195"/>
      <c r="AN137" s="195"/>
    </row>
    <row r="138" spans="2:40">
      <c r="B138" s="253">
        <f t="shared" si="2"/>
        <v>130</v>
      </c>
      <c r="C138" s="244"/>
      <c r="D138" s="661"/>
      <c r="E138" s="466"/>
      <c r="F138" s="615"/>
      <c r="G138" s="3271"/>
      <c r="H138" s="230"/>
      <c r="I138" s="230"/>
      <c r="J138" s="230"/>
      <c r="K138" s="230"/>
      <c r="L138" s="230"/>
      <c r="M138" s="228"/>
      <c r="N138" s="257"/>
      <c r="O138" s="228"/>
      <c r="P138" s="228"/>
      <c r="Q138" s="258"/>
      <c r="R138" s="2577"/>
      <c r="S138" s="2577"/>
      <c r="T138" s="254"/>
      <c r="U138" s="228"/>
      <c r="V138" s="2552"/>
      <c r="W138" s="256"/>
      <c r="X138" s="248"/>
      <c r="Y138" s="248"/>
      <c r="Z138" s="248"/>
      <c r="AA138" s="247"/>
      <c r="AB138" s="248"/>
      <c r="AC138" s="248"/>
      <c r="AD138" s="194"/>
      <c r="AE138" s="249"/>
      <c r="AF138" s="250"/>
      <c r="AG138" s="251"/>
      <c r="AH138" s="252"/>
      <c r="AI138" s="241"/>
      <c r="AJ138" s="241"/>
      <c r="AK138" s="241"/>
      <c r="AL138" s="194"/>
      <c r="AM138" s="195"/>
      <c r="AN138" s="195"/>
    </row>
    <row r="139" spans="2:40">
      <c r="B139" s="253">
        <f t="shared" si="2"/>
        <v>131</v>
      </c>
      <c r="C139" s="244"/>
      <c r="D139" s="661"/>
      <c r="E139" s="466"/>
      <c r="F139" s="615"/>
      <c r="G139" s="3271"/>
      <c r="H139" s="230"/>
      <c r="I139" s="230"/>
      <c r="J139" s="230"/>
      <c r="K139" s="230"/>
      <c r="L139" s="230"/>
      <c r="M139" s="228"/>
      <c r="N139" s="257"/>
      <c r="O139" s="228"/>
      <c r="P139" s="228"/>
      <c r="Q139" s="258"/>
      <c r="R139" s="2577"/>
      <c r="S139" s="2577"/>
      <c r="T139" s="254"/>
      <c r="U139" s="228"/>
      <c r="V139" s="2552"/>
      <c r="W139" s="256"/>
      <c r="X139" s="248"/>
      <c r="Y139" s="248"/>
      <c r="Z139" s="248"/>
      <c r="AA139" s="247"/>
      <c r="AB139" s="248"/>
      <c r="AC139" s="248"/>
      <c r="AD139" s="194"/>
      <c r="AE139" s="249"/>
      <c r="AF139" s="250"/>
      <c r="AG139" s="251"/>
      <c r="AH139" s="252"/>
      <c r="AI139" s="241"/>
      <c r="AJ139" s="241"/>
      <c r="AK139" s="241"/>
      <c r="AL139" s="194"/>
      <c r="AM139" s="195"/>
      <c r="AN139" s="195"/>
    </row>
    <row r="140" spans="2:40">
      <c r="B140" s="253">
        <f t="shared" si="2"/>
        <v>132</v>
      </c>
      <c r="C140" s="244"/>
      <c r="D140" s="661"/>
      <c r="E140" s="466"/>
      <c r="F140" s="615"/>
      <c r="G140" s="3271"/>
      <c r="H140" s="230"/>
      <c r="I140" s="230"/>
      <c r="J140" s="230"/>
      <c r="K140" s="230"/>
      <c r="L140" s="230"/>
      <c r="M140" s="228"/>
      <c r="N140" s="257"/>
      <c r="O140" s="228"/>
      <c r="P140" s="228"/>
      <c r="Q140" s="258"/>
      <c r="R140" s="2577"/>
      <c r="S140" s="2577"/>
      <c r="T140" s="254"/>
      <c r="U140" s="228"/>
      <c r="V140" s="2552"/>
      <c r="W140" s="256"/>
      <c r="X140" s="248"/>
      <c r="Y140" s="248"/>
      <c r="Z140" s="248"/>
      <c r="AA140" s="247"/>
      <c r="AB140" s="248"/>
      <c r="AC140" s="248"/>
      <c r="AD140" s="194"/>
      <c r="AE140" s="249"/>
      <c r="AF140" s="250"/>
      <c r="AG140" s="251"/>
      <c r="AH140" s="252"/>
      <c r="AI140" s="241"/>
      <c r="AJ140" s="241"/>
      <c r="AK140" s="241"/>
      <c r="AL140" s="194"/>
      <c r="AM140" s="195"/>
      <c r="AN140" s="195"/>
    </row>
    <row r="141" spans="2:40">
      <c r="B141" s="253">
        <f t="shared" si="2"/>
        <v>133</v>
      </c>
      <c r="C141" s="244"/>
      <c r="D141" s="661"/>
      <c r="E141" s="466"/>
      <c r="F141" s="615"/>
      <c r="G141" s="3271"/>
      <c r="H141" s="230"/>
      <c r="I141" s="230"/>
      <c r="J141" s="230"/>
      <c r="K141" s="230"/>
      <c r="L141" s="230"/>
      <c r="M141" s="228"/>
      <c r="N141" s="257"/>
      <c r="O141" s="228"/>
      <c r="P141" s="228"/>
      <c r="Q141" s="258"/>
      <c r="R141" s="2577"/>
      <c r="S141" s="2577"/>
      <c r="T141" s="254"/>
      <c r="U141" s="228"/>
      <c r="V141" s="2552"/>
      <c r="W141" s="256"/>
      <c r="X141" s="248"/>
      <c r="Y141" s="248"/>
      <c r="Z141" s="248"/>
      <c r="AA141" s="247"/>
      <c r="AB141" s="248"/>
      <c r="AC141" s="248"/>
      <c r="AD141" s="194"/>
      <c r="AE141" s="249"/>
      <c r="AF141" s="250"/>
      <c r="AG141" s="251"/>
      <c r="AH141" s="252"/>
      <c r="AI141" s="241"/>
      <c r="AJ141" s="241"/>
      <c r="AK141" s="241"/>
      <c r="AL141" s="194"/>
      <c r="AM141" s="195"/>
      <c r="AN141" s="195"/>
    </row>
    <row r="142" spans="2:40">
      <c r="B142" s="253">
        <f t="shared" si="2"/>
        <v>134</v>
      </c>
      <c r="C142" s="244"/>
      <c r="D142" s="661"/>
      <c r="E142" s="466"/>
      <c r="F142" s="615"/>
      <c r="G142" s="3271"/>
      <c r="H142" s="230"/>
      <c r="I142" s="230"/>
      <c r="J142" s="230"/>
      <c r="K142" s="230"/>
      <c r="L142" s="230"/>
      <c r="M142" s="228"/>
      <c r="N142" s="257"/>
      <c r="O142" s="228"/>
      <c r="P142" s="228"/>
      <c r="Q142" s="258"/>
      <c r="R142" s="2577"/>
      <c r="S142" s="2577"/>
      <c r="T142" s="254"/>
      <c r="U142" s="228"/>
      <c r="V142" s="2552"/>
      <c r="W142" s="256"/>
      <c r="X142" s="248"/>
      <c r="Y142" s="248"/>
      <c r="Z142" s="248"/>
      <c r="AA142" s="247"/>
      <c r="AB142" s="248"/>
      <c r="AC142" s="248"/>
      <c r="AD142" s="194"/>
      <c r="AE142" s="249"/>
      <c r="AF142" s="250"/>
      <c r="AG142" s="251"/>
      <c r="AH142" s="252"/>
      <c r="AI142" s="241"/>
      <c r="AJ142" s="241"/>
      <c r="AK142" s="241"/>
      <c r="AL142" s="194"/>
      <c r="AM142" s="195"/>
      <c r="AN142" s="195"/>
    </row>
    <row r="143" spans="2:40">
      <c r="B143" s="253">
        <f t="shared" si="2"/>
        <v>135</v>
      </c>
      <c r="C143" s="244"/>
      <c r="D143" s="661"/>
      <c r="E143" s="466"/>
      <c r="F143" s="615"/>
      <c r="G143" s="3271"/>
      <c r="H143" s="230"/>
      <c r="I143" s="230"/>
      <c r="J143" s="230"/>
      <c r="K143" s="230"/>
      <c r="L143" s="230"/>
      <c r="M143" s="228"/>
      <c r="N143" s="257"/>
      <c r="O143" s="228"/>
      <c r="P143" s="228"/>
      <c r="Q143" s="258"/>
      <c r="R143" s="2577"/>
      <c r="S143" s="2577"/>
      <c r="T143" s="254"/>
      <c r="U143" s="228"/>
      <c r="V143" s="2552"/>
      <c r="W143" s="256"/>
      <c r="X143" s="248"/>
      <c r="Y143" s="248"/>
      <c r="Z143" s="248"/>
      <c r="AA143" s="247"/>
      <c r="AB143" s="248"/>
      <c r="AC143" s="248"/>
      <c r="AD143" s="194"/>
      <c r="AE143" s="249"/>
      <c r="AF143" s="250"/>
      <c r="AG143" s="251"/>
      <c r="AH143" s="252"/>
      <c r="AI143" s="241"/>
      <c r="AJ143" s="241"/>
      <c r="AK143" s="241"/>
      <c r="AL143" s="194"/>
      <c r="AM143" s="195"/>
      <c r="AN143" s="195"/>
    </row>
    <row r="144" spans="2:40">
      <c r="B144" s="253">
        <f t="shared" si="2"/>
        <v>136</v>
      </c>
      <c r="C144" s="244"/>
      <c r="D144" s="661"/>
      <c r="E144" s="466"/>
      <c r="F144" s="615"/>
      <c r="G144" s="3271"/>
      <c r="H144" s="230"/>
      <c r="I144" s="230"/>
      <c r="J144" s="230"/>
      <c r="K144" s="230"/>
      <c r="L144" s="230"/>
      <c r="M144" s="228"/>
      <c r="N144" s="257"/>
      <c r="O144" s="228"/>
      <c r="P144" s="228"/>
      <c r="Q144" s="258"/>
      <c r="R144" s="2577"/>
      <c r="S144" s="2577"/>
      <c r="T144" s="254"/>
      <c r="U144" s="228"/>
      <c r="V144" s="2552"/>
      <c r="W144" s="256"/>
      <c r="X144" s="248"/>
      <c r="Y144" s="248"/>
      <c r="Z144" s="248"/>
      <c r="AA144" s="247"/>
      <c r="AB144" s="248"/>
      <c r="AC144" s="248"/>
      <c r="AD144" s="194"/>
      <c r="AE144" s="249"/>
      <c r="AF144" s="250"/>
      <c r="AG144" s="251"/>
      <c r="AH144" s="252"/>
      <c r="AI144" s="241"/>
      <c r="AJ144" s="241"/>
      <c r="AK144" s="241"/>
      <c r="AL144" s="194"/>
      <c r="AM144" s="195"/>
      <c r="AN144" s="195"/>
    </row>
    <row r="145" spans="2:40">
      <c r="B145" s="253">
        <f t="shared" si="2"/>
        <v>137</v>
      </c>
      <c r="C145" s="244"/>
      <c r="D145" s="661"/>
      <c r="E145" s="466"/>
      <c r="F145" s="615"/>
      <c r="G145" s="3271"/>
      <c r="H145" s="230"/>
      <c r="I145" s="230"/>
      <c r="J145" s="230"/>
      <c r="K145" s="230"/>
      <c r="L145" s="230"/>
      <c r="M145" s="228"/>
      <c r="N145" s="257"/>
      <c r="O145" s="228"/>
      <c r="P145" s="228"/>
      <c r="Q145" s="258"/>
      <c r="R145" s="2577"/>
      <c r="S145" s="2577"/>
      <c r="T145" s="254"/>
      <c r="U145" s="228"/>
      <c r="V145" s="2552"/>
      <c r="W145" s="256"/>
      <c r="X145" s="248"/>
      <c r="Y145" s="248"/>
      <c r="Z145" s="248"/>
      <c r="AA145" s="247"/>
      <c r="AB145" s="248"/>
      <c r="AC145" s="248"/>
      <c r="AD145" s="194"/>
      <c r="AE145" s="249"/>
      <c r="AF145" s="250"/>
      <c r="AG145" s="251"/>
      <c r="AH145" s="252"/>
      <c r="AI145" s="241"/>
      <c r="AJ145" s="241"/>
      <c r="AK145" s="241"/>
      <c r="AL145" s="194"/>
      <c r="AM145" s="195"/>
      <c r="AN145" s="195"/>
    </row>
    <row r="146" spans="2:40">
      <c r="B146" s="253">
        <f t="shared" si="2"/>
        <v>138</v>
      </c>
      <c r="C146" s="244"/>
      <c r="D146" s="661"/>
      <c r="E146" s="466"/>
      <c r="F146" s="615"/>
      <c r="G146" s="3271"/>
      <c r="H146" s="230"/>
      <c r="I146" s="230"/>
      <c r="J146" s="230"/>
      <c r="K146" s="230"/>
      <c r="L146" s="230"/>
      <c r="M146" s="228"/>
      <c r="N146" s="257"/>
      <c r="O146" s="228"/>
      <c r="P146" s="228"/>
      <c r="Q146" s="258"/>
      <c r="R146" s="2577"/>
      <c r="S146" s="2577"/>
      <c r="T146" s="254"/>
      <c r="U146" s="228"/>
      <c r="V146" s="2552"/>
      <c r="W146" s="256"/>
      <c r="X146" s="248"/>
      <c r="Y146" s="248"/>
      <c r="Z146" s="248"/>
      <c r="AA146" s="247"/>
      <c r="AB146" s="248"/>
      <c r="AC146" s="248"/>
      <c r="AD146" s="194"/>
      <c r="AE146" s="249"/>
      <c r="AF146" s="250"/>
      <c r="AG146" s="251"/>
      <c r="AH146" s="252"/>
      <c r="AI146" s="241"/>
      <c r="AJ146" s="241"/>
      <c r="AK146" s="241"/>
      <c r="AL146" s="194"/>
      <c r="AM146" s="195"/>
      <c r="AN146" s="195"/>
    </row>
    <row r="147" spans="2:40">
      <c r="B147" s="253">
        <f t="shared" si="2"/>
        <v>139</v>
      </c>
      <c r="C147" s="244"/>
      <c r="D147" s="661"/>
      <c r="E147" s="466"/>
      <c r="F147" s="615"/>
      <c r="G147" s="3271"/>
      <c r="H147" s="230"/>
      <c r="I147" s="230"/>
      <c r="J147" s="230"/>
      <c r="K147" s="230"/>
      <c r="L147" s="230"/>
      <c r="M147" s="228"/>
      <c r="N147" s="257"/>
      <c r="O147" s="228"/>
      <c r="P147" s="228"/>
      <c r="Q147" s="258"/>
      <c r="R147" s="2577"/>
      <c r="S147" s="2577"/>
      <c r="T147" s="254"/>
      <c r="U147" s="228"/>
      <c r="V147" s="2552"/>
      <c r="W147" s="256"/>
      <c r="X147" s="248"/>
      <c r="Y147" s="248"/>
      <c r="Z147" s="248"/>
      <c r="AA147" s="247"/>
      <c r="AB147" s="248"/>
      <c r="AC147" s="248"/>
      <c r="AD147" s="194"/>
      <c r="AE147" s="249"/>
      <c r="AF147" s="250"/>
      <c r="AG147" s="251"/>
      <c r="AH147" s="252"/>
      <c r="AI147" s="241"/>
      <c r="AJ147" s="241"/>
      <c r="AK147" s="241"/>
      <c r="AL147" s="194"/>
      <c r="AM147" s="195"/>
      <c r="AN147" s="195"/>
    </row>
    <row r="148" spans="2:40">
      <c r="B148" s="253">
        <f t="shared" si="2"/>
        <v>140</v>
      </c>
      <c r="C148" s="244"/>
      <c r="D148" s="661"/>
      <c r="E148" s="466"/>
      <c r="F148" s="615"/>
      <c r="G148" s="3271"/>
      <c r="H148" s="230"/>
      <c r="I148" s="230"/>
      <c r="J148" s="230"/>
      <c r="K148" s="230"/>
      <c r="L148" s="230"/>
      <c r="M148" s="228"/>
      <c r="N148" s="257"/>
      <c r="O148" s="228"/>
      <c r="P148" s="228"/>
      <c r="Q148" s="258"/>
      <c r="R148" s="2577"/>
      <c r="S148" s="2577"/>
      <c r="T148" s="254"/>
      <c r="U148" s="228"/>
      <c r="V148" s="2552"/>
      <c r="W148" s="256"/>
      <c r="X148" s="248"/>
      <c r="Y148" s="248"/>
      <c r="Z148" s="248"/>
      <c r="AA148" s="247"/>
      <c r="AB148" s="248"/>
      <c r="AC148" s="248"/>
      <c r="AD148" s="194"/>
      <c r="AE148" s="249"/>
      <c r="AF148" s="250"/>
      <c r="AG148" s="251"/>
      <c r="AH148" s="252"/>
      <c r="AI148" s="241"/>
      <c r="AJ148" s="241"/>
      <c r="AK148" s="241"/>
      <c r="AL148" s="194"/>
      <c r="AM148" s="195"/>
      <c r="AN148" s="195"/>
    </row>
    <row r="149" spans="2:40">
      <c r="B149" s="253">
        <f t="shared" si="2"/>
        <v>141</v>
      </c>
      <c r="C149" s="244"/>
      <c r="D149" s="661"/>
      <c r="E149" s="466"/>
      <c r="F149" s="615"/>
      <c r="G149" s="3271"/>
      <c r="H149" s="230"/>
      <c r="I149" s="230"/>
      <c r="J149" s="230"/>
      <c r="K149" s="230"/>
      <c r="L149" s="230"/>
      <c r="M149" s="228"/>
      <c r="N149" s="257"/>
      <c r="O149" s="228"/>
      <c r="P149" s="228"/>
      <c r="Q149" s="258"/>
      <c r="R149" s="2577"/>
      <c r="S149" s="2577"/>
      <c r="T149" s="254"/>
      <c r="U149" s="228"/>
      <c r="V149" s="2552"/>
      <c r="W149" s="256"/>
      <c r="X149" s="248"/>
      <c r="Y149" s="248"/>
      <c r="Z149" s="248"/>
      <c r="AA149" s="247"/>
      <c r="AB149" s="248"/>
      <c r="AC149" s="248"/>
      <c r="AD149" s="194"/>
      <c r="AE149" s="249"/>
      <c r="AF149" s="250"/>
      <c r="AG149" s="251"/>
      <c r="AH149" s="252"/>
      <c r="AI149" s="241"/>
      <c r="AJ149" s="241"/>
      <c r="AK149" s="241"/>
      <c r="AL149" s="194"/>
      <c r="AM149" s="195"/>
      <c r="AN149" s="195"/>
    </row>
    <row r="150" spans="2:40">
      <c r="B150" s="253">
        <f t="shared" si="2"/>
        <v>142</v>
      </c>
      <c r="C150" s="244"/>
      <c r="D150" s="661"/>
      <c r="E150" s="466"/>
      <c r="F150" s="615"/>
      <c r="G150" s="3271"/>
      <c r="H150" s="230"/>
      <c r="I150" s="230"/>
      <c r="J150" s="230"/>
      <c r="K150" s="230"/>
      <c r="L150" s="230"/>
      <c r="M150" s="228"/>
      <c r="N150" s="257"/>
      <c r="O150" s="228"/>
      <c r="P150" s="228"/>
      <c r="Q150" s="258"/>
      <c r="R150" s="2577"/>
      <c r="S150" s="2577"/>
      <c r="T150" s="254"/>
      <c r="U150" s="228"/>
      <c r="V150" s="2552"/>
      <c r="W150" s="256"/>
      <c r="X150" s="248"/>
      <c r="Y150" s="248"/>
      <c r="Z150" s="248"/>
      <c r="AA150" s="247"/>
      <c r="AB150" s="248"/>
      <c r="AC150" s="248"/>
      <c r="AD150" s="194"/>
      <c r="AE150" s="249"/>
      <c r="AF150" s="250"/>
      <c r="AG150" s="251"/>
      <c r="AH150" s="252"/>
      <c r="AI150" s="241"/>
      <c r="AJ150" s="241"/>
      <c r="AK150" s="241"/>
      <c r="AL150" s="194"/>
      <c r="AM150" s="195"/>
      <c r="AN150" s="195"/>
    </row>
    <row r="151" spans="2:40">
      <c r="B151" s="253">
        <f t="shared" si="2"/>
        <v>143</v>
      </c>
      <c r="C151" s="244"/>
      <c r="D151" s="661"/>
      <c r="E151" s="466"/>
      <c r="F151" s="615"/>
      <c r="G151" s="3271"/>
      <c r="H151" s="230"/>
      <c r="I151" s="230"/>
      <c r="J151" s="230"/>
      <c r="K151" s="230"/>
      <c r="L151" s="230"/>
      <c r="M151" s="228"/>
      <c r="N151" s="257"/>
      <c r="O151" s="228"/>
      <c r="P151" s="228"/>
      <c r="Q151" s="258"/>
      <c r="R151" s="2577"/>
      <c r="S151" s="2577"/>
      <c r="T151" s="254"/>
      <c r="U151" s="228"/>
      <c r="V151" s="2552"/>
      <c r="W151" s="256"/>
      <c r="X151" s="248"/>
      <c r="Y151" s="248"/>
      <c r="Z151" s="248"/>
      <c r="AA151" s="247"/>
      <c r="AB151" s="248"/>
      <c r="AC151" s="248"/>
      <c r="AD151" s="194"/>
      <c r="AE151" s="249"/>
      <c r="AF151" s="250"/>
      <c r="AG151" s="251"/>
      <c r="AH151" s="252"/>
      <c r="AI151" s="241"/>
      <c r="AJ151" s="241"/>
      <c r="AK151" s="241"/>
      <c r="AL151" s="194"/>
      <c r="AM151" s="195"/>
      <c r="AN151" s="195"/>
    </row>
    <row r="152" spans="2:40">
      <c r="B152" s="253">
        <f t="shared" si="2"/>
        <v>144</v>
      </c>
      <c r="C152" s="244"/>
      <c r="D152" s="661"/>
      <c r="E152" s="466"/>
      <c r="F152" s="615"/>
      <c r="G152" s="3271"/>
      <c r="H152" s="230"/>
      <c r="I152" s="230"/>
      <c r="J152" s="230"/>
      <c r="K152" s="230"/>
      <c r="L152" s="230"/>
      <c r="M152" s="228"/>
      <c r="N152" s="257"/>
      <c r="O152" s="228"/>
      <c r="P152" s="228"/>
      <c r="Q152" s="258"/>
      <c r="R152" s="2577"/>
      <c r="S152" s="2577"/>
      <c r="T152" s="254"/>
      <c r="U152" s="228"/>
      <c r="V152" s="2552"/>
      <c r="W152" s="256"/>
      <c r="X152" s="248"/>
      <c r="Y152" s="248"/>
      <c r="Z152" s="248"/>
      <c r="AA152" s="247"/>
      <c r="AB152" s="248"/>
      <c r="AC152" s="248"/>
      <c r="AD152" s="194"/>
      <c r="AE152" s="249"/>
      <c r="AF152" s="250"/>
      <c r="AG152" s="251"/>
      <c r="AH152" s="252"/>
      <c r="AI152" s="241"/>
      <c r="AJ152" s="241"/>
      <c r="AK152" s="241"/>
      <c r="AL152" s="194"/>
      <c r="AM152" s="195"/>
      <c r="AN152" s="195"/>
    </row>
    <row r="153" spans="2:40">
      <c r="B153" s="253">
        <f t="shared" si="2"/>
        <v>145</v>
      </c>
      <c r="C153" s="244"/>
      <c r="D153" s="661"/>
      <c r="E153" s="466"/>
      <c r="F153" s="615"/>
      <c r="G153" s="3271"/>
      <c r="H153" s="230"/>
      <c r="I153" s="230"/>
      <c r="J153" s="230"/>
      <c r="K153" s="230"/>
      <c r="L153" s="230"/>
      <c r="M153" s="228"/>
      <c r="N153" s="257"/>
      <c r="O153" s="228"/>
      <c r="P153" s="228"/>
      <c r="Q153" s="258"/>
      <c r="R153" s="2577"/>
      <c r="S153" s="2577"/>
      <c r="T153" s="254"/>
      <c r="U153" s="228"/>
      <c r="V153" s="2552"/>
      <c r="W153" s="256"/>
      <c r="X153" s="248"/>
      <c r="Y153" s="248"/>
      <c r="Z153" s="248"/>
      <c r="AA153" s="247"/>
      <c r="AB153" s="248"/>
      <c r="AC153" s="248"/>
      <c r="AD153" s="194"/>
      <c r="AE153" s="249"/>
      <c r="AF153" s="250"/>
      <c r="AG153" s="251"/>
      <c r="AH153" s="252"/>
      <c r="AI153" s="241"/>
      <c r="AJ153" s="241"/>
      <c r="AK153" s="241"/>
      <c r="AL153" s="194"/>
      <c r="AM153" s="195"/>
      <c r="AN153" s="195"/>
    </row>
    <row r="154" spans="2:40">
      <c r="B154" s="253">
        <f t="shared" si="2"/>
        <v>146</v>
      </c>
      <c r="C154" s="244"/>
      <c r="D154" s="661"/>
      <c r="E154" s="466"/>
      <c r="F154" s="615"/>
      <c r="G154" s="3271"/>
      <c r="H154" s="230"/>
      <c r="I154" s="230"/>
      <c r="J154" s="230"/>
      <c r="K154" s="230"/>
      <c r="L154" s="230"/>
      <c r="M154" s="228"/>
      <c r="N154" s="257"/>
      <c r="O154" s="228"/>
      <c r="P154" s="228"/>
      <c r="Q154" s="258"/>
      <c r="R154" s="2577"/>
      <c r="S154" s="2577"/>
      <c r="T154" s="254"/>
      <c r="U154" s="228"/>
      <c r="V154" s="2552"/>
      <c r="W154" s="256"/>
      <c r="X154" s="248"/>
      <c r="Y154" s="248"/>
      <c r="Z154" s="248"/>
      <c r="AA154" s="247"/>
      <c r="AB154" s="248"/>
      <c r="AC154" s="248"/>
      <c r="AD154" s="194"/>
      <c r="AE154" s="249"/>
      <c r="AF154" s="250"/>
      <c r="AG154" s="251"/>
      <c r="AH154" s="252"/>
      <c r="AI154" s="241"/>
      <c r="AJ154" s="241"/>
      <c r="AK154" s="241"/>
      <c r="AL154" s="194"/>
      <c r="AM154" s="195"/>
      <c r="AN154" s="195"/>
    </row>
    <row r="155" spans="2:40">
      <c r="B155" s="253">
        <f t="shared" si="2"/>
        <v>147</v>
      </c>
      <c r="C155" s="244"/>
      <c r="D155" s="661"/>
      <c r="E155" s="466"/>
      <c r="F155" s="615"/>
      <c r="G155" s="3271"/>
      <c r="H155" s="230"/>
      <c r="I155" s="230"/>
      <c r="J155" s="230"/>
      <c r="K155" s="230"/>
      <c r="L155" s="230"/>
      <c r="M155" s="228"/>
      <c r="N155" s="257"/>
      <c r="O155" s="228"/>
      <c r="P155" s="228"/>
      <c r="Q155" s="258"/>
      <c r="R155" s="2577"/>
      <c r="S155" s="2577"/>
      <c r="T155" s="254"/>
      <c r="U155" s="228"/>
      <c r="V155" s="2552"/>
      <c r="W155" s="256"/>
      <c r="X155" s="248"/>
      <c r="Y155" s="248"/>
      <c r="Z155" s="248"/>
      <c r="AA155" s="247"/>
      <c r="AB155" s="248"/>
      <c r="AC155" s="248"/>
      <c r="AD155" s="194"/>
      <c r="AE155" s="249"/>
      <c r="AF155" s="250"/>
      <c r="AG155" s="251"/>
      <c r="AH155" s="252"/>
      <c r="AI155" s="241"/>
      <c r="AJ155" s="241"/>
      <c r="AK155" s="241"/>
      <c r="AL155" s="194"/>
      <c r="AM155" s="195"/>
      <c r="AN155" s="195"/>
    </row>
    <row r="156" spans="2:40">
      <c r="B156" s="253">
        <f t="shared" si="2"/>
        <v>148</v>
      </c>
      <c r="C156" s="244"/>
      <c r="D156" s="661"/>
      <c r="E156" s="466"/>
      <c r="F156" s="615"/>
      <c r="G156" s="3271"/>
      <c r="H156" s="230"/>
      <c r="I156" s="230"/>
      <c r="J156" s="230"/>
      <c r="K156" s="230"/>
      <c r="L156" s="230"/>
      <c r="M156" s="228"/>
      <c r="N156" s="257"/>
      <c r="O156" s="228"/>
      <c r="P156" s="228"/>
      <c r="Q156" s="258"/>
      <c r="R156" s="2577"/>
      <c r="S156" s="2577"/>
      <c r="T156" s="254"/>
      <c r="U156" s="228"/>
      <c r="V156" s="2552"/>
      <c r="W156" s="256"/>
      <c r="X156" s="248"/>
      <c r="Y156" s="248"/>
      <c r="Z156" s="248"/>
      <c r="AA156" s="247"/>
      <c r="AB156" s="248"/>
      <c r="AC156" s="248"/>
      <c r="AD156" s="194"/>
      <c r="AE156" s="249"/>
      <c r="AF156" s="250"/>
      <c r="AG156" s="251"/>
      <c r="AH156" s="252"/>
      <c r="AI156" s="241"/>
      <c r="AJ156" s="241"/>
      <c r="AK156" s="241"/>
      <c r="AL156" s="194"/>
      <c r="AM156" s="195"/>
      <c r="AN156" s="195"/>
    </row>
    <row r="157" spans="2:40">
      <c r="B157" s="253">
        <f t="shared" si="2"/>
        <v>149</v>
      </c>
      <c r="C157" s="244"/>
      <c r="D157" s="661"/>
      <c r="E157" s="466"/>
      <c r="F157" s="615"/>
      <c r="G157" s="3271"/>
      <c r="H157" s="230"/>
      <c r="I157" s="230"/>
      <c r="J157" s="230"/>
      <c r="K157" s="230"/>
      <c r="L157" s="230"/>
      <c r="M157" s="228"/>
      <c r="N157" s="257"/>
      <c r="O157" s="228"/>
      <c r="P157" s="228"/>
      <c r="Q157" s="258"/>
      <c r="R157" s="2577"/>
      <c r="S157" s="2577"/>
      <c r="T157" s="254"/>
      <c r="U157" s="228"/>
      <c r="V157" s="2552"/>
      <c r="W157" s="256"/>
      <c r="X157" s="248"/>
      <c r="Y157" s="248"/>
      <c r="Z157" s="248"/>
      <c r="AA157" s="247"/>
      <c r="AB157" s="248"/>
      <c r="AC157" s="248"/>
      <c r="AD157" s="194"/>
      <c r="AE157" s="249"/>
      <c r="AF157" s="250"/>
      <c r="AG157" s="251"/>
      <c r="AH157" s="252"/>
      <c r="AI157" s="241"/>
      <c r="AJ157" s="241"/>
      <c r="AK157" s="241"/>
      <c r="AL157" s="194"/>
      <c r="AM157" s="195"/>
      <c r="AN157" s="195"/>
    </row>
    <row r="158" spans="2:40">
      <c r="B158" s="253">
        <f t="shared" si="2"/>
        <v>150</v>
      </c>
      <c r="C158" s="244"/>
      <c r="D158" s="661"/>
      <c r="E158" s="466"/>
      <c r="F158" s="615"/>
      <c r="G158" s="3271"/>
      <c r="H158" s="230"/>
      <c r="I158" s="230"/>
      <c r="J158" s="230"/>
      <c r="K158" s="230"/>
      <c r="L158" s="230"/>
      <c r="M158" s="228"/>
      <c r="N158" s="257"/>
      <c r="O158" s="228"/>
      <c r="P158" s="228"/>
      <c r="Q158" s="258"/>
      <c r="R158" s="2577"/>
      <c r="S158" s="2577"/>
      <c r="T158" s="254"/>
      <c r="U158" s="228"/>
      <c r="V158" s="2552"/>
      <c r="W158" s="256"/>
      <c r="X158" s="248"/>
      <c r="Y158" s="248"/>
      <c r="Z158" s="248"/>
      <c r="AA158" s="247"/>
      <c r="AB158" s="248"/>
      <c r="AC158" s="248"/>
      <c r="AD158" s="194"/>
      <c r="AE158" s="249"/>
      <c r="AF158" s="250"/>
      <c r="AG158" s="251"/>
      <c r="AH158" s="252"/>
      <c r="AI158" s="241"/>
      <c r="AJ158" s="241"/>
      <c r="AK158" s="241"/>
      <c r="AL158" s="194"/>
      <c r="AM158" s="195"/>
      <c r="AN158" s="195"/>
    </row>
    <row r="159" spans="2:40">
      <c r="B159" s="253">
        <f t="shared" si="2"/>
        <v>151</v>
      </c>
      <c r="C159" s="244"/>
      <c r="D159" s="661"/>
      <c r="E159" s="466"/>
      <c r="F159" s="615"/>
      <c r="G159" s="3271"/>
      <c r="H159" s="230"/>
      <c r="I159" s="230"/>
      <c r="J159" s="230"/>
      <c r="K159" s="230"/>
      <c r="L159" s="230"/>
      <c r="M159" s="228"/>
      <c r="N159" s="257"/>
      <c r="O159" s="228"/>
      <c r="P159" s="228"/>
      <c r="Q159" s="258"/>
      <c r="R159" s="2577"/>
      <c r="S159" s="2577"/>
      <c r="T159" s="254"/>
      <c r="U159" s="228"/>
      <c r="V159" s="2552"/>
      <c r="W159" s="256"/>
      <c r="X159" s="248"/>
      <c r="Y159" s="248"/>
      <c r="Z159" s="248"/>
      <c r="AA159" s="247"/>
      <c r="AB159" s="248"/>
      <c r="AC159" s="248"/>
      <c r="AD159" s="194"/>
      <c r="AE159" s="249"/>
      <c r="AF159" s="250"/>
      <c r="AG159" s="251"/>
      <c r="AH159" s="252"/>
      <c r="AI159" s="241"/>
      <c r="AJ159" s="241"/>
      <c r="AK159" s="241"/>
      <c r="AL159" s="194"/>
      <c r="AM159" s="195"/>
      <c r="AN159" s="195"/>
    </row>
    <row r="160" spans="2:40">
      <c r="B160" s="253">
        <f t="shared" si="2"/>
        <v>152</v>
      </c>
      <c r="C160" s="244"/>
      <c r="D160" s="661"/>
      <c r="E160" s="466"/>
      <c r="F160" s="615"/>
      <c r="G160" s="3271"/>
      <c r="H160" s="230"/>
      <c r="I160" s="230"/>
      <c r="J160" s="230"/>
      <c r="K160" s="230"/>
      <c r="L160" s="230"/>
      <c r="M160" s="228"/>
      <c r="N160" s="257"/>
      <c r="O160" s="228"/>
      <c r="P160" s="228"/>
      <c r="Q160" s="258"/>
      <c r="R160" s="2577"/>
      <c r="S160" s="2577"/>
      <c r="T160" s="254"/>
      <c r="U160" s="228"/>
      <c r="V160" s="2552"/>
      <c r="W160" s="256"/>
      <c r="X160" s="248"/>
      <c r="Y160" s="248"/>
      <c r="Z160" s="248"/>
      <c r="AA160" s="247"/>
      <c r="AB160" s="248"/>
      <c r="AC160" s="248"/>
      <c r="AD160" s="194"/>
      <c r="AE160" s="249"/>
      <c r="AF160" s="250"/>
      <c r="AG160" s="251"/>
      <c r="AH160" s="252"/>
      <c r="AI160" s="241"/>
      <c r="AJ160" s="241"/>
      <c r="AK160" s="241"/>
      <c r="AL160" s="194"/>
      <c r="AM160" s="195"/>
      <c r="AN160" s="195"/>
    </row>
    <row r="161" spans="2:40">
      <c r="B161" s="253">
        <f t="shared" si="2"/>
        <v>153</v>
      </c>
      <c r="C161" s="244"/>
      <c r="D161" s="661"/>
      <c r="E161" s="466"/>
      <c r="F161" s="615"/>
      <c r="G161" s="3271"/>
      <c r="H161" s="230"/>
      <c r="I161" s="230"/>
      <c r="J161" s="230"/>
      <c r="K161" s="230"/>
      <c r="L161" s="230"/>
      <c r="M161" s="228"/>
      <c r="N161" s="257"/>
      <c r="O161" s="228"/>
      <c r="P161" s="228"/>
      <c r="Q161" s="258"/>
      <c r="R161" s="2577"/>
      <c r="S161" s="2577"/>
      <c r="T161" s="254"/>
      <c r="U161" s="228"/>
      <c r="V161" s="2552"/>
      <c r="W161" s="256"/>
      <c r="X161" s="248"/>
      <c r="Y161" s="248"/>
      <c r="Z161" s="248"/>
      <c r="AA161" s="247"/>
      <c r="AB161" s="248"/>
      <c r="AC161" s="248"/>
      <c r="AD161" s="194"/>
      <c r="AE161" s="249"/>
      <c r="AF161" s="250"/>
      <c r="AG161" s="251"/>
      <c r="AH161" s="252"/>
      <c r="AI161" s="241"/>
      <c r="AJ161" s="241"/>
      <c r="AK161" s="241"/>
      <c r="AL161" s="194"/>
      <c r="AM161" s="195"/>
      <c r="AN161" s="195"/>
    </row>
    <row r="162" spans="2:40">
      <c r="B162" s="253">
        <f t="shared" si="2"/>
        <v>154</v>
      </c>
      <c r="C162" s="244"/>
      <c r="D162" s="661"/>
      <c r="E162" s="466"/>
      <c r="F162" s="615"/>
      <c r="G162" s="3271"/>
      <c r="H162" s="230"/>
      <c r="I162" s="230"/>
      <c r="J162" s="230"/>
      <c r="K162" s="230"/>
      <c r="L162" s="230"/>
      <c r="M162" s="228"/>
      <c r="N162" s="257"/>
      <c r="O162" s="228"/>
      <c r="P162" s="228"/>
      <c r="Q162" s="258"/>
      <c r="R162" s="2577"/>
      <c r="S162" s="2577"/>
      <c r="T162" s="254"/>
      <c r="U162" s="228"/>
      <c r="V162" s="2552"/>
      <c r="W162" s="256"/>
      <c r="X162" s="248"/>
      <c r="Y162" s="248"/>
      <c r="Z162" s="248"/>
      <c r="AA162" s="247"/>
      <c r="AB162" s="248"/>
      <c r="AC162" s="248"/>
      <c r="AD162" s="194"/>
      <c r="AE162" s="249"/>
      <c r="AF162" s="250"/>
      <c r="AG162" s="251"/>
      <c r="AH162" s="252"/>
      <c r="AI162" s="241"/>
      <c r="AJ162" s="241"/>
      <c r="AK162" s="241"/>
      <c r="AL162" s="194"/>
      <c r="AM162" s="195"/>
      <c r="AN162" s="195"/>
    </row>
    <row r="163" spans="2:40">
      <c r="B163" s="253">
        <f t="shared" si="2"/>
        <v>155</v>
      </c>
      <c r="C163" s="244"/>
      <c r="D163" s="661"/>
      <c r="E163" s="466"/>
      <c r="F163" s="615"/>
      <c r="G163" s="3271"/>
      <c r="H163" s="230"/>
      <c r="I163" s="230"/>
      <c r="J163" s="230"/>
      <c r="K163" s="230"/>
      <c r="L163" s="230"/>
      <c r="M163" s="228"/>
      <c r="N163" s="257"/>
      <c r="O163" s="228"/>
      <c r="P163" s="228"/>
      <c r="Q163" s="258"/>
      <c r="R163" s="2577"/>
      <c r="S163" s="2577"/>
      <c r="T163" s="254"/>
      <c r="U163" s="228"/>
      <c r="V163" s="2552"/>
      <c r="W163" s="256"/>
      <c r="X163" s="248"/>
      <c r="Y163" s="248"/>
      <c r="Z163" s="248"/>
      <c r="AA163" s="247"/>
      <c r="AB163" s="248"/>
      <c r="AC163" s="248"/>
      <c r="AD163" s="194"/>
      <c r="AE163" s="249"/>
      <c r="AF163" s="250"/>
      <c r="AG163" s="251"/>
      <c r="AH163" s="252"/>
      <c r="AI163" s="241"/>
      <c r="AJ163" s="241"/>
      <c r="AK163" s="241"/>
      <c r="AL163" s="194"/>
      <c r="AM163" s="195"/>
      <c r="AN163" s="195"/>
    </row>
    <row r="164" spans="2:40">
      <c r="B164" s="253">
        <f t="shared" si="2"/>
        <v>156</v>
      </c>
      <c r="C164" s="244"/>
      <c r="D164" s="661"/>
      <c r="E164" s="466"/>
      <c r="F164" s="615"/>
      <c r="G164" s="3271"/>
      <c r="H164" s="230"/>
      <c r="I164" s="230"/>
      <c r="J164" s="230"/>
      <c r="K164" s="230"/>
      <c r="L164" s="230"/>
      <c r="M164" s="228"/>
      <c r="N164" s="257"/>
      <c r="O164" s="228"/>
      <c r="P164" s="228"/>
      <c r="Q164" s="258"/>
      <c r="R164" s="2577"/>
      <c r="S164" s="2577"/>
      <c r="T164" s="254"/>
      <c r="U164" s="228"/>
      <c r="V164" s="2552"/>
      <c r="W164" s="256"/>
      <c r="X164" s="248"/>
      <c r="Y164" s="248"/>
      <c r="Z164" s="248"/>
      <c r="AA164" s="247"/>
      <c r="AB164" s="248"/>
      <c r="AC164" s="248"/>
      <c r="AD164" s="194"/>
      <c r="AE164" s="249"/>
      <c r="AF164" s="250"/>
      <c r="AG164" s="251"/>
      <c r="AH164" s="252"/>
      <c r="AI164" s="241"/>
      <c r="AJ164" s="241"/>
      <c r="AK164" s="241"/>
      <c r="AL164" s="194"/>
      <c r="AM164" s="195"/>
      <c r="AN164" s="195"/>
    </row>
    <row r="165" spans="2:40">
      <c r="B165" s="253">
        <f t="shared" si="2"/>
        <v>157</v>
      </c>
      <c r="C165" s="244"/>
      <c r="D165" s="661"/>
      <c r="E165" s="466"/>
      <c r="F165" s="615"/>
      <c r="G165" s="3271"/>
      <c r="H165" s="230"/>
      <c r="I165" s="230"/>
      <c r="J165" s="230"/>
      <c r="K165" s="230"/>
      <c r="L165" s="230"/>
      <c r="M165" s="228"/>
      <c r="N165" s="257"/>
      <c r="O165" s="228"/>
      <c r="P165" s="228"/>
      <c r="Q165" s="258"/>
      <c r="R165" s="2577"/>
      <c r="S165" s="2577"/>
      <c r="T165" s="254"/>
      <c r="U165" s="228"/>
      <c r="V165" s="2552"/>
      <c r="W165" s="256"/>
      <c r="X165" s="248"/>
      <c r="Y165" s="248"/>
      <c r="Z165" s="248"/>
      <c r="AA165" s="247"/>
      <c r="AB165" s="248"/>
      <c r="AC165" s="248"/>
      <c r="AD165" s="194"/>
      <c r="AE165" s="249"/>
      <c r="AF165" s="250"/>
      <c r="AG165" s="251"/>
      <c r="AH165" s="252"/>
      <c r="AI165" s="241"/>
      <c r="AJ165" s="241"/>
      <c r="AK165" s="241"/>
      <c r="AL165" s="194"/>
      <c r="AM165" s="195"/>
      <c r="AN165" s="195"/>
    </row>
    <row r="166" spans="2:40">
      <c r="B166" s="253">
        <f t="shared" si="2"/>
        <v>158</v>
      </c>
      <c r="C166" s="244"/>
      <c r="D166" s="661"/>
      <c r="E166" s="466"/>
      <c r="F166" s="615"/>
      <c r="G166" s="3271"/>
      <c r="H166" s="230"/>
      <c r="I166" s="230"/>
      <c r="J166" s="230"/>
      <c r="K166" s="230"/>
      <c r="L166" s="230"/>
      <c r="M166" s="228"/>
      <c r="N166" s="257"/>
      <c r="O166" s="228"/>
      <c r="P166" s="228"/>
      <c r="Q166" s="258"/>
      <c r="R166" s="2577"/>
      <c r="S166" s="2577"/>
      <c r="T166" s="254"/>
      <c r="U166" s="228"/>
      <c r="V166" s="2552"/>
      <c r="W166" s="256"/>
      <c r="X166" s="248"/>
      <c r="Y166" s="248"/>
      <c r="Z166" s="248"/>
      <c r="AA166" s="247"/>
      <c r="AB166" s="248"/>
      <c r="AC166" s="248"/>
      <c r="AD166" s="194"/>
      <c r="AE166" s="249"/>
      <c r="AF166" s="250"/>
      <c r="AG166" s="251"/>
      <c r="AH166" s="252"/>
      <c r="AI166" s="241"/>
      <c r="AJ166" s="241"/>
      <c r="AK166" s="241"/>
      <c r="AL166" s="194"/>
      <c r="AM166" s="195"/>
      <c r="AN166" s="195"/>
    </row>
    <row r="167" spans="2:40">
      <c r="B167" s="253">
        <f t="shared" si="2"/>
        <v>159</v>
      </c>
      <c r="C167" s="244"/>
      <c r="D167" s="661"/>
      <c r="E167" s="466"/>
      <c r="F167" s="615"/>
      <c r="G167" s="3271"/>
      <c r="H167" s="230"/>
      <c r="I167" s="230"/>
      <c r="J167" s="230"/>
      <c r="K167" s="230"/>
      <c r="L167" s="230"/>
      <c r="M167" s="228"/>
      <c r="N167" s="257"/>
      <c r="O167" s="228"/>
      <c r="P167" s="228"/>
      <c r="Q167" s="258"/>
      <c r="R167" s="2577"/>
      <c r="S167" s="2577"/>
      <c r="T167" s="254"/>
      <c r="U167" s="228"/>
      <c r="V167" s="2552"/>
      <c r="W167" s="256"/>
      <c r="X167" s="248"/>
      <c r="Y167" s="248"/>
      <c r="Z167" s="248"/>
      <c r="AA167" s="247"/>
      <c r="AB167" s="248"/>
      <c r="AC167" s="248"/>
      <c r="AD167" s="194"/>
      <c r="AE167" s="249"/>
      <c r="AF167" s="250"/>
      <c r="AG167" s="251"/>
      <c r="AH167" s="252"/>
      <c r="AI167" s="241"/>
      <c r="AJ167" s="241"/>
      <c r="AK167" s="241"/>
      <c r="AL167" s="194"/>
      <c r="AM167" s="195"/>
      <c r="AN167" s="195"/>
    </row>
    <row r="168" spans="2:40">
      <c r="B168" s="253">
        <f t="shared" si="2"/>
        <v>160</v>
      </c>
      <c r="C168" s="244"/>
      <c r="D168" s="661"/>
      <c r="E168" s="466"/>
      <c r="F168" s="615"/>
      <c r="G168" s="3271"/>
      <c r="H168" s="230"/>
      <c r="I168" s="230"/>
      <c r="J168" s="230"/>
      <c r="K168" s="230"/>
      <c r="L168" s="230"/>
      <c r="M168" s="228"/>
      <c r="N168" s="257"/>
      <c r="O168" s="228"/>
      <c r="P168" s="228"/>
      <c r="Q168" s="258"/>
      <c r="R168" s="2577"/>
      <c r="S168" s="2577"/>
      <c r="T168" s="254"/>
      <c r="U168" s="228"/>
      <c r="V168" s="2552"/>
      <c r="W168" s="256"/>
      <c r="X168" s="248"/>
      <c r="Y168" s="248"/>
      <c r="Z168" s="248"/>
      <c r="AA168" s="247"/>
      <c r="AB168" s="248"/>
      <c r="AC168" s="248"/>
      <c r="AD168" s="194"/>
      <c r="AE168" s="249"/>
      <c r="AF168" s="250"/>
      <c r="AG168" s="251"/>
      <c r="AH168" s="252"/>
      <c r="AI168" s="241"/>
      <c r="AJ168" s="241"/>
      <c r="AK168" s="241"/>
      <c r="AL168" s="194"/>
      <c r="AM168" s="195"/>
      <c r="AN168" s="195"/>
    </row>
    <row r="169" spans="2:40">
      <c r="B169" s="253">
        <f t="shared" si="2"/>
        <v>161</v>
      </c>
      <c r="C169" s="244"/>
      <c r="D169" s="661"/>
      <c r="E169" s="466"/>
      <c r="F169" s="615"/>
      <c r="G169" s="3271"/>
      <c r="H169" s="230"/>
      <c r="I169" s="230"/>
      <c r="J169" s="230"/>
      <c r="K169" s="230"/>
      <c r="L169" s="230"/>
      <c r="M169" s="228"/>
      <c r="N169" s="257"/>
      <c r="O169" s="228"/>
      <c r="P169" s="228"/>
      <c r="Q169" s="258"/>
      <c r="R169" s="2577"/>
      <c r="S169" s="2577"/>
      <c r="T169" s="254"/>
      <c r="U169" s="228"/>
      <c r="V169" s="2552"/>
      <c r="W169" s="256"/>
      <c r="X169" s="248"/>
      <c r="Y169" s="248"/>
      <c r="Z169" s="248"/>
      <c r="AA169" s="247"/>
      <c r="AB169" s="248"/>
      <c r="AC169" s="248"/>
      <c r="AD169" s="194"/>
      <c r="AE169" s="249"/>
      <c r="AF169" s="250"/>
      <c r="AG169" s="251"/>
      <c r="AH169" s="252"/>
      <c r="AI169" s="241"/>
      <c r="AJ169" s="241"/>
      <c r="AK169" s="241"/>
      <c r="AL169" s="194"/>
      <c r="AM169" s="195"/>
      <c r="AN169" s="195"/>
    </row>
    <row r="170" spans="2:40">
      <c r="B170" s="253">
        <f t="shared" si="2"/>
        <v>162</v>
      </c>
      <c r="C170" s="244"/>
      <c r="D170" s="661"/>
      <c r="E170" s="466"/>
      <c r="F170" s="615"/>
      <c r="G170" s="3271"/>
      <c r="H170" s="230"/>
      <c r="I170" s="230"/>
      <c r="J170" s="230"/>
      <c r="K170" s="230"/>
      <c r="L170" s="230"/>
      <c r="M170" s="228"/>
      <c r="N170" s="257"/>
      <c r="O170" s="228"/>
      <c r="P170" s="228"/>
      <c r="Q170" s="258"/>
      <c r="R170" s="2577"/>
      <c r="S170" s="2577"/>
      <c r="T170" s="254"/>
      <c r="U170" s="228"/>
      <c r="V170" s="2552"/>
      <c r="W170" s="256"/>
      <c r="X170" s="248"/>
      <c r="Y170" s="248"/>
      <c r="Z170" s="248"/>
      <c r="AA170" s="247"/>
      <c r="AB170" s="248"/>
      <c r="AC170" s="248"/>
      <c r="AD170" s="194"/>
      <c r="AE170" s="249"/>
      <c r="AF170" s="250"/>
      <c r="AG170" s="251"/>
      <c r="AH170" s="252"/>
      <c r="AI170" s="241"/>
      <c r="AJ170" s="241"/>
      <c r="AK170" s="241"/>
      <c r="AL170" s="194"/>
      <c r="AM170" s="195"/>
      <c r="AN170" s="195"/>
    </row>
    <row r="171" spans="2:40">
      <c r="B171" s="253">
        <f t="shared" si="2"/>
        <v>163</v>
      </c>
      <c r="C171" s="244"/>
      <c r="D171" s="661"/>
      <c r="E171" s="466"/>
      <c r="F171" s="615"/>
      <c r="G171" s="3271"/>
      <c r="H171" s="230"/>
      <c r="I171" s="230"/>
      <c r="J171" s="230"/>
      <c r="K171" s="230"/>
      <c r="L171" s="230"/>
      <c r="M171" s="228"/>
      <c r="N171" s="257"/>
      <c r="O171" s="228"/>
      <c r="P171" s="228"/>
      <c r="Q171" s="258"/>
      <c r="R171" s="2577"/>
      <c r="S171" s="2577"/>
      <c r="T171" s="254"/>
      <c r="U171" s="228"/>
      <c r="V171" s="2552"/>
      <c r="W171" s="256"/>
      <c r="X171" s="248"/>
      <c r="Y171" s="248"/>
      <c r="Z171" s="248"/>
      <c r="AA171" s="247"/>
      <c r="AB171" s="248"/>
      <c r="AC171" s="248"/>
      <c r="AD171" s="194"/>
      <c r="AE171" s="249"/>
      <c r="AF171" s="250"/>
      <c r="AG171" s="251"/>
      <c r="AH171" s="252"/>
      <c r="AI171" s="241"/>
      <c r="AJ171" s="241"/>
      <c r="AK171" s="241"/>
      <c r="AL171" s="194"/>
      <c r="AM171" s="195"/>
      <c r="AN171" s="195"/>
    </row>
    <row r="172" spans="2:40">
      <c r="B172" s="253">
        <f t="shared" si="2"/>
        <v>164</v>
      </c>
      <c r="C172" s="244"/>
      <c r="D172" s="661"/>
      <c r="E172" s="466"/>
      <c r="F172" s="615"/>
      <c r="G172" s="3271"/>
      <c r="H172" s="230"/>
      <c r="I172" s="230"/>
      <c r="J172" s="230"/>
      <c r="K172" s="230"/>
      <c r="L172" s="230"/>
      <c r="M172" s="228"/>
      <c r="N172" s="257"/>
      <c r="O172" s="228"/>
      <c r="P172" s="228"/>
      <c r="Q172" s="258"/>
      <c r="R172" s="2577"/>
      <c r="S172" s="2577"/>
      <c r="T172" s="254"/>
      <c r="U172" s="228"/>
      <c r="V172" s="2552"/>
      <c r="W172" s="256"/>
      <c r="X172" s="248"/>
      <c r="Y172" s="248"/>
      <c r="Z172" s="248"/>
      <c r="AA172" s="247"/>
      <c r="AB172" s="248"/>
      <c r="AC172" s="248"/>
      <c r="AD172" s="194"/>
      <c r="AE172" s="249"/>
      <c r="AF172" s="250"/>
      <c r="AG172" s="251"/>
      <c r="AH172" s="252"/>
      <c r="AI172" s="241"/>
      <c r="AJ172" s="241"/>
      <c r="AK172" s="241"/>
      <c r="AL172" s="194"/>
      <c r="AM172" s="195"/>
      <c r="AN172" s="195"/>
    </row>
    <row r="173" spans="2:40">
      <c r="B173" s="253">
        <f t="shared" si="2"/>
        <v>165</v>
      </c>
      <c r="C173" s="244"/>
      <c r="D173" s="661"/>
      <c r="E173" s="466"/>
      <c r="F173" s="615"/>
      <c r="G173" s="3271"/>
      <c r="H173" s="230"/>
      <c r="I173" s="230"/>
      <c r="J173" s="230"/>
      <c r="K173" s="230"/>
      <c r="L173" s="230"/>
      <c r="M173" s="228"/>
      <c r="N173" s="257"/>
      <c r="O173" s="228"/>
      <c r="P173" s="228"/>
      <c r="Q173" s="258"/>
      <c r="R173" s="2577"/>
      <c r="S173" s="2577"/>
      <c r="T173" s="254"/>
      <c r="U173" s="228"/>
      <c r="V173" s="2552"/>
      <c r="W173" s="256"/>
      <c r="X173" s="248"/>
      <c r="Y173" s="248"/>
      <c r="Z173" s="248"/>
      <c r="AA173" s="247"/>
      <c r="AB173" s="248"/>
      <c r="AC173" s="248"/>
      <c r="AD173" s="194"/>
      <c r="AE173" s="249"/>
      <c r="AF173" s="250"/>
      <c r="AG173" s="251"/>
      <c r="AH173" s="252"/>
      <c r="AI173" s="241"/>
      <c r="AJ173" s="241"/>
      <c r="AK173" s="241"/>
      <c r="AL173" s="194"/>
      <c r="AM173" s="195"/>
      <c r="AN173" s="195"/>
    </row>
    <row r="174" spans="2:40">
      <c r="B174" s="253">
        <f t="shared" si="2"/>
        <v>166</v>
      </c>
      <c r="C174" s="244"/>
      <c r="D174" s="661"/>
      <c r="E174" s="466"/>
      <c r="F174" s="615"/>
      <c r="G174" s="3271"/>
      <c r="H174" s="230"/>
      <c r="I174" s="230"/>
      <c r="J174" s="230"/>
      <c r="K174" s="230"/>
      <c r="L174" s="230"/>
      <c r="M174" s="228"/>
      <c r="N174" s="257"/>
      <c r="O174" s="228"/>
      <c r="P174" s="228"/>
      <c r="Q174" s="258"/>
      <c r="R174" s="2577"/>
      <c r="S174" s="2577"/>
      <c r="T174" s="254"/>
      <c r="U174" s="228"/>
      <c r="V174" s="2552"/>
      <c r="W174" s="256"/>
      <c r="X174" s="248"/>
      <c r="Y174" s="248"/>
      <c r="Z174" s="248"/>
      <c r="AA174" s="247"/>
      <c r="AB174" s="248"/>
      <c r="AC174" s="248"/>
      <c r="AD174" s="194"/>
      <c r="AE174" s="249"/>
      <c r="AF174" s="250"/>
      <c r="AG174" s="251"/>
      <c r="AH174" s="252"/>
      <c r="AI174" s="241"/>
      <c r="AJ174" s="241"/>
      <c r="AK174" s="241"/>
      <c r="AL174" s="194"/>
      <c r="AM174" s="195"/>
      <c r="AN174" s="195"/>
    </row>
    <row r="175" spans="2:40">
      <c r="B175" s="253">
        <f t="shared" si="2"/>
        <v>167</v>
      </c>
      <c r="C175" s="244"/>
      <c r="D175" s="661"/>
      <c r="E175" s="466"/>
      <c r="F175" s="615"/>
      <c r="G175" s="3271"/>
      <c r="H175" s="230"/>
      <c r="I175" s="230"/>
      <c r="J175" s="230"/>
      <c r="K175" s="230"/>
      <c r="L175" s="230"/>
      <c r="M175" s="228"/>
      <c r="N175" s="257"/>
      <c r="O175" s="228"/>
      <c r="P175" s="228"/>
      <c r="Q175" s="258"/>
      <c r="R175" s="2577"/>
      <c r="S175" s="2577"/>
      <c r="T175" s="254"/>
      <c r="U175" s="228"/>
      <c r="V175" s="2552"/>
      <c r="W175" s="256"/>
      <c r="X175" s="248"/>
      <c r="Y175" s="248"/>
      <c r="Z175" s="248"/>
      <c r="AA175" s="247"/>
      <c r="AB175" s="248"/>
      <c r="AC175" s="248"/>
      <c r="AD175" s="194"/>
      <c r="AE175" s="249"/>
      <c r="AF175" s="250"/>
      <c r="AG175" s="251"/>
      <c r="AH175" s="252"/>
      <c r="AI175" s="241"/>
      <c r="AJ175" s="241"/>
      <c r="AK175" s="241"/>
      <c r="AL175" s="194"/>
      <c r="AM175" s="195"/>
      <c r="AN175" s="195"/>
    </row>
    <row r="176" spans="2:40">
      <c r="B176" s="253">
        <f t="shared" si="2"/>
        <v>168</v>
      </c>
      <c r="C176" s="244"/>
      <c r="D176" s="661"/>
      <c r="E176" s="466"/>
      <c r="F176" s="615"/>
      <c r="G176" s="3271"/>
      <c r="H176" s="230"/>
      <c r="I176" s="230"/>
      <c r="J176" s="230"/>
      <c r="K176" s="230"/>
      <c r="L176" s="230"/>
      <c r="M176" s="228"/>
      <c r="N176" s="257"/>
      <c r="O176" s="228"/>
      <c r="P176" s="228"/>
      <c r="Q176" s="258"/>
      <c r="R176" s="2577"/>
      <c r="S176" s="2577"/>
      <c r="T176" s="254"/>
      <c r="U176" s="228"/>
      <c r="V176" s="2552"/>
      <c r="W176" s="256"/>
      <c r="X176" s="248"/>
      <c r="Y176" s="248"/>
      <c r="Z176" s="248"/>
      <c r="AA176" s="247"/>
      <c r="AB176" s="248"/>
      <c r="AC176" s="248"/>
      <c r="AD176" s="194"/>
      <c r="AE176" s="249"/>
      <c r="AF176" s="250"/>
      <c r="AG176" s="251"/>
      <c r="AH176" s="252"/>
      <c r="AI176" s="241"/>
      <c r="AJ176" s="241"/>
      <c r="AK176" s="241"/>
      <c r="AL176" s="194"/>
      <c r="AM176" s="195"/>
      <c r="AN176" s="195"/>
    </row>
    <row r="177" spans="2:40">
      <c r="B177" s="253">
        <f t="shared" si="2"/>
        <v>169</v>
      </c>
      <c r="C177" s="244"/>
      <c r="D177" s="661"/>
      <c r="E177" s="466"/>
      <c r="F177" s="615"/>
      <c r="G177" s="3271"/>
      <c r="H177" s="230"/>
      <c r="I177" s="230"/>
      <c r="J177" s="230"/>
      <c r="K177" s="230"/>
      <c r="L177" s="230"/>
      <c r="M177" s="228"/>
      <c r="N177" s="257"/>
      <c r="O177" s="228"/>
      <c r="P177" s="228"/>
      <c r="Q177" s="258"/>
      <c r="R177" s="2577"/>
      <c r="S177" s="2577"/>
      <c r="T177" s="254"/>
      <c r="U177" s="228"/>
      <c r="V177" s="2552"/>
      <c r="W177" s="256"/>
      <c r="X177" s="248"/>
      <c r="Y177" s="248"/>
      <c r="Z177" s="248"/>
      <c r="AA177" s="247"/>
      <c r="AB177" s="248"/>
      <c r="AC177" s="248"/>
      <c r="AD177" s="194"/>
      <c r="AE177" s="249"/>
      <c r="AF177" s="250"/>
      <c r="AG177" s="251"/>
      <c r="AH177" s="252"/>
      <c r="AI177" s="241"/>
      <c r="AJ177" s="241"/>
      <c r="AK177" s="241"/>
      <c r="AL177" s="194"/>
      <c r="AM177" s="195"/>
      <c r="AN177" s="195"/>
    </row>
    <row r="178" spans="2:40">
      <c r="B178" s="253">
        <f t="shared" si="2"/>
        <v>170</v>
      </c>
      <c r="C178" s="244"/>
      <c r="D178" s="661"/>
      <c r="E178" s="466"/>
      <c r="F178" s="615"/>
      <c r="G178" s="3271"/>
      <c r="H178" s="230"/>
      <c r="I178" s="230"/>
      <c r="J178" s="230"/>
      <c r="K178" s="230"/>
      <c r="L178" s="230"/>
      <c r="M178" s="228"/>
      <c r="N178" s="257"/>
      <c r="O178" s="228"/>
      <c r="P178" s="228"/>
      <c r="Q178" s="258"/>
      <c r="R178" s="2577"/>
      <c r="S178" s="2577"/>
      <c r="T178" s="254"/>
      <c r="U178" s="228"/>
      <c r="V178" s="2552"/>
      <c r="W178" s="256"/>
      <c r="X178" s="248"/>
      <c r="Y178" s="248"/>
      <c r="Z178" s="248"/>
      <c r="AA178" s="247"/>
      <c r="AB178" s="248"/>
      <c r="AC178" s="248"/>
      <c r="AD178" s="194"/>
      <c r="AE178" s="249"/>
      <c r="AF178" s="250"/>
      <c r="AG178" s="251"/>
      <c r="AH178" s="252"/>
      <c r="AI178" s="241"/>
      <c r="AJ178" s="241"/>
      <c r="AK178" s="241"/>
      <c r="AL178" s="194"/>
      <c r="AM178" s="195"/>
      <c r="AN178" s="195"/>
    </row>
    <row r="179" spans="2:40">
      <c r="B179" s="253">
        <f t="shared" si="2"/>
        <v>171</v>
      </c>
      <c r="C179" s="244"/>
      <c r="D179" s="661"/>
      <c r="E179" s="466"/>
      <c r="F179" s="615"/>
      <c r="G179" s="3271"/>
      <c r="H179" s="230"/>
      <c r="I179" s="230"/>
      <c r="J179" s="230"/>
      <c r="K179" s="230"/>
      <c r="L179" s="230"/>
      <c r="M179" s="228"/>
      <c r="N179" s="257"/>
      <c r="O179" s="228"/>
      <c r="P179" s="228"/>
      <c r="Q179" s="258"/>
      <c r="R179" s="2577"/>
      <c r="S179" s="2577"/>
      <c r="T179" s="254"/>
      <c r="U179" s="228"/>
      <c r="V179" s="2552"/>
      <c r="W179" s="256"/>
      <c r="X179" s="248"/>
      <c r="Y179" s="248"/>
      <c r="Z179" s="248"/>
      <c r="AA179" s="247"/>
      <c r="AB179" s="248"/>
      <c r="AC179" s="248"/>
      <c r="AD179" s="194"/>
      <c r="AE179" s="249"/>
      <c r="AF179" s="250"/>
      <c r="AG179" s="251"/>
      <c r="AH179" s="252"/>
      <c r="AI179" s="241"/>
      <c r="AJ179" s="241"/>
      <c r="AK179" s="241"/>
      <c r="AL179" s="194"/>
      <c r="AM179" s="195"/>
      <c r="AN179" s="195"/>
    </row>
    <row r="180" spans="2:40">
      <c r="B180" s="253">
        <f t="shared" ref="B180:B243" si="3">+B179+1</f>
        <v>172</v>
      </c>
      <c r="C180" s="244"/>
      <c r="D180" s="661"/>
      <c r="E180" s="466"/>
      <c r="F180" s="615"/>
      <c r="G180" s="3271"/>
      <c r="H180" s="230"/>
      <c r="I180" s="230"/>
      <c r="J180" s="230"/>
      <c r="K180" s="230"/>
      <c r="L180" s="230"/>
      <c r="M180" s="228"/>
      <c r="N180" s="257"/>
      <c r="O180" s="228"/>
      <c r="P180" s="228"/>
      <c r="Q180" s="258"/>
      <c r="R180" s="2577"/>
      <c r="S180" s="2577"/>
      <c r="T180" s="254"/>
      <c r="U180" s="228"/>
      <c r="V180" s="2552"/>
      <c r="W180" s="256"/>
      <c r="X180" s="248"/>
      <c r="Y180" s="248"/>
      <c r="Z180" s="248"/>
      <c r="AA180" s="247"/>
      <c r="AB180" s="248"/>
      <c r="AC180" s="248"/>
      <c r="AD180" s="194"/>
      <c r="AE180" s="249"/>
      <c r="AF180" s="250"/>
      <c r="AG180" s="251"/>
      <c r="AH180" s="252"/>
      <c r="AI180" s="241"/>
      <c r="AJ180" s="241"/>
      <c r="AK180" s="241"/>
      <c r="AL180" s="194"/>
      <c r="AM180" s="195"/>
      <c r="AN180" s="195"/>
    </row>
    <row r="181" spans="2:40">
      <c r="B181" s="253">
        <f t="shared" si="3"/>
        <v>173</v>
      </c>
      <c r="C181" s="244"/>
      <c r="D181" s="661"/>
      <c r="E181" s="466"/>
      <c r="F181" s="615"/>
      <c r="G181" s="3271"/>
      <c r="H181" s="230"/>
      <c r="I181" s="230"/>
      <c r="J181" s="230"/>
      <c r="K181" s="230"/>
      <c r="L181" s="230"/>
      <c r="M181" s="228"/>
      <c r="N181" s="257"/>
      <c r="O181" s="228"/>
      <c r="P181" s="228"/>
      <c r="Q181" s="258"/>
      <c r="R181" s="2577"/>
      <c r="S181" s="2577"/>
      <c r="T181" s="254"/>
      <c r="U181" s="228"/>
      <c r="V181" s="2552"/>
      <c r="W181" s="256"/>
      <c r="X181" s="248"/>
      <c r="Y181" s="248"/>
      <c r="Z181" s="248"/>
      <c r="AA181" s="247"/>
      <c r="AB181" s="248"/>
      <c r="AC181" s="248"/>
      <c r="AD181" s="194"/>
      <c r="AE181" s="249"/>
      <c r="AF181" s="250"/>
      <c r="AG181" s="251"/>
      <c r="AH181" s="252"/>
      <c r="AI181" s="241"/>
      <c r="AJ181" s="241"/>
      <c r="AK181" s="241"/>
      <c r="AL181" s="194"/>
      <c r="AM181" s="195"/>
      <c r="AN181" s="195"/>
    </row>
    <row r="182" spans="2:40">
      <c r="B182" s="253">
        <f t="shared" si="3"/>
        <v>174</v>
      </c>
      <c r="C182" s="244"/>
      <c r="D182" s="661"/>
      <c r="E182" s="466"/>
      <c r="F182" s="615"/>
      <c r="G182" s="3271"/>
      <c r="H182" s="230"/>
      <c r="I182" s="230"/>
      <c r="J182" s="230"/>
      <c r="K182" s="230"/>
      <c r="L182" s="230"/>
      <c r="M182" s="228"/>
      <c r="N182" s="257"/>
      <c r="O182" s="228"/>
      <c r="P182" s="228"/>
      <c r="Q182" s="258"/>
      <c r="R182" s="2577"/>
      <c r="S182" s="2577"/>
      <c r="T182" s="254"/>
      <c r="U182" s="228"/>
      <c r="V182" s="2552"/>
      <c r="W182" s="256"/>
      <c r="X182" s="248"/>
      <c r="Y182" s="248"/>
      <c r="Z182" s="248"/>
      <c r="AA182" s="247"/>
      <c r="AB182" s="248"/>
      <c r="AC182" s="248"/>
      <c r="AD182" s="194"/>
      <c r="AE182" s="249"/>
      <c r="AF182" s="250"/>
      <c r="AG182" s="251"/>
      <c r="AH182" s="252"/>
      <c r="AI182" s="241"/>
      <c r="AJ182" s="241"/>
      <c r="AK182" s="241"/>
      <c r="AL182" s="194"/>
      <c r="AM182" s="195"/>
      <c r="AN182" s="195"/>
    </row>
    <row r="183" spans="2:40">
      <c r="B183" s="253">
        <f t="shared" si="3"/>
        <v>175</v>
      </c>
      <c r="C183" s="244"/>
      <c r="D183" s="661"/>
      <c r="E183" s="466"/>
      <c r="F183" s="615"/>
      <c r="G183" s="3271"/>
      <c r="H183" s="230"/>
      <c r="I183" s="230"/>
      <c r="J183" s="230"/>
      <c r="K183" s="230"/>
      <c r="L183" s="230"/>
      <c r="M183" s="228"/>
      <c r="N183" s="257"/>
      <c r="O183" s="228"/>
      <c r="P183" s="228"/>
      <c r="Q183" s="258"/>
      <c r="R183" s="2577"/>
      <c r="S183" s="2577"/>
      <c r="T183" s="254"/>
      <c r="U183" s="228"/>
      <c r="V183" s="2552"/>
      <c r="W183" s="256"/>
      <c r="X183" s="248"/>
      <c r="Y183" s="248"/>
      <c r="Z183" s="248"/>
      <c r="AA183" s="247"/>
      <c r="AB183" s="248"/>
      <c r="AC183" s="248"/>
      <c r="AD183" s="194"/>
      <c r="AE183" s="249"/>
      <c r="AF183" s="250"/>
      <c r="AG183" s="251"/>
      <c r="AH183" s="252"/>
      <c r="AI183" s="241"/>
      <c r="AJ183" s="241"/>
      <c r="AK183" s="241"/>
      <c r="AL183" s="194"/>
      <c r="AM183" s="195"/>
      <c r="AN183" s="195"/>
    </row>
    <row r="184" spans="2:40">
      <c r="B184" s="253">
        <f t="shared" si="3"/>
        <v>176</v>
      </c>
      <c r="C184" s="244"/>
      <c r="D184" s="661"/>
      <c r="E184" s="466"/>
      <c r="F184" s="615"/>
      <c r="G184" s="3271"/>
      <c r="H184" s="230"/>
      <c r="I184" s="230"/>
      <c r="J184" s="230"/>
      <c r="K184" s="230"/>
      <c r="L184" s="230"/>
      <c r="M184" s="228"/>
      <c r="N184" s="257"/>
      <c r="O184" s="228"/>
      <c r="P184" s="228"/>
      <c r="Q184" s="258"/>
      <c r="R184" s="2577"/>
      <c r="S184" s="2577"/>
      <c r="T184" s="254"/>
      <c r="U184" s="228"/>
      <c r="V184" s="2552"/>
      <c r="W184" s="256"/>
      <c r="X184" s="248"/>
      <c r="Y184" s="248"/>
      <c r="Z184" s="248"/>
      <c r="AA184" s="247"/>
      <c r="AB184" s="248"/>
      <c r="AC184" s="248"/>
      <c r="AD184" s="194"/>
      <c r="AE184" s="249"/>
      <c r="AF184" s="250"/>
      <c r="AG184" s="251"/>
      <c r="AH184" s="252"/>
      <c r="AI184" s="241"/>
      <c r="AJ184" s="241"/>
      <c r="AK184" s="241"/>
      <c r="AL184" s="194"/>
      <c r="AM184" s="195"/>
      <c r="AN184" s="195"/>
    </row>
    <row r="185" spans="2:40">
      <c r="B185" s="253">
        <f t="shared" si="3"/>
        <v>177</v>
      </c>
      <c r="C185" s="244"/>
      <c r="D185" s="661"/>
      <c r="E185" s="466"/>
      <c r="F185" s="615"/>
      <c r="G185" s="3271"/>
      <c r="H185" s="230"/>
      <c r="I185" s="230"/>
      <c r="J185" s="230"/>
      <c r="K185" s="230"/>
      <c r="L185" s="230"/>
      <c r="M185" s="228"/>
      <c r="N185" s="257"/>
      <c r="O185" s="228"/>
      <c r="P185" s="228"/>
      <c r="Q185" s="258"/>
      <c r="R185" s="2577"/>
      <c r="S185" s="2577"/>
      <c r="T185" s="254"/>
      <c r="U185" s="228"/>
      <c r="V185" s="2552"/>
      <c r="W185" s="256"/>
      <c r="X185" s="248"/>
      <c r="Y185" s="248"/>
      <c r="Z185" s="248"/>
      <c r="AA185" s="247"/>
      <c r="AB185" s="248"/>
      <c r="AC185" s="248"/>
      <c r="AD185" s="194"/>
      <c r="AE185" s="249"/>
      <c r="AF185" s="250"/>
      <c r="AG185" s="251"/>
      <c r="AH185" s="252"/>
      <c r="AI185" s="241"/>
      <c r="AJ185" s="241"/>
      <c r="AK185" s="241"/>
      <c r="AL185" s="194"/>
      <c r="AM185" s="195"/>
      <c r="AN185" s="195"/>
    </row>
    <row r="186" spans="2:40">
      <c r="B186" s="253">
        <f t="shared" si="3"/>
        <v>178</v>
      </c>
      <c r="C186" s="244"/>
      <c r="D186" s="661"/>
      <c r="E186" s="466"/>
      <c r="F186" s="615"/>
      <c r="G186" s="3271"/>
      <c r="H186" s="230"/>
      <c r="I186" s="230"/>
      <c r="J186" s="230"/>
      <c r="K186" s="230"/>
      <c r="L186" s="230"/>
      <c r="M186" s="228"/>
      <c r="N186" s="257"/>
      <c r="O186" s="228"/>
      <c r="P186" s="228"/>
      <c r="Q186" s="258"/>
      <c r="R186" s="2577"/>
      <c r="S186" s="2577"/>
      <c r="T186" s="254"/>
      <c r="U186" s="228"/>
      <c r="V186" s="2552"/>
      <c r="W186" s="256"/>
      <c r="X186" s="248"/>
      <c r="Y186" s="248"/>
      <c r="Z186" s="248"/>
      <c r="AA186" s="247"/>
      <c r="AB186" s="248"/>
      <c r="AC186" s="248"/>
      <c r="AD186" s="194"/>
      <c r="AE186" s="249"/>
      <c r="AF186" s="250"/>
      <c r="AG186" s="251"/>
      <c r="AH186" s="252"/>
      <c r="AI186" s="241"/>
      <c r="AJ186" s="241"/>
      <c r="AK186" s="241"/>
      <c r="AL186" s="194"/>
      <c r="AM186" s="195"/>
      <c r="AN186" s="195"/>
    </row>
    <row r="187" spans="2:40">
      <c r="B187" s="253">
        <f t="shared" si="3"/>
        <v>179</v>
      </c>
      <c r="C187" s="244"/>
      <c r="D187" s="661"/>
      <c r="E187" s="466"/>
      <c r="F187" s="615"/>
      <c r="G187" s="3271"/>
      <c r="H187" s="230"/>
      <c r="I187" s="230"/>
      <c r="J187" s="230"/>
      <c r="K187" s="230"/>
      <c r="L187" s="230"/>
      <c r="M187" s="228"/>
      <c r="N187" s="257"/>
      <c r="O187" s="228"/>
      <c r="P187" s="228"/>
      <c r="Q187" s="258"/>
      <c r="R187" s="2577"/>
      <c r="S187" s="2577"/>
      <c r="T187" s="254"/>
      <c r="U187" s="228"/>
      <c r="V187" s="2552"/>
      <c r="W187" s="256"/>
      <c r="X187" s="248"/>
      <c r="Y187" s="248"/>
      <c r="Z187" s="248"/>
      <c r="AA187" s="247"/>
      <c r="AB187" s="248"/>
      <c r="AC187" s="248"/>
      <c r="AD187" s="194"/>
      <c r="AE187" s="249"/>
      <c r="AF187" s="250"/>
      <c r="AG187" s="251"/>
      <c r="AH187" s="252"/>
      <c r="AI187" s="241"/>
      <c r="AJ187" s="241"/>
      <c r="AK187" s="241"/>
      <c r="AL187" s="194"/>
      <c r="AM187" s="195"/>
      <c r="AN187" s="195"/>
    </row>
    <row r="188" spans="2:40">
      <c r="B188" s="253">
        <f t="shared" si="3"/>
        <v>180</v>
      </c>
      <c r="C188" s="244"/>
      <c r="D188" s="661"/>
      <c r="E188" s="466"/>
      <c r="F188" s="615"/>
      <c r="G188" s="3271"/>
      <c r="H188" s="230"/>
      <c r="I188" s="230"/>
      <c r="J188" s="230"/>
      <c r="K188" s="230"/>
      <c r="L188" s="230"/>
      <c r="M188" s="228"/>
      <c r="N188" s="257"/>
      <c r="O188" s="228"/>
      <c r="P188" s="228"/>
      <c r="Q188" s="258"/>
      <c r="R188" s="2577"/>
      <c r="S188" s="2577"/>
      <c r="T188" s="254"/>
      <c r="U188" s="228"/>
      <c r="V188" s="2552"/>
      <c r="W188" s="256"/>
      <c r="X188" s="248"/>
      <c r="Y188" s="248"/>
      <c r="Z188" s="248"/>
      <c r="AA188" s="247"/>
      <c r="AB188" s="248"/>
      <c r="AC188" s="248"/>
      <c r="AD188" s="194"/>
      <c r="AE188" s="249"/>
      <c r="AF188" s="250"/>
      <c r="AG188" s="251"/>
      <c r="AH188" s="252"/>
      <c r="AI188" s="241"/>
      <c r="AJ188" s="241"/>
      <c r="AK188" s="241"/>
      <c r="AL188" s="194"/>
      <c r="AM188" s="195"/>
      <c r="AN188" s="195"/>
    </row>
    <row r="189" spans="2:40">
      <c r="B189" s="253">
        <f t="shared" si="3"/>
        <v>181</v>
      </c>
      <c r="C189" s="244"/>
      <c r="D189" s="661"/>
      <c r="E189" s="466"/>
      <c r="F189" s="615"/>
      <c r="G189" s="3271"/>
      <c r="H189" s="230"/>
      <c r="I189" s="230"/>
      <c r="J189" s="230"/>
      <c r="K189" s="230"/>
      <c r="L189" s="230"/>
      <c r="M189" s="228"/>
      <c r="N189" s="257"/>
      <c r="O189" s="228"/>
      <c r="P189" s="228"/>
      <c r="Q189" s="258"/>
      <c r="R189" s="2577"/>
      <c r="S189" s="2577"/>
      <c r="T189" s="254"/>
      <c r="U189" s="228"/>
      <c r="V189" s="2552"/>
      <c r="W189" s="256"/>
      <c r="X189" s="248"/>
      <c r="Y189" s="248"/>
      <c r="Z189" s="248"/>
      <c r="AA189" s="247"/>
      <c r="AB189" s="248"/>
      <c r="AC189" s="248"/>
      <c r="AD189" s="194"/>
      <c r="AE189" s="249"/>
      <c r="AF189" s="250"/>
      <c r="AG189" s="251"/>
      <c r="AH189" s="252"/>
      <c r="AI189" s="241"/>
      <c r="AJ189" s="241"/>
      <c r="AK189" s="241"/>
      <c r="AL189" s="194"/>
      <c r="AM189" s="195"/>
      <c r="AN189" s="195"/>
    </row>
    <row r="190" spans="2:40">
      <c r="B190" s="253">
        <f t="shared" si="3"/>
        <v>182</v>
      </c>
      <c r="C190" s="244"/>
      <c r="D190" s="661"/>
      <c r="E190" s="466"/>
      <c r="F190" s="615"/>
      <c r="G190" s="3271"/>
      <c r="H190" s="230"/>
      <c r="I190" s="230"/>
      <c r="J190" s="230"/>
      <c r="K190" s="230"/>
      <c r="L190" s="230"/>
      <c r="M190" s="228"/>
      <c r="N190" s="257"/>
      <c r="O190" s="228"/>
      <c r="P190" s="228"/>
      <c r="Q190" s="258"/>
      <c r="R190" s="2577"/>
      <c r="S190" s="2577"/>
      <c r="T190" s="254"/>
      <c r="U190" s="228"/>
      <c r="V190" s="2552"/>
      <c r="W190" s="256"/>
      <c r="X190" s="248"/>
      <c r="Y190" s="248"/>
      <c r="Z190" s="248"/>
      <c r="AA190" s="247"/>
      <c r="AB190" s="248"/>
      <c r="AC190" s="248"/>
      <c r="AD190" s="194"/>
      <c r="AE190" s="249"/>
      <c r="AF190" s="250"/>
      <c r="AG190" s="251"/>
      <c r="AH190" s="252"/>
      <c r="AI190" s="241"/>
      <c r="AJ190" s="241"/>
      <c r="AK190" s="241"/>
      <c r="AL190" s="194"/>
      <c r="AM190" s="195"/>
      <c r="AN190" s="195"/>
    </row>
    <row r="191" spans="2:40">
      <c r="B191" s="253">
        <f t="shared" si="3"/>
        <v>183</v>
      </c>
      <c r="C191" s="244"/>
      <c r="D191" s="661"/>
      <c r="E191" s="466"/>
      <c r="F191" s="615"/>
      <c r="G191" s="3271"/>
      <c r="H191" s="230"/>
      <c r="I191" s="230"/>
      <c r="J191" s="230"/>
      <c r="K191" s="230"/>
      <c r="L191" s="230"/>
      <c r="M191" s="228"/>
      <c r="N191" s="257"/>
      <c r="O191" s="228"/>
      <c r="P191" s="228"/>
      <c r="Q191" s="258"/>
      <c r="R191" s="2577"/>
      <c r="S191" s="2577"/>
      <c r="T191" s="254"/>
      <c r="U191" s="228"/>
      <c r="V191" s="2552"/>
      <c r="W191" s="256"/>
      <c r="X191" s="248"/>
      <c r="Y191" s="248"/>
      <c r="Z191" s="248"/>
      <c r="AA191" s="247"/>
      <c r="AB191" s="248"/>
      <c r="AC191" s="248"/>
      <c r="AD191" s="194"/>
      <c r="AE191" s="249"/>
      <c r="AF191" s="250"/>
      <c r="AG191" s="251"/>
      <c r="AH191" s="252"/>
      <c r="AI191" s="241"/>
      <c r="AJ191" s="241"/>
      <c r="AK191" s="241"/>
      <c r="AL191" s="194"/>
      <c r="AM191" s="195"/>
      <c r="AN191" s="195"/>
    </row>
    <row r="192" spans="2:40">
      <c r="B192" s="253">
        <f t="shared" si="3"/>
        <v>184</v>
      </c>
      <c r="C192" s="244"/>
      <c r="D192" s="661"/>
      <c r="E192" s="466"/>
      <c r="F192" s="615"/>
      <c r="G192" s="3271"/>
      <c r="H192" s="230"/>
      <c r="I192" s="230"/>
      <c r="J192" s="230"/>
      <c r="K192" s="230"/>
      <c r="L192" s="230"/>
      <c r="M192" s="228"/>
      <c r="N192" s="257"/>
      <c r="O192" s="228"/>
      <c r="P192" s="228"/>
      <c r="Q192" s="258"/>
      <c r="R192" s="2577"/>
      <c r="S192" s="2577"/>
      <c r="T192" s="254"/>
      <c r="U192" s="228"/>
      <c r="V192" s="2552"/>
      <c r="W192" s="256"/>
      <c r="X192" s="248"/>
      <c r="Y192" s="248"/>
      <c r="Z192" s="248"/>
      <c r="AA192" s="247"/>
      <c r="AB192" s="248"/>
      <c r="AC192" s="248"/>
      <c r="AD192" s="194"/>
      <c r="AE192" s="249"/>
      <c r="AF192" s="250"/>
      <c r="AG192" s="251"/>
      <c r="AH192" s="252"/>
      <c r="AI192" s="241"/>
      <c r="AJ192" s="241"/>
      <c r="AK192" s="241"/>
      <c r="AL192" s="194"/>
      <c r="AM192" s="195"/>
      <c r="AN192" s="195"/>
    </row>
    <row r="193" spans="2:40">
      <c r="B193" s="253">
        <f t="shared" si="3"/>
        <v>185</v>
      </c>
      <c r="C193" s="244"/>
      <c r="D193" s="661"/>
      <c r="E193" s="466"/>
      <c r="F193" s="615"/>
      <c r="G193" s="3271"/>
      <c r="H193" s="230"/>
      <c r="I193" s="230"/>
      <c r="J193" s="230"/>
      <c r="K193" s="230"/>
      <c r="L193" s="230"/>
      <c r="M193" s="228"/>
      <c r="N193" s="257"/>
      <c r="O193" s="228"/>
      <c r="P193" s="228"/>
      <c r="Q193" s="258"/>
      <c r="R193" s="2577"/>
      <c r="S193" s="2577"/>
      <c r="T193" s="254"/>
      <c r="U193" s="228"/>
      <c r="V193" s="2552"/>
      <c r="W193" s="256"/>
      <c r="X193" s="248"/>
      <c r="Y193" s="248"/>
      <c r="Z193" s="248"/>
      <c r="AA193" s="247"/>
      <c r="AB193" s="248"/>
      <c r="AC193" s="248"/>
      <c r="AD193" s="194"/>
      <c r="AE193" s="249"/>
      <c r="AF193" s="250"/>
      <c r="AG193" s="251"/>
      <c r="AH193" s="252"/>
      <c r="AI193" s="241"/>
      <c r="AJ193" s="241"/>
      <c r="AK193" s="241"/>
      <c r="AL193" s="194"/>
      <c r="AM193" s="195"/>
      <c r="AN193" s="195"/>
    </row>
    <row r="194" spans="2:40">
      <c r="B194" s="253">
        <f t="shared" si="3"/>
        <v>186</v>
      </c>
      <c r="C194" s="244"/>
      <c r="D194" s="661"/>
      <c r="E194" s="466"/>
      <c r="F194" s="615"/>
      <c r="G194" s="3271"/>
      <c r="H194" s="230"/>
      <c r="I194" s="230"/>
      <c r="J194" s="230"/>
      <c r="K194" s="230"/>
      <c r="L194" s="230"/>
      <c r="M194" s="228"/>
      <c r="N194" s="257"/>
      <c r="O194" s="228"/>
      <c r="P194" s="228"/>
      <c r="Q194" s="258"/>
      <c r="R194" s="2577"/>
      <c r="S194" s="2577"/>
      <c r="T194" s="254"/>
      <c r="U194" s="228"/>
      <c r="V194" s="2552"/>
      <c r="W194" s="256"/>
      <c r="X194" s="248"/>
      <c r="Y194" s="248"/>
      <c r="Z194" s="248"/>
      <c r="AA194" s="247"/>
      <c r="AB194" s="248"/>
      <c r="AC194" s="248"/>
      <c r="AD194" s="194"/>
      <c r="AE194" s="249"/>
      <c r="AF194" s="250"/>
      <c r="AG194" s="251"/>
      <c r="AH194" s="252"/>
      <c r="AI194" s="241"/>
      <c r="AJ194" s="241"/>
      <c r="AK194" s="241"/>
      <c r="AL194" s="194"/>
      <c r="AM194" s="195"/>
      <c r="AN194" s="195"/>
    </row>
    <row r="195" spans="2:40">
      <c r="B195" s="253">
        <f t="shared" si="3"/>
        <v>187</v>
      </c>
      <c r="C195" s="244"/>
      <c r="D195" s="661"/>
      <c r="E195" s="466"/>
      <c r="F195" s="615"/>
      <c r="G195" s="3271"/>
      <c r="H195" s="230"/>
      <c r="I195" s="230"/>
      <c r="J195" s="230"/>
      <c r="K195" s="230"/>
      <c r="L195" s="230"/>
      <c r="M195" s="228"/>
      <c r="N195" s="257"/>
      <c r="O195" s="228"/>
      <c r="P195" s="228"/>
      <c r="Q195" s="258"/>
      <c r="R195" s="2577"/>
      <c r="S195" s="2577"/>
      <c r="T195" s="254"/>
      <c r="U195" s="228"/>
      <c r="V195" s="2552"/>
      <c r="W195" s="256"/>
      <c r="X195" s="248"/>
      <c r="Y195" s="248"/>
      <c r="Z195" s="248"/>
      <c r="AA195" s="247"/>
      <c r="AB195" s="248"/>
      <c r="AC195" s="248"/>
      <c r="AD195" s="194"/>
      <c r="AE195" s="249"/>
      <c r="AF195" s="250"/>
      <c r="AG195" s="251"/>
      <c r="AH195" s="252"/>
      <c r="AI195" s="241"/>
      <c r="AJ195" s="241"/>
      <c r="AK195" s="241"/>
      <c r="AL195" s="194"/>
      <c r="AM195" s="195"/>
      <c r="AN195" s="195"/>
    </row>
    <row r="196" spans="2:40">
      <c r="B196" s="253">
        <f t="shared" si="3"/>
        <v>188</v>
      </c>
      <c r="C196" s="244"/>
      <c r="D196" s="661"/>
      <c r="E196" s="466"/>
      <c r="F196" s="615"/>
      <c r="G196" s="3271"/>
      <c r="H196" s="230"/>
      <c r="I196" s="230"/>
      <c r="J196" s="230"/>
      <c r="K196" s="230"/>
      <c r="L196" s="230"/>
      <c r="M196" s="228"/>
      <c r="N196" s="257"/>
      <c r="O196" s="228"/>
      <c r="P196" s="228"/>
      <c r="Q196" s="258"/>
      <c r="R196" s="2577"/>
      <c r="S196" s="2577"/>
      <c r="T196" s="254"/>
      <c r="U196" s="228"/>
      <c r="V196" s="2552"/>
      <c r="W196" s="256"/>
      <c r="X196" s="248"/>
      <c r="Y196" s="248"/>
      <c r="Z196" s="248"/>
      <c r="AA196" s="247"/>
      <c r="AB196" s="248"/>
      <c r="AC196" s="248"/>
      <c r="AD196" s="194"/>
      <c r="AE196" s="249"/>
      <c r="AF196" s="250"/>
      <c r="AG196" s="251"/>
      <c r="AH196" s="252"/>
      <c r="AI196" s="241"/>
      <c r="AJ196" s="241"/>
      <c r="AK196" s="241"/>
      <c r="AL196" s="194"/>
      <c r="AM196" s="195"/>
      <c r="AN196" s="195"/>
    </row>
    <row r="197" spans="2:40">
      <c r="B197" s="253">
        <f t="shared" si="3"/>
        <v>189</v>
      </c>
      <c r="C197" s="244"/>
      <c r="D197" s="661"/>
      <c r="E197" s="466"/>
      <c r="F197" s="615"/>
      <c r="G197" s="3271"/>
      <c r="H197" s="230"/>
      <c r="I197" s="230"/>
      <c r="J197" s="230"/>
      <c r="K197" s="230"/>
      <c r="L197" s="230"/>
      <c r="M197" s="228"/>
      <c r="N197" s="257"/>
      <c r="O197" s="228"/>
      <c r="P197" s="228"/>
      <c r="Q197" s="258"/>
      <c r="R197" s="2577"/>
      <c r="S197" s="2577"/>
      <c r="T197" s="254"/>
      <c r="U197" s="228"/>
      <c r="V197" s="2552"/>
      <c r="W197" s="256"/>
      <c r="X197" s="248"/>
      <c r="Y197" s="248"/>
      <c r="Z197" s="248"/>
      <c r="AA197" s="247"/>
      <c r="AB197" s="248"/>
      <c r="AC197" s="248"/>
      <c r="AD197" s="194"/>
      <c r="AE197" s="249"/>
      <c r="AF197" s="250"/>
      <c r="AG197" s="251"/>
      <c r="AH197" s="252"/>
      <c r="AI197" s="241"/>
      <c r="AJ197" s="241"/>
      <c r="AK197" s="241"/>
      <c r="AL197" s="194"/>
      <c r="AM197" s="195"/>
      <c r="AN197" s="195"/>
    </row>
    <row r="198" spans="2:40">
      <c r="B198" s="253">
        <f t="shared" si="3"/>
        <v>190</v>
      </c>
      <c r="C198" s="244"/>
      <c r="D198" s="661"/>
      <c r="E198" s="466"/>
      <c r="F198" s="615"/>
      <c r="G198" s="3271"/>
      <c r="H198" s="230"/>
      <c r="I198" s="230"/>
      <c r="J198" s="230"/>
      <c r="K198" s="230"/>
      <c r="L198" s="230"/>
      <c r="M198" s="228"/>
      <c r="N198" s="257"/>
      <c r="O198" s="228"/>
      <c r="P198" s="228"/>
      <c r="Q198" s="258"/>
      <c r="R198" s="2577"/>
      <c r="S198" s="2577"/>
      <c r="T198" s="254"/>
      <c r="U198" s="228"/>
      <c r="V198" s="2552"/>
      <c r="W198" s="256"/>
      <c r="X198" s="248"/>
      <c r="Y198" s="248"/>
      <c r="Z198" s="248"/>
      <c r="AA198" s="247"/>
      <c r="AB198" s="248"/>
      <c r="AC198" s="248"/>
      <c r="AD198" s="194"/>
      <c r="AE198" s="249"/>
      <c r="AF198" s="250"/>
      <c r="AG198" s="251"/>
      <c r="AH198" s="252"/>
      <c r="AI198" s="241"/>
      <c r="AJ198" s="241"/>
      <c r="AK198" s="241"/>
      <c r="AL198" s="194"/>
      <c r="AM198" s="195"/>
      <c r="AN198" s="195"/>
    </row>
    <row r="199" spans="2:40">
      <c r="B199" s="253">
        <f t="shared" si="3"/>
        <v>191</v>
      </c>
      <c r="C199" s="244"/>
      <c r="D199" s="661"/>
      <c r="E199" s="466"/>
      <c r="F199" s="615"/>
      <c r="G199" s="3271"/>
      <c r="H199" s="230"/>
      <c r="I199" s="230"/>
      <c r="J199" s="230"/>
      <c r="K199" s="230"/>
      <c r="L199" s="230"/>
      <c r="M199" s="228"/>
      <c r="N199" s="257"/>
      <c r="O199" s="228"/>
      <c r="P199" s="228"/>
      <c r="Q199" s="258"/>
      <c r="R199" s="2577"/>
      <c r="S199" s="2577"/>
      <c r="T199" s="254"/>
      <c r="U199" s="228"/>
      <c r="V199" s="2552"/>
      <c r="W199" s="256"/>
      <c r="X199" s="248"/>
      <c r="Y199" s="248"/>
      <c r="Z199" s="248"/>
      <c r="AA199" s="247"/>
      <c r="AB199" s="248"/>
      <c r="AC199" s="248"/>
      <c r="AD199" s="194"/>
      <c r="AE199" s="249"/>
      <c r="AF199" s="250"/>
      <c r="AG199" s="251"/>
      <c r="AH199" s="252"/>
      <c r="AI199" s="241"/>
      <c r="AJ199" s="241"/>
      <c r="AK199" s="241"/>
      <c r="AL199" s="194"/>
      <c r="AM199" s="195"/>
      <c r="AN199" s="195"/>
    </row>
    <row r="200" spans="2:40">
      <c r="B200" s="253">
        <f t="shared" si="3"/>
        <v>192</v>
      </c>
      <c r="C200" s="244"/>
      <c r="D200" s="661"/>
      <c r="E200" s="466"/>
      <c r="F200" s="615"/>
      <c r="G200" s="3271"/>
      <c r="H200" s="230"/>
      <c r="I200" s="230"/>
      <c r="J200" s="230"/>
      <c r="K200" s="230"/>
      <c r="L200" s="230"/>
      <c r="M200" s="228"/>
      <c r="N200" s="257"/>
      <c r="O200" s="228"/>
      <c r="P200" s="228"/>
      <c r="Q200" s="258"/>
      <c r="R200" s="2577"/>
      <c r="S200" s="2577"/>
      <c r="T200" s="254"/>
      <c r="U200" s="228"/>
      <c r="V200" s="2552"/>
      <c r="W200" s="256"/>
      <c r="X200" s="248"/>
      <c r="Y200" s="248"/>
      <c r="Z200" s="248"/>
      <c r="AA200" s="247"/>
      <c r="AB200" s="248"/>
      <c r="AC200" s="248"/>
      <c r="AD200" s="194"/>
      <c r="AE200" s="249"/>
      <c r="AF200" s="250"/>
      <c r="AG200" s="251"/>
      <c r="AH200" s="252"/>
      <c r="AI200" s="241"/>
      <c r="AJ200" s="241"/>
      <c r="AK200" s="241"/>
      <c r="AL200" s="194"/>
      <c r="AM200" s="195"/>
      <c r="AN200" s="195"/>
    </row>
    <row r="201" spans="2:40">
      <c r="B201" s="253">
        <f t="shared" si="3"/>
        <v>193</v>
      </c>
      <c r="C201" s="244"/>
      <c r="D201" s="661"/>
      <c r="E201" s="466"/>
      <c r="F201" s="615"/>
      <c r="G201" s="3271"/>
      <c r="H201" s="230"/>
      <c r="I201" s="230"/>
      <c r="J201" s="230"/>
      <c r="K201" s="230"/>
      <c r="L201" s="230"/>
      <c r="M201" s="228"/>
      <c r="N201" s="257"/>
      <c r="O201" s="228"/>
      <c r="P201" s="228"/>
      <c r="Q201" s="258"/>
      <c r="R201" s="2577"/>
      <c r="S201" s="2577"/>
      <c r="T201" s="254"/>
      <c r="U201" s="228"/>
      <c r="V201" s="2552"/>
      <c r="W201" s="256"/>
      <c r="X201" s="248"/>
      <c r="Y201" s="248"/>
      <c r="Z201" s="248"/>
      <c r="AA201" s="247"/>
      <c r="AB201" s="248"/>
      <c r="AC201" s="248"/>
      <c r="AD201" s="194"/>
      <c r="AE201" s="249"/>
      <c r="AF201" s="250"/>
      <c r="AG201" s="251"/>
      <c r="AH201" s="252"/>
      <c r="AI201" s="241"/>
      <c r="AJ201" s="241"/>
      <c r="AK201" s="241"/>
      <c r="AL201" s="194"/>
      <c r="AM201" s="195"/>
      <c r="AN201" s="195"/>
    </row>
    <row r="202" spans="2:40">
      <c r="B202" s="253">
        <f t="shared" si="3"/>
        <v>194</v>
      </c>
      <c r="C202" s="244"/>
      <c r="D202" s="661"/>
      <c r="E202" s="466"/>
      <c r="F202" s="615"/>
      <c r="G202" s="3271"/>
      <c r="H202" s="230"/>
      <c r="I202" s="230"/>
      <c r="J202" s="230"/>
      <c r="K202" s="230"/>
      <c r="L202" s="230"/>
      <c r="M202" s="228"/>
      <c r="N202" s="257"/>
      <c r="O202" s="228"/>
      <c r="P202" s="228"/>
      <c r="Q202" s="258"/>
      <c r="R202" s="2577"/>
      <c r="S202" s="2577"/>
      <c r="T202" s="254"/>
      <c r="U202" s="228"/>
      <c r="V202" s="2552"/>
      <c r="W202" s="256"/>
      <c r="X202" s="248"/>
      <c r="Y202" s="248"/>
      <c r="Z202" s="248"/>
      <c r="AA202" s="247"/>
      <c r="AB202" s="248"/>
      <c r="AC202" s="248"/>
      <c r="AD202" s="194"/>
      <c r="AE202" s="249"/>
      <c r="AF202" s="250"/>
      <c r="AG202" s="251"/>
      <c r="AH202" s="252"/>
      <c r="AI202" s="241"/>
      <c r="AJ202" s="241"/>
      <c r="AK202" s="241"/>
      <c r="AL202" s="194"/>
      <c r="AM202" s="195"/>
      <c r="AN202" s="195"/>
    </row>
    <row r="203" spans="2:40">
      <c r="B203" s="253">
        <f t="shared" si="3"/>
        <v>195</v>
      </c>
      <c r="C203" s="244"/>
      <c r="D203" s="661"/>
      <c r="E203" s="466"/>
      <c r="F203" s="615"/>
      <c r="G203" s="3271"/>
      <c r="H203" s="230"/>
      <c r="I203" s="230"/>
      <c r="J203" s="230"/>
      <c r="K203" s="230"/>
      <c r="L203" s="230"/>
      <c r="M203" s="228"/>
      <c r="N203" s="257"/>
      <c r="O203" s="228"/>
      <c r="P203" s="228"/>
      <c r="Q203" s="258"/>
      <c r="R203" s="2577"/>
      <c r="S203" s="2577"/>
      <c r="T203" s="254"/>
      <c r="U203" s="228"/>
      <c r="V203" s="2552"/>
      <c r="W203" s="256"/>
      <c r="X203" s="248"/>
      <c r="Y203" s="248"/>
      <c r="Z203" s="248"/>
      <c r="AA203" s="247"/>
      <c r="AB203" s="248"/>
      <c r="AC203" s="248"/>
      <c r="AD203" s="194"/>
      <c r="AE203" s="249"/>
      <c r="AF203" s="250"/>
      <c r="AG203" s="251"/>
      <c r="AH203" s="252"/>
      <c r="AI203" s="241"/>
      <c r="AJ203" s="241"/>
      <c r="AK203" s="241"/>
      <c r="AL203" s="194"/>
      <c r="AM203" s="195"/>
      <c r="AN203" s="195"/>
    </row>
    <row r="204" spans="2:40">
      <c r="B204" s="253">
        <f t="shared" si="3"/>
        <v>196</v>
      </c>
      <c r="C204" s="244"/>
      <c r="D204" s="661"/>
      <c r="E204" s="466"/>
      <c r="F204" s="615"/>
      <c r="G204" s="3271"/>
      <c r="H204" s="230"/>
      <c r="I204" s="230"/>
      <c r="J204" s="230"/>
      <c r="K204" s="230"/>
      <c r="L204" s="230"/>
      <c r="M204" s="228"/>
      <c r="N204" s="257"/>
      <c r="O204" s="228"/>
      <c r="P204" s="228"/>
      <c r="Q204" s="258"/>
      <c r="R204" s="2577"/>
      <c r="S204" s="2577"/>
      <c r="T204" s="254"/>
      <c r="U204" s="228"/>
      <c r="V204" s="2552"/>
      <c r="W204" s="256"/>
      <c r="X204" s="248"/>
      <c r="Y204" s="248"/>
      <c r="Z204" s="248"/>
      <c r="AA204" s="247"/>
      <c r="AB204" s="248"/>
      <c r="AC204" s="248"/>
      <c r="AD204" s="194"/>
      <c r="AE204" s="249"/>
      <c r="AF204" s="250"/>
      <c r="AG204" s="251"/>
      <c r="AH204" s="252"/>
      <c r="AI204" s="241"/>
      <c r="AJ204" s="241"/>
      <c r="AK204" s="241"/>
      <c r="AL204" s="194"/>
      <c r="AM204" s="195"/>
      <c r="AN204" s="195"/>
    </row>
    <row r="205" spans="2:40">
      <c r="B205" s="253">
        <f t="shared" si="3"/>
        <v>197</v>
      </c>
      <c r="C205" s="244"/>
      <c r="D205" s="661"/>
      <c r="E205" s="466"/>
      <c r="F205" s="615"/>
      <c r="G205" s="3271"/>
      <c r="H205" s="230"/>
      <c r="I205" s="230"/>
      <c r="J205" s="230"/>
      <c r="K205" s="230"/>
      <c r="L205" s="230"/>
      <c r="M205" s="228"/>
      <c r="N205" s="257"/>
      <c r="O205" s="228"/>
      <c r="P205" s="228"/>
      <c r="Q205" s="258"/>
      <c r="R205" s="2577"/>
      <c r="S205" s="2577"/>
      <c r="T205" s="254"/>
      <c r="U205" s="228"/>
      <c r="V205" s="2552"/>
      <c r="W205" s="256"/>
      <c r="X205" s="248"/>
      <c r="Y205" s="248"/>
      <c r="Z205" s="248"/>
      <c r="AA205" s="247"/>
      <c r="AB205" s="248"/>
      <c r="AC205" s="248"/>
      <c r="AD205" s="194"/>
      <c r="AE205" s="249"/>
      <c r="AF205" s="250"/>
      <c r="AG205" s="251"/>
      <c r="AH205" s="252"/>
      <c r="AI205" s="241"/>
      <c r="AJ205" s="241"/>
      <c r="AK205" s="241"/>
      <c r="AL205" s="194"/>
      <c r="AM205" s="195"/>
      <c r="AN205" s="195"/>
    </row>
    <row r="206" spans="2:40">
      <c r="B206" s="253">
        <f t="shared" si="3"/>
        <v>198</v>
      </c>
      <c r="C206" s="244"/>
      <c r="D206" s="661"/>
      <c r="E206" s="466"/>
      <c r="F206" s="615"/>
      <c r="G206" s="3271"/>
      <c r="H206" s="230"/>
      <c r="I206" s="230"/>
      <c r="J206" s="230"/>
      <c r="K206" s="230"/>
      <c r="L206" s="230"/>
      <c r="M206" s="228"/>
      <c r="N206" s="257"/>
      <c r="O206" s="228"/>
      <c r="P206" s="228"/>
      <c r="Q206" s="258"/>
      <c r="R206" s="2577"/>
      <c r="S206" s="2577"/>
      <c r="T206" s="254"/>
      <c r="U206" s="228"/>
      <c r="V206" s="2552"/>
      <c r="W206" s="256"/>
      <c r="X206" s="248"/>
      <c r="Y206" s="248"/>
      <c r="Z206" s="248"/>
      <c r="AA206" s="247"/>
      <c r="AB206" s="248"/>
      <c r="AC206" s="248"/>
      <c r="AD206" s="194"/>
      <c r="AE206" s="249"/>
      <c r="AF206" s="250"/>
      <c r="AG206" s="251"/>
      <c r="AH206" s="252"/>
      <c r="AI206" s="241"/>
      <c r="AJ206" s="241"/>
      <c r="AK206" s="241"/>
      <c r="AL206" s="194"/>
      <c r="AM206" s="195"/>
      <c r="AN206" s="195"/>
    </row>
    <row r="207" spans="2:40">
      <c r="B207" s="253">
        <f t="shared" si="3"/>
        <v>199</v>
      </c>
      <c r="C207" s="244"/>
      <c r="D207" s="661"/>
      <c r="E207" s="466"/>
      <c r="F207" s="615"/>
      <c r="G207" s="3271"/>
      <c r="H207" s="230"/>
      <c r="I207" s="230"/>
      <c r="J207" s="230"/>
      <c r="K207" s="230"/>
      <c r="L207" s="230"/>
      <c r="M207" s="228"/>
      <c r="N207" s="257"/>
      <c r="O207" s="228"/>
      <c r="P207" s="228"/>
      <c r="Q207" s="258"/>
      <c r="R207" s="2577"/>
      <c r="S207" s="2577"/>
      <c r="T207" s="254"/>
      <c r="U207" s="228"/>
      <c r="V207" s="2552"/>
      <c r="W207" s="256"/>
      <c r="X207" s="248"/>
      <c r="Y207" s="248"/>
      <c r="Z207" s="248"/>
      <c r="AA207" s="247"/>
      <c r="AB207" s="248"/>
      <c r="AC207" s="248"/>
      <c r="AD207" s="194"/>
      <c r="AE207" s="249"/>
      <c r="AF207" s="250"/>
      <c r="AG207" s="251"/>
      <c r="AH207" s="252"/>
      <c r="AI207" s="241"/>
      <c r="AJ207" s="241"/>
      <c r="AK207" s="241"/>
      <c r="AL207" s="194"/>
      <c r="AM207" s="195"/>
      <c r="AN207" s="195"/>
    </row>
    <row r="208" spans="2:40">
      <c r="B208" s="253">
        <f t="shared" si="3"/>
        <v>200</v>
      </c>
      <c r="C208" s="244"/>
      <c r="D208" s="661"/>
      <c r="E208" s="466"/>
      <c r="F208" s="615"/>
      <c r="G208" s="3271"/>
      <c r="H208" s="230"/>
      <c r="I208" s="230"/>
      <c r="J208" s="230"/>
      <c r="K208" s="230"/>
      <c r="L208" s="230"/>
      <c r="M208" s="228"/>
      <c r="N208" s="257"/>
      <c r="O208" s="228"/>
      <c r="P208" s="228"/>
      <c r="Q208" s="258"/>
      <c r="R208" s="2577"/>
      <c r="S208" s="2577"/>
      <c r="T208" s="254"/>
      <c r="U208" s="228"/>
      <c r="V208" s="2552"/>
      <c r="W208" s="256"/>
      <c r="X208" s="248"/>
      <c r="Y208" s="248"/>
      <c r="Z208" s="248"/>
      <c r="AA208" s="247"/>
      <c r="AB208" s="248"/>
      <c r="AC208" s="248"/>
      <c r="AD208" s="194"/>
      <c r="AE208" s="249"/>
      <c r="AF208" s="250"/>
      <c r="AG208" s="251"/>
      <c r="AH208" s="252"/>
      <c r="AI208" s="241"/>
      <c r="AJ208" s="241"/>
      <c r="AK208" s="241"/>
      <c r="AL208" s="194"/>
      <c r="AM208" s="195"/>
      <c r="AN208" s="195"/>
    </row>
    <row r="209" spans="2:40">
      <c r="B209" s="253">
        <f t="shared" si="3"/>
        <v>201</v>
      </c>
      <c r="C209" s="244"/>
      <c r="D209" s="661"/>
      <c r="E209" s="466"/>
      <c r="F209" s="615"/>
      <c r="G209" s="3271"/>
      <c r="H209" s="230"/>
      <c r="I209" s="230"/>
      <c r="J209" s="230"/>
      <c r="K209" s="230"/>
      <c r="L209" s="230"/>
      <c r="M209" s="228"/>
      <c r="N209" s="257"/>
      <c r="O209" s="228"/>
      <c r="P209" s="228"/>
      <c r="Q209" s="258"/>
      <c r="R209" s="2577"/>
      <c r="S209" s="2577"/>
      <c r="T209" s="254"/>
      <c r="U209" s="228"/>
      <c r="V209" s="2552"/>
      <c r="W209" s="256"/>
      <c r="X209" s="248"/>
      <c r="Y209" s="248"/>
      <c r="Z209" s="248"/>
      <c r="AA209" s="247"/>
      <c r="AB209" s="248"/>
      <c r="AC209" s="248"/>
      <c r="AD209" s="194"/>
      <c r="AE209" s="249"/>
      <c r="AF209" s="250"/>
      <c r="AG209" s="251"/>
      <c r="AH209" s="252"/>
      <c r="AI209" s="241"/>
      <c r="AJ209" s="241"/>
      <c r="AK209" s="241"/>
      <c r="AL209" s="194"/>
      <c r="AM209" s="195"/>
      <c r="AN209" s="195"/>
    </row>
    <row r="210" spans="2:40">
      <c r="B210" s="253">
        <f t="shared" si="3"/>
        <v>202</v>
      </c>
      <c r="C210" s="244"/>
      <c r="D210" s="661"/>
      <c r="E210" s="466"/>
      <c r="F210" s="615"/>
      <c r="G210" s="3271"/>
      <c r="H210" s="230"/>
      <c r="I210" s="230"/>
      <c r="J210" s="230"/>
      <c r="K210" s="230"/>
      <c r="L210" s="230"/>
      <c r="M210" s="228"/>
      <c r="N210" s="257"/>
      <c r="O210" s="228"/>
      <c r="P210" s="228"/>
      <c r="Q210" s="258"/>
      <c r="R210" s="2577"/>
      <c r="S210" s="2577"/>
      <c r="T210" s="254"/>
      <c r="U210" s="228"/>
      <c r="V210" s="2552"/>
      <c r="W210" s="256"/>
      <c r="X210" s="248"/>
      <c r="Y210" s="248"/>
      <c r="Z210" s="248"/>
      <c r="AA210" s="247"/>
      <c r="AB210" s="248"/>
      <c r="AC210" s="248"/>
      <c r="AD210" s="194"/>
      <c r="AE210" s="249"/>
      <c r="AF210" s="250"/>
      <c r="AG210" s="251"/>
      <c r="AH210" s="252"/>
      <c r="AI210" s="241"/>
      <c r="AJ210" s="241"/>
      <c r="AK210" s="241"/>
      <c r="AL210" s="194"/>
      <c r="AM210" s="195"/>
      <c r="AN210" s="195"/>
    </row>
    <row r="211" spans="2:40">
      <c r="B211" s="253">
        <f t="shared" si="3"/>
        <v>203</v>
      </c>
      <c r="C211" s="244"/>
      <c r="D211" s="661"/>
      <c r="E211" s="466"/>
      <c r="F211" s="615"/>
      <c r="G211" s="3271"/>
      <c r="H211" s="230"/>
      <c r="I211" s="230"/>
      <c r="J211" s="230"/>
      <c r="K211" s="230"/>
      <c r="L211" s="230"/>
      <c r="M211" s="228"/>
      <c r="N211" s="257"/>
      <c r="O211" s="228"/>
      <c r="P211" s="228"/>
      <c r="Q211" s="258"/>
      <c r="R211" s="2577"/>
      <c r="S211" s="2577"/>
      <c r="T211" s="254"/>
      <c r="U211" s="228"/>
      <c r="V211" s="2552"/>
      <c r="W211" s="256"/>
      <c r="X211" s="248"/>
      <c r="Y211" s="248"/>
      <c r="Z211" s="248"/>
      <c r="AA211" s="247"/>
      <c r="AB211" s="248"/>
      <c r="AC211" s="248"/>
      <c r="AD211" s="194"/>
      <c r="AE211" s="249"/>
      <c r="AF211" s="250"/>
      <c r="AG211" s="251"/>
      <c r="AH211" s="252"/>
      <c r="AI211" s="241"/>
      <c r="AJ211" s="241"/>
      <c r="AK211" s="241"/>
      <c r="AL211" s="194"/>
      <c r="AM211" s="195"/>
      <c r="AN211" s="195"/>
    </row>
    <row r="212" spans="2:40">
      <c r="B212" s="253">
        <f t="shared" si="3"/>
        <v>204</v>
      </c>
      <c r="C212" s="244"/>
      <c r="D212" s="661"/>
      <c r="E212" s="466"/>
      <c r="F212" s="615"/>
      <c r="G212" s="3271"/>
      <c r="H212" s="230"/>
      <c r="I212" s="230"/>
      <c r="J212" s="230"/>
      <c r="K212" s="230"/>
      <c r="L212" s="230"/>
      <c r="M212" s="228"/>
      <c r="N212" s="257"/>
      <c r="O212" s="228"/>
      <c r="P212" s="228"/>
      <c r="Q212" s="258"/>
      <c r="R212" s="2577"/>
      <c r="S212" s="2577"/>
      <c r="T212" s="254"/>
      <c r="U212" s="228"/>
      <c r="V212" s="2552"/>
      <c r="W212" s="256"/>
      <c r="X212" s="248"/>
      <c r="Y212" s="248"/>
      <c r="Z212" s="248"/>
      <c r="AA212" s="247"/>
      <c r="AB212" s="248"/>
      <c r="AC212" s="248"/>
      <c r="AD212" s="194"/>
      <c r="AE212" s="249"/>
      <c r="AF212" s="250"/>
      <c r="AG212" s="251"/>
      <c r="AH212" s="252"/>
      <c r="AI212" s="241"/>
      <c r="AJ212" s="241"/>
      <c r="AK212" s="241"/>
      <c r="AL212" s="194"/>
      <c r="AM212" s="195"/>
      <c r="AN212" s="195"/>
    </row>
    <row r="213" spans="2:40">
      <c r="B213" s="253">
        <f t="shared" si="3"/>
        <v>205</v>
      </c>
      <c r="C213" s="244"/>
      <c r="D213" s="661"/>
      <c r="E213" s="466"/>
      <c r="F213" s="615"/>
      <c r="G213" s="3271"/>
      <c r="H213" s="230"/>
      <c r="I213" s="230"/>
      <c r="J213" s="230"/>
      <c r="K213" s="230"/>
      <c r="L213" s="230"/>
      <c r="M213" s="228"/>
      <c r="N213" s="257"/>
      <c r="O213" s="228"/>
      <c r="P213" s="228"/>
      <c r="Q213" s="258"/>
      <c r="R213" s="2577"/>
      <c r="S213" s="2577"/>
      <c r="T213" s="254"/>
      <c r="U213" s="228"/>
      <c r="V213" s="2552"/>
      <c r="W213" s="256"/>
      <c r="X213" s="248"/>
      <c r="Y213" s="248"/>
      <c r="Z213" s="248"/>
      <c r="AA213" s="247"/>
      <c r="AB213" s="248"/>
      <c r="AC213" s="248"/>
      <c r="AD213" s="194"/>
      <c r="AE213" s="249"/>
      <c r="AF213" s="250"/>
      <c r="AG213" s="251"/>
      <c r="AH213" s="252"/>
      <c r="AI213" s="241"/>
      <c r="AJ213" s="241"/>
      <c r="AK213" s="241"/>
      <c r="AL213" s="194"/>
      <c r="AM213" s="195"/>
      <c r="AN213" s="195"/>
    </row>
    <row r="214" spans="2:40">
      <c r="B214" s="253">
        <f t="shared" si="3"/>
        <v>206</v>
      </c>
      <c r="C214" s="244"/>
      <c r="D214" s="661"/>
      <c r="E214" s="466"/>
      <c r="F214" s="615"/>
      <c r="G214" s="3271"/>
      <c r="H214" s="230"/>
      <c r="I214" s="230"/>
      <c r="J214" s="230"/>
      <c r="K214" s="230"/>
      <c r="L214" s="230"/>
      <c r="M214" s="228"/>
      <c r="N214" s="257"/>
      <c r="O214" s="228"/>
      <c r="P214" s="228"/>
      <c r="Q214" s="258"/>
      <c r="R214" s="2577"/>
      <c r="S214" s="2577"/>
      <c r="T214" s="254"/>
      <c r="U214" s="228"/>
      <c r="V214" s="2552"/>
      <c r="W214" s="256"/>
      <c r="X214" s="248"/>
      <c r="Y214" s="248"/>
      <c r="Z214" s="248"/>
      <c r="AA214" s="247"/>
      <c r="AB214" s="248"/>
      <c r="AC214" s="248"/>
      <c r="AD214" s="194"/>
      <c r="AE214" s="249"/>
      <c r="AF214" s="250"/>
      <c r="AG214" s="251"/>
      <c r="AH214" s="252"/>
      <c r="AI214" s="241"/>
      <c r="AJ214" s="241"/>
      <c r="AK214" s="241"/>
      <c r="AL214" s="194"/>
      <c r="AM214" s="195"/>
      <c r="AN214" s="195"/>
    </row>
    <row r="215" spans="2:40">
      <c r="B215" s="253">
        <f t="shared" si="3"/>
        <v>207</v>
      </c>
      <c r="C215" s="244"/>
      <c r="D215" s="661"/>
      <c r="E215" s="466"/>
      <c r="F215" s="615"/>
      <c r="G215" s="3271"/>
      <c r="H215" s="230"/>
      <c r="I215" s="230"/>
      <c r="J215" s="230"/>
      <c r="K215" s="230"/>
      <c r="L215" s="230"/>
      <c r="M215" s="228"/>
      <c r="N215" s="257"/>
      <c r="O215" s="228"/>
      <c r="P215" s="228"/>
      <c r="Q215" s="258"/>
      <c r="R215" s="2577"/>
      <c r="S215" s="2577"/>
      <c r="T215" s="254"/>
      <c r="U215" s="228"/>
      <c r="V215" s="2552"/>
      <c r="W215" s="256"/>
      <c r="X215" s="248"/>
      <c r="Y215" s="248"/>
      <c r="Z215" s="248"/>
      <c r="AA215" s="247"/>
      <c r="AB215" s="248"/>
      <c r="AC215" s="248"/>
      <c r="AD215" s="194"/>
      <c r="AE215" s="249"/>
      <c r="AF215" s="250"/>
      <c r="AG215" s="251"/>
      <c r="AH215" s="252"/>
      <c r="AI215" s="241"/>
      <c r="AJ215" s="241"/>
      <c r="AK215" s="241"/>
      <c r="AL215" s="194"/>
      <c r="AM215" s="195"/>
      <c r="AN215" s="195"/>
    </row>
    <row r="216" spans="2:40">
      <c r="B216" s="253">
        <f t="shared" si="3"/>
        <v>208</v>
      </c>
      <c r="C216" s="244"/>
      <c r="D216" s="661"/>
      <c r="E216" s="466"/>
      <c r="F216" s="615"/>
      <c r="G216" s="3271"/>
      <c r="H216" s="230"/>
      <c r="I216" s="230"/>
      <c r="J216" s="230"/>
      <c r="K216" s="230"/>
      <c r="L216" s="230"/>
      <c r="M216" s="228"/>
      <c r="N216" s="257"/>
      <c r="O216" s="228"/>
      <c r="P216" s="228"/>
      <c r="Q216" s="258"/>
      <c r="R216" s="2577"/>
      <c r="S216" s="2577"/>
      <c r="T216" s="254"/>
      <c r="U216" s="228"/>
      <c r="V216" s="2552"/>
      <c r="W216" s="256"/>
      <c r="X216" s="248"/>
      <c r="Y216" s="248"/>
      <c r="Z216" s="248"/>
      <c r="AA216" s="247"/>
      <c r="AB216" s="248"/>
      <c r="AC216" s="248"/>
      <c r="AD216" s="194"/>
      <c r="AE216" s="249"/>
      <c r="AF216" s="250"/>
      <c r="AG216" s="251"/>
      <c r="AH216" s="252"/>
      <c r="AI216" s="241"/>
      <c r="AJ216" s="241"/>
      <c r="AK216" s="241"/>
      <c r="AL216" s="194"/>
      <c r="AM216" s="195"/>
      <c r="AN216" s="195"/>
    </row>
    <row r="217" spans="2:40">
      <c r="B217" s="253">
        <f t="shared" si="3"/>
        <v>209</v>
      </c>
      <c r="C217" s="244"/>
      <c r="D217" s="661"/>
      <c r="E217" s="466"/>
      <c r="F217" s="615"/>
      <c r="G217" s="3271"/>
      <c r="H217" s="230"/>
      <c r="I217" s="230"/>
      <c r="J217" s="230"/>
      <c r="K217" s="230"/>
      <c r="L217" s="230"/>
      <c r="M217" s="228"/>
      <c r="N217" s="257"/>
      <c r="O217" s="228"/>
      <c r="P217" s="228"/>
      <c r="Q217" s="258"/>
      <c r="R217" s="2577"/>
      <c r="S217" s="2577"/>
      <c r="T217" s="254"/>
      <c r="U217" s="228"/>
      <c r="V217" s="2552"/>
      <c r="W217" s="256"/>
      <c r="X217" s="248"/>
      <c r="Y217" s="248"/>
      <c r="Z217" s="248"/>
      <c r="AA217" s="247"/>
      <c r="AB217" s="248"/>
      <c r="AC217" s="248"/>
      <c r="AD217" s="194"/>
      <c r="AE217" s="249"/>
      <c r="AF217" s="250"/>
      <c r="AG217" s="251"/>
      <c r="AH217" s="252"/>
      <c r="AI217" s="241"/>
      <c r="AJ217" s="241"/>
      <c r="AK217" s="241"/>
      <c r="AL217" s="194"/>
      <c r="AM217" s="195"/>
      <c r="AN217" s="195"/>
    </row>
    <row r="218" spans="2:40">
      <c r="B218" s="253">
        <f t="shared" si="3"/>
        <v>210</v>
      </c>
      <c r="C218" s="244"/>
      <c r="D218" s="661"/>
      <c r="E218" s="466"/>
      <c r="F218" s="615"/>
      <c r="G218" s="3271"/>
      <c r="H218" s="230"/>
      <c r="I218" s="230"/>
      <c r="J218" s="230"/>
      <c r="K218" s="230"/>
      <c r="L218" s="230"/>
      <c r="M218" s="228"/>
      <c r="N218" s="257"/>
      <c r="O218" s="228"/>
      <c r="P218" s="228"/>
      <c r="Q218" s="258"/>
      <c r="R218" s="2577"/>
      <c r="S218" s="2577"/>
      <c r="T218" s="254"/>
      <c r="U218" s="228"/>
      <c r="V218" s="2552"/>
      <c r="W218" s="256"/>
      <c r="X218" s="248"/>
      <c r="Y218" s="248"/>
      <c r="Z218" s="248"/>
      <c r="AA218" s="247"/>
      <c r="AB218" s="248"/>
      <c r="AC218" s="248"/>
      <c r="AD218" s="194"/>
      <c r="AE218" s="249"/>
      <c r="AF218" s="250"/>
      <c r="AG218" s="251"/>
      <c r="AH218" s="252"/>
      <c r="AI218" s="241"/>
      <c r="AJ218" s="241"/>
      <c r="AK218" s="241"/>
      <c r="AL218" s="194"/>
      <c r="AM218" s="195"/>
      <c r="AN218" s="195"/>
    </row>
    <row r="219" spans="2:40">
      <c r="B219" s="253">
        <f t="shared" si="3"/>
        <v>211</v>
      </c>
      <c r="C219" s="244"/>
      <c r="D219" s="661"/>
      <c r="E219" s="466"/>
      <c r="F219" s="615"/>
      <c r="G219" s="3271"/>
      <c r="H219" s="230"/>
      <c r="I219" s="230"/>
      <c r="J219" s="230"/>
      <c r="K219" s="230"/>
      <c r="L219" s="230"/>
      <c r="M219" s="228"/>
      <c r="N219" s="257"/>
      <c r="O219" s="228"/>
      <c r="P219" s="228"/>
      <c r="Q219" s="258"/>
      <c r="R219" s="2577"/>
      <c r="S219" s="2577"/>
      <c r="T219" s="254"/>
      <c r="U219" s="228"/>
      <c r="V219" s="2552"/>
      <c r="W219" s="256"/>
      <c r="X219" s="248"/>
      <c r="Y219" s="248"/>
      <c r="Z219" s="248"/>
      <c r="AA219" s="247"/>
      <c r="AB219" s="248"/>
      <c r="AC219" s="248"/>
      <c r="AD219" s="194"/>
      <c r="AE219" s="249"/>
      <c r="AF219" s="250"/>
      <c r="AG219" s="251"/>
      <c r="AH219" s="252"/>
      <c r="AI219" s="241"/>
      <c r="AJ219" s="241"/>
      <c r="AK219" s="241"/>
      <c r="AL219" s="194"/>
      <c r="AM219" s="195"/>
      <c r="AN219" s="195"/>
    </row>
    <row r="220" spans="2:40">
      <c r="B220" s="253">
        <f t="shared" si="3"/>
        <v>212</v>
      </c>
      <c r="C220" s="244"/>
      <c r="D220" s="661"/>
      <c r="E220" s="466"/>
      <c r="F220" s="615"/>
      <c r="G220" s="3271"/>
      <c r="H220" s="230"/>
      <c r="I220" s="230"/>
      <c r="J220" s="230"/>
      <c r="K220" s="230"/>
      <c r="L220" s="230"/>
      <c r="M220" s="228"/>
      <c r="N220" s="257"/>
      <c r="O220" s="228"/>
      <c r="P220" s="228"/>
      <c r="Q220" s="258"/>
      <c r="R220" s="2577"/>
      <c r="S220" s="2577"/>
      <c r="T220" s="254"/>
      <c r="U220" s="228"/>
      <c r="V220" s="2552"/>
      <c r="W220" s="256"/>
      <c r="X220" s="248"/>
      <c r="Y220" s="248"/>
      <c r="Z220" s="248"/>
      <c r="AA220" s="247"/>
      <c r="AB220" s="248"/>
      <c r="AC220" s="248"/>
      <c r="AD220" s="194"/>
      <c r="AE220" s="249"/>
      <c r="AF220" s="250"/>
      <c r="AG220" s="251"/>
      <c r="AH220" s="252"/>
      <c r="AI220" s="241"/>
      <c r="AJ220" s="241"/>
      <c r="AK220" s="241"/>
      <c r="AL220" s="194"/>
      <c r="AM220" s="195"/>
      <c r="AN220" s="195"/>
    </row>
    <row r="221" spans="2:40">
      <c r="B221" s="253">
        <f t="shared" si="3"/>
        <v>213</v>
      </c>
      <c r="C221" s="244"/>
      <c r="D221" s="661"/>
      <c r="E221" s="466"/>
      <c r="F221" s="615"/>
      <c r="G221" s="3271"/>
      <c r="H221" s="230"/>
      <c r="I221" s="230"/>
      <c r="J221" s="230"/>
      <c r="K221" s="230"/>
      <c r="L221" s="230"/>
      <c r="M221" s="228"/>
      <c r="N221" s="257"/>
      <c r="O221" s="228"/>
      <c r="P221" s="228"/>
      <c r="Q221" s="258"/>
      <c r="R221" s="2577"/>
      <c r="S221" s="2577"/>
      <c r="T221" s="254"/>
      <c r="U221" s="228"/>
      <c r="V221" s="2552"/>
      <c r="W221" s="256"/>
      <c r="X221" s="248"/>
      <c r="Y221" s="248"/>
      <c r="Z221" s="248"/>
      <c r="AA221" s="247"/>
      <c r="AB221" s="248"/>
      <c r="AC221" s="248"/>
      <c r="AD221" s="194"/>
      <c r="AE221" s="249"/>
      <c r="AF221" s="250"/>
      <c r="AG221" s="251"/>
      <c r="AH221" s="252"/>
      <c r="AI221" s="241"/>
      <c r="AJ221" s="241"/>
      <c r="AK221" s="241"/>
      <c r="AL221" s="194"/>
      <c r="AM221" s="195"/>
      <c r="AN221" s="195"/>
    </row>
    <row r="222" spans="2:40">
      <c r="B222" s="253">
        <f t="shared" si="3"/>
        <v>214</v>
      </c>
      <c r="C222" s="244"/>
      <c r="D222" s="661"/>
      <c r="E222" s="466"/>
      <c r="F222" s="615"/>
      <c r="G222" s="3271"/>
      <c r="H222" s="230"/>
      <c r="I222" s="230"/>
      <c r="J222" s="230"/>
      <c r="K222" s="230"/>
      <c r="L222" s="230"/>
      <c r="M222" s="228"/>
      <c r="N222" s="257"/>
      <c r="O222" s="228"/>
      <c r="P222" s="228"/>
      <c r="Q222" s="258"/>
      <c r="R222" s="2577"/>
      <c r="S222" s="2577"/>
      <c r="T222" s="254"/>
      <c r="U222" s="228"/>
      <c r="V222" s="2552"/>
      <c r="W222" s="256"/>
      <c r="X222" s="248"/>
      <c r="Y222" s="248"/>
      <c r="Z222" s="248"/>
      <c r="AA222" s="247"/>
      <c r="AB222" s="248"/>
      <c r="AC222" s="248"/>
      <c r="AD222" s="194"/>
      <c r="AE222" s="249"/>
      <c r="AF222" s="250"/>
      <c r="AG222" s="251"/>
      <c r="AH222" s="252"/>
      <c r="AI222" s="241"/>
      <c r="AJ222" s="241"/>
      <c r="AK222" s="241"/>
      <c r="AL222" s="194"/>
      <c r="AM222" s="195"/>
      <c r="AN222" s="195"/>
    </row>
    <row r="223" spans="2:40">
      <c r="B223" s="253">
        <f t="shared" si="3"/>
        <v>215</v>
      </c>
      <c r="C223" s="244"/>
      <c r="D223" s="661"/>
      <c r="E223" s="466"/>
      <c r="F223" s="615"/>
      <c r="G223" s="3271"/>
      <c r="H223" s="230"/>
      <c r="I223" s="230"/>
      <c r="J223" s="230"/>
      <c r="K223" s="230"/>
      <c r="L223" s="230"/>
      <c r="M223" s="228"/>
      <c r="N223" s="257"/>
      <c r="O223" s="228"/>
      <c r="P223" s="228"/>
      <c r="Q223" s="258"/>
      <c r="R223" s="2577"/>
      <c r="S223" s="2577"/>
      <c r="T223" s="254"/>
      <c r="U223" s="228"/>
      <c r="V223" s="2552"/>
      <c r="W223" s="256"/>
      <c r="X223" s="248"/>
      <c r="Y223" s="248"/>
      <c r="Z223" s="248"/>
      <c r="AA223" s="247"/>
      <c r="AB223" s="248"/>
      <c r="AC223" s="248"/>
      <c r="AD223" s="194"/>
      <c r="AE223" s="249"/>
      <c r="AF223" s="250"/>
      <c r="AG223" s="251"/>
      <c r="AH223" s="252"/>
      <c r="AI223" s="241"/>
      <c r="AJ223" s="241"/>
      <c r="AK223" s="241"/>
      <c r="AL223" s="194"/>
      <c r="AM223" s="195"/>
      <c r="AN223" s="195"/>
    </row>
    <row r="224" spans="2:40">
      <c r="B224" s="253">
        <f t="shared" si="3"/>
        <v>216</v>
      </c>
      <c r="C224" s="244"/>
      <c r="D224" s="661"/>
      <c r="E224" s="466"/>
      <c r="F224" s="615"/>
      <c r="G224" s="3271"/>
      <c r="H224" s="230"/>
      <c r="I224" s="230"/>
      <c r="J224" s="230"/>
      <c r="K224" s="230"/>
      <c r="L224" s="230"/>
      <c r="M224" s="228"/>
      <c r="N224" s="257"/>
      <c r="O224" s="228"/>
      <c r="P224" s="228"/>
      <c r="Q224" s="258"/>
      <c r="R224" s="2577"/>
      <c r="S224" s="2577"/>
      <c r="T224" s="254"/>
      <c r="U224" s="228"/>
      <c r="V224" s="2552"/>
      <c r="W224" s="256"/>
      <c r="X224" s="248"/>
      <c r="Y224" s="248"/>
      <c r="Z224" s="248"/>
      <c r="AA224" s="247"/>
      <c r="AB224" s="248"/>
      <c r="AC224" s="248"/>
      <c r="AD224" s="194"/>
      <c r="AE224" s="249"/>
      <c r="AF224" s="250"/>
      <c r="AG224" s="251"/>
      <c r="AH224" s="252"/>
      <c r="AI224" s="241"/>
      <c r="AJ224" s="241"/>
      <c r="AK224" s="241"/>
      <c r="AL224" s="194"/>
      <c r="AM224" s="195"/>
      <c r="AN224" s="195"/>
    </row>
    <row r="225" spans="2:40">
      <c r="B225" s="253">
        <f t="shared" si="3"/>
        <v>217</v>
      </c>
      <c r="C225" s="244"/>
      <c r="D225" s="661"/>
      <c r="E225" s="466"/>
      <c r="F225" s="615"/>
      <c r="G225" s="3271"/>
      <c r="H225" s="230"/>
      <c r="I225" s="230"/>
      <c r="J225" s="230"/>
      <c r="K225" s="230"/>
      <c r="L225" s="230"/>
      <c r="M225" s="228"/>
      <c r="N225" s="257"/>
      <c r="O225" s="228"/>
      <c r="P225" s="228"/>
      <c r="Q225" s="258"/>
      <c r="R225" s="2577"/>
      <c r="S225" s="2577"/>
      <c r="T225" s="254"/>
      <c r="U225" s="228"/>
      <c r="V225" s="2552"/>
      <c r="W225" s="256"/>
      <c r="X225" s="248"/>
      <c r="Y225" s="248"/>
      <c r="Z225" s="248"/>
      <c r="AA225" s="247"/>
      <c r="AB225" s="248"/>
      <c r="AC225" s="248"/>
      <c r="AD225" s="194"/>
      <c r="AE225" s="249"/>
      <c r="AF225" s="250"/>
      <c r="AG225" s="251"/>
      <c r="AH225" s="252"/>
      <c r="AI225" s="241"/>
      <c r="AJ225" s="241"/>
      <c r="AK225" s="241"/>
      <c r="AL225" s="194"/>
      <c r="AM225" s="195"/>
      <c r="AN225" s="195"/>
    </row>
    <row r="226" spans="2:40">
      <c r="B226" s="253">
        <f t="shared" si="3"/>
        <v>218</v>
      </c>
      <c r="C226" s="244"/>
      <c r="D226" s="661"/>
      <c r="E226" s="466"/>
      <c r="F226" s="615"/>
      <c r="G226" s="3271"/>
      <c r="H226" s="230"/>
      <c r="I226" s="230"/>
      <c r="J226" s="230"/>
      <c r="K226" s="230"/>
      <c r="L226" s="230"/>
      <c r="M226" s="228"/>
      <c r="N226" s="257"/>
      <c r="O226" s="228"/>
      <c r="P226" s="228"/>
      <c r="Q226" s="258"/>
      <c r="R226" s="2577"/>
      <c r="S226" s="2577"/>
      <c r="T226" s="254"/>
      <c r="U226" s="228"/>
      <c r="V226" s="2552"/>
      <c r="W226" s="256"/>
      <c r="X226" s="248"/>
      <c r="Y226" s="248"/>
      <c r="Z226" s="248"/>
      <c r="AA226" s="247"/>
      <c r="AB226" s="248"/>
      <c r="AC226" s="248"/>
      <c r="AD226" s="194"/>
      <c r="AE226" s="249"/>
      <c r="AF226" s="250"/>
      <c r="AG226" s="251"/>
      <c r="AH226" s="252"/>
      <c r="AI226" s="241"/>
      <c r="AJ226" s="241"/>
      <c r="AK226" s="241"/>
      <c r="AL226" s="194"/>
      <c r="AM226" s="195"/>
      <c r="AN226" s="195"/>
    </row>
    <row r="227" spans="2:40">
      <c r="B227" s="253">
        <f t="shared" si="3"/>
        <v>219</v>
      </c>
      <c r="C227" s="244"/>
      <c r="D227" s="661"/>
      <c r="E227" s="466"/>
      <c r="F227" s="615"/>
      <c r="G227" s="3271"/>
      <c r="H227" s="230"/>
      <c r="I227" s="230"/>
      <c r="J227" s="230"/>
      <c r="K227" s="230"/>
      <c r="L227" s="230"/>
      <c r="M227" s="228"/>
      <c r="N227" s="257"/>
      <c r="O227" s="228"/>
      <c r="P227" s="228"/>
      <c r="Q227" s="258"/>
      <c r="R227" s="2577"/>
      <c r="S227" s="2577"/>
      <c r="T227" s="254"/>
      <c r="U227" s="228"/>
      <c r="V227" s="2552"/>
      <c r="W227" s="256"/>
      <c r="X227" s="248"/>
      <c r="Y227" s="248"/>
      <c r="Z227" s="248"/>
      <c r="AA227" s="247"/>
      <c r="AB227" s="248"/>
      <c r="AC227" s="248"/>
      <c r="AD227" s="194"/>
      <c r="AE227" s="249"/>
      <c r="AF227" s="250"/>
      <c r="AG227" s="251"/>
      <c r="AH227" s="252"/>
      <c r="AI227" s="241"/>
      <c r="AJ227" s="241"/>
      <c r="AK227" s="241"/>
      <c r="AL227" s="194"/>
      <c r="AM227" s="195"/>
      <c r="AN227" s="195"/>
    </row>
    <row r="228" spans="2:40">
      <c r="B228" s="253">
        <f t="shared" si="3"/>
        <v>220</v>
      </c>
      <c r="C228" s="244"/>
      <c r="D228" s="661"/>
      <c r="E228" s="466"/>
      <c r="F228" s="615"/>
      <c r="G228" s="3271"/>
      <c r="H228" s="230"/>
      <c r="I228" s="230"/>
      <c r="J228" s="230"/>
      <c r="K228" s="230"/>
      <c r="L228" s="230"/>
      <c r="M228" s="228"/>
      <c r="N228" s="257"/>
      <c r="O228" s="228"/>
      <c r="P228" s="228"/>
      <c r="Q228" s="258"/>
      <c r="R228" s="2577"/>
      <c r="S228" s="2577"/>
      <c r="T228" s="254"/>
      <c r="U228" s="228"/>
      <c r="V228" s="2552"/>
      <c r="W228" s="256"/>
      <c r="X228" s="248"/>
      <c r="Y228" s="248"/>
      <c r="Z228" s="248"/>
      <c r="AA228" s="247"/>
      <c r="AB228" s="248"/>
      <c r="AC228" s="248"/>
      <c r="AD228" s="194"/>
      <c r="AE228" s="249"/>
      <c r="AF228" s="250"/>
      <c r="AG228" s="251"/>
      <c r="AH228" s="252"/>
      <c r="AI228" s="241"/>
      <c r="AJ228" s="241"/>
      <c r="AK228" s="241"/>
      <c r="AL228" s="194"/>
      <c r="AM228" s="195"/>
      <c r="AN228" s="195"/>
    </row>
    <row r="229" spans="2:40">
      <c r="B229" s="253">
        <f t="shared" si="3"/>
        <v>221</v>
      </c>
      <c r="C229" s="244"/>
      <c r="D229" s="661"/>
      <c r="E229" s="466"/>
      <c r="F229" s="615"/>
      <c r="G229" s="3271"/>
      <c r="H229" s="230"/>
      <c r="I229" s="230"/>
      <c r="J229" s="230"/>
      <c r="K229" s="230"/>
      <c r="L229" s="230"/>
      <c r="M229" s="228"/>
      <c r="N229" s="257"/>
      <c r="O229" s="228"/>
      <c r="P229" s="228"/>
      <c r="Q229" s="258"/>
      <c r="R229" s="2577"/>
      <c r="S229" s="2577"/>
      <c r="T229" s="254"/>
      <c r="U229" s="228"/>
      <c r="V229" s="2552"/>
      <c r="W229" s="256"/>
      <c r="X229" s="248"/>
      <c r="Y229" s="248"/>
      <c r="Z229" s="248"/>
      <c r="AA229" s="247"/>
      <c r="AB229" s="248"/>
      <c r="AC229" s="248"/>
      <c r="AD229" s="194"/>
      <c r="AE229" s="249"/>
      <c r="AF229" s="250"/>
      <c r="AG229" s="251"/>
      <c r="AH229" s="252"/>
      <c r="AI229" s="241"/>
      <c r="AJ229" s="241"/>
      <c r="AK229" s="241"/>
      <c r="AL229" s="194"/>
      <c r="AM229" s="195"/>
      <c r="AN229" s="195"/>
    </row>
    <row r="230" spans="2:40">
      <c r="B230" s="253">
        <f t="shared" si="3"/>
        <v>222</v>
      </c>
      <c r="C230" s="244"/>
      <c r="D230" s="661"/>
      <c r="E230" s="466"/>
      <c r="F230" s="615"/>
      <c r="G230" s="3271"/>
      <c r="H230" s="230"/>
      <c r="I230" s="230"/>
      <c r="J230" s="230"/>
      <c r="K230" s="230"/>
      <c r="L230" s="230"/>
      <c r="M230" s="228"/>
      <c r="N230" s="257"/>
      <c r="O230" s="228"/>
      <c r="P230" s="228"/>
      <c r="Q230" s="258"/>
      <c r="R230" s="2577"/>
      <c r="S230" s="2577"/>
      <c r="T230" s="254"/>
      <c r="U230" s="228"/>
      <c r="V230" s="2552"/>
      <c r="W230" s="256"/>
      <c r="X230" s="248"/>
      <c r="Y230" s="248"/>
      <c r="Z230" s="248"/>
      <c r="AA230" s="247"/>
      <c r="AB230" s="248"/>
      <c r="AC230" s="248"/>
      <c r="AD230" s="194"/>
      <c r="AE230" s="249"/>
      <c r="AF230" s="250"/>
      <c r="AG230" s="251"/>
      <c r="AH230" s="252"/>
      <c r="AI230" s="241"/>
      <c r="AJ230" s="241"/>
      <c r="AK230" s="241"/>
      <c r="AL230" s="194"/>
      <c r="AM230" s="195"/>
      <c r="AN230" s="195"/>
    </row>
    <row r="231" spans="2:40">
      <c r="B231" s="253">
        <f t="shared" si="3"/>
        <v>223</v>
      </c>
      <c r="C231" s="244"/>
      <c r="D231" s="661"/>
      <c r="E231" s="466"/>
      <c r="F231" s="615"/>
      <c r="G231" s="3271"/>
      <c r="H231" s="230"/>
      <c r="I231" s="230"/>
      <c r="J231" s="230"/>
      <c r="K231" s="230"/>
      <c r="L231" s="230"/>
      <c r="M231" s="228"/>
      <c r="N231" s="257"/>
      <c r="O231" s="228"/>
      <c r="P231" s="228"/>
      <c r="Q231" s="258"/>
      <c r="R231" s="2577"/>
      <c r="S231" s="2577"/>
      <c r="T231" s="254"/>
      <c r="U231" s="228"/>
      <c r="V231" s="2552"/>
      <c r="W231" s="256"/>
      <c r="X231" s="248"/>
      <c r="Y231" s="248"/>
      <c r="Z231" s="248"/>
      <c r="AA231" s="247"/>
      <c r="AB231" s="248"/>
      <c r="AC231" s="248"/>
      <c r="AD231" s="194"/>
      <c r="AE231" s="249"/>
      <c r="AF231" s="250"/>
      <c r="AG231" s="251"/>
      <c r="AH231" s="252"/>
      <c r="AI231" s="241"/>
      <c r="AJ231" s="241"/>
      <c r="AK231" s="241"/>
      <c r="AL231" s="194"/>
      <c r="AM231" s="195"/>
      <c r="AN231" s="195"/>
    </row>
    <row r="232" spans="2:40">
      <c r="B232" s="253">
        <f t="shared" si="3"/>
        <v>224</v>
      </c>
      <c r="C232" s="244"/>
      <c r="D232" s="661"/>
      <c r="E232" s="466"/>
      <c r="F232" s="615"/>
      <c r="G232" s="3271"/>
      <c r="H232" s="230"/>
      <c r="I232" s="230"/>
      <c r="J232" s="230"/>
      <c r="K232" s="230"/>
      <c r="L232" s="230"/>
      <c r="M232" s="228"/>
      <c r="N232" s="257"/>
      <c r="O232" s="228"/>
      <c r="P232" s="228"/>
      <c r="Q232" s="258"/>
      <c r="R232" s="2577"/>
      <c r="S232" s="2577"/>
      <c r="T232" s="254"/>
      <c r="U232" s="228"/>
      <c r="V232" s="2552"/>
      <c r="W232" s="256"/>
      <c r="X232" s="248"/>
      <c r="Y232" s="248"/>
      <c r="Z232" s="248"/>
      <c r="AA232" s="247"/>
      <c r="AB232" s="248"/>
      <c r="AC232" s="248"/>
      <c r="AD232" s="194"/>
      <c r="AE232" s="249"/>
      <c r="AF232" s="250"/>
      <c r="AG232" s="251"/>
      <c r="AH232" s="252"/>
      <c r="AI232" s="241"/>
      <c r="AJ232" s="241"/>
      <c r="AK232" s="241"/>
      <c r="AL232" s="194"/>
      <c r="AM232" s="195"/>
      <c r="AN232" s="195"/>
    </row>
    <row r="233" spans="2:40">
      <c r="B233" s="253">
        <f t="shared" si="3"/>
        <v>225</v>
      </c>
      <c r="C233" s="244"/>
      <c r="D233" s="661"/>
      <c r="E233" s="466"/>
      <c r="F233" s="615"/>
      <c r="G233" s="3271"/>
      <c r="H233" s="230"/>
      <c r="I233" s="230"/>
      <c r="J233" s="230"/>
      <c r="K233" s="230"/>
      <c r="L233" s="230"/>
      <c r="M233" s="228"/>
      <c r="N233" s="257"/>
      <c r="O233" s="228"/>
      <c r="P233" s="228"/>
      <c r="Q233" s="258"/>
      <c r="R233" s="2577"/>
      <c r="S233" s="2577"/>
      <c r="T233" s="254"/>
      <c r="U233" s="228"/>
      <c r="V233" s="2552"/>
      <c r="W233" s="256"/>
      <c r="X233" s="248"/>
      <c r="Y233" s="248"/>
      <c r="Z233" s="248"/>
      <c r="AA233" s="247"/>
      <c r="AB233" s="248"/>
      <c r="AC233" s="248"/>
      <c r="AD233" s="194"/>
      <c r="AE233" s="249"/>
      <c r="AF233" s="250"/>
      <c r="AG233" s="251"/>
      <c r="AH233" s="252"/>
      <c r="AI233" s="241"/>
      <c r="AJ233" s="241"/>
      <c r="AK233" s="241"/>
      <c r="AL233" s="194"/>
      <c r="AM233" s="195"/>
      <c r="AN233" s="195"/>
    </row>
    <row r="234" spans="2:40">
      <c r="B234" s="253">
        <f t="shared" si="3"/>
        <v>226</v>
      </c>
      <c r="C234" s="244"/>
      <c r="D234" s="661"/>
      <c r="E234" s="466"/>
      <c r="F234" s="615"/>
      <c r="G234" s="3271"/>
      <c r="H234" s="230"/>
      <c r="I234" s="230"/>
      <c r="J234" s="230"/>
      <c r="K234" s="230"/>
      <c r="L234" s="230"/>
      <c r="M234" s="228"/>
      <c r="N234" s="257"/>
      <c r="O234" s="228"/>
      <c r="P234" s="228"/>
      <c r="Q234" s="258"/>
      <c r="R234" s="2577"/>
      <c r="S234" s="2577"/>
      <c r="T234" s="254"/>
      <c r="U234" s="228"/>
      <c r="V234" s="2552"/>
      <c r="W234" s="256"/>
      <c r="X234" s="248"/>
      <c r="Y234" s="248"/>
      <c r="Z234" s="248"/>
      <c r="AA234" s="247"/>
      <c r="AB234" s="248"/>
      <c r="AC234" s="248"/>
      <c r="AD234" s="194"/>
      <c r="AE234" s="249"/>
      <c r="AF234" s="250"/>
      <c r="AG234" s="251"/>
      <c r="AH234" s="252"/>
      <c r="AI234" s="241"/>
      <c r="AJ234" s="241"/>
      <c r="AK234" s="241"/>
      <c r="AL234" s="194"/>
      <c r="AM234" s="195"/>
      <c r="AN234" s="195"/>
    </row>
    <row r="235" spans="2:40">
      <c r="B235" s="253">
        <f t="shared" si="3"/>
        <v>227</v>
      </c>
      <c r="C235" s="244"/>
      <c r="D235" s="661"/>
      <c r="E235" s="466"/>
      <c r="F235" s="615"/>
      <c r="G235" s="3271"/>
      <c r="H235" s="230"/>
      <c r="I235" s="230"/>
      <c r="J235" s="230"/>
      <c r="K235" s="230"/>
      <c r="L235" s="230"/>
      <c r="M235" s="228"/>
      <c r="N235" s="257"/>
      <c r="O235" s="228"/>
      <c r="P235" s="228"/>
      <c r="Q235" s="258"/>
      <c r="R235" s="2577"/>
      <c r="S235" s="2577"/>
      <c r="T235" s="254"/>
      <c r="U235" s="228"/>
      <c r="V235" s="2552"/>
      <c r="W235" s="256"/>
      <c r="X235" s="248"/>
      <c r="Y235" s="248"/>
      <c r="Z235" s="248"/>
      <c r="AA235" s="247"/>
      <c r="AB235" s="248"/>
      <c r="AC235" s="248"/>
      <c r="AD235" s="194"/>
      <c r="AE235" s="249"/>
      <c r="AF235" s="250"/>
      <c r="AG235" s="251"/>
      <c r="AH235" s="252"/>
      <c r="AI235" s="241"/>
      <c r="AJ235" s="241"/>
      <c r="AK235" s="241"/>
      <c r="AL235" s="194"/>
      <c r="AM235" s="195"/>
      <c r="AN235" s="195"/>
    </row>
    <row r="236" spans="2:40">
      <c r="B236" s="253">
        <f t="shared" si="3"/>
        <v>228</v>
      </c>
      <c r="C236" s="244"/>
      <c r="D236" s="661"/>
      <c r="E236" s="466"/>
      <c r="F236" s="615"/>
      <c r="G236" s="3271"/>
      <c r="H236" s="230"/>
      <c r="I236" s="230"/>
      <c r="J236" s="230"/>
      <c r="K236" s="230"/>
      <c r="L236" s="230"/>
      <c r="M236" s="228"/>
      <c r="N236" s="257"/>
      <c r="O236" s="228"/>
      <c r="P236" s="228"/>
      <c r="Q236" s="258"/>
      <c r="R236" s="2577"/>
      <c r="S236" s="2577"/>
      <c r="T236" s="254"/>
      <c r="U236" s="228"/>
      <c r="V236" s="2552"/>
      <c r="W236" s="256"/>
      <c r="X236" s="248"/>
      <c r="Y236" s="248"/>
      <c r="Z236" s="248"/>
      <c r="AA236" s="247"/>
      <c r="AB236" s="248"/>
      <c r="AC236" s="248"/>
      <c r="AD236" s="194"/>
      <c r="AE236" s="249"/>
      <c r="AF236" s="250"/>
      <c r="AG236" s="251"/>
      <c r="AH236" s="252"/>
      <c r="AI236" s="241"/>
      <c r="AJ236" s="241"/>
      <c r="AK236" s="241"/>
      <c r="AL236" s="194"/>
      <c r="AM236" s="195"/>
      <c r="AN236" s="195"/>
    </row>
    <row r="237" spans="2:40">
      <c r="B237" s="253">
        <f t="shared" si="3"/>
        <v>229</v>
      </c>
      <c r="C237" s="244"/>
      <c r="D237" s="661"/>
      <c r="E237" s="466"/>
      <c r="F237" s="615"/>
      <c r="G237" s="3271"/>
      <c r="H237" s="230"/>
      <c r="I237" s="230"/>
      <c r="J237" s="230"/>
      <c r="K237" s="230"/>
      <c r="L237" s="230"/>
      <c r="M237" s="228"/>
      <c r="N237" s="257"/>
      <c r="O237" s="228"/>
      <c r="P237" s="228"/>
      <c r="Q237" s="258"/>
      <c r="R237" s="2577"/>
      <c r="S237" s="2577"/>
      <c r="T237" s="254"/>
      <c r="U237" s="228"/>
      <c r="V237" s="2552"/>
      <c r="W237" s="256"/>
      <c r="X237" s="248"/>
      <c r="Y237" s="248"/>
      <c r="Z237" s="248"/>
      <c r="AA237" s="247"/>
      <c r="AB237" s="248"/>
      <c r="AC237" s="248"/>
      <c r="AD237" s="194"/>
      <c r="AE237" s="249"/>
      <c r="AF237" s="250"/>
      <c r="AG237" s="251"/>
      <c r="AH237" s="252"/>
      <c r="AI237" s="241"/>
      <c r="AJ237" s="241"/>
      <c r="AK237" s="241"/>
      <c r="AL237" s="194"/>
      <c r="AM237" s="195"/>
      <c r="AN237" s="195"/>
    </row>
    <row r="238" spans="2:40">
      <c r="B238" s="253">
        <f t="shared" si="3"/>
        <v>230</v>
      </c>
      <c r="C238" s="244"/>
      <c r="D238" s="661"/>
      <c r="E238" s="466"/>
      <c r="F238" s="615"/>
      <c r="G238" s="3271"/>
      <c r="H238" s="230"/>
      <c r="I238" s="230"/>
      <c r="J238" s="230"/>
      <c r="K238" s="230"/>
      <c r="L238" s="230"/>
      <c r="M238" s="228"/>
      <c r="N238" s="257"/>
      <c r="O238" s="228"/>
      <c r="P238" s="228"/>
      <c r="Q238" s="258"/>
      <c r="R238" s="2577"/>
      <c r="S238" s="2577"/>
      <c r="T238" s="254"/>
      <c r="U238" s="228"/>
      <c r="V238" s="2552"/>
      <c r="W238" s="256"/>
      <c r="X238" s="248"/>
      <c r="Y238" s="248"/>
      <c r="Z238" s="248"/>
      <c r="AA238" s="247"/>
      <c r="AB238" s="248"/>
      <c r="AC238" s="248"/>
      <c r="AD238" s="194"/>
      <c r="AE238" s="249"/>
      <c r="AF238" s="250"/>
      <c r="AG238" s="251"/>
      <c r="AH238" s="252"/>
      <c r="AI238" s="241"/>
      <c r="AJ238" s="241"/>
      <c r="AK238" s="241"/>
      <c r="AL238" s="194"/>
      <c r="AM238" s="195"/>
      <c r="AN238" s="195"/>
    </row>
    <row r="239" spans="2:40">
      <c r="B239" s="253">
        <f t="shared" si="3"/>
        <v>231</v>
      </c>
      <c r="C239" s="244"/>
      <c r="D239" s="661"/>
      <c r="E239" s="466"/>
      <c r="F239" s="615"/>
      <c r="G239" s="3271"/>
      <c r="H239" s="230"/>
      <c r="I239" s="230"/>
      <c r="J239" s="230"/>
      <c r="K239" s="230"/>
      <c r="L239" s="230"/>
      <c r="M239" s="228"/>
      <c r="N239" s="257"/>
      <c r="O239" s="228"/>
      <c r="P239" s="228"/>
      <c r="Q239" s="258"/>
      <c r="R239" s="2577"/>
      <c r="S239" s="2577"/>
      <c r="T239" s="254"/>
      <c r="U239" s="228"/>
      <c r="V239" s="2552"/>
      <c r="W239" s="256"/>
      <c r="X239" s="248"/>
      <c r="Y239" s="248"/>
      <c r="Z239" s="248"/>
      <c r="AA239" s="247"/>
      <c r="AB239" s="248"/>
      <c r="AC239" s="248"/>
      <c r="AD239" s="194"/>
      <c r="AE239" s="249"/>
      <c r="AF239" s="250"/>
      <c r="AG239" s="251"/>
      <c r="AH239" s="252"/>
      <c r="AI239" s="241"/>
      <c r="AJ239" s="241"/>
      <c r="AK239" s="241"/>
      <c r="AL239" s="194"/>
      <c r="AM239" s="195"/>
      <c r="AN239" s="195"/>
    </row>
    <row r="240" spans="2:40">
      <c r="B240" s="253">
        <f t="shared" si="3"/>
        <v>232</v>
      </c>
      <c r="C240" s="244"/>
      <c r="D240" s="661"/>
      <c r="E240" s="466"/>
      <c r="F240" s="615"/>
      <c r="G240" s="3271"/>
      <c r="H240" s="230"/>
      <c r="I240" s="230"/>
      <c r="J240" s="230"/>
      <c r="K240" s="230"/>
      <c r="L240" s="230"/>
      <c r="M240" s="228"/>
      <c r="N240" s="257"/>
      <c r="O240" s="228"/>
      <c r="P240" s="228"/>
      <c r="Q240" s="258"/>
      <c r="R240" s="2577"/>
      <c r="S240" s="2577"/>
      <c r="T240" s="254"/>
      <c r="U240" s="228"/>
      <c r="V240" s="2552"/>
      <c r="W240" s="256"/>
      <c r="X240" s="248"/>
      <c r="Y240" s="248"/>
      <c r="Z240" s="248"/>
      <c r="AA240" s="247"/>
      <c r="AB240" s="248"/>
      <c r="AC240" s="248"/>
      <c r="AD240" s="194"/>
      <c r="AE240" s="249"/>
      <c r="AF240" s="250"/>
      <c r="AG240" s="251"/>
      <c r="AH240" s="252"/>
      <c r="AI240" s="241"/>
      <c r="AJ240" s="241"/>
      <c r="AK240" s="241"/>
      <c r="AL240" s="194"/>
      <c r="AM240" s="195"/>
      <c r="AN240" s="195"/>
    </row>
    <row r="241" spans="2:40">
      <c r="B241" s="253">
        <f t="shared" si="3"/>
        <v>233</v>
      </c>
      <c r="C241" s="244"/>
      <c r="D241" s="661"/>
      <c r="E241" s="466"/>
      <c r="F241" s="615"/>
      <c r="G241" s="3271"/>
      <c r="H241" s="230"/>
      <c r="I241" s="230"/>
      <c r="J241" s="230"/>
      <c r="K241" s="230"/>
      <c r="L241" s="230"/>
      <c r="M241" s="228"/>
      <c r="N241" s="257"/>
      <c r="O241" s="228"/>
      <c r="P241" s="228"/>
      <c r="Q241" s="258"/>
      <c r="R241" s="2577"/>
      <c r="S241" s="2577"/>
      <c r="T241" s="254"/>
      <c r="U241" s="228"/>
      <c r="V241" s="2552"/>
      <c r="W241" s="256"/>
      <c r="X241" s="248"/>
      <c r="Y241" s="248"/>
      <c r="Z241" s="248"/>
      <c r="AA241" s="247"/>
      <c r="AB241" s="248"/>
      <c r="AC241" s="248"/>
      <c r="AD241" s="194"/>
      <c r="AE241" s="249"/>
      <c r="AF241" s="250"/>
      <c r="AG241" s="251"/>
      <c r="AH241" s="252"/>
      <c r="AI241" s="241"/>
      <c r="AJ241" s="241"/>
      <c r="AK241" s="241"/>
      <c r="AL241" s="194"/>
      <c r="AM241" s="195"/>
      <c r="AN241" s="195"/>
    </row>
    <row r="242" spans="2:40">
      <c r="B242" s="253">
        <f t="shared" si="3"/>
        <v>234</v>
      </c>
      <c r="C242" s="244"/>
      <c r="D242" s="661"/>
      <c r="E242" s="466"/>
      <c r="F242" s="615"/>
      <c r="G242" s="3271"/>
      <c r="H242" s="230"/>
      <c r="I242" s="230"/>
      <c r="J242" s="230"/>
      <c r="K242" s="230"/>
      <c r="L242" s="230"/>
      <c r="M242" s="228"/>
      <c r="N242" s="257"/>
      <c r="O242" s="228"/>
      <c r="P242" s="228"/>
      <c r="Q242" s="258"/>
      <c r="R242" s="2577"/>
      <c r="S242" s="2577"/>
      <c r="T242" s="254"/>
      <c r="U242" s="228"/>
      <c r="V242" s="2552"/>
      <c r="W242" s="256"/>
      <c r="X242" s="248"/>
      <c r="Y242" s="248"/>
      <c r="Z242" s="248"/>
      <c r="AA242" s="247"/>
      <c r="AB242" s="248"/>
      <c r="AC242" s="248"/>
      <c r="AD242" s="194"/>
      <c r="AE242" s="249"/>
      <c r="AF242" s="250"/>
      <c r="AG242" s="251"/>
      <c r="AH242" s="252"/>
      <c r="AI242" s="241"/>
      <c r="AJ242" s="241"/>
      <c r="AK242" s="241"/>
      <c r="AL242" s="194"/>
      <c r="AM242" s="195"/>
      <c r="AN242" s="195"/>
    </row>
    <row r="243" spans="2:40">
      <c r="B243" s="253">
        <f t="shared" si="3"/>
        <v>235</v>
      </c>
      <c r="C243" s="244"/>
      <c r="D243" s="661"/>
      <c r="E243" s="466"/>
      <c r="F243" s="615"/>
      <c r="G243" s="3271"/>
      <c r="H243" s="230"/>
      <c r="I243" s="230"/>
      <c r="J243" s="230"/>
      <c r="K243" s="230"/>
      <c r="L243" s="230"/>
      <c r="M243" s="228"/>
      <c r="N243" s="257"/>
      <c r="O243" s="228"/>
      <c r="P243" s="228"/>
      <c r="Q243" s="258"/>
      <c r="R243" s="2577"/>
      <c r="S243" s="2577"/>
      <c r="T243" s="254"/>
      <c r="U243" s="228"/>
      <c r="V243" s="2552"/>
      <c r="W243" s="256"/>
      <c r="X243" s="248"/>
      <c r="Y243" s="248"/>
      <c r="Z243" s="248"/>
      <c r="AA243" s="247"/>
      <c r="AB243" s="248"/>
      <c r="AC243" s="248"/>
      <c r="AD243" s="194"/>
      <c r="AE243" s="249"/>
      <c r="AF243" s="250"/>
      <c r="AG243" s="251"/>
      <c r="AH243" s="252"/>
      <c r="AI243" s="241"/>
      <c r="AJ243" s="241"/>
      <c r="AK243" s="241"/>
      <c r="AL243" s="194"/>
      <c r="AM243" s="195"/>
      <c r="AN243" s="195"/>
    </row>
    <row r="244" spans="2:40">
      <c r="B244" s="253">
        <f t="shared" ref="B244:B278" si="4">+B243+1</f>
        <v>236</v>
      </c>
      <c r="C244" s="244"/>
      <c r="D244" s="661"/>
      <c r="E244" s="466"/>
      <c r="F244" s="615"/>
      <c r="G244" s="3271"/>
      <c r="H244" s="230"/>
      <c r="I244" s="230"/>
      <c r="J244" s="230"/>
      <c r="K244" s="230"/>
      <c r="L244" s="230"/>
      <c r="M244" s="228"/>
      <c r="N244" s="257"/>
      <c r="O244" s="228"/>
      <c r="P244" s="228"/>
      <c r="Q244" s="258"/>
      <c r="R244" s="2577"/>
      <c r="S244" s="2577"/>
      <c r="T244" s="254"/>
      <c r="U244" s="228"/>
      <c r="V244" s="2552"/>
      <c r="W244" s="256"/>
      <c r="X244" s="248"/>
      <c r="Y244" s="248"/>
      <c r="Z244" s="248"/>
      <c r="AA244" s="247"/>
      <c r="AB244" s="248"/>
      <c r="AC244" s="248"/>
      <c r="AD244" s="194"/>
      <c r="AE244" s="249"/>
      <c r="AF244" s="250"/>
      <c r="AG244" s="251"/>
      <c r="AH244" s="252"/>
      <c r="AI244" s="241"/>
      <c r="AJ244" s="241"/>
      <c r="AK244" s="241"/>
      <c r="AL244" s="194"/>
      <c r="AM244" s="195"/>
      <c r="AN244" s="195"/>
    </row>
    <row r="245" spans="2:40">
      <c r="B245" s="253">
        <f t="shared" si="4"/>
        <v>237</v>
      </c>
      <c r="C245" s="244"/>
      <c r="D245" s="661"/>
      <c r="E245" s="466"/>
      <c r="F245" s="615"/>
      <c r="G245" s="3271"/>
      <c r="H245" s="230"/>
      <c r="I245" s="230"/>
      <c r="J245" s="230"/>
      <c r="K245" s="230"/>
      <c r="L245" s="230"/>
      <c r="M245" s="228"/>
      <c r="N245" s="257"/>
      <c r="O245" s="228"/>
      <c r="P245" s="228"/>
      <c r="Q245" s="258"/>
      <c r="R245" s="2577"/>
      <c r="S245" s="2577"/>
      <c r="T245" s="254"/>
      <c r="U245" s="228"/>
      <c r="V245" s="2552"/>
      <c r="W245" s="256"/>
      <c r="X245" s="248"/>
      <c r="Y245" s="248"/>
      <c r="Z245" s="248"/>
      <c r="AA245" s="247"/>
      <c r="AB245" s="248"/>
      <c r="AC245" s="248"/>
      <c r="AD245" s="194"/>
      <c r="AE245" s="249"/>
      <c r="AF245" s="250"/>
      <c r="AG245" s="251"/>
      <c r="AH245" s="252"/>
      <c r="AI245" s="241"/>
      <c r="AJ245" s="241"/>
      <c r="AK245" s="241"/>
      <c r="AL245" s="194"/>
      <c r="AM245" s="195"/>
      <c r="AN245" s="195"/>
    </row>
    <row r="246" spans="2:40">
      <c r="B246" s="253">
        <f t="shared" si="4"/>
        <v>238</v>
      </c>
      <c r="C246" s="244"/>
      <c r="D246" s="661"/>
      <c r="E246" s="466"/>
      <c r="F246" s="615"/>
      <c r="G246" s="3271"/>
      <c r="H246" s="230"/>
      <c r="I246" s="230"/>
      <c r="J246" s="230"/>
      <c r="K246" s="230"/>
      <c r="L246" s="230"/>
      <c r="M246" s="228"/>
      <c r="N246" s="257"/>
      <c r="O246" s="228"/>
      <c r="P246" s="228"/>
      <c r="Q246" s="258"/>
      <c r="R246" s="2577"/>
      <c r="S246" s="2577"/>
      <c r="T246" s="254"/>
      <c r="U246" s="228"/>
      <c r="V246" s="2552"/>
      <c r="W246" s="256"/>
      <c r="X246" s="248"/>
      <c r="Y246" s="248"/>
      <c r="Z246" s="248"/>
      <c r="AA246" s="247"/>
      <c r="AB246" s="248"/>
      <c r="AC246" s="248"/>
      <c r="AD246" s="194"/>
      <c r="AE246" s="249"/>
      <c r="AF246" s="250"/>
      <c r="AG246" s="251"/>
      <c r="AH246" s="252"/>
      <c r="AI246" s="241"/>
      <c r="AJ246" s="241"/>
      <c r="AK246" s="241"/>
      <c r="AL246" s="194"/>
      <c r="AM246" s="195"/>
      <c r="AN246" s="195"/>
    </row>
    <row r="247" spans="2:40">
      <c r="B247" s="253">
        <f t="shared" si="4"/>
        <v>239</v>
      </c>
      <c r="C247" s="244"/>
      <c r="D247" s="661"/>
      <c r="E247" s="466"/>
      <c r="F247" s="615"/>
      <c r="G247" s="3271"/>
      <c r="H247" s="230"/>
      <c r="I247" s="230"/>
      <c r="J247" s="230"/>
      <c r="K247" s="230"/>
      <c r="L247" s="230"/>
      <c r="M247" s="228"/>
      <c r="N247" s="257"/>
      <c r="O247" s="228"/>
      <c r="P247" s="228"/>
      <c r="Q247" s="258"/>
      <c r="R247" s="2577"/>
      <c r="S247" s="2577"/>
      <c r="T247" s="254"/>
      <c r="U247" s="228"/>
      <c r="V247" s="2552"/>
      <c r="W247" s="256"/>
      <c r="X247" s="248"/>
      <c r="Y247" s="248"/>
      <c r="Z247" s="248"/>
      <c r="AA247" s="247"/>
      <c r="AB247" s="248"/>
      <c r="AC247" s="248"/>
      <c r="AD247" s="194"/>
      <c r="AE247" s="249"/>
      <c r="AF247" s="250"/>
      <c r="AG247" s="251"/>
      <c r="AH247" s="252"/>
      <c r="AI247" s="241"/>
      <c r="AJ247" s="241"/>
      <c r="AK247" s="241"/>
      <c r="AL247" s="194"/>
      <c r="AM247" s="195"/>
      <c r="AN247" s="195"/>
    </row>
    <row r="248" spans="2:40">
      <c r="B248" s="253">
        <f t="shared" si="4"/>
        <v>240</v>
      </c>
      <c r="C248" s="244"/>
      <c r="D248" s="661"/>
      <c r="E248" s="466"/>
      <c r="F248" s="615"/>
      <c r="G248" s="3271"/>
      <c r="H248" s="230"/>
      <c r="I248" s="230"/>
      <c r="J248" s="230"/>
      <c r="K248" s="230"/>
      <c r="L248" s="230"/>
      <c r="M248" s="228"/>
      <c r="N248" s="257"/>
      <c r="O248" s="228"/>
      <c r="P248" s="228"/>
      <c r="Q248" s="258"/>
      <c r="R248" s="2577"/>
      <c r="S248" s="2577"/>
      <c r="T248" s="254"/>
      <c r="U248" s="228"/>
      <c r="V248" s="2552"/>
      <c r="W248" s="256"/>
      <c r="X248" s="248"/>
      <c r="Y248" s="248"/>
      <c r="Z248" s="248"/>
      <c r="AA248" s="247"/>
      <c r="AB248" s="248"/>
      <c r="AC248" s="248"/>
      <c r="AD248" s="194"/>
      <c r="AE248" s="249"/>
      <c r="AF248" s="250"/>
      <c r="AG248" s="251"/>
      <c r="AH248" s="252"/>
      <c r="AI248" s="241"/>
      <c r="AJ248" s="241"/>
      <c r="AK248" s="241"/>
      <c r="AL248" s="194"/>
      <c r="AM248" s="195"/>
      <c r="AN248" s="195"/>
    </row>
    <row r="249" spans="2:40">
      <c r="B249" s="253">
        <f t="shared" si="4"/>
        <v>241</v>
      </c>
      <c r="C249" s="244"/>
      <c r="D249" s="661"/>
      <c r="E249" s="466"/>
      <c r="F249" s="615"/>
      <c r="G249" s="3271"/>
      <c r="H249" s="230"/>
      <c r="I249" s="230"/>
      <c r="J249" s="230"/>
      <c r="K249" s="230"/>
      <c r="L249" s="230"/>
      <c r="M249" s="228"/>
      <c r="N249" s="257"/>
      <c r="O249" s="228"/>
      <c r="P249" s="228"/>
      <c r="Q249" s="258"/>
      <c r="R249" s="2577"/>
      <c r="S249" s="2577"/>
      <c r="T249" s="254"/>
      <c r="U249" s="228"/>
      <c r="V249" s="2552"/>
      <c r="W249" s="256"/>
      <c r="X249" s="248"/>
      <c r="Y249" s="248"/>
      <c r="Z249" s="248"/>
      <c r="AA249" s="247"/>
      <c r="AB249" s="248"/>
      <c r="AC249" s="248"/>
      <c r="AD249" s="194"/>
      <c r="AE249" s="249"/>
      <c r="AF249" s="250"/>
      <c r="AG249" s="251"/>
      <c r="AH249" s="252"/>
      <c r="AI249" s="241"/>
      <c r="AJ249" s="241"/>
      <c r="AK249" s="241"/>
      <c r="AL249" s="194"/>
      <c r="AM249" s="195"/>
      <c r="AN249" s="195"/>
    </row>
    <row r="250" spans="2:40">
      <c r="B250" s="253">
        <f t="shared" si="4"/>
        <v>242</v>
      </c>
      <c r="C250" s="244"/>
      <c r="D250" s="661"/>
      <c r="E250" s="466"/>
      <c r="F250" s="615"/>
      <c r="G250" s="3271"/>
      <c r="H250" s="230"/>
      <c r="I250" s="230"/>
      <c r="J250" s="230"/>
      <c r="K250" s="230"/>
      <c r="L250" s="230"/>
      <c r="M250" s="228"/>
      <c r="N250" s="257"/>
      <c r="O250" s="228"/>
      <c r="P250" s="228"/>
      <c r="Q250" s="258"/>
      <c r="R250" s="2577"/>
      <c r="S250" s="2577"/>
      <c r="T250" s="254"/>
      <c r="U250" s="228"/>
      <c r="V250" s="2552"/>
      <c r="W250" s="256"/>
      <c r="X250" s="248"/>
      <c r="Y250" s="248"/>
      <c r="Z250" s="248"/>
      <c r="AA250" s="247"/>
      <c r="AB250" s="248"/>
      <c r="AC250" s="248"/>
      <c r="AD250" s="194"/>
      <c r="AE250" s="249"/>
      <c r="AF250" s="250"/>
      <c r="AG250" s="251"/>
      <c r="AH250" s="252"/>
      <c r="AI250" s="241"/>
      <c r="AJ250" s="241"/>
      <c r="AK250" s="241"/>
      <c r="AL250" s="194"/>
      <c r="AM250" s="195"/>
      <c r="AN250" s="195"/>
    </row>
    <row r="251" spans="2:40">
      <c r="B251" s="253">
        <f t="shared" si="4"/>
        <v>243</v>
      </c>
      <c r="C251" s="244"/>
      <c r="D251" s="661"/>
      <c r="E251" s="466"/>
      <c r="F251" s="615"/>
      <c r="G251" s="3271"/>
      <c r="H251" s="230"/>
      <c r="I251" s="230"/>
      <c r="J251" s="230"/>
      <c r="K251" s="230"/>
      <c r="L251" s="230"/>
      <c r="M251" s="228"/>
      <c r="N251" s="257"/>
      <c r="O251" s="228"/>
      <c r="P251" s="228"/>
      <c r="Q251" s="258"/>
      <c r="R251" s="2577"/>
      <c r="S251" s="2577"/>
      <c r="T251" s="254"/>
      <c r="U251" s="228"/>
      <c r="V251" s="2552"/>
      <c r="W251" s="256"/>
      <c r="X251" s="248"/>
      <c r="Y251" s="248"/>
      <c r="Z251" s="248"/>
      <c r="AA251" s="247"/>
      <c r="AB251" s="248"/>
      <c r="AC251" s="248"/>
      <c r="AD251" s="194"/>
      <c r="AE251" s="249"/>
      <c r="AF251" s="250"/>
      <c r="AG251" s="251"/>
      <c r="AH251" s="252"/>
      <c r="AI251" s="241"/>
      <c r="AJ251" s="241"/>
      <c r="AK251" s="241"/>
      <c r="AL251" s="194"/>
      <c r="AM251" s="195"/>
      <c r="AN251" s="195"/>
    </row>
    <row r="252" spans="2:40">
      <c r="B252" s="253">
        <f t="shared" si="4"/>
        <v>244</v>
      </c>
      <c r="C252" s="244"/>
      <c r="D252" s="661"/>
      <c r="E252" s="466"/>
      <c r="F252" s="615"/>
      <c r="G252" s="3271"/>
      <c r="H252" s="230"/>
      <c r="I252" s="230"/>
      <c r="J252" s="230"/>
      <c r="K252" s="230"/>
      <c r="L252" s="230"/>
      <c r="M252" s="228"/>
      <c r="N252" s="257"/>
      <c r="O252" s="228"/>
      <c r="P252" s="228"/>
      <c r="Q252" s="258"/>
      <c r="R252" s="2577"/>
      <c r="S252" s="2577"/>
      <c r="T252" s="254"/>
      <c r="U252" s="228"/>
      <c r="V252" s="2552"/>
      <c r="W252" s="256"/>
      <c r="X252" s="248"/>
      <c r="Y252" s="248"/>
      <c r="Z252" s="248"/>
      <c r="AA252" s="247"/>
      <c r="AB252" s="248"/>
      <c r="AC252" s="248"/>
      <c r="AD252" s="194"/>
      <c r="AE252" s="249"/>
      <c r="AF252" s="250"/>
      <c r="AG252" s="251"/>
      <c r="AH252" s="252"/>
      <c r="AI252" s="241"/>
      <c r="AJ252" s="241"/>
      <c r="AK252" s="241"/>
      <c r="AL252" s="194"/>
      <c r="AM252" s="195"/>
      <c r="AN252" s="195"/>
    </row>
    <row r="253" spans="2:40">
      <c r="B253" s="253">
        <f t="shared" si="4"/>
        <v>245</v>
      </c>
      <c r="C253" s="244"/>
      <c r="D253" s="661"/>
      <c r="E253" s="466"/>
      <c r="F253" s="615"/>
      <c r="G253" s="3271"/>
      <c r="H253" s="230"/>
      <c r="I253" s="230"/>
      <c r="J253" s="230"/>
      <c r="K253" s="230"/>
      <c r="L253" s="230"/>
      <c r="M253" s="228"/>
      <c r="N253" s="257"/>
      <c r="O253" s="228"/>
      <c r="P253" s="228"/>
      <c r="Q253" s="258"/>
      <c r="R253" s="2577"/>
      <c r="S253" s="2577"/>
      <c r="T253" s="254"/>
      <c r="U253" s="228"/>
      <c r="V253" s="2552"/>
      <c r="W253" s="256"/>
      <c r="X253" s="248"/>
      <c r="Y253" s="248"/>
      <c r="Z253" s="248"/>
      <c r="AA253" s="247"/>
      <c r="AB253" s="248"/>
      <c r="AC253" s="248"/>
      <c r="AD253" s="194"/>
      <c r="AE253" s="249"/>
      <c r="AF253" s="250"/>
      <c r="AG253" s="251"/>
      <c r="AH253" s="252"/>
      <c r="AI253" s="241"/>
      <c r="AJ253" s="241"/>
      <c r="AK253" s="241"/>
      <c r="AL253" s="194"/>
      <c r="AM253" s="195"/>
      <c r="AN253" s="195"/>
    </row>
    <row r="254" spans="2:40">
      <c r="B254" s="253">
        <f t="shared" si="4"/>
        <v>246</v>
      </c>
      <c r="C254" s="244"/>
      <c r="D254" s="661"/>
      <c r="E254" s="466"/>
      <c r="F254" s="615"/>
      <c r="G254" s="3271"/>
      <c r="H254" s="230"/>
      <c r="I254" s="230"/>
      <c r="J254" s="230"/>
      <c r="K254" s="230"/>
      <c r="L254" s="230"/>
      <c r="M254" s="228"/>
      <c r="N254" s="257"/>
      <c r="O254" s="228"/>
      <c r="P254" s="228"/>
      <c r="Q254" s="258"/>
      <c r="R254" s="2577"/>
      <c r="S254" s="2577"/>
      <c r="T254" s="254"/>
      <c r="U254" s="228"/>
      <c r="V254" s="2552"/>
      <c r="W254" s="256"/>
      <c r="X254" s="248"/>
      <c r="Y254" s="248"/>
      <c r="Z254" s="248"/>
      <c r="AA254" s="247"/>
      <c r="AB254" s="248"/>
      <c r="AC254" s="248"/>
      <c r="AD254" s="194"/>
      <c r="AE254" s="249"/>
      <c r="AF254" s="250"/>
      <c r="AG254" s="251"/>
      <c r="AH254" s="252"/>
      <c r="AI254" s="241"/>
      <c r="AJ254" s="241"/>
      <c r="AK254" s="241"/>
      <c r="AL254" s="194"/>
      <c r="AM254" s="195"/>
      <c r="AN254" s="195"/>
    </row>
    <row r="255" spans="2:40">
      <c r="B255" s="253">
        <f t="shared" si="4"/>
        <v>247</v>
      </c>
      <c r="C255" s="244"/>
      <c r="D255" s="661"/>
      <c r="E255" s="466"/>
      <c r="F255" s="615"/>
      <c r="G255" s="3271"/>
      <c r="H255" s="230"/>
      <c r="I255" s="230"/>
      <c r="J255" s="230"/>
      <c r="K255" s="230"/>
      <c r="L255" s="230"/>
      <c r="M255" s="228"/>
      <c r="N255" s="257"/>
      <c r="O255" s="228"/>
      <c r="P255" s="228"/>
      <c r="Q255" s="258"/>
      <c r="R255" s="2577"/>
      <c r="S255" s="2577"/>
      <c r="T255" s="254"/>
      <c r="U255" s="228"/>
      <c r="V255" s="2552"/>
      <c r="W255" s="256"/>
      <c r="X255" s="248"/>
      <c r="Y255" s="248"/>
      <c r="Z255" s="248"/>
      <c r="AA255" s="247"/>
      <c r="AB255" s="248"/>
      <c r="AC255" s="248"/>
      <c r="AD255" s="194"/>
      <c r="AE255" s="249"/>
      <c r="AF255" s="250"/>
      <c r="AG255" s="251"/>
      <c r="AH255" s="252"/>
      <c r="AI255" s="241"/>
      <c r="AJ255" s="241"/>
      <c r="AK255" s="241"/>
      <c r="AL255" s="194"/>
      <c r="AM255" s="195"/>
      <c r="AN255" s="195"/>
    </row>
    <row r="256" spans="2:40">
      <c r="B256" s="253">
        <f t="shared" si="4"/>
        <v>248</v>
      </c>
      <c r="C256" s="244"/>
      <c r="D256" s="661"/>
      <c r="E256" s="466"/>
      <c r="F256" s="615"/>
      <c r="G256" s="3271"/>
      <c r="H256" s="230"/>
      <c r="I256" s="230"/>
      <c r="J256" s="230"/>
      <c r="K256" s="230"/>
      <c r="L256" s="230"/>
      <c r="M256" s="228"/>
      <c r="N256" s="257"/>
      <c r="O256" s="228"/>
      <c r="P256" s="228"/>
      <c r="Q256" s="258"/>
      <c r="R256" s="2577"/>
      <c r="S256" s="2577"/>
      <c r="T256" s="254"/>
      <c r="U256" s="228"/>
      <c r="V256" s="2552"/>
      <c r="W256" s="256"/>
      <c r="X256" s="248"/>
      <c r="Y256" s="248"/>
      <c r="Z256" s="248"/>
      <c r="AA256" s="247"/>
      <c r="AB256" s="248"/>
      <c r="AC256" s="248"/>
      <c r="AD256" s="194"/>
      <c r="AE256" s="249"/>
      <c r="AF256" s="250"/>
      <c r="AG256" s="251"/>
      <c r="AH256" s="252"/>
      <c r="AI256" s="241"/>
      <c r="AJ256" s="241"/>
      <c r="AK256" s="241"/>
      <c r="AL256" s="194"/>
      <c r="AM256" s="195"/>
      <c r="AN256" s="195"/>
    </row>
    <row r="257" spans="2:40">
      <c r="B257" s="253">
        <f t="shared" si="4"/>
        <v>249</v>
      </c>
      <c r="C257" s="244"/>
      <c r="D257" s="661"/>
      <c r="E257" s="466"/>
      <c r="F257" s="615"/>
      <c r="G257" s="3271"/>
      <c r="H257" s="230"/>
      <c r="I257" s="230"/>
      <c r="J257" s="230"/>
      <c r="K257" s="230"/>
      <c r="L257" s="230"/>
      <c r="M257" s="228"/>
      <c r="N257" s="257"/>
      <c r="O257" s="228"/>
      <c r="P257" s="228"/>
      <c r="Q257" s="258"/>
      <c r="R257" s="2577"/>
      <c r="S257" s="2577"/>
      <c r="T257" s="254"/>
      <c r="U257" s="228"/>
      <c r="V257" s="2552"/>
      <c r="W257" s="256"/>
      <c r="X257" s="248"/>
      <c r="Y257" s="248"/>
      <c r="Z257" s="248"/>
      <c r="AA257" s="247"/>
      <c r="AB257" s="248"/>
      <c r="AC257" s="248"/>
      <c r="AD257" s="194"/>
      <c r="AE257" s="249"/>
      <c r="AF257" s="250"/>
      <c r="AG257" s="251"/>
      <c r="AH257" s="252"/>
      <c r="AI257" s="241"/>
      <c r="AJ257" s="241"/>
      <c r="AK257" s="241"/>
      <c r="AL257" s="194"/>
      <c r="AM257" s="195"/>
      <c r="AN257" s="195"/>
    </row>
    <row r="258" spans="2:40">
      <c r="B258" s="253">
        <f t="shared" si="4"/>
        <v>250</v>
      </c>
      <c r="C258" s="244"/>
      <c r="D258" s="661"/>
      <c r="E258" s="466"/>
      <c r="F258" s="615"/>
      <c r="G258" s="3271"/>
      <c r="H258" s="230"/>
      <c r="I258" s="230"/>
      <c r="J258" s="230"/>
      <c r="K258" s="230"/>
      <c r="L258" s="230"/>
      <c r="M258" s="228"/>
      <c r="N258" s="257"/>
      <c r="O258" s="228"/>
      <c r="P258" s="228"/>
      <c r="Q258" s="258"/>
      <c r="R258" s="2577"/>
      <c r="S258" s="2577"/>
      <c r="T258" s="254"/>
      <c r="U258" s="228"/>
      <c r="V258" s="2552"/>
      <c r="W258" s="256"/>
      <c r="X258" s="248"/>
      <c r="Y258" s="248"/>
      <c r="Z258" s="248"/>
      <c r="AA258" s="247"/>
      <c r="AB258" s="248"/>
      <c r="AC258" s="248"/>
      <c r="AD258" s="194"/>
      <c r="AE258" s="249"/>
      <c r="AF258" s="250"/>
      <c r="AG258" s="251"/>
      <c r="AH258" s="252"/>
      <c r="AI258" s="241"/>
      <c r="AJ258" s="241"/>
      <c r="AK258" s="241"/>
      <c r="AL258" s="194"/>
      <c r="AM258" s="195"/>
      <c r="AN258" s="195"/>
    </row>
    <row r="259" spans="2:40">
      <c r="B259" s="253">
        <f t="shared" si="4"/>
        <v>251</v>
      </c>
      <c r="C259" s="244"/>
      <c r="D259" s="661"/>
      <c r="E259" s="466"/>
      <c r="F259" s="615"/>
      <c r="G259" s="3271"/>
      <c r="H259" s="230"/>
      <c r="I259" s="230"/>
      <c r="J259" s="230"/>
      <c r="K259" s="230"/>
      <c r="L259" s="230"/>
      <c r="M259" s="228"/>
      <c r="N259" s="257"/>
      <c r="O259" s="228"/>
      <c r="P259" s="228"/>
      <c r="Q259" s="258"/>
      <c r="R259" s="2577"/>
      <c r="S259" s="2577"/>
      <c r="T259" s="254"/>
      <c r="U259" s="228"/>
      <c r="V259" s="2552"/>
      <c r="W259" s="256"/>
      <c r="X259" s="248"/>
      <c r="Y259" s="248"/>
      <c r="Z259" s="248"/>
      <c r="AA259" s="247"/>
      <c r="AB259" s="248"/>
      <c r="AC259" s="248"/>
      <c r="AD259" s="194"/>
      <c r="AE259" s="249"/>
      <c r="AF259" s="250"/>
      <c r="AG259" s="251"/>
      <c r="AH259" s="252"/>
      <c r="AI259" s="241"/>
      <c r="AJ259" s="241"/>
      <c r="AK259" s="241"/>
      <c r="AL259" s="194"/>
      <c r="AM259" s="195"/>
      <c r="AN259" s="195"/>
    </row>
    <row r="260" spans="2:40">
      <c r="B260" s="253">
        <f t="shared" si="4"/>
        <v>252</v>
      </c>
      <c r="C260" s="244"/>
      <c r="D260" s="661"/>
      <c r="E260" s="466"/>
      <c r="F260" s="615"/>
      <c r="G260" s="3271"/>
      <c r="H260" s="230"/>
      <c r="I260" s="230"/>
      <c r="J260" s="230"/>
      <c r="K260" s="230"/>
      <c r="L260" s="230"/>
      <c r="M260" s="228"/>
      <c r="N260" s="257"/>
      <c r="O260" s="228"/>
      <c r="P260" s="228"/>
      <c r="Q260" s="258"/>
      <c r="R260" s="2577"/>
      <c r="S260" s="2577"/>
      <c r="T260" s="254"/>
      <c r="U260" s="228"/>
      <c r="V260" s="2552"/>
      <c r="W260" s="256"/>
      <c r="X260" s="248"/>
      <c r="Y260" s="248"/>
      <c r="Z260" s="248"/>
      <c r="AA260" s="247"/>
      <c r="AB260" s="248"/>
      <c r="AC260" s="248"/>
      <c r="AD260" s="194"/>
      <c r="AE260" s="249"/>
      <c r="AF260" s="250"/>
      <c r="AG260" s="251"/>
      <c r="AH260" s="252"/>
      <c r="AI260" s="241"/>
      <c r="AJ260" s="241"/>
      <c r="AK260" s="241"/>
      <c r="AL260" s="194"/>
      <c r="AM260" s="195"/>
      <c r="AN260" s="195"/>
    </row>
    <row r="261" spans="2:40">
      <c r="B261" s="253">
        <f t="shared" si="4"/>
        <v>253</v>
      </c>
      <c r="C261" s="244"/>
      <c r="D261" s="661"/>
      <c r="E261" s="466"/>
      <c r="F261" s="615"/>
      <c r="G261" s="3271"/>
      <c r="H261" s="230"/>
      <c r="I261" s="230"/>
      <c r="J261" s="230"/>
      <c r="K261" s="230"/>
      <c r="L261" s="230"/>
      <c r="M261" s="228"/>
      <c r="N261" s="257"/>
      <c r="O261" s="228"/>
      <c r="P261" s="228"/>
      <c r="Q261" s="258"/>
      <c r="R261" s="2577"/>
      <c r="S261" s="2577"/>
      <c r="T261" s="254"/>
      <c r="U261" s="228"/>
      <c r="V261" s="2552"/>
      <c r="W261" s="256"/>
      <c r="X261" s="248"/>
      <c r="Y261" s="248"/>
      <c r="Z261" s="248"/>
      <c r="AA261" s="247"/>
      <c r="AB261" s="248"/>
      <c r="AC261" s="248"/>
      <c r="AD261" s="194"/>
      <c r="AE261" s="249"/>
      <c r="AF261" s="250"/>
      <c r="AG261" s="251"/>
      <c r="AH261" s="252"/>
      <c r="AI261" s="241"/>
      <c r="AJ261" s="241"/>
      <c r="AK261" s="241"/>
      <c r="AL261" s="194"/>
      <c r="AM261" s="195"/>
      <c r="AN261" s="195"/>
    </row>
    <row r="262" spans="2:40">
      <c r="B262" s="253">
        <f t="shared" si="4"/>
        <v>254</v>
      </c>
      <c r="C262" s="244"/>
      <c r="D262" s="661"/>
      <c r="E262" s="466"/>
      <c r="F262" s="615"/>
      <c r="G262" s="3271"/>
      <c r="H262" s="230"/>
      <c r="I262" s="230"/>
      <c r="J262" s="230"/>
      <c r="K262" s="230"/>
      <c r="L262" s="230"/>
      <c r="M262" s="228"/>
      <c r="N262" s="257"/>
      <c r="O262" s="228"/>
      <c r="P262" s="228"/>
      <c r="Q262" s="258"/>
      <c r="R262" s="2577"/>
      <c r="S262" s="2577"/>
      <c r="T262" s="254"/>
      <c r="U262" s="228"/>
      <c r="V262" s="2552"/>
      <c r="W262" s="256"/>
      <c r="X262" s="248"/>
      <c r="Y262" s="248"/>
      <c r="Z262" s="248"/>
      <c r="AA262" s="247"/>
      <c r="AB262" s="248"/>
      <c r="AC262" s="248"/>
      <c r="AD262" s="194"/>
      <c r="AE262" s="249"/>
      <c r="AF262" s="250"/>
      <c r="AG262" s="251"/>
      <c r="AH262" s="252"/>
      <c r="AI262" s="241"/>
      <c r="AJ262" s="241"/>
      <c r="AK262" s="241"/>
      <c r="AL262" s="194"/>
      <c r="AM262" s="195"/>
      <c r="AN262" s="195"/>
    </row>
    <row r="263" spans="2:40">
      <c r="B263" s="253">
        <f t="shared" si="4"/>
        <v>255</v>
      </c>
      <c r="C263" s="244"/>
      <c r="D263" s="661"/>
      <c r="E263" s="466"/>
      <c r="F263" s="615"/>
      <c r="G263" s="3271"/>
      <c r="H263" s="230"/>
      <c r="I263" s="230"/>
      <c r="J263" s="230"/>
      <c r="K263" s="230"/>
      <c r="L263" s="230"/>
      <c r="M263" s="228"/>
      <c r="N263" s="257"/>
      <c r="O263" s="228"/>
      <c r="P263" s="228"/>
      <c r="Q263" s="258"/>
      <c r="R263" s="2577"/>
      <c r="S263" s="2577"/>
      <c r="T263" s="254"/>
      <c r="U263" s="228"/>
      <c r="V263" s="2552"/>
      <c r="W263" s="256"/>
      <c r="X263" s="248"/>
      <c r="Y263" s="248"/>
      <c r="Z263" s="248"/>
      <c r="AA263" s="247"/>
      <c r="AB263" s="248"/>
      <c r="AC263" s="248"/>
      <c r="AD263" s="194"/>
      <c r="AE263" s="249"/>
      <c r="AF263" s="250"/>
      <c r="AG263" s="251"/>
      <c r="AH263" s="252"/>
      <c r="AI263" s="241"/>
      <c r="AJ263" s="241"/>
      <c r="AK263" s="241"/>
      <c r="AL263" s="194"/>
      <c r="AM263" s="195"/>
      <c r="AN263" s="195"/>
    </row>
    <row r="264" spans="2:40">
      <c r="B264" s="253">
        <f t="shared" si="4"/>
        <v>256</v>
      </c>
      <c r="C264" s="244"/>
      <c r="D264" s="661"/>
      <c r="E264" s="466"/>
      <c r="F264" s="615"/>
      <c r="G264" s="3271"/>
      <c r="H264" s="230"/>
      <c r="I264" s="230"/>
      <c r="J264" s="230"/>
      <c r="K264" s="230"/>
      <c r="L264" s="230"/>
      <c r="M264" s="228"/>
      <c r="N264" s="257"/>
      <c r="O264" s="228"/>
      <c r="P264" s="228"/>
      <c r="Q264" s="258"/>
      <c r="R264" s="2577"/>
      <c r="S264" s="2577"/>
      <c r="T264" s="254"/>
      <c r="U264" s="228"/>
      <c r="V264" s="2552"/>
      <c r="W264" s="256"/>
      <c r="X264" s="248"/>
      <c r="Y264" s="248"/>
      <c r="Z264" s="248"/>
      <c r="AA264" s="247"/>
      <c r="AB264" s="248"/>
      <c r="AC264" s="248"/>
      <c r="AD264" s="194"/>
      <c r="AE264" s="249"/>
      <c r="AF264" s="250"/>
      <c r="AG264" s="251"/>
      <c r="AH264" s="252"/>
      <c r="AI264" s="241"/>
      <c r="AJ264" s="241"/>
      <c r="AK264" s="241"/>
      <c r="AL264" s="194"/>
      <c r="AM264" s="195"/>
      <c r="AN264" s="195"/>
    </row>
    <row r="265" spans="2:40">
      <c r="B265" s="253">
        <f t="shared" si="4"/>
        <v>257</v>
      </c>
      <c r="C265" s="244"/>
      <c r="D265" s="661"/>
      <c r="E265" s="466"/>
      <c r="F265" s="615"/>
      <c r="G265" s="3271"/>
      <c r="H265" s="230"/>
      <c r="I265" s="230"/>
      <c r="J265" s="230"/>
      <c r="K265" s="230"/>
      <c r="L265" s="230"/>
      <c r="M265" s="228"/>
      <c r="N265" s="257"/>
      <c r="O265" s="228"/>
      <c r="P265" s="228"/>
      <c r="Q265" s="258"/>
      <c r="R265" s="2577"/>
      <c r="S265" s="2577"/>
      <c r="T265" s="254"/>
      <c r="U265" s="228"/>
      <c r="V265" s="2552"/>
      <c r="W265" s="256"/>
      <c r="X265" s="248"/>
      <c r="Y265" s="248"/>
      <c r="Z265" s="248"/>
      <c r="AA265" s="247"/>
      <c r="AB265" s="248"/>
      <c r="AC265" s="248"/>
      <c r="AD265" s="194"/>
      <c r="AE265" s="249"/>
      <c r="AF265" s="250"/>
      <c r="AG265" s="251"/>
      <c r="AH265" s="252"/>
      <c r="AI265" s="241"/>
      <c r="AJ265" s="241"/>
      <c r="AK265" s="241"/>
      <c r="AL265" s="194"/>
      <c r="AM265" s="195"/>
      <c r="AN265" s="195"/>
    </row>
    <row r="266" spans="2:40">
      <c r="B266" s="253">
        <f t="shared" si="4"/>
        <v>258</v>
      </c>
      <c r="C266" s="244"/>
      <c r="D266" s="661"/>
      <c r="E266" s="466"/>
      <c r="F266" s="615"/>
      <c r="G266" s="3271"/>
      <c r="H266" s="230"/>
      <c r="I266" s="230"/>
      <c r="J266" s="230"/>
      <c r="K266" s="230"/>
      <c r="L266" s="230"/>
      <c r="M266" s="228"/>
      <c r="N266" s="257"/>
      <c r="O266" s="228"/>
      <c r="P266" s="228"/>
      <c r="Q266" s="258"/>
      <c r="R266" s="2577"/>
      <c r="S266" s="2577"/>
      <c r="T266" s="254"/>
      <c r="U266" s="228"/>
      <c r="V266" s="2552"/>
      <c r="W266" s="256"/>
      <c r="X266" s="248"/>
      <c r="Y266" s="248"/>
      <c r="Z266" s="248"/>
      <c r="AA266" s="247"/>
      <c r="AB266" s="248"/>
      <c r="AC266" s="248"/>
      <c r="AD266" s="194"/>
      <c r="AE266" s="249"/>
      <c r="AF266" s="250"/>
      <c r="AG266" s="251"/>
      <c r="AH266" s="252"/>
      <c r="AI266" s="241"/>
      <c r="AJ266" s="241"/>
      <c r="AK266" s="241"/>
      <c r="AL266" s="194"/>
      <c r="AM266" s="195"/>
      <c r="AN266" s="195"/>
    </row>
    <row r="267" spans="2:40">
      <c r="B267" s="253">
        <f t="shared" si="4"/>
        <v>259</v>
      </c>
      <c r="C267" s="244"/>
      <c r="D267" s="661"/>
      <c r="E267" s="466"/>
      <c r="F267" s="615"/>
      <c r="G267" s="3271"/>
      <c r="H267" s="230"/>
      <c r="I267" s="230"/>
      <c r="J267" s="230"/>
      <c r="K267" s="230"/>
      <c r="L267" s="230"/>
      <c r="M267" s="228"/>
      <c r="N267" s="257"/>
      <c r="O267" s="228"/>
      <c r="P267" s="228"/>
      <c r="Q267" s="258"/>
      <c r="R267" s="2577"/>
      <c r="S267" s="2577"/>
      <c r="T267" s="254"/>
      <c r="U267" s="228"/>
      <c r="V267" s="2552"/>
      <c r="W267" s="256"/>
      <c r="X267" s="248"/>
      <c r="Y267" s="248"/>
      <c r="Z267" s="248"/>
      <c r="AA267" s="247"/>
      <c r="AB267" s="248"/>
      <c r="AC267" s="248"/>
      <c r="AD267" s="194"/>
      <c r="AE267" s="249"/>
      <c r="AF267" s="250"/>
      <c r="AG267" s="251"/>
      <c r="AH267" s="252"/>
      <c r="AI267" s="241"/>
      <c r="AJ267" s="241"/>
      <c r="AK267" s="241"/>
      <c r="AL267" s="194"/>
      <c r="AM267" s="195"/>
      <c r="AN267" s="195"/>
    </row>
    <row r="268" spans="2:40">
      <c r="B268" s="253">
        <f t="shared" si="4"/>
        <v>260</v>
      </c>
      <c r="C268" s="244"/>
      <c r="D268" s="661"/>
      <c r="E268" s="466"/>
      <c r="F268" s="615"/>
      <c r="G268" s="3271"/>
      <c r="H268" s="230"/>
      <c r="I268" s="230"/>
      <c r="J268" s="230"/>
      <c r="K268" s="230"/>
      <c r="L268" s="230"/>
      <c r="M268" s="228"/>
      <c r="N268" s="257"/>
      <c r="O268" s="228"/>
      <c r="P268" s="228"/>
      <c r="Q268" s="258"/>
      <c r="R268" s="2577"/>
      <c r="S268" s="2577"/>
      <c r="T268" s="254"/>
      <c r="U268" s="228"/>
      <c r="V268" s="2552"/>
      <c r="W268" s="256"/>
      <c r="X268" s="248"/>
      <c r="Y268" s="248"/>
      <c r="Z268" s="248"/>
      <c r="AA268" s="247"/>
      <c r="AB268" s="248"/>
      <c r="AC268" s="248"/>
      <c r="AD268" s="194"/>
      <c r="AE268" s="249"/>
      <c r="AF268" s="250"/>
      <c r="AG268" s="251"/>
      <c r="AH268" s="252"/>
      <c r="AI268" s="241"/>
      <c r="AJ268" s="241"/>
      <c r="AK268" s="241"/>
      <c r="AL268" s="194"/>
      <c r="AM268" s="195"/>
      <c r="AN268" s="195"/>
    </row>
    <row r="269" spans="2:40">
      <c r="B269" s="253">
        <f t="shared" si="4"/>
        <v>261</v>
      </c>
      <c r="C269" s="244"/>
      <c r="D269" s="661"/>
      <c r="E269" s="466"/>
      <c r="F269" s="615"/>
      <c r="G269" s="3271"/>
      <c r="H269" s="230"/>
      <c r="I269" s="230"/>
      <c r="J269" s="230"/>
      <c r="K269" s="230"/>
      <c r="L269" s="230"/>
      <c r="M269" s="228"/>
      <c r="N269" s="257"/>
      <c r="O269" s="228"/>
      <c r="P269" s="228"/>
      <c r="Q269" s="258"/>
      <c r="R269" s="2577"/>
      <c r="S269" s="2577"/>
      <c r="T269" s="254"/>
      <c r="U269" s="228"/>
      <c r="V269" s="2552"/>
      <c r="W269" s="256"/>
      <c r="X269" s="248"/>
      <c r="Y269" s="248"/>
      <c r="Z269" s="248"/>
      <c r="AA269" s="247"/>
      <c r="AB269" s="248"/>
      <c r="AC269" s="248"/>
      <c r="AD269" s="194"/>
      <c r="AE269" s="249"/>
      <c r="AF269" s="250"/>
      <c r="AG269" s="251"/>
      <c r="AH269" s="252"/>
      <c r="AI269" s="241"/>
      <c r="AJ269" s="241"/>
      <c r="AK269" s="241"/>
      <c r="AL269" s="194"/>
      <c r="AM269" s="195"/>
      <c r="AN269" s="195"/>
    </row>
    <row r="270" spans="2:40">
      <c r="B270" s="253">
        <f t="shared" si="4"/>
        <v>262</v>
      </c>
      <c r="C270" s="244"/>
      <c r="D270" s="661"/>
      <c r="E270" s="466"/>
      <c r="F270" s="615"/>
      <c r="G270" s="3271"/>
      <c r="H270" s="230"/>
      <c r="I270" s="230"/>
      <c r="J270" s="230"/>
      <c r="K270" s="230"/>
      <c r="L270" s="230"/>
      <c r="M270" s="228"/>
      <c r="N270" s="257"/>
      <c r="O270" s="228"/>
      <c r="P270" s="228"/>
      <c r="Q270" s="258"/>
      <c r="R270" s="2577"/>
      <c r="S270" s="2577"/>
      <c r="T270" s="254"/>
      <c r="U270" s="228"/>
      <c r="V270" s="2552"/>
      <c r="W270" s="256"/>
      <c r="X270" s="248"/>
      <c r="Y270" s="248"/>
      <c r="Z270" s="248"/>
      <c r="AA270" s="247"/>
      <c r="AB270" s="248"/>
      <c r="AC270" s="248"/>
      <c r="AD270" s="194"/>
      <c r="AE270" s="249"/>
      <c r="AF270" s="250"/>
      <c r="AG270" s="251"/>
      <c r="AH270" s="252"/>
      <c r="AI270" s="241"/>
      <c r="AJ270" s="241"/>
      <c r="AK270" s="241"/>
      <c r="AL270" s="194"/>
      <c r="AM270" s="195"/>
      <c r="AN270" s="195"/>
    </row>
    <row r="271" spans="2:40">
      <c r="B271" s="253">
        <f t="shared" si="4"/>
        <v>263</v>
      </c>
      <c r="C271" s="244"/>
      <c r="D271" s="661"/>
      <c r="E271" s="466"/>
      <c r="F271" s="615"/>
      <c r="G271" s="3271"/>
      <c r="H271" s="230"/>
      <c r="I271" s="230"/>
      <c r="J271" s="230"/>
      <c r="K271" s="230"/>
      <c r="L271" s="230"/>
      <c r="M271" s="228"/>
      <c r="N271" s="257"/>
      <c r="O271" s="228"/>
      <c r="P271" s="228"/>
      <c r="Q271" s="258"/>
      <c r="R271" s="2577"/>
      <c r="S271" s="2577"/>
      <c r="T271" s="254"/>
      <c r="U271" s="228"/>
      <c r="V271" s="2552"/>
      <c r="W271" s="256"/>
      <c r="X271" s="248"/>
      <c r="Y271" s="248"/>
      <c r="Z271" s="248"/>
      <c r="AA271" s="247"/>
      <c r="AB271" s="248"/>
      <c r="AC271" s="248"/>
      <c r="AD271" s="194"/>
      <c r="AE271" s="249"/>
      <c r="AF271" s="250"/>
      <c r="AG271" s="251"/>
      <c r="AH271" s="252"/>
      <c r="AI271" s="241"/>
      <c r="AJ271" s="241"/>
      <c r="AK271" s="241"/>
      <c r="AL271" s="194"/>
      <c r="AM271" s="195"/>
      <c r="AN271" s="195"/>
    </row>
    <row r="272" spans="2:40">
      <c r="B272" s="253">
        <f t="shared" si="4"/>
        <v>264</v>
      </c>
      <c r="C272" s="244"/>
      <c r="D272" s="661"/>
      <c r="E272" s="466"/>
      <c r="F272" s="615"/>
      <c r="G272" s="3271"/>
      <c r="H272" s="230"/>
      <c r="I272" s="230"/>
      <c r="J272" s="230"/>
      <c r="K272" s="230"/>
      <c r="L272" s="230"/>
      <c r="M272" s="228"/>
      <c r="N272" s="257"/>
      <c r="O272" s="228"/>
      <c r="P272" s="228"/>
      <c r="Q272" s="258"/>
      <c r="R272" s="2577"/>
      <c r="S272" s="2577"/>
      <c r="T272" s="254"/>
      <c r="U272" s="228"/>
      <c r="V272" s="2552"/>
      <c r="W272" s="256"/>
      <c r="X272" s="248"/>
      <c r="Y272" s="248"/>
      <c r="Z272" s="248"/>
      <c r="AA272" s="247"/>
      <c r="AB272" s="248"/>
      <c r="AC272" s="248"/>
      <c r="AD272" s="194"/>
      <c r="AE272" s="249"/>
      <c r="AF272" s="250"/>
      <c r="AG272" s="251"/>
      <c r="AH272" s="252"/>
      <c r="AI272" s="241"/>
      <c r="AJ272" s="241"/>
      <c r="AK272" s="241"/>
      <c r="AL272" s="194"/>
      <c r="AM272" s="195"/>
      <c r="AN272" s="195"/>
    </row>
    <row r="273" spans="2:40">
      <c r="B273" s="253">
        <f t="shared" si="4"/>
        <v>265</v>
      </c>
      <c r="C273" s="244"/>
      <c r="D273" s="661"/>
      <c r="E273" s="466"/>
      <c r="F273" s="615"/>
      <c r="G273" s="3271"/>
      <c r="H273" s="230"/>
      <c r="I273" s="230"/>
      <c r="J273" s="230"/>
      <c r="K273" s="230"/>
      <c r="L273" s="230"/>
      <c r="M273" s="228"/>
      <c r="N273" s="257"/>
      <c r="O273" s="228"/>
      <c r="P273" s="228"/>
      <c r="Q273" s="258"/>
      <c r="R273" s="2577"/>
      <c r="S273" s="2577"/>
      <c r="T273" s="254"/>
      <c r="U273" s="228"/>
      <c r="V273" s="2552"/>
      <c r="W273" s="256"/>
      <c r="X273" s="248"/>
      <c r="Y273" s="248"/>
      <c r="Z273" s="248"/>
      <c r="AA273" s="247"/>
      <c r="AB273" s="248"/>
      <c r="AC273" s="248"/>
      <c r="AD273" s="194"/>
      <c r="AE273" s="249"/>
      <c r="AF273" s="250"/>
      <c r="AG273" s="251"/>
      <c r="AH273" s="252"/>
      <c r="AI273" s="241"/>
      <c r="AJ273" s="241"/>
      <c r="AK273" s="241"/>
      <c r="AL273" s="194"/>
      <c r="AM273" s="195"/>
      <c r="AN273" s="195"/>
    </row>
    <row r="274" spans="2:40">
      <c r="B274" s="253">
        <f t="shared" si="4"/>
        <v>266</v>
      </c>
      <c r="C274" s="244"/>
      <c r="D274" s="661"/>
      <c r="E274" s="466"/>
      <c r="F274" s="615"/>
      <c r="G274" s="3271"/>
      <c r="H274" s="230"/>
      <c r="I274" s="230"/>
      <c r="J274" s="230"/>
      <c r="K274" s="230"/>
      <c r="L274" s="230"/>
      <c r="M274" s="228"/>
      <c r="N274" s="257"/>
      <c r="O274" s="228"/>
      <c r="P274" s="228"/>
      <c r="Q274" s="258"/>
      <c r="R274" s="2577"/>
      <c r="S274" s="2577"/>
      <c r="T274" s="254"/>
      <c r="U274" s="228"/>
      <c r="V274" s="2552"/>
      <c r="W274" s="256"/>
      <c r="X274" s="248"/>
      <c r="Y274" s="248"/>
      <c r="Z274" s="248"/>
      <c r="AA274" s="247"/>
      <c r="AB274" s="248"/>
      <c r="AC274" s="248"/>
      <c r="AD274" s="194"/>
      <c r="AE274" s="249"/>
      <c r="AF274" s="250"/>
      <c r="AG274" s="251"/>
      <c r="AH274" s="252"/>
      <c r="AI274" s="241"/>
      <c r="AJ274" s="241"/>
      <c r="AK274" s="241"/>
      <c r="AL274" s="194"/>
      <c r="AM274" s="195"/>
      <c r="AN274" s="195"/>
    </row>
    <row r="275" spans="2:40">
      <c r="B275" s="253">
        <f t="shared" si="4"/>
        <v>267</v>
      </c>
      <c r="C275" s="244"/>
      <c r="D275" s="661"/>
      <c r="E275" s="466"/>
      <c r="F275" s="615"/>
      <c r="G275" s="3271"/>
      <c r="H275" s="230"/>
      <c r="I275" s="230"/>
      <c r="J275" s="230"/>
      <c r="K275" s="230"/>
      <c r="L275" s="230"/>
      <c r="M275" s="228"/>
      <c r="N275" s="257"/>
      <c r="O275" s="228"/>
      <c r="P275" s="228"/>
      <c r="Q275" s="258"/>
      <c r="R275" s="2577"/>
      <c r="S275" s="2577"/>
      <c r="T275" s="254"/>
      <c r="U275" s="228"/>
      <c r="V275" s="2552"/>
      <c r="W275" s="256"/>
      <c r="X275" s="248"/>
      <c r="Y275" s="248"/>
      <c r="Z275" s="248"/>
      <c r="AA275" s="247"/>
      <c r="AB275" s="248"/>
      <c r="AC275" s="248"/>
      <c r="AD275" s="194"/>
      <c r="AE275" s="249"/>
      <c r="AF275" s="250"/>
      <c r="AG275" s="251"/>
      <c r="AH275" s="252"/>
      <c r="AI275" s="241"/>
      <c r="AJ275" s="241"/>
      <c r="AK275" s="241"/>
      <c r="AL275" s="194"/>
      <c r="AM275" s="195"/>
      <c r="AN275" s="195"/>
    </row>
    <row r="276" spans="2:40">
      <c r="B276" s="253">
        <f t="shared" si="4"/>
        <v>268</v>
      </c>
      <c r="C276" s="244"/>
      <c r="D276" s="661"/>
      <c r="E276" s="466"/>
      <c r="F276" s="615"/>
      <c r="G276" s="3271"/>
      <c r="H276" s="230"/>
      <c r="I276" s="230"/>
      <c r="J276" s="230"/>
      <c r="K276" s="230"/>
      <c r="L276" s="230"/>
      <c r="M276" s="228"/>
      <c r="N276" s="257"/>
      <c r="O276" s="228"/>
      <c r="P276" s="228"/>
      <c r="Q276" s="258"/>
      <c r="R276" s="2577"/>
      <c r="S276" s="2577"/>
      <c r="T276" s="254"/>
      <c r="U276" s="228"/>
      <c r="V276" s="2552"/>
      <c r="W276" s="256"/>
      <c r="X276" s="248"/>
      <c r="Y276" s="248"/>
      <c r="Z276" s="248"/>
      <c r="AA276" s="247"/>
      <c r="AB276" s="248"/>
      <c r="AC276" s="248"/>
      <c r="AD276" s="194"/>
      <c r="AE276" s="249"/>
      <c r="AF276" s="250"/>
      <c r="AG276" s="251"/>
      <c r="AH276" s="252"/>
      <c r="AI276" s="241"/>
      <c r="AJ276" s="241"/>
      <c r="AK276" s="241"/>
      <c r="AL276" s="194"/>
      <c r="AM276" s="195"/>
      <c r="AN276" s="195"/>
    </row>
    <row r="277" spans="2:40">
      <c r="B277" s="253">
        <f t="shared" si="4"/>
        <v>269</v>
      </c>
      <c r="C277" s="244"/>
      <c r="D277" s="661"/>
      <c r="E277" s="466"/>
      <c r="F277" s="615"/>
      <c r="G277" s="3271"/>
      <c r="H277" s="230"/>
      <c r="I277" s="230"/>
      <c r="J277" s="230"/>
      <c r="K277" s="230"/>
      <c r="L277" s="230"/>
      <c r="M277" s="228"/>
      <c r="N277" s="257"/>
      <c r="O277" s="228"/>
      <c r="P277" s="228"/>
      <c r="Q277" s="258"/>
      <c r="R277" s="2577"/>
      <c r="S277" s="2577"/>
      <c r="T277" s="254"/>
      <c r="U277" s="228"/>
      <c r="V277" s="2552"/>
      <c r="W277" s="256"/>
      <c r="X277" s="248"/>
      <c r="Y277" s="248"/>
      <c r="Z277" s="248"/>
      <c r="AA277" s="247"/>
      <c r="AB277" s="248"/>
      <c r="AC277" s="248"/>
      <c r="AD277" s="194"/>
      <c r="AE277" s="249"/>
      <c r="AF277" s="250"/>
      <c r="AG277" s="251"/>
      <c r="AH277" s="252"/>
      <c r="AI277" s="241"/>
      <c r="AJ277" s="241"/>
      <c r="AK277" s="241"/>
      <c r="AL277" s="194"/>
      <c r="AM277" s="195"/>
      <c r="AN277" s="195"/>
    </row>
    <row r="278" spans="2:40">
      <c r="B278" s="253">
        <f t="shared" si="4"/>
        <v>270</v>
      </c>
      <c r="C278" s="244"/>
      <c r="D278" s="661"/>
      <c r="E278" s="466"/>
      <c r="F278" s="615"/>
      <c r="G278" s="3271"/>
      <c r="H278" s="230"/>
      <c r="I278" s="230"/>
      <c r="J278" s="230"/>
      <c r="K278" s="230"/>
      <c r="L278" s="230"/>
      <c r="M278" s="228"/>
      <c r="N278" s="257"/>
      <c r="O278" s="228"/>
      <c r="P278" s="228"/>
      <c r="Q278" s="258"/>
      <c r="R278" s="2577"/>
      <c r="S278" s="2577"/>
      <c r="T278" s="254"/>
      <c r="U278" s="228"/>
      <c r="V278" s="2552"/>
      <c r="W278" s="256"/>
      <c r="X278" s="248"/>
      <c r="Y278" s="248"/>
      <c r="Z278" s="248"/>
      <c r="AA278" s="247"/>
      <c r="AB278" s="248"/>
      <c r="AC278" s="248"/>
      <c r="AD278" s="194"/>
      <c r="AE278" s="249"/>
      <c r="AF278" s="250"/>
      <c r="AG278" s="251"/>
      <c r="AH278" s="252"/>
      <c r="AI278" s="241"/>
      <c r="AJ278" s="241"/>
      <c r="AK278" s="241"/>
      <c r="AL278" s="194"/>
      <c r="AM278" s="195"/>
      <c r="AN278" s="195"/>
    </row>
  </sheetData>
  <autoFilter ref="A3:AO3"/>
  <mergeCells count="4">
    <mergeCell ref="B4:M4"/>
    <mergeCell ref="B1:T1"/>
    <mergeCell ref="B6:M6"/>
    <mergeCell ref="B8:M8"/>
  </mergeCells>
  <conditionalFormatting sqref="P4">
    <cfRule type="duplicateValues" dxfId="223" priority="7"/>
  </conditionalFormatting>
  <conditionalFormatting sqref="E5">
    <cfRule type="duplicateValues" dxfId="222" priority="6"/>
  </conditionalFormatting>
  <conditionalFormatting sqref="P5 P7 P9:P278">
    <cfRule type="duplicateValues" dxfId="221" priority="182"/>
  </conditionalFormatting>
  <conditionalFormatting sqref="P5">
    <cfRule type="duplicateValues" dxfId="220" priority="183"/>
  </conditionalFormatting>
  <conditionalFormatting sqref="E9:E278">
    <cfRule type="duplicateValues" dxfId="219" priority="184"/>
  </conditionalFormatting>
  <conditionalFormatting sqref="P6">
    <cfRule type="duplicateValues" dxfId="218" priority="4"/>
  </conditionalFormatting>
  <conditionalFormatting sqref="E7">
    <cfRule type="duplicateValues" dxfId="217" priority="3"/>
  </conditionalFormatting>
  <conditionalFormatting sqref="P8">
    <cfRule type="duplicateValues" dxfId="216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1"/>
  <sheetViews>
    <sheetView topLeftCell="B1" zoomScale="70" zoomScaleNormal="70" workbookViewId="0">
      <pane xSplit="21" ySplit="3" topLeftCell="AA4" activePane="bottomRight" state="frozen"/>
      <selection activeCell="H139" sqref="H139"/>
      <selection pane="topRight" activeCell="H139" sqref="H139"/>
      <selection pane="bottomLeft" activeCell="H139" sqref="H139"/>
      <selection pane="bottomRight" activeCell="P18" sqref="P18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19.5546875" style="605" customWidth="1"/>
    <col min="8" max="8" width="17.5546875" style="262" customWidth="1"/>
    <col min="9" max="9" width="6.6640625" style="261" customWidth="1"/>
    <col min="10" max="12" width="5.109375" style="261" customWidth="1"/>
    <col min="13" max="13" width="7.33203125" style="263" customWidth="1"/>
    <col min="14" max="14" width="7.5546875" style="265" customWidth="1"/>
    <col min="15" max="15" width="19.33203125" style="263" customWidth="1"/>
    <col min="16" max="16" width="28.109375" style="263" customWidth="1"/>
    <col min="17" max="17" width="21.33203125" style="263" customWidth="1"/>
    <col min="18" max="18" width="21.44140625" style="266" customWidth="1"/>
    <col min="19" max="20" width="11.109375" style="266" customWidth="1"/>
    <col min="21" max="21" width="12.33203125" style="263" customWidth="1"/>
    <col min="22" max="23" width="0.109375" style="263" customWidth="1"/>
    <col min="24" max="24" width="14.33203125" style="264" customWidth="1"/>
    <col min="25" max="25" width="15.6640625" style="268" customWidth="1"/>
    <col min="26" max="26" width="12.6640625" style="268" customWidth="1"/>
    <col min="27" max="27" width="14" style="268" customWidth="1"/>
    <col min="28" max="28" width="15.6640625" style="264" customWidth="1"/>
    <col min="29" max="29" width="14.44140625" style="268" customWidth="1"/>
    <col min="30" max="30" width="19.44140625" style="268" customWidth="1"/>
    <col min="31" max="31" width="15.5546875" style="269" customWidth="1"/>
    <col min="32" max="32" width="27" style="270" customWidth="1"/>
    <col min="33" max="33" width="18.6640625" style="271" customWidth="1"/>
    <col min="34" max="34" width="16.6640625" style="272" customWidth="1"/>
    <col min="35" max="35" width="15.109375" style="273" customWidth="1"/>
    <col min="36" max="36" width="15" style="3529" bestFit="1" customWidth="1"/>
    <col min="37" max="37" width="13" style="3529" bestFit="1" customWidth="1"/>
    <col min="38" max="16384" width="9.109375" style="3529"/>
  </cols>
  <sheetData>
    <row r="1" spans="1:37" s="703" customFormat="1" ht="15.75" customHeight="1">
      <c r="A1" s="702"/>
      <c r="B1" s="3813" t="s">
        <v>7099</v>
      </c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3813"/>
      <c r="Q1" s="3813"/>
      <c r="R1" s="3813"/>
      <c r="S1" s="3813"/>
      <c r="T1" s="3813"/>
      <c r="U1" s="3813"/>
    </row>
    <row r="2" spans="1:37" ht="18">
      <c r="A2" s="193"/>
      <c r="B2" s="197"/>
      <c r="C2" s="198"/>
      <c r="D2" s="2835" t="s">
        <v>7919</v>
      </c>
      <c r="F2" s="600"/>
      <c r="G2" s="455" t="s">
        <v>7920</v>
      </c>
      <c r="H2" s="2838" t="s">
        <v>7921</v>
      </c>
      <c r="I2" s="2832"/>
      <c r="J2" s="2833"/>
      <c r="K2" s="2832"/>
      <c r="L2" s="2832"/>
      <c r="M2" s="2834"/>
      <c r="N2" s="2835"/>
      <c r="O2" s="2835"/>
      <c r="P2" s="2835"/>
      <c r="Q2" s="3502"/>
      <c r="R2" s="2836"/>
      <c r="S2" s="2837"/>
      <c r="T2" s="2837"/>
      <c r="U2" s="202"/>
      <c r="V2" s="203"/>
      <c r="W2" s="2549"/>
      <c r="X2" s="202"/>
      <c r="Y2" s="198"/>
      <c r="Z2" s="198"/>
      <c r="AA2" s="198"/>
      <c r="AB2" s="199"/>
      <c r="AC2" s="199"/>
      <c r="AD2" s="199"/>
      <c r="AE2" s="199"/>
      <c r="AF2" s="205"/>
      <c r="AG2" s="199"/>
      <c r="AH2" s="199"/>
      <c r="AI2" s="206"/>
    </row>
    <row r="3" spans="1:37" s="3530" customFormat="1" ht="47.25" customHeight="1">
      <c r="A3" s="208" t="s">
        <v>174</v>
      </c>
      <c r="B3" s="209" t="s">
        <v>2</v>
      </c>
      <c r="C3" s="210" t="s">
        <v>3571</v>
      </c>
      <c r="D3" s="213" t="s">
        <v>7506</v>
      </c>
      <c r="E3" s="456" t="s">
        <v>175</v>
      </c>
      <c r="F3" s="601" t="s">
        <v>176</v>
      </c>
      <c r="G3" s="3270" t="s">
        <v>7922</v>
      </c>
      <c r="H3" s="212" t="s">
        <v>177</v>
      </c>
      <c r="I3" s="211" t="s">
        <v>179</v>
      </c>
      <c r="J3" s="211" t="s">
        <v>8</v>
      </c>
      <c r="K3" s="211" t="s">
        <v>9</v>
      </c>
      <c r="L3" s="211" t="s">
        <v>102</v>
      </c>
      <c r="M3" s="211" t="s">
        <v>404</v>
      </c>
      <c r="N3" s="214" t="s">
        <v>183</v>
      </c>
      <c r="O3" s="211" t="s">
        <v>185</v>
      </c>
      <c r="P3" s="210" t="s">
        <v>188</v>
      </c>
      <c r="Q3" s="3503" t="s">
        <v>7928</v>
      </c>
      <c r="R3" s="215" t="s">
        <v>186</v>
      </c>
      <c r="S3" s="2562" t="s">
        <v>5941</v>
      </c>
      <c r="T3" s="2562" t="s">
        <v>4397</v>
      </c>
      <c r="U3" s="210" t="s">
        <v>8096</v>
      </c>
      <c r="V3" s="211" t="s">
        <v>3572</v>
      </c>
      <c r="W3" s="2550"/>
      <c r="X3" s="212" t="s">
        <v>1291</v>
      </c>
      <c r="Y3" s="217" t="s">
        <v>190</v>
      </c>
      <c r="Z3" s="217" t="s">
        <v>191</v>
      </c>
      <c r="AA3" s="218" t="s">
        <v>3574</v>
      </c>
      <c r="AB3" s="218" t="s">
        <v>1313</v>
      </c>
      <c r="AC3" s="219" t="s">
        <v>194</v>
      </c>
      <c r="AD3" s="219" t="s">
        <v>7995</v>
      </c>
      <c r="AE3" s="220" t="s">
        <v>196</v>
      </c>
      <c r="AF3" s="221" t="s">
        <v>197</v>
      </c>
      <c r="AG3" s="218" t="s">
        <v>198</v>
      </c>
      <c r="AH3" s="219" t="s">
        <v>199</v>
      </c>
      <c r="AI3" s="222" t="s">
        <v>200</v>
      </c>
      <c r="AJ3" s="3533" t="s">
        <v>7998</v>
      </c>
      <c r="AK3" s="3533" t="s">
        <v>7999</v>
      </c>
    </row>
    <row r="4" spans="1:37" ht="25.5" customHeight="1" thickBot="1">
      <c r="B4" s="3811" t="s">
        <v>7528</v>
      </c>
      <c r="C4" s="3716"/>
      <c r="D4" s="3716"/>
      <c r="E4" s="3716"/>
      <c r="F4" s="3716"/>
      <c r="G4" s="3812"/>
      <c r="H4" s="3716"/>
      <c r="I4" s="3716"/>
      <c r="J4" s="3716"/>
      <c r="K4" s="3716"/>
      <c r="L4" s="3716"/>
      <c r="M4" s="371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590"/>
      <c r="Y4" s="2165"/>
      <c r="Z4" s="590"/>
      <c r="AA4" s="357"/>
      <c r="AB4" s="357"/>
      <c r="AC4" s="357"/>
      <c r="AD4" s="590"/>
      <c r="AE4" s="358"/>
      <c r="AF4" s="358"/>
      <c r="AG4" s="1289"/>
      <c r="AH4" s="1289"/>
      <c r="AI4" s="1289"/>
      <c r="AJ4" s="3531">
        <f t="shared" ref="AJ4:AJ8" si="0">IF(G4="VIỆT CHÂU",3650000,
 IF(G4="NOVA STONE",3950000,
 IF(G4="SANYANG",4200000,
 IF(G4="TÂN HỒNG",3650000,
 IF(G4="MAESTRO",4000000,0)))))</f>
        <v>0</v>
      </c>
      <c r="AK4" s="3534">
        <v>1900000</v>
      </c>
    </row>
    <row r="5" spans="1:37" ht="31.8" thickBot="1">
      <c r="A5" s="3476"/>
      <c r="B5" s="3477">
        <v>1</v>
      </c>
      <c r="C5" s="3478"/>
      <c r="D5" s="3537" t="s">
        <v>7945</v>
      </c>
      <c r="E5" s="3512">
        <v>307992157930</v>
      </c>
      <c r="F5" s="3511" t="s">
        <v>7945</v>
      </c>
      <c r="G5" s="3479" t="s">
        <v>7996</v>
      </c>
      <c r="H5" s="3526" t="s">
        <v>7993</v>
      </c>
      <c r="I5" s="3480" t="s">
        <v>210</v>
      </c>
      <c r="J5" s="3480"/>
      <c r="K5" s="3480">
        <v>2</v>
      </c>
      <c r="L5" s="3480"/>
      <c r="M5" s="3481" t="s">
        <v>210</v>
      </c>
      <c r="N5" s="3482"/>
      <c r="O5" s="3480" t="s">
        <v>7923</v>
      </c>
      <c r="P5" s="3484" t="s">
        <v>7946</v>
      </c>
      <c r="Q5" s="3481" t="s">
        <v>7935</v>
      </c>
      <c r="R5" s="3483" t="s">
        <v>7925</v>
      </c>
      <c r="S5" s="3483" t="s">
        <v>7947</v>
      </c>
      <c r="T5" s="3484" t="s">
        <v>2966</v>
      </c>
      <c r="U5" s="3484"/>
      <c r="V5" s="3481"/>
      <c r="W5" s="3481"/>
      <c r="X5" s="3485"/>
      <c r="Y5" s="3569">
        <f>1500000*2</f>
        <v>3000000</v>
      </c>
      <c r="Z5" s="3570">
        <v>1764000</v>
      </c>
      <c r="AA5" s="3486"/>
      <c r="AB5" s="3574">
        <v>1000000</v>
      </c>
      <c r="AC5" s="3486"/>
      <c r="AD5" s="3542"/>
      <c r="AE5" s="2876">
        <f>+X5+Y5+Z5+AA5+AB5+AC5+W5</f>
        <v>5764000</v>
      </c>
      <c r="AF5" s="3487"/>
      <c r="AG5" s="3528">
        <f>+(($AK$4*(J5+K5+L5))+(AJ5*(J5+K5+L5))+AD5)*1.08</f>
        <v>11988000</v>
      </c>
      <c r="AH5" s="3130">
        <f>+AE5+AG5</f>
        <v>17752000</v>
      </c>
      <c r="AI5" s="3488"/>
      <c r="AJ5" s="3531">
        <f t="shared" si="0"/>
        <v>3650000</v>
      </c>
    </row>
    <row r="6" spans="1:37" ht="47.4" thickBot="1">
      <c r="A6" s="3489"/>
      <c r="B6" s="3490">
        <f t="shared" ref="B6:B65" si="1">+B5+1</f>
        <v>2</v>
      </c>
      <c r="C6" s="3491"/>
      <c r="D6" s="3537" t="s">
        <v>7945</v>
      </c>
      <c r="E6" s="3510">
        <v>307993152260</v>
      </c>
      <c r="F6" s="3511" t="s">
        <v>7945</v>
      </c>
      <c r="G6" s="3492" t="s">
        <v>7997</v>
      </c>
      <c r="H6" s="3527" t="s">
        <v>7994</v>
      </c>
      <c r="I6" s="3493" t="s">
        <v>210</v>
      </c>
      <c r="J6" s="3493"/>
      <c r="K6" s="3493">
        <v>1</v>
      </c>
      <c r="L6" s="3493"/>
      <c r="M6" s="3494" t="s">
        <v>210</v>
      </c>
      <c r="N6" s="3495"/>
      <c r="O6" s="3493" t="s">
        <v>7924</v>
      </c>
      <c r="P6" s="3494" t="s">
        <v>7941</v>
      </c>
      <c r="Q6" s="3481" t="s">
        <v>7929</v>
      </c>
      <c r="R6" s="3496" t="s">
        <v>7925</v>
      </c>
      <c r="S6" s="3516" t="s">
        <v>6056</v>
      </c>
      <c r="T6" s="3497" t="s">
        <v>4181</v>
      </c>
      <c r="U6" s="3616"/>
      <c r="V6" s="3494"/>
      <c r="W6" s="3494"/>
      <c r="X6" s="3498"/>
      <c r="Y6" s="3569">
        <v>1500000</v>
      </c>
      <c r="Z6" s="3571">
        <v>1276000</v>
      </c>
      <c r="AA6" s="3499"/>
      <c r="AB6" s="3575">
        <v>500000</v>
      </c>
      <c r="AC6" s="3499"/>
      <c r="AD6" s="3542">
        <v>650000</v>
      </c>
      <c r="AE6" s="2876">
        <f>+X6+Y6+Z6+AA6+AB6+AC6+W6</f>
        <v>3276000</v>
      </c>
      <c r="AF6" s="3500" t="s">
        <v>8019</v>
      </c>
      <c r="AG6" s="3528">
        <f>+(($AK$4*(J6+K6+L6))+(AJ6*(J6+K6+L6))+AD6)*1.08</f>
        <v>7020000</v>
      </c>
      <c r="AH6" s="3130">
        <f t="shared" ref="AH6:AH8" si="2">+AE6+AG6</f>
        <v>10296000</v>
      </c>
      <c r="AI6" s="3501"/>
      <c r="AJ6" s="3531">
        <f t="shared" si="0"/>
        <v>3950000</v>
      </c>
    </row>
    <row r="7" spans="1:37" ht="27" customHeight="1" thickBot="1">
      <c r="B7" s="3473">
        <f t="shared" si="1"/>
        <v>3</v>
      </c>
      <c r="C7" s="3474"/>
      <c r="D7" s="3816" t="s">
        <v>7955</v>
      </c>
      <c r="E7" s="3824">
        <v>308006669260</v>
      </c>
      <c r="F7" s="3826" t="s">
        <v>7955</v>
      </c>
      <c r="G7" s="3475" t="s">
        <v>7997</v>
      </c>
      <c r="H7" s="3828" t="s">
        <v>8024</v>
      </c>
      <c r="I7" s="3814" t="s">
        <v>210</v>
      </c>
      <c r="J7" s="419">
        <v>1</v>
      </c>
      <c r="K7" s="419"/>
      <c r="L7" s="419"/>
      <c r="M7" s="3822" t="s">
        <v>210</v>
      </c>
      <c r="N7" s="422"/>
      <c r="O7" s="3814" t="s">
        <v>7926</v>
      </c>
      <c r="P7" s="3470" t="s">
        <v>8000</v>
      </c>
      <c r="Q7" s="3822" t="s">
        <v>7934</v>
      </c>
      <c r="R7" s="3818" t="s">
        <v>7927</v>
      </c>
      <c r="S7" s="3535" t="s">
        <v>7176</v>
      </c>
      <c r="T7" s="3820" t="s">
        <v>2966</v>
      </c>
      <c r="U7" s="2570"/>
      <c r="V7" s="3470"/>
      <c r="W7" s="3470"/>
      <c r="X7" s="421"/>
      <c r="Y7" s="3572">
        <v>1000000</v>
      </c>
      <c r="Z7" s="3573">
        <v>1528000</v>
      </c>
      <c r="AA7" s="425"/>
      <c r="AB7" s="3576">
        <v>250000</v>
      </c>
      <c r="AC7" s="425"/>
      <c r="AD7" s="3543"/>
      <c r="AE7" s="2876">
        <f t="shared" ref="AE7:AE8" si="3">+X7+Y7+Z7+AA7+AB7+AC7+W7</f>
        <v>2778000</v>
      </c>
      <c r="AF7" s="3532"/>
      <c r="AG7" s="3528">
        <f>+(($AK$4*(J7+K7+L7))+(AJ7*(J7+K7+L7))+AD7)*1.08</f>
        <v>6318000</v>
      </c>
      <c r="AH7" s="3130">
        <f>+AE7+AG7</f>
        <v>9096000</v>
      </c>
      <c r="AI7" s="808"/>
      <c r="AJ7" s="3531">
        <f t="shared" si="0"/>
        <v>3950000</v>
      </c>
    </row>
    <row r="8" spans="1:37" ht="26.25" customHeight="1" thickBot="1">
      <c r="A8" s="3476"/>
      <c r="B8" s="3477">
        <f t="shared" si="1"/>
        <v>4</v>
      </c>
      <c r="C8" s="3478"/>
      <c r="D8" s="3817"/>
      <c r="E8" s="3825"/>
      <c r="F8" s="3827"/>
      <c r="G8" s="3479" t="s">
        <v>7996</v>
      </c>
      <c r="H8" s="3829"/>
      <c r="I8" s="3815"/>
      <c r="J8" s="3480"/>
      <c r="K8" s="3480">
        <v>1</v>
      </c>
      <c r="L8" s="3480"/>
      <c r="M8" s="3823"/>
      <c r="N8" s="3482"/>
      <c r="O8" s="3815"/>
      <c r="P8" s="3481" t="s">
        <v>8001</v>
      </c>
      <c r="Q8" s="3823"/>
      <c r="R8" s="3819"/>
      <c r="S8" s="3536" t="s">
        <v>5942</v>
      </c>
      <c r="T8" s="3821"/>
      <c r="U8" s="3583"/>
      <c r="V8" s="3481"/>
      <c r="W8" s="3481"/>
      <c r="X8" s="3485"/>
      <c r="Y8" s="3572">
        <v>2250000</v>
      </c>
      <c r="Z8" s="3578"/>
      <c r="AA8" s="3486"/>
      <c r="AB8" s="3574">
        <v>500000</v>
      </c>
      <c r="AC8" s="3486"/>
      <c r="AD8" s="3542"/>
      <c r="AE8" s="2876">
        <f t="shared" si="3"/>
        <v>2750000</v>
      </c>
      <c r="AF8" s="3487"/>
      <c r="AG8" s="3528">
        <f t="shared" ref="AG8" si="4">+(($AK$4*(J8+K8+L8))+(AJ8*(J8+K8+L8))+AD8)*1.08</f>
        <v>5994000</v>
      </c>
      <c r="AH8" s="3130">
        <f t="shared" si="2"/>
        <v>8744000</v>
      </c>
      <c r="AI8" s="3488"/>
      <c r="AJ8" s="3531">
        <f t="shared" si="0"/>
        <v>3650000</v>
      </c>
    </row>
    <row r="9" spans="1:37" ht="25.5" customHeight="1">
      <c r="B9" s="3811" t="s">
        <v>7960</v>
      </c>
      <c r="C9" s="3716"/>
      <c r="D9" s="3716"/>
      <c r="E9" s="3716"/>
      <c r="F9" s="3716"/>
      <c r="G9" s="3812"/>
      <c r="H9" s="3716"/>
      <c r="I9" s="3716"/>
      <c r="J9" s="3716"/>
      <c r="K9" s="3716"/>
      <c r="L9" s="3716"/>
      <c r="M9" s="371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590"/>
      <c r="Y9" s="2165"/>
      <c r="Z9" s="590"/>
      <c r="AA9" s="357"/>
      <c r="AB9" s="357"/>
      <c r="AC9" s="357"/>
      <c r="AD9" s="590"/>
      <c r="AE9" s="358"/>
      <c r="AF9" s="358"/>
      <c r="AG9" s="1289"/>
      <c r="AH9" s="1289"/>
      <c r="AI9" s="1289"/>
      <c r="AJ9" s="3531">
        <f t="shared" ref="AJ9" si="5">IF(G9="VIỆT CHÂU",3650000,
 IF(G9="NOVA STONE",3950000,
 IF(G9="SANYANG",4200000,
 IF(G9="TÂN HỒNG",3650000,
 IF(G9="MAESTRO",4000000,0)))))</f>
        <v>0</v>
      </c>
      <c r="AK9" s="3534"/>
    </row>
    <row r="10" spans="1:37">
      <c r="B10" s="253">
        <v>1</v>
      </c>
      <c r="C10" s="244"/>
      <c r="D10" s="661"/>
      <c r="E10" s="466"/>
      <c r="F10" s="615"/>
      <c r="G10" s="3271"/>
      <c r="H10" s="230"/>
      <c r="I10" s="230"/>
      <c r="J10" s="230"/>
      <c r="K10" s="230"/>
      <c r="L10" s="230"/>
      <c r="M10" s="228"/>
      <c r="N10" s="257"/>
      <c r="O10" s="228"/>
      <c r="P10" s="228"/>
      <c r="Q10" s="2552"/>
      <c r="R10" s="258"/>
      <c r="S10" s="2577"/>
      <c r="T10" s="2577"/>
      <c r="U10" s="254"/>
      <c r="V10" s="228"/>
      <c r="W10" s="2552"/>
      <c r="X10" s="256"/>
      <c r="Y10" s="248"/>
      <c r="Z10" s="248"/>
      <c r="AA10" s="248"/>
      <c r="AB10" s="247"/>
      <c r="AC10" s="248"/>
      <c r="AD10" s="248"/>
      <c r="AE10" s="194"/>
      <c r="AF10" s="249"/>
      <c r="AG10" s="250"/>
      <c r="AH10" s="251"/>
      <c r="AI10" s="252"/>
      <c r="AJ10" s="3531">
        <f t="shared" ref="AJ10:AJ13" si="6">IF(G10="VIỆT CHÂU",3650000,
 IF(G10="NOVA STONE",3950000,
 IF(G10="SANYANG",4200000,
 IF(G10="TÂN HỒNG",3650000,
 IF(G10="MAESTRO",4000000,0)))))</f>
        <v>0</v>
      </c>
    </row>
    <row r="11" spans="1:37">
      <c r="B11" s="253">
        <f t="shared" si="1"/>
        <v>2</v>
      </c>
      <c r="C11" s="244"/>
      <c r="D11" s="661"/>
      <c r="E11" s="466"/>
      <c r="F11" s="615"/>
      <c r="G11" s="3271"/>
      <c r="H11" s="230"/>
      <c r="I11" s="230"/>
      <c r="J11" s="230"/>
      <c r="K11" s="230"/>
      <c r="L11" s="230"/>
      <c r="M11" s="228"/>
      <c r="N11" s="257"/>
      <c r="O11" s="228"/>
      <c r="P11" s="228"/>
      <c r="Q11" s="2552"/>
      <c r="R11" s="258"/>
      <c r="S11" s="2577"/>
      <c r="T11" s="2577"/>
      <c r="U11" s="254"/>
      <c r="V11" s="228"/>
      <c r="W11" s="2552"/>
      <c r="X11" s="256"/>
      <c r="Y11" s="248"/>
      <c r="Z11" s="248"/>
      <c r="AA11" s="248"/>
      <c r="AB11" s="247"/>
      <c r="AC11" s="248"/>
      <c r="AD11" s="248"/>
      <c r="AE11" s="194"/>
      <c r="AF11" s="249"/>
      <c r="AG11" s="250"/>
      <c r="AH11" s="251"/>
      <c r="AI11" s="252"/>
      <c r="AJ11" s="3531">
        <f t="shared" si="6"/>
        <v>0</v>
      </c>
    </row>
    <row r="12" spans="1:37">
      <c r="B12" s="253">
        <f t="shared" si="1"/>
        <v>3</v>
      </c>
      <c r="C12" s="244"/>
      <c r="D12" s="661"/>
      <c r="E12" s="466"/>
      <c r="F12" s="615"/>
      <c r="G12" s="3271"/>
      <c r="H12" s="230"/>
      <c r="I12" s="230"/>
      <c r="J12" s="230"/>
      <c r="K12" s="230"/>
      <c r="L12" s="230"/>
      <c r="M12" s="228"/>
      <c r="N12" s="257"/>
      <c r="O12" s="228"/>
      <c r="P12" s="228"/>
      <c r="Q12" s="2552"/>
      <c r="R12" s="258"/>
      <c r="S12" s="2577"/>
      <c r="T12" s="2577"/>
      <c r="U12" s="254"/>
      <c r="V12" s="228"/>
      <c r="W12" s="2552"/>
      <c r="X12" s="256"/>
      <c r="Y12" s="248"/>
      <c r="Z12" s="248"/>
      <c r="AA12" s="248"/>
      <c r="AB12" s="247"/>
      <c r="AC12" s="248"/>
      <c r="AD12" s="248"/>
      <c r="AE12" s="194"/>
      <c r="AF12" s="249"/>
      <c r="AG12" s="250"/>
      <c r="AH12" s="251"/>
      <c r="AI12" s="252"/>
      <c r="AJ12" s="3531">
        <f t="shared" si="6"/>
        <v>0</v>
      </c>
    </row>
    <row r="13" spans="1:37">
      <c r="B13" s="253">
        <f t="shared" si="1"/>
        <v>4</v>
      </c>
      <c r="C13" s="244"/>
      <c r="D13" s="661"/>
      <c r="E13" s="466"/>
      <c r="F13" s="615"/>
      <c r="G13" s="3271"/>
      <c r="H13" s="230"/>
      <c r="I13" s="230"/>
      <c r="J13" s="230"/>
      <c r="K13" s="230"/>
      <c r="L13" s="230"/>
      <c r="M13" s="228"/>
      <c r="N13" s="257"/>
      <c r="O13" s="228"/>
      <c r="P13" s="228"/>
      <c r="Q13" s="2552"/>
      <c r="R13" s="258"/>
      <c r="S13" s="2577"/>
      <c r="T13" s="2577"/>
      <c r="U13" s="254"/>
      <c r="V13" s="228"/>
      <c r="W13" s="2552"/>
      <c r="X13" s="256"/>
      <c r="Z13" s="248"/>
      <c r="AA13" s="248"/>
      <c r="AB13" s="247"/>
      <c r="AC13" s="248"/>
      <c r="AD13" s="248"/>
      <c r="AE13" s="194"/>
      <c r="AF13" s="249"/>
      <c r="AG13" s="250"/>
      <c r="AH13" s="251"/>
      <c r="AI13" s="252"/>
      <c r="AJ13" s="3531">
        <f t="shared" si="6"/>
        <v>0</v>
      </c>
    </row>
    <row r="14" spans="1:37">
      <c r="B14" s="253">
        <f t="shared" si="1"/>
        <v>5</v>
      </c>
      <c r="C14" s="244"/>
      <c r="D14" s="661"/>
      <c r="E14" s="466"/>
      <c r="F14" s="615"/>
      <c r="G14" s="3271"/>
      <c r="H14" s="230"/>
      <c r="I14" s="230"/>
      <c r="J14" s="230"/>
      <c r="K14" s="230"/>
      <c r="L14" s="230"/>
      <c r="M14" s="228"/>
      <c r="N14" s="2553"/>
      <c r="O14" s="2552"/>
      <c r="P14" s="2552"/>
      <c r="Q14" s="2552"/>
      <c r="R14" s="2577"/>
      <c r="S14" s="2577"/>
      <c r="T14" s="2577"/>
      <c r="U14" s="254"/>
      <c r="V14" s="228"/>
      <c r="W14" s="2552"/>
      <c r="X14" s="256"/>
      <c r="Y14" s="248"/>
      <c r="Z14" s="248"/>
      <c r="AA14" s="248"/>
      <c r="AB14" s="247"/>
      <c r="AC14" s="248"/>
      <c r="AD14" s="248"/>
      <c r="AE14" s="194"/>
      <c r="AF14" s="249"/>
      <c r="AG14" s="250"/>
      <c r="AH14" s="251"/>
      <c r="AI14" s="252"/>
      <c r="AJ14" s="3531">
        <f t="shared" ref="AJ14:AJ27" si="7">IF(G14="VIỆT CHÂU",3650000,
 IF(G14="NOVA STONE",3950000,
 IF(G14="SANYANG",4200000,
 IF(G14="TÂN HỒNG",3650000,
 IF(G14="MAESTRO",4000000,0)))))</f>
        <v>0</v>
      </c>
    </row>
    <row r="15" spans="1:37">
      <c r="B15" s="253">
        <f t="shared" si="1"/>
        <v>6</v>
      </c>
      <c r="C15" s="244"/>
      <c r="D15" s="661"/>
      <c r="E15" s="466"/>
      <c r="F15" s="615"/>
      <c r="G15" s="3271"/>
      <c r="H15" s="230"/>
      <c r="I15" s="230"/>
      <c r="J15" s="230"/>
      <c r="K15" s="230"/>
      <c r="L15" s="230"/>
      <c r="M15" s="228"/>
      <c r="N15" s="2553"/>
      <c r="O15" s="2552"/>
      <c r="P15" s="2552"/>
      <c r="Q15" s="2552"/>
      <c r="R15" s="2577"/>
      <c r="S15" s="2577"/>
      <c r="T15" s="2577"/>
      <c r="U15" s="254"/>
      <c r="V15" s="228"/>
      <c r="W15" s="2552"/>
      <c r="X15" s="256"/>
      <c r="Y15" s="248"/>
      <c r="Z15" s="248"/>
      <c r="AA15" s="248"/>
      <c r="AB15" s="247"/>
      <c r="AC15" s="248"/>
      <c r="AD15" s="248"/>
      <c r="AE15" s="194"/>
      <c r="AF15" s="249"/>
      <c r="AG15" s="250"/>
      <c r="AH15" s="251"/>
      <c r="AI15" s="252"/>
      <c r="AJ15" s="3531">
        <f t="shared" si="7"/>
        <v>0</v>
      </c>
    </row>
    <row r="16" spans="1:37">
      <c r="B16" s="253">
        <f t="shared" si="1"/>
        <v>7</v>
      </c>
      <c r="C16" s="244"/>
      <c r="D16" s="661"/>
      <c r="E16" s="466"/>
      <c r="F16" s="615"/>
      <c r="H16" s="230"/>
      <c r="I16" s="230"/>
      <c r="J16" s="230"/>
      <c r="K16" s="230"/>
      <c r="L16" s="230"/>
      <c r="M16" s="228"/>
      <c r="N16" s="2553"/>
      <c r="O16" s="1566"/>
      <c r="P16" s="1566"/>
      <c r="Q16" s="1566"/>
      <c r="R16" s="2577"/>
      <c r="S16" s="2577"/>
      <c r="T16" s="2577"/>
      <c r="U16" s="254"/>
      <c r="V16" s="228"/>
      <c r="W16" s="2552"/>
      <c r="X16" s="256"/>
      <c r="Y16" s="248"/>
      <c r="Z16" s="248"/>
      <c r="AA16" s="248"/>
      <c r="AB16" s="247"/>
      <c r="AC16" s="248"/>
      <c r="AD16" s="248"/>
      <c r="AE16" s="194"/>
      <c r="AF16" s="249"/>
      <c r="AG16" s="250"/>
      <c r="AH16" s="251"/>
      <c r="AI16" s="252"/>
      <c r="AJ16" s="3531">
        <f t="shared" si="7"/>
        <v>0</v>
      </c>
    </row>
    <row r="17" spans="2:36">
      <c r="B17" s="253">
        <f t="shared" si="1"/>
        <v>8</v>
      </c>
      <c r="C17" s="244"/>
      <c r="D17" s="661"/>
      <c r="E17" s="466"/>
      <c r="F17" s="615"/>
      <c r="G17" s="3271"/>
      <c r="H17" s="230"/>
      <c r="I17" s="230"/>
      <c r="J17" s="230"/>
      <c r="K17" s="230"/>
      <c r="L17" s="230"/>
      <c r="M17" s="228"/>
      <c r="N17" s="2553"/>
      <c r="O17" s="2552"/>
      <c r="P17" s="1566"/>
      <c r="Q17" s="1566"/>
      <c r="R17" s="1566"/>
      <c r="S17" s="1566"/>
      <c r="T17" s="1566"/>
      <c r="U17" s="254"/>
      <c r="V17" s="228"/>
      <c r="W17" s="2552"/>
      <c r="X17" s="256"/>
      <c r="Y17" s="248"/>
      <c r="Z17" s="248"/>
      <c r="AA17" s="248"/>
      <c r="AB17" s="247"/>
      <c r="AC17" s="248"/>
      <c r="AD17" s="248"/>
      <c r="AE17" s="194"/>
      <c r="AF17" s="249"/>
      <c r="AG17" s="250"/>
      <c r="AH17" s="251"/>
      <c r="AI17" s="252"/>
      <c r="AJ17" s="3531">
        <f t="shared" si="7"/>
        <v>0</v>
      </c>
    </row>
    <row r="18" spans="2:36">
      <c r="B18" s="253">
        <f t="shared" si="1"/>
        <v>9</v>
      </c>
      <c r="C18" s="244"/>
      <c r="D18" s="661"/>
      <c r="E18" s="466"/>
      <c r="F18" s="615"/>
      <c r="G18" s="3271"/>
      <c r="H18" s="230"/>
      <c r="I18" s="230"/>
      <c r="J18" s="230"/>
      <c r="K18" s="230"/>
      <c r="L18" s="230"/>
      <c r="M18" s="228"/>
      <c r="N18" s="2553"/>
      <c r="O18" s="2552"/>
      <c r="P18" s="2552"/>
      <c r="Q18" s="2552"/>
      <c r="R18" s="2577"/>
      <c r="S18" s="2577"/>
      <c r="T18" s="2577"/>
      <c r="U18" s="254"/>
      <c r="V18" s="228"/>
      <c r="W18" s="2552"/>
      <c r="X18" s="256"/>
      <c r="Y18" s="248"/>
      <c r="Z18" s="248"/>
      <c r="AA18" s="248"/>
      <c r="AB18" s="247"/>
      <c r="AC18" s="248"/>
      <c r="AD18" s="248"/>
      <c r="AE18" s="194"/>
      <c r="AF18" s="249"/>
      <c r="AG18" s="250"/>
      <c r="AH18" s="251"/>
      <c r="AI18" s="252"/>
      <c r="AJ18" s="3531">
        <f t="shared" si="7"/>
        <v>0</v>
      </c>
    </row>
    <row r="19" spans="2:36">
      <c r="B19" s="253">
        <f t="shared" si="1"/>
        <v>10</v>
      </c>
      <c r="C19" s="244"/>
      <c r="D19" s="661"/>
      <c r="E19" s="466"/>
      <c r="F19" s="615"/>
      <c r="G19" s="3271"/>
      <c r="H19" s="230"/>
      <c r="I19" s="230"/>
      <c r="J19" s="230"/>
      <c r="K19" s="230"/>
      <c r="L19" s="230"/>
      <c r="M19" s="228"/>
      <c r="N19" s="2553"/>
      <c r="O19" s="2552"/>
      <c r="P19" s="2552"/>
      <c r="Q19" s="2552"/>
      <c r="R19" s="2577"/>
      <c r="S19" s="2577"/>
      <c r="T19" s="2577"/>
      <c r="U19" s="254"/>
      <c r="V19" s="228"/>
      <c r="W19" s="2552"/>
      <c r="X19" s="256"/>
      <c r="Y19" s="248"/>
      <c r="Z19" s="248"/>
      <c r="AA19" s="248"/>
      <c r="AB19" s="247"/>
      <c r="AC19" s="248"/>
      <c r="AD19" s="248"/>
      <c r="AE19" s="194"/>
      <c r="AF19" s="249"/>
      <c r="AG19" s="250"/>
      <c r="AH19" s="251"/>
      <c r="AI19" s="252"/>
      <c r="AJ19" s="3531">
        <f t="shared" si="7"/>
        <v>0</v>
      </c>
    </row>
    <row r="20" spans="2:36">
      <c r="B20" s="253">
        <f t="shared" si="1"/>
        <v>11</v>
      </c>
      <c r="C20" s="244"/>
      <c r="D20" s="661"/>
      <c r="E20" s="466"/>
      <c r="F20" s="615"/>
      <c r="G20" s="3271"/>
      <c r="H20" s="230"/>
      <c r="I20" s="230"/>
      <c r="J20" s="230"/>
      <c r="K20" s="230"/>
      <c r="L20" s="230"/>
      <c r="M20" s="228"/>
      <c r="N20" s="2553"/>
      <c r="O20" s="2552"/>
      <c r="P20" s="2552"/>
      <c r="Q20" s="2552"/>
      <c r="R20" s="2577"/>
      <c r="S20" s="2577"/>
      <c r="T20" s="2577"/>
      <c r="U20" s="254"/>
      <c r="V20" s="228"/>
      <c r="W20" s="2552"/>
      <c r="X20" s="256"/>
      <c r="Y20" s="248"/>
      <c r="Z20" s="248"/>
      <c r="AA20" s="248"/>
      <c r="AB20" s="247"/>
      <c r="AC20" s="248"/>
      <c r="AD20" s="248"/>
      <c r="AE20" s="194"/>
      <c r="AF20" s="249"/>
      <c r="AG20" s="250"/>
      <c r="AH20" s="251"/>
      <c r="AI20" s="252"/>
      <c r="AJ20" s="3531">
        <f t="shared" si="7"/>
        <v>0</v>
      </c>
    </row>
    <row r="21" spans="2:36">
      <c r="B21" s="253">
        <f t="shared" si="1"/>
        <v>12</v>
      </c>
      <c r="C21" s="244"/>
      <c r="D21" s="661"/>
      <c r="E21" s="466"/>
      <c r="F21" s="615"/>
      <c r="G21" s="3271"/>
      <c r="H21" s="230"/>
      <c r="I21" s="230"/>
      <c r="J21" s="230"/>
      <c r="K21" s="230"/>
      <c r="L21" s="230"/>
      <c r="M21" s="228"/>
      <c r="N21" s="2553"/>
      <c r="O21" s="2552"/>
      <c r="P21" s="2552"/>
      <c r="Q21" s="2552"/>
      <c r="R21" s="2577"/>
      <c r="S21" s="2577"/>
      <c r="T21" s="2577"/>
      <c r="U21" s="254"/>
      <c r="V21" s="228"/>
      <c r="W21" s="2552"/>
      <c r="X21" s="256"/>
      <c r="Y21" s="248"/>
      <c r="Z21" s="248"/>
      <c r="AA21" s="248"/>
      <c r="AB21" s="247"/>
      <c r="AC21" s="248"/>
      <c r="AD21" s="248"/>
      <c r="AE21" s="194"/>
      <c r="AF21" s="249"/>
      <c r="AG21" s="250"/>
      <c r="AH21" s="251"/>
      <c r="AI21" s="252"/>
      <c r="AJ21" s="3531">
        <f t="shared" si="7"/>
        <v>0</v>
      </c>
    </row>
    <row r="22" spans="2:36">
      <c r="B22" s="253">
        <f t="shared" si="1"/>
        <v>13</v>
      </c>
      <c r="C22" s="244"/>
      <c r="D22" s="661"/>
      <c r="E22" s="466"/>
      <c r="F22" s="615"/>
      <c r="G22" s="3271"/>
      <c r="H22" s="230"/>
      <c r="I22" s="230"/>
      <c r="J22" s="230"/>
      <c r="K22" s="230"/>
      <c r="L22" s="230"/>
      <c r="M22" s="228"/>
      <c r="N22" s="257"/>
      <c r="O22" s="228"/>
      <c r="P22" s="228"/>
      <c r="Q22" s="2552"/>
      <c r="R22" s="258"/>
      <c r="S22" s="2577"/>
      <c r="T22" s="2577"/>
      <c r="U22" s="254"/>
      <c r="V22" s="228"/>
      <c r="W22" s="2552"/>
      <c r="X22" s="256"/>
      <c r="Y22" s="248"/>
      <c r="Z22" s="248"/>
      <c r="AA22" s="248"/>
      <c r="AB22" s="247"/>
      <c r="AC22" s="248"/>
      <c r="AD22" s="248"/>
      <c r="AE22" s="194"/>
      <c r="AF22" s="249"/>
      <c r="AG22" s="250"/>
      <c r="AH22" s="251"/>
      <c r="AI22" s="252"/>
      <c r="AJ22" s="3531">
        <f t="shared" si="7"/>
        <v>0</v>
      </c>
    </row>
    <row r="23" spans="2:36">
      <c r="B23" s="253">
        <f t="shared" si="1"/>
        <v>14</v>
      </c>
      <c r="C23" s="244"/>
      <c r="D23" s="661"/>
      <c r="E23" s="466"/>
      <c r="F23" s="615"/>
      <c r="G23" s="3271"/>
      <c r="H23" s="230"/>
      <c r="I23" s="230"/>
      <c r="J23" s="230"/>
      <c r="K23" s="230"/>
      <c r="L23" s="230"/>
      <c r="M23" s="228"/>
      <c r="N23" s="257"/>
      <c r="O23" s="228"/>
      <c r="P23" s="228"/>
      <c r="Q23" s="2552"/>
      <c r="R23" s="258"/>
      <c r="S23" s="2577"/>
      <c r="T23" s="2577"/>
      <c r="U23" s="254"/>
      <c r="V23" s="228"/>
      <c r="W23" s="2552"/>
      <c r="X23" s="256"/>
      <c r="Y23" s="248"/>
      <c r="Z23" s="248"/>
      <c r="AA23" s="248"/>
      <c r="AB23" s="247"/>
      <c r="AC23" s="248"/>
      <c r="AD23" s="248"/>
      <c r="AE23" s="194"/>
      <c r="AF23" s="249"/>
      <c r="AG23" s="250"/>
      <c r="AH23" s="251"/>
      <c r="AI23" s="252"/>
      <c r="AJ23" s="3531">
        <f t="shared" si="7"/>
        <v>0</v>
      </c>
    </row>
    <row r="24" spans="2:36">
      <c r="B24" s="253">
        <f t="shared" si="1"/>
        <v>15</v>
      </c>
      <c r="C24" s="244"/>
      <c r="D24" s="661"/>
      <c r="E24" s="466"/>
      <c r="F24" s="615"/>
      <c r="G24" s="3271"/>
      <c r="H24" s="230"/>
      <c r="I24" s="230"/>
      <c r="J24" s="230"/>
      <c r="K24" s="230"/>
      <c r="L24" s="230"/>
      <c r="M24" s="228"/>
      <c r="N24" s="257"/>
      <c r="O24" s="228"/>
      <c r="P24" s="228"/>
      <c r="Q24" s="2552"/>
      <c r="R24" s="258"/>
      <c r="S24" s="2577"/>
      <c r="T24" s="2577"/>
      <c r="U24" s="254"/>
      <c r="V24" s="228"/>
      <c r="W24" s="2552"/>
      <c r="X24" s="256"/>
      <c r="Y24" s="248"/>
      <c r="Z24" s="248"/>
      <c r="AA24" s="248"/>
      <c r="AB24" s="247"/>
      <c r="AC24" s="248"/>
      <c r="AD24" s="248"/>
      <c r="AE24" s="194"/>
      <c r="AF24" s="249"/>
      <c r="AG24" s="250"/>
      <c r="AH24" s="251"/>
      <c r="AI24" s="252"/>
      <c r="AJ24" s="3531">
        <f t="shared" si="7"/>
        <v>0</v>
      </c>
    </row>
    <row r="25" spans="2:36">
      <c r="B25" s="253">
        <f t="shared" si="1"/>
        <v>16</v>
      </c>
      <c r="C25" s="244"/>
      <c r="D25" s="661"/>
      <c r="E25" s="466"/>
      <c r="F25" s="615"/>
      <c r="G25" s="3271"/>
      <c r="H25" s="230"/>
      <c r="I25" s="230"/>
      <c r="J25" s="230"/>
      <c r="K25" s="230"/>
      <c r="L25" s="230"/>
      <c r="M25" s="228"/>
      <c r="N25" s="257"/>
      <c r="O25" s="228"/>
      <c r="P25" s="228"/>
      <c r="Q25" s="2552"/>
      <c r="R25" s="258"/>
      <c r="S25" s="2577"/>
      <c r="T25" s="2577"/>
      <c r="U25" s="254"/>
      <c r="V25" s="228"/>
      <c r="W25" s="2552"/>
      <c r="X25" s="256"/>
      <c r="Y25" s="248"/>
      <c r="Z25" s="248"/>
      <c r="AA25" s="248"/>
      <c r="AB25" s="247"/>
      <c r="AC25" s="248"/>
      <c r="AD25" s="248"/>
      <c r="AE25" s="194"/>
      <c r="AF25" s="249"/>
      <c r="AG25" s="250"/>
      <c r="AH25" s="251"/>
      <c r="AI25" s="252"/>
      <c r="AJ25" s="3531">
        <f t="shared" si="7"/>
        <v>0</v>
      </c>
    </row>
    <row r="26" spans="2:36">
      <c r="B26" s="253">
        <f t="shared" si="1"/>
        <v>17</v>
      </c>
      <c r="C26" s="244"/>
      <c r="D26" s="661"/>
      <c r="E26" s="466"/>
      <c r="F26" s="615"/>
      <c r="G26" s="3271"/>
      <c r="H26" s="230"/>
      <c r="I26" s="230"/>
      <c r="J26" s="230"/>
      <c r="K26" s="230"/>
      <c r="L26" s="230"/>
      <c r="M26" s="228"/>
      <c r="N26" s="257"/>
      <c r="O26" s="228"/>
      <c r="P26" s="228"/>
      <c r="Q26" s="2552"/>
      <c r="R26" s="258"/>
      <c r="S26" s="2577"/>
      <c r="T26" s="2577"/>
      <c r="U26" s="254"/>
      <c r="V26" s="228"/>
      <c r="W26" s="2552"/>
      <c r="X26" s="256"/>
      <c r="Y26" s="248"/>
      <c r="Z26" s="248"/>
      <c r="AA26" s="248"/>
      <c r="AB26" s="247"/>
      <c r="AC26" s="248"/>
      <c r="AD26" s="248"/>
      <c r="AE26" s="194"/>
      <c r="AF26" s="249"/>
      <c r="AG26" s="250"/>
      <c r="AH26" s="251"/>
      <c r="AI26" s="252"/>
      <c r="AJ26" s="3531">
        <f t="shared" si="7"/>
        <v>0</v>
      </c>
    </row>
    <row r="27" spans="2:36">
      <c r="B27" s="253">
        <f t="shared" si="1"/>
        <v>18</v>
      </c>
      <c r="C27" s="244"/>
      <c r="D27" s="661"/>
      <c r="E27" s="466"/>
      <c r="F27" s="615"/>
      <c r="G27" s="3271"/>
      <c r="H27" s="230"/>
      <c r="I27" s="230"/>
      <c r="J27" s="230"/>
      <c r="K27" s="230"/>
      <c r="L27" s="230"/>
      <c r="M27" s="228"/>
      <c r="N27" s="257"/>
      <c r="O27" s="228"/>
      <c r="P27" s="228"/>
      <c r="Q27" s="2552"/>
      <c r="R27" s="258"/>
      <c r="S27" s="2577"/>
      <c r="T27" s="2577"/>
      <c r="U27" s="254"/>
      <c r="V27" s="228"/>
      <c r="W27" s="2552"/>
      <c r="X27" s="256"/>
      <c r="Y27" s="248"/>
      <c r="Z27" s="248"/>
      <c r="AA27" s="248"/>
      <c r="AB27" s="247"/>
      <c r="AC27" s="248"/>
      <c r="AD27" s="248"/>
      <c r="AE27" s="194"/>
      <c r="AF27" s="249"/>
      <c r="AG27" s="250"/>
      <c r="AH27" s="251"/>
      <c r="AI27" s="252"/>
      <c r="AJ27" s="3531">
        <f t="shared" si="7"/>
        <v>0</v>
      </c>
    </row>
    <row r="28" spans="2:36">
      <c r="B28" s="253">
        <f t="shared" si="1"/>
        <v>19</v>
      </c>
      <c r="C28" s="244"/>
      <c r="D28" s="661"/>
      <c r="E28" s="466"/>
      <c r="F28" s="615"/>
      <c r="G28" s="3271"/>
      <c r="H28" s="230"/>
      <c r="I28" s="230"/>
      <c r="J28" s="230"/>
      <c r="K28" s="230"/>
      <c r="L28" s="230"/>
      <c r="M28" s="228"/>
      <c r="N28" s="257"/>
      <c r="O28" s="228"/>
      <c r="P28" s="228"/>
      <c r="Q28" s="2552"/>
      <c r="R28" s="258"/>
      <c r="S28" s="2577"/>
      <c r="T28" s="2577"/>
      <c r="U28" s="254"/>
      <c r="V28" s="228"/>
      <c r="W28" s="2552"/>
      <c r="X28" s="256"/>
      <c r="Y28" s="248"/>
      <c r="Z28" s="248"/>
      <c r="AA28" s="248"/>
      <c r="AB28" s="247"/>
      <c r="AC28" s="248"/>
      <c r="AD28" s="248"/>
      <c r="AE28" s="194"/>
      <c r="AF28" s="249"/>
      <c r="AG28" s="250"/>
      <c r="AH28" s="251"/>
      <c r="AI28" s="252"/>
    </row>
    <row r="29" spans="2:36">
      <c r="B29" s="253">
        <f t="shared" si="1"/>
        <v>20</v>
      </c>
      <c r="C29" s="244"/>
      <c r="D29" s="661"/>
      <c r="E29" s="466"/>
      <c r="F29" s="615"/>
      <c r="G29" s="3271"/>
      <c r="H29" s="230"/>
      <c r="I29" s="230"/>
      <c r="J29" s="230"/>
      <c r="K29" s="230"/>
      <c r="L29" s="230"/>
      <c r="M29" s="228"/>
      <c r="N29" s="257"/>
      <c r="O29" s="228"/>
      <c r="P29" s="228"/>
      <c r="Q29" s="2552"/>
      <c r="R29" s="258"/>
      <c r="S29" s="2577"/>
      <c r="T29" s="2577"/>
      <c r="U29" s="254"/>
      <c r="V29" s="228"/>
      <c r="W29" s="2552"/>
      <c r="X29" s="256"/>
      <c r="Y29" s="248"/>
      <c r="Z29" s="248"/>
      <c r="AA29" s="248"/>
      <c r="AB29" s="247"/>
      <c r="AC29" s="248"/>
      <c r="AD29" s="248"/>
      <c r="AE29" s="194"/>
      <c r="AF29" s="249"/>
      <c r="AG29" s="250"/>
      <c r="AH29" s="251"/>
      <c r="AI29" s="252"/>
    </row>
    <row r="30" spans="2:36">
      <c r="B30" s="253">
        <f t="shared" si="1"/>
        <v>21</v>
      </c>
      <c r="C30" s="244"/>
      <c r="D30" s="661"/>
      <c r="E30" s="466"/>
      <c r="F30" s="615"/>
      <c r="G30" s="3271"/>
      <c r="H30" s="230"/>
      <c r="I30" s="230"/>
      <c r="J30" s="230"/>
      <c r="K30" s="230"/>
      <c r="L30" s="230"/>
      <c r="M30" s="228"/>
      <c r="N30" s="257"/>
      <c r="O30" s="228"/>
      <c r="P30" s="228"/>
      <c r="Q30" s="2552"/>
      <c r="R30" s="258"/>
      <c r="S30" s="2577"/>
      <c r="T30" s="2577"/>
      <c r="U30" s="254"/>
      <c r="V30" s="228"/>
      <c r="W30" s="2552"/>
      <c r="X30" s="256"/>
      <c r="Y30" s="248"/>
      <c r="Z30" s="248"/>
      <c r="AA30" s="248"/>
      <c r="AB30" s="247"/>
      <c r="AC30" s="248"/>
      <c r="AD30" s="248"/>
      <c r="AE30" s="194"/>
      <c r="AF30" s="249"/>
      <c r="AG30" s="250"/>
      <c r="AH30" s="251"/>
      <c r="AI30" s="252"/>
    </row>
    <row r="31" spans="2:36">
      <c r="B31" s="253">
        <f t="shared" si="1"/>
        <v>22</v>
      </c>
      <c r="C31" s="244"/>
      <c r="D31" s="661"/>
      <c r="E31" s="466"/>
      <c r="F31" s="615"/>
      <c r="G31" s="3271"/>
      <c r="H31" s="230"/>
      <c r="I31" s="230"/>
      <c r="J31" s="230"/>
      <c r="K31" s="230"/>
      <c r="L31" s="230"/>
      <c r="M31" s="228"/>
      <c r="N31" s="257"/>
      <c r="O31" s="228"/>
      <c r="P31" s="228"/>
      <c r="Q31" s="2552"/>
      <c r="R31" s="258"/>
      <c r="S31" s="2577"/>
      <c r="T31" s="2577"/>
      <c r="U31" s="254"/>
      <c r="V31" s="228"/>
      <c r="W31" s="2552"/>
      <c r="X31" s="256"/>
      <c r="Y31" s="248"/>
      <c r="Z31" s="248"/>
      <c r="AA31" s="248"/>
      <c r="AB31" s="247"/>
      <c r="AC31" s="248"/>
      <c r="AD31" s="248"/>
      <c r="AE31" s="194"/>
      <c r="AF31" s="249"/>
      <c r="AG31" s="250"/>
      <c r="AH31" s="251"/>
      <c r="AI31" s="252"/>
    </row>
    <row r="32" spans="2:36">
      <c r="B32" s="253">
        <f t="shared" si="1"/>
        <v>23</v>
      </c>
      <c r="C32" s="244"/>
      <c r="D32" s="661"/>
      <c r="E32" s="466"/>
      <c r="F32" s="615"/>
      <c r="G32" s="3271"/>
      <c r="H32" s="230"/>
      <c r="I32" s="230"/>
      <c r="J32" s="230"/>
      <c r="K32" s="230"/>
      <c r="L32" s="230"/>
      <c r="M32" s="228"/>
      <c r="N32" s="257"/>
      <c r="O32" s="228"/>
      <c r="P32" s="228"/>
      <c r="Q32" s="2552"/>
      <c r="R32" s="258"/>
      <c r="S32" s="2577"/>
      <c r="T32" s="2577"/>
      <c r="U32" s="254"/>
      <c r="V32" s="228"/>
      <c r="W32" s="2552"/>
      <c r="X32" s="256"/>
      <c r="Y32" s="248"/>
      <c r="Z32" s="248"/>
      <c r="AA32" s="248"/>
      <c r="AB32" s="247"/>
      <c r="AC32" s="248"/>
      <c r="AD32" s="248"/>
      <c r="AE32" s="194"/>
      <c r="AF32" s="249"/>
      <c r="AG32" s="250"/>
      <c r="AH32" s="251"/>
      <c r="AI32" s="252"/>
    </row>
    <row r="33" spans="2:35">
      <c r="B33" s="253">
        <f t="shared" si="1"/>
        <v>24</v>
      </c>
      <c r="C33" s="244"/>
      <c r="D33" s="661"/>
      <c r="E33" s="466"/>
      <c r="F33" s="615"/>
      <c r="G33" s="3271"/>
      <c r="H33" s="230"/>
      <c r="I33" s="230"/>
      <c r="J33" s="230"/>
      <c r="K33" s="230"/>
      <c r="L33" s="230"/>
      <c r="M33" s="228"/>
      <c r="N33" s="257"/>
      <c r="O33" s="228"/>
      <c r="P33" s="228"/>
      <c r="Q33" s="2552"/>
      <c r="R33" s="258"/>
      <c r="S33" s="2577"/>
      <c r="T33" s="2577"/>
      <c r="U33" s="254"/>
      <c r="V33" s="228"/>
      <c r="W33" s="2552"/>
      <c r="X33" s="256"/>
      <c r="Y33" s="248"/>
      <c r="Z33" s="248"/>
      <c r="AA33" s="248"/>
      <c r="AB33" s="247"/>
      <c r="AC33" s="248"/>
      <c r="AD33" s="248"/>
      <c r="AE33" s="194"/>
      <c r="AF33" s="249"/>
      <c r="AG33" s="250"/>
      <c r="AH33" s="251"/>
      <c r="AI33" s="252"/>
    </row>
    <row r="34" spans="2:35">
      <c r="B34" s="253">
        <f t="shared" si="1"/>
        <v>25</v>
      </c>
      <c r="C34" s="244"/>
      <c r="D34" s="661"/>
      <c r="E34" s="466"/>
      <c r="F34" s="615"/>
      <c r="G34" s="3271"/>
      <c r="H34" s="230"/>
      <c r="I34" s="230"/>
      <c r="J34" s="230"/>
      <c r="K34" s="230"/>
      <c r="L34" s="230"/>
      <c r="M34" s="228"/>
      <c r="N34" s="257"/>
      <c r="O34" s="228"/>
      <c r="P34" s="228"/>
      <c r="Q34" s="2552"/>
      <c r="R34" s="258"/>
      <c r="S34" s="2577"/>
      <c r="T34" s="2577"/>
      <c r="U34" s="254"/>
      <c r="V34" s="228"/>
      <c r="W34" s="2552"/>
      <c r="X34" s="256"/>
      <c r="Y34" s="248"/>
      <c r="Z34" s="248"/>
      <c r="AA34" s="248"/>
      <c r="AB34" s="247"/>
      <c r="AC34" s="248"/>
      <c r="AD34" s="248"/>
      <c r="AE34" s="194"/>
      <c r="AF34" s="249"/>
      <c r="AG34" s="250"/>
      <c r="AH34" s="251"/>
      <c r="AI34" s="252"/>
    </row>
    <row r="35" spans="2:35">
      <c r="B35" s="253">
        <f t="shared" si="1"/>
        <v>26</v>
      </c>
      <c r="C35" s="244"/>
      <c r="D35" s="661"/>
      <c r="E35" s="466"/>
      <c r="F35" s="615"/>
      <c r="G35" s="3271"/>
      <c r="H35" s="230"/>
      <c r="I35" s="230"/>
      <c r="J35" s="230"/>
      <c r="K35" s="230"/>
      <c r="L35" s="230"/>
      <c r="M35" s="228"/>
      <c r="N35" s="257"/>
      <c r="O35" s="228"/>
      <c r="P35" s="228"/>
      <c r="Q35" s="2552"/>
      <c r="R35" s="258"/>
      <c r="S35" s="2577"/>
      <c r="T35" s="2577"/>
      <c r="U35" s="254"/>
      <c r="V35" s="228"/>
      <c r="W35" s="2552"/>
      <c r="X35" s="256"/>
      <c r="Y35" s="248"/>
      <c r="Z35" s="248"/>
      <c r="AA35" s="248"/>
      <c r="AB35" s="247"/>
      <c r="AC35" s="248"/>
      <c r="AD35" s="248"/>
      <c r="AE35" s="194"/>
      <c r="AF35" s="249"/>
      <c r="AG35" s="250"/>
      <c r="AH35" s="251"/>
      <c r="AI35" s="252"/>
    </row>
    <row r="36" spans="2:35">
      <c r="B36" s="253">
        <f t="shared" si="1"/>
        <v>27</v>
      </c>
      <c r="C36" s="244"/>
      <c r="D36" s="661"/>
      <c r="E36" s="466"/>
      <c r="F36" s="615"/>
      <c r="G36" s="3271"/>
      <c r="H36" s="230"/>
      <c r="I36" s="230"/>
      <c r="J36" s="230"/>
      <c r="K36" s="230"/>
      <c r="L36" s="230"/>
      <c r="M36" s="228"/>
      <c r="N36" s="257"/>
      <c r="O36" s="228"/>
      <c r="P36" s="228"/>
      <c r="Q36" s="2552"/>
      <c r="R36" s="258"/>
      <c r="S36" s="2577"/>
      <c r="T36" s="2577"/>
      <c r="U36" s="254"/>
      <c r="V36" s="228"/>
      <c r="W36" s="2552"/>
      <c r="X36" s="256"/>
      <c r="Y36" s="248"/>
      <c r="Z36" s="248"/>
      <c r="AA36" s="248"/>
      <c r="AB36" s="247"/>
      <c r="AC36" s="248"/>
      <c r="AD36" s="248"/>
      <c r="AE36" s="194"/>
      <c r="AF36" s="249"/>
      <c r="AG36" s="250"/>
      <c r="AH36" s="251"/>
      <c r="AI36" s="252"/>
    </row>
    <row r="37" spans="2:35">
      <c r="B37" s="253">
        <f t="shared" si="1"/>
        <v>28</v>
      </c>
      <c r="C37" s="244"/>
      <c r="D37" s="661"/>
      <c r="E37" s="466"/>
      <c r="F37" s="615"/>
      <c r="G37" s="3271"/>
      <c r="H37" s="230"/>
      <c r="I37" s="230"/>
      <c r="J37" s="230"/>
      <c r="K37" s="230"/>
      <c r="L37" s="230"/>
      <c r="M37" s="228"/>
      <c r="N37" s="257"/>
      <c r="O37" s="228"/>
      <c r="P37" s="228"/>
      <c r="Q37" s="2552"/>
      <c r="R37" s="258"/>
      <c r="S37" s="2577"/>
      <c r="T37" s="2577"/>
      <c r="U37" s="254"/>
      <c r="V37" s="228"/>
      <c r="W37" s="2552"/>
      <c r="X37" s="256"/>
      <c r="Y37" s="248"/>
      <c r="Z37" s="248"/>
      <c r="AA37" s="248"/>
      <c r="AB37" s="247"/>
      <c r="AC37" s="248"/>
      <c r="AD37" s="248"/>
      <c r="AE37" s="194"/>
      <c r="AF37" s="249"/>
      <c r="AG37" s="250"/>
      <c r="AH37" s="251"/>
      <c r="AI37" s="252"/>
    </row>
    <row r="38" spans="2:35">
      <c r="B38" s="253">
        <f t="shared" si="1"/>
        <v>29</v>
      </c>
      <c r="C38" s="244"/>
      <c r="D38" s="661"/>
      <c r="E38" s="466"/>
      <c r="F38" s="615"/>
      <c r="G38" s="3271"/>
      <c r="H38" s="230"/>
      <c r="I38" s="230"/>
      <c r="J38" s="230"/>
      <c r="K38" s="230"/>
      <c r="L38" s="230"/>
      <c r="M38" s="228"/>
      <c r="N38" s="257"/>
      <c r="O38" s="228"/>
      <c r="P38" s="228"/>
      <c r="Q38" s="2552"/>
      <c r="R38" s="258"/>
      <c r="S38" s="2577"/>
      <c r="T38" s="2577"/>
      <c r="U38" s="254"/>
      <c r="V38" s="228"/>
      <c r="W38" s="2552"/>
      <c r="X38" s="256"/>
      <c r="Y38" s="248"/>
      <c r="Z38" s="248"/>
      <c r="AA38" s="248"/>
      <c r="AB38" s="247"/>
      <c r="AC38" s="248"/>
      <c r="AD38" s="248"/>
      <c r="AE38" s="194"/>
      <c r="AF38" s="249"/>
      <c r="AG38" s="250"/>
      <c r="AH38" s="251"/>
      <c r="AI38" s="252"/>
    </row>
    <row r="39" spans="2:35">
      <c r="B39" s="253">
        <f t="shared" si="1"/>
        <v>30</v>
      </c>
      <c r="C39" s="244"/>
      <c r="D39" s="661"/>
      <c r="E39" s="466"/>
      <c r="F39" s="615"/>
      <c r="G39" s="3271"/>
      <c r="H39" s="230"/>
      <c r="I39" s="230"/>
      <c r="J39" s="230"/>
      <c r="K39" s="230"/>
      <c r="L39" s="230"/>
      <c r="M39" s="228"/>
      <c r="N39" s="257"/>
      <c r="O39" s="228"/>
      <c r="P39" s="228"/>
      <c r="Q39" s="2552"/>
      <c r="R39" s="258"/>
      <c r="S39" s="2577"/>
      <c r="T39" s="2577"/>
      <c r="U39" s="254"/>
      <c r="V39" s="228"/>
      <c r="W39" s="2552"/>
      <c r="X39" s="256"/>
      <c r="Y39" s="248"/>
      <c r="Z39" s="248"/>
      <c r="AA39" s="248"/>
      <c r="AB39" s="247"/>
      <c r="AC39" s="248"/>
      <c r="AD39" s="248"/>
      <c r="AE39" s="194"/>
      <c r="AF39" s="249"/>
      <c r="AG39" s="250"/>
      <c r="AH39" s="251"/>
      <c r="AI39" s="252"/>
    </row>
    <row r="40" spans="2:35">
      <c r="B40" s="253">
        <f t="shared" si="1"/>
        <v>31</v>
      </c>
      <c r="C40" s="244"/>
      <c r="D40" s="661"/>
      <c r="E40" s="466"/>
      <c r="F40" s="615"/>
      <c r="G40" s="3271"/>
      <c r="H40" s="230"/>
      <c r="I40" s="230"/>
      <c r="J40" s="230"/>
      <c r="K40" s="230"/>
      <c r="L40" s="230"/>
      <c r="M40" s="228"/>
      <c r="N40" s="257"/>
      <c r="O40" s="228"/>
      <c r="P40" s="228"/>
      <c r="Q40" s="2552"/>
      <c r="R40" s="258"/>
      <c r="S40" s="2577"/>
      <c r="T40" s="2577"/>
      <c r="U40" s="254"/>
      <c r="V40" s="228"/>
      <c r="W40" s="2552"/>
      <c r="X40" s="256"/>
      <c r="Y40" s="248"/>
      <c r="Z40" s="248"/>
      <c r="AA40" s="248"/>
      <c r="AB40" s="247"/>
      <c r="AC40" s="248"/>
      <c r="AD40" s="248"/>
      <c r="AE40" s="194"/>
      <c r="AF40" s="249"/>
      <c r="AG40" s="250"/>
      <c r="AH40" s="251"/>
      <c r="AI40" s="252"/>
    </row>
    <row r="41" spans="2:35">
      <c r="B41" s="253">
        <f t="shared" si="1"/>
        <v>32</v>
      </c>
      <c r="C41" s="244"/>
      <c r="D41" s="661"/>
      <c r="E41" s="466"/>
      <c r="F41" s="615"/>
      <c r="G41" s="3271"/>
      <c r="H41" s="230"/>
      <c r="I41" s="230"/>
      <c r="J41" s="230"/>
      <c r="K41" s="230"/>
      <c r="L41" s="230"/>
      <c r="M41" s="228"/>
      <c r="N41" s="257"/>
      <c r="O41" s="228"/>
      <c r="P41" s="228"/>
      <c r="Q41" s="2552"/>
      <c r="R41" s="258"/>
      <c r="S41" s="2577"/>
      <c r="T41" s="2577"/>
      <c r="U41" s="254"/>
      <c r="V41" s="228"/>
      <c r="W41" s="2552"/>
      <c r="X41" s="256"/>
      <c r="Y41" s="248"/>
      <c r="Z41" s="248"/>
      <c r="AA41" s="248"/>
      <c r="AB41" s="247"/>
      <c r="AC41" s="248"/>
      <c r="AD41" s="248"/>
      <c r="AE41" s="194"/>
      <c r="AF41" s="249"/>
      <c r="AG41" s="250"/>
      <c r="AH41" s="251"/>
      <c r="AI41" s="252"/>
    </row>
    <row r="42" spans="2:35">
      <c r="B42" s="253">
        <f t="shared" si="1"/>
        <v>33</v>
      </c>
      <c r="C42" s="244"/>
      <c r="D42" s="661"/>
      <c r="E42" s="466"/>
      <c r="F42" s="615"/>
      <c r="G42" s="3271"/>
      <c r="H42" s="230"/>
      <c r="I42" s="230"/>
      <c r="J42" s="230"/>
      <c r="K42" s="230"/>
      <c r="L42" s="230"/>
      <c r="M42" s="228"/>
      <c r="N42" s="257"/>
      <c r="O42" s="228"/>
      <c r="P42" s="228"/>
      <c r="Q42" s="2552"/>
      <c r="R42" s="258"/>
      <c r="S42" s="2577"/>
      <c r="T42" s="2577"/>
      <c r="U42" s="254"/>
      <c r="V42" s="228"/>
      <c r="W42" s="2552"/>
      <c r="X42" s="256"/>
      <c r="Y42" s="248"/>
      <c r="Z42" s="248"/>
      <c r="AA42" s="248"/>
      <c r="AB42" s="247"/>
      <c r="AC42" s="248"/>
      <c r="AD42" s="248"/>
      <c r="AE42" s="194"/>
      <c r="AF42" s="249"/>
      <c r="AG42" s="250"/>
      <c r="AH42" s="251"/>
      <c r="AI42" s="252"/>
    </row>
    <row r="43" spans="2:35">
      <c r="B43" s="253">
        <f t="shared" si="1"/>
        <v>34</v>
      </c>
      <c r="C43" s="244"/>
      <c r="D43" s="661"/>
      <c r="E43" s="466"/>
      <c r="F43" s="615"/>
      <c r="G43" s="3271"/>
      <c r="H43" s="230"/>
      <c r="I43" s="230"/>
      <c r="J43" s="230"/>
      <c r="K43" s="230"/>
      <c r="L43" s="230"/>
      <c r="M43" s="228"/>
      <c r="N43" s="257"/>
      <c r="O43" s="228"/>
      <c r="P43" s="228"/>
      <c r="Q43" s="2552"/>
      <c r="R43" s="258"/>
      <c r="S43" s="2577"/>
      <c r="T43" s="2577"/>
      <c r="U43" s="254"/>
      <c r="V43" s="228"/>
      <c r="W43" s="2552"/>
      <c r="X43" s="256"/>
      <c r="Y43" s="248"/>
      <c r="Z43" s="248"/>
      <c r="AA43" s="248"/>
      <c r="AB43" s="247"/>
      <c r="AC43" s="248"/>
      <c r="AD43" s="248"/>
      <c r="AE43" s="194"/>
      <c r="AF43" s="249"/>
      <c r="AG43" s="250"/>
      <c r="AH43" s="251"/>
      <c r="AI43" s="252"/>
    </row>
    <row r="44" spans="2:35">
      <c r="B44" s="253">
        <f t="shared" si="1"/>
        <v>35</v>
      </c>
      <c r="C44" s="244"/>
      <c r="D44" s="661"/>
      <c r="E44" s="466"/>
      <c r="F44" s="615"/>
      <c r="G44" s="3271"/>
      <c r="H44" s="230"/>
      <c r="I44" s="230"/>
      <c r="J44" s="230"/>
      <c r="K44" s="230"/>
      <c r="L44" s="230"/>
      <c r="M44" s="228"/>
      <c r="N44" s="257"/>
      <c r="O44" s="228"/>
      <c r="P44" s="228"/>
      <c r="Q44" s="2552"/>
      <c r="R44" s="258"/>
      <c r="S44" s="2577"/>
      <c r="T44" s="2577"/>
      <c r="U44" s="254"/>
      <c r="V44" s="228"/>
      <c r="W44" s="2552"/>
      <c r="X44" s="256"/>
      <c r="Y44" s="248"/>
      <c r="Z44" s="248"/>
      <c r="AA44" s="248"/>
      <c r="AB44" s="247"/>
      <c r="AC44" s="248"/>
      <c r="AD44" s="248"/>
      <c r="AE44" s="194"/>
      <c r="AF44" s="249"/>
      <c r="AG44" s="250"/>
      <c r="AH44" s="251"/>
      <c r="AI44" s="252"/>
    </row>
    <row r="45" spans="2:35">
      <c r="B45" s="253">
        <f t="shared" si="1"/>
        <v>36</v>
      </c>
      <c r="C45" s="244"/>
      <c r="D45" s="661"/>
      <c r="E45" s="466"/>
      <c r="F45" s="615"/>
      <c r="G45" s="3271"/>
      <c r="H45" s="230"/>
      <c r="I45" s="230"/>
      <c r="J45" s="230"/>
      <c r="K45" s="230"/>
      <c r="L45" s="230"/>
      <c r="M45" s="228"/>
      <c r="N45" s="257"/>
      <c r="O45" s="228"/>
      <c r="P45" s="228"/>
      <c r="Q45" s="2552"/>
      <c r="R45" s="258"/>
      <c r="S45" s="2577"/>
      <c r="T45" s="2577"/>
      <c r="U45" s="254"/>
      <c r="V45" s="228"/>
      <c r="W45" s="2552"/>
      <c r="X45" s="256"/>
      <c r="Y45" s="248"/>
      <c r="Z45" s="248"/>
      <c r="AA45" s="248"/>
      <c r="AB45" s="247"/>
      <c r="AC45" s="248"/>
      <c r="AD45" s="248"/>
      <c r="AE45" s="194"/>
      <c r="AF45" s="249"/>
      <c r="AG45" s="250"/>
      <c r="AH45" s="251"/>
      <c r="AI45" s="252"/>
    </row>
    <row r="46" spans="2:35">
      <c r="B46" s="253">
        <f t="shared" si="1"/>
        <v>37</v>
      </c>
      <c r="C46" s="244"/>
      <c r="D46" s="661"/>
      <c r="E46" s="466"/>
      <c r="F46" s="615"/>
      <c r="G46" s="3271"/>
      <c r="H46" s="230"/>
      <c r="I46" s="230"/>
      <c r="J46" s="230"/>
      <c r="K46" s="230"/>
      <c r="L46" s="230"/>
      <c r="M46" s="228"/>
      <c r="N46" s="257"/>
      <c r="O46" s="228"/>
      <c r="P46" s="228"/>
      <c r="Q46" s="2552"/>
      <c r="R46" s="258"/>
      <c r="S46" s="2577"/>
      <c r="T46" s="2577"/>
      <c r="U46" s="254"/>
      <c r="V46" s="228"/>
      <c r="W46" s="2552"/>
      <c r="X46" s="256"/>
      <c r="Y46" s="248"/>
      <c r="Z46" s="248"/>
      <c r="AA46" s="248"/>
      <c r="AB46" s="247"/>
      <c r="AC46" s="248"/>
      <c r="AD46" s="248"/>
      <c r="AE46" s="194"/>
      <c r="AF46" s="249"/>
      <c r="AG46" s="250"/>
      <c r="AH46" s="251"/>
      <c r="AI46" s="252"/>
    </row>
    <row r="47" spans="2:35">
      <c r="B47" s="253">
        <f t="shared" si="1"/>
        <v>38</v>
      </c>
      <c r="C47" s="244"/>
      <c r="D47" s="661"/>
      <c r="E47" s="466"/>
      <c r="F47" s="615"/>
      <c r="G47" s="3271"/>
      <c r="H47" s="230"/>
      <c r="I47" s="230"/>
      <c r="J47" s="230"/>
      <c r="K47" s="230"/>
      <c r="L47" s="230"/>
      <c r="M47" s="228"/>
      <c r="N47" s="257"/>
      <c r="O47" s="228"/>
      <c r="P47" s="228"/>
      <c r="Q47" s="2552"/>
      <c r="R47" s="258"/>
      <c r="S47" s="2577"/>
      <c r="T47" s="2577"/>
      <c r="U47" s="254"/>
      <c r="V47" s="228"/>
      <c r="W47" s="2552"/>
      <c r="X47" s="256"/>
      <c r="Y47" s="248"/>
      <c r="Z47" s="248"/>
      <c r="AA47" s="248"/>
      <c r="AB47" s="247"/>
      <c r="AC47" s="248"/>
      <c r="AD47" s="248"/>
      <c r="AE47" s="194"/>
      <c r="AF47" s="249"/>
      <c r="AG47" s="250"/>
      <c r="AH47" s="251"/>
      <c r="AI47" s="252"/>
    </row>
    <row r="48" spans="2:35">
      <c r="B48" s="253">
        <f t="shared" si="1"/>
        <v>39</v>
      </c>
      <c r="C48" s="244"/>
      <c r="D48" s="661"/>
      <c r="E48" s="466"/>
      <c r="F48" s="615"/>
      <c r="G48" s="3271"/>
      <c r="H48" s="230"/>
      <c r="I48" s="230"/>
      <c r="J48" s="230"/>
      <c r="K48" s="230"/>
      <c r="L48" s="230"/>
      <c r="M48" s="228"/>
      <c r="N48" s="257"/>
      <c r="O48" s="228"/>
      <c r="P48" s="228"/>
      <c r="Q48" s="2552"/>
      <c r="R48" s="258"/>
      <c r="S48" s="2577"/>
      <c r="T48" s="2577"/>
      <c r="U48" s="254"/>
      <c r="V48" s="228"/>
      <c r="W48" s="2552"/>
      <c r="X48" s="256"/>
      <c r="Y48" s="248"/>
      <c r="Z48" s="248"/>
      <c r="AA48" s="248"/>
      <c r="AB48" s="247"/>
      <c r="AC48" s="248"/>
      <c r="AD48" s="248"/>
      <c r="AE48" s="194"/>
      <c r="AF48" s="249"/>
      <c r="AG48" s="250"/>
      <c r="AH48" s="251"/>
      <c r="AI48" s="252"/>
    </row>
    <row r="49" spans="2:35">
      <c r="B49" s="253">
        <f t="shared" si="1"/>
        <v>40</v>
      </c>
      <c r="C49" s="244"/>
      <c r="D49" s="661"/>
      <c r="E49" s="466"/>
      <c r="F49" s="615"/>
      <c r="G49" s="3271"/>
      <c r="H49" s="230"/>
      <c r="I49" s="230"/>
      <c r="J49" s="230"/>
      <c r="K49" s="230"/>
      <c r="L49" s="230"/>
      <c r="M49" s="228"/>
      <c r="N49" s="257"/>
      <c r="O49" s="228"/>
      <c r="P49" s="228"/>
      <c r="Q49" s="2552"/>
      <c r="R49" s="258"/>
      <c r="S49" s="2577"/>
      <c r="T49" s="2577"/>
      <c r="U49" s="254"/>
      <c r="V49" s="228"/>
      <c r="W49" s="2552"/>
      <c r="X49" s="256"/>
      <c r="Y49" s="248"/>
      <c r="Z49" s="248"/>
      <c r="AA49" s="248"/>
      <c r="AB49" s="247"/>
      <c r="AC49" s="248"/>
      <c r="AD49" s="248"/>
      <c r="AE49" s="194"/>
      <c r="AF49" s="249"/>
      <c r="AG49" s="250"/>
      <c r="AH49" s="251"/>
      <c r="AI49" s="252"/>
    </row>
    <row r="50" spans="2:35">
      <c r="B50" s="253">
        <f t="shared" si="1"/>
        <v>41</v>
      </c>
      <c r="C50" s="244"/>
      <c r="D50" s="661"/>
      <c r="E50" s="466"/>
      <c r="F50" s="615"/>
      <c r="G50" s="3271"/>
      <c r="H50" s="230"/>
      <c r="I50" s="230"/>
      <c r="J50" s="230"/>
      <c r="K50" s="230"/>
      <c r="L50" s="230"/>
      <c r="M50" s="228"/>
      <c r="N50" s="257"/>
      <c r="O50" s="228"/>
      <c r="P50" s="228"/>
      <c r="Q50" s="2552"/>
      <c r="R50" s="258"/>
      <c r="S50" s="2577"/>
      <c r="T50" s="2577"/>
      <c r="U50" s="254"/>
      <c r="V50" s="228"/>
      <c r="W50" s="2552"/>
      <c r="X50" s="256"/>
      <c r="Y50" s="248"/>
      <c r="Z50" s="248"/>
      <c r="AA50" s="248"/>
      <c r="AB50" s="247"/>
      <c r="AC50" s="248"/>
      <c r="AD50" s="248"/>
      <c r="AE50" s="194"/>
      <c r="AF50" s="249"/>
      <c r="AG50" s="250"/>
      <c r="AH50" s="251"/>
      <c r="AI50" s="252"/>
    </row>
    <row r="51" spans="2:35">
      <c r="B51" s="253">
        <f t="shared" si="1"/>
        <v>42</v>
      </c>
      <c r="C51" s="244"/>
      <c r="D51" s="661"/>
      <c r="E51" s="466"/>
      <c r="F51" s="615"/>
      <c r="G51" s="3271"/>
      <c r="H51" s="230"/>
      <c r="I51" s="230"/>
      <c r="J51" s="230"/>
      <c r="K51" s="230"/>
      <c r="L51" s="230"/>
      <c r="M51" s="228"/>
      <c r="N51" s="257"/>
      <c r="O51" s="228"/>
      <c r="P51" s="228"/>
      <c r="Q51" s="2552"/>
      <c r="R51" s="258"/>
      <c r="S51" s="2577"/>
      <c r="T51" s="2577"/>
      <c r="U51" s="254"/>
      <c r="V51" s="228"/>
      <c r="W51" s="2552"/>
      <c r="X51" s="256"/>
      <c r="Y51" s="248"/>
      <c r="Z51" s="248"/>
      <c r="AA51" s="248"/>
      <c r="AB51" s="247"/>
      <c r="AC51" s="248"/>
      <c r="AD51" s="248"/>
      <c r="AE51" s="194"/>
      <c r="AF51" s="249"/>
      <c r="AG51" s="250"/>
      <c r="AH51" s="251"/>
      <c r="AI51" s="252"/>
    </row>
    <row r="52" spans="2:35">
      <c r="B52" s="253">
        <f t="shared" si="1"/>
        <v>43</v>
      </c>
      <c r="C52" s="244"/>
      <c r="D52" s="661"/>
      <c r="E52" s="466"/>
      <c r="F52" s="615"/>
      <c r="G52" s="3271"/>
      <c r="H52" s="230"/>
      <c r="I52" s="230"/>
      <c r="J52" s="230"/>
      <c r="K52" s="230"/>
      <c r="L52" s="230"/>
      <c r="M52" s="228"/>
      <c r="N52" s="257"/>
      <c r="O52" s="228"/>
      <c r="P52" s="228"/>
      <c r="Q52" s="2552"/>
      <c r="R52" s="258"/>
      <c r="S52" s="2577"/>
      <c r="T52" s="2577"/>
      <c r="U52" s="254"/>
      <c r="V52" s="228"/>
      <c r="W52" s="2552"/>
      <c r="X52" s="256"/>
      <c r="Y52" s="248"/>
      <c r="Z52" s="248"/>
      <c r="AA52" s="248"/>
      <c r="AB52" s="247"/>
      <c r="AC52" s="248"/>
      <c r="AD52" s="248"/>
      <c r="AE52" s="194"/>
      <c r="AF52" s="249"/>
      <c r="AG52" s="250"/>
      <c r="AH52" s="251"/>
      <c r="AI52" s="252"/>
    </row>
    <row r="53" spans="2:35">
      <c r="B53" s="253">
        <f t="shared" si="1"/>
        <v>44</v>
      </c>
      <c r="C53" s="244"/>
      <c r="D53" s="661"/>
      <c r="E53" s="466"/>
      <c r="F53" s="615"/>
      <c r="G53" s="3271"/>
      <c r="H53" s="230"/>
      <c r="I53" s="230"/>
      <c r="J53" s="230"/>
      <c r="K53" s="230"/>
      <c r="L53" s="230"/>
      <c r="M53" s="228"/>
      <c r="N53" s="257"/>
      <c r="O53" s="228"/>
      <c r="P53" s="228"/>
      <c r="Q53" s="2552"/>
      <c r="R53" s="258"/>
      <c r="S53" s="2577"/>
      <c r="T53" s="2577"/>
      <c r="U53" s="254"/>
      <c r="V53" s="228"/>
      <c r="W53" s="2552"/>
      <c r="X53" s="256"/>
      <c r="Y53" s="248"/>
      <c r="Z53" s="248"/>
      <c r="AA53" s="248"/>
      <c r="AB53" s="247"/>
      <c r="AC53" s="248"/>
      <c r="AD53" s="248"/>
      <c r="AE53" s="194"/>
      <c r="AF53" s="249"/>
      <c r="AG53" s="250"/>
      <c r="AH53" s="251"/>
      <c r="AI53" s="252"/>
    </row>
    <row r="54" spans="2:35">
      <c r="B54" s="253">
        <f t="shared" si="1"/>
        <v>45</v>
      </c>
      <c r="C54" s="244"/>
      <c r="D54" s="661"/>
      <c r="E54" s="466"/>
      <c r="F54" s="615"/>
      <c r="G54" s="3271"/>
      <c r="H54" s="230"/>
      <c r="I54" s="230"/>
      <c r="J54" s="230"/>
      <c r="K54" s="230"/>
      <c r="L54" s="230"/>
      <c r="M54" s="228"/>
      <c r="N54" s="257"/>
      <c r="O54" s="228"/>
      <c r="P54" s="228"/>
      <c r="Q54" s="2552"/>
      <c r="R54" s="258"/>
      <c r="S54" s="2577"/>
      <c r="T54" s="2577"/>
      <c r="U54" s="254"/>
      <c r="V54" s="228"/>
      <c r="W54" s="2552"/>
      <c r="X54" s="256"/>
      <c r="Y54" s="248"/>
      <c r="Z54" s="248"/>
      <c r="AA54" s="248"/>
      <c r="AB54" s="247"/>
      <c r="AC54" s="248"/>
      <c r="AD54" s="248"/>
      <c r="AE54" s="194"/>
      <c r="AF54" s="249"/>
      <c r="AG54" s="250"/>
      <c r="AH54" s="251"/>
      <c r="AI54" s="252"/>
    </row>
    <row r="55" spans="2:35">
      <c r="B55" s="253">
        <f t="shared" si="1"/>
        <v>46</v>
      </c>
      <c r="C55" s="244"/>
      <c r="D55" s="661"/>
      <c r="E55" s="466"/>
      <c r="F55" s="615"/>
      <c r="G55" s="3271"/>
      <c r="H55" s="230"/>
      <c r="I55" s="230"/>
      <c r="J55" s="230"/>
      <c r="K55" s="230"/>
      <c r="L55" s="230"/>
      <c r="M55" s="228"/>
      <c r="N55" s="257"/>
      <c r="O55" s="228"/>
      <c r="P55" s="228"/>
      <c r="Q55" s="2552"/>
      <c r="R55" s="258"/>
      <c r="S55" s="2577"/>
      <c r="T55" s="2577"/>
      <c r="U55" s="254"/>
      <c r="V55" s="228"/>
      <c r="W55" s="2552"/>
      <c r="X55" s="256"/>
      <c r="Y55" s="248"/>
      <c r="Z55" s="248"/>
      <c r="AA55" s="248"/>
      <c r="AB55" s="247"/>
      <c r="AC55" s="248"/>
      <c r="AD55" s="248"/>
      <c r="AE55" s="194"/>
      <c r="AF55" s="249"/>
      <c r="AG55" s="250"/>
      <c r="AH55" s="251"/>
      <c r="AI55" s="252"/>
    </row>
    <row r="56" spans="2:35">
      <c r="B56" s="253">
        <f t="shared" si="1"/>
        <v>47</v>
      </c>
      <c r="C56" s="244"/>
      <c r="D56" s="661"/>
      <c r="E56" s="466"/>
      <c r="F56" s="615"/>
      <c r="G56" s="3271"/>
      <c r="H56" s="230"/>
      <c r="I56" s="230"/>
      <c r="J56" s="230"/>
      <c r="K56" s="230"/>
      <c r="L56" s="230"/>
      <c r="M56" s="228"/>
      <c r="N56" s="257"/>
      <c r="O56" s="228"/>
      <c r="P56" s="228"/>
      <c r="Q56" s="2552"/>
      <c r="R56" s="258"/>
      <c r="S56" s="2577"/>
      <c r="T56" s="2577"/>
      <c r="U56" s="254"/>
      <c r="V56" s="228"/>
      <c r="W56" s="2552"/>
      <c r="X56" s="256"/>
      <c r="Y56" s="248"/>
      <c r="Z56" s="248"/>
      <c r="AA56" s="248"/>
      <c r="AB56" s="247"/>
      <c r="AC56" s="248"/>
      <c r="AD56" s="248"/>
      <c r="AE56" s="194"/>
      <c r="AF56" s="249"/>
      <c r="AG56" s="250"/>
      <c r="AH56" s="251"/>
      <c r="AI56" s="252"/>
    </row>
    <row r="57" spans="2:35">
      <c r="B57" s="253">
        <f t="shared" si="1"/>
        <v>48</v>
      </c>
      <c r="C57" s="244"/>
      <c r="D57" s="661"/>
      <c r="E57" s="466"/>
      <c r="F57" s="615"/>
      <c r="G57" s="3271"/>
      <c r="H57" s="230"/>
      <c r="I57" s="230"/>
      <c r="J57" s="230"/>
      <c r="K57" s="230"/>
      <c r="L57" s="230"/>
      <c r="M57" s="228"/>
      <c r="N57" s="257"/>
      <c r="O57" s="228"/>
      <c r="P57" s="228"/>
      <c r="Q57" s="2552"/>
      <c r="R57" s="258"/>
      <c r="S57" s="2577"/>
      <c r="T57" s="2577"/>
      <c r="U57" s="254"/>
      <c r="V57" s="228"/>
      <c r="W57" s="2552"/>
      <c r="X57" s="256"/>
      <c r="Y57" s="248"/>
      <c r="Z57" s="248"/>
      <c r="AA57" s="248"/>
      <c r="AB57" s="247"/>
      <c r="AC57" s="248"/>
      <c r="AD57" s="248"/>
      <c r="AE57" s="194"/>
      <c r="AF57" s="249"/>
      <c r="AG57" s="250"/>
      <c r="AH57" s="251"/>
      <c r="AI57" s="252"/>
    </row>
    <row r="58" spans="2:35">
      <c r="B58" s="253">
        <f t="shared" si="1"/>
        <v>49</v>
      </c>
      <c r="C58" s="244"/>
      <c r="D58" s="661"/>
      <c r="E58" s="466"/>
      <c r="F58" s="615"/>
      <c r="G58" s="3271"/>
      <c r="H58" s="230"/>
      <c r="I58" s="230"/>
      <c r="J58" s="230"/>
      <c r="K58" s="230"/>
      <c r="L58" s="230"/>
      <c r="M58" s="228"/>
      <c r="N58" s="257"/>
      <c r="O58" s="228"/>
      <c r="P58" s="228"/>
      <c r="Q58" s="2552"/>
      <c r="R58" s="258"/>
      <c r="S58" s="2577"/>
      <c r="T58" s="2577"/>
      <c r="U58" s="254"/>
      <c r="V58" s="228"/>
      <c r="W58" s="2552"/>
      <c r="X58" s="256"/>
      <c r="Y58" s="248"/>
      <c r="Z58" s="248"/>
      <c r="AA58" s="248"/>
      <c r="AB58" s="247"/>
      <c r="AC58" s="248"/>
      <c r="AD58" s="248"/>
      <c r="AE58" s="194"/>
      <c r="AF58" s="249"/>
      <c r="AG58" s="250"/>
      <c r="AH58" s="251"/>
      <c r="AI58" s="252"/>
    </row>
    <row r="59" spans="2:35">
      <c r="B59" s="253">
        <f t="shared" si="1"/>
        <v>50</v>
      </c>
      <c r="C59" s="244"/>
      <c r="D59" s="661"/>
      <c r="E59" s="466"/>
      <c r="F59" s="615"/>
      <c r="G59" s="3271"/>
      <c r="H59" s="230"/>
      <c r="I59" s="230"/>
      <c r="J59" s="230"/>
      <c r="K59" s="230"/>
      <c r="L59" s="230"/>
      <c r="M59" s="228"/>
      <c r="N59" s="257"/>
      <c r="O59" s="228"/>
      <c r="P59" s="228"/>
      <c r="Q59" s="2552"/>
      <c r="R59" s="258"/>
      <c r="S59" s="2577"/>
      <c r="T59" s="2577"/>
      <c r="U59" s="254"/>
      <c r="V59" s="228"/>
      <c r="W59" s="2552"/>
      <c r="X59" s="256"/>
      <c r="Y59" s="248"/>
      <c r="Z59" s="248"/>
      <c r="AA59" s="248"/>
      <c r="AB59" s="247"/>
      <c r="AC59" s="248"/>
      <c r="AD59" s="248"/>
      <c r="AE59" s="194"/>
      <c r="AF59" s="249"/>
      <c r="AG59" s="250"/>
      <c r="AH59" s="251"/>
      <c r="AI59" s="252"/>
    </row>
    <row r="60" spans="2:35">
      <c r="B60" s="253">
        <f t="shared" si="1"/>
        <v>51</v>
      </c>
      <c r="C60" s="244"/>
      <c r="D60" s="661"/>
      <c r="E60" s="466"/>
      <c r="F60" s="615"/>
      <c r="G60" s="3271"/>
      <c r="H60" s="230"/>
      <c r="I60" s="230"/>
      <c r="J60" s="230"/>
      <c r="K60" s="230"/>
      <c r="L60" s="230"/>
      <c r="M60" s="228"/>
      <c r="N60" s="257"/>
      <c r="O60" s="228"/>
      <c r="P60" s="228"/>
      <c r="Q60" s="2552"/>
      <c r="R60" s="258"/>
      <c r="S60" s="2577"/>
      <c r="T60" s="2577"/>
      <c r="U60" s="254"/>
      <c r="V60" s="228"/>
      <c r="W60" s="2552"/>
      <c r="X60" s="256"/>
      <c r="Y60" s="248"/>
      <c r="Z60" s="248"/>
      <c r="AA60" s="248"/>
      <c r="AB60" s="247"/>
      <c r="AC60" s="248"/>
      <c r="AD60" s="248"/>
      <c r="AE60" s="194"/>
      <c r="AF60" s="249"/>
      <c r="AG60" s="250"/>
      <c r="AH60" s="251"/>
      <c r="AI60" s="252"/>
    </row>
    <row r="61" spans="2:35">
      <c r="B61" s="253">
        <f t="shared" si="1"/>
        <v>52</v>
      </c>
      <c r="C61" s="244"/>
      <c r="D61" s="661"/>
      <c r="E61" s="466"/>
      <c r="F61" s="615"/>
      <c r="G61" s="3271"/>
      <c r="H61" s="230"/>
      <c r="I61" s="230"/>
      <c r="J61" s="230"/>
      <c r="K61" s="230"/>
      <c r="L61" s="230"/>
      <c r="M61" s="228"/>
      <c r="N61" s="257"/>
      <c r="O61" s="228"/>
      <c r="P61" s="228"/>
      <c r="Q61" s="2552"/>
      <c r="R61" s="258"/>
      <c r="S61" s="2577"/>
      <c r="T61" s="2577"/>
      <c r="U61" s="254"/>
      <c r="V61" s="228"/>
      <c r="W61" s="2552"/>
      <c r="X61" s="256"/>
      <c r="Y61" s="248"/>
      <c r="Z61" s="248"/>
      <c r="AA61" s="248"/>
      <c r="AB61" s="247"/>
      <c r="AC61" s="248"/>
      <c r="AD61" s="248"/>
      <c r="AE61" s="194"/>
      <c r="AF61" s="249"/>
      <c r="AG61" s="250"/>
      <c r="AH61" s="251"/>
      <c r="AI61" s="252"/>
    </row>
    <row r="62" spans="2:35">
      <c r="B62" s="253">
        <f t="shared" si="1"/>
        <v>53</v>
      </c>
      <c r="C62" s="244"/>
      <c r="D62" s="661"/>
      <c r="E62" s="466"/>
      <c r="F62" s="615"/>
      <c r="G62" s="3271"/>
      <c r="H62" s="230"/>
      <c r="I62" s="230"/>
      <c r="J62" s="230"/>
      <c r="K62" s="230"/>
      <c r="L62" s="230"/>
      <c r="M62" s="228"/>
      <c r="N62" s="257"/>
      <c r="O62" s="228"/>
      <c r="P62" s="228"/>
      <c r="Q62" s="2552"/>
      <c r="R62" s="258"/>
      <c r="S62" s="2577"/>
      <c r="T62" s="2577"/>
      <c r="U62" s="254"/>
      <c r="V62" s="228"/>
      <c r="W62" s="2552"/>
      <c r="X62" s="256"/>
      <c r="Y62" s="248"/>
      <c r="Z62" s="248"/>
      <c r="AA62" s="248"/>
      <c r="AB62" s="247"/>
      <c r="AC62" s="248"/>
      <c r="AD62" s="248"/>
      <c r="AE62" s="194"/>
      <c r="AF62" s="249"/>
      <c r="AG62" s="250"/>
      <c r="AH62" s="251"/>
      <c r="AI62" s="252"/>
    </row>
    <row r="63" spans="2:35">
      <c r="B63" s="253">
        <f t="shared" si="1"/>
        <v>54</v>
      </c>
      <c r="C63" s="244"/>
      <c r="D63" s="661"/>
      <c r="E63" s="466"/>
      <c r="F63" s="615"/>
      <c r="G63" s="3271"/>
      <c r="H63" s="230"/>
      <c r="I63" s="230"/>
      <c r="J63" s="230"/>
      <c r="K63" s="230"/>
      <c r="L63" s="230"/>
      <c r="M63" s="228"/>
      <c r="N63" s="257"/>
      <c r="O63" s="228"/>
      <c r="P63" s="228"/>
      <c r="Q63" s="2552"/>
      <c r="R63" s="258"/>
      <c r="S63" s="2577"/>
      <c r="T63" s="2577"/>
      <c r="U63" s="254"/>
      <c r="V63" s="228"/>
      <c r="W63" s="2552"/>
      <c r="X63" s="256"/>
      <c r="Y63" s="248"/>
      <c r="Z63" s="248"/>
      <c r="AA63" s="248"/>
      <c r="AB63" s="247"/>
      <c r="AC63" s="248"/>
      <c r="AD63" s="248"/>
      <c r="AE63" s="194"/>
      <c r="AF63" s="249"/>
      <c r="AG63" s="250"/>
      <c r="AH63" s="251"/>
      <c r="AI63" s="252"/>
    </row>
    <row r="64" spans="2:35">
      <c r="B64" s="253">
        <f t="shared" si="1"/>
        <v>55</v>
      </c>
      <c r="C64" s="244"/>
      <c r="D64" s="661"/>
      <c r="E64" s="466"/>
      <c r="F64" s="615"/>
      <c r="G64" s="3271"/>
      <c r="H64" s="230"/>
      <c r="I64" s="230"/>
      <c r="J64" s="230"/>
      <c r="K64" s="230"/>
      <c r="L64" s="230"/>
      <c r="M64" s="228"/>
      <c r="N64" s="257"/>
      <c r="O64" s="228"/>
      <c r="P64" s="228"/>
      <c r="Q64" s="2552"/>
      <c r="R64" s="258"/>
      <c r="S64" s="2577"/>
      <c r="T64" s="2577"/>
      <c r="U64" s="254"/>
      <c r="V64" s="228"/>
      <c r="W64" s="2552"/>
      <c r="X64" s="256"/>
      <c r="Y64" s="248"/>
      <c r="Z64" s="248"/>
      <c r="AA64" s="248"/>
      <c r="AB64" s="247"/>
      <c r="AC64" s="248"/>
      <c r="AD64" s="248"/>
      <c r="AE64" s="194"/>
      <c r="AF64" s="249"/>
      <c r="AG64" s="250"/>
      <c r="AH64" s="251"/>
      <c r="AI64" s="252"/>
    </row>
    <row r="65" spans="2:35">
      <c r="B65" s="253">
        <f t="shared" si="1"/>
        <v>56</v>
      </c>
      <c r="C65" s="244"/>
      <c r="D65" s="661"/>
      <c r="E65" s="466"/>
      <c r="F65" s="615"/>
      <c r="G65" s="3271"/>
      <c r="H65" s="230"/>
      <c r="I65" s="230"/>
      <c r="J65" s="230"/>
      <c r="K65" s="230"/>
      <c r="L65" s="230"/>
      <c r="M65" s="228"/>
      <c r="N65" s="257"/>
      <c r="O65" s="228"/>
      <c r="P65" s="228"/>
      <c r="Q65" s="2552"/>
      <c r="R65" s="258"/>
      <c r="S65" s="2577"/>
      <c r="T65" s="2577"/>
      <c r="U65" s="254"/>
      <c r="V65" s="228"/>
      <c r="W65" s="2552"/>
      <c r="X65" s="256"/>
      <c r="Y65" s="248"/>
      <c r="Z65" s="248"/>
      <c r="AA65" s="248"/>
      <c r="AB65" s="247"/>
      <c r="AC65" s="248"/>
      <c r="AD65" s="248"/>
      <c r="AE65" s="194"/>
      <c r="AF65" s="249"/>
      <c r="AG65" s="250"/>
      <c r="AH65" s="251"/>
      <c r="AI65" s="252"/>
    </row>
    <row r="66" spans="2:35">
      <c r="B66" s="253">
        <f t="shared" ref="B66:B129" si="8">+B65+1</f>
        <v>57</v>
      </c>
      <c r="C66" s="244"/>
      <c r="D66" s="661"/>
      <c r="E66" s="466"/>
      <c r="F66" s="615"/>
      <c r="G66" s="3271"/>
      <c r="H66" s="230"/>
      <c r="I66" s="230"/>
      <c r="J66" s="230"/>
      <c r="K66" s="230"/>
      <c r="L66" s="230"/>
      <c r="M66" s="228"/>
      <c r="N66" s="257"/>
      <c r="O66" s="228"/>
      <c r="P66" s="228"/>
      <c r="Q66" s="2552"/>
      <c r="R66" s="258"/>
      <c r="S66" s="2577"/>
      <c r="T66" s="2577"/>
      <c r="U66" s="254"/>
      <c r="V66" s="228"/>
      <c r="W66" s="2552"/>
      <c r="X66" s="256"/>
      <c r="Y66" s="248"/>
      <c r="Z66" s="248"/>
      <c r="AA66" s="248"/>
      <c r="AB66" s="247"/>
      <c r="AC66" s="248"/>
      <c r="AD66" s="248"/>
      <c r="AE66" s="194"/>
      <c r="AF66" s="249"/>
      <c r="AG66" s="250"/>
      <c r="AH66" s="251"/>
      <c r="AI66" s="252"/>
    </row>
    <row r="67" spans="2:35">
      <c r="B67" s="253">
        <f t="shared" si="8"/>
        <v>58</v>
      </c>
      <c r="C67" s="244"/>
      <c r="D67" s="661"/>
      <c r="E67" s="466"/>
      <c r="F67" s="615"/>
      <c r="G67" s="3271"/>
      <c r="H67" s="230"/>
      <c r="I67" s="230"/>
      <c r="J67" s="230"/>
      <c r="K67" s="230"/>
      <c r="L67" s="230"/>
      <c r="M67" s="228"/>
      <c r="N67" s="257"/>
      <c r="O67" s="228"/>
      <c r="P67" s="228"/>
      <c r="Q67" s="2552"/>
      <c r="R67" s="258"/>
      <c r="S67" s="2577"/>
      <c r="T67" s="2577"/>
      <c r="U67" s="254"/>
      <c r="V67" s="228"/>
      <c r="W67" s="2552"/>
      <c r="X67" s="256"/>
      <c r="Y67" s="248"/>
      <c r="Z67" s="248"/>
      <c r="AA67" s="248"/>
      <c r="AB67" s="247"/>
      <c r="AC67" s="248"/>
      <c r="AD67" s="248"/>
      <c r="AE67" s="194"/>
      <c r="AF67" s="249"/>
      <c r="AG67" s="250"/>
      <c r="AH67" s="251"/>
      <c r="AI67" s="252"/>
    </row>
    <row r="68" spans="2:35">
      <c r="B68" s="253">
        <f t="shared" si="8"/>
        <v>59</v>
      </c>
      <c r="C68" s="244"/>
      <c r="D68" s="661"/>
      <c r="E68" s="466"/>
      <c r="F68" s="615"/>
      <c r="G68" s="3271"/>
      <c r="H68" s="230"/>
      <c r="I68" s="230"/>
      <c r="J68" s="230"/>
      <c r="K68" s="230"/>
      <c r="L68" s="230"/>
      <c r="M68" s="228"/>
      <c r="N68" s="257"/>
      <c r="O68" s="228"/>
      <c r="P68" s="228"/>
      <c r="Q68" s="2552"/>
      <c r="R68" s="258"/>
      <c r="S68" s="2577"/>
      <c r="T68" s="2577"/>
      <c r="U68" s="254"/>
      <c r="V68" s="228"/>
      <c r="W68" s="2552"/>
      <c r="X68" s="256"/>
      <c r="Y68" s="248"/>
      <c r="Z68" s="248"/>
      <c r="AA68" s="248"/>
      <c r="AB68" s="247"/>
      <c r="AC68" s="248"/>
      <c r="AD68" s="248"/>
      <c r="AE68" s="194"/>
      <c r="AF68" s="249"/>
      <c r="AG68" s="250"/>
      <c r="AH68" s="251"/>
      <c r="AI68" s="252"/>
    </row>
    <row r="69" spans="2:35">
      <c r="B69" s="253">
        <f t="shared" si="8"/>
        <v>60</v>
      </c>
      <c r="C69" s="244"/>
      <c r="D69" s="661"/>
      <c r="E69" s="466"/>
      <c r="F69" s="615"/>
      <c r="G69" s="3271"/>
      <c r="H69" s="230"/>
      <c r="I69" s="230"/>
      <c r="J69" s="230"/>
      <c r="K69" s="230"/>
      <c r="L69" s="230"/>
      <c r="M69" s="228"/>
      <c r="N69" s="257"/>
      <c r="O69" s="228"/>
      <c r="P69" s="228"/>
      <c r="Q69" s="2552"/>
      <c r="R69" s="258"/>
      <c r="S69" s="2577"/>
      <c r="T69" s="2577"/>
      <c r="U69" s="254"/>
      <c r="V69" s="228"/>
      <c r="W69" s="2552"/>
      <c r="X69" s="256"/>
      <c r="Y69" s="248"/>
      <c r="Z69" s="248"/>
      <c r="AA69" s="248"/>
      <c r="AB69" s="247"/>
      <c r="AC69" s="248"/>
      <c r="AD69" s="248"/>
      <c r="AE69" s="194"/>
      <c r="AF69" s="249"/>
      <c r="AG69" s="250"/>
      <c r="AH69" s="251"/>
      <c r="AI69" s="252"/>
    </row>
    <row r="70" spans="2:35">
      <c r="B70" s="253">
        <f t="shared" si="8"/>
        <v>61</v>
      </c>
      <c r="C70" s="244"/>
      <c r="D70" s="661"/>
      <c r="E70" s="466"/>
      <c r="F70" s="615"/>
      <c r="G70" s="3271"/>
      <c r="H70" s="230"/>
      <c r="I70" s="230"/>
      <c r="J70" s="230"/>
      <c r="K70" s="230"/>
      <c r="L70" s="230"/>
      <c r="M70" s="228"/>
      <c r="N70" s="257"/>
      <c r="O70" s="228"/>
      <c r="P70" s="228"/>
      <c r="Q70" s="2552"/>
      <c r="R70" s="258"/>
      <c r="S70" s="2577"/>
      <c r="T70" s="2577"/>
      <c r="U70" s="254"/>
      <c r="V70" s="228"/>
      <c r="W70" s="2552"/>
      <c r="X70" s="256"/>
      <c r="Y70" s="248"/>
      <c r="Z70" s="248"/>
      <c r="AA70" s="248"/>
      <c r="AB70" s="247"/>
      <c r="AC70" s="248"/>
      <c r="AD70" s="248"/>
      <c r="AE70" s="194"/>
      <c r="AF70" s="249"/>
      <c r="AG70" s="250"/>
      <c r="AH70" s="251"/>
      <c r="AI70" s="252"/>
    </row>
    <row r="71" spans="2:35">
      <c r="B71" s="253">
        <f t="shared" si="8"/>
        <v>62</v>
      </c>
      <c r="C71" s="244"/>
      <c r="D71" s="661"/>
      <c r="E71" s="466"/>
      <c r="F71" s="615"/>
      <c r="G71" s="3271"/>
      <c r="H71" s="230"/>
      <c r="I71" s="230"/>
      <c r="J71" s="230"/>
      <c r="K71" s="230"/>
      <c r="L71" s="230"/>
      <c r="M71" s="228"/>
      <c r="N71" s="257"/>
      <c r="O71" s="228"/>
      <c r="P71" s="228"/>
      <c r="Q71" s="2552"/>
      <c r="R71" s="258"/>
      <c r="S71" s="2577"/>
      <c r="T71" s="2577"/>
      <c r="U71" s="254"/>
      <c r="V71" s="228"/>
      <c r="W71" s="2552"/>
      <c r="X71" s="256"/>
      <c r="Y71" s="248"/>
      <c r="Z71" s="248"/>
      <c r="AA71" s="248"/>
      <c r="AB71" s="247"/>
      <c r="AC71" s="248"/>
      <c r="AD71" s="248"/>
      <c r="AE71" s="194"/>
      <c r="AF71" s="249"/>
      <c r="AG71" s="250"/>
      <c r="AH71" s="251"/>
      <c r="AI71" s="252"/>
    </row>
    <row r="72" spans="2:35">
      <c r="B72" s="253">
        <f t="shared" si="8"/>
        <v>63</v>
      </c>
      <c r="C72" s="244"/>
      <c r="D72" s="661"/>
      <c r="E72" s="466"/>
      <c r="F72" s="615"/>
      <c r="G72" s="3271"/>
      <c r="H72" s="230"/>
      <c r="I72" s="230"/>
      <c r="J72" s="230"/>
      <c r="K72" s="230"/>
      <c r="L72" s="230"/>
      <c r="M72" s="228"/>
      <c r="N72" s="257"/>
      <c r="O72" s="228"/>
      <c r="P72" s="228"/>
      <c r="Q72" s="2552"/>
      <c r="R72" s="258"/>
      <c r="S72" s="2577"/>
      <c r="T72" s="2577"/>
      <c r="U72" s="254"/>
      <c r="V72" s="228"/>
      <c r="W72" s="2552"/>
      <c r="X72" s="256"/>
      <c r="Y72" s="248"/>
      <c r="Z72" s="248"/>
      <c r="AA72" s="248"/>
      <c r="AB72" s="247"/>
      <c r="AC72" s="248"/>
      <c r="AD72" s="248"/>
      <c r="AE72" s="194"/>
      <c r="AF72" s="249"/>
      <c r="AG72" s="250"/>
      <c r="AH72" s="251"/>
      <c r="AI72" s="252"/>
    </row>
    <row r="73" spans="2:35">
      <c r="B73" s="253">
        <f t="shared" si="8"/>
        <v>64</v>
      </c>
      <c r="C73" s="244"/>
      <c r="D73" s="661"/>
      <c r="E73" s="466"/>
      <c r="F73" s="615"/>
      <c r="G73" s="3271"/>
      <c r="H73" s="230"/>
      <c r="I73" s="230"/>
      <c r="J73" s="230"/>
      <c r="K73" s="230"/>
      <c r="L73" s="230"/>
      <c r="M73" s="228"/>
      <c r="N73" s="257"/>
      <c r="O73" s="228"/>
      <c r="P73" s="228"/>
      <c r="Q73" s="2552"/>
      <c r="R73" s="258"/>
      <c r="S73" s="2577"/>
      <c r="T73" s="2577"/>
      <c r="U73" s="254"/>
      <c r="V73" s="228"/>
      <c r="W73" s="2552"/>
      <c r="X73" s="256"/>
      <c r="Y73" s="248"/>
      <c r="Z73" s="248"/>
      <c r="AA73" s="248"/>
      <c r="AB73" s="247"/>
      <c r="AC73" s="248"/>
      <c r="AD73" s="248"/>
      <c r="AE73" s="194"/>
      <c r="AF73" s="249"/>
      <c r="AG73" s="250"/>
      <c r="AH73" s="251"/>
      <c r="AI73" s="252"/>
    </row>
    <row r="74" spans="2:35">
      <c r="B74" s="253">
        <f t="shared" si="8"/>
        <v>65</v>
      </c>
      <c r="C74" s="244"/>
      <c r="D74" s="661"/>
      <c r="E74" s="466"/>
      <c r="F74" s="615"/>
      <c r="G74" s="3271"/>
      <c r="H74" s="230"/>
      <c r="I74" s="230"/>
      <c r="J74" s="230"/>
      <c r="K74" s="230"/>
      <c r="L74" s="230"/>
      <c r="M74" s="228"/>
      <c r="N74" s="257"/>
      <c r="O74" s="228"/>
      <c r="P74" s="228"/>
      <c r="Q74" s="2552"/>
      <c r="R74" s="258"/>
      <c r="S74" s="2577"/>
      <c r="T74" s="2577"/>
      <c r="U74" s="254"/>
      <c r="V74" s="228"/>
      <c r="W74" s="2552"/>
      <c r="X74" s="256"/>
      <c r="Y74" s="248"/>
      <c r="Z74" s="248"/>
      <c r="AA74" s="248"/>
      <c r="AB74" s="247"/>
      <c r="AC74" s="248"/>
      <c r="AD74" s="248"/>
      <c r="AE74" s="194"/>
      <c r="AF74" s="249"/>
      <c r="AG74" s="250"/>
      <c r="AH74" s="251"/>
      <c r="AI74" s="252"/>
    </row>
    <row r="75" spans="2:35">
      <c r="B75" s="253">
        <f t="shared" si="8"/>
        <v>66</v>
      </c>
      <c r="C75" s="244"/>
      <c r="D75" s="661"/>
      <c r="E75" s="466"/>
      <c r="F75" s="615"/>
      <c r="G75" s="3271"/>
      <c r="H75" s="230"/>
      <c r="I75" s="230"/>
      <c r="J75" s="230"/>
      <c r="K75" s="230"/>
      <c r="L75" s="230"/>
      <c r="M75" s="228"/>
      <c r="N75" s="257"/>
      <c r="O75" s="228"/>
      <c r="P75" s="228"/>
      <c r="Q75" s="2552"/>
      <c r="R75" s="258"/>
      <c r="S75" s="2577"/>
      <c r="T75" s="2577"/>
      <c r="U75" s="254"/>
      <c r="V75" s="228"/>
      <c r="W75" s="2552"/>
      <c r="X75" s="256"/>
      <c r="Y75" s="248"/>
      <c r="Z75" s="248"/>
      <c r="AA75" s="248"/>
      <c r="AB75" s="247"/>
      <c r="AC75" s="248"/>
      <c r="AD75" s="248"/>
      <c r="AE75" s="194"/>
      <c r="AF75" s="249"/>
      <c r="AG75" s="250"/>
      <c r="AH75" s="251"/>
      <c r="AI75" s="252"/>
    </row>
    <row r="76" spans="2:35">
      <c r="B76" s="253">
        <f t="shared" si="8"/>
        <v>67</v>
      </c>
      <c r="C76" s="244"/>
      <c r="D76" s="661"/>
      <c r="E76" s="466"/>
      <c r="F76" s="615"/>
      <c r="G76" s="3271"/>
      <c r="H76" s="230"/>
      <c r="I76" s="230"/>
      <c r="J76" s="230"/>
      <c r="K76" s="230"/>
      <c r="L76" s="230"/>
      <c r="M76" s="228"/>
      <c r="N76" s="257"/>
      <c r="O76" s="228"/>
      <c r="P76" s="228"/>
      <c r="Q76" s="2552"/>
      <c r="R76" s="258"/>
      <c r="S76" s="2577"/>
      <c r="T76" s="2577"/>
      <c r="U76" s="254"/>
      <c r="V76" s="228"/>
      <c r="W76" s="2552"/>
      <c r="X76" s="256"/>
      <c r="Y76" s="248"/>
      <c r="Z76" s="248"/>
      <c r="AA76" s="248"/>
      <c r="AB76" s="247"/>
      <c r="AC76" s="248"/>
      <c r="AD76" s="248"/>
      <c r="AE76" s="194"/>
      <c r="AF76" s="249"/>
      <c r="AG76" s="250"/>
      <c r="AH76" s="251"/>
      <c r="AI76" s="252"/>
    </row>
    <row r="77" spans="2:35">
      <c r="B77" s="253">
        <f t="shared" si="8"/>
        <v>68</v>
      </c>
      <c r="C77" s="244"/>
      <c r="D77" s="661"/>
      <c r="E77" s="466"/>
      <c r="F77" s="615"/>
      <c r="G77" s="3271"/>
      <c r="H77" s="230"/>
      <c r="I77" s="230"/>
      <c r="J77" s="230"/>
      <c r="K77" s="230"/>
      <c r="L77" s="230"/>
      <c r="M77" s="228"/>
      <c r="N77" s="257"/>
      <c r="O77" s="228"/>
      <c r="P77" s="228"/>
      <c r="Q77" s="2552"/>
      <c r="R77" s="258"/>
      <c r="S77" s="2577"/>
      <c r="T77" s="2577"/>
      <c r="U77" s="254"/>
      <c r="V77" s="228"/>
      <c r="W77" s="2552"/>
      <c r="X77" s="256"/>
      <c r="Y77" s="248"/>
      <c r="Z77" s="248"/>
      <c r="AA77" s="248"/>
      <c r="AB77" s="247"/>
      <c r="AC77" s="248"/>
      <c r="AD77" s="248"/>
      <c r="AE77" s="194"/>
      <c r="AF77" s="249"/>
      <c r="AG77" s="250"/>
      <c r="AH77" s="251"/>
      <c r="AI77" s="252"/>
    </row>
    <row r="78" spans="2:35">
      <c r="B78" s="253">
        <f t="shared" si="8"/>
        <v>69</v>
      </c>
      <c r="C78" s="244"/>
      <c r="D78" s="661"/>
      <c r="E78" s="466"/>
      <c r="F78" s="615"/>
      <c r="G78" s="3271"/>
      <c r="H78" s="230"/>
      <c r="I78" s="230"/>
      <c r="J78" s="230"/>
      <c r="K78" s="230"/>
      <c r="L78" s="230"/>
      <c r="M78" s="228"/>
      <c r="N78" s="257"/>
      <c r="O78" s="228"/>
      <c r="P78" s="228"/>
      <c r="Q78" s="2552"/>
      <c r="R78" s="258"/>
      <c r="S78" s="2577"/>
      <c r="T78" s="2577"/>
      <c r="U78" s="254"/>
      <c r="V78" s="228"/>
      <c r="W78" s="2552"/>
      <c r="X78" s="256"/>
      <c r="Y78" s="248"/>
      <c r="Z78" s="248"/>
      <c r="AA78" s="248"/>
      <c r="AB78" s="247"/>
      <c r="AC78" s="248"/>
      <c r="AD78" s="248"/>
      <c r="AE78" s="194"/>
      <c r="AF78" s="249"/>
      <c r="AG78" s="250"/>
      <c r="AH78" s="251"/>
      <c r="AI78" s="252"/>
    </row>
    <row r="79" spans="2:35">
      <c r="B79" s="253">
        <f t="shared" si="8"/>
        <v>70</v>
      </c>
      <c r="C79" s="244"/>
      <c r="D79" s="661"/>
      <c r="E79" s="466"/>
      <c r="F79" s="615"/>
      <c r="G79" s="3271"/>
      <c r="H79" s="230"/>
      <c r="I79" s="230"/>
      <c r="J79" s="230"/>
      <c r="K79" s="230"/>
      <c r="L79" s="230"/>
      <c r="M79" s="228"/>
      <c r="N79" s="257"/>
      <c r="O79" s="228"/>
      <c r="P79" s="228"/>
      <c r="Q79" s="2552"/>
      <c r="R79" s="258"/>
      <c r="S79" s="2577"/>
      <c r="T79" s="2577"/>
      <c r="U79" s="254"/>
      <c r="V79" s="228"/>
      <c r="W79" s="2552"/>
      <c r="X79" s="256"/>
      <c r="Y79" s="248"/>
      <c r="Z79" s="248"/>
      <c r="AA79" s="248"/>
      <c r="AB79" s="247"/>
      <c r="AC79" s="248"/>
      <c r="AD79" s="248"/>
      <c r="AE79" s="194"/>
      <c r="AF79" s="249"/>
      <c r="AG79" s="250"/>
      <c r="AH79" s="251"/>
      <c r="AI79" s="252"/>
    </row>
    <row r="80" spans="2:35">
      <c r="B80" s="253">
        <f t="shared" si="8"/>
        <v>71</v>
      </c>
      <c r="C80" s="244"/>
      <c r="D80" s="661"/>
      <c r="E80" s="466"/>
      <c r="F80" s="615"/>
      <c r="G80" s="3271"/>
      <c r="H80" s="230"/>
      <c r="I80" s="230"/>
      <c r="J80" s="230"/>
      <c r="K80" s="230"/>
      <c r="L80" s="230"/>
      <c r="M80" s="228"/>
      <c r="N80" s="257"/>
      <c r="O80" s="228"/>
      <c r="P80" s="228"/>
      <c r="Q80" s="2552"/>
      <c r="R80" s="258"/>
      <c r="S80" s="2577"/>
      <c r="T80" s="2577"/>
      <c r="U80" s="254"/>
      <c r="V80" s="228"/>
      <c r="W80" s="2552"/>
      <c r="X80" s="256"/>
      <c r="Y80" s="248"/>
      <c r="Z80" s="248"/>
      <c r="AA80" s="248"/>
      <c r="AB80" s="247"/>
      <c r="AC80" s="248"/>
      <c r="AD80" s="248"/>
      <c r="AE80" s="194"/>
      <c r="AF80" s="249"/>
      <c r="AG80" s="250"/>
      <c r="AH80" s="251"/>
      <c r="AI80" s="252"/>
    </row>
    <row r="81" spans="2:35">
      <c r="B81" s="253">
        <f t="shared" si="8"/>
        <v>72</v>
      </c>
      <c r="C81" s="244"/>
      <c r="D81" s="661"/>
      <c r="E81" s="466"/>
      <c r="F81" s="615"/>
      <c r="G81" s="3271"/>
      <c r="H81" s="230"/>
      <c r="I81" s="230"/>
      <c r="J81" s="230"/>
      <c r="K81" s="230"/>
      <c r="L81" s="230"/>
      <c r="M81" s="228"/>
      <c r="N81" s="257"/>
      <c r="O81" s="228"/>
      <c r="P81" s="228"/>
      <c r="Q81" s="2552"/>
      <c r="R81" s="258"/>
      <c r="S81" s="2577"/>
      <c r="T81" s="2577"/>
      <c r="U81" s="254"/>
      <c r="V81" s="228"/>
      <c r="W81" s="2552"/>
      <c r="X81" s="256"/>
      <c r="Y81" s="248"/>
      <c r="Z81" s="248"/>
      <c r="AA81" s="248"/>
      <c r="AB81" s="247"/>
      <c r="AC81" s="248"/>
      <c r="AD81" s="248"/>
      <c r="AE81" s="194"/>
      <c r="AF81" s="249"/>
      <c r="AG81" s="250"/>
      <c r="AH81" s="251"/>
      <c r="AI81" s="252"/>
    </row>
    <row r="82" spans="2:35">
      <c r="B82" s="253">
        <f t="shared" si="8"/>
        <v>73</v>
      </c>
      <c r="C82" s="244"/>
      <c r="D82" s="661"/>
      <c r="E82" s="466"/>
      <c r="F82" s="615"/>
      <c r="G82" s="3271"/>
      <c r="H82" s="230"/>
      <c r="I82" s="230"/>
      <c r="J82" s="230"/>
      <c r="K82" s="230"/>
      <c r="L82" s="230"/>
      <c r="M82" s="228"/>
      <c r="N82" s="257"/>
      <c r="O82" s="228"/>
      <c r="P82" s="228"/>
      <c r="Q82" s="2552"/>
      <c r="R82" s="258"/>
      <c r="S82" s="2577"/>
      <c r="T82" s="2577"/>
      <c r="U82" s="254"/>
      <c r="V82" s="228"/>
      <c r="W82" s="2552"/>
      <c r="X82" s="256"/>
      <c r="Y82" s="248"/>
      <c r="Z82" s="248"/>
      <c r="AA82" s="248"/>
      <c r="AB82" s="247"/>
      <c r="AC82" s="248"/>
      <c r="AD82" s="248"/>
      <c r="AE82" s="194"/>
      <c r="AF82" s="249"/>
      <c r="AG82" s="250"/>
      <c r="AH82" s="251"/>
      <c r="AI82" s="252"/>
    </row>
    <row r="83" spans="2:35">
      <c r="B83" s="253">
        <f t="shared" si="8"/>
        <v>74</v>
      </c>
      <c r="C83" s="244"/>
      <c r="D83" s="661"/>
      <c r="E83" s="466"/>
      <c r="F83" s="615"/>
      <c r="G83" s="3271"/>
      <c r="H83" s="230"/>
      <c r="I83" s="230"/>
      <c r="J83" s="230"/>
      <c r="K83" s="230"/>
      <c r="L83" s="230"/>
      <c r="M83" s="228"/>
      <c r="N83" s="257"/>
      <c r="O83" s="228"/>
      <c r="P83" s="228"/>
      <c r="Q83" s="2552"/>
      <c r="R83" s="258"/>
      <c r="S83" s="2577"/>
      <c r="T83" s="2577"/>
      <c r="U83" s="254"/>
      <c r="V83" s="228"/>
      <c r="W83" s="2552"/>
      <c r="X83" s="256"/>
      <c r="Y83" s="248"/>
      <c r="Z83" s="248"/>
      <c r="AA83" s="248"/>
      <c r="AB83" s="247"/>
      <c r="AC83" s="248"/>
      <c r="AD83" s="248"/>
      <c r="AE83" s="194"/>
      <c r="AF83" s="249"/>
      <c r="AG83" s="250"/>
      <c r="AH83" s="251"/>
      <c r="AI83" s="252"/>
    </row>
    <row r="84" spans="2:35">
      <c r="B84" s="253">
        <f t="shared" si="8"/>
        <v>75</v>
      </c>
      <c r="C84" s="244"/>
      <c r="D84" s="661"/>
      <c r="E84" s="466"/>
      <c r="F84" s="615"/>
      <c r="G84" s="3271"/>
      <c r="H84" s="230"/>
      <c r="I84" s="230"/>
      <c r="J84" s="230"/>
      <c r="K84" s="230"/>
      <c r="L84" s="230"/>
      <c r="M84" s="228"/>
      <c r="N84" s="257"/>
      <c r="O84" s="228"/>
      <c r="P84" s="228"/>
      <c r="Q84" s="2552"/>
      <c r="R84" s="258"/>
      <c r="S84" s="2577"/>
      <c r="T84" s="2577"/>
      <c r="U84" s="254"/>
      <c r="V84" s="228"/>
      <c r="W84" s="2552"/>
      <c r="X84" s="256"/>
      <c r="Y84" s="248"/>
      <c r="Z84" s="248"/>
      <c r="AA84" s="248"/>
      <c r="AB84" s="247"/>
      <c r="AC84" s="248"/>
      <c r="AD84" s="248"/>
      <c r="AE84" s="194"/>
      <c r="AF84" s="249"/>
      <c r="AG84" s="250"/>
      <c r="AH84" s="251"/>
      <c r="AI84" s="252"/>
    </row>
    <row r="85" spans="2:35">
      <c r="B85" s="253">
        <f t="shared" si="8"/>
        <v>76</v>
      </c>
      <c r="C85" s="244"/>
      <c r="D85" s="661"/>
      <c r="E85" s="466"/>
      <c r="F85" s="615"/>
      <c r="G85" s="3271"/>
      <c r="H85" s="230"/>
      <c r="I85" s="230"/>
      <c r="J85" s="230"/>
      <c r="K85" s="230"/>
      <c r="L85" s="230"/>
      <c r="M85" s="228"/>
      <c r="N85" s="257"/>
      <c r="O85" s="228"/>
      <c r="P85" s="228"/>
      <c r="Q85" s="2552"/>
      <c r="R85" s="258"/>
      <c r="S85" s="2577"/>
      <c r="T85" s="2577"/>
      <c r="U85" s="254"/>
      <c r="V85" s="228"/>
      <c r="W85" s="2552"/>
      <c r="X85" s="256"/>
      <c r="Y85" s="248"/>
      <c r="Z85" s="248"/>
      <c r="AA85" s="248"/>
      <c r="AB85" s="247"/>
      <c r="AC85" s="248"/>
      <c r="AD85" s="248"/>
      <c r="AE85" s="194"/>
      <c r="AF85" s="249"/>
      <c r="AG85" s="250"/>
      <c r="AH85" s="251"/>
      <c r="AI85" s="252"/>
    </row>
    <row r="86" spans="2:35">
      <c r="B86" s="253">
        <f t="shared" si="8"/>
        <v>77</v>
      </c>
      <c r="C86" s="244"/>
      <c r="D86" s="661"/>
      <c r="E86" s="466"/>
      <c r="F86" s="615"/>
      <c r="G86" s="3271"/>
      <c r="H86" s="230"/>
      <c r="I86" s="230"/>
      <c r="J86" s="230"/>
      <c r="K86" s="230"/>
      <c r="L86" s="230"/>
      <c r="M86" s="228"/>
      <c r="N86" s="257"/>
      <c r="O86" s="228"/>
      <c r="P86" s="228"/>
      <c r="Q86" s="2552"/>
      <c r="R86" s="258"/>
      <c r="S86" s="2577"/>
      <c r="T86" s="2577"/>
      <c r="U86" s="254"/>
      <c r="V86" s="228"/>
      <c r="W86" s="2552"/>
      <c r="X86" s="256"/>
      <c r="Y86" s="248"/>
      <c r="Z86" s="248"/>
      <c r="AA86" s="248"/>
      <c r="AB86" s="247"/>
      <c r="AC86" s="248"/>
      <c r="AD86" s="248"/>
      <c r="AE86" s="194"/>
      <c r="AF86" s="249"/>
      <c r="AG86" s="250"/>
      <c r="AH86" s="251"/>
      <c r="AI86" s="252"/>
    </row>
    <row r="87" spans="2:35">
      <c r="B87" s="253">
        <f t="shared" si="8"/>
        <v>78</v>
      </c>
      <c r="C87" s="244"/>
      <c r="D87" s="661"/>
      <c r="E87" s="466"/>
      <c r="F87" s="615"/>
      <c r="G87" s="3271"/>
      <c r="H87" s="230"/>
      <c r="I87" s="230"/>
      <c r="J87" s="230"/>
      <c r="K87" s="230"/>
      <c r="L87" s="230"/>
      <c r="M87" s="228"/>
      <c r="N87" s="257"/>
      <c r="O87" s="228"/>
      <c r="P87" s="228"/>
      <c r="Q87" s="2552"/>
      <c r="R87" s="258"/>
      <c r="S87" s="2577"/>
      <c r="T87" s="2577"/>
      <c r="U87" s="254"/>
      <c r="V87" s="228"/>
      <c r="W87" s="2552"/>
      <c r="X87" s="256"/>
      <c r="Y87" s="248"/>
      <c r="Z87" s="248"/>
      <c r="AA87" s="248"/>
      <c r="AB87" s="247"/>
      <c r="AC87" s="248"/>
      <c r="AD87" s="248"/>
      <c r="AE87" s="194"/>
      <c r="AF87" s="249"/>
      <c r="AG87" s="250"/>
      <c r="AH87" s="251"/>
      <c r="AI87" s="252"/>
    </row>
    <row r="88" spans="2:35">
      <c r="B88" s="253">
        <f t="shared" si="8"/>
        <v>79</v>
      </c>
      <c r="C88" s="244"/>
      <c r="D88" s="661"/>
      <c r="E88" s="466"/>
      <c r="F88" s="615"/>
      <c r="G88" s="3271"/>
      <c r="H88" s="230"/>
      <c r="I88" s="230"/>
      <c r="J88" s="230"/>
      <c r="K88" s="230"/>
      <c r="L88" s="230"/>
      <c r="M88" s="228"/>
      <c r="N88" s="257"/>
      <c r="O88" s="228"/>
      <c r="P88" s="228"/>
      <c r="Q88" s="2552"/>
      <c r="R88" s="258"/>
      <c r="S88" s="2577"/>
      <c r="T88" s="2577"/>
      <c r="U88" s="254"/>
      <c r="V88" s="228"/>
      <c r="W88" s="2552"/>
      <c r="X88" s="256"/>
      <c r="Y88" s="248"/>
      <c r="Z88" s="248"/>
      <c r="AA88" s="248"/>
      <c r="AB88" s="247"/>
      <c r="AC88" s="248"/>
      <c r="AD88" s="248"/>
      <c r="AE88" s="194"/>
      <c r="AF88" s="249"/>
      <c r="AG88" s="250"/>
      <c r="AH88" s="251"/>
      <c r="AI88" s="252"/>
    </row>
    <row r="89" spans="2:35">
      <c r="B89" s="253">
        <f t="shared" si="8"/>
        <v>80</v>
      </c>
      <c r="C89" s="244"/>
      <c r="D89" s="661"/>
      <c r="E89" s="466"/>
      <c r="F89" s="615"/>
      <c r="G89" s="3271"/>
      <c r="H89" s="230"/>
      <c r="I89" s="230"/>
      <c r="J89" s="230"/>
      <c r="K89" s="230"/>
      <c r="L89" s="230"/>
      <c r="M89" s="228"/>
      <c r="N89" s="257"/>
      <c r="O89" s="228"/>
      <c r="P89" s="228"/>
      <c r="Q89" s="2552"/>
      <c r="R89" s="258"/>
      <c r="S89" s="2577"/>
      <c r="T89" s="2577"/>
      <c r="U89" s="254"/>
      <c r="V89" s="228"/>
      <c r="W89" s="2552"/>
      <c r="X89" s="256"/>
      <c r="Y89" s="248"/>
      <c r="Z89" s="248"/>
      <c r="AA89" s="248"/>
      <c r="AB89" s="247"/>
      <c r="AC89" s="248"/>
      <c r="AD89" s="248"/>
      <c r="AE89" s="194"/>
      <c r="AF89" s="249"/>
      <c r="AG89" s="250"/>
      <c r="AH89" s="251"/>
      <c r="AI89" s="252"/>
    </row>
    <row r="90" spans="2:35">
      <c r="B90" s="253">
        <f t="shared" si="8"/>
        <v>81</v>
      </c>
      <c r="C90" s="244"/>
      <c r="D90" s="661"/>
      <c r="E90" s="466"/>
      <c r="F90" s="615"/>
      <c r="G90" s="3271"/>
      <c r="H90" s="230"/>
      <c r="I90" s="230"/>
      <c r="J90" s="230"/>
      <c r="K90" s="230"/>
      <c r="L90" s="230"/>
      <c r="M90" s="228"/>
      <c r="N90" s="257"/>
      <c r="O90" s="228"/>
      <c r="P90" s="228"/>
      <c r="Q90" s="2552"/>
      <c r="R90" s="258"/>
      <c r="S90" s="2577"/>
      <c r="T90" s="2577"/>
      <c r="U90" s="254"/>
      <c r="V90" s="228"/>
      <c r="W90" s="2552"/>
      <c r="X90" s="256"/>
      <c r="Y90" s="248"/>
      <c r="Z90" s="248"/>
      <c r="AA90" s="248"/>
      <c r="AB90" s="247"/>
      <c r="AC90" s="248"/>
      <c r="AD90" s="248"/>
      <c r="AE90" s="194"/>
      <c r="AF90" s="249"/>
      <c r="AG90" s="250"/>
      <c r="AH90" s="251"/>
      <c r="AI90" s="252"/>
    </row>
    <row r="91" spans="2:35">
      <c r="B91" s="253">
        <f t="shared" si="8"/>
        <v>82</v>
      </c>
      <c r="C91" s="244"/>
      <c r="D91" s="661"/>
      <c r="E91" s="466"/>
      <c r="F91" s="615"/>
      <c r="G91" s="3271"/>
      <c r="H91" s="230"/>
      <c r="I91" s="230"/>
      <c r="J91" s="230"/>
      <c r="K91" s="230"/>
      <c r="L91" s="230"/>
      <c r="M91" s="228"/>
      <c r="N91" s="257"/>
      <c r="O91" s="228"/>
      <c r="P91" s="228"/>
      <c r="Q91" s="2552"/>
      <c r="R91" s="258"/>
      <c r="S91" s="2577"/>
      <c r="T91" s="2577"/>
      <c r="U91" s="254"/>
      <c r="V91" s="228"/>
      <c r="W91" s="2552"/>
      <c r="X91" s="256"/>
      <c r="Y91" s="248"/>
      <c r="Z91" s="248"/>
      <c r="AA91" s="248"/>
      <c r="AB91" s="247"/>
      <c r="AC91" s="248"/>
      <c r="AD91" s="248"/>
      <c r="AE91" s="194"/>
      <c r="AF91" s="249"/>
      <c r="AG91" s="250"/>
      <c r="AH91" s="251"/>
      <c r="AI91" s="252"/>
    </row>
    <row r="92" spans="2:35">
      <c r="B92" s="253">
        <f t="shared" si="8"/>
        <v>83</v>
      </c>
      <c r="C92" s="244"/>
      <c r="D92" s="661"/>
      <c r="E92" s="466"/>
      <c r="F92" s="615"/>
      <c r="G92" s="3271"/>
      <c r="H92" s="230"/>
      <c r="I92" s="230"/>
      <c r="J92" s="230"/>
      <c r="K92" s="230"/>
      <c r="L92" s="230"/>
      <c r="M92" s="228"/>
      <c r="N92" s="257"/>
      <c r="O92" s="228"/>
      <c r="P92" s="228"/>
      <c r="Q92" s="2552"/>
      <c r="R92" s="258"/>
      <c r="S92" s="2577"/>
      <c r="T92" s="2577"/>
      <c r="U92" s="254"/>
      <c r="V92" s="228"/>
      <c r="W92" s="2552"/>
      <c r="X92" s="256"/>
      <c r="Y92" s="248"/>
      <c r="Z92" s="248"/>
      <c r="AA92" s="248"/>
      <c r="AB92" s="247"/>
      <c r="AC92" s="248"/>
      <c r="AD92" s="248"/>
      <c r="AE92" s="194"/>
      <c r="AF92" s="249"/>
      <c r="AG92" s="250"/>
      <c r="AH92" s="251"/>
      <c r="AI92" s="252"/>
    </row>
    <row r="93" spans="2:35">
      <c r="B93" s="253">
        <f t="shared" si="8"/>
        <v>84</v>
      </c>
      <c r="C93" s="244"/>
      <c r="D93" s="661"/>
      <c r="E93" s="466"/>
      <c r="F93" s="615"/>
      <c r="G93" s="3271"/>
      <c r="H93" s="230"/>
      <c r="I93" s="230"/>
      <c r="J93" s="230"/>
      <c r="K93" s="230"/>
      <c r="L93" s="230"/>
      <c r="M93" s="228"/>
      <c r="N93" s="257"/>
      <c r="O93" s="228"/>
      <c r="P93" s="228"/>
      <c r="Q93" s="2552"/>
      <c r="R93" s="258"/>
      <c r="S93" s="2577"/>
      <c r="T93" s="2577"/>
      <c r="U93" s="254"/>
      <c r="V93" s="228"/>
      <c r="W93" s="2552"/>
      <c r="X93" s="256"/>
      <c r="Y93" s="248"/>
      <c r="Z93" s="248"/>
      <c r="AA93" s="248"/>
      <c r="AB93" s="247"/>
      <c r="AC93" s="248"/>
      <c r="AD93" s="248"/>
      <c r="AE93" s="194"/>
      <c r="AF93" s="249"/>
      <c r="AG93" s="250"/>
      <c r="AH93" s="251"/>
      <c r="AI93" s="252"/>
    </row>
    <row r="94" spans="2:35">
      <c r="B94" s="253">
        <f t="shared" si="8"/>
        <v>85</v>
      </c>
      <c r="C94" s="244"/>
      <c r="D94" s="661"/>
      <c r="E94" s="466"/>
      <c r="F94" s="615"/>
      <c r="G94" s="3271"/>
      <c r="H94" s="230"/>
      <c r="I94" s="230"/>
      <c r="J94" s="230"/>
      <c r="K94" s="230"/>
      <c r="L94" s="230"/>
      <c r="M94" s="228"/>
      <c r="N94" s="257"/>
      <c r="O94" s="228"/>
      <c r="P94" s="228"/>
      <c r="Q94" s="2552"/>
      <c r="R94" s="258"/>
      <c r="S94" s="2577"/>
      <c r="T94" s="2577"/>
      <c r="U94" s="254"/>
      <c r="V94" s="228"/>
      <c r="W94" s="2552"/>
      <c r="X94" s="256"/>
      <c r="Y94" s="248"/>
      <c r="Z94" s="248"/>
      <c r="AA94" s="248"/>
      <c r="AB94" s="247"/>
      <c r="AC94" s="248"/>
      <c r="AD94" s="248"/>
      <c r="AE94" s="194"/>
      <c r="AF94" s="249"/>
      <c r="AG94" s="250"/>
      <c r="AH94" s="251"/>
      <c r="AI94" s="252"/>
    </row>
    <row r="95" spans="2:35">
      <c r="B95" s="253">
        <f t="shared" si="8"/>
        <v>86</v>
      </c>
      <c r="C95" s="244"/>
      <c r="D95" s="661"/>
      <c r="E95" s="466"/>
      <c r="F95" s="615"/>
      <c r="G95" s="3271"/>
      <c r="H95" s="230"/>
      <c r="I95" s="230"/>
      <c r="J95" s="230"/>
      <c r="K95" s="230"/>
      <c r="L95" s="230"/>
      <c r="M95" s="228"/>
      <c r="N95" s="257"/>
      <c r="O95" s="228"/>
      <c r="P95" s="228"/>
      <c r="Q95" s="2552"/>
      <c r="R95" s="258"/>
      <c r="S95" s="2577"/>
      <c r="T95" s="2577"/>
      <c r="U95" s="254"/>
      <c r="V95" s="228"/>
      <c r="W95" s="2552"/>
      <c r="X95" s="256"/>
      <c r="Y95" s="248"/>
      <c r="Z95" s="248"/>
      <c r="AA95" s="248"/>
      <c r="AB95" s="247"/>
      <c r="AC95" s="248"/>
      <c r="AD95" s="248"/>
      <c r="AE95" s="194"/>
      <c r="AF95" s="249"/>
      <c r="AG95" s="250"/>
      <c r="AH95" s="251"/>
      <c r="AI95" s="252"/>
    </row>
    <row r="96" spans="2:35">
      <c r="B96" s="253">
        <f t="shared" si="8"/>
        <v>87</v>
      </c>
      <c r="C96" s="244"/>
      <c r="D96" s="661"/>
      <c r="E96" s="466"/>
      <c r="F96" s="615"/>
      <c r="G96" s="3271"/>
      <c r="H96" s="230"/>
      <c r="I96" s="230"/>
      <c r="J96" s="230"/>
      <c r="K96" s="230"/>
      <c r="L96" s="230"/>
      <c r="M96" s="228"/>
      <c r="N96" s="257"/>
      <c r="O96" s="228"/>
      <c r="P96" s="228"/>
      <c r="Q96" s="2552"/>
      <c r="R96" s="258"/>
      <c r="S96" s="2577"/>
      <c r="T96" s="2577"/>
      <c r="U96" s="254"/>
      <c r="V96" s="228"/>
      <c r="W96" s="2552"/>
      <c r="X96" s="256"/>
      <c r="Y96" s="248"/>
      <c r="Z96" s="248"/>
      <c r="AA96" s="248"/>
      <c r="AB96" s="247"/>
      <c r="AC96" s="248"/>
      <c r="AD96" s="248"/>
      <c r="AE96" s="194"/>
      <c r="AF96" s="249"/>
      <c r="AG96" s="250"/>
      <c r="AH96" s="251"/>
      <c r="AI96" s="252"/>
    </row>
    <row r="97" spans="2:35">
      <c r="B97" s="253">
        <f t="shared" si="8"/>
        <v>88</v>
      </c>
      <c r="C97" s="244"/>
      <c r="D97" s="661"/>
      <c r="E97" s="466"/>
      <c r="F97" s="615"/>
      <c r="G97" s="3271"/>
      <c r="H97" s="230"/>
      <c r="I97" s="230"/>
      <c r="J97" s="230"/>
      <c r="K97" s="230"/>
      <c r="L97" s="230"/>
      <c r="M97" s="228"/>
      <c r="N97" s="257"/>
      <c r="O97" s="228"/>
      <c r="P97" s="228"/>
      <c r="Q97" s="2552"/>
      <c r="R97" s="258"/>
      <c r="S97" s="2577"/>
      <c r="T97" s="2577"/>
      <c r="U97" s="254"/>
      <c r="V97" s="228"/>
      <c r="W97" s="2552"/>
      <c r="X97" s="256"/>
      <c r="Y97" s="248"/>
      <c r="Z97" s="248"/>
      <c r="AA97" s="248"/>
      <c r="AB97" s="247"/>
      <c r="AC97" s="248"/>
      <c r="AD97" s="248"/>
      <c r="AE97" s="194"/>
      <c r="AF97" s="249"/>
      <c r="AG97" s="250"/>
      <c r="AH97" s="251"/>
      <c r="AI97" s="252"/>
    </row>
    <row r="98" spans="2:35">
      <c r="B98" s="253">
        <f t="shared" si="8"/>
        <v>89</v>
      </c>
      <c r="C98" s="244"/>
      <c r="D98" s="661"/>
      <c r="E98" s="466"/>
      <c r="F98" s="615"/>
      <c r="G98" s="3271"/>
      <c r="H98" s="230"/>
      <c r="I98" s="230"/>
      <c r="J98" s="230"/>
      <c r="K98" s="230"/>
      <c r="L98" s="230"/>
      <c r="M98" s="228"/>
      <c r="N98" s="257"/>
      <c r="O98" s="228"/>
      <c r="P98" s="228"/>
      <c r="Q98" s="2552"/>
      <c r="R98" s="258"/>
      <c r="S98" s="2577"/>
      <c r="T98" s="2577"/>
      <c r="U98" s="254"/>
      <c r="V98" s="228"/>
      <c r="W98" s="2552"/>
      <c r="X98" s="256"/>
      <c r="Y98" s="248"/>
      <c r="Z98" s="248"/>
      <c r="AA98" s="248"/>
      <c r="AB98" s="247"/>
      <c r="AC98" s="248"/>
      <c r="AD98" s="248"/>
      <c r="AE98" s="194"/>
      <c r="AF98" s="249"/>
      <c r="AG98" s="250"/>
      <c r="AH98" s="251"/>
      <c r="AI98" s="252"/>
    </row>
    <row r="99" spans="2:35">
      <c r="B99" s="253">
        <f t="shared" si="8"/>
        <v>90</v>
      </c>
      <c r="C99" s="244"/>
      <c r="D99" s="661"/>
      <c r="E99" s="466"/>
      <c r="F99" s="615"/>
      <c r="G99" s="3271"/>
      <c r="H99" s="230"/>
      <c r="I99" s="230"/>
      <c r="J99" s="230"/>
      <c r="K99" s="230"/>
      <c r="L99" s="230"/>
      <c r="M99" s="228"/>
      <c r="N99" s="257"/>
      <c r="O99" s="228"/>
      <c r="P99" s="228"/>
      <c r="Q99" s="2552"/>
      <c r="R99" s="258"/>
      <c r="S99" s="2577"/>
      <c r="T99" s="2577"/>
      <c r="U99" s="254"/>
      <c r="V99" s="228"/>
      <c r="W99" s="2552"/>
      <c r="X99" s="256"/>
      <c r="Y99" s="248"/>
      <c r="Z99" s="248"/>
      <c r="AA99" s="248"/>
      <c r="AB99" s="247"/>
      <c r="AC99" s="248"/>
      <c r="AD99" s="248"/>
      <c r="AE99" s="194"/>
      <c r="AF99" s="249"/>
      <c r="AG99" s="250"/>
      <c r="AH99" s="251"/>
      <c r="AI99" s="252"/>
    </row>
    <row r="100" spans="2:35">
      <c r="B100" s="253">
        <f t="shared" si="8"/>
        <v>91</v>
      </c>
      <c r="C100" s="244"/>
      <c r="D100" s="661"/>
      <c r="E100" s="466"/>
      <c r="F100" s="615"/>
      <c r="G100" s="3271"/>
      <c r="H100" s="230"/>
      <c r="I100" s="230"/>
      <c r="J100" s="230"/>
      <c r="K100" s="230"/>
      <c r="L100" s="230"/>
      <c r="M100" s="228"/>
      <c r="N100" s="257"/>
      <c r="O100" s="228"/>
      <c r="P100" s="228"/>
      <c r="Q100" s="2552"/>
      <c r="R100" s="258"/>
      <c r="S100" s="2577"/>
      <c r="T100" s="2577"/>
      <c r="U100" s="254"/>
      <c r="V100" s="228"/>
      <c r="W100" s="2552"/>
      <c r="X100" s="256"/>
      <c r="Y100" s="248"/>
      <c r="Z100" s="248"/>
      <c r="AA100" s="248"/>
      <c r="AB100" s="247"/>
      <c r="AC100" s="248"/>
      <c r="AD100" s="248"/>
      <c r="AE100" s="194"/>
      <c r="AF100" s="249"/>
      <c r="AG100" s="250"/>
      <c r="AH100" s="251"/>
      <c r="AI100" s="252"/>
    </row>
    <row r="101" spans="2:35">
      <c r="B101" s="253">
        <f t="shared" si="8"/>
        <v>92</v>
      </c>
      <c r="C101" s="244"/>
      <c r="D101" s="661"/>
      <c r="E101" s="466"/>
      <c r="F101" s="615"/>
      <c r="G101" s="3271"/>
      <c r="H101" s="230"/>
      <c r="I101" s="230"/>
      <c r="J101" s="230"/>
      <c r="K101" s="230"/>
      <c r="L101" s="230"/>
      <c r="M101" s="228"/>
      <c r="N101" s="257"/>
      <c r="O101" s="228"/>
      <c r="P101" s="228"/>
      <c r="Q101" s="2552"/>
      <c r="R101" s="258"/>
      <c r="S101" s="2577"/>
      <c r="T101" s="2577"/>
      <c r="U101" s="254"/>
      <c r="V101" s="228"/>
      <c r="W101" s="2552"/>
      <c r="X101" s="256"/>
      <c r="Y101" s="248"/>
      <c r="Z101" s="248"/>
      <c r="AA101" s="248"/>
      <c r="AB101" s="247"/>
      <c r="AC101" s="248"/>
      <c r="AD101" s="248"/>
      <c r="AE101" s="194"/>
      <c r="AF101" s="249"/>
      <c r="AG101" s="250"/>
      <c r="AH101" s="251"/>
      <c r="AI101" s="252"/>
    </row>
    <row r="102" spans="2:35">
      <c r="B102" s="253">
        <f t="shared" si="8"/>
        <v>93</v>
      </c>
      <c r="C102" s="244"/>
      <c r="D102" s="661"/>
      <c r="E102" s="466"/>
      <c r="F102" s="615"/>
      <c r="G102" s="3271"/>
      <c r="H102" s="230"/>
      <c r="I102" s="230"/>
      <c r="J102" s="230"/>
      <c r="K102" s="230"/>
      <c r="L102" s="230"/>
      <c r="M102" s="228"/>
      <c r="N102" s="257"/>
      <c r="O102" s="228"/>
      <c r="P102" s="228"/>
      <c r="Q102" s="2552"/>
      <c r="R102" s="258"/>
      <c r="S102" s="2577"/>
      <c r="T102" s="2577"/>
      <c r="U102" s="254"/>
      <c r="V102" s="228"/>
      <c r="W102" s="2552"/>
      <c r="X102" s="256"/>
      <c r="Y102" s="248"/>
      <c r="Z102" s="248"/>
      <c r="AA102" s="248"/>
      <c r="AB102" s="247"/>
      <c r="AC102" s="248"/>
      <c r="AD102" s="248"/>
      <c r="AE102" s="194"/>
      <c r="AF102" s="249"/>
      <c r="AG102" s="250"/>
      <c r="AH102" s="251"/>
      <c r="AI102" s="252"/>
    </row>
    <row r="103" spans="2:35">
      <c r="B103" s="253">
        <f t="shared" si="8"/>
        <v>94</v>
      </c>
      <c r="C103" s="244"/>
      <c r="D103" s="661"/>
      <c r="E103" s="466"/>
      <c r="F103" s="615"/>
      <c r="G103" s="3271"/>
      <c r="H103" s="230"/>
      <c r="I103" s="230"/>
      <c r="J103" s="230"/>
      <c r="K103" s="230"/>
      <c r="L103" s="230"/>
      <c r="M103" s="228"/>
      <c r="N103" s="257"/>
      <c r="O103" s="228"/>
      <c r="P103" s="228"/>
      <c r="Q103" s="2552"/>
      <c r="R103" s="258"/>
      <c r="S103" s="2577"/>
      <c r="T103" s="2577"/>
      <c r="U103" s="254"/>
      <c r="V103" s="228"/>
      <c r="W103" s="2552"/>
      <c r="X103" s="256"/>
      <c r="Y103" s="248"/>
      <c r="Z103" s="248"/>
      <c r="AA103" s="248"/>
      <c r="AB103" s="247"/>
      <c r="AC103" s="248"/>
      <c r="AD103" s="248"/>
      <c r="AE103" s="194"/>
      <c r="AF103" s="249"/>
      <c r="AG103" s="250"/>
      <c r="AH103" s="251"/>
      <c r="AI103" s="252"/>
    </row>
    <row r="104" spans="2:35">
      <c r="B104" s="253">
        <f t="shared" si="8"/>
        <v>95</v>
      </c>
      <c r="C104" s="244"/>
      <c r="D104" s="661"/>
      <c r="E104" s="466"/>
      <c r="F104" s="615"/>
      <c r="G104" s="3271"/>
      <c r="H104" s="230"/>
      <c r="I104" s="230"/>
      <c r="J104" s="230"/>
      <c r="K104" s="230"/>
      <c r="L104" s="230"/>
      <c r="M104" s="228"/>
      <c r="N104" s="257"/>
      <c r="O104" s="228"/>
      <c r="P104" s="228"/>
      <c r="Q104" s="2552"/>
      <c r="R104" s="258"/>
      <c r="S104" s="2577"/>
      <c r="T104" s="2577"/>
      <c r="U104" s="254"/>
      <c r="V104" s="228"/>
      <c r="W104" s="2552"/>
      <c r="X104" s="256"/>
      <c r="Y104" s="248"/>
      <c r="Z104" s="248"/>
      <c r="AA104" s="248"/>
      <c r="AB104" s="247"/>
      <c r="AC104" s="248"/>
      <c r="AD104" s="248"/>
      <c r="AE104" s="194"/>
      <c r="AF104" s="249"/>
      <c r="AG104" s="250"/>
      <c r="AH104" s="251"/>
      <c r="AI104" s="252"/>
    </row>
    <row r="105" spans="2:35">
      <c r="B105" s="253">
        <f t="shared" si="8"/>
        <v>96</v>
      </c>
      <c r="C105" s="244"/>
      <c r="D105" s="661"/>
      <c r="E105" s="466"/>
      <c r="F105" s="615"/>
      <c r="G105" s="3271"/>
      <c r="H105" s="230"/>
      <c r="I105" s="230"/>
      <c r="J105" s="230"/>
      <c r="K105" s="230"/>
      <c r="L105" s="230"/>
      <c r="M105" s="228"/>
      <c r="N105" s="257"/>
      <c r="O105" s="228"/>
      <c r="P105" s="228"/>
      <c r="Q105" s="2552"/>
      <c r="R105" s="258"/>
      <c r="S105" s="2577"/>
      <c r="T105" s="2577"/>
      <c r="U105" s="254"/>
      <c r="V105" s="228"/>
      <c r="W105" s="2552"/>
      <c r="X105" s="256"/>
      <c r="Y105" s="248"/>
      <c r="Z105" s="248"/>
      <c r="AA105" s="248"/>
      <c r="AB105" s="247"/>
      <c r="AC105" s="248"/>
      <c r="AD105" s="248"/>
      <c r="AE105" s="194"/>
      <c r="AF105" s="249"/>
      <c r="AG105" s="250"/>
      <c r="AH105" s="251"/>
      <c r="AI105" s="252"/>
    </row>
    <row r="106" spans="2:35">
      <c r="B106" s="253">
        <f t="shared" si="8"/>
        <v>97</v>
      </c>
      <c r="C106" s="244"/>
      <c r="D106" s="661"/>
      <c r="E106" s="466"/>
      <c r="F106" s="615"/>
      <c r="G106" s="3271"/>
      <c r="H106" s="230"/>
      <c r="I106" s="230"/>
      <c r="J106" s="230"/>
      <c r="K106" s="230"/>
      <c r="L106" s="230"/>
      <c r="M106" s="228"/>
      <c r="N106" s="257"/>
      <c r="O106" s="228"/>
      <c r="P106" s="228"/>
      <c r="Q106" s="2552"/>
      <c r="R106" s="258"/>
      <c r="S106" s="2577"/>
      <c r="T106" s="2577"/>
      <c r="U106" s="254"/>
      <c r="V106" s="228"/>
      <c r="W106" s="2552"/>
      <c r="X106" s="256"/>
      <c r="Y106" s="248"/>
      <c r="Z106" s="248"/>
      <c r="AA106" s="248"/>
      <c r="AB106" s="247"/>
      <c r="AC106" s="248"/>
      <c r="AD106" s="248"/>
      <c r="AE106" s="194"/>
      <c r="AF106" s="249"/>
      <c r="AG106" s="250"/>
      <c r="AH106" s="251"/>
      <c r="AI106" s="252"/>
    </row>
    <row r="107" spans="2:35">
      <c r="B107" s="253">
        <f t="shared" si="8"/>
        <v>98</v>
      </c>
      <c r="C107" s="244"/>
      <c r="D107" s="661"/>
      <c r="E107" s="466"/>
      <c r="F107" s="615"/>
      <c r="G107" s="3271"/>
      <c r="H107" s="230"/>
      <c r="I107" s="230"/>
      <c r="J107" s="230"/>
      <c r="K107" s="230"/>
      <c r="L107" s="230"/>
      <c r="M107" s="228"/>
      <c r="N107" s="257"/>
      <c r="O107" s="228"/>
      <c r="P107" s="228"/>
      <c r="Q107" s="2552"/>
      <c r="R107" s="258"/>
      <c r="S107" s="2577"/>
      <c r="T107" s="2577"/>
      <c r="U107" s="254"/>
      <c r="V107" s="228"/>
      <c r="W107" s="2552"/>
      <c r="X107" s="256"/>
      <c r="Y107" s="248"/>
      <c r="Z107" s="248"/>
      <c r="AA107" s="248"/>
      <c r="AB107" s="247"/>
      <c r="AC107" s="248"/>
      <c r="AD107" s="248"/>
      <c r="AE107" s="194"/>
      <c r="AF107" s="249"/>
      <c r="AG107" s="250"/>
      <c r="AH107" s="251"/>
      <c r="AI107" s="252"/>
    </row>
    <row r="108" spans="2:35">
      <c r="B108" s="253">
        <f t="shared" si="8"/>
        <v>99</v>
      </c>
      <c r="C108" s="244"/>
      <c r="D108" s="661"/>
      <c r="E108" s="466"/>
      <c r="F108" s="615"/>
      <c r="G108" s="3271"/>
      <c r="H108" s="230"/>
      <c r="I108" s="230"/>
      <c r="J108" s="230"/>
      <c r="K108" s="230"/>
      <c r="L108" s="230"/>
      <c r="M108" s="228"/>
      <c r="N108" s="257"/>
      <c r="O108" s="228"/>
      <c r="P108" s="228"/>
      <c r="Q108" s="2552"/>
      <c r="R108" s="258"/>
      <c r="S108" s="2577"/>
      <c r="T108" s="2577"/>
      <c r="U108" s="254"/>
      <c r="V108" s="228"/>
      <c r="W108" s="2552"/>
      <c r="X108" s="256"/>
      <c r="Y108" s="248"/>
      <c r="Z108" s="248"/>
      <c r="AA108" s="248"/>
      <c r="AB108" s="247"/>
      <c r="AC108" s="248"/>
      <c r="AD108" s="248"/>
      <c r="AE108" s="194"/>
      <c r="AF108" s="249"/>
      <c r="AG108" s="250"/>
      <c r="AH108" s="251"/>
      <c r="AI108" s="252"/>
    </row>
    <row r="109" spans="2:35">
      <c r="B109" s="253">
        <f t="shared" si="8"/>
        <v>100</v>
      </c>
      <c r="C109" s="244"/>
      <c r="D109" s="661"/>
      <c r="E109" s="466"/>
      <c r="F109" s="615"/>
      <c r="G109" s="3271"/>
      <c r="H109" s="230"/>
      <c r="I109" s="230"/>
      <c r="J109" s="230"/>
      <c r="K109" s="230"/>
      <c r="L109" s="230"/>
      <c r="M109" s="228"/>
      <c r="N109" s="257"/>
      <c r="O109" s="228"/>
      <c r="P109" s="228"/>
      <c r="Q109" s="2552"/>
      <c r="R109" s="258"/>
      <c r="S109" s="2577"/>
      <c r="T109" s="2577"/>
      <c r="U109" s="254"/>
      <c r="V109" s="228"/>
      <c r="W109" s="2552"/>
      <c r="X109" s="256"/>
      <c r="Y109" s="248"/>
      <c r="Z109" s="248"/>
      <c r="AA109" s="248"/>
      <c r="AB109" s="247"/>
      <c r="AC109" s="248"/>
      <c r="AD109" s="248"/>
      <c r="AE109" s="194"/>
      <c r="AF109" s="249"/>
      <c r="AG109" s="250"/>
      <c r="AH109" s="251"/>
      <c r="AI109" s="252"/>
    </row>
    <row r="110" spans="2:35">
      <c r="B110" s="253">
        <f t="shared" si="8"/>
        <v>101</v>
      </c>
      <c r="C110" s="244"/>
      <c r="D110" s="661"/>
      <c r="E110" s="466"/>
      <c r="F110" s="615"/>
      <c r="G110" s="3271"/>
      <c r="H110" s="230"/>
      <c r="I110" s="230"/>
      <c r="J110" s="230"/>
      <c r="K110" s="230"/>
      <c r="L110" s="230"/>
      <c r="M110" s="228"/>
      <c r="N110" s="257"/>
      <c r="O110" s="228"/>
      <c r="P110" s="228"/>
      <c r="Q110" s="2552"/>
      <c r="R110" s="258"/>
      <c r="S110" s="2577"/>
      <c r="T110" s="2577"/>
      <c r="U110" s="254"/>
      <c r="V110" s="228"/>
      <c r="W110" s="2552"/>
      <c r="X110" s="256"/>
      <c r="Y110" s="248"/>
      <c r="Z110" s="248"/>
      <c r="AA110" s="248"/>
      <c r="AB110" s="247"/>
      <c r="AC110" s="248"/>
      <c r="AD110" s="248"/>
      <c r="AE110" s="194"/>
      <c r="AF110" s="249"/>
      <c r="AG110" s="250"/>
      <c r="AH110" s="251"/>
      <c r="AI110" s="252"/>
    </row>
    <row r="111" spans="2:35">
      <c r="B111" s="253">
        <f t="shared" si="8"/>
        <v>102</v>
      </c>
      <c r="C111" s="244"/>
      <c r="D111" s="661"/>
      <c r="E111" s="466"/>
      <c r="F111" s="615"/>
      <c r="G111" s="3271"/>
      <c r="H111" s="230"/>
      <c r="I111" s="230"/>
      <c r="J111" s="230"/>
      <c r="K111" s="230"/>
      <c r="L111" s="230"/>
      <c r="M111" s="228"/>
      <c r="N111" s="257"/>
      <c r="O111" s="228"/>
      <c r="P111" s="228"/>
      <c r="Q111" s="2552"/>
      <c r="R111" s="258"/>
      <c r="S111" s="2577"/>
      <c r="T111" s="2577"/>
      <c r="U111" s="254"/>
      <c r="V111" s="228"/>
      <c r="W111" s="2552"/>
      <c r="X111" s="256"/>
      <c r="Y111" s="248"/>
      <c r="Z111" s="248"/>
      <c r="AA111" s="248"/>
      <c r="AB111" s="247"/>
      <c r="AC111" s="248"/>
      <c r="AD111" s="248"/>
      <c r="AE111" s="194"/>
      <c r="AF111" s="249"/>
      <c r="AG111" s="250"/>
      <c r="AH111" s="251"/>
      <c r="AI111" s="252"/>
    </row>
    <row r="112" spans="2:35">
      <c r="B112" s="253">
        <f t="shared" si="8"/>
        <v>103</v>
      </c>
      <c r="C112" s="244"/>
      <c r="D112" s="661"/>
      <c r="E112" s="466"/>
      <c r="F112" s="615"/>
      <c r="G112" s="3271"/>
      <c r="H112" s="230"/>
      <c r="I112" s="230"/>
      <c r="J112" s="230"/>
      <c r="K112" s="230"/>
      <c r="L112" s="230"/>
      <c r="M112" s="228"/>
      <c r="N112" s="257"/>
      <c r="O112" s="228"/>
      <c r="P112" s="228"/>
      <c r="Q112" s="2552"/>
      <c r="R112" s="258"/>
      <c r="S112" s="2577"/>
      <c r="T112" s="2577"/>
      <c r="U112" s="254"/>
      <c r="V112" s="228"/>
      <c r="W112" s="2552"/>
      <c r="X112" s="256"/>
      <c r="Y112" s="248"/>
      <c r="Z112" s="248"/>
      <c r="AA112" s="248"/>
      <c r="AB112" s="247"/>
      <c r="AC112" s="248"/>
      <c r="AD112" s="248"/>
      <c r="AE112" s="194"/>
      <c r="AF112" s="249"/>
      <c r="AG112" s="250"/>
      <c r="AH112" s="251"/>
      <c r="AI112" s="252"/>
    </row>
    <row r="113" spans="2:35">
      <c r="B113" s="253">
        <f t="shared" si="8"/>
        <v>104</v>
      </c>
      <c r="C113" s="244"/>
      <c r="D113" s="661"/>
      <c r="E113" s="466"/>
      <c r="F113" s="615"/>
      <c r="G113" s="3271"/>
      <c r="H113" s="230"/>
      <c r="I113" s="230"/>
      <c r="J113" s="230"/>
      <c r="K113" s="230"/>
      <c r="L113" s="230"/>
      <c r="M113" s="228"/>
      <c r="N113" s="257"/>
      <c r="O113" s="228"/>
      <c r="P113" s="228"/>
      <c r="Q113" s="2552"/>
      <c r="R113" s="258"/>
      <c r="S113" s="2577"/>
      <c r="T113" s="2577"/>
      <c r="U113" s="254"/>
      <c r="V113" s="228"/>
      <c r="W113" s="2552"/>
      <c r="X113" s="256"/>
      <c r="Y113" s="248"/>
      <c r="Z113" s="248"/>
      <c r="AA113" s="248"/>
      <c r="AB113" s="247"/>
      <c r="AC113" s="248"/>
      <c r="AD113" s="248"/>
      <c r="AE113" s="194"/>
      <c r="AF113" s="249"/>
      <c r="AG113" s="250"/>
      <c r="AH113" s="251"/>
      <c r="AI113" s="252"/>
    </row>
    <row r="114" spans="2:35">
      <c r="B114" s="253">
        <f t="shared" si="8"/>
        <v>105</v>
      </c>
      <c r="C114" s="244"/>
      <c r="D114" s="661"/>
      <c r="E114" s="466"/>
      <c r="F114" s="615"/>
      <c r="G114" s="3271"/>
      <c r="H114" s="230"/>
      <c r="I114" s="230"/>
      <c r="J114" s="230"/>
      <c r="K114" s="230"/>
      <c r="L114" s="230"/>
      <c r="M114" s="228"/>
      <c r="N114" s="257"/>
      <c r="O114" s="228"/>
      <c r="P114" s="228"/>
      <c r="Q114" s="2552"/>
      <c r="R114" s="258"/>
      <c r="S114" s="2577"/>
      <c r="T114" s="2577"/>
      <c r="U114" s="254"/>
      <c r="V114" s="228"/>
      <c r="W114" s="2552"/>
      <c r="X114" s="256"/>
      <c r="Y114" s="248"/>
      <c r="Z114" s="248"/>
      <c r="AA114" s="248"/>
      <c r="AB114" s="247"/>
      <c r="AC114" s="248"/>
      <c r="AD114" s="248"/>
      <c r="AE114" s="194"/>
      <c r="AF114" s="249"/>
      <c r="AG114" s="250"/>
      <c r="AH114" s="251"/>
      <c r="AI114" s="252"/>
    </row>
    <row r="115" spans="2:35">
      <c r="B115" s="253">
        <f t="shared" si="8"/>
        <v>106</v>
      </c>
      <c r="C115" s="244"/>
      <c r="D115" s="661"/>
      <c r="E115" s="466"/>
      <c r="F115" s="615"/>
      <c r="G115" s="3271"/>
      <c r="H115" s="230"/>
      <c r="I115" s="230"/>
      <c r="J115" s="230"/>
      <c r="K115" s="230"/>
      <c r="L115" s="230"/>
      <c r="M115" s="228"/>
      <c r="N115" s="257"/>
      <c r="O115" s="228"/>
      <c r="P115" s="228"/>
      <c r="Q115" s="2552"/>
      <c r="R115" s="258"/>
      <c r="S115" s="2577"/>
      <c r="T115" s="2577"/>
      <c r="U115" s="254"/>
      <c r="V115" s="228"/>
      <c r="W115" s="2552"/>
      <c r="X115" s="256"/>
      <c r="Y115" s="248"/>
      <c r="Z115" s="248"/>
      <c r="AA115" s="248"/>
      <c r="AB115" s="247"/>
      <c r="AC115" s="248"/>
      <c r="AD115" s="248"/>
      <c r="AE115" s="194"/>
      <c r="AF115" s="249"/>
      <c r="AG115" s="250"/>
      <c r="AH115" s="251"/>
      <c r="AI115" s="252"/>
    </row>
    <row r="116" spans="2:35">
      <c r="B116" s="253">
        <f t="shared" si="8"/>
        <v>107</v>
      </c>
      <c r="C116" s="244"/>
      <c r="D116" s="661"/>
      <c r="E116" s="466"/>
      <c r="F116" s="615"/>
      <c r="G116" s="3271"/>
      <c r="H116" s="230"/>
      <c r="I116" s="230"/>
      <c r="J116" s="230"/>
      <c r="K116" s="230"/>
      <c r="L116" s="230"/>
      <c r="M116" s="228"/>
      <c r="N116" s="257"/>
      <c r="O116" s="228"/>
      <c r="P116" s="228"/>
      <c r="Q116" s="2552"/>
      <c r="R116" s="258"/>
      <c r="S116" s="2577"/>
      <c r="T116" s="2577"/>
      <c r="U116" s="254"/>
      <c r="V116" s="228"/>
      <c r="W116" s="2552"/>
      <c r="X116" s="256"/>
      <c r="Y116" s="248"/>
      <c r="Z116" s="248"/>
      <c r="AA116" s="248"/>
      <c r="AB116" s="247"/>
      <c r="AC116" s="248"/>
      <c r="AD116" s="248"/>
      <c r="AE116" s="194"/>
      <c r="AF116" s="249"/>
      <c r="AG116" s="250"/>
      <c r="AH116" s="251"/>
      <c r="AI116" s="252"/>
    </row>
    <row r="117" spans="2:35">
      <c r="B117" s="253">
        <f t="shared" si="8"/>
        <v>108</v>
      </c>
      <c r="C117" s="244"/>
      <c r="D117" s="661"/>
      <c r="E117" s="466"/>
      <c r="F117" s="615"/>
      <c r="G117" s="3271"/>
      <c r="H117" s="230"/>
      <c r="I117" s="230"/>
      <c r="J117" s="230"/>
      <c r="K117" s="230"/>
      <c r="L117" s="230"/>
      <c r="M117" s="228"/>
      <c r="N117" s="257"/>
      <c r="O117" s="228"/>
      <c r="P117" s="228"/>
      <c r="Q117" s="2552"/>
      <c r="R117" s="258"/>
      <c r="S117" s="2577"/>
      <c r="T117" s="2577"/>
      <c r="U117" s="254"/>
      <c r="V117" s="228"/>
      <c r="W117" s="2552"/>
      <c r="X117" s="256"/>
      <c r="Y117" s="248"/>
      <c r="Z117" s="248"/>
      <c r="AA117" s="248"/>
      <c r="AB117" s="247"/>
      <c r="AC117" s="248"/>
      <c r="AD117" s="248"/>
      <c r="AE117" s="194"/>
      <c r="AF117" s="249"/>
      <c r="AG117" s="250"/>
      <c r="AH117" s="251"/>
      <c r="AI117" s="252"/>
    </row>
    <row r="118" spans="2:35">
      <c r="B118" s="253">
        <f t="shared" si="8"/>
        <v>109</v>
      </c>
      <c r="C118" s="244"/>
      <c r="D118" s="661"/>
      <c r="E118" s="466"/>
      <c r="F118" s="615"/>
      <c r="G118" s="3271"/>
      <c r="H118" s="230"/>
      <c r="I118" s="230"/>
      <c r="J118" s="230"/>
      <c r="K118" s="230"/>
      <c r="L118" s="230"/>
      <c r="M118" s="228"/>
      <c r="N118" s="257"/>
      <c r="O118" s="228"/>
      <c r="P118" s="228"/>
      <c r="Q118" s="2552"/>
      <c r="R118" s="258"/>
      <c r="S118" s="2577"/>
      <c r="T118" s="2577"/>
      <c r="U118" s="254"/>
      <c r="V118" s="228"/>
      <c r="W118" s="2552"/>
      <c r="X118" s="256"/>
      <c r="Y118" s="248"/>
      <c r="Z118" s="248"/>
      <c r="AA118" s="248"/>
      <c r="AB118" s="247"/>
      <c r="AC118" s="248"/>
      <c r="AD118" s="248"/>
      <c r="AE118" s="194"/>
      <c r="AF118" s="249"/>
      <c r="AG118" s="250"/>
      <c r="AH118" s="251"/>
      <c r="AI118" s="252"/>
    </row>
    <row r="119" spans="2:35">
      <c r="B119" s="253">
        <f t="shared" si="8"/>
        <v>110</v>
      </c>
      <c r="C119" s="244"/>
      <c r="D119" s="661"/>
      <c r="E119" s="466"/>
      <c r="F119" s="615"/>
      <c r="G119" s="3271"/>
      <c r="H119" s="230"/>
      <c r="I119" s="230"/>
      <c r="J119" s="230"/>
      <c r="K119" s="230"/>
      <c r="L119" s="230"/>
      <c r="M119" s="228"/>
      <c r="N119" s="257"/>
      <c r="O119" s="228"/>
      <c r="P119" s="228"/>
      <c r="Q119" s="2552"/>
      <c r="R119" s="258"/>
      <c r="S119" s="2577"/>
      <c r="T119" s="2577"/>
      <c r="U119" s="254"/>
      <c r="V119" s="228"/>
      <c r="W119" s="2552"/>
      <c r="X119" s="256"/>
      <c r="Y119" s="248"/>
      <c r="Z119" s="248"/>
      <c r="AA119" s="248"/>
      <c r="AB119" s="247"/>
      <c r="AC119" s="248"/>
      <c r="AD119" s="248"/>
      <c r="AE119" s="194"/>
      <c r="AF119" s="249"/>
      <c r="AG119" s="250"/>
      <c r="AH119" s="251"/>
      <c r="AI119" s="252"/>
    </row>
    <row r="120" spans="2:35">
      <c r="B120" s="253">
        <f t="shared" si="8"/>
        <v>111</v>
      </c>
      <c r="C120" s="244"/>
      <c r="D120" s="661"/>
      <c r="E120" s="466"/>
      <c r="F120" s="615"/>
      <c r="G120" s="3271"/>
      <c r="H120" s="230"/>
      <c r="I120" s="230"/>
      <c r="J120" s="230"/>
      <c r="K120" s="230"/>
      <c r="L120" s="230"/>
      <c r="M120" s="228"/>
      <c r="N120" s="257"/>
      <c r="O120" s="228"/>
      <c r="P120" s="228"/>
      <c r="Q120" s="2552"/>
      <c r="R120" s="258"/>
      <c r="S120" s="2577"/>
      <c r="T120" s="2577"/>
      <c r="U120" s="254"/>
      <c r="V120" s="228"/>
      <c r="W120" s="2552"/>
      <c r="X120" s="256"/>
      <c r="Y120" s="248"/>
      <c r="Z120" s="248"/>
      <c r="AA120" s="248"/>
      <c r="AB120" s="247"/>
      <c r="AC120" s="248"/>
      <c r="AD120" s="248"/>
      <c r="AE120" s="194"/>
      <c r="AF120" s="249"/>
      <c r="AG120" s="250"/>
      <c r="AH120" s="251"/>
      <c r="AI120" s="252"/>
    </row>
    <row r="121" spans="2:35">
      <c r="B121" s="253">
        <f t="shared" si="8"/>
        <v>112</v>
      </c>
      <c r="C121" s="244"/>
      <c r="D121" s="661"/>
      <c r="E121" s="466"/>
      <c r="F121" s="615"/>
      <c r="G121" s="3271"/>
      <c r="H121" s="230"/>
      <c r="I121" s="230"/>
      <c r="J121" s="230"/>
      <c r="K121" s="230"/>
      <c r="L121" s="230"/>
      <c r="M121" s="228"/>
      <c r="N121" s="257"/>
      <c r="O121" s="228"/>
      <c r="P121" s="228"/>
      <c r="Q121" s="2552"/>
      <c r="R121" s="258"/>
      <c r="S121" s="2577"/>
      <c r="T121" s="2577"/>
      <c r="U121" s="254"/>
      <c r="V121" s="228"/>
      <c r="W121" s="2552"/>
      <c r="X121" s="256"/>
      <c r="Y121" s="248"/>
      <c r="Z121" s="248"/>
      <c r="AA121" s="248"/>
      <c r="AB121" s="247"/>
      <c r="AC121" s="248"/>
      <c r="AD121" s="248"/>
      <c r="AE121" s="194"/>
      <c r="AF121" s="249"/>
      <c r="AG121" s="250"/>
      <c r="AH121" s="251"/>
      <c r="AI121" s="252"/>
    </row>
    <row r="122" spans="2:35">
      <c r="B122" s="253">
        <f t="shared" si="8"/>
        <v>113</v>
      </c>
      <c r="C122" s="244"/>
      <c r="D122" s="661"/>
      <c r="E122" s="466"/>
      <c r="F122" s="615"/>
      <c r="G122" s="3271"/>
      <c r="H122" s="230"/>
      <c r="I122" s="230"/>
      <c r="J122" s="230"/>
      <c r="K122" s="230"/>
      <c r="L122" s="230"/>
      <c r="M122" s="228"/>
      <c r="N122" s="257"/>
      <c r="O122" s="228"/>
      <c r="P122" s="228"/>
      <c r="Q122" s="2552"/>
      <c r="R122" s="258"/>
      <c r="S122" s="2577"/>
      <c r="T122" s="2577"/>
      <c r="U122" s="254"/>
      <c r="V122" s="228"/>
      <c r="W122" s="2552"/>
      <c r="X122" s="256"/>
      <c r="Y122" s="248"/>
      <c r="Z122" s="248"/>
      <c r="AA122" s="248"/>
      <c r="AB122" s="247"/>
      <c r="AC122" s="248"/>
      <c r="AD122" s="248"/>
      <c r="AE122" s="194"/>
      <c r="AF122" s="249"/>
      <c r="AG122" s="250"/>
      <c r="AH122" s="251"/>
      <c r="AI122" s="252"/>
    </row>
    <row r="123" spans="2:35">
      <c r="B123" s="253">
        <f t="shared" si="8"/>
        <v>114</v>
      </c>
      <c r="C123" s="244"/>
      <c r="D123" s="661"/>
      <c r="E123" s="466"/>
      <c r="F123" s="615"/>
      <c r="G123" s="3271"/>
      <c r="H123" s="230"/>
      <c r="I123" s="230"/>
      <c r="J123" s="230"/>
      <c r="K123" s="230"/>
      <c r="L123" s="230"/>
      <c r="M123" s="228"/>
      <c r="N123" s="257"/>
      <c r="O123" s="228"/>
      <c r="P123" s="228"/>
      <c r="Q123" s="2552"/>
      <c r="R123" s="258"/>
      <c r="S123" s="2577"/>
      <c r="T123" s="2577"/>
      <c r="U123" s="254"/>
      <c r="V123" s="228"/>
      <c r="W123" s="2552"/>
      <c r="X123" s="256"/>
      <c r="Y123" s="248"/>
      <c r="Z123" s="248"/>
      <c r="AA123" s="248"/>
      <c r="AB123" s="247"/>
      <c r="AC123" s="248"/>
      <c r="AD123" s="248"/>
      <c r="AE123" s="194"/>
      <c r="AF123" s="249"/>
      <c r="AG123" s="250"/>
      <c r="AH123" s="251"/>
      <c r="AI123" s="252"/>
    </row>
    <row r="124" spans="2:35">
      <c r="B124" s="253">
        <f t="shared" si="8"/>
        <v>115</v>
      </c>
      <c r="C124" s="244"/>
      <c r="D124" s="661"/>
      <c r="E124" s="466"/>
      <c r="F124" s="615"/>
      <c r="G124" s="3271"/>
      <c r="H124" s="230"/>
      <c r="I124" s="230"/>
      <c r="J124" s="230"/>
      <c r="K124" s="230"/>
      <c r="L124" s="230"/>
      <c r="M124" s="228"/>
      <c r="N124" s="257"/>
      <c r="O124" s="228"/>
      <c r="P124" s="228"/>
      <c r="Q124" s="2552"/>
      <c r="R124" s="258"/>
      <c r="S124" s="2577"/>
      <c r="T124" s="2577"/>
      <c r="U124" s="254"/>
      <c r="V124" s="228"/>
      <c r="W124" s="2552"/>
      <c r="X124" s="256"/>
      <c r="Y124" s="248"/>
      <c r="Z124" s="248"/>
      <c r="AA124" s="248"/>
      <c r="AB124" s="247"/>
      <c r="AC124" s="248"/>
      <c r="AD124" s="248"/>
      <c r="AE124" s="194"/>
      <c r="AF124" s="249"/>
      <c r="AG124" s="250"/>
      <c r="AH124" s="251"/>
      <c r="AI124" s="252"/>
    </row>
    <row r="125" spans="2:35">
      <c r="B125" s="253">
        <f t="shared" si="8"/>
        <v>116</v>
      </c>
      <c r="C125" s="244"/>
      <c r="D125" s="661"/>
      <c r="E125" s="466"/>
      <c r="F125" s="615"/>
      <c r="G125" s="3271"/>
      <c r="H125" s="230"/>
      <c r="I125" s="230"/>
      <c r="J125" s="230"/>
      <c r="K125" s="230"/>
      <c r="L125" s="230"/>
      <c r="M125" s="228"/>
      <c r="N125" s="257"/>
      <c r="O125" s="228"/>
      <c r="P125" s="228"/>
      <c r="Q125" s="2552"/>
      <c r="R125" s="258"/>
      <c r="S125" s="2577"/>
      <c r="T125" s="2577"/>
      <c r="U125" s="254"/>
      <c r="V125" s="228"/>
      <c r="W125" s="2552"/>
      <c r="X125" s="256"/>
      <c r="Y125" s="248"/>
      <c r="Z125" s="248"/>
      <c r="AA125" s="248"/>
      <c r="AB125" s="247"/>
      <c r="AC125" s="248"/>
      <c r="AD125" s="248"/>
      <c r="AE125" s="194"/>
      <c r="AF125" s="249"/>
      <c r="AG125" s="250"/>
      <c r="AH125" s="251"/>
      <c r="AI125" s="252"/>
    </row>
    <row r="126" spans="2:35">
      <c r="B126" s="253">
        <f t="shared" si="8"/>
        <v>117</v>
      </c>
      <c r="C126" s="244"/>
      <c r="D126" s="661"/>
      <c r="E126" s="466"/>
      <c r="F126" s="615"/>
      <c r="G126" s="3271"/>
      <c r="H126" s="230"/>
      <c r="I126" s="230"/>
      <c r="J126" s="230"/>
      <c r="K126" s="230"/>
      <c r="L126" s="230"/>
      <c r="M126" s="228"/>
      <c r="N126" s="257"/>
      <c r="O126" s="228"/>
      <c r="P126" s="228"/>
      <c r="Q126" s="2552"/>
      <c r="R126" s="258"/>
      <c r="S126" s="2577"/>
      <c r="T126" s="2577"/>
      <c r="U126" s="254"/>
      <c r="V126" s="228"/>
      <c r="W126" s="2552"/>
      <c r="X126" s="256"/>
      <c r="Y126" s="248"/>
      <c r="Z126" s="248"/>
      <c r="AA126" s="248"/>
      <c r="AB126" s="247"/>
      <c r="AC126" s="248"/>
      <c r="AD126" s="248"/>
      <c r="AE126" s="194"/>
      <c r="AF126" s="249"/>
      <c r="AG126" s="250"/>
      <c r="AH126" s="251"/>
      <c r="AI126" s="252"/>
    </row>
    <row r="127" spans="2:35">
      <c r="B127" s="253">
        <f t="shared" si="8"/>
        <v>118</v>
      </c>
      <c r="C127" s="244"/>
      <c r="D127" s="661"/>
      <c r="E127" s="466"/>
      <c r="F127" s="615"/>
      <c r="G127" s="3271"/>
      <c r="H127" s="230"/>
      <c r="I127" s="230"/>
      <c r="J127" s="230"/>
      <c r="K127" s="230"/>
      <c r="L127" s="230"/>
      <c r="M127" s="228"/>
      <c r="N127" s="257"/>
      <c r="O127" s="228"/>
      <c r="P127" s="228"/>
      <c r="Q127" s="2552"/>
      <c r="R127" s="258"/>
      <c r="S127" s="2577"/>
      <c r="T127" s="2577"/>
      <c r="U127" s="254"/>
      <c r="V127" s="228"/>
      <c r="W127" s="2552"/>
      <c r="X127" s="256"/>
      <c r="Y127" s="248"/>
      <c r="Z127" s="248"/>
      <c r="AA127" s="248"/>
      <c r="AB127" s="247"/>
      <c r="AC127" s="248"/>
      <c r="AD127" s="248"/>
      <c r="AE127" s="194"/>
      <c r="AF127" s="249"/>
      <c r="AG127" s="250"/>
      <c r="AH127" s="251"/>
      <c r="AI127" s="252"/>
    </row>
    <row r="128" spans="2:35">
      <c r="B128" s="253">
        <f t="shared" si="8"/>
        <v>119</v>
      </c>
      <c r="C128" s="244"/>
      <c r="D128" s="661"/>
      <c r="E128" s="466"/>
      <c r="F128" s="615"/>
      <c r="G128" s="3271"/>
      <c r="H128" s="230"/>
      <c r="I128" s="230"/>
      <c r="J128" s="230"/>
      <c r="K128" s="230"/>
      <c r="L128" s="230"/>
      <c r="M128" s="228"/>
      <c r="N128" s="257"/>
      <c r="O128" s="228"/>
      <c r="P128" s="228"/>
      <c r="Q128" s="2552"/>
      <c r="R128" s="258"/>
      <c r="S128" s="2577"/>
      <c r="T128" s="2577"/>
      <c r="U128" s="254"/>
      <c r="V128" s="228"/>
      <c r="W128" s="2552"/>
      <c r="X128" s="256"/>
      <c r="Y128" s="248"/>
      <c r="Z128" s="248"/>
      <c r="AA128" s="248"/>
      <c r="AB128" s="247"/>
      <c r="AC128" s="248"/>
      <c r="AD128" s="248"/>
      <c r="AE128" s="194"/>
      <c r="AF128" s="249"/>
      <c r="AG128" s="250"/>
      <c r="AH128" s="251"/>
      <c r="AI128" s="252"/>
    </row>
    <row r="129" spans="2:35">
      <c r="B129" s="253">
        <f t="shared" si="8"/>
        <v>120</v>
      </c>
      <c r="C129" s="244"/>
      <c r="D129" s="661"/>
      <c r="E129" s="466"/>
      <c r="F129" s="615"/>
      <c r="G129" s="3271"/>
      <c r="H129" s="230"/>
      <c r="I129" s="230"/>
      <c r="J129" s="230"/>
      <c r="K129" s="230"/>
      <c r="L129" s="230"/>
      <c r="M129" s="228"/>
      <c r="N129" s="257"/>
      <c r="O129" s="228"/>
      <c r="P129" s="228"/>
      <c r="Q129" s="2552"/>
      <c r="R129" s="258"/>
      <c r="S129" s="2577"/>
      <c r="T129" s="2577"/>
      <c r="U129" s="254"/>
      <c r="V129" s="228"/>
      <c r="W129" s="2552"/>
      <c r="X129" s="256"/>
      <c r="Y129" s="248"/>
      <c r="Z129" s="248"/>
      <c r="AA129" s="248"/>
      <c r="AB129" s="247"/>
      <c r="AC129" s="248"/>
      <c r="AD129" s="248"/>
      <c r="AE129" s="194"/>
      <c r="AF129" s="249"/>
      <c r="AG129" s="250"/>
      <c r="AH129" s="251"/>
      <c r="AI129" s="252"/>
    </row>
    <row r="130" spans="2:35">
      <c r="B130" s="253">
        <f t="shared" ref="B130:B193" si="9">+B129+1</f>
        <v>121</v>
      </c>
      <c r="C130" s="244"/>
      <c r="D130" s="661"/>
      <c r="E130" s="466"/>
      <c r="F130" s="615"/>
      <c r="G130" s="3271"/>
      <c r="H130" s="230"/>
      <c r="I130" s="230"/>
      <c r="J130" s="230"/>
      <c r="K130" s="230"/>
      <c r="L130" s="230"/>
      <c r="M130" s="228"/>
      <c r="N130" s="257"/>
      <c r="O130" s="228"/>
      <c r="P130" s="228"/>
      <c r="Q130" s="2552"/>
      <c r="R130" s="258"/>
      <c r="S130" s="2577"/>
      <c r="T130" s="2577"/>
      <c r="U130" s="254"/>
      <c r="V130" s="228"/>
      <c r="W130" s="2552"/>
      <c r="X130" s="256"/>
      <c r="Y130" s="248"/>
      <c r="Z130" s="248"/>
      <c r="AA130" s="248"/>
      <c r="AB130" s="247"/>
      <c r="AC130" s="248"/>
      <c r="AD130" s="248"/>
      <c r="AE130" s="194"/>
      <c r="AF130" s="249"/>
      <c r="AG130" s="250"/>
      <c r="AH130" s="251"/>
      <c r="AI130" s="252"/>
    </row>
    <row r="131" spans="2:35">
      <c r="B131" s="253">
        <f t="shared" si="9"/>
        <v>122</v>
      </c>
      <c r="C131" s="244"/>
      <c r="D131" s="661"/>
      <c r="E131" s="466"/>
      <c r="F131" s="615"/>
      <c r="G131" s="3271"/>
      <c r="H131" s="230"/>
      <c r="I131" s="230"/>
      <c r="J131" s="230"/>
      <c r="K131" s="230"/>
      <c r="L131" s="230"/>
      <c r="M131" s="228"/>
      <c r="N131" s="257"/>
      <c r="O131" s="228"/>
      <c r="P131" s="228"/>
      <c r="Q131" s="2552"/>
      <c r="R131" s="258"/>
      <c r="S131" s="2577"/>
      <c r="T131" s="2577"/>
      <c r="U131" s="254"/>
      <c r="V131" s="228"/>
      <c r="W131" s="2552"/>
      <c r="X131" s="256"/>
      <c r="Y131" s="248"/>
      <c r="Z131" s="248"/>
      <c r="AA131" s="248"/>
      <c r="AB131" s="247"/>
      <c r="AC131" s="248"/>
      <c r="AD131" s="248"/>
      <c r="AE131" s="194"/>
      <c r="AF131" s="249"/>
      <c r="AG131" s="250"/>
      <c r="AH131" s="251"/>
      <c r="AI131" s="252"/>
    </row>
    <row r="132" spans="2:35">
      <c r="B132" s="253">
        <f t="shared" si="9"/>
        <v>123</v>
      </c>
      <c r="C132" s="244"/>
      <c r="D132" s="661"/>
      <c r="E132" s="466"/>
      <c r="F132" s="615"/>
      <c r="G132" s="3271"/>
      <c r="H132" s="230"/>
      <c r="I132" s="230"/>
      <c r="J132" s="230"/>
      <c r="K132" s="230"/>
      <c r="L132" s="230"/>
      <c r="M132" s="228"/>
      <c r="N132" s="257"/>
      <c r="O132" s="228"/>
      <c r="P132" s="228"/>
      <c r="Q132" s="2552"/>
      <c r="R132" s="258"/>
      <c r="S132" s="2577"/>
      <c r="T132" s="2577"/>
      <c r="U132" s="254"/>
      <c r="V132" s="228"/>
      <c r="W132" s="2552"/>
      <c r="X132" s="256"/>
      <c r="Y132" s="248"/>
      <c r="Z132" s="248"/>
      <c r="AA132" s="248"/>
      <c r="AB132" s="247"/>
      <c r="AC132" s="248"/>
      <c r="AD132" s="248"/>
      <c r="AE132" s="194"/>
      <c r="AF132" s="249"/>
      <c r="AG132" s="250"/>
      <c r="AH132" s="251"/>
      <c r="AI132" s="252"/>
    </row>
    <row r="133" spans="2:35">
      <c r="B133" s="253">
        <f t="shared" si="9"/>
        <v>124</v>
      </c>
      <c r="C133" s="244"/>
      <c r="D133" s="661"/>
      <c r="E133" s="466"/>
      <c r="F133" s="615"/>
      <c r="G133" s="3271"/>
      <c r="H133" s="230"/>
      <c r="I133" s="230"/>
      <c r="J133" s="230"/>
      <c r="K133" s="230"/>
      <c r="L133" s="230"/>
      <c r="M133" s="228"/>
      <c r="N133" s="257"/>
      <c r="O133" s="228"/>
      <c r="P133" s="228"/>
      <c r="Q133" s="2552"/>
      <c r="R133" s="258"/>
      <c r="S133" s="2577"/>
      <c r="T133" s="2577"/>
      <c r="U133" s="254"/>
      <c r="V133" s="228"/>
      <c r="W133" s="2552"/>
      <c r="X133" s="256"/>
      <c r="Y133" s="248"/>
      <c r="Z133" s="248"/>
      <c r="AA133" s="248"/>
      <c r="AB133" s="247"/>
      <c r="AC133" s="248"/>
      <c r="AD133" s="248"/>
      <c r="AE133" s="194"/>
      <c r="AF133" s="249"/>
      <c r="AG133" s="250"/>
      <c r="AH133" s="251"/>
      <c r="AI133" s="252"/>
    </row>
    <row r="134" spans="2:35">
      <c r="B134" s="253">
        <f t="shared" si="9"/>
        <v>125</v>
      </c>
      <c r="C134" s="244"/>
      <c r="D134" s="661"/>
      <c r="E134" s="466"/>
      <c r="F134" s="615"/>
      <c r="G134" s="3271"/>
      <c r="H134" s="230"/>
      <c r="I134" s="230"/>
      <c r="J134" s="230"/>
      <c r="K134" s="230"/>
      <c r="L134" s="230"/>
      <c r="M134" s="228"/>
      <c r="N134" s="257"/>
      <c r="O134" s="228"/>
      <c r="P134" s="228"/>
      <c r="Q134" s="2552"/>
      <c r="R134" s="258"/>
      <c r="S134" s="2577"/>
      <c r="T134" s="2577"/>
      <c r="U134" s="254"/>
      <c r="V134" s="228"/>
      <c r="W134" s="2552"/>
      <c r="X134" s="256"/>
      <c r="Y134" s="248"/>
      <c r="Z134" s="248"/>
      <c r="AA134" s="248"/>
      <c r="AB134" s="247"/>
      <c r="AC134" s="248"/>
      <c r="AD134" s="248"/>
      <c r="AE134" s="194"/>
      <c r="AF134" s="249"/>
      <c r="AG134" s="250"/>
      <c r="AH134" s="251"/>
      <c r="AI134" s="252"/>
    </row>
    <row r="135" spans="2:35">
      <c r="B135" s="253">
        <f t="shared" si="9"/>
        <v>126</v>
      </c>
      <c r="C135" s="244"/>
      <c r="D135" s="661"/>
      <c r="E135" s="466"/>
      <c r="F135" s="615"/>
      <c r="G135" s="3271"/>
      <c r="H135" s="230"/>
      <c r="I135" s="230"/>
      <c r="J135" s="230"/>
      <c r="K135" s="230"/>
      <c r="L135" s="230"/>
      <c r="M135" s="228"/>
      <c r="N135" s="257"/>
      <c r="O135" s="228"/>
      <c r="P135" s="228"/>
      <c r="Q135" s="2552"/>
      <c r="R135" s="258"/>
      <c r="S135" s="2577"/>
      <c r="T135" s="2577"/>
      <c r="U135" s="254"/>
      <c r="V135" s="228"/>
      <c r="W135" s="2552"/>
      <c r="X135" s="256"/>
      <c r="Y135" s="248"/>
      <c r="Z135" s="248"/>
      <c r="AA135" s="248"/>
      <c r="AB135" s="247"/>
      <c r="AC135" s="248"/>
      <c r="AD135" s="248"/>
      <c r="AE135" s="194"/>
      <c r="AF135" s="249"/>
      <c r="AG135" s="250"/>
      <c r="AH135" s="251"/>
      <c r="AI135" s="252"/>
    </row>
    <row r="136" spans="2:35">
      <c r="B136" s="253">
        <f t="shared" si="9"/>
        <v>127</v>
      </c>
      <c r="C136" s="244"/>
      <c r="D136" s="661"/>
      <c r="E136" s="466"/>
      <c r="F136" s="615"/>
      <c r="G136" s="3271"/>
      <c r="H136" s="230"/>
      <c r="I136" s="230"/>
      <c r="J136" s="230"/>
      <c r="K136" s="230"/>
      <c r="L136" s="230"/>
      <c r="M136" s="228"/>
      <c r="N136" s="257"/>
      <c r="O136" s="228"/>
      <c r="P136" s="228"/>
      <c r="Q136" s="2552"/>
      <c r="R136" s="258"/>
      <c r="S136" s="2577"/>
      <c r="T136" s="2577"/>
      <c r="U136" s="254"/>
      <c r="V136" s="228"/>
      <c r="W136" s="2552"/>
      <c r="X136" s="256"/>
      <c r="Y136" s="248"/>
      <c r="Z136" s="248"/>
      <c r="AA136" s="248"/>
      <c r="AB136" s="247"/>
      <c r="AC136" s="248"/>
      <c r="AD136" s="248"/>
      <c r="AE136" s="194"/>
      <c r="AF136" s="249"/>
      <c r="AG136" s="250"/>
      <c r="AH136" s="251"/>
      <c r="AI136" s="252"/>
    </row>
    <row r="137" spans="2:35">
      <c r="B137" s="253">
        <f t="shared" si="9"/>
        <v>128</v>
      </c>
      <c r="C137" s="244"/>
      <c r="D137" s="661"/>
      <c r="E137" s="466"/>
      <c r="F137" s="615"/>
      <c r="G137" s="3271"/>
      <c r="H137" s="230"/>
      <c r="I137" s="230"/>
      <c r="J137" s="230"/>
      <c r="K137" s="230"/>
      <c r="L137" s="230"/>
      <c r="M137" s="228"/>
      <c r="N137" s="257"/>
      <c r="O137" s="228"/>
      <c r="P137" s="228"/>
      <c r="Q137" s="2552"/>
      <c r="R137" s="258"/>
      <c r="S137" s="2577"/>
      <c r="T137" s="2577"/>
      <c r="U137" s="254"/>
      <c r="V137" s="228"/>
      <c r="W137" s="2552"/>
      <c r="X137" s="256"/>
      <c r="Y137" s="248"/>
      <c r="Z137" s="248"/>
      <c r="AA137" s="248"/>
      <c r="AB137" s="247"/>
      <c r="AC137" s="248"/>
      <c r="AD137" s="248"/>
      <c r="AE137" s="194"/>
      <c r="AF137" s="249"/>
      <c r="AG137" s="250"/>
      <c r="AH137" s="251"/>
      <c r="AI137" s="252"/>
    </row>
    <row r="138" spans="2:35">
      <c r="B138" s="253">
        <f t="shared" si="9"/>
        <v>129</v>
      </c>
      <c r="C138" s="244"/>
      <c r="D138" s="661"/>
      <c r="E138" s="466"/>
      <c r="F138" s="615"/>
      <c r="G138" s="3271"/>
      <c r="H138" s="230"/>
      <c r="I138" s="230"/>
      <c r="J138" s="230"/>
      <c r="K138" s="230"/>
      <c r="L138" s="230"/>
      <c r="M138" s="228"/>
      <c r="N138" s="257"/>
      <c r="O138" s="228"/>
      <c r="P138" s="228"/>
      <c r="Q138" s="2552"/>
      <c r="R138" s="258"/>
      <c r="S138" s="2577"/>
      <c r="T138" s="2577"/>
      <c r="U138" s="254"/>
      <c r="V138" s="228"/>
      <c r="W138" s="2552"/>
      <c r="X138" s="256"/>
      <c r="Y138" s="248"/>
      <c r="Z138" s="248"/>
      <c r="AA138" s="248"/>
      <c r="AB138" s="247"/>
      <c r="AC138" s="248"/>
      <c r="AD138" s="248"/>
      <c r="AE138" s="194"/>
      <c r="AF138" s="249"/>
      <c r="AG138" s="250"/>
      <c r="AH138" s="251"/>
      <c r="AI138" s="252"/>
    </row>
    <row r="139" spans="2:35">
      <c r="B139" s="253">
        <f t="shared" si="9"/>
        <v>130</v>
      </c>
      <c r="C139" s="244"/>
      <c r="D139" s="661"/>
      <c r="E139" s="466"/>
      <c r="F139" s="615"/>
      <c r="G139" s="3271"/>
      <c r="H139" s="230"/>
      <c r="I139" s="230"/>
      <c r="J139" s="230"/>
      <c r="K139" s="230"/>
      <c r="L139" s="230"/>
      <c r="M139" s="228"/>
      <c r="N139" s="257"/>
      <c r="O139" s="228"/>
      <c r="P139" s="228"/>
      <c r="Q139" s="2552"/>
      <c r="R139" s="258"/>
      <c r="S139" s="2577"/>
      <c r="T139" s="2577"/>
      <c r="U139" s="254"/>
      <c r="V139" s="228"/>
      <c r="W139" s="2552"/>
      <c r="X139" s="256"/>
      <c r="Y139" s="248"/>
      <c r="Z139" s="248"/>
      <c r="AA139" s="248"/>
      <c r="AB139" s="247"/>
      <c r="AC139" s="248"/>
      <c r="AD139" s="248"/>
      <c r="AE139" s="194"/>
      <c r="AF139" s="249"/>
      <c r="AG139" s="250"/>
      <c r="AH139" s="251"/>
      <c r="AI139" s="252"/>
    </row>
    <row r="140" spans="2:35">
      <c r="B140" s="253">
        <f t="shared" si="9"/>
        <v>131</v>
      </c>
      <c r="C140" s="244"/>
      <c r="D140" s="661"/>
      <c r="E140" s="466"/>
      <c r="F140" s="615"/>
      <c r="G140" s="3271"/>
      <c r="H140" s="230"/>
      <c r="I140" s="230"/>
      <c r="J140" s="230"/>
      <c r="K140" s="230"/>
      <c r="L140" s="230"/>
      <c r="M140" s="228"/>
      <c r="N140" s="257"/>
      <c r="O140" s="228"/>
      <c r="P140" s="228"/>
      <c r="Q140" s="2552"/>
      <c r="R140" s="258"/>
      <c r="S140" s="2577"/>
      <c r="T140" s="2577"/>
      <c r="U140" s="254"/>
      <c r="V140" s="228"/>
      <c r="W140" s="2552"/>
      <c r="X140" s="256"/>
      <c r="Y140" s="248"/>
      <c r="Z140" s="248"/>
      <c r="AA140" s="248"/>
      <c r="AB140" s="247"/>
      <c r="AC140" s="248"/>
      <c r="AD140" s="248"/>
      <c r="AE140" s="194"/>
      <c r="AF140" s="249"/>
      <c r="AG140" s="250"/>
      <c r="AH140" s="251"/>
      <c r="AI140" s="252"/>
    </row>
    <row r="141" spans="2:35">
      <c r="B141" s="253">
        <f t="shared" si="9"/>
        <v>132</v>
      </c>
      <c r="C141" s="244"/>
      <c r="D141" s="661"/>
      <c r="E141" s="466"/>
      <c r="F141" s="615"/>
      <c r="G141" s="3271"/>
      <c r="H141" s="230"/>
      <c r="I141" s="230"/>
      <c r="J141" s="230"/>
      <c r="K141" s="230"/>
      <c r="L141" s="230"/>
      <c r="M141" s="228"/>
      <c r="N141" s="257"/>
      <c r="O141" s="228"/>
      <c r="P141" s="228"/>
      <c r="Q141" s="2552"/>
      <c r="R141" s="258"/>
      <c r="S141" s="2577"/>
      <c r="T141" s="2577"/>
      <c r="U141" s="254"/>
      <c r="V141" s="228"/>
      <c r="W141" s="2552"/>
      <c r="X141" s="256"/>
      <c r="Y141" s="248"/>
      <c r="Z141" s="248"/>
      <c r="AA141" s="248"/>
      <c r="AB141" s="247"/>
      <c r="AC141" s="248"/>
      <c r="AD141" s="248"/>
      <c r="AE141" s="194"/>
      <c r="AF141" s="249"/>
      <c r="AG141" s="250"/>
      <c r="AH141" s="251"/>
      <c r="AI141" s="252"/>
    </row>
    <row r="142" spans="2:35">
      <c r="B142" s="253">
        <f t="shared" si="9"/>
        <v>133</v>
      </c>
      <c r="C142" s="244"/>
      <c r="D142" s="661"/>
      <c r="E142" s="466"/>
      <c r="F142" s="615"/>
      <c r="G142" s="3271"/>
      <c r="H142" s="230"/>
      <c r="I142" s="230"/>
      <c r="J142" s="230"/>
      <c r="K142" s="230"/>
      <c r="L142" s="230"/>
      <c r="M142" s="228"/>
      <c r="N142" s="257"/>
      <c r="O142" s="228"/>
      <c r="P142" s="228"/>
      <c r="Q142" s="2552"/>
      <c r="R142" s="258"/>
      <c r="S142" s="2577"/>
      <c r="T142" s="2577"/>
      <c r="U142" s="254"/>
      <c r="V142" s="228"/>
      <c r="W142" s="2552"/>
      <c r="X142" s="256"/>
      <c r="Y142" s="248"/>
      <c r="Z142" s="248"/>
      <c r="AA142" s="248"/>
      <c r="AB142" s="247"/>
      <c r="AC142" s="248"/>
      <c r="AD142" s="248"/>
      <c r="AE142" s="194"/>
      <c r="AF142" s="249"/>
      <c r="AG142" s="250"/>
      <c r="AH142" s="251"/>
      <c r="AI142" s="252"/>
    </row>
    <row r="143" spans="2:35">
      <c r="B143" s="253">
        <f t="shared" si="9"/>
        <v>134</v>
      </c>
      <c r="C143" s="244"/>
      <c r="D143" s="661"/>
      <c r="E143" s="466"/>
      <c r="F143" s="615"/>
      <c r="G143" s="3271"/>
      <c r="H143" s="230"/>
      <c r="I143" s="230"/>
      <c r="J143" s="230"/>
      <c r="K143" s="230"/>
      <c r="L143" s="230"/>
      <c r="M143" s="228"/>
      <c r="N143" s="257"/>
      <c r="O143" s="228"/>
      <c r="P143" s="228"/>
      <c r="Q143" s="2552"/>
      <c r="R143" s="258"/>
      <c r="S143" s="2577"/>
      <c r="T143" s="2577"/>
      <c r="U143" s="254"/>
      <c r="V143" s="228"/>
      <c r="W143" s="2552"/>
      <c r="X143" s="256"/>
      <c r="Y143" s="248"/>
      <c r="Z143" s="248"/>
      <c r="AA143" s="248"/>
      <c r="AB143" s="247"/>
      <c r="AC143" s="248"/>
      <c r="AD143" s="248"/>
      <c r="AE143" s="194"/>
      <c r="AF143" s="249"/>
      <c r="AG143" s="250"/>
      <c r="AH143" s="251"/>
      <c r="AI143" s="252"/>
    </row>
    <row r="144" spans="2:35">
      <c r="B144" s="253">
        <f t="shared" si="9"/>
        <v>135</v>
      </c>
      <c r="C144" s="244"/>
      <c r="D144" s="661"/>
      <c r="E144" s="466"/>
      <c r="F144" s="615"/>
      <c r="G144" s="3271"/>
      <c r="H144" s="230"/>
      <c r="I144" s="230"/>
      <c r="J144" s="230"/>
      <c r="K144" s="230"/>
      <c r="L144" s="230"/>
      <c r="M144" s="228"/>
      <c r="N144" s="257"/>
      <c r="O144" s="228"/>
      <c r="P144" s="228"/>
      <c r="Q144" s="2552"/>
      <c r="R144" s="258"/>
      <c r="S144" s="2577"/>
      <c r="T144" s="2577"/>
      <c r="U144" s="254"/>
      <c r="V144" s="228"/>
      <c r="W144" s="2552"/>
      <c r="X144" s="256"/>
      <c r="Y144" s="248"/>
      <c r="Z144" s="248"/>
      <c r="AA144" s="248"/>
      <c r="AB144" s="247"/>
      <c r="AC144" s="248"/>
      <c r="AD144" s="248"/>
      <c r="AE144" s="194"/>
      <c r="AF144" s="249"/>
      <c r="AG144" s="250"/>
      <c r="AH144" s="251"/>
      <c r="AI144" s="252"/>
    </row>
    <row r="145" spans="2:35">
      <c r="B145" s="253">
        <f t="shared" si="9"/>
        <v>136</v>
      </c>
      <c r="C145" s="244"/>
      <c r="D145" s="661"/>
      <c r="E145" s="466"/>
      <c r="F145" s="615"/>
      <c r="G145" s="3271"/>
      <c r="H145" s="230"/>
      <c r="I145" s="230"/>
      <c r="J145" s="230"/>
      <c r="K145" s="230"/>
      <c r="L145" s="230"/>
      <c r="M145" s="228"/>
      <c r="N145" s="257"/>
      <c r="O145" s="228"/>
      <c r="P145" s="228"/>
      <c r="Q145" s="2552"/>
      <c r="R145" s="258"/>
      <c r="S145" s="2577"/>
      <c r="T145" s="2577"/>
      <c r="U145" s="254"/>
      <c r="V145" s="228"/>
      <c r="W145" s="2552"/>
      <c r="X145" s="256"/>
      <c r="Y145" s="248"/>
      <c r="Z145" s="248"/>
      <c r="AA145" s="248"/>
      <c r="AB145" s="247"/>
      <c r="AC145" s="248"/>
      <c r="AD145" s="248"/>
      <c r="AE145" s="194"/>
      <c r="AF145" s="249"/>
      <c r="AG145" s="250"/>
      <c r="AH145" s="251"/>
      <c r="AI145" s="252"/>
    </row>
    <row r="146" spans="2:35">
      <c r="B146" s="253">
        <f t="shared" si="9"/>
        <v>137</v>
      </c>
      <c r="C146" s="244"/>
      <c r="D146" s="661"/>
      <c r="E146" s="466"/>
      <c r="F146" s="615"/>
      <c r="G146" s="3271"/>
      <c r="H146" s="230"/>
      <c r="I146" s="230"/>
      <c r="J146" s="230"/>
      <c r="K146" s="230"/>
      <c r="L146" s="230"/>
      <c r="M146" s="228"/>
      <c r="N146" s="257"/>
      <c r="O146" s="228"/>
      <c r="P146" s="228"/>
      <c r="Q146" s="2552"/>
      <c r="R146" s="258"/>
      <c r="S146" s="2577"/>
      <c r="T146" s="2577"/>
      <c r="U146" s="254"/>
      <c r="V146" s="228"/>
      <c r="W146" s="2552"/>
      <c r="X146" s="256"/>
      <c r="Y146" s="248"/>
      <c r="Z146" s="248"/>
      <c r="AA146" s="248"/>
      <c r="AB146" s="247"/>
      <c r="AC146" s="248"/>
      <c r="AD146" s="248"/>
      <c r="AE146" s="194"/>
      <c r="AF146" s="249"/>
      <c r="AG146" s="250"/>
      <c r="AH146" s="251"/>
      <c r="AI146" s="252"/>
    </row>
    <row r="147" spans="2:35">
      <c r="B147" s="253">
        <f t="shared" si="9"/>
        <v>138</v>
      </c>
      <c r="C147" s="244"/>
      <c r="D147" s="661"/>
      <c r="E147" s="466"/>
      <c r="F147" s="615"/>
      <c r="G147" s="3271"/>
      <c r="H147" s="230"/>
      <c r="I147" s="230"/>
      <c r="J147" s="230"/>
      <c r="K147" s="230"/>
      <c r="L147" s="230"/>
      <c r="M147" s="228"/>
      <c r="N147" s="257"/>
      <c r="O147" s="228"/>
      <c r="P147" s="228"/>
      <c r="Q147" s="2552"/>
      <c r="R147" s="258"/>
      <c r="S147" s="2577"/>
      <c r="T147" s="2577"/>
      <c r="U147" s="254"/>
      <c r="V147" s="228"/>
      <c r="W147" s="2552"/>
      <c r="X147" s="256"/>
      <c r="Y147" s="248"/>
      <c r="Z147" s="248"/>
      <c r="AA147" s="248"/>
      <c r="AB147" s="247"/>
      <c r="AC147" s="248"/>
      <c r="AD147" s="248"/>
      <c r="AE147" s="194"/>
      <c r="AF147" s="249"/>
      <c r="AG147" s="250"/>
      <c r="AH147" s="251"/>
      <c r="AI147" s="252"/>
    </row>
    <row r="148" spans="2:35">
      <c r="B148" s="253">
        <f t="shared" si="9"/>
        <v>139</v>
      </c>
      <c r="C148" s="244"/>
      <c r="D148" s="661"/>
      <c r="E148" s="466"/>
      <c r="F148" s="615"/>
      <c r="G148" s="3271"/>
      <c r="H148" s="230"/>
      <c r="I148" s="230"/>
      <c r="J148" s="230"/>
      <c r="K148" s="230"/>
      <c r="L148" s="230"/>
      <c r="M148" s="228"/>
      <c r="N148" s="257"/>
      <c r="O148" s="228"/>
      <c r="P148" s="228"/>
      <c r="Q148" s="2552"/>
      <c r="R148" s="258"/>
      <c r="S148" s="2577"/>
      <c r="T148" s="2577"/>
      <c r="U148" s="254"/>
      <c r="V148" s="228"/>
      <c r="W148" s="2552"/>
      <c r="X148" s="256"/>
      <c r="Y148" s="248"/>
      <c r="Z148" s="248"/>
      <c r="AA148" s="248"/>
      <c r="AB148" s="247"/>
      <c r="AC148" s="248"/>
      <c r="AD148" s="248"/>
      <c r="AE148" s="194"/>
      <c r="AF148" s="249"/>
      <c r="AG148" s="250"/>
      <c r="AH148" s="251"/>
      <c r="AI148" s="252"/>
    </row>
    <row r="149" spans="2:35">
      <c r="B149" s="253">
        <f t="shared" si="9"/>
        <v>140</v>
      </c>
      <c r="C149" s="244"/>
      <c r="D149" s="661"/>
      <c r="E149" s="466"/>
      <c r="F149" s="615"/>
      <c r="G149" s="3271"/>
      <c r="H149" s="230"/>
      <c r="I149" s="230"/>
      <c r="J149" s="230"/>
      <c r="K149" s="230"/>
      <c r="L149" s="230"/>
      <c r="M149" s="228"/>
      <c r="N149" s="257"/>
      <c r="O149" s="228"/>
      <c r="P149" s="228"/>
      <c r="Q149" s="2552"/>
      <c r="R149" s="258"/>
      <c r="S149" s="2577"/>
      <c r="T149" s="2577"/>
      <c r="U149" s="254"/>
      <c r="V149" s="228"/>
      <c r="W149" s="2552"/>
      <c r="X149" s="256"/>
      <c r="Y149" s="248"/>
      <c r="Z149" s="248"/>
      <c r="AA149" s="248"/>
      <c r="AB149" s="247"/>
      <c r="AC149" s="248"/>
      <c r="AD149" s="248"/>
      <c r="AE149" s="194"/>
      <c r="AF149" s="249"/>
      <c r="AG149" s="250"/>
      <c r="AH149" s="251"/>
      <c r="AI149" s="252"/>
    </row>
    <row r="150" spans="2:35">
      <c r="B150" s="253">
        <f t="shared" si="9"/>
        <v>141</v>
      </c>
      <c r="C150" s="244"/>
      <c r="D150" s="661"/>
      <c r="E150" s="466"/>
      <c r="F150" s="615"/>
      <c r="G150" s="3271"/>
      <c r="H150" s="230"/>
      <c r="I150" s="230"/>
      <c r="J150" s="230"/>
      <c r="K150" s="230"/>
      <c r="L150" s="230"/>
      <c r="M150" s="228"/>
      <c r="N150" s="257"/>
      <c r="O150" s="228"/>
      <c r="P150" s="228"/>
      <c r="Q150" s="2552"/>
      <c r="R150" s="258"/>
      <c r="S150" s="2577"/>
      <c r="T150" s="2577"/>
      <c r="U150" s="254"/>
      <c r="V150" s="228"/>
      <c r="W150" s="2552"/>
      <c r="X150" s="256"/>
      <c r="Y150" s="248"/>
      <c r="Z150" s="248"/>
      <c r="AA150" s="248"/>
      <c r="AB150" s="247"/>
      <c r="AC150" s="248"/>
      <c r="AD150" s="248"/>
      <c r="AE150" s="194"/>
      <c r="AF150" s="249"/>
      <c r="AG150" s="250"/>
      <c r="AH150" s="251"/>
      <c r="AI150" s="252"/>
    </row>
    <row r="151" spans="2:35">
      <c r="B151" s="253">
        <f t="shared" si="9"/>
        <v>142</v>
      </c>
      <c r="C151" s="244"/>
      <c r="D151" s="661"/>
      <c r="E151" s="466"/>
      <c r="F151" s="615"/>
      <c r="G151" s="3271"/>
      <c r="H151" s="230"/>
      <c r="I151" s="230"/>
      <c r="J151" s="230"/>
      <c r="K151" s="230"/>
      <c r="L151" s="230"/>
      <c r="M151" s="228"/>
      <c r="N151" s="257"/>
      <c r="O151" s="228"/>
      <c r="P151" s="228"/>
      <c r="Q151" s="2552"/>
      <c r="R151" s="258"/>
      <c r="S151" s="2577"/>
      <c r="T151" s="2577"/>
      <c r="U151" s="254"/>
      <c r="V151" s="228"/>
      <c r="W151" s="2552"/>
      <c r="X151" s="256"/>
      <c r="Y151" s="248"/>
      <c r="Z151" s="248"/>
      <c r="AA151" s="248"/>
      <c r="AB151" s="247"/>
      <c r="AC151" s="248"/>
      <c r="AD151" s="248"/>
      <c r="AE151" s="194"/>
      <c r="AF151" s="249"/>
      <c r="AG151" s="250"/>
      <c r="AH151" s="251"/>
      <c r="AI151" s="252"/>
    </row>
    <row r="152" spans="2:35">
      <c r="B152" s="253">
        <f t="shared" si="9"/>
        <v>143</v>
      </c>
      <c r="C152" s="244"/>
      <c r="D152" s="661"/>
      <c r="E152" s="466"/>
      <c r="F152" s="615"/>
      <c r="G152" s="3271"/>
      <c r="H152" s="230"/>
      <c r="I152" s="230"/>
      <c r="J152" s="230"/>
      <c r="K152" s="230"/>
      <c r="L152" s="230"/>
      <c r="M152" s="228"/>
      <c r="N152" s="257"/>
      <c r="O152" s="228"/>
      <c r="P152" s="228"/>
      <c r="Q152" s="2552"/>
      <c r="R152" s="258"/>
      <c r="S152" s="2577"/>
      <c r="T152" s="2577"/>
      <c r="U152" s="254"/>
      <c r="V152" s="228"/>
      <c r="W152" s="2552"/>
      <c r="X152" s="256"/>
      <c r="Y152" s="248"/>
      <c r="Z152" s="248"/>
      <c r="AA152" s="248"/>
      <c r="AB152" s="247"/>
      <c r="AC152" s="248"/>
      <c r="AD152" s="248"/>
      <c r="AE152" s="194"/>
      <c r="AF152" s="249"/>
      <c r="AG152" s="250"/>
      <c r="AH152" s="251"/>
      <c r="AI152" s="252"/>
    </row>
    <row r="153" spans="2:35">
      <c r="B153" s="253">
        <f t="shared" si="9"/>
        <v>144</v>
      </c>
      <c r="C153" s="244"/>
      <c r="D153" s="661"/>
      <c r="E153" s="466"/>
      <c r="F153" s="615"/>
      <c r="G153" s="3271"/>
      <c r="H153" s="230"/>
      <c r="I153" s="230"/>
      <c r="J153" s="230"/>
      <c r="K153" s="230"/>
      <c r="L153" s="230"/>
      <c r="M153" s="228"/>
      <c r="N153" s="257"/>
      <c r="O153" s="228"/>
      <c r="P153" s="228"/>
      <c r="Q153" s="2552"/>
      <c r="R153" s="258"/>
      <c r="S153" s="2577"/>
      <c r="T153" s="2577"/>
      <c r="U153" s="254"/>
      <c r="V153" s="228"/>
      <c r="W153" s="2552"/>
      <c r="X153" s="256"/>
      <c r="Y153" s="248"/>
      <c r="Z153" s="248"/>
      <c r="AA153" s="248"/>
      <c r="AB153" s="247"/>
      <c r="AC153" s="248"/>
      <c r="AD153" s="248"/>
      <c r="AE153" s="194"/>
      <c r="AF153" s="249"/>
      <c r="AG153" s="250"/>
      <c r="AH153" s="251"/>
      <c r="AI153" s="252"/>
    </row>
    <row r="154" spans="2:35">
      <c r="B154" s="253">
        <f t="shared" si="9"/>
        <v>145</v>
      </c>
      <c r="C154" s="244"/>
      <c r="D154" s="661"/>
      <c r="E154" s="466"/>
      <c r="F154" s="615"/>
      <c r="G154" s="3271"/>
      <c r="H154" s="230"/>
      <c r="I154" s="230"/>
      <c r="J154" s="230"/>
      <c r="K154" s="230"/>
      <c r="L154" s="230"/>
      <c r="M154" s="228"/>
      <c r="N154" s="257"/>
      <c r="O154" s="228"/>
      <c r="P154" s="228"/>
      <c r="Q154" s="2552"/>
      <c r="R154" s="258"/>
      <c r="S154" s="2577"/>
      <c r="T154" s="2577"/>
      <c r="U154" s="254"/>
      <c r="V154" s="228"/>
      <c r="W154" s="2552"/>
      <c r="X154" s="256"/>
      <c r="Y154" s="248"/>
      <c r="Z154" s="248"/>
      <c r="AA154" s="248"/>
      <c r="AB154" s="247"/>
      <c r="AC154" s="248"/>
      <c r="AD154" s="248"/>
      <c r="AE154" s="194"/>
      <c r="AF154" s="249"/>
      <c r="AG154" s="250"/>
      <c r="AH154" s="251"/>
      <c r="AI154" s="252"/>
    </row>
    <row r="155" spans="2:35">
      <c r="B155" s="253">
        <f t="shared" si="9"/>
        <v>146</v>
      </c>
      <c r="C155" s="244"/>
      <c r="D155" s="661"/>
      <c r="E155" s="466"/>
      <c r="F155" s="615"/>
      <c r="G155" s="3271"/>
      <c r="H155" s="230"/>
      <c r="I155" s="230"/>
      <c r="J155" s="230"/>
      <c r="K155" s="230"/>
      <c r="L155" s="230"/>
      <c r="M155" s="228"/>
      <c r="N155" s="257"/>
      <c r="O155" s="228"/>
      <c r="P155" s="228"/>
      <c r="Q155" s="2552"/>
      <c r="R155" s="258"/>
      <c r="S155" s="2577"/>
      <c r="T155" s="2577"/>
      <c r="U155" s="254"/>
      <c r="V155" s="228"/>
      <c r="W155" s="2552"/>
      <c r="X155" s="256"/>
      <c r="Y155" s="248"/>
      <c r="Z155" s="248"/>
      <c r="AA155" s="248"/>
      <c r="AB155" s="247"/>
      <c r="AC155" s="248"/>
      <c r="AD155" s="248"/>
      <c r="AE155" s="194"/>
      <c r="AF155" s="249"/>
      <c r="AG155" s="250"/>
      <c r="AH155" s="251"/>
      <c r="AI155" s="252"/>
    </row>
    <row r="156" spans="2:35">
      <c r="B156" s="253">
        <f t="shared" si="9"/>
        <v>147</v>
      </c>
      <c r="C156" s="244"/>
      <c r="D156" s="661"/>
      <c r="E156" s="466"/>
      <c r="F156" s="615"/>
      <c r="G156" s="3271"/>
      <c r="H156" s="230"/>
      <c r="I156" s="230"/>
      <c r="J156" s="230"/>
      <c r="K156" s="230"/>
      <c r="L156" s="230"/>
      <c r="M156" s="228"/>
      <c r="N156" s="257"/>
      <c r="O156" s="228"/>
      <c r="P156" s="228"/>
      <c r="Q156" s="2552"/>
      <c r="R156" s="258"/>
      <c r="S156" s="2577"/>
      <c r="T156" s="2577"/>
      <c r="U156" s="254"/>
      <c r="V156" s="228"/>
      <c r="W156" s="2552"/>
      <c r="X156" s="256"/>
      <c r="Y156" s="248"/>
      <c r="Z156" s="248"/>
      <c r="AA156" s="248"/>
      <c r="AB156" s="247"/>
      <c r="AC156" s="248"/>
      <c r="AD156" s="248"/>
      <c r="AE156" s="194"/>
      <c r="AF156" s="249"/>
      <c r="AG156" s="250"/>
      <c r="AH156" s="251"/>
      <c r="AI156" s="252"/>
    </row>
    <row r="157" spans="2:35">
      <c r="B157" s="253">
        <f t="shared" si="9"/>
        <v>148</v>
      </c>
      <c r="C157" s="244"/>
      <c r="D157" s="661"/>
      <c r="E157" s="466"/>
      <c r="F157" s="615"/>
      <c r="G157" s="3271"/>
      <c r="H157" s="230"/>
      <c r="I157" s="230"/>
      <c r="J157" s="230"/>
      <c r="K157" s="230"/>
      <c r="L157" s="230"/>
      <c r="M157" s="228"/>
      <c r="N157" s="257"/>
      <c r="O157" s="228"/>
      <c r="P157" s="228"/>
      <c r="Q157" s="2552"/>
      <c r="R157" s="258"/>
      <c r="S157" s="2577"/>
      <c r="T157" s="2577"/>
      <c r="U157" s="254"/>
      <c r="V157" s="228"/>
      <c r="W157" s="2552"/>
      <c r="X157" s="256"/>
      <c r="Y157" s="248"/>
      <c r="Z157" s="248"/>
      <c r="AA157" s="248"/>
      <c r="AB157" s="247"/>
      <c r="AC157" s="248"/>
      <c r="AD157" s="248"/>
      <c r="AE157" s="194"/>
      <c r="AF157" s="249"/>
      <c r="AG157" s="250"/>
      <c r="AH157" s="251"/>
      <c r="AI157" s="252"/>
    </row>
    <row r="158" spans="2:35">
      <c r="B158" s="253">
        <f t="shared" si="9"/>
        <v>149</v>
      </c>
      <c r="C158" s="244"/>
      <c r="D158" s="661"/>
      <c r="E158" s="466"/>
      <c r="F158" s="615"/>
      <c r="G158" s="3271"/>
      <c r="H158" s="230"/>
      <c r="I158" s="230"/>
      <c r="J158" s="230"/>
      <c r="K158" s="230"/>
      <c r="L158" s="230"/>
      <c r="M158" s="228"/>
      <c r="N158" s="257"/>
      <c r="O158" s="228"/>
      <c r="P158" s="228"/>
      <c r="Q158" s="2552"/>
      <c r="R158" s="258"/>
      <c r="S158" s="2577"/>
      <c r="T158" s="2577"/>
      <c r="U158" s="254"/>
      <c r="V158" s="228"/>
      <c r="W158" s="2552"/>
      <c r="X158" s="256"/>
      <c r="Y158" s="248"/>
      <c r="Z158" s="248"/>
      <c r="AA158" s="248"/>
      <c r="AB158" s="247"/>
      <c r="AC158" s="248"/>
      <c r="AD158" s="248"/>
      <c r="AE158" s="194"/>
      <c r="AF158" s="249"/>
      <c r="AG158" s="250"/>
      <c r="AH158" s="251"/>
      <c r="AI158" s="252"/>
    </row>
    <row r="159" spans="2:35">
      <c r="B159" s="253">
        <f t="shared" si="9"/>
        <v>150</v>
      </c>
      <c r="C159" s="244"/>
      <c r="D159" s="661"/>
      <c r="E159" s="466"/>
      <c r="F159" s="615"/>
      <c r="G159" s="3271"/>
      <c r="H159" s="230"/>
      <c r="I159" s="230"/>
      <c r="J159" s="230"/>
      <c r="K159" s="230"/>
      <c r="L159" s="230"/>
      <c r="M159" s="228"/>
      <c r="N159" s="257"/>
      <c r="O159" s="228"/>
      <c r="P159" s="228"/>
      <c r="Q159" s="2552"/>
      <c r="R159" s="258"/>
      <c r="S159" s="2577"/>
      <c r="T159" s="2577"/>
      <c r="U159" s="254"/>
      <c r="V159" s="228"/>
      <c r="W159" s="2552"/>
      <c r="X159" s="256"/>
      <c r="Y159" s="248"/>
      <c r="Z159" s="248"/>
      <c r="AA159" s="248"/>
      <c r="AB159" s="247"/>
      <c r="AC159" s="248"/>
      <c r="AD159" s="248"/>
      <c r="AE159" s="194"/>
      <c r="AF159" s="249"/>
      <c r="AG159" s="250"/>
      <c r="AH159" s="251"/>
      <c r="AI159" s="252"/>
    </row>
    <row r="160" spans="2:35">
      <c r="B160" s="253">
        <f t="shared" si="9"/>
        <v>151</v>
      </c>
      <c r="C160" s="244"/>
      <c r="D160" s="661"/>
      <c r="E160" s="466"/>
      <c r="F160" s="615"/>
      <c r="G160" s="3271"/>
      <c r="H160" s="230"/>
      <c r="I160" s="230"/>
      <c r="J160" s="230"/>
      <c r="K160" s="230"/>
      <c r="L160" s="230"/>
      <c r="M160" s="228"/>
      <c r="N160" s="257"/>
      <c r="O160" s="228"/>
      <c r="P160" s="228"/>
      <c r="Q160" s="2552"/>
      <c r="R160" s="258"/>
      <c r="S160" s="2577"/>
      <c r="T160" s="2577"/>
      <c r="U160" s="254"/>
      <c r="V160" s="228"/>
      <c r="W160" s="2552"/>
      <c r="X160" s="256"/>
      <c r="Y160" s="248"/>
      <c r="Z160" s="248"/>
      <c r="AA160" s="248"/>
      <c r="AB160" s="247"/>
      <c r="AC160" s="248"/>
      <c r="AD160" s="248"/>
      <c r="AE160" s="194"/>
      <c r="AF160" s="249"/>
      <c r="AG160" s="250"/>
      <c r="AH160" s="251"/>
      <c r="AI160" s="252"/>
    </row>
    <row r="161" spans="2:35">
      <c r="B161" s="253">
        <f t="shared" si="9"/>
        <v>152</v>
      </c>
      <c r="C161" s="244"/>
      <c r="D161" s="661"/>
      <c r="E161" s="466"/>
      <c r="F161" s="615"/>
      <c r="G161" s="3271"/>
      <c r="H161" s="230"/>
      <c r="I161" s="230"/>
      <c r="J161" s="230"/>
      <c r="K161" s="230"/>
      <c r="L161" s="230"/>
      <c r="M161" s="228"/>
      <c r="N161" s="257"/>
      <c r="O161" s="228"/>
      <c r="P161" s="228"/>
      <c r="Q161" s="2552"/>
      <c r="R161" s="258"/>
      <c r="S161" s="2577"/>
      <c r="T161" s="2577"/>
      <c r="U161" s="254"/>
      <c r="V161" s="228"/>
      <c r="W161" s="2552"/>
      <c r="X161" s="256"/>
      <c r="Y161" s="248"/>
      <c r="Z161" s="248"/>
      <c r="AA161" s="248"/>
      <c r="AB161" s="247"/>
      <c r="AC161" s="248"/>
      <c r="AD161" s="248"/>
      <c r="AE161" s="194"/>
      <c r="AF161" s="249"/>
      <c r="AG161" s="250"/>
      <c r="AH161" s="251"/>
      <c r="AI161" s="252"/>
    </row>
    <row r="162" spans="2:35">
      <c r="B162" s="253">
        <f t="shared" si="9"/>
        <v>153</v>
      </c>
      <c r="C162" s="244"/>
      <c r="D162" s="661"/>
      <c r="E162" s="466"/>
      <c r="F162" s="615"/>
      <c r="G162" s="3271"/>
      <c r="H162" s="230"/>
      <c r="I162" s="230"/>
      <c r="J162" s="230"/>
      <c r="K162" s="230"/>
      <c r="L162" s="230"/>
      <c r="M162" s="228"/>
      <c r="N162" s="257"/>
      <c r="O162" s="228"/>
      <c r="P162" s="228"/>
      <c r="Q162" s="2552"/>
      <c r="R162" s="258"/>
      <c r="S162" s="2577"/>
      <c r="T162" s="2577"/>
      <c r="U162" s="254"/>
      <c r="V162" s="228"/>
      <c r="W162" s="2552"/>
      <c r="X162" s="256"/>
      <c r="Y162" s="248"/>
      <c r="Z162" s="248"/>
      <c r="AA162" s="248"/>
      <c r="AB162" s="247"/>
      <c r="AC162" s="248"/>
      <c r="AD162" s="248"/>
      <c r="AE162" s="194"/>
      <c r="AF162" s="249"/>
      <c r="AG162" s="250"/>
      <c r="AH162" s="251"/>
      <c r="AI162" s="252"/>
    </row>
    <row r="163" spans="2:35">
      <c r="B163" s="253">
        <f t="shared" si="9"/>
        <v>154</v>
      </c>
      <c r="C163" s="244"/>
      <c r="D163" s="661"/>
      <c r="E163" s="466"/>
      <c r="F163" s="615"/>
      <c r="G163" s="3271"/>
      <c r="H163" s="230"/>
      <c r="I163" s="230"/>
      <c r="J163" s="230"/>
      <c r="K163" s="230"/>
      <c r="L163" s="230"/>
      <c r="M163" s="228"/>
      <c r="N163" s="257"/>
      <c r="O163" s="228"/>
      <c r="P163" s="228"/>
      <c r="Q163" s="2552"/>
      <c r="R163" s="258"/>
      <c r="S163" s="2577"/>
      <c r="T163" s="2577"/>
      <c r="U163" s="254"/>
      <c r="V163" s="228"/>
      <c r="W163" s="2552"/>
      <c r="X163" s="256"/>
      <c r="Y163" s="248"/>
      <c r="Z163" s="248"/>
      <c r="AA163" s="248"/>
      <c r="AB163" s="247"/>
      <c r="AC163" s="248"/>
      <c r="AD163" s="248"/>
      <c r="AE163" s="194"/>
      <c r="AF163" s="249"/>
      <c r="AG163" s="250"/>
      <c r="AH163" s="251"/>
      <c r="AI163" s="252"/>
    </row>
    <row r="164" spans="2:35">
      <c r="B164" s="253">
        <f t="shared" si="9"/>
        <v>155</v>
      </c>
      <c r="C164" s="244"/>
      <c r="D164" s="661"/>
      <c r="E164" s="466"/>
      <c r="F164" s="615"/>
      <c r="G164" s="3271"/>
      <c r="H164" s="230"/>
      <c r="I164" s="230"/>
      <c r="J164" s="230"/>
      <c r="K164" s="230"/>
      <c r="L164" s="230"/>
      <c r="M164" s="228"/>
      <c r="N164" s="257"/>
      <c r="O164" s="228"/>
      <c r="P164" s="228"/>
      <c r="Q164" s="2552"/>
      <c r="R164" s="258"/>
      <c r="S164" s="2577"/>
      <c r="T164" s="2577"/>
      <c r="U164" s="254"/>
      <c r="V164" s="228"/>
      <c r="W164" s="2552"/>
      <c r="X164" s="256"/>
      <c r="Y164" s="248"/>
      <c r="Z164" s="248"/>
      <c r="AA164" s="248"/>
      <c r="AB164" s="247"/>
      <c r="AC164" s="248"/>
      <c r="AD164" s="248"/>
      <c r="AE164" s="194"/>
      <c r="AF164" s="249"/>
      <c r="AG164" s="250"/>
      <c r="AH164" s="251"/>
      <c r="AI164" s="252"/>
    </row>
    <row r="165" spans="2:35">
      <c r="B165" s="253">
        <f t="shared" si="9"/>
        <v>156</v>
      </c>
      <c r="C165" s="244"/>
      <c r="D165" s="661"/>
      <c r="E165" s="466"/>
      <c r="F165" s="615"/>
      <c r="G165" s="3271"/>
      <c r="H165" s="230"/>
      <c r="I165" s="230"/>
      <c r="J165" s="230"/>
      <c r="K165" s="230"/>
      <c r="L165" s="230"/>
      <c r="M165" s="228"/>
      <c r="N165" s="257"/>
      <c r="O165" s="228"/>
      <c r="P165" s="228"/>
      <c r="Q165" s="2552"/>
      <c r="R165" s="258"/>
      <c r="S165" s="2577"/>
      <c r="T165" s="2577"/>
      <c r="U165" s="254"/>
      <c r="V165" s="228"/>
      <c r="W165" s="2552"/>
      <c r="X165" s="256"/>
      <c r="Y165" s="248"/>
      <c r="Z165" s="248"/>
      <c r="AA165" s="248"/>
      <c r="AB165" s="247"/>
      <c r="AC165" s="248"/>
      <c r="AD165" s="248"/>
      <c r="AE165" s="194"/>
      <c r="AF165" s="249"/>
      <c r="AG165" s="250"/>
      <c r="AH165" s="251"/>
      <c r="AI165" s="252"/>
    </row>
    <row r="166" spans="2:35">
      <c r="B166" s="253">
        <f t="shared" si="9"/>
        <v>157</v>
      </c>
      <c r="C166" s="244"/>
      <c r="D166" s="661"/>
      <c r="E166" s="466"/>
      <c r="F166" s="615"/>
      <c r="G166" s="3271"/>
      <c r="H166" s="230"/>
      <c r="I166" s="230"/>
      <c r="J166" s="230"/>
      <c r="K166" s="230"/>
      <c r="L166" s="230"/>
      <c r="M166" s="228"/>
      <c r="N166" s="257"/>
      <c r="O166" s="228"/>
      <c r="P166" s="228"/>
      <c r="Q166" s="2552"/>
      <c r="R166" s="258"/>
      <c r="S166" s="2577"/>
      <c r="T166" s="2577"/>
      <c r="U166" s="254"/>
      <c r="V166" s="228"/>
      <c r="W166" s="2552"/>
      <c r="X166" s="256"/>
      <c r="Y166" s="248"/>
      <c r="Z166" s="248"/>
      <c r="AA166" s="248"/>
      <c r="AB166" s="247"/>
      <c r="AC166" s="248"/>
      <c r="AD166" s="248"/>
      <c r="AE166" s="194"/>
      <c r="AF166" s="249"/>
      <c r="AG166" s="250"/>
      <c r="AH166" s="251"/>
      <c r="AI166" s="252"/>
    </row>
    <row r="167" spans="2:35">
      <c r="B167" s="253">
        <f t="shared" si="9"/>
        <v>158</v>
      </c>
      <c r="C167" s="244"/>
      <c r="D167" s="661"/>
      <c r="E167" s="466"/>
      <c r="F167" s="615"/>
      <c r="G167" s="3271"/>
      <c r="H167" s="230"/>
      <c r="I167" s="230"/>
      <c r="J167" s="230"/>
      <c r="K167" s="230"/>
      <c r="L167" s="230"/>
      <c r="M167" s="228"/>
      <c r="N167" s="257"/>
      <c r="O167" s="228"/>
      <c r="P167" s="228"/>
      <c r="Q167" s="2552"/>
      <c r="R167" s="258"/>
      <c r="S167" s="2577"/>
      <c r="T167" s="2577"/>
      <c r="U167" s="254"/>
      <c r="V167" s="228"/>
      <c r="W167" s="2552"/>
      <c r="X167" s="256"/>
      <c r="Y167" s="248"/>
      <c r="Z167" s="248"/>
      <c r="AA167" s="248"/>
      <c r="AB167" s="247"/>
      <c r="AC167" s="248"/>
      <c r="AD167" s="248"/>
      <c r="AE167" s="194"/>
      <c r="AF167" s="249"/>
      <c r="AG167" s="250"/>
      <c r="AH167" s="251"/>
      <c r="AI167" s="252"/>
    </row>
    <row r="168" spans="2:35">
      <c r="B168" s="253">
        <f t="shared" si="9"/>
        <v>159</v>
      </c>
      <c r="C168" s="244"/>
      <c r="D168" s="661"/>
      <c r="E168" s="466"/>
      <c r="F168" s="615"/>
      <c r="G168" s="3271"/>
      <c r="H168" s="230"/>
      <c r="I168" s="230"/>
      <c r="J168" s="230"/>
      <c r="K168" s="230"/>
      <c r="L168" s="230"/>
      <c r="M168" s="228"/>
      <c r="N168" s="257"/>
      <c r="O168" s="228"/>
      <c r="P168" s="228"/>
      <c r="Q168" s="2552"/>
      <c r="R168" s="258"/>
      <c r="S168" s="2577"/>
      <c r="T168" s="2577"/>
      <c r="U168" s="254"/>
      <c r="V168" s="228"/>
      <c r="W168" s="2552"/>
      <c r="X168" s="256"/>
      <c r="Y168" s="248"/>
      <c r="Z168" s="248"/>
      <c r="AA168" s="248"/>
      <c r="AB168" s="247"/>
      <c r="AC168" s="248"/>
      <c r="AD168" s="248"/>
      <c r="AE168" s="194"/>
      <c r="AF168" s="249"/>
      <c r="AG168" s="250"/>
      <c r="AH168" s="251"/>
      <c r="AI168" s="252"/>
    </row>
    <row r="169" spans="2:35">
      <c r="B169" s="253">
        <f t="shared" si="9"/>
        <v>160</v>
      </c>
      <c r="C169" s="244"/>
      <c r="D169" s="661"/>
      <c r="E169" s="466"/>
      <c r="F169" s="615"/>
      <c r="G169" s="3271"/>
      <c r="H169" s="230"/>
      <c r="I169" s="230"/>
      <c r="J169" s="230"/>
      <c r="K169" s="230"/>
      <c r="L169" s="230"/>
      <c r="M169" s="228"/>
      <c r="N169" s="257"/>
      <c r="O169" s="228"/>
      <c r="P169" s="228"/>
      <c r="Q169" s="2552"/>
      <c r="R169" s="258"/>
      <c r="S169" s="2577"/>
      <c r="T169" s="2577"/>
      <c r="U169" s="254"/>
      <c r="V169" s="228"/>
      <c r="W169" s="2552"/>
      <c r="X169" s="256"/>
      <c r="Y169" s="248"/>
      <c r="Z169" s="248"/>
      <c r="AA169" s="248"/>
      <c r="AB169" s="247"/>
      <c r="AC169" s="248"/>
      <c r="AD169" s="248"/>
      <c r="AE169" s="194"/>
      <c r="AF169" s="249"/>
      <c r="AG169" s="250"/>
      <c r="AH169" s="251"/>
      <c r="AI169" s="252"/>
    </row>
    <row r="170" spans="2:35">
      <c r="B170" s="253">
        <f t="shared" si="9"/>
        <v>161</v>
      </c>
      <c r="C170" s="244"/>
      <c r="D170" s="661"/>
      <c r="E170" s="466"/>
      <c r="F170" s="615"/>
      <c r="G170" s="3271"/>
      <c r="H170" s="230"/>
      <c r="I170" s="230"/>
      <c r="J170" s="230"/>
      <c r="K170" s="230"/>
      <c r="L170" s="230"/>
      <c r="M170" s="228"/>
      <c r="N170" s="257"/>
      <c r="O170" s="228"/>
      <c r="P170" s="228"/>
      <c r="Q170" s="2552"/>
      <c r="R170" s="258"/>
      <c r="S170" s="2577"/>
      <c r="T170" s="2577"/>
      <c r="U170" s="254"/>
      <c r="V170" s="228"/>
      <c r="W170" s="2552"/>
      <c r="X170" s="256"/>
      <c r="Y170" s="248"/>
      <c r="Z170" s="248"/>
      <c r="AA170" s="248"/>
      <c r="AB170" s="247"/>
      <c r="AC170" s="248"/>
      <c r="AD170" s="248"/>
      <c r="AE170" s="194"/>
      <c r="AF170" s="249"/>
      <c r="AG170" s="250"/>
      <c r="AH170" s="251"/>
      <c r="AI170" s="252"/>
    </row>
    <row r="171" spans="2:35">
      <c r="B171" s="253">
        <f t="shared" si="9"/>
        <v>162</v>
      </c>
      <c r="C171" s="244"/>
      <c r="D171" s="661"/>
      <c r="E171" s="466"/>
      <c r="F171" s="615"/>
      <c r="G171" s="3271"/>
      <c r="H171" s="230"/>
      <c r="I171" s="230"/>
      <c r="J171" s="230"/>
      <c r="K171" s="230"/>
      <c r="L171" s="230"/>
      <c r="M171" s="228"/>
      <c r="N171" s="257"/>
      <c r="O171" s="228"/>
      <c r="P171" s="228"/>
      <c r="Q171" s="2552"/>
      <c r="R171" s="258"/>
      <c r="S171" s="2577"/>
      <c r="T171" s="2577"/>
      <c r="U171" s="254"/>
      <c r="V171" s="228"/>
      <c r="W171" s="2552"/>
      <c r="X171" s="256"/>
      <c r="Y171" s="248"/>
      <c r="Z171" s="248"/>
      <c r="AA171" s="248"/>
      <c r="AB171" s="247"/>
      <c r="AC171" s="248"/>
      <c r="AD171" s="248"/>
      <c r="AE171" s="194"/>
      <c r="AF171" s="249"/>
      <c r="AG171" s="250"/>
      <c r="AH171" s="251"/>
      <c r="AI171" s="252"/>
    </row>
    <row r="172" spans="2:35">
      <c r="B172" s="253">
        <f t="shared" si="9"/>
        <v>163</v>
      </c>
      <c r="C172" s="244"/>
      <c r="D172" s="661"/>
      <c r="E172" s="466"/>
      <c r="F172" s="615"/>
      <c r="G172" s="3271"/>
      <c r="H172" s="230"/>
      <c r="I172" s="230"/>
      <c r="J172" s="230"/>
      <c r="K172" s="230"/>
      <c r="L172" s="230"/>
      <c r="M172" s="228"/>
      <c r="N172" s="257"/>
      <c r="O172" s="228"/>
      <c r="P172" s="228"/>
      <c r="Q172" s="2552"/>
      <c r="R172" s="258"/>
      <c r="S172" s="2577"/>
      <c r="T172" s="2577"/>
      <c r="U172" s="254"/>
      <c r="V172" s="228"/>
      <c r="W172" s="2552"/>
      <c r="X172" s="256"/>
      <c r="Y172" s="248"/>
      <c r="Z172" s="248"/>
      <c r="AA172" s="248"/>
      <c r="AB172" s="247"/>
      <c r="AC172" s="248"/>
      <c r="AD172" s="248"/>
      <c r="AE172" s="194"/>
      <c r="AF172" s="249"/>
      <c r="AG172" s="250"/>
      <c r="AH172" s="251"/>
      <c r="AI172" s="252"/>
    </row>
    <row r="173" spans="2:35">
      <c r="B173" s="253">
        <f t="shared" si="9"/>
        <v>164</v>
      </c>
      <c r="C173" s="244"/>
      <c r="D173" s="661"/>
      <c r="E173" s="466"/>
      <c r="F173" s="615"/>
      <c r="G173" s="3271"/>
      <c r="H173" s="230"/>
      <c r="I173" s="230"/>
      <c r="J173" s="230"/>
      <c r="K173" s="230"/>
      <c r="L173" s="230"/>
      <c r="M173" s="228"/>
      <c r="N173" s="257"/>
      <c r="O173" s="228"/>
      <c r="P173" s="228"/>
      <c r="Q173" s="2552"/>
      <c r="R173" s="258"/>
      <c r="S173" s="2577"/>
      <c r="T173" s="2577"/>
      <c r="U173" s="254"/>
      <c r="V173" s="228"/>
      <c r="W173" s="2552"/>
      <c r="X173" s="256"/>
      <c r="Y173" s="248"/>
      <c r="Z173" s="248"/>
      <c r="AA173" s="248"/>
      <c r="AB173" s="247"/>
      <c r="AC173" s="248"/>
      <c r="AD173" s="248"/>
      <c r="AE173" s="194"/>
      <c r="AF173" s="249"/>
      <c r="AG173" s="250"/>
      <c r="AH173" s="251"/>
      <c r="AI173" s="252"/>
    </row>
    <row r="174" spans="2:35">
      <c r="B174" s="253">
        <f t="shared" si="9"/>
        <v>165</v>
      </c>
      <c r="C174" s="244"/>
      <c r="D174" s="661"/>
      <c r="E174" s="466"/>
      <c r="F174" s="615"/>
      <c r="G174" s="3271"/>
      <c r="H174" s="230"/>
      <c r="I174" s="230"/>
      <c r="J174" s="230"/>
      <c r="K174" s="230"/>
      <c r="L174" s="230"/>
      <c r="M174" s="228"/>
      <c r="N174" s="257"/>
      <c r="O174" s="228"/>
      <c r="P174" s="228"/>
      <c r="Q174" s="2552"/>
      <c r="R174" s="258"/>
      <c r="S174" s="2577"/>
      <c r="T174" s="2577"/>
      <c r="U174" s="254"/>
      <c r="V174" s="228"/>
      <c r="W174" s="2552"/>
      <c r="X174" s="256"/>
      <c r="Y174" s="248"/>
      <c r="Z174" s="248"/>
      <c r="AA174" s="248"/>
      <c r="AB174" s="247"/>
      <c r="AC174" s="248"/>
      <c r="AD174" s="248"/>
      <c r="AE174" s="194"/>
      <c r="AF174" s="249"/>
      <c r="AG174" s="250"/>
      <c r="AH174" s="251"/>
      <c r="AI174" s="252"/>
    </row>
    <row r="175" spans="2:35">
      <c r="B175" s="253">
        <f t="shared" si="9"/>
        <v>166</v>
      </c>
      <c r="C175" s="244"/>
      <c r="D175" s="661"/>
      <c r="E175" s="466"/>
      <c r="F175" s="615"/>
      <c r="G175" s="3271"/>
      <c r="H175" s="230"/>
      <c r="I175" s="230"/>
      <c r="J175" s="230"/>
      <c r="K175" s="230"/>
      <c r="L175" s="230"/>
      <c r="M175" s="228"/>
      <c r="N175" s="257"/>
      <c r="O175" s="228"/>
      <c r="P175" s="228"/>
      <c r="Q175" s="2552"/>
      <c r="R175" s="258"/>
      <c r="S175" s="2577"/>
      <c r="T175" s="2577"/>
      <c r="U175" s="254"/>
      <c r="V175" s="228"/>
      <c r="W175" s="2552"/>
      <c r="X175" s="256"/>
      <c r="Y175" s="248"/>
      <c r="Z175" s="248"/>
      <c r="AA175" s="248"/>
      <c r="AB175" s="247"/>
      <c r="AC175" s="248"/>
      <c r="AD175" s="248"/>
      <c r="AE175" s="194"/>
      <c r="AF175" s="249"/>
      <c r="AG175" s="250"/>
      <c r="AH175" s="251"/>
      <c r="AI175" s="252"/>
    </row>
    <row r="176" spans="2:35">
      <c r="B176" s="253">
        <f t="shared" si="9"/>
        <v>167</v>
      </c>
      <c r="C176" s="244"/>
      <c r="D176" s="661"/>
      <c r="E176" s="466"/>
      <c r="F176" s="615"/>
      <c r="G176" s="3271"/>
      <c r="H176" s="230"/>
      <c r="I176" s="230"/>
      <c r="J176" s="230"/>
      <c r="K176" s="230"/>
      <c r="L176" s="230"/>
      <c r="M176" s="228"/>
      <c r="N176" s="257"/>
      <c r="O176" s="228"/>
      <c r="P176" s="228"/>
      <c r="Q176" s="2552"/>
      <c r="R176" s="258"/>
      <c r="S176" s="2577"/>
      <c r="T176" s="2577"/>
      <c r="U176" s="254"/>
      <c r="V176" s="228"/>
      <c r="W176" s="2552"/>
      <c r="X176" s="256"/>
      <c r="Y176" s="248"/>
      <c r="Z176" s="248"/>
      <c r="AA176" s="248"/>
      <c r="AB176" s="247"/>
      <c r="AC176" s="248"/>
      <c r="AD176" s="248"/>
      <c r="AE176" s="194"/>
      <c r="AF176" s="249"/>
      <c r="AG176" s="250"/>
      <c r="AH176" s="251"/>
      <c r="AI176" s="252"/>
    </row>
    <row r="177" spans="2:35">
      <c r="B177" s="253">
        <f t="shared" si="9"/>
        <v>168</v>
      </c>
      <c r="C177" s="244"/>
      <c r="D177" s="661"/>
      <c r="E177" s="466"/>
      <c r="F177" s="615"/>
      <c r="G177" s="3271"/>
      <c r="H177" s="230"/>
      <c r="I177" s="230"/>
      <c r="J177" s="230"/>
      <c r="K177" s="230"/>
      <c r="L177" s="230"/>
      <c r="M177" s="228"/>
      <c r="N177" s="257"/>
      <c r="O177" s="228"/>
      <c r="P177" s="228"/>
      <c r="Q177" s="2552"/>
      <c r="R177" s="258"/>
      <c r="S177" s="2577"/>
      <c r="T177" s="2577"/>
      <c r="U177" s="254"/>
      <c r="V177" s="228"/>
      <c r="W177" s="2552"/>
      <c r="X177" s="256"/>
      <c r="Y177" s="248"/>
      <c r="Z177" s="248"/>
      <c r="AA177" s="248"/>
      <c r="AB177" s="247"/>
      <c r="AC177" s="248"/>
      <c r="AD177" s="248"/>
      <c r="AE177" s="194"/>
      <c r="AF177" s="249"/>
      <c r="AG177" s="250"/>
      <c r="AH177" s="251"/>
      <c r="AI177" s="252"/>
    </row>
    <row r="178" spans="2:35">
      <c r="B178" s="253">
        <f t="shared" si="9"/>
        <v>169</v>
      </c>
      <c r="C178" s="244"/>
      <c r="D178" s="661"/>
      <c r="E178" s="466"/>
      <c r="F178" s="615"/>
      <c r="G178" s="3271"/>
      <c r="H178" s="230"/>
      <c r="I178" s="230"/>
      <c r="J178" s="230"/>
      <c r="K178" s="230"/>
      <c r="L178" s="230"/>
      <c r="M178" s="228"/>
      <c r="N178" s="257"/>
      <c r="O178" s="228"/>
      <c r="P178" s="228"/>
      <c r="Q178" s="2552"/>
      <c r="R178" s="258"/>
      <c r="S178" s="2577"/>
      <c r="T178" s="2577"/>
      <c r="U178" s="254"/>
      <c r="V178" s="228"/>
      <c r="W178" s="2552"/>
      <c r="X178" s="256"/>
      <c r="Y178" s="248"/>
      <c r="Z178" s="248"/>
      <c r="AA178" s="248"/>
      <c r="AB178" s="247"/>
      <c r="AC178" s="248"/>
      <c r="AD178" s="248"/>
      <c r="AE178" s="194"/>
      <c r="AF178" s="249"/>
      <c r="AG178" s="250"/>
      <c r="AH178" s="251"/>
      <c r="AI178" s="252"/>
    </row>
    <row r="179" spans="2:35">
      <c r="B179" s="253">
        <f t="shared" si="9"/>
        <v>170</v>
      </c>
      <c r="C179" s="244"/>
      <c r="D179" s="661"/>
      <c r="E179" s="466"/>
      <c r="F179" s="615"/>
      <c r="G179" s="3271"/>
      <c r="H179" s="230"/>
      <c r="I179" s="230"/>
      <c r="J179" s="230"/>
      <c r="K179" s="230"/>
      <c r="L179" s="230"/>
      <c r="M179" s="228"/>
      <c r="N179" s="257"/>
      <c r="O179" s="228"/>
      <c r="P179" s="228"/>
      <c r="Q179" s="2552"/>
      <c r="R179" s="258"/>
      <c r="S179" s="2577"/>
      <c r="T179" s="2577"/>
      <c r="U179" s="254"/>
      <c r="V179" s="228"/>
      <c r="W179" s="2552"/>
      <c r="X179" s="256"/>
      <c r="Y179" s="248"/>
      <c r="Z179" s="248"/>
      <c r="AA179" s="248"/>
      <c r="AB179" s="247"/>
      <c r="AC179" s="248"/>
      <c r="AD179" s="248"/>
      <c r="AE179" s="194"/>
      <c r="AF179" s="249"/>
      <c r="AG179" s="250"/>
      <c r="AH179" s="251"/>
      <c r="AI179" s="252"/>
    </row>
    <row r="180" spans="2:35">
      <c r="B180" s="253">
        <f t="shared" si="9"/>
        <v>171</v>
      </c>
      <c r="C180" s="244"/>
      <c r="D180" s="661"/>
      <c r="E180" s="466"/>
      <c r="F180" s="615"/>
      <c r="G180" s="3271"/>
      <c r="H180" s="230"/>
      <c r="I180" s="230"/>
      <c r="J180" s="230"/>
      <c r="K180" s="230"/>
      <c r="L180" s="230"/>
      <c r="M180" s="228"/>
      <c r="N180" s="257"/>
      <c r="O180" s="228"/>
      <c r="P180" s="228"/>
      <c r="Q180" s="2552"/>
      <c r="R180" s="258"/>
      <c r="S180" s="2577"/>
      <c r="T180" s="2577"/>
      <c r="U180" s="254"/>
      <c r="V180" s="228"/>
      <c r="W180" s="2552"/>
      <c r="X180" s="256"/>
      <c r="Y180" s="248"/>
      <c r="Z180" s="248"/>
      <c r="AA180" s="248"/>
      <c r="AB180" s="247"/>
      <c r="AC180" s="248"/>
      <c r="AD180" s="248"/>
      <c r="AE180" s="194"/>
      <c r="AF180" s="249"/>
      <c r="AG180" s="250"/>
      <c r="AH180" s="251"/>
      <c r="AI180" s="252"/>
    </row>
    <row r="181" spans="2:35">
      <c r="B181" s="253">
        <f t="shared" si="9"/>
        <v>172</v>
      </c>
      <c r="C181" s="244"/>
      <c r="D181" s="661"/>
      <c r="E181" s="466"/>
      <c r="F181" s="615"/>
      <c r="G181" s="3271"/>
      <c r="H181" s="230"/>
      <c r="I181" s="230"/>
      <c r="J181" s="230"/>
      <c r="K181" s="230"/>
      <c r="L181" s="230"/>
      <c r="M181" s="228"/>
      <c r="N181" s="257"/>
      <c r="O181" s="228"/>
      <c r="P181" s="228"/>
      <c r="Q181" s="2552"/>
      <c r="R181" s="258"/>
      <c r="S181" s="2577"/>
      <c r="T181" s="2577"/>
      <c r="U181" s="254"/>
      <c r="V181" s="228"/>
      <c r="W181" s="2552"/>
      <c r="X181" s="256"/>
      <c r="Y181" s="248"/>
      <c r="Z181" s="248"/>
      <c r="AA181" s="248"/>
      <c r="AB181" s="247"/>
      <c r="AC181" s="248"/>
      <c r="AD181" s="248"/>
      <c r="AE181" s="194"/>
      <c r="AF181" s="249"/>
      <c r="AG181" s="250"/>
      <c r="AH181" s="251"/>
      <c r="AI181" s="252"/>
    </row>
    <row r="182" spans="2:35">
      <c r="B182" s="253">
        <f t="shared" si="9"/>
        <v>173</v>
      </c>
      <c r="C182" s="244"/>
      <c r="D182" s="661"/>
      <c r="E182" s="466"/>
      <c r="F182" s="615"/>
      <c r="G182" s="3271"/>
      <c r="H182" s="230"/>
      <c r="I182" s="230"/>
      <c r="J182" s="230"/>
      <c r="K182" s="230"/>
      <c r="L182" s="230"/>
      <c r="M182" s="228"/>
      <c r="N182" s="257"/>
      <c r="O182" s="228"/>
      <c r="P182" s="228"/>
      <c r="Q182" s="2552"/>
      <c r="R182" s="258"/>
      <c r="S182" s="2577"/>
      <c r="T182" s="2577"/>
      <c r="U182" s="254"/>
      <c r="V182" s="228"/>
      <c r="W182" s="2552"/>
      <c r="X182" s="256"/>
      <c r="Y182" s="248"/>
      <c r="Z182" s="248"/>
      <c r="AA182" s="248"/>
      <c r="AB182" s="247"/>
      <c r="AC182" s="248"/>
      <c r="AD182" s="248"/>
      <c r="AE182" s="194"/>
      <c r="AF182" s="249"/>
      <c r="AG182" s="250"/>
      <c r="AH182" s="251"/>
      <c r="AI182" s="252"/>
    </row>
    <row r="183" spans="2:35">
      <c r="B183" s="253">
        <f t="shared" si="9"/>
        <v>174</v>
      </c>
      <c r="C183" s="244"/>
      <c r="D183" s="661"/>
      <c r="E183" s="466"/>
      <c r="F183" s="615"/>
      <c r="G183" s="3271"/>
      <c r="H183" s="230"/>
      <c r="I183" s="230"/>
      <c r="J183" s="230"/>
      <c r="K183" s="230"/>
      <c r="L183" s="230"/>
      <c r="M183" s="228"/>
      <c r="N183" s="257"/>
      <c r="O183" s="228"/>
      <c r="P183" s="228"/>
      <c r="Q183" s="2552"/>
      <c r="R183" s="258"/>
      <c r="S183" s="2577"/>
      <c r="T183" s="2577"/>
      <c r="U183" s="254"/>
      <c r="V183" s="228"/>
      <c r="W183" s="2552"/>
      <c r="X183" s="256"/>
      <c r="Y183" s="248"/>
      <c r="Z183" s="248"/>
      <c r="AA183" s="248"/>
      <c r="AB183" s="247"/>
      <c r="AC183" s="248"/>
      <c r="AD183" s="248"/>
      <c r="AE183" s="194"/>
      <c r="AF183" s="249"/>
      <c r="AG183" s="250"/>
      <c r="AH183" s="251"/>
      <c r="AI183" s="252"/>
    </row>
    <row r="184" spans="2:35">
      <c r="B184" s="253">
        <f t="shared" si="9"/>
        <v>175</v>
      </c>
      <c r="C184" s="244"/>
      <c r="D184" s="661"/>
      <c r="E184" s="466"/>
      <c r="F184" s="615"/>
      <c r="G184" s="3271"/>
      <c r="H184" s="230"/>
      <c r="I184" s="230"/>
      <c r="J184" s="230"/>
      <c r="K184" s="230"/>
      <c r="L184" s="230"/>
      <c r="M184" s="228"/>
      <c r="N184" s="257"/>
      <c r="O184" s="228"/>
      <c r="P184" s="228"/>
      <c r="Q184" s="2552"/>
      <c r="R184" s="258"/>
      <c r="S184" s="2577"/>
      <c r="T184" s="2577"/>
      <c r="U184" s="254"/>
      <c r="V184" s="228"/>
      <c r="W184" s="2552"/>
      <c r="X184" s="256"/>
      <c r="Y184" s="248"/>
      <c r="Z184" s="248"/>
      <c r="AA184" s="248"/>
      <c r="AB184" s="247"/>
      <c r="AC184" s="248"/>
      <c r="AD184" s="248"/>
      <c r="AE184" s="194"/>
      <c r="AF184" s="249"/>
      <c r="AG184" s="250"/>
      <c r="AH184" s="251"/>
      <c r="AI184" s="252"/>
    </row>
    <row r="185" spans="2:35">
      <c r="B185" s="253">
        <f t="shared" si="9"/>
        <v>176</v>
      </c>
      <c r="C185" s="244"/>
      <c r="D185" s="661"/>
      <c r="E185" s="466"/>
      <c r="F185" s="615"/>
      <c r="G185" s="3271"/>
      <c r="H185" s="230"/>
      <c r="I185" s="230"/>
      <c r="J185" s="230"/>
      <c r="K185" s="230"/>
      <c r="L185" s="230"/>
      <c r="M185" s="228"/>
      <c r="N185" s="257"/>
      <c r="O185" s="228"/>
      <c r="P185" s="228"/>
      <c r="Q185" s="2552"/>
      <c r="R185" s="258"/>
      <c r="S185" s="2577"/>
      <c r="T185" s="2577"/>
      <c r="U185" s="254"/>
      <c r="V185" s="228"/>
      <c r="W185" s="2552"/>
      <c r="X185" s="256"/>
      <c r="Y185" s="248"/>
      <c r="Z185" s="248"/>
      <c r="AA185" s="248"/>
      <c r="AB185" s="247"/>
      <c r="AC185" s="248"/>
      <c r="AD185" s="248"/>
      <c r="AE185" s="194"/>
      <c r="AF185" s="249"/>
      <c r="AG185" s="250"/>
      <c r="AH185" s="251"/>
      <c r="AI185" s="252"/>
    </row>
    <row r="186" spans="2:35">
      <c r="B186" s="253">
        <f t="shared" si="9"/>
        <v>177</v>
      </c>
      <c r="C186" s="244"/>
      <c r="D186" s="661"/>
      <c r="E186" s="466"/>
      <c r="F186" s="615"/>
      <c r="G186" s="3271"/>
      <c r="H186" s="230"/>
      <c r="I186" s="230"/>
      <c r="J186" s="230"/>
      <c r="K186" s="230"/>
      <c r="L186" s="230"/>
      <c r="M186" s="228"/>
      <c r="N186" s="257"/>
      <c r="O186" s="228"/>
      <c r="P186" s="228"/>
      <c r="Q186" s="2552"/>
      <c r="R186" s="258"/>
      <c r="S186" s="2577"/>
      <c r="T186" s="2577"/>
      <c r="U186" s="254"/>
      <c r="V186" s="228"/>
      <c r="W186" s="2552"/>
      <c r="X186" s="256"/>
      <c r="Y186" s="248"/>
      <c r="Z186" s="248"/>
      <c r="AA186" s="248"/>
      <c r="AB186" s="247"/>
      <c r="AC186" s="248"/>
      <c r="AD186" s="248"/>
      <c r="AE186" s="194"/>
      <c r="AF186" s="249"/>
      <c r="AG186" s="250"/>
      <c r="AH186" s="251"/>
      <c r="AI186" s="252"/>
    </row>
    <row r="187" spans="2:35">
      <c r="B187" s="253">
        <f t="shared" si="9"/>
        <v>178</v>
      </c>
      <c r="C187" s="244"/>
      <c r="D187" s="661"/>
      <c r="E187" s="466"/>
      <c r="F187" s="615"/>
      <c r="G187" s="3271"/>
      <c r="H187" s="230"/>
      <c r="I187" s="230"/>
      <c r="J187" s="230"/>
      <c r="K187" s="230"/>
      <c r="L187" s="230"/>
      <c r="M187" s="228"/>
      <c r="N187" s="257"/>
      <c r="O187" s="228"/>
      <c r="P187" s="228"/>
      <c r="Q187" s="2552"/>
      <c r="R187" s="258"/>
      <c r="S187" s="2577"/>
      <c r="T187" s="2577"/>
      <c r="U187" s="254"/>
      <c r="V187" s="228"/>
      <c r="W187" s="2552"/>
      <c r="X187" s="256"/>
      <c r="Y187" s="248"/>
      <c r="Z187" s="248"/>
      <c r="AA187" s="248"/>
      <c r="AB187" s="247"/>
      <c r="AC187" s="248"/>
      <c r="AD187" s="248"/>
      <c r="AE187" s="194"/>
      <c r="AF187" s="249"/>
      <c r="AG187" s="250"/>
      <c r="AH187" s="251"/>
      <c r="AI187" s="252"/>
    </row>
    <row r="188" spans="2:35">
      <c r="B188" s="253">
        <f t="shared" si="9"/>
        <v>179</v>
      </c>
      <c r="C188" s="244"/>
      <c r="D188" s="661"/>
      <c r="E188" s="466"/>
      <c r="F188" s="615"/>
      <c r="G188" s="3271"/>
      <c r="H188" s="230"/>
      <c r="I188" s="230"/>
      <c r="J188" s="230"/>
      <c r="K188" s="230"/>
      <c r="L188" s="230"/>
      <c r="M188" s="228"/>
      <c r="N188" s="257"/>
      <c r="O188" s="228"/>
      <c r="P188" s="228"/>
      <c r="Q188" s="2552"/>
      <c r="R188" s="258"/>
      <c r="S188" s="2577"/>
      <c r="T188" s="2577"/>
      <c r="U188" s="254"/>
      <c r="V188" s="228"/>
      <c r="W188" s="2552"/>
      <c r="X188" s="256"/>
      <c r="Y188" s="248"/>
      <c r="Z188" s="248"/>
      <c r="AA188" s="248"/>
      <c r="AB188" s="247"/>
      <c r="AC188" s="248"/>
      <c r="AD188" s="248"/>
      <c r="AE188" s="194"/>
      <c r="AF188" s="249"/>
      <c r="AG188" s="250"/>
      <c r="AH188" s="251"/>
      <c r="AI188" s="252"/>
    </row>
    <row r="189" spans="2:35">
      <c r="B189" s="253">
        <f t="shared" si="9"/>
        <v>180</v>
      </c>
      <c r="C189" s="244"/>
      <c r="D189" s="661"/>
      <c r="E189" s="466"/>
      <c r="F189" s="615"/>
      <c r="G189" s="3271"/>
      <c r="H189" s="230"/>
      <c r="I189" s="230"/>
      <c r="J189" s="230"/>
      <c r="K189" s="230"/>
      <c r="L189" s="230"/>
      <c r="M189" s="228"/>
      <c r="N189" s="257"/>
      <c r="O189" s="228"/>
      <c r="P189" s="228"/>
      <c r="Q189" s="2552"/>
      <c r="R189" s="258"/>
      <c r="S189" s="2577"/>
      <c r="T189" s="2577"/>
      <c r="U189" s="254"/>
      <c r="V189" s="228"/>
      <c r="W189" s="2552"/>
      <c r="X189" s="256"/>
      <c r="Y189" s="248"/>
      <c r="Z189" s="248"/>
      <c r="AA189" s="248"/>
      <c r="AB189" s="247"/>
      <c r="AC189" s="248"/>
      <c r="AD189" s="248"/>
      <c r="AE189" s="194"/>
      <c r="AF189" s="249"/>
      <c r="AG189" s="250"/>
      <c r="AH189" s="251"/>
      <c r="AI189" s="252"/>
    </row>
    <row r="190" spans="2:35">
      <c r="B190" s="253">
        <f t="shared" si="9"/>
        <v>181</v>
      </c>
      <c r="C190" s="244"/>
      <c r="D190" s="661"/>
      <c r="E190" s="466"/>
      <c r="F190" s="615"/>
      <c r="G190" s="3271"/>
      <c r="H190" s="230"/>
      <c r="I190" s="230"/>
      <c r="J190" s="230"/>
      <c r="K190" s="230"/>
      <c r="L190" s="230"/>
      <c r="M190" s="228"/>
      <c r="N190" s="257"/>
      <c r="O190" s="228"/>
      <c r="P190" s="228"/>
      <c r="Q190" s="2552"/>
      <c r="R190" s="258"/>
      <c r="S190" s="2577"/>
      <c r="T190" s="2577"/>
      <c r="U190" s="254"/>
      <c r="V190" s="228"/>
      <c r="W190" s="2552"/>
      <c r="X190" s="256"/>
      <c r="Y190" s="248"/>
      <c r="Z190" s="248"/>
      <c r="AA190" s="248"/>
      <c r="AB190" s="247"/>
      <c r="AC190" s="248"/>
      <c r="AD190" s="248"/>
      <c r="AE190" s="194"/>
      <c r="AF190" s="249"/>
      <c r="AG190" s="250"/>
      <c r="AH190" s="251"/>
      <c r="AI190" s="252"/>
    </row>
    <row r="191" spans="2:35">
      <c r="B191" s="253">
        <f t="shared" si="9"/>
        <v>182</v>
      </c>
      <c r="C191" s="244"/>
      <c r="D191" s="661"/>
      <c r="E191" s="466"/>
      <c r="F191" s="615"/>
      <c r="G191" s="3271"/>
      <c r="H191" s="230"/>
      <c r="I191" s="230"/>
      <c r="J191" s="230"/>
      <c r="K191" s="230"/>
      <c r="L191" s="230"/>
      <c r="M191" s="228"/>
      <c r="N191" s="257"/>
      <c r="O191" s="228"/>
      <c r="P191" s="228"/>
      <c r="Q191" s="2552"/>
      <c r="R191" s="258"/>
      <c r="S191" s="2577"/>
      <c r="T191" s="2577"/>
      <c r="U191" s="254"/>
      <c r="V191" s="228"/>
      <c r="W191" s="2552"/>
      <c r="X191" s="256"/>
      <c r="Y191" s="248"/>
      <c r="Z191" s="248"/>
      <c r="AA191" s="248"/>
      <c r="AB191" s="247"/>
      <c r="AC191" s="248"/>
      <c r="AD191" s="248"/>
      <c r="AE191" s="194"/>
      <c r="AF191" s="249"/>
      <c r="AG191" s="250"/>
      <c r="AH191" s="251"/>
      <c r="AI191" s="252"/>
    </row>
    <row r="192" spans="2:35">
      <c r="B192" s="253">
        <f t="shared" si="9"/>
        <v>183</v>
      </c>
      <c r="C192" s="244"/>
      <c r="D192" s="661"/>
      <c r="E192" s="466"/>
      <c r="F192" s="615"/>
      <c r="G192" s="3271"/>
      <c r="H192" s="230"/>
      <c r="I192" s="230"/>
      <c r="J192" s="230"/>
      <c r="K192" s="230"/>
      <c r="L192" s="230"/>
      <c r="M192" s="228"/>
      <c r="N192" s="257"/>
      <c r="O192" s="228"/>
      <c r="P192" s="228"/>
      <c r="Q192" s="2552"/>
      <c r="R192" s="258"/>
      <c r="S192" s="2577"/>
      <c r="T192" s="2577"/>
      <c r="U192" s="254"/>
      <c r="V192" s="228"/>
      <c r="W192" s="2552"/>
      <c r="X192" s="256"/>
      <c r="Y192" s="248"/>
      <c r="Z192" s="248"/>
      <c r="AA192" s="248"/>
      <c r="AB192" s="247"/>
      <c r="AC192" s="248"/>
      <c r="AD192" s="248"/>
      <c r="AE192" s="194"/>
      <c r="AF192" s="249"/>
      <c r="AG192" s="250"/>
      <c r="AH192" s="251"/>
      <c r="AI192" s="252"/>
    </row>
    <row r="193" spans="2:35">
      <c r="B193" s="253">
        <f t="shared" si="9"/>
        <v>184</v>
      </c>
      <c r="C193" s="244"/>
      <c r="D193" s="661"/>
      <c r="E193" s="466"/>
      <c r="F193" s="615"/>
      <c r="G193" s="3271"/>
      <c r="H193" s="230"/>
      <c r="I193" s="230"/>
      <c r="J193" s="230"/>
      <c r="K193" s="230"/>
      <c r="L193" s="230"/>
      <c r="M193" s="228"/>
      <c r="N193" s="257"/>
      <c r="O193" s="228"/>
      <c r="P193" s="228"/>
      <c r="Q193" s="2552"/>
      <c r="R193" s="258"/>
      <c r="S193" s="2577"/>
      <c r="T193" s="2577"/>
      <c r="U193" s="254"/>
      <c r="V193" s="228"/>
      <c r="W193" s="2552"/>
      <c r="X193" s="256"/>
      <c r="Y193" s="248"/>
      <c r="Z193" s="248"/>
      <c r="AA193" s="248"/>
      <c r="AB193" s="247"/>
      <c r="AC193" s="248"/>
      <c r="AD193" s="248"/>
      <c r="AE193" s="194"/>
      <c r="AF193" s="249"/>
      <c r="AG193" s="250"/>
      <c r="AH193" s="251"/>
      <c r="AI193" s="252"/>
    </row>
    <row r="194" spans="2:35">
      <c r="B194" s="253">
        <f t="shared" ref="B194:B257" si="10">+B193+1</f>
        <v>185</v>
      </c>
      <c r="C194" s="244"/>
      <c r="D194" s="661"/>
      <c r="E194" s="466"/>
      <c r="F194" s="615"/>
      <c r="G194" s="3271"/>
      <c r="H194" s="230"/>
      <c r="I194" s="230"/>
      <c r="J194" s="230"/>
      <c r="K194" s="230"/>
      <c r="L194" s="230"/>
      <c r="M194" s="228"/>
      <c r="N194" s="257"/>
      <c r="O194" s="228"/>
      <c r="P194" s="228"/>
      <c r="Q194" s="2552"/>
      <c r="R194" s="258"/>
      <c r="S194" s="2577"/>
      <c r="T194" s="2577"/>
      <c r="U194" s="254"/>
      <c r="V194" s="228"/>
      <c r="W194" s="2552"/>
      <c r="X194" s="256"/>
      <c r="Y194" s="248"/>
      <c r="Z194" s="248"/>
      <c r="AA194" s="248"/>
      <c r="AB194" s="247"/>
      <c r="AC194" s="248"/>
      <c r="AD194" s="248"/>
      <c r="AE194" s="194"/>
      <c r="AF194" s="249"/>
      <c r="AG194" s="250"/>
      <c r="AH194" s="251"/>
      <c r="AI194" s="252"/>
    </row>
    <row r="195" spans="2:35">
      <c r="B195" s="253">
        <f t="shared" si="10"/>
        <v>186</v>
      </c>
      <c r="C195" s="244"/>
      <c r="D195" s="661"/>
      <c r="E195" s="466"/>
      <c r="F195" s="615"/>
      <c r="G195" s="3271"/>
      <c r="H195" s="230"/>
      <c r="I195" s="230"/>
      <c r="J195" s="230"/>
      <c r="K195" s="230"/>
      <c r="L195" s="230"/>
      <c r="M195" s="228"/>
      <c r="N195" s="257"/>
      <c r="O195" s="228"/>
      <c r="P195" s="228"/>
      <c r="Q195" s="2552"/>
      <c r="R195" s="258"/>
      <c r="S195" s="2577"/>
      <c r="T195" s="2577"/>
      <c r="U195" s="254"/>
      <c r="V195" s="228"/>
      <c r="W195" s="2552"/>
      <c r="X195" s="256"/>
      <c r="Y195" s="248"/>
      <c r="Z195" s="248"/>
      <c r="AA195" s="248"/>
      <c r="AB195" s="247"/>
      <c r="AC195" s="248"/>
      <c r="AD195" s="248"/>
      <c r="AE195" s="194"/>
      <c r="AF195" s="249"/>
      <c r="AG195" s="250"/>
      <c r="AH195" s="251"/>
      <c r="AI195" s="252"/>
    </row>
    <row r="196" spans="2:35">
      <c r="B196" s="253">
        <f t="shared" si="10"/>
        <v>187</v>
      </c>
      <c r="C196" s="244"/>
      <c r="D196" s="661"/>
      <c r="E196" s="466"/>
      <c r="F196" s="615"/>
      <c r="G196" s="3271"/>
      <c r="H196" s="230"/>
      <c r="I196" s="230"/>
      <c r="J196" s="230"/>
      <c r="K196" s="230"/>
      <c r="L196" s="230"/>
      <c r="M196" s="228"/>
      <c r="N196" s="257"/>
      <c r="O196" s="228"/>
      <c r="P196" s="228"/>
      <c r="Q196" s="2552"/>
      <c r="R196" s="258"/>
      <c r="S196" s="2577"/>
      <c r="T196" s="2577"/>
      <c r="U196" s="254"/>
      <c r="V196" s="228"/>
      <c r="W196" s="2552"/>
      <c r="X196" s="256"/>
      <c r="Y196" s="248"/>
      <c r="Z196" s="248"/>
      <c r="AA196" s="248"/>
      <c r="AB196" s="247"/>
      <c r="AC196" s="248"/>
      <c r="AD196" s="248"/>
      <c r="AE196" s="194"/>
      <c r="AF196" s="249"/>
      <c r="AG196" s="250"/>
      <c r="AH196" s="251"/>
      <c r="AI196" s="252"/>
    </row>
    <row r="197" spans="2:35">
      <c r="B197" s="253">
        <f t="shared" si="10"/>
        <v>188</v>
      </c>
      <c r="C197" s="244"/>
      <c r="D197" s="661"/>
      <c r="E197" s="466"/>
      <c r="F197" s="615"/>
      <c r="G197" s="3271"/>
      <c r="H197" s="230"/>
      <c r="I197" s="230"/>
      <c r="J197" s="230"/>
      <c r="K197" s="230"/>
      <c r="L197" s="230"/>
      <c r="M197" s="228"/>
      <c r="N197" s="257"/>
      <c r="O197" s="228"/>
      <c r="P197" s="228"/>
      <c r="Q197" s="2552"/>
      <c r="R197" s="258"/>
      <c r="S197" s="2577"/>
      <c r="T197" s="2577"/>
      <c r="U197" s="254"/>
      <c r="V197" s="228"/>
      <c r="W197" s="2552"/>
      <c r="X197" s="256"/>
      <c r="Y197" s="248"/>
      <c r="Z197" s="248"/>
      <c r="AA197" s="248"/>
      <c r="AB197" s="247"/>
      <c r="AC197" s="248"/>
      <c r="AD197" s="248"/>
      <c r="AE197" s="194"/>
      <c r="AF197" s="249"/>
      <c r="AG197" s="250"/>
      <c r="AH197" s="251"/>
      <c r="AI197" s="252"/>
    </row>
    <row r="198" spans="2:35">
      <c r="B198" s="253">
        <f t="shared" si="10"/>
        <v>189</v>
      </c>
      <c r="C198" s="244"/>
      <c r="D198" s="661"/>
      <c r="E198" s="466"/>
      <c r="F198" s="615"/>
      <c r="G198" s="3271"/>
      <c r="H198" s="230"/>
      <c r="I198" s="230"/>
      <c r="J198" s="230"/>
      <c r="K198" s="230"/>
      <c r="L198" s="230"/>
      <c r="M198" s="228"/>
      <c r="N198" s="257"/>
      <c r="O198" s="228"/>
      <c r="P198" s="228"/>
      <c r="Q198" s="2552"/>
      <c r="R198" s="258"/>
      <c r="S198" s="2577"/>
      <c r="T198" s="2577"/>
      <c r="U198" s="254"/>
      <c r="V198" s="228"/>
      <c r="W198" s="2552"/>
      <c r="X198" s="256"/>
      <c r="Y198" s="248"/>
      <c r="Z198" s="248"/>
      <c r="AA198" s="248"/>
      <c r="AB198" s="247"/>
      <c r="AC198" s="248"/>
      <c r="AD198" s="248"/>
      <c r="AE198" s="194"/>
      <c r="AF198" s="249"/>
      <c r="AG198" s="250"/>
      <c r="AH198" s="251"/>
      <c r="AI198" s="252"/>
    </row>
    <row r="199" spans="2:35">
      <c r="B199" s="253">
        <f t="shared" si="10"/>
        <v>190</v>
      </c>
      <c r="C199" s="244"/>
      <c r="D199" s="661"/>
      <c r="E199" s="466"/>
      <c r="F199" s="615"/>
      <c r="G199" s="3271"/>
      <c r="H199" s="230"/>
      <c r="I199" s="230"/>
      <c r="J199" s="230"/>
      <c r="K199" s="230"/>
      <c r="L199" s="230"/>
      <c r="M199" s="228"/>
      <c r="N199" s="257"/>
      <c r="O199" s="228"/>
      <c r="P199" s="228"/>
      <c r="Q199" s="2552"/>
      <c r="R199" s="258"/>
      <c r="S199" s="2577"/>
      <c r="T199" s="2577"/>
      <c r="U199" s="254"/>
      <c r="V199" s="228"/>
      <c r="W199" s="2552"/>
      <c r="X199" s="256"/>
      <c r="Y199" s="248"/>
      <c r="Z199" s="248"/>
      <c r="AA199" s="248"/>
      <c r="AB199" s="247"/>
      <c r="AC199" s="248"/>
      <c r="AD199" s="248"/>
      <c r="AE199" s="194"/>
      <c r="AF199" s="249"/>
      <c r="AG199" s="250"/>
      <c r="AH199" s="251"/>
      <c r="AI199" s="252"/>
    </row>
    <row r="200" spans="2:35">
      <c r="B200" s="253">
        <f t="shared" si="10"/>
        <v>191</v>
      </c>
      <c r="C200" s="244"/>
      <c r="D200" s="661"/>
      <c r="E200" s="466"/>
      <c r="F200" s="615"/>
      <c r="G200" s="3271"/>
      <c r="H200" s="230"/>
      <c r="I200" s="230"/>
      <c r="J200" s="230"/>
      <c r="K200" s="230"/>
      <c r="L200" s="230"/>
      <c r="M200" s="228"/>
      <c r="N200" s="257"/>
      <c r="O200" s="228"/>
      <c r="P200" s="228"/>
      <c r="Q200" s="2552"/>
      <c r="R200" s="258"/>
      <c r="S200" s="2577"/>
      <c r="T200" s="2577"/>
      <c r="U200" s="254"/>
      <c r="V200" s="228"/>
      <c r="W200" s="2552"/>
      <c r="X200" s="256"/>
      <c r="Y200" s="248"/>
      <c r="Z200" s="248"/>
      <c r="AA200" s="248"/>
      <c r="AB200" s="247"/>
      <c r="AC200" s="248"/>
      <c r="AD200" s="248"/>
      <c r="AE200" s="194"/>
      <c r="AF200" s="249"/>
      <c r="AG200" s="250"/>
      <c r="AH200" s="251"/>
      <c r="AI200" s="252"/>
    </row>
    <row r="201" spans="2:35">
      <c r="B201" s="253">
        <f t="shared" si="10"/>
        <v>192</v>
      </c>
      <c r="C201" s="244"/>
      <c r="D201" s="661"/>
      <c r="E201" s="466"/>
      <c r="F201" s="615"/>
      <c r="G201" s="3271"/>
      <c r="H201" s="230"/>
      <c r="I201" s="230"/>
      <c r="J201" s="230"/>
      <c r="K201" s="230"/>
      <c r="L201" s="230"/>
      <c r="M201" s="228"/>
      <c r="N201" s="257"/>
      <c r="O201" s="228"/>
      <c r="P201" s="228"/>
      <c r="Q201" s="2552"/>
      <c r="R201" s="258"/>
      <c r="S201" s="2577"/>
      <c r="T201" s="2577"/>
      <c r="U201" s="254"/>
      <c r="V201" s="228"/>
      <c r="W201" s="2552"/>
      <c r="X201" s="256"/>
      <c r="Y201" s="248"/>
      <c r="Z201" s="248"/>
      <c r="AA201" s="248"/>
      <c r="AB201" s="247"/>
      <c r="AC201" s="248"/>
      <c r="AD201" s="248"/>
      <c r="AE201" s="194"/>
      <c r="AF201" s="249"/>
      <c r="AG201" s="250"/>
      <c r="AH201" s="251"/>
      <c r="AI201" s="252"/>
    </row>
    <row r="202" spans="2:35">
      <c r="B202" s="253">
        <f t="shared" si="10"/>
        <v>193</v>
      </c>
      <c r="C202" s="244"/>
      <c r="D202" s="661"/>
      <c r="E202" s="466"/>
      <c r="F202" s="615"/>
      <c r="G202" s="3271"/>
      <c r="H202" s="230"/>
      <c r="I202" s="230"/>
      <c r="J202" s="230"/>
      <c r="K202" s="230"/>
      <c r="L202" s="230"/>
      <c r="M202" s="228"/>
      <c r="N202" s="257"/>
      <c r="O202" s="228"/>
      <c r="P202" s="228"/>
      <c r="Q202" s="2552"/>
      <c r="R202" s="258"/>
      <c r="S202" s="2577"/>
      <c r="T202" s="2577"/>
      <c r="U202" s="254"/>
      <c r="V202" s="228"/>
      <c r="W202" s="2552"/>
      <c r="X202" s="256"/>
      <c r="Y202" s="248"/>
      <c r="Z202" s="248"/>
      <c r="AA202" s="248"/>
      <c r="AB202" s="247"/>
      <c r="AC202" s="248"/>
      <c r="AD202" s="248"/>
      <c r="AE202" s="194"/>
      <c r="AF202" s="249"/>
      <c r="AG202" s="250"/>
      <c r="AH202" s="251"/>
      <c r="AI202" s="252"/>
    </row>
    <row r="203" spans="2:35">
      <c r="B203" s="253">
        <f t="shared" si="10"/>
        <v>194</v>
      </c>
      <c r="C203" s="244"/>
      <c r="D203" s="661"/>
      <c r="E203" s="466"/>
      <c r="F203" s="615"/>
      <c r="G203" s="3271"/>
      <c r="H203" s="230"/>
      <c r="I203" s="230"/>
      <c r="J203" s="230"/>
      <c r="K203" s="230"/>
      <c r="L203" s="230"/>
      <c r="M203" s="228"/>
      <c r="N203" s="257"/>
      <c r="O203" s="228"/>
      <c r="P203" s="228"/>
      <c r="Q203" s="2552"/>
      <c r="R203" s="258"/>
      <c r="S203" s="2577"/>
      <c r="T203" s="2577"/>
      <c r="U203" s="254"/>
      <c r="V203" s="228"/>
      <c r="W203" s="2552"/>
      <c r="X203" s="256"/>
      <c r="Y203" s="248"/>
      <c r="Z203" s="248"/>
      <c r="AA203" s="248"/>
      <c r="AB203" s="247"/>
      <c r="AC203" s="248"/>
      <c r="AD203" s="248"/>
      <c r="AE203" s="194"/>
      <c r="AF203" s="249"/>
      <c r="AG203" s="250"/>
      <c r="AH203" s="251"/>
      <c r="AI203" s="252"/>
    </row>
    <row r="204" spans="2:35">
      <c r="B204" s="253">
        <f t="shared" si="10"/>
        <v>195</v>
      </c>
      <c r="C204" s="244"/>
      <c r="D204" s="661"/>
      <c r="E204" s="466"/>
      <c r="F204" s="615"/>
      <c r="G204" s="3271"/>
      <c r="H204" s="230"/>
      <c r="I204" s="230"/>
      <c r="J204" s="230"/>
      <c r="K204" s="230"/>
      <c r="L204" s="230"/>
      <c r="M204" s="228"/>
      <c r="N204" s="257"/>
      <c r="O204" s="228"/>
      <c r="P204" s="228"/>
      <c r="Q204" s="2552"/>
      <c r="R204" s="258"/>
      <c r="S204" s="2577"/>
      <c r="T204" s="2577"/>
      <c r="U204" s="254"/>
      <c r="V204" s="228"/>
      <c r="W204" s="2552"/>
      <c r="X204" s="256"/>
      <c r="Y204" s="248"/>
      <c r="Z204" s="248"/>
      <c r="AA204" s="248"/>
      <c r="AB204" s="247"/>
      <c r="AC204" s="248"/>
      <c r="AD204" s="248"/>
      <c r="AE204" s="194"/>
      <c r="AF204" s="249"/>
      <c r="AG204" s="250"/>
      <c r="AH204" s="251"/>
      <c r="AI204" s="252"/>
    </row>
    <row r="205" spans="2:35">
      <c r="B205" s="253">
        <f t="shared" si="10"/>
        <v>196</v>
      </c>
      <c r="C205" s="244"/>
      <c r="D205" s="661"/>
      <c r="E205" s="466"/>
      <c r="F205" s="615"/>
      <c r="G205" s="3271"/>
      <c r="H205" s="230"/>
      <c r="I205" s="230"/>
      <c r="J205" s="230"/>
      <c r="K205" s="230"/>
      <c r="L205" s="230"/>
      <c r="M205" s="228"/>
      <c r="N205" s="257"/>
      <c r="O205" s="228"/>
      <c r="P205" s="228"/>
      <c r="Q205" s="2552"/>
      <c r="R205" s="258"/>
      <c r="S205" s="2577"/>
      <c r="T205" s="2577"/>
      <c r="U205" s="254"/>
      <c r="V205" s="228"/>
      <c r="W205" s="2552"/>
      <c r="X205" s="256"/>
      <c r="Y205" s="248"/>
      <c r="Z205" s="248"/>
      <c r="AA205" s="248"/>
      <c r="AB205" s="247"/>
      <c r="AC205" s="248"/>
      <c r="AD205" s="248"/>
      <c r="AE205" s="194"/>
      <c r="AF205" s="249"/>
      <c r="AG205" s="250"/>
      <c r="AH205" s="251"/>
      <c r="AI205" s="252"/>
    </row>
    <row r="206" spans="2:35">
      <c r="B206" s="253">
        <f t="shared" si="10"/>
        <v>197</v>
      </c>
      <c r="C206" s="244"/>
      <c r="D206" s="661"/>
      <c r="E206" s="466"/>
      <c r="F206" s="615"/>
      <c r="G206" s="3271"/>
      <c r="H206" s="230"/>
      <c r="I206" s="230"/>
      <c r="J206" s="230"/>
      <c r="K206" s="230"/>
      <c r="L206" s="230"/>
      <c r="M206" s="228"/>
      <c r="N206" s="257"/>
      <c r="O206" s="228"/>
      <c r="P206" s="228"/>
      <c r="Q206" s="2552"/>
      <c r="R206" s="258"/>
      <c r="S206" s="2577"/>
      <c r="T206" s="2577"/>
      <c r="U206" s="254"/>
      <c r="V206" s="228"/>
      <c r="W206" s="2552"/>
      <c r="X206" s="256"/>
      <c r="Y206" s="248"/>
      <c r="Z206" s="248"/>
      <c r="AA206" s="248"/>
      <c r="AB206" s="247"/>
      <c r="AC206" s="248"/>
      <c r="AD206" s="248"/>
      <c r="AE206" s="194"/>
      <c r="AF206" s="249"/>
      <c r="AG206" s="250"/>
      <c r="AH206" s="251"/>
      <c r="AI206" s="252"/>
    </row>
    <row r="207" spans="2:35">
      <c r="B207" s="253">
        <f t="shared" si="10"/>
        <v>198</v>
      </c>
      <c r="C207" s="244"/>
      <c r="D207" s="661"/>
      <c r="E207" s="466"/>
      <c r="F207" s="615"/>
      <c r="G207" s="3271"/>
      <c r="H207" s="230"/>
      <c r="I207" s="230"/>
      <c r="J207" s="230"/>
      <c r="K207" s="230"/>
      <c r="L207" s="230"/>
      <c r="M207" s="228"/>
      <c r="N207" s="257"/>
      <c r="O207" s="228"/>
      <c r="P207" s="228"/>
      <c r="Q207" s="2552"/>
      <c r="R207" s="258"/>
      <c r="S207" s="2577"/>
      <c r="T207" s="2577"/>
      <c r="U207" s="254"/>
      <c r="V207" s="228"/>
      <c r="W207" s="2552"/>
      <c r="X207" s="256"/>
      <c r="Y207" s="248"/>
      <c r="Z207" s="248"/>
      <c r="AA207" s="248"/>
      <c r="AB207" s="247"/>
      <c r="AC207" s="248"/>
      <c r="AD207" s="248"/>
      <c r="AE207" s="194"/>
      <c r="AF207" s="249"/>
      <c r="AG207" s="250"/>
      <c r="AH207" s="251"/>
      <c r="AI207" s="252"/>
    </row>
    <row r="208" spans="2:35">
      <c r="B208" s="253">
        <f t="shared" si="10"/>
        <v>199</v>
      </c>
      <c r="C208" s="244"/>
      <c r="D208" s="661"/>
      <c r="E208" s="466"/>
      <c r="F208" s="615"/>
      <c r="G208" s="3271"/>
      <c r="H208" s="230"/>
      <c r="I208" s="230"/>
      <c r="J208" s="230"/>
      <c r="K208" s="230"/>
      <c r="L208" s="230"/>
      <c r="M208" s="228"/>
      <c r="N208" s="257"/>
      <c r="O208" s="228"/>
      <c r="P208" s="228"/>
      <c r="Q208" s="2552"/>
      <c r="R208" s="258"/>
      <c r="S208" s="2577"/>
      <c r="T208" s="2577"/>
      <c r="U208" s="254"/>
      <c r="V208" s="228"/>
      <c r="W208" s="2552"/>
      <c r="X208" s="256"/>
      <c r="Y208" s="248"/>
      <c r="Z208" s="248"/>
      <c r="AA208" s="248"/>
      <c r="AB208" s="247"/>
      <c r="AC208" s="248"/>
      <c r="AD208" s="248"/>
      <c r="AE208" s="194"/>
      <c r="AF208" s="249"/>
      <c r="AG208" s="250"/>
      <c r="AH208" s="251"/>
      <c r="AI208" s="252"/>
    </row>
    <row r="209" spans="2:35">
      <c r="B209" s="253">
        <f t="shared" si="10"/>
        <v>200</v>
      </c>
      <c r="C209" s="244"/>
      <c r="D209" s="661"/>
      <c r="E209" s="466"/>
      <c r="F209" s="615"/>
      <c r="G209" s="3271"/>
      <c r="H209" s="230"/>
      <c r="I209" s="230"/>
      <c r="J209" s="230"/>
      <c r="K209" s="230"/>
      <c r="L209" s="230"/>
      <c r="M209" s="228"/>
      <c r="N209" s="257"/>
      <c r="O209" s="228"/>
      <c r="P209" s="228"/>
      <c r="Q209" s="2552"/>
      <c r="R209" s="258"/>
      <c r="S209" s="2577"/>
      <c r="T209" s="2577"/>
      <c r="U209" s="254"/>
      <c r="V209" s="228"/>
      <c r="W209" s="2552"/>
      <c r="X209" s="256"/>
      <c r="Y209" s="248"/>
      <c r="Z209" s="248"/>
      <c r="AA209" s="248"/>
      <c r="AB209" s="247"/>
      <c r="AC209" s="248"/>
      <c r="AD209" s="248"/>
      <c r="AE209" s="194"/>
      <c r="AF209" s="249"/>
      <c r="AG209" s="250"/>
      <c r="AH209" s="251"/>
      <c r="AI209" s="252"/>
    </row>
    <row r="210" spans="2:35">
      <c r="B210" s="253">
        <f t="shared" si="10"/>
        <v>201</v>
      </c>
      <c r="C210" s="244"/>
      <c r="D210" s="661"/>
      <c r="E210" s="466"/>
      <c r="F210" s="615"/>
      <c r="G210" s="3271"/>
      <c r="H210" s="230"/>
      <c r="I210" s="230"/>
      <c r="J210" s="230"/>
      <c r="K210" s="230"/>
      <c r="L210" s="230"/>
      <c r="M210" s="228"/>
      <c r="N210" s="257"/>
      <c r="O210" s="228"/>
      <c r="P210" s="228"/>
      <c r="Q210" s="2552"/>
      <c r="R210" s="258"/>
      <c r="S210" s="2577"/>
      <c r="T210" s="2577"/>
      <c r="U210" s="254"/>
      <c r="V210" s="228"/>
      <c r="W210" s="2552"/>
      <c r="X210" s="256"/>
      <c r="Y210" s="248"/>
      <c r="Z210" s="248"/>
      <c r="AA210" s="248"/>
      <c r="AB210" s="247"/>
      <c r="AC210" s="248"/>
      <c r="AD210" s="248"/>
      <c r="AE210" s="194"/>
      <c r="AF210" s="249"/>
      <c r="AG210" s="250"/>
      <c r="AH210" s="251"/>
      <c r="AI210" s="252"/>
    </row>
    <row r="211" spans="2:35">
      <c r="B211" s="253">
        <f t="shared" si="10"/>
        <v>202</v>
      </c>
      <c r="C211" s="244"/>
      <c r="D211" s="661"/>
      <c r="E211" s="466"/>
      <c r="F211" s="615"/>
      <c r="G211" s="3271"/>
      <c r="H211" s="230"/>
      <c r="I211" s="230"/>
      <c r="J211" s="230"/>
      <c r="K211" s="230"/>
      <c r="L211" s="230"/>
      <c r="M211" s="228"/>
      <c r="N211" s="257"/>
      <c r="O211" s="228"/>
      <c r="P211" s="228"/>
      <c r="Q211" s="2552"/>
      <c r="R211" s="258"/>
      <c r="S211" s="2577"/>
      <c r="T211" s="2577"/>
      <c r="U211" s="254"/>
      <c r="V211" s="228"/>
      <c r="W211" s="2552"/>
      <c r="X211" s="256"/>
      <c r="Y211" s="248"/>
      <c r="Z211" s="248"/>
      <c r="AA211" s="248"/>
      <c r="AB211" s="247"/>
      <c r="AC211" s="248"/>
      <c r="AD211" s="248"/>
      <c r="AE211" s="194"/>
      <c r="AF211" s="249"/>
      <c r="AG211" s="250"/>
      <c r="AH211" s="251"/>
      <c r="AI211" s="252"/>
    </row>
    <row r="212" spans="2:35">
      <c r="B212" s="253">
        <f t="shared" si="10"/>
        <v>203</v>
      </c>
      <c r="C212" s="244"/>
      <c r="D212" s="661"/>
      <c r="E212" s="466"/>
      <c r="F212" s="615"/>
      <c r="G212" s="3271"/>
      <c r="H212" s="230"/>
      <c r="I212" s="230"/>
      <c r="J212" s="230"/>
      <c r="K212" s="230"/>
      <c r="L212" s="230"/>
      <c r="M212" s="228"/>
      <c r="N212" s="257"/>
      <c r="O212" s="228"/>
      <c r="P212" s="228"/>
      <c r="Q212" s="2552"/>
      <c r="R212" s="258"/>
      <c r="S212" s="2577"/>
      <c r="T212" s="2577"/>
      <c r="U212" s="254"/>
      <c r="V212" s="228"/>
      <c r="W212" s="2552"/>
      <c r="X212" s="256"/>
      <c r="Y212" s="248"/>
      <c r="Z212" s="248"/>
      <c r="AA212" s="248"/>
      <c r="AB212" s="247"/>
      <c r="AC212" s="248"/>
      <c r="AD212" s="248"/>
      <c r="AE212" s="194"/>
      <c r="AF212" s="249"/>
      <c r="AG212" s="250"/>
      <c r="AH212" s="251"/>
      <c r="AI212" s="252"/>
    </row>
    <row r="213" spans="2:35">
      <c r="B213" s="253">
        <f t="shared" si="10"/>
        <v>204</v>
      </c>
      <c r="C213" s="244"/>
      <c r="D213" s="661"/>
      <c r="E213" s="466"/>
      <c r="F213" s="615"/>
      <c r="G213" s="3271"/>
      <c r="H213" s="230"/>
      <c r="I213" s="230"/>
      <c r="J213" s="230"/>
      <c r="K213" s="230"/>
      <c r="L213" s="230"/>
      <c r="M213" s="228"/>
      <c r="N213" s="257"/>
      <c r="O213" s="228"/>
      <c r="P213" s="228"/>
      <c r="Q213" s="2552"/>
      <c r="R213" s="258"/>
      <c r="S213" s="2577"/>
      <c r="T213" s="2577"/>
      <c r="U213" s="254"/>
      <c r="V213" s="228"/>
      <c r="W213" s="2552"/>
      <c r="X213" s="256"/>
      <c r="Y213" s="248"/>
      <c r="Z213" s="248"/>
      <c r="AA213" s="248"/>
      <c r="AB213" s="247"/>
      <c r="AC213" s="248"/>
      <c r="AD213" s="248"/>
      <c r="AE213" s="194"/>
      <c r="AF213" s="249"/>
      <c r="AG213" s="250"/>
      <c r="AH213" s="251"/>
      <c r="AI213" s="252"/>
    </row>
    <row r="214" spans="2:35">
      <c r="B214" s="253">
        <f t="shared" si="10"/>
        <v>205</v>
      </c>
      <c r="C214" s="244"/>
      <c r="D214" s="661"/>
      <c r="E214" s="466"/>
      <c r="F214" s="615"/>
      <c r="G214" s="3271"/>
      <c r="H214" s="230"/>
      <c r="I214" s="230"/>
      <c r="J214" s="230"/>
      <c r="K214" s="230"/>
      <c r="L214" s="230"/>
      <c r="M214" s="228"/>
      <c r="N214" s="257"/>
      <c r="O214" s="228"/>
      <c r="P214" s="228"/>
      <c r="Q214" s="2552"/>
      <c r="R214" s="258"/>
      <c r="S214" s="2577"/>
      <c r="T214" s="2577"/>
      <c r="U214" s="254"/>
      <c r="V214" s="228"/>
      <c r="W214" s="2552"/>
      <c r="X214" s="256"/>
      <c r="Y214" s="248"/>
      <c r="Z214" s="248"/>
      <c r="AA214" s="248"/>
      <c r="AB214" s="247"/>
      <c r="AC214" s="248"/>
      <c r="AD214" s="248"/>
      <c r="AE214" s="194"/>
      <c r="AF214" s="249"/>
      <c r="AG214" s="250"/>
      <c r="AH214" s="251"/>
      <c r="AI214" s="252"/>
    </row>
    <row r="215" spans="2:35">
      <c r="B215" s="253">
        <f t="shared" si="10"/>
        <v>206</v>
      </c>
      <c r="C215" s="244"/>
      <c r="D215" s="661"/>
      <c r="E215" s="466"/>
      <c r="F215" s="615"/>
      <c r="G215" s="3271"/>
      <c r="H215" s="230"/>
      <c r="I215" s="230"/>
      <c r="J215" s="230"/>
      <c r="K215" s="230"/>
      <c r="L215" s="230"/>
      <c r="M215" s="228"/>
      <c r="N215" s="257"/>
      <c r="O215" s="228"/>
      <c r="P215" s="228"/>
      <c r="Q215" s="2552"/>
      <c r="R215" s="258"/>
      <c r="S215" s="2577"/>
      <c r="T215" s="2577"/>
      <c r="U215" s="254"/>
      <c r="V215" s="228"/>
      <c r="W215" s="2552"/>
      <c r="X215" s="256"/>
      <c r="Y215" s="248"/>
      <c r="Z215" s="248"/>
      <c r="AA215" s="248"/>
      <c r="AB215" s="247"/>
      <c r="AC215" s="248"/>
      <c r="AD215" s="248"/>
      <c r="AE215" s="194"/>
      <c r="AF215" s="249"/>
      <c r="AG215" s="250"/>
      <c r="AH215" s="251"/>
      <c r="AI215" s="252"/>
    </row>
    <row r="216" spans="2:35">
      <c r="B216" s="253">
        <f t="shared" si="10"/>
        <v>207</v>
      </c>
      <c r="C216" s="244"/>
      <c r="D216" s="661"/>
      <c r="E216" s="466"/>
      <c r="F216" s="615"/>
      <c r="G216" s="3271"/>
      <c r="H216" s="230"/>
      <c r="I216" s="230"/>
      <c r="J216" s="230"/>
      <c r="K216" s="230"/>
      <c r="L216" s="230"/>
      <c r="M216" s="228"/>
      <c r="N216" s="257"/>
      <c r="O216" s="228"/>
      <c r="P216" s="228"/>
      <c r="Q216" s="2552"/>
      <c r="R216" s="258"/>
      <c r="S216" s="2577"/>
      <c r="T216" s="2577"/>
      <c r="U216" s="254"/>
      <c r="V216" s="228"/>
      <c r="W216" s="2552"/>
      <c r="X216" s="256"/>
      <c r="Y216" s="248"/>
      <c r="Z216" s="248"/>
      <c r="AA216" s="248"/>
      <c r="AB216" s="247"/>
      <c r="AC216" s="248"/>
      <c r="AD216" s="248"/>
      <c r="AE216" s="194"/>
      <c r="AF216" s="249"/>
      <c r="AG216" s="250"/>
      <c r="AH216" s="251"/>
      <c r="AI216" s="252"/>
    </row>
    <row r="217" spans="2:35">
      <c r="B217" s="253">
        <f t="shared" si="10"/>
        <v>208</v>
      </c>
      <c r="C217" s="244"/>
      <c r="D217" s="661"/>
      <c r="E217" s="466"/>
      <c r="F217" s="615"/>
      <c r="G217" s="3271"/>
      <c r="H217" s="230"/>
      <c r="I217" s="230"/>
      <c r="J217" s="230"/>
      <c r="K217" s="230"/>
      <c r="L217" s="230"/>
      <c r="M217" s="228"/>
      <c r="N217" s="257"/>
      <c r="O217" s="228"/>
      <c r="P217" s="228"/>
      <c r="Q217" s="2552"/>
      <c r="R217" s="258"/>
      <c r="S217" s="2577"/>
      <c r="T217" s="2577"/>
      <c r="U217" s="254"/>
      <c r="V217" s="228"/>
      <c r="W217" s="2552"/>
      <c r="X217" s="256"/>
      <c r="Y217" s="248"/>
      <c r="Z217" s="248"/>
      <c r="AA217" s="248"/>
      <c r="AB217" s="247"/>
      <c r="AC217" s="248"/>
      <c r="AD217" s="248"/>
      <c r="AE217" s="194"/>
      <c r="AF217" s="249"/>
      <c r="AG217" s="250"/>
      <c r="AH217" s="251"/>
      <c r="AI217" s="252"/>
    </row>
    <row r="218" spans="2:35">
      <c r="B218" s="253">
        <f t="shared" si="10"/>
        <v>209</v>
      </c>
      <c r="C218" s="244"/>
      <c r="D218" s="661"/>
      <c r="E218" s="466"/>
      <c r="F218" s="615"/>
      <c r="G218" s="3271"/>
      <c r="H218" s="230"/>
      <c r="I218" s="230"/>
      <c r="J218" s="230"/>
      <c r="K218" s="230"/>
      <c r="L218" s="230"/>
      <c r="M218" s="228"/>
      <c r="N218" s="257"/>
      <c r="O218" s="228"/>
      <c r="P218" s="228"/>
      <c r="Q218" s="2552"/>
      <c r="R218" s="258"/>
      <c r="S218" s="2577"/>
      <c r="T218" s="2577"/>
      <c r="U218" s="254"/>
      <c r="V218" s="228"/>
      <c r="W218" s="2552"/>
      <c r="X218" s="256"/>
      <c r="Y218" s="248"/>
      <c r="Z218" s="248"/>
      <c r="AA218" s="248"/>
      <c r="AB218" s="247"/>
      <c r="AC218" s="248"/>
      <c r="AD218" s="248"/>
      <c r="AE218" s="194"/>
      <c r="AF218" s="249"/>
      <c r="AG218" s="250"/>
      <c r="AH218" s="251"/>
      <c r="AI218" s="252"/>
    </row>
    <row r="219" spans="2:35">
      <c r="B219" s="253">
        <f t="shared" si="10"/>
        <v>210</v>
      </c>
      <c r="C219" s="244"/>
      <c r="D219" s="661"/>
      <c r="E219" s="466"/>
      <c r="F219" s="615"/>
      <c r="G219" s="3271"/>
      <c r="H219" s="230"/>
      <c r="I219" s="230"/>
      <c r="J219" s="230"/>
      <c r="K219" s="230"/>
      <c r="L219" s="230"/>
      <c r="M219" s="228"/>
      <c r="N219" s="257"/>
      <c r="O219" s="228"/>
      <c r="P219" s="228"/>
      <c r="Q219" s="2552"/>
      <c r="R219" s="258"/>
      <c r="S219" s="2577"/>
      <c r="T219" s="2577"/>
      <c r="U219" s="254"/>
      <c r="V219" s="228"/>
      <c r="W219" s="2552"/>
      <c r="X219" s="256"/>
      <c r="Y219" s="248"/>
      <c r="Z219" s="248"/>
      <c r="AA219" s="248"/>
      <c r="AB219" s="247"/>
      <c r="AC219" s="248"/>
      <c r="AD219" s="248"/>
      <c r="AE219" s="194"/>
      <c r="AF219" s="249"/>
      <c r="AG219" s="250"/>
      <c r="AH219" s="251"/>
      <c r="AI219" s="252"/>
    </row>
    <row r="220" spans="2:35">
      <c r="B220" s="253">
        <f t="shared" si="10"/>
        <v>211</v>
      </c>
      <c r="C220" s="244"/>
      <c r="D220" s="661"/>
      <c r="E220" s="466"/>
      <c r="F220" s="615"/>
      <c r="G220" s="3271"/>
      <c r="H220" s="230"/>
      <c r="I220" s="230"/>
      <c r="J220" s="230"/>
      <c r="K220" s="230"/>
      <c r="L220" s="230"/>
      <c r="M220" s="228"/>
      <c r="N220" s="257"/>
      <c r="O220" s="228"/>
      <c r="P220" s="228"/>
      <c r="Q220" s="2552"/>
      <c r="R220" s="258"/>
      <c r="S220" s="2577"/>
      <c r="T220" s="2577"/>
      <c r="U220" s="254"/>
      <c r="V220" s="228"/>
      <c r="W220" s="2552"/>
      <c r="X220" s="256"/>
      <c r="Y220" s="248"/>
      <c r="Z220" s="248"/>
      <c r="AA220" s="248"/>
      <c r="AB220" s="247"/>
      <c r="AC220" s="248"/>
      <c r="AD220" s="248"/>
      <c r="AE220" s="194"/>
      <c r="AF220" s="249"/>
      <c r="AG220" s="250"/>
      <c r="AH220" s="251"/>
      <c r="AI220" s="252"/>
    </row>
    <row r="221" spans="2:35">
      <c r="B221" s="253">
        <f t="shared" si="10"/>
        <v>212</v>
      </c>
      <c r="C221" s="244"/>
      <c r="D221" s="661"/>
      <c r="E221" s="466"/>
      <c r="F221" s="615"/>
      <c r="G221" s="3271"/>
      <c r="H221" s="230"/>
      <c r="I221" s="230"/>
      <c r="J221" s="230"/>
      <c r="K221" s="230"/>
      <c r="L221" s="230"/>
      <c r="M221" s="228"/>
      <c r="N221" s="257"/>
      <c r="O221" s="228"/>
      <c r="P221" s="228"/>
      <c r="Q221" s="2552"/>
      <c r="R221" s="258"/>
      <c r="S221" s="2577"/>
      <c r="T221" s="2577"/>
      <c r="U221" s="254"/>
      <c r="V221" s="228"/>
      <c r="W221" s="2552"/>
      <c r="X221" s="256"/>
      <c r="Y221" s="248"/>
      <c r="Z221" s="248"/>
      <c r="AA221" s="248"/>
      <c r="AB221" s="247"/>
      <c r="AC221" s="248"/>
      <c r="AD221" s="248"/>
      <c r="AE221" s="194"/>
      <c r="AF221" s="249"/>
      <c r="AG221" s="250"/>
      <c r="AH221" s="251"/>
      <c r="AI221" s="252"/>
    </row>
    <row r="222" spans="2:35">
      <c r="B222" s="253">
        <f t="shared" si="10"/>
        <v>213</v>
      </c>
      <c r="C222" s="244"/>
      <c r="D222" s="661"/>
      <c r="E222" s="466"/>
      <c r="F222" s="615"/>
      <c r="G222" s="3271"/>
      <c r="H222" s="230"/>
      <c r="I222" s="230"/>
      <c r="J222" s="230"/>
      <c r="K222" s="230"/>
      <c r="L222" s="230"/>
      <c r="M222" s="228"/>
      <c r="N222" s="257"/>
      <c r="O222" s="228"/>
      <c r="P222" s="228"/>
      <c r="Q222" s="2552"/>
      <c r="R222" s="258"/>
      <c r="S222" s="2577"/>
      <c r="T222" s="2577"/>
      <c r="U222" s="254"/>
      <c r="V222" s="228"/>
      <c r="W222" s="2552"/>
      <c r="X222" s="256"/>
      <c r="Y222" s="248"/>
      <c r="Z222" s="248"/>
      <c r="AA222" s="248"/>
      <c r="AB222" s="247"/>
      <c r="AC222" s="248"/>
      <c r="AD222" s="248"/>
      <c r="AE222" s="194"/>
      <c r="AF222" s="249"/>
      <c r="AG222" s="250"/>
      <c r="AH222" s="251"/>
      <c r="AI222" s="252"/>
    </row>
    <row r="223" spans="2:35">
      <c r="B223" s="253">
        <f t="shared" si="10"/>
        <v>214</v>
      </c>
      <c r="C223" s="244"/>
      <c r="D223" s="661"/>
      <c r="E223" s="466"/>
      <c r="F223" s="615"/>
      <c r="G223" s="3271"/>
      <c r="H223" s="230"/>
      <c r="I223" s="230"/>
      <c r="J223" s="230"/>
      <c r="K223" s="230"/>
      <c r="L223" s="230"/>
      <c r="M223" s="228"/>
      <c r="N223" s="257"/>
      <c r="O223" s="228"/>
      <c r="P223" s="228"/>
      <c r="Q223" s="2552"/>
      <c r="R223" s="258"/>
      <c r="S223" s="2577"/>
      <c r="T223" s="2577"/>
      <c r="U223" s="254"/>
      <c r="V223" s="228"/>
      <c r="W223" s="2552"/>
      <c r="X223" s="256"/>
      <c r="Y223" s="248"/>
      <c r="Z223" s="248"/>
      <c r="AA223" s="248"/>
      <c r="AB223" s="247"/>
      <c r="AC223" s="248"/>
      <c r="AD223" s="248"/>
      <c r="AE223" s="194"/>
      <c r="AF223" s="249"/>
      <c r="AG223" s="250"/>
      <c r="AH223" s="251"/>
      <c r="AI223" s="252"/>
    </row>
    <row r="224" spans="2:35">
      <c r="B224" s="253">
        <f t="shared" si="10"/>
        <v>215</v>
      </c>
      <c r="C224" s="244"/>
      <c r="D224" s="661"/>
      <c r="E224" s="466"/>
      <c r="F224" s="615"/>
      <c r="G224" s="3271"/>
      <c r="H224" s="230"/>
      <c r="I224" s="230"/>
      <c r="J224" s="230"/>
      <c r="K224" s="230"/>
      <c r="L224" s="230"/>
      <c r="M224" s="228"/>
      <c r="N224" s="257"/>
      <c r="O224" s="228"/>
      <c r="P224" s="228"/>
      <c r="Q224" s="2552"/>
      <c r="R224" s="258"/>
      <c r="S224" s="2577"/>
      <c r="T224" s="2577"/>
      <c r="U224" s="254"/>
      <c r="V224" s="228"/>
      <c r="W224" s="2552"/>
      <c r="X224" s="256"/>
      <c r="Y224" s="248"/>
      <c r="Z224" s="248"/>
      <c r="AA224" s="248"/>
      <c r="AB224" s="247"/>
      <c r="AC224" s="248"/>
      <c r="AD224" s="248"/>
      <c r="AE224" s="194"/>
      <c r="AF224" s="249"/>
      <c r="AG224" s="250"/>
      <c r="AH224" s="251"/>
      <c r="AI224" s="252"/>
    </row>
    <row r="225" spans="2:35">
      <c r="B225" s="253">
        <f t="shared" si="10"/>
        <v>216</v>
      </c>
      <c r="C225" s="244"/>
      <c r="D225" s="661"/>
      <c r="E225" s="466"/>
      <c r="F225" s="615"/>
      <c r="G225" s="3271"/>
      <c r="H225" s="230"/>
      <c r="I225" s="230"/>
      <c r="J225" s="230"/>
      <c r="K225" s="230"/>
      <c r="L225" s="230"/>
      <c r="M225" s="228"/>
      <c r="N225" s="257"/>
      <c r="O225" s="228"/>
      <c r="P225" s="228"/>
      <c r="Q225" s="2552"/>
      <c r="R225" s="258"/>
      <c r="S225" s="2577"/>
      <c r="T225" s="2577"/>
      <c r="U225" s="254"/>
      <c r="V225" s="228"/>
      <c r="W225" s="2552"/>
      <c r="X225" s="256"/>
      <c r="Y225" s="248"/>
      <c r="Z225" s="248"/>
      <c r="AA225" s="248"/>
      <c r="AB225" s="247"/>
      <c r="AC225" s="248"/>
      <c r="AD225" s="248"/>
      <c r="AE225" s="194"/>
      <c r="AF225" s="249"/>
      <c r="AG225" s="250"/>
      <c r="AH225" s="251"/>
      <c r="AI225" s="252"/>
    </row>
    <row r="226" spans="2:35">
      <c r="B226" s="253">
        <f t="shared" si="10"/>
        <v>217</v>
      </c>
      <c r="C226" s="244"/>
      <c r="D226" s="661"/>
      <c r="E226" s="466"/>
      <c r="F226" s="615"/>
      <c r="G226" s="3271"/>
      <c r="H226" s="230"/>
      <c r="I226" s="230"/>
      <c r="J226" s="230"/>
      <c r="K226" s="230"/>
      <c r="L226" s="230"/>
      <c r="M226" s="228"/>
      <c r="N226" s="257"/>
      <c r="O226" s="228"/>
      <c r="P226" s="228"/>
      <c r="Q226" s="2552"/>
      <c r="R226" s="258"/>
      <c r="S226" s="2577"/>
      <c r="T226" s="2577"/>
      <c r="U226" s="254"/>
      <c r="V226" s="228"/>
      <c r="W226" s="2552"/>
      <c r="X226" s="256"/>
      <c r="Y226" s="248"/>
      <c r="Z226" s="248"/>
      <c r="AA226" s="248"/>
      <c r="AB226" s="247"/>
      <c r="AC226" s="248"/>
      <c r="AD226" s="248"/>
      <c r="AE226" s="194"/>
      <c r="AF226" s="249"/>
      <c r="AG226" s="250"/>
      <c r="AH226" s="251"/>
      <c r="AI226" s="252"/>
    </row>
    <row r="227" spans="2:35">
      <c r="B227" s="253">
        <f t="shared" si="10"/>
        <v>218</v>
      </c>
      <c r="C227" s="244"/>
      <c r="D227" s="661"/>
      <c r="E227" s="466"/>
      <c r="F227" s="615"/>
      <c r="G227" s="3271"/>
      <c r="H227" s="230"/>
      <c r="I227" s="230"/>
      <c r="J227" s="230"/>
      <c r="K227" s="230"/>
      <c r="L227" s="230"/>
      <c r="M227" s="228"/>
      <c r="N227" s="257"/>
      <c r="O227" s="228"/>
      <c r="P227" s="228"/>
      <c r="Q227" s="2552"/>
      <c r="R227" s="258"/>
      <c r="S227" s="2577"/>
      <c r="T227" s="2577"/>
      <c r="U227" s="254"/>
      <c r="V227" s="228"/>
      <c r="W227" s="2552"/>
      <c r="X227" s="256"/>
      <c r="Y227" s="248"/>
      <c r="Z227" s="248"/>
      <c r="AA227" s="248"/>
      <c r="AB227" s="247"/>
      <c r="AC227" s="248"/>
      <c r="AD227" s="248"/>
      <c r="AE227" s="194"/>
      <c r="AF227" s="249"/>
      <c r="AG227" s="250"/>
      <c r="AH227" s="251"/>
      <c r="AI227" s="252"/>
    </row>
    <row r="228" spans="2:35">
      <c r="B228" s="253">
        <f t="shared" si="10"/>
        <v>219</v>
      </c>
      <c r="C228" s="244"/>
      <c r="D228" s="661"/>
      <c r="E228" s="466"/>
      <c r="F228" s="615"/>
      <c r="G228" s="3271"/>
      <c r="H228" s="230"/>
      <c r="I228" s="230"/>
      <c r="J228" s="230"/>
      <c r="K228" s="230"/>
      <c r="L228" s="230"/>
      <c r="M228" s="228"/>
      <c r="N228" s="257"/>
      <c r="O228" s="228"/>
      <c r="P228" s="228"/>
      <c r="Q228" s="2552"/>
      <c r="R228" s="258"/>
      <c r="S228" s="2577"/>
      <c r="T228" s="2577"/>
      <c r="U228" s="254"/>
      <c r="V228" s="228"/>
      <c r="W228" s="2552"/>
      <c r="X228" s="256"/>
      <c r="Y228" s="248"/>
      <c r="Z228" s="248"/>
      <c r="AA228" s="248"/>
      <c r="AB228" s="247"/>
      <c r="AC228" s="248"/>
      <c r="AD228" s="248"/>
      <c r="AE228" s="194"/>
      <c r="AF228" s="249"/>
      <c r="AG228" s="250"/>
      <c r="AH228" s="251"/>
      <c r="AI228" s="252"/>
    </row>
    <row r="229" spans="2:35">
      <c r="B229" s="253">
        <f t="shared" si="10"/>
        <v>220</v>
      </c>
      <c r="C229" s="244"/>
      <c r="D229" s="661"/>
      <c r="E229" s="466"/>
      <c r="F229" s="615"/>
      <c r="G229" s="3271"/>
      <c r="H229" s="230"/>
      <c r="I229" s="230"/>
      <c r="J229" s="230"/>
      <c r="K229" s="230"/>
      <c r="L229" s="230"/>
      <c r="M229" s="228"/>
      <c r="N229" s="257"/>
      <c r="O229" s="228"/>
      <c r="P229" s="228"/>
      <c r="Q229" s="2552"/>
      <c r="R229" s="258"/>
      <c r="S229" s="2577"/>
      <c r="T229" s="2577"/>
      <c r="U229" s="254"/>
      <c r="V229" s="228"/>
      <c r="W229" s="2552"/>
      <c r="X229" s="256"/>
      <c r="Y229" s="248"/>
      <c r="Z229" s="248"/>
      <c r="AA229" s="248"/>
      <c r="AB229" s="247"/>
      <c r="AC229" s="248"/>
      <c r="AD229" s="248"/>
      <c r="AE229" s="194"/>
      <c r="AF229" s="249"/>
      <c r="AG229" s="250"/>
      <c r="AH229" s="251"/>
      <c r="AI229" s="252"/>
    </row>
    <row r="230" spans="2:35">
      <c r="B230" s="253">
        <f t="shared" si="10"/>
        <v>221</v>
      </c>
      <c r="C230" s="244"/>
      <c r="D230" s="661"/>
      <c r="E230" s="466"/>
      <c r="F230" s="615"/>
      <c r="G230" s="3271"/>
      <c r="H230" s="230"/>
      <c r="I230" s="230"/>
      <c r="J230" s="230"/>
      <c r="K230" s="230"/>
      <c r="L230" s="230"/>
      <c r="M230" s="228"/>
      <c r="N230" s="257"/>
      <c r="O230" s="228"/>
      <c r="P230" s="228"/>
      <c r="Q230" s="2552"/>
      <c r="R230" s="258"/>
      <c r="S230" s="2577"/>
      <c r="T230" s="2577"/>
      <c r="U230" s="254"/>
      <c r="V230" s="228"/>
      <c r="W230" s="2552"/>
      <c r="X230" s="256"/>
      <c r="Y230" s="248"/>
      <c r="Z230" s="248"/>
      <c r="AA230" s="248"/>
      <c r="AB230" s="247"/>
      <c r="AC230" s="248"/>
      <c r="AD230" s="248"/>
      <c r="AE230" s="194"/>
      <c r="AF230" s="249"/>
      <c r="AG230" s="250"/>
      <c r="AH230" s="251"/>
      <c r="AI230" s="252"/>
    </row>
    <row r="231" spans="2:35">
      <c r="B231" s="253">
        <f t="shared" si="10"/>
        <v>222</v>
      </c>
      <c r="C231" s="244"/>
      <c r="D231" s="661"/>
      <c r="E231" s="466"/>
      <c r="F231" s="615"/>
      <c r="G231" s="3271"/>
      <c r="H231" s="230"/>
      <c r="I231" s="230"/>
      <c r="J231" s="230"/>
      <c r="K231" s="230"/>
      <c r="L231" s="230"/>
      <c r="M231" s="228"/>
      <c r="N231" s="257"/>
      <c r="O231" s="228"/>
      <c r="P231" s="228"/>
      <c r="Q231" s="2552"/>
      <c r="R231" s="258"/>
      <c r="S231" s="2577"/>
      <c r="T231" s="2577"/>
      <c r="U231" s="254"/>
      <c r="V231" s="228"/>
      <c r="W231" s="2552"/>
      <c r="X231" s="256"/>
      <c r="Y231" s="248"/>
      <c r="Z231" s="248"/>
      <c r="AA231" s="248"/>
      <c r="AB231" s="247"/>
      <c r="AC231" s="248"/>
      <c r="AD231" s="248"/>
      <c r="AE231" s="194"/>
      <c r="AF231" s="249"/>
      <c r="AG231" s="250"/>
      <c r="AH231" s="251"/>
      <c r="AI231" s="252"/>
    </row>
    <row r="232" spans="2:35">
      <c r="B232" s="253">
        <f t="shared" si="10"/>
        <v>223</v>
      </c>
      <c r="C232" s="244"/>
      <c r="D232" s="661"/>
      <c r="E232" s="466"/>
      <c r="F232" s="615"/>
      <c r="G232" s="3271"/>
      <c r="H232" s="230"/>
      <c r="I232" s="230"/>
      <c r="J232" s="230"/>
      <c r="K232" s="230"/>
      <c r="L232" s="230"/>
      <c r="M232" s="228"/>
      <c r="N232" s="257"/>
      <c r="O232" s="228"/>
      <c r="P232" s="228"/>
      <c r="Q232" s="2552"/>
      <c r="R232" s="258"/>
      <c r="S232" s="2577"/>
      <c r="T232" s="2577"/>
      <c r="U232" s="254"/>
      <c r="V232" s="228"/>
      <c r="W232" s="2552"/>
      <c r="X232" s="256"/>
      <c r="Y232" s="248"/>
      <c r="Z232" s="248"/>
      <c r="AA232" s="248"/>
      <c r="AB232" s="247"/>
      <c r="AC232" s="248"/>
      <c r="AD232" s="248"/>
      <c r="AE232" s="194"/>
      <c r="AF232" s="249"/>
      <c r="AG232" s="250"/>
      <c r="AH232" s="251"/>
      <c r="AI232" s="252"/>
    </row>
    <row r="233" spans="2:35">
      <c r="B233" s="253">
        <f t="shared" si="10"/>
        <v>224</v>
      </c>
      <c r="C233" s="244"/>
      <c r="D233" s="661"/>
      <c r="E233" s="466"/>
      <c r="F233" s="615"/>
      <c r="G233" s="3271"/>
      <c r="H233" s="230"/>
      <c r="I233" s="230"/>
      <c r="J233" s="230"/>
      <c r="K233" s="230"/>
      <c r="L233" s="230"/>
      <c r="M233" s="228"/>
      <c r="N233" s="257"/>
      <c r="O233" s="228"/>
      <c r="P233" s="228"/>
      <c r="Q233" s="2552"/>
      <c r="R233" s="258"/>
      <c r="S233" s="2577"/>
      <c r="T233" s="2577"/>
      <c r="U233" s="254"/>
      <c r="V233" s="228"/>
      <c r="W233" s="2552"/>
      <c r="X233" s="256"/>
      <c r="Y233" s="248"/>
      <c r="Z233" s="248"/>
      <c r="AA233" s="248"/>
      <c r="AB233" s="247"/>
      <c r="AC233" s="248"/>
      <c r="AD233" s="248"/>
      <c r="AE233" s="194"/>
      <c r="AF233" s="249"/>
      <c r="AG233" s="250"/>
      <c r="AH233" s="251"/>
      <c r="AI233" s="252"/>
    </row>
    <row r="234" spans="2:35">
      <c r="B234" s="253">
        <f t="shared" si="10"/>
        <v>225</v>
      </c>
      <c r="C234" s="244"/>
      <c r="D234" s="661"/>
      <c r="E234" s="466"/>
      <c r="F234" s="615"/>
      <c r="G234" s="3271"/>
      <c r="H234" s="230"/>
      <c r="I234" s="230"/>
      <c r="J234" s="230"/>
      <c r="K234" s="230"/>
      <c r="L234" s="230"/>
      <c r="M234" s="228"/>
      <c r="N234" s="257"/>
      <c r="O234" s="228"/>
      <c r="P234" s="228"/>
      <c r="Q234" s="2552"/>
      <c r="R234" s="258"/>
      <c r="S234" s="2577"/>
      <c r="T234" s="2577"/>
      <c r="U234" s="254"/>
      <c r="V234" s="228"/>
      <c r="W234" s="2552"/>
      <c r="X234" s="256"/>
      <c r="Y234" s="248"/>
      <c r="Z234" s="248"/>
      <c r="AA234" s="248"/>
      <c r="AB234" s="247"/>
      <c r="AC234" s="248"/>
      <c r="AD234" s="248"/>
      <c r="AE234" s="194"/>
      <c r="AF234" s="249"/>
      <c r="AG234" s="250"/>
      <c r="AH234" s="251"/>
      <c r="AI234" s="252"/>
    </row>
    <row r="235" spans="2:35">
      <c r="B235" s="253">
        <f t="shared" si="10"/>
        <v>226</v>
      </c>
      <c r="C235" s="244"/>
      <c r="D235" s="661"/>
      <c r="E235" s="466"/>
      <c r="F235" s="615"/>
      <c r="G235" s="3271"/>
      <c r="H235" s="230"/>
      <c r="I235" s="230"/>
      <c r="J235" s="230"/>
      <c r="K235" s="230"/>
      <c r="L235" s="230"/>
      <c r="M235" s="228"/>
      <c r="N235" s="257"/>
      <c r="O235" s="228"/>
      <c r="P235" s="228"/>
      <c r="Q235" s="2552"/>
      <c r="R235" s="258"/>
      <c r="S235" s="2577"/>
      <c r="T235" s="2577"/>
      <c r="U235" s="254"/>
      <c r="V235" s="228"/>
      <c r="W235" s="2552"/>
      <c r="X235" s="256"/>
      <c r="Y235" s="248"/>
      <c r="Z235" s="248"/>
      <c r="AA235" s="248"/>
      <c r="AB235" s="247"/>
      <c r="AC235" s="248"/>
      <c r="AD235" s="248"/>
      <c r="AE235" s="194"/>
      <c r="AF235" s="249"/>
      <c r="AG235" s="250"/>
      <c r="AH235" s="251"/>
      <c r="AI235" s="252"/>
    </row>
    <row r="236" spans="2:35">
      <c r="B236" s="253">
        <f t="shared" si="10"/>
        <v>227</v>
      </c>
      <c r="C236" s="244"/>
      <c r="D236" s="661"/>
      <c r="E236" s="466"/>
      <c r="F236" s="615"/>
      <c r="G236" s="3271"/>
      <c r="H236" s="230"/>
      <c r="I236" s="230"/>
      <c r="J236" s="230"/>
      <c r="K236" s="230"/>
      <c r="L236" s="230"/>
      <c r="M236" s="228"/>
      <c r="N236" s="257"/>
      <c r="O236" s="228"/>
      <c r="P236" s="228"/>
      <c r="Q236" s="2552"/>
      <c r="R236" s="258"/>
      <c r="S236" s="2577"/>
      <c r="T236" s="2577"/>
      <c r="U236" s="254"/>
      <c r="V236" s="228"/>
      <c r="W236" s="2552"/>
      <c r="X236" s="256"/>
      <c r="Y236" s="248"/>
      <c r="Z236" s="248"/>
      <c r="AA236" s="248"/>
      <c r="AB236" s="247"/>
      <c r="AC236" s="248"/>
      <c r="AD236" s="248"/>
      <c r="AE236" s="194"/>
      <c r="AF236" s="249"/>
      <c r="AG236" s="250"/>
      <c r="AH236" s="251"/>
      <c r="AI236" s="252"/>
    </row>
    <row r="237" spans="2:35">
      <c r="B237" s="253">
        <f t="shared" si="10"/>
        <v>228</v>
      </c>
      <c r="C237" s="244"/>
      <c r="D237" s="661"/>
      <c r="E237" s="466"/>
      <c r="F237" s="615"/>
      <c r="G237" s="3271"/>
      <c r="H237" s="230"/>
      <c r="I237" s="230"/>
      <c r="J237" s="230"/>
      <c r="K237" s="230"/>
      <c r="L237" s="230"/>
      <c r="M237" s="228"/>
      <c r="N237" s="257"/>
      <c r="O237" s="228"/>
      <c r="P237" s="228"/>
      <c r="Q237" s="2552"/>
      <c r="R237" s="258"/>
      <c r="S237" s="2577"/>
      <c r="T237" s="2577"/>
      <c r="U237" s="254"/>
      <c r="V237" s="228"/>
      <c r="W237" s="2552"/>
      <c r="X237" s="256"/>
      <c r="Y237" s="248"/>
      <c r="Z237" s="248"/>
      <c r="AA237" s="248"/>
      <c r="AB237" s="247"/>
      <c r="AC237" s="248"/>
      <c r="AD237" s="248"/>
      <c r="AE237" s="194"/>
      <c r="AF237" s="249"/>
      <c r="AG237" s="250"/>
      <c r="AH237" s="251"/>
      <c r="AI237" s="252"/>
    </row>
    <row r="238" spans="2:35">
      <c r="B238" s="253">
        <f t="shared" si="10"/>
        <v>229</v>
      </c>
      <c r="C238" s="244"/>
      <c r="D238" s="661"/>
      <c r="E238" s="466"/>
      <c r="F238" s="615"/>
      <c r="G238" s="3271"/>
      <c r="H238" s="230"/>
      <c r="I238" s="230"/>
      <c r="J238" s="230"/>
      <c r="K238" s="230"/>
      <c r="L238" s="230"/>
      <c r="M238" s="228"/>
      <c r="N238" s="257"/>
      <c r="O238" s="228"/>
      <c r="P238" s="228"/>
      <c r="Q238" s="2552"/>
      <c r="R238" s="258"/>
      <c r="S238" s="2577"/>
      <c r="T238" s="2577"/>
      <c r="U238" s="254"/>
      <c r="V238" s="228"/>
      <c r="W238" s="2552"/>
      <c r="X238" s="256"/>
      <c r="Y238" s="248"/>
      <c r="Z238" s="248"/>
      <c r="AA238" s="248"/>
      <c r="AB238" s="247"/>
      <c r="AC238" s="248"/>
      <c r="AD238" s="248"/>
      <c r="AE238" s="194"/>
      <c r="AF238" s="249"/>
      <c r="AG238" s="250"/>
      <c r="AH238" s="251"/>
      <c r="AI238" s="252"/>
    </row>
    <row r="239" spans="2:35">
      <c r="B239" s="253">
        <f t="shared" si="10"/>
        <v>230</v>
      </c>
      <c r="C239" s="244"/>
      <c r="D239" s="661"/>
      <c r="E239" s="466"/>
      <c r="F239" s="615"/>
      <c r="G239" s="3271"/>
      <c r="H239" s="230"/>
      <c r="I239" s="230"/>
      <c r="J239" s="230"/>
      <c r="K239" s="230"/>
      <c r="L239" s="230"/>
      <c r="M239" s="228"/>
      <c r="N239" s="257"/>
      <c r="O239" s="228"/>
      <c r="P239" s="228"/>
      <c r="Q239" s="2552"/>
      <c r="R239" s="258"/>
      <c r="S239" s="2577"/>
      <c r="T239" s="2577"/>
      <c r="U239" s="254"/>
      <c r="V239" s="228"/>
      <c r="W239" s="2552"/>
      <c r="X239" s="256"/>
      <c r="Y239" s="248"/>
      <c r="Z239" s="248"/>
      <c r="AA239" s="248"/>
      <c r="AB239" s="247"/>
      <c r="AC239" s="248"/>
      <c r="AD239" s="248"/>
      <c r="AE239" s="194"/>
      <c r="AF239" s="249"/>
      <c r="AG239" s="250"/>
      <c r="AH239" s="251"/>
      <c r="AI239" s="252"/>
    </row>
    <row r="240" spans="2:35">
      <c r="B240" s="253">
        <f t="shared" si="10"/>
        <v>231</v>
      </c>
      <c r="C240" s="244"/>
      <c r="D240" s="661"/>
      <c r="E240" s="466"/>
      <c r="F240" s="615"/>
      <c r="G240" s="3271"/>
      <c r="H240" s="230"/>
      <c r="I240" s="230"/>
      <c r="J240" s="230"/>
      <c r="K240" s="230"/>
      <c r="L240" s="230"/>
      <c r="M240" s="228"/>
      <c r="N240" s="257"/>
      <c r="O240" s="228"/>
      <c r="P240" s="228"/>
      <c r="Q240" s="2552"/>
      <c r="R240" s="258"/>
      <c r="S240" s="2577"/>
      <c r="T240" s="2577"/>
      <c r="U240" s="254"/>
      <c r="V240" s="228"/>
      <c r="W240" s="2552"/>
      <c r="X240" s="256"/>
      <c r="Y240" s="248"/>
      <c r="Z240" s="248"/>
      <c r="AA240" s="248"/>
      <c r="AB240" s="247"/>
      <c r="AC240" s="248"/>
      <c r="AD240" s="248"/>
      <c r="AE240" s="194"/>
      <c r="AF240" s="249"/>
      <c r="AG240" s="250"/>
      <c r="AH240" s="251"/>
      <c r="AI240" s="252"/>
    </row>
    <row r="241" spans="2:35">
      <c r="B241" s="253">
        <f t="shared" si="10"/>
        <v>232</v>
      </c>
      <c r="C241" s="244"/>
      <c r="D241" s="661"/>
      <c r="E241" s="466"/>
      <c r="F241" s="615"/>
      <c r="G241" s="3271"/>
      <c r="H241" s="230"/>
      <c r="I241" s="230"/>
      <c r="J241" s="230"/>
      <c r="K241" s="230"/>
      <c r="L241" s="230"/>
      <c r="M241" s="228"/>
      <c r="N241" s="257"/>
      <c r="O241" s="228"/>
      <c r="P241" s="228"/>
      <c r="Q241" s="2552"/>
      <c r="R241" s="258"/>
      <c r="S241" s="2577"/>
      <c r="T241" s="2577"/>
      <c r="U241" s="254"/>
      <c r="V241" s="228"/>
      <c r="W241" s="2552"/>
      <c r="X241" s="256"/>
      <c r="Y241" s="248"/>
      <c r="Z241" s="248"/>
      <c r="AA241" s="248"/>
      <c r="AB241" s="247"/>
      <c r="AC241" s="248"/>
      <c r="AD241" s="248"/>
      <c r="AE241" s="194"/>
      <c r="AF241" s="249"/>
      <c r="AG241" s="250"/>
      <c r="AH241" s="251"/>
      <c r="AI241" s="252"/>
    </row>
    <row r="242" spans="2:35">
      <c r="B242" s="253">
        <f t="shared" si="10"/>
        <v>233</v>
      </c>
      <c r="C242" s="244"/>
      <c r="D242" s="661"/>
      <c r="E242" s="466"/>
      <c r="F242" s="615"/>
      <c r="G242" s="3271"/>
      <c r="H242" s="230"/>
      <c r="I242" s="230"/>
      <c r="J242" s="230"/>
      <c r="K242" s="230"/>
      <c r="L242" s="230"/>
      <c r="M242" s="228"/>
      <c r="N242" s="257"/>
      <c r="O242" s="228"/>
      <c r="P242" s="228"/>
      <c r="Q242" s="2552"/>
      <c r="R242" s="258"/>
      <c r="S242" s="2577"/>
      <c r="T242" s="2577"/>
      <c r="U242" s="254"/>
      <c r="V242" s="228"/>
      <c r="W242" s="2552"/>
      <c r="X242" s="256"/>
      <c r="Y242" s="248"/>
      <c r="Z242" s="248"/>
      <c r="AA242" s="248"/>
      <c r="AB242" s="247"/>
      <c r="AC242" s="248"/>
      <c r="AD242" s="248"/>
      <c r="AE242" s="194"/>
      <c r="AF242" s="249"/>
      <c r="AG242" s="250"/>
      <c r="AH242" s="251"/>
      <c r="AI242" s="252"/>
    </row>
    <row r="243" spans="2:35">
      <c r="B243" s="253">
        <f t="shared" si="10"/>
        <v>234</v>
      </c>
      <c r="C243" s="244"/>
      <c r="D243" s="661"/>
      <c r="E243" s="466"/>
      <c r="F243" s="615"/>
      <c r="G243" s="3271"/>
      <c r="H243" s="230"/>
      <c r="I243" s="230"/>
      <c r="J243" s="230"/>
      <c r="K243" s="230"/>
      <c r="L243" s="230"/>
      <c r="M243" s="228"/>
      <c r="N243" s="257"/>
      <c r="O243" s="228"/>
      <c r="P243" s="228"/>
      <c r="Q243" s="2552"/>
      <c r="R243" s="258"/>
      <c r="S243" s="2577"/>
      <c r="T243" s="2577"/>
      <c r="U243" s="254"/>
      <c r="V243" s="228"/>
      <c r="W243" s="2552"/>
      <c r="X243" s="256"/>
      <c r="Y243" s="248"/>
      <c r="Z243" s="248"/>
      <c r="AA243" s="248"/>
      <c r="AB243" s="247"/>
      <c r="AC243" s="248"/>
      <c r="AD243" s="248"/>
      <c r="AE243" s="194"/>
      <c r="AF243" s="249"/>
      <c r="AG243" s="250"/>
      <c r="AH243" s="251"/>
      <c r="AI243" s="252"/>
    </row>
    <row r="244" spans="2:35">
      <c r="B244" s="253">
        <f t="shared" si="10"/>
        <v>235</v>
      </c>
      <c r="C244" s="244"/>
      <c r="D244" s="661"/>
      <c r="E244" s="466"/>
      <c r="F244" s="615"/>
      <c r="G244" s="3271"/>
      <c r="H244" s="230"/>
      <c r="I244" s="230"/>
      <c r="J244" s="230"/>
      <c r="K244" s="230"/>
      <c r="L244" s="230"/>
      <c r="M244" s="228"/>
      <c r="N244" s="257"/>
      <c r="O244" s="228"/>
      <c r="P244" s="228"/>
      <c r="Q244" s="2552"/>
      <c r="R244" s="258"/>
      <c r="S244" s="2577"/>
      <c r="T244" s="2577"/>
      <c r="U244" s="254"/>
      <c r="V244" s="228"/>
      <c r="W244" s="2552"/>
      <c r="X244" s="256"/>
      <c r="Y244" s="248"/>
      <c r="Z244" s="248"/>
      <c r="AA244" s="248"/>
      <c r="AB244" s="247"/>
      <c r="AC244" s="248"/>
      <c r="AD244" s="248"/>
      <c r="AE244" s="194"/>
      <c r="AF244" s="249"/>
      <c r="AG244" s="250"/>
      <c r="AH244" s="251"/>
      <c r="AI244" s="252"/>
    </row>
    <row r="245" spans="2:35">
      <c r="B245" s="253">
        <f t="shared" si="10"/>
        <v>236</v>
      </c>
      <c r="C245" s="244"/>
      <c r="D245" s="661"/>
      <c r="E245" s="466"/>
      <c r="F245" s="615"/>
      <c r="G245" s="3271"/>
      <c r="H245" s="230"/>
      <c r="I245" s="230"/>
      <c r="J245" s="230"/>
      <c r="K245" s="230"/>
      <c r="L245" s="230"/>
      <c r="M245" s="228"/>
      <c r="N245" s="257"/>
      <c r="O245" s="228"/>
      <c r="P245" s="228"/>
      <c r="Q245" s="2552"/>
      <c r="R245" s="258"/>
      <c r="S245" s="2577"/>
      <c r="T245" s="2577"/>
      <c r="U245" s="254"/>
      <c r="V245" s="228"/>
      <c r="W245" s="2552"/>
      <c r="X245" s="256"/>
      <c r="Y245" s="248"/>
      <c r="Z245" s="248"/>
      <c r="AA245" s="248"/>
      <c r="AB245" s="247"/>
      <c r="AC245" s="248"/>
      <c r="AD245" s="248"/>
      <c r="AE245" s="194"/>
      <c r="AF245" s="249"/>
      <c r="AG245" s="250"/>
      <c r="AH245" s="251"/>
      <c r="AI245" s="252"/>
    </row>
    <row r="246" spans="2:35">
      <c r="B246" s="253">
        <f t="shared" si="10"/>
        <v>237</v>
      </c>
      <c r="C246" s="244"/>
      <c r="D246" s="661"/>
      <c r="E246" s="466"/>
      <c r="F246" s="615"/>
      <c r="G246" s="3271"/>
      <c r="H246" s="230"/>
      <c r="I246" s="230"/>
      <c r="J246" s="230"/>
      <c r="K246" s="230"/>
      <c r="L246" s="230"/>
      <c r="M246" s="228"/>
      <c r="N246" s="257"/>
      <c r="O246" s="228"/>
      <c r="P246" s="228"/>
      <c r="Q246" s="2552"/>
      <c r="R246" s="258"/>
      <c r="S246" s="2577"/>
      <c r="T246" s="2577"/>
      <c r="U246" s="254"/>
      <c r="V246" s="228"/>
      <c r="W246" s="2552"/>
      <c r="X246" s="256"/>
      <c r="Y246" s="248"/>
      <c r="Z246" s="248"/>
      <c r="AA246" s="248"/>
      <c r="AB246" s="247"/>
      <c r="AC246" s="248"/>
      <c r="AD246" s="248"/>
      <c r="AE246" s="194"/>
      <c r="AF246" s="249"/>
      <c r="AG246" s="250"/>
      <c r="AH246" s="251"/>
      <c r="AI246" s="252"/>
    </row>
    <row r="247" spans="2:35">
      <c r="B247" s="253">
        <f t="shared" si="10"/>
        <v>238</v>
      </c>
      <c r="C247" s="244"/>
      <c r="D247" s="661"/>
      <c r="E247" s="466"/>
      <c r="F247" s="615"/>
      <c r="G247" s="3271"/>
      <c r="H247" s="230"/>
      <c r="I247" s="230"/>
      <c r="J247" s="230"/>
      <c r="K247" s="230"/>
      <c r="L247" s="230"/>
      <c r="M247" s="228"/>
      <c r="N247" s="257"/>
      <c r="O247" s="228"/>
      <c r="P247" s="228"/>
      <c r="Q247" s="2552"/>
      <c r="R247" s="258"/>
      <c r="S247" s="2577"/>
      <c r="T247" s="2577"/>
      <c r="U247" s="254"/>
      <c r="V247" s="228"/>
      <c r="W247" s="2552"/>
      <c r="X247" s="256"/>
      <c r="Y247" s="248"/>
      <c r="Z247" s="248"/>
      <c r="AA247" s="248"/>
      <c r="AB247" s="247"/>
      <c r="AC247" s="248"/>
      <c r="AD247" s="248"/>
      <c r="AE247" s="194"/>
      <c r="AF247" s="249"/>
      <c r="AG247" s="250"/>
      <c r="AH247" s="251"/>
      <c r="AI247" s="252"/>
    </row>
    <row r="248" spans="2:35">
      <c r="B248" s="253">
        <f t="shared" si="10"/>
        <v>239</v>
      </c>
      <c r="C248" s="244"/>
      <c r="D248" s="661"/>
      <c r="E248" s="466"/>
      <c r="F248" s="615"/>
      <c r="G248" s="3271"/>
      <c r="H248" s="230"/>
      <c r="I248" s="230"/>
      <c r="J248" s="230"/>
      <c r="K248" s="230"/>
      <c r="L248" s="230"/>
      <c r="M248" s="228"/>
      <c r="N248" s="257"/>
      <c r="O248" s="228"/>
      <c r="P248" s="228"/>
      <c r="Q248" s="2552"/>
      <c r="R248" s="258"/>
      <c r="S248" s="2577"/>
      <c r="T248" s="2577"/>
      <c r="U248" s="254"/>
      <c r="V248" s="228"/>
      <c r="W248" s="2552"/>
      <c r="X248" s="256"/>
      <c r="Y248" s="248"/>
      <c r="Z248" s="248"/>
      <c r="AA248" s="248"/>
      <c r="AB248" s="247"/>
      <c r="AC248" s="248"/>
      <c r="AD248" s="248"/>
      <c r="AE248" s="194"/>
      <c r="AF248" s="249"/>
      <c r="AG248" s="250"/>
      <c r="AH248" s="251"/>
      <c r="AI248" s="252"/>
    </row>
    <row r="249" spans="2:35">
      <c r="B249" s="253">
        <f t="shared" si="10"/>
        <v>240</v>
      </c>
      <c r="C249" s="244"/>
      <c r="D249" s="661"/>
      <c r="E249" s="466"/>
      <c r="F249" s="615"/>
      <c r="G249" s="3271"/>
      <c r="H249" s="230"/>
      <c r="I249" s="230"/>
      <c r="J249" s="230"/>
      <c r="K249" s="230"/>
      <c r="L249" s="230"/>
      <c r="M249" s="228"/>
      <c r="N249" s="257"/>
      <c r="O249" s="228"/>
      <c r="P249" s="228"/>
      <c r="Q249" s="2552"/>
      <c r="R249" s="258"/>
      <c r="S249" s="2577"/>
      <c r="T249" s="2577"/>
      <c r="U249" s="254"/>
      <c r="V249" s="228"/>
      <c r="W249" s="2552"/>
      <c r="X249" s="256"/>
      <c r="Y249" s="248"/>
      <c r="Z249" s="248"/>
      <c r="AA249" s="248"/>
      <c r="AB249" s="247"/>
      <c r="AC249" s="248"/>
      <c r="AD249" s="248"/>
      <c r="AE249" s="194"/>
      <c r="AF249" s="249"/>
      <c r="AG249" s="250"/>
      <c r="AH249" s="251"/>
      <c r="AI249" s="252"/>
    </row>
    <row r="250" spans="2:35">
      <c r="B250" s="253">
        <f t="shared" si="10"/>
        <v>241</v>
      </c>
      <c r="C250" s="244"/>
      <c r="D250" s="661"/>
      <c r="E250" s="466"/>
      <c r="F250" s="615"/>
      <c r="G250" s="3271"/>
      <c r="H250" s="230"/>
      <c r="I250" s="230"/>
      <c r="J250" s="230"/>
      <c r="K250" s="230"/>
      <c r="L250" s="230"/>
      <c r="M250" s="228"/>
      <c r="N250" s="257"/>
      <c r="O250" s="228"/>
      <c r="P250" s="228"/>
      <c r="Q250" s="2552"/>
      <c r="R250" s="258"/>
      <c r="S250" s="2577"/>
      <c r="T250" s="2577"/>
      <c r="U250" s="254"/>
      <c r="V250" s="228"/>
      <c r="W250" s="2552"/>
      <c r="X250" s="256"/>
      <c r="Y250" s="248"/>
      <c r="Z250" s="248"/>
      <c r="AA250" s="248"/>
      <c r="AB250" s="247"/>
      <c r="AC250" s="248"/>
      <c r="AD250" s="248"/>
      <c r="AE250" s="194"/>
      <c r="AF250" s="249"/>
      <c r="AG250" s="250"/>
      <c r="AH250" s="251"/>
      <c r="AI250" s="252"/>
    </row>
    <row r="251" spans="2:35">
      <c r="B251" s="253">
        <f t="shared" si="10"/>
        <v>242</v>
      </c>
      <c r="C251" s="244"/>
      <c r="D251" s="661"/>
      <c r="E251" s="466"/>
      <c r="F251" s="615"/>
      <c r="G251" s="3271"/>
      <c r="H251" s="230"/>
      <c r="I251" s="230"/>
      <c r="J251" s="230"/>
      <c r="K251" s="230"/>
      <c r="L251" s="230"/>
      <c r="M251" s="228"/>
      <c r="N251" s="257"/>
      <c r="O251" s="228"/>
      <c r="P251" s="228"/>
      <c r="Q251" s="2552"/>
      <c r="R251" s="258"/>
      <c r="S251" s="2577"/>
      <c r="T251" s="2577"/>
      <c r="U251" s="254"/>
      <c r="V251" s="228"/>
      <c r="W251" s="2552"/>
      <c r="X251" s="256"/>
      <c r="Y251" s="248"/>
      <c r="Z251" s="248"/>
      <c r="AA251" s="248"/>
      <c r="AB251" s="247"/>
      <c r="AC251" s="248"/>
      <c r="AD251" s="248"/>
      <c r="AE251" s="194"/>
      <c r="AF251" s="249"/>
      <c r="AG251" s="250"/>
      <c r="AH251" s="251"/>
      <c r="AI251" s="252"/>
    </row>
    <row r="252" spans="2:35">
      <c r="B252" s="253">
        <f t="shared" si="10"/>
        <v>243</v>
      </c>
      <c r="C252" s="244"/>
      <c r="D252" s="661"/>
      <c r="E252" s="466"/>
      <c r="F252" s="615"/>
      <c r="G252" s="3271"/>
      <c r="H252" s="230"/>
      <c r="I252" s="230"/>
      <c r="J252" s="230"/>
      <c r="K252" s="230"/>
      <c r="L252" s="230"/>
      <c r="M252" s="228"/>
      <c r="N252" s="257"/>
      <c r="O252" s="228"/>
      <c r="P252" s="228"/>
      <c r="Q252" s="2552"/>
      <c r="R252" s="258"/>
      <c r="S252" s="2577"/>
      <c r="T252" s="2577"/>
      <c r="U252" s="254"/>
      <c r="V252" s="228"/>
      <c r="W252" s="2552"/>
      <c r="X252" s="256"/>
      <c r="Y252" s="248"/>
      <c r="Z252" s="248"/>
      <c r="AA252" s="248"/>
      <c r="AB252" s="247"/>
      <c r="AC252" s="248"/>
      <c r="AD252" s="248"/>
      <c r="AE252" s="194"/>
      <c r="AF252" s="249"/>
      <c r="AG252" s="250"/>
      <c r="AH252" s="251"/>
      <c r="AI252" s="252"/>
    </row>
    <row r="253" spans="2:35">
      <c r="B253" s="253">
        <f t="shared" si="10"/>
        <v>244</v>
      </c>
      <c r="C253" s="244"/>
      <c r="D253" s="661"/>
      <c r="E253" s="466"/>
      <c r="F253" s="615"/>
      <c r="G253" s="3271"/>
      <c r="H253" s="230"/>
      <c r="I253" s="230"/>
      <c r="J253" s="230"/>
      <c r="K253" s="230"/>
      <c r="L253" s="230"/>
      <c r="M253" s="228"/>
      <c r="N253" s="257"/>
      <c r="O253" s="228"/>
      <c r="P253" s="228"/>
      <c r="Q253" s="2552"/>
      <c r="R253" s="258"/>
      <c r="S253" s="2577"/>
      <c r="T253" s="2577"/>
      <c r="U253" s="254"/>
      <c r="V253" s="228"/>
      <c r="W253" s="2552"/>
      <c r="X253" s="256"/>
      <c r="Y253" s="248"/>
      <c r="Z253" s="248"/>
      <c r="AA253" s="248"/>
      <c r="AB253" s="247"/>
      <c r="AC253" s="248"/>
      <c r="AD253" s="248"/>
      <c r="AE253" s="194"/>
      <c r="AF253" s="249"/>
      <c r="AG253" s="250"/>
      <c r="AH253" s="251"/>
      <c r="AI253" s="252"/>
    </row>
    <row r="254" spans="2:35">
      <c r="B254" s="253">
        <f t="shared" si="10"/>
        <v>245</v>
      </c>
      <c r="C254" s="244"/>
      <c r="D254" s="661"/>
      <c r="E254" s="466"/>
      <c r="F254" s="615"/>
      <c r="G254" s="3271"/>
      <c r="H254" s="230"/>
      <c r="I254" s="230"/>
      <c r="J254" s="230"/>
      <c r="K254" s="230"/>
      <c r="L254" s="230"/>
      <c r="M254" s="228"/>
      <c r="N254" s="257"/>
      <c r="O254" s="228"/>
      <c r="P254" s="228"/>
      <c r="Q254" s="2552"/>
      <c r="R254" s="258"/>
      <c r="S254" s="2577"/>
      <c r="T254" s="2577"/>
      <c r="U254" s="254"/>
      <c r="V254" s="228"/>
      <c r="W254" s="2552"/>
      <c r="X254" s="256"/>
      <c r="Y254" s="248"/>
      <c r="Z254" s="248"/>
      <c r="AA254" s="248"/>
      <c r="AB254" s="247"/>
      <c r="AC254" s="248"/>
      <c r="AD254" s="248"/>
      <c r="AE254" s="194"/>
      <c r="AF254" s="249"/>
      <c r="AG254" s="250"/>
      <c r="AH254" s="251"/>
      <c r="AI254" s="252"/>
    </row>
    <row r="255" spans="2:35">
      <c r="B255" s="253">
        <f t="shared" si="10"/>
        <v>246</v>
      </c>
      <c r="C255" s="244"/>
      <c r="D255" s="661"/>
      <c r="E255" s="466"/>
      <c r="F255" s="615"/>
      <c r="G255" s="3271"/>
      <c r="H255" s="230"/>
      <c r="I255" s="230"/>
      <c r="J255" s="230"/>
      <c r="K255" s="230"/>
      <c r="L255" s="230"/>
      <c r="M255" s="228"/>
      <c r="N255" s="257"/>
      <c r="O255" s="228"/>
      <c r="P255" s="228"/>
      <c r="Q255" s="2552"/>
      <c r="R255" s="258"/>
      <c r="S255" s="2577"/>
      <c r="T255" s="2577"/>
      <c r="U255" s="254"/>
      <c r="V255" s="228"/>
      <c r="W255" s="2552"/>
      <c r="X255" s="256"/>
      <c r="Y255" s="248"/>
      <c r="Z255" s="248"/>
      <c r="AA255" s="248"/>
      <c r="AB255" s="247"/>
      <c r="AC255" s="248"/>
      <c r="AD255" s="248"/>
      <c r="AE255" s="194"/>
      <c r="AF255" s="249"/>
      <c r="AG255" s="250"/>
      <c r="AH255" s="251"/>
      <c r="AI255" s="252"/>
    </row>
    <row r="256" spans="2:35">
      <c r="B256" s="253">
        <f t="shared" si="10"/>
        <v>247</v>
      </c>
      <c r="C256" s="244"/>
      <c r="D256" s="661"/>
      <c r="E256" s="466"/>
      <c r="F256" s="615"/>
      <c r="G256" s="3271"/>
      <c r="H256" s="230"/>
      <c r="I256" s="230"/>
      <c r="J256" s="230"/>
      <c r="K256" s="230"/>
      <c r="L256" s="230"/>
      <c r="M256" s="228"/>
      <c r="N256" s="257"/>
      <c r="O256" s="228"/>
      <c r="P256" s="228"/>
      <c r="Q256" s="2552"/>
      <c r="R256" s="258"/>
      <c r="S256" s="2577"/>
      <c r="T256" s="2577"/>
      <c r="U256" s="254"/>
      <c r="V256" s="228"/>
      <c r="W256" s="2552"/>
      <c r="X256" s="256"/>
      <c r="Y256" s="248"/>
      <c r="Z256" s="248"/>
      <c r="AA256" s="248"/>
      <c r="AB256" s="247"/>
      <c r="AC256" s="248"/>
      <c r="AD256" s="248"/>
      <c r="AE256" s="194"/>
      <c r="AF256" s="249"/>
      <c r="AG256" s="250"/>
      <c r="AH256" s="251"/>
      <c r="AI256" s="252"/>
    </row>
    <row r="257" spans="2:35">
      <c r="B257" s="253">
        <f t="shared" si="10"/>
        <v>248</v>
      </c>
      <c r="C257" s="244"/>
      <c r="D257" s="661"/>
      <c r="E257" s="466"/>
      <c r="F257" s="615"/>
      <c r="G257" s="3271"/>
      <c r="H257" s="230"/>
      <c r="I257" s="230"/>
      <c r="J257" s="230"/>
      <c r="K257" s="230"/>
      <c r="L257" s="230"/>
      <c r="M257" s="228"/>
      <c r="N257" s="257"/>
      <c r="O257" s="228"/>
      <c r="P257" s="228"/>
      <c r="Q257" s="2552"/>
      <c r="R257" s="258"/>
      <c r="S257" s="2577"/>
      <c r="T257" s="2577"/>
      <c r="U257" s="254"/>
      <c r="V257" s="228"/>
      <c r="W257" s="2552"/>
      <c r="X257" s="256"/>
      <c r="Y257" s="248"/>
      <c r="Z257" s="248"/>
      <c r="AA257" s="248"/>
      <c r="AB257" s="247"/>
      <c r="AC257" s="248"/>
      <c r="AD257" s="248"/>
      <c r="AE257" s="194"/>
      <c r="AF257" s="249"/>
      <c r="AG257" s="250"/>
      <c r="AH257" s="251"/>
      <c r="AI257" s="252"/>
    </row>
    <row r="258" spans="2:35">
      <c r="B258" s="253">
        <f t="shared" ref="B258:B271" si="11">+B257+1</f>
        <v>249</v>
      </c>
      <c r="C258" s="244"/>
      <c r="D258" s="661"/>
      <c r="E258" s="466"/>
      <c r="F258" s="615"/>
      <c r="G258" s="3271"/>
      <c r="H258" s="230"/>
      <c r="I258" s="230"/>
      <c r="J258" s="230"/>
      <c r="K258" s="230"/>
      <c r="L258" s="230"/>
      <c r="M258" s="228"/>
      <c r="N258" s="257"/>
      <c r="O258" s="228"/>
      <c r="P258" s="228"/>
      <c r="Q258" s="2552"/>
      <c r="R258" s="258"/>
      <c r="S258" s="2577"/>
      <c r="T258" s="2577"/>
      <c r="U258" s="254"/>
      <c r="V258" s="228"/>
      <c r="W258" s="2552"/>
      <c r="X258" s="256"/>
      <c r="Y258" s="248"/>
      <c r="Z258" s="248"/>
      <c r="AA258" s="248"/>
      <c r="AB258" s="247"/>
      <c r="AC258" s="248"/>
      <c r="AD258" s="248"/>
      <c r="AE258" s="194"/>
      <c r="AF258" s="249"/>
      <c r="AG258" s="250"/>
      <c r="AH258" s="251"/>
      <c r="AI258" s="252"/>
    </row>
    <row r="259" spans="2:35">
      <c r="B259" s="253">
        <f t="shared" si="11"/>
        <v>250</v>
      </c>
      <c r="C259" s="244"/>
      <c r="D259" s="661"/>
      <c r="E259" s="466"/>
      <c r="F259" s="615"/>
      <c r="G259" s="3271"/>
      <c r="H259" s="230"/>
      <c r="I259" s="230"/>
      <c r="J259" s="230"/>
      <c r="K259" s="230"/>
      <c r="L259" s="230"/>
      <c r="M259" s="228"/>
      <c r="N259" s="257"/>
      <c r="O259" s="228"/>
      <c r="P259" s="228"/>
      <c r="Q259" s="2552"/>
      <c r="R259" s="258"/>
      <c r="S259" s="2577"/>
      <c r="T259" s="2577"/>
      <c r="U259" s="254"/>
      <c r="V259" s="228"/>
      <c r="W259" s="2552"/>
      <c r="X259" s="256"/>
      <c r="Y259" s="248"/>
      <c r="Z259" s="248"/>
      <c r="AA259" s="248"/>
      <c r="AB259" s="247"/>
      <c r="AC259" s="248"/>
      <c r="AD259" s="248"/>
      <c r="AE259" s="194"/>
      <c r="AF259" s="249"/>
      <c r="AG259" s="250"/>
      <c r="AH259" s="251"/>
      <c r="AI259" s="252"/>
    </row>
    <row r="260" spans="2:35">
      <c r="B260" s="253">
        <f t="shared" si="11"/>
        <v>251</v>
      </c>
      <c r="C260" s="244"/>
      <c r="D260" s="661"/>
      <c r="E260" s="466"/>
      <c r="F260" s="615"/>
      <c r="G260" s="3271"/>
      <c r="H260" s="230"/>
      <c r="I260" s="230"/>
      <c r="J260" s="230"/>
      <c r="K260" s="230"/>
      <c r="L260" s="230"/>
      <c r="M260" s="228"/>
      <c r="N260" s="257"/>
      <c r="O260" s="228"/>
      <c r="P260" s="228"/>
      <c r="Q260" s="2552"/>
      <c r="R260" s="258"/>
      <c r="S260" s="2577"/>
      <c r="T260" s="2577"/>
      <c r="U260" s="254"/>
      <c r="V260" s="228"/>
      <c r="W260" s="2552"/>
      <c r="X260" s="256"/>
      <c r="Y260" s="248"/>
      <c r="Z260" s="248"/>
      <c r="AA260" s="248"/>
      <c r="AB260" s="247"/>
      <c r="AC260" s="248"/>
      <c r="AD260" s="248"/>
      <c r="AE260" s="194"/>
      <c r="AF260" s="249"/>
      <c r="AG260" s="250"/>
      <c r="AH260" s="251"/>
      <c r="AI260" s="252"/>
    </row>
    <row r="261" spans="2:35">
      <c r="B261" s="253">
        <f t="shared" si="11"/>
        <v>252</v>
      </c>
      <c r="C261" s="244"/>
      <c r="D261" s="661"/>
      <c r="E261" s="466"/>
      <c r="F261" s="615"/>
      <c r="G261" s="3271"/>
      <c r="H261" s="230"/>
      <c r="I261" s="230"/>
      <c r="J261" s="230"/>
      <c r="K261" s="230"/>
      <c r="L261" s="230"/>
      <c r="M261" s="228"/>
      <c r="N261" s="257"/>
      <c r="O261" s="228"/>
      <c r="P261" s="228"/>
      <c r="Q261" s="2552"/>
      <c r="R261" s="258"/>
      <c r="S261" s="2577"/>
      <c r="T261" s="2577"/>
      <c r="U261" s="254"/>
      <c r="V261" s="228"/>
      <c r="W261" s="2552"/>
      <c r="X261" s="256"/>
      <c r="Y261" s="248"/>
      <c r="Z261" s="248"/>
      <c r="AA261" s="248"/>
      <c r="AB261" s="247"/>
      <c r="AC261" s="248"/>
      <c r="AD261" s="248"/>
      <c r="AE261" s="194"/>
      <c r="AF261" s="249"/>
      <c r="AG261" s="250"/>
      <c r="AH261" s="251"/>
      <c r="AI261" s="252"/>
    </row>
    <row r="262" spans="2:35">
      <c r="B262" s="253">
        <f t="shared" si="11"/>
        <v>253</v>
      </c>
      <c r="C262" s="244"/>
      <c r="D262" s="661"/>
      <c r="E262" s="466"/>
      <c r="F262" s="615"/>
      <c r="G262" s="3271"/>
      <c r="H262" s="230"/>
      <c r="I262" s="230"/>
      <c r="J262" s="230"/>
      <c r="K262" s="230"/>
      <c r="L262" s="230"/>
      <c r="M262" s="228"/>
      <c r="N262" s="257"/>
      <c r="O262" s="228"/>
      <c r="P262" s="228"/>
      <c r="Q262" s="2552"/>
      <c r="R262" s="258"/>
      <c r="S262" s="2577"/>
      <c r="T262" s="2577"/>
      <c r="U262" s="254"/>
      <c r="V262" s="228"/>
      <c r="W262" s="2552"/>
      <c r="X262" s="256"/>
      <c r="Y262" s="248"/>
      <c r="Z262" s="248"/>
      <c r="AA262" s="248"/>
      <c r="AB262" s="247"/>
      <c r="AC262" s="248"/>
      <c r="AD262" s="248"/>
      <c r="AE262" s="194"/>
      <c r="AF262" s="249"/>
      <c r="AG262" s="250"/>
      <c r="AH262" s="251"/>
      <c r="AI262" s="252"/>
    </row>
    <row r="263" spans="2:35">
      <c r="B263" s="253">
        <f t="shared" si="11"/>
        <v>254</v>
      </c>
      <c r="C263" s="244"/>
      <c r="D263" s="661"/>
      <c r="E263" s="466"/>
      <c r="F263" s="615"/>
      <c r="G263" s="3271"/>
      <c r="H263" s="230"/>
      <c r="I263" s="230"/>
      <c r="J263" s="230"/>
      <c r="K263" s="230"/>
      <c r="L263" s="230"/>
      <c r="M263" s="228"/>
      <c r="N263" s="257"/>
      <c r="O263" s="228"/>
      <c r="P263" s="228"/>
      <c r="Q263" s="2552"/>
      <c r="R263" s="258"/>
      <c r="S263" s="2577"/>
      <c r="T263" s="2577"/>
      <c r="U263" s="254"/>
      <c r="V263" s="228"/>
      <c r="W263" s="2552"/>
      <c r="X263" s="256"/>
      <c r="Y263" s="248"/>
      <c r="Z263" s="248"/>
      <c r="AA263" s="248"/>
      <c r="AB263" s="247"/>
      <c r="AC263" s="248"/>
      <c r="AD263" s="248"/>
      <c r="AE263" s="194"/>
      <c r="AF263" s="249"/>
      <c r="AG263" s="250"/>
      <c r="AH263" s="251"/>
      <c r="AI263" s="252"/>
    </row>
    <row r="264" spans="2:35">
      <c r="B264" s="253">
        <f t="shared" si="11"/>
        <v>255</v>
      </c>
      <c r="C264" s="244"/>
      <c r="D264" s="661"/>
      <c r="E264" s="466"/>
      <c r="F264" s="615"/>
      <c r="G264" s="3271"/>
      <c r="H264" s="230"/>
      <c r="I264" s="230"/>
      <c r="J264" s="230"/>
      <c r="K264" s="230"/>
      <c r="L264" s="230"/>
      <c r="M264" s="228"/>
      <c r="N264" s="257"/>
      <c r="O264" s="228"/>
      <c r="P264" s="228"/>
      <c r="Q264" s="2552"/>
      <c r="R264" s="258"/>
      <c r="S264" s="2577"/>
      <c r="T264" s="2577"/>
      <c r="U264" s="254"/>
      <c r="V264" s="228"/>
      <c r="W264" s="2552"/>
      <c r="X264" s="256"/>
      <c r="Y264" s="248"/>
      <c r="Z264" s="248"/>
      <c r="AA264" s="248"/>
      <c r="AB264" s="247"/>
      <c r="AC264" s="248"/>
      <c r="AD264" s="248"/>
      <c r="AE264" s="194"/>
      <c r="AF264" s="249"/>
      <c r="AG264" s="250"/>
      <c r="AH264" s="251"/>
      <c r="AI264" s="252"/>
    </row>
    <row r="265" spans="2:35">
      <c r="B265" s="253">
        <f t="shared" si="11"/>
        <v>256</v>
      </c>
      <c r="C265" s="244"/>
      <c r="D265" s="661"/>
      <c r="E265" s="466"/>
      <c r="F265" s="615"/>
      <c r="G265" s="3271"/>
      <c r="H265" s="230"/>
      <c r="I265" s="230"/>
      <c r="J265" s="230"/>
      <c r="K265" s="230"/>
      <c r="L265" s="230"/>
      <c r="M265" s="228"/>
      <c r="N265" s="257"/>
      <c r="O265" s="228"/>
      <c r="P265" s="228"/>
      <c r="Q265" s="2552"/>
      <c r="R265" s="258"/>
      <c r="S265" s="2577"/>
      <c r="T265" s="2577"/>
      <c r="U265" s="254"/>
      <c r="V265" s="228"/>
      <c r="W265" s="2552"/>
      <c r="X265" s="256"/>
      <c r="Y265" s="248"/>
      <c r="Z265" s="248"/>
      <c r="AA265" s="248"/>
      <c r="AB265" s="247"/>
      <c r="AC265" s="248"/>
      <c r="AD265" s="248"/>
      <c r="AE265" s="194"/>
      <c r="AF265" s="249"/>
      <c r="AG265" s="250"/>
      <c r="AH265" s="251"/>
      <c r="AI265" s="252"/>
    </row>
    <row r="266" spans="2:35">
      <c r="B266" s="253">
        <f t="shared" si="11"/>
        <v>257</v>
      </c>
      <c r="C266" s="244"/>
      <c r="D266" s="661"/>
      <c r="E266" s="466"/>
      <c r="F266" s="615"/>
      <c r="G266" s="3271"/>
      <c r="H266" s="230"/>
      <c r="I266" s="230"/>
      <c r="J266" s="230"/>
      <c r="K266" s="230"/>
      <c r="L266" s="230"/>
      <c r="M266" s="228"/>
      <c r="N266" s="257"/>
      <c r="O266" s="228"/>
      <c r="P266" s="228"/>
      <c r="Q266" s="2552"/>
      <c r="R266" s="258"/>
      <c r="S266" s="2577"/>
      <c r="T266" s="2577"/>
      <c r="U266" s="254"/>
      <c r="V266" s="228"/>
      <c r="W266" s="2552"/>
      <c r="X266" s="256"/>
      <c r="Y266" s="248"/>
      <c r="Z266" s="248"/>
      <c r="AA266" s="248"/>
      <c r="AB266" s="247"/>
      <c r="AC266" s="248"/>
      <c r="AD266" s="248"/>
      <c r="AE266" s="194"/>
      <c r="AF266" s="249"/>
      <c r="AG266" s="250"/>
      <c r="AH266" s="251"/>
      <c r="AI266" s="252"/>
    </row>
    <row r="267" spans="2:35">
      <c r="B267" s="253">
        <f t="shared" si="11"/>
        <v>258</v>
      </c>
      <c r="C267" s="244"/>
      <c r="D267" s="661"/>
      <c r="E267" s="466"/>
      <c r="F267" s="615"/>
      <c r="G267" s="3271"/>
      <c r="H267" s="230"/>
      <c r="I267" s="230"/>
      <c r="J267" s="230"/>
      <c r="K267" s="230"/>
      <c r="L267" s="230"/>
      <c r="M267" s="228"/>
      <c r="N267" s="257"/>
      <c r="O267" s="228"/>
      <c r="P267" s="228"/>
      <c r="Q267" s="2552"/>
      <c r="R267" s="258"/>
      <c r="S267" s="2577"/>
      <c r="T267" s="2577"/>
      <c r="U267" s="254"/>
      <c r="V267" s="228"/>
      <c r="W267" s="2552"/>
      <c r="X267" s="256"/>
      <c r="Y267" s="248"/>
      <c r="Z267" s="248"/>
      <c r="AA267" s="248"/>
      <c r="AB267" s="247"/>
      <c r="AC267" s="248"/>
      <c r="AD267" s="248"/>
      <c r="AE267" s="194"/>
      <c r="AF267" s="249"/>
      <c r="AG267" s="250"/>
      <c r="AH267" s="251"/>
      <c r="AI267" s="252"/>
    </row>
    <row r="268" spans="2:35">
      <c r="B268" s="253">
        <f t="shared" si="11"/>
        <v>259</v>
      </c>
      <c r="C268" s="244"/>
      <c r="D268" s="661"/>
      <c r="E268" s="466"/>
      <c r="F268" s="615"/>
      <c r="G268" s="3271"/>
      <c r="H268" s="230"/>
      <c r="I268" s="230"/>
      <c r="J268" s="230"/>
      <c r="K268" s="230"/>
      <c r="L268" s="230"/>
      <c r="M268" s="228"/>
      <c r="N268" s="257"/>
      <c r="O268" s="228"/>
      <c r="P268" s="228"/>
      <c r="Q268" s="2552"/>
      <c r="R268" s="258"/>
      <c r="S268" s="2577"/>
      <c r="T268" s="2577"/>
      <c r="U268" s="254"/>
      <c r="V268" s="228"/>
      <c r="W268" s="2552"/>
      <c r="X268" s="256"/>
      <c r="Y268" s="248"/>
      <c r="Z268" s="248"/>
      <c r="AA268" s="248"/>
      <c r="AB268" s="247"/>
      <c r="AC268" s="248"/>
      <c r="AD268" s="248"/>
      <c r="AE268" s="194"/>
      <c r="AF268" s="249"/>
      <c r="AG268" s="250"/>
      <c r="AH268" s="251"/>
      <c r="AI268" s="252"/>
    </row>
    <row r="269" spans="2:35">
      <c r="B269" s="253">
        <f t="shared" si="11"/>
        <v>260</v>
      </c>
      <c r="C269" s="244"/>
      <c r="D269" s="661"/>
      <c r="E269" s="466"/>
      <c r="F269" s="615"/>
      <c r="G269" s="3271"/>
      <c r="H269" s="230"/>
      <c r="I269" s="230"/>
      <c r="J269" s="230"/>
      <c r="K269" s="230"/>
      <c r="L269" s="230"/>
      <c r="M269" s="228"/>
      <c r="N269" s="257"/>
      <c r="O269" s="228"/>
      <c r="P269" s="228"/>
      <c r="Q269" s="2552"/>
      <c r="R269" s="258"/>
      <c r="S269" s="2577"/>
      <c r="T269" s="2577"/>
      <c r="U269" s="254"/>
      <c r="V269" s="228"/>
      <c r="W269" s="2552"/>
      <c r="X269" s="256"/>
      <c r="Y269" s="248"/>
      <c r="Z269" s="248"/>
      <c r="AA269" s="248"/>
      <c r="AB269" s="247"/>
      <c r="AC269" s="248"/>
      <c r="AD269" s="248"/>
      <c r="AE269" s="194"/>
      <c r="AF269" s="249"/>
      <c r="AG269" s="250"/>
      <c r="AH269" s="251"/>
      <c r="AI269" s="252"/>
    </row>
    <row r="270" spans="2:35">
      <c r="B270" s="253">
        <f t="shared" si="11"/>
        <v>261</v>
      </c>
      <c r="C270" s="244"/>
      <c r="D270" s="661"/>
      <c r="E270" s="466"/>
      <c r="F270" s="615"/>
      <c r="G270" s="3271"/>
      <c r="H270" s="230"/>
      <c r="I270" s="230"/>
      <c r="J270" s="230"/>
      <c r="K270" s="230"/>
      <c r="L270" s="230"/>
      <c r="M270" s="228"/>
      <c r="N270" s="257"/>
      <c r="O270" s="228"/>
      <c r="P270" s="228"/>
      <c r="Q270" s="2552"/>
      <c r="R270" s="258"/>
      <c r="S270" s="2577"/>
      <c r="T270" s="2577"/>
      <c r="U270" s="254"/>
      <c r="V270" s="228"/>
      <c r="W270" s="2552"/>
      <c r="X270" s="256"/>
      <c r="Y270" s="248"/>
      <c r="Z270" s="248"/>
      <c r="AA270" s="248"/>
      <c r="AB270" s="247"/>
      <c r="AC270" s="248"/>
      <c r="AD270" s="248"/>
      <c r="AE270" s="194"/>
      <c r="AF270" s="249"/>
      <c r="AG270" s="250"/>
      <c r="AH270" s="251"/>
      <c r="AI270" s="252"/>
    </row>
    <row r="271" spans="2:35">
      <c r="B271" s="253">
        <f t="shared" si="11"/>
        <v>262</v>
      </c>
      <c r="C271" s="244"/>
      <c r="D271" s="661"/>
      <c r="E271" s="466"/>
      <c r="F271" s="615"/>
      <c r="G271" s="3271"/>
      <c r="H271" s="230"/>
      <c r="I271" s="230"/>
      <c r="J271" s="230"/>
      <c r="K271" s="230"/>
      <c r="L271" s="230"/>
      <c r="M271" s="228"/>
      <c r="N271" s="257"/>
      <c r="O271" s="228"/>
      <c r="P271" s="228"/>
      <c r="Q271" s="2552"/>
      <c r="R271" s="258"/>
      <c r="S271" s="2577"/>
      <c r="T271" s="2577"/>
      <c r="U271" s="254"/>
      <c r="V271" s="228"/>
      <c r="W271" s="2552"/>
      <c r="X271" s="256"/>
      <c r="Y271" s="248"/>
      <c r="Z271" s="248"/>
      <c r="AA271" s="248"/>
      <c r="AB271" s="247"/>
      <c r="AC271" s="248"/>
      <c r="AD271" s="248"/>
      <c r="AE271" s="194"/>
      <c r="AF271" s="249"/>
      <c r="AG271" s="250"/>
      <c r="AH271" s="251"/>
      <c r="AI271" s="252"/>
    </row>
  </sheetData>
  <mergeCells count="13">
    <mergeCell ref="B9:M9"/>
    <mergeCell ref="B1:U1"/>
    <mergeCell ref="B4:M4"/>
    <mergeCell ref="O7:O8"/>
    <mergeCell ref="I7:I8"/>
    <mergeCell ref="D7:D8"/>
    <mergeCell ref="R7:R8"/>
    <mergeCell ref="T7:T8"/>
    <mergeCell ref="Q7:Q8"/>
    <mergeCell ref="E7:E8"/>
    <mergeCell ref="F7:F8"/>
    <mergeCell ref="H7:H8"/>
    <mergeCell ref="M7:M8"/>
  </mergeCells>
  <conditionalFormatting sqref="P4:Q4">
    <cfRule type="duplicateValues" dxfId="215" priority="6"/>
  </conditionalFormatting>
  <conditionalFormatting sqref="P10:Q271 P8 P5:Q7">
    <cfRule type="duplicateValues" dxfId="214" priority="748"/>
  </conditionalFormatting>
  <conditionalFormatting sqref="E5:E6 E10:E271">
    <cfRule type="duplicateValues" dxfId="213" priority="750"/>
  </conditionalFormatting>
  <conditionalFormatting sqref="E7">
    <cfRule type="duplicateValues" dxfId="212" priority="2"/>
  </conditionalFormatting>
  <conditionalFormatting sqref="P9:Q9">
    <cfRule type="duplicateValues" dxfId="211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747"/>
  <sheetViews>
    <sheetView topLeftCell="B1" zoomScale="85" zoomScaleNormal="85" workbookViewId="0">
      <pane xSplit="19" ySplit="3" topLeftCell="W494" activePane="bottomRight" state="frozen"/>
      <selection activeCell="H139" sqref="H139"/>
      <selection pane="topRight" activeCell="H139" sqref="H139"/>
      <selection pane="bottomLeft" activeCell="H139" sqref="H139"/>
      <selection pane="bottomRight" activeCell="N504" sqref="N504"/>
    </sheetView>
  </sheetViews>
  <sheetFormatPr defaultColWidth="9.109375" defaultRowHeight="15.6"/>
  <cols>
    <col min="1" max="1" width="5.5546875" style="226" hidden="1" customWidth="1"/>
    <col min="2" max="2" width="6.33203125" style="259" customWidth="1"/>
    <col min="3" max="3" width="8.5546875" style="260" hidden="1" customWidth="1"/>
    <col min="4" max="4" width="14.109375" style="264" customWidth="1"/>
    <col min="5" max="5" width="20.109375" style="467" customWidth="1"/>
    <col min="6" max="6" width="12.5546875" style="605" customWidth="1"/>
    <col min="7" max="7" width="17.88671875" style="262" customWidth="1"/>
    <col min="8" max="8" width="6.6640625" style="261" customWidth="1"/>
    <col min="9" max="11" width="5.109375" style="261" customWidth="1"/>
    <col min="12" max="12" width="4.6640625" style="263" hidden="1" customWidth="1"/>
    <col min="13" max="13" width="7.5546875" style="265" hidden="1" customWidth="1"/>
    <col min="14" max="14" width="22.33203125" style="263" customWidth="1"/>
    <col min="15" max="15" width="17.6640625" style="263" customWidth="1"/>
    <col min="16" max="16" width="30" style="266" customWidth="1"/>
    <col min="17" max="18" width="14" style="266" customWidth="1"/>
    <col min="19" max="19" width="12.5546875" style="263" customWidth="1"/>
    <col min="20" max="21" width="0.109375" style="263" customWidth="1"/>
    <col min="22" max="22" width="14.33203125" style="264" customWidth="1"/>
    <col min="23" max="23" width="15.6640625" style="268" customWidth="1"/>
    <col min="24" max="24" width="12.6640625" style="268" customWidth="1"/>
    <col min="25" max="25" width="14" style="268" hidden="1" customWidth="1"/>
    <col min="26" max="26" width="15.6640625" style="264" hidden="1" customWidth="1"/>
    <col min="27" max="27" width="14.44140625" style="268" customWidth="1"/>
    <col min="28" max="28" width="19.44140625" style="268" customWidth="1"/>
    <col min="29" max="29" width="15.5546875" style="269" customWidth="1"/>
    <col min="30" max="30" width="27" style="270" customWidth="1"/>
    <col min="31" max="31" width="18.6640625" style="271" customWidth="1"/>
    <col min="32" max="32" width="16.6640625" style="272" customWidth="1"/>
    <col min="33" max="33" width="15.109375" style="273" customWidth="1"/>
    <col min="34" max="34" width="20.44140625" style="274" hidden="1" customWidth="1"/>
    <col min="35" max="35" width="20.6640625" style="274" hidden="1" customWidth="1"/>
    <col min="36" max="36" width="22" style="274" hidden="1" customWidth="1"/>
    <col min="37" max="37" width="26.109375" style="269" hidden="1" customWidth="1"/>
    <col min="38" max="38" width="34.33203125" style="196" hidden="1" customWidth="1"/>
    <col min="39" max="39" width="18.88671875" style="196" bestFit="1" customWidth="1"/>
    <col min="40" max="40" width="15" style="196" bestFit="1" customWidth="1"/>
    <col min="41" max="16384" width="9.109375" style="196"/>
  </cols>
  <sheetData>
    <row r="1" spans="1:40" s="702" customFormat="1" ht="15.75" customHeight="1">
      <c r="B1" s="3813" t="s">
        <v>4366</v>
      </c>
      <c r="C1" s="3813"/>
      <c r="D1" s="3813"/>
      <c r="E1" s="3813"/>
      <c r="F1" s="3813"/>
      <c r="G1" s="3813"/>
      <c r="H1" s="3813"/>
      <c r="I1" s="3813"/>
      <c r="J1" s="3813"/>
      <c r="K1" s="3813"/>
      <c r="L1" s="3813"/>
      <c r="M1" s="3813"/>
      <c r="N1" s="3813"/>
      <c r="O1" s="3813"/>
      <c r="P1" s="3813"/>
      <c r="Q1" s="3813"/>
      <c r="R1" s="3813"/>
      <c r="S1" s="3813"/>
      <c r="T1" s="703"/>
      <c r="U1" s="703"/>
      <c r="V1" s="703"/>
      <c r="W1" s="703"/>
      <c r="X1" s="703"/>
      <c r="Y1" s="703"/>
      <c r="Z1" s="703"/>
      <c r="AA1" s="703"/>
      <c r="AB1" s="703"/>
      <c r="AC1" s="703"/>
      <c r="AD1" s="703"/>
      <c r="AE1" s="703"/>
      <c r="AF1" s="703"/>
      <c r="AG1" s="703"/>
      <c r="AH1" s="703"/>
      <c r="AI1" s="703"/>
      <c r="AJ1" s="703"/>
      <c r="AK1" s="703"/>
      <c r="AL1" s="703"/>
      <c r="AM1" s="703"/>
      <c r="AN1" s="703"/>
    </row>
    <row r="2" spans="1:40" ht="18">
      <c r="A2" s="193"/>
      <c r="B2" s="197"/>
      <c r="C2" s="198"/>
      <c r="D2" s="202"/>
      <c r="E2" s="455" t="s">
        <v>657</v>
      </c>
      <c r="F2" s="600"/>
      <c r="G2" s="2838" t="s">
        <v>6462</v>
      </c>
      <c r="H2" s="2832"/>
      <c r="I2" s="2833"/>
      <c r="J2" s="2832"/>
      <c r="K2" s="2832"/>
      <c r="L2" s="2834"/>
      <c r="M2" s="2835"/>
      <c r="N2" s="2835"/>
      <c r="O2" s="2835"/>
      <c r="P2" s="2836"/>
      <c r="Q2" s="2837"/>
      <c r="R2" s="2837"/>
      <c r="S2" s="202"/>
      <c r="T2" s="203"/>
      <c r="U2" s="2549"/>
      <c r="V2" s="202"/>
      <c r="W2" s="198"/>
      <c r="X2" s="198"/>
      <c r="Y2" s="198"/>
      <c r="Z2" s="199"/>
      <c r="AA2" s="199"/>
      <c r="AB2" s="199"/>
      <c r="AC2" s="199"/>
      <c r="AD2" s="205"/>
      <c r="AE2" s="199"/>
      <c r="AF2" s="199"/>
      <c r="AG2" s="206"/>
      <c r="AH2" s="207"/>
      <c r="AI2" s="207"/>
      <c r="AJ2" s="207"/>
      <c r="AK2" s="194"/>
      <c r="AL2" s="195"/>
      <c r="AM2" s="195"/>
    </row>
    <row r="3" spans="1:40" s="226" customFormat="1" ht="71.25" customHeight="1">
      <c r="A3" s="208" t="s">
        <v>174</v>
      </c>
      <c r="B3" s="209" t="s">
        <v>2</v>
      </c>
      <c r="C3" s="210" t="s">
        <v>3571</v>
      </c>
      <c r="D3" s="213" t="s">
        <v>3922</v>
      </c>
      <c r="E3" s="456" t="s">
        <v>175</v>
      </c>
      <c r="F3" s="601" t="s">
        <v>176</v>
      </c>
      <c r="G3" s="212" t="s">
        <v>177</v>
      </c>
      <c r="H3" s="211" t="s">
        <v>179</v>
      </c>
      <c r="I3" s="211" t="s">
        <v>8</v>
      </c>
      <c r="J3" s="211" t="s">
        <v>9</v>
      </c>
      <c r="K3" s="211" t="s">
        <v>102</v>
      </c>
      <c r="L3" s="211" t="s">
        <v>404</v>
      </c>
      <c r="M3" s="214" t="s">
        <v>183</v>
      </c>
      <c r="N3" s="211" t="s">
        <v>185</v>
      </c>
      <c r="O3" s="210" t="s">
        <v>188</v>
      </c>
      <c r="P3" s="215" t="s">
        <v>186</v>
      </c>
      <c r="Q3" s="2562" t="s">
        <v>5941</v>
      </c>
      <c r="R3" s="210" t="s">
        <v>4397</v>
      </c>
      <c r="S3" s="210" t="s">
        <v>8096</v>
      </c>
      <c r="T3" s="211" t="s">
        <v>3572</v>
      </c>
      <c r="U3" s="2550"/>
      <c r="V3" s="212" t="s">
        <v>1291</v>
      </c>
      <c r="W3" s="217" t="s">
        <v>190</v>
      </c>
      <c r="X3" s="217" t="s">
        <v>191</v>
      </c>
      <c r="Y3" s="218" t="s">
        <v>3573</v>
      </c>
      <c r="Z3" s="218" t="s">
        <v>3574</v>
      </c>
      <c r="AA3" s="219" t="s">
        <v>194</v>
      </c>
      <c r="AB3" s="219" t="s">
        <v>195</v>
      </c>
      <c r="AC3" s="220" t="s">
        <v>196</v>
      </c>
      <c r="AD3" s="221" t="s">
        <v>197</v>
      </c>
      <c r="AE3" s="218" t="s">
        <v>198</v>
      </c>
      <c r="AF3" s="219" t="s">
        <v>199</v>
      </c>
      <c r="AG3" s="222" t="s">
        <v>200</v>
      </c>
      <c r="AH3" s="223" t="s">
        <v>3575</v>
      </c>
      <c r="AI3" s="223" t="s">
        <v>3576</v>
      </c>
      <c r="AJ3" s="223" t="s">
        <v>3577</v>
      </c>
      <c r="AK3" s="224" t="s">
        <v>204</v>
      </c>
      <c r="AL3" s="225" t="s">
        <v>205</v>
      </c>
      <c r="AM3" s="225"/>
    </row>
    <row r="4" spans="1:40" ht="16.5" customHeight="1">
      <c r="A4" s="227"/>
      <c r="B4" s="228">
        <v>1</v>
      </c>
      <c r="C4" s="229"/>
      <c r="D4" s="233"/>
      <c r="E4" s="457">
        <v>105245148300</v>
      </c>
      <c r="F4" s="602">
        <v>44958</v>
      </c>
      <c r="G4" s="47" t="s">
        <v>3578</v>
      </c>
      <c r="H4" s="230" t="s">
        <v>3579</v>
      </c>
      <c r="I4" s="231"/>
      <c r="J4" s="231"/>
      <c r="K4" s="232">
        <v>1</v>
      </c>
      <c r="L4" s="228" t="s">
        <v>210</v>
      </c>
      <c r="M4" s="233"/>
      <c r="N4" s="235" t="s">
        <v>207</v>
      </c>
      <c r="O4" s="238"/>
      <c r="P4" s="236"/>
      <c r="Q4" s="2563"/>
      <c r="R4" s="2563"/>
      <c r="S4" s="237"/>
      <c r="T4" s="234" t="s">
        <v>3580</v>
      </c>
      <c r="U4" s="2551"/>
      <c r="V4" s="233"/>
      <c r="W4" s="285">
        <v>37440</v>
      </c>
      <c r="X4" s="275"/>
      <c r="Y4" s="285">
        <v>2604176</v>
      </c>
      <c r="Z4" s="275"/>
      <c r="AA4" s="276"/>
      <c r="AB4" s="340">
        <f t="shared" ref="AB4:AB9" si="0">V4+W4+X4+Y4+Z4+AA4</f>
        <v>2641616</v>
      </c>
      <c r="AC4" s="347">
        <f>+Z4</f>
        <v>0</v>
      </c>
      <c r="AD4" s="239"/>
      <c r="AE4" s="341">
        <v>2547600</v>
      </c>
      <c r="AF4" s="342">
        <f>+AB4+AE4</f>
        <v>5189216</v>
      </c>
      <c r="AG4" s="240"/>
      <c r="AH4" s="241"/>
      <c r="AI4" s="241"/>
      <c r="AJ4" s="241"/>
      <c r="AK4" s="242"/>
      <c r="AL4" s="243"/>
      <c r="AM4" s="195"/>
      <c r="AN4" s="196">
        <v>2547600</v>
      </c>
    </row>
    <row r="5" spans="1:40" ht="17.25" customHeight="1">
      <c r="B5" s="253">
        <v>2</v>
      </c>
      <c r="C5" s="244"/>
      <c r="D5" s="256"/>
      <c r="E5" s="458" t="s">
        <v>217</v>
      </c>
      <c r="F5" s="602">
        <v>44963</v>
      </c>
      <c r="G5" s="47" t="s">
        <v>3581</v>
      </c>
      <c r="H5" s="230" t="s">
        <v>210</v>
      </c>
      <c r="I5" s="230"/>
      <c r="J5" s="230">
        <v>1</v>
      </c>
      <c r="K5" s="230"/>
      <c r="L5" s="228" t="s">
        <v>210</v>
      </c>
      <c r="M5" s="257"/>
      <c r="N5" s="228" t="s">
        <v>3582</v>
      </c>
      <c r="O5" s="228" t="s">
        <v>218</v>
      </c>
      <c r="P5" s="245"/>
      <c r="Q5" s="2564"/>
      <c r="R5" s="2564"/>
      <c r="S5" s="254" t="s">
        <v>3583</v>
      </c>
      <c r="T5" s="228" t="s">
        <v>386</v>
      </c>
      <c r="U5" s="2552"/>
      <c r="V5" s="256"/>
      <c r="W5" s="373">
        <v>1050000</v>
      </c>
      <c r="X5" s="373">
        <v>961400</v>
      </c>
      <c r="Y5" s="248"/>
      <c r="Z5" s="247"/>
      <c r="AA5" s="248"/>
      <c r="AB5" s="340">
        <f t="shared" si="0"/>
        <v>2011400</v>
      </c>
      <c r="AC5" s="347">
        <f t="shared" ref="AC5:AC63" si="1">+Z5</f>
        <v>0</v>
      </c>
      <c r="AD5" s="249"/>
      <c r="AE5" s="341">
        <v>5396600</v>
      </c>
      <c r="AF5" s="342">
        <f t="shared" ref="AF5:AF63" si="2">+AB5+AE5</f>
        <v>7408000</v>
      </c>
      <c r="AG5" s="275">
        <f>+W5+X5</f>
        <v>2011400</v>
      </c>
      <c r="AH5" s="241"/>
      <c r="AI5" s="241"/>
      <c r="AJ5" s="241"/>
      <c r="AK5" s="194"/>
      <c r="AL5" s="195"/>
      <c r="AM5" s="195"/>
      <c r="AN5" s="196">
        <v>5396600</v>
      </c>
    </row>
    <row r="6" spans="1:40">
      <c r="B6" s="253">
        <v>3</v>
      </c>
      <c r="C6" s="244"/>
      <c r="D6" s="256"/>
      <c r="E6" s="458" t="s">
        <v>389</v>
      </c>
      <c r="F6" s="602">
        <v>44965</v>
      </c>
      <c r="G6" s="47" t="s">
        <v>3584</v>
      </c>
      <c r="H6" s="230" t="s">
        <v>210</v>
      </c>
      <c r="I6" s="230"/>
      <c r="J6" s="230">
        <v>1</v>
      </c>
      <c r="K6" s="230"/>
      <c r="L6" s="228" t="s">
        <v>210</v>
      </c>
      <c r="M6" s="257"/>
      <c r="N6" s="289" t="s">
        <v>402</v>
      </c>
      <c r="O6" s="228" t="s">
        <v>403</v>
      </c>
      <c r="P6" s="245"/>
      <c r="Q6" s="2564"/>
      <c r="R6" s="2564"/>
      <c r="S6" s="254"/>
      <c r="T6" s="228"/>
      <c r="U6" s="2552"/>
      <c r="V6" s="256"/>
      <c r="W6" s="373">
        <v>1300000</v>
      </c>
      <c r="X6" s="373">
        <v>1050000</v>
      </c>
      <c r="Y6" s="248"/>
      <c r="Z6" s="247"/>
      <c r="AA6" s="248"/>
      <c r="AB6" s="340">
        <f t="shared" si="0"/>
        <v>2350000</v>
      </c>
      <c r="AC6" s="347">
        <f t="shared" si="1"/>
        <v>0</v>
      </c>
      <c r="AD6" s="249"/>
      <c r="AE6" s="341">
        <v>5396600</v>
      </c>
      <c r="AF6" s="342">
        <f t="shared" si="2"/>
        <v>7746600</v>
      </c>
      <c r="AG6" s="275">
        <f>+W6+X6</f>
        <v>2350000</v>
      </c>
      <c r="AH6" s="241"/>
      <c r="AI6" s="241"/>
      <c r="AJ6" s="241"/>
      <c r="AK6" s="194"/>
      <c r="AL6" s="195"/>
      <c r="AM6" s="195"/>
      <c r="AN6" s="196">
        <v>5396600</v>
      </c>
    </row>
    <row r="7" spans="1:40">
      <c r="B7" s="253">
        <v>4</v>
      </c>
      <c r="C7" s="244"/>
      <c r="D7" s="256"/>
      <c r="E7" s="458" t="s">
        <v>289</v>
      </c>
      <c r="F7" s="602">
        <v>44977</v>
      </c>
      <c r="G7" s="47" t="s">
        <v>3585</v>
      </c>
      <c r="H7" s="230" t="s">
        <v>210</v>
      </c>
      <c r="I7" s="230"/>
      <c r="J7" s="230">
        <v>1</v>
      </c>
      <c r="K7" s="230"/>
      <c r="L7" s="228" t="s">
        <v>210</v>
      </c>
      <c r="M7" s="257"/>
      <c r="N7" s="289" t="s">
        <v>286</v>
      </c>
      <c r="O7" s="254" t="s">
        <v>288</v>
      </c>
      <c r="P7" s="245"/>
      <c r="Q7" s="2564"/>
      <c r="R7" s="2564"/>
      <c r="S7" s="254" t="s">
        <v>287</v>
      </c>
      <c r="T7" s="228" t="s">
        <v>386</v>
      </c>
      <c r="U7" s="2552"/>
      <c r="V7" s="256"/>
      <c r="W7" s="373">
        <v>709500</v>
      </c>
      <c r="X7" s="373">
        <v>1350000</v>
      </c>
      <c r="Y7" s="248"/>
      <c r="Z7" s="247"/>
      <c r="AA7" s="248"/>
      <c r="AB7" s="340">
        <f t="shared" si="0"/>
        <v>2059500</v>
      </c>
      <c r="AC7" s="347">
        <f t="shared" si="1"/>
        <v>0</v>
      </c>
      <c r="AD7" s="249"/>
      <c r="AE7" s="341">
        <v>5396600</v>
      </c>
      <c r="AF7" s="342">
        <f t="shared" si="2"/>
        <v>7456100</v>
      </c>
      <c r="AG7" s="275">
        <f>+W7+X7</f>
        <v>2059500</v>
      </c>
      <c r="AH7" s="241"/>
      <c r="AI7" s="241"/>
      <c r="AJ7" s="241"/>
      <c r="AK7" s="194"/>
      <c r="AL7" s="195"/>
      <c r="AM7" s="195"/>
      <c r="AN7" s="196">
        <v>5396600</v>
      </c>
    </row>
    <row r="8" spans="1:40" ht="46.8">
      <c r="B8" s="253">
        <v>5</v>
      </c>
      <c r="C8" s="244"/>
      <c r="D8" s="256"/>
      <c r="E8" s="457">
        <v>105285513320</v>
      </c>
      <c r="F8" s="602">
        <v>44980</v>
      </c>
      <c r="G8" s="47" t="s">
        <v>3586</v>
      </c>
      <c r="H8" s="230" t="s">
        <v>3579</v>
      </c>
      <c r="I8" s="230"/>
      <c r="J8" s="230">
        <v>2</v>
      </c>
      <c r="K8" s="230"/>
      <c r="L8" s="228"/>
      <c r="M8" s="257"/>
      <c r="N8" s="228" t="s">
        <v>375</v>
      </c>
      <c r="O8" s="254" t="s">
        <v>3587</v>
      </c>
      <c r="P8" s="245"/>
      <c r="Q8" s="2564"/>
      <c r="R8" s="2564"/>
      <c r="S8" s="254"/>
      <c r="T8" s="228"/>
      <c r="U8" s="2552"/>
      <c r="V8" s="256"/>
      <c r="W8" s="324">
        <v>2035000</v>
      </c>
      <c r="X8" s="373">
        <v>2700000</v>
      </c>
      <c r="Y8" s="248"/>
      <c r="Z8" s="247"/>
      <c r="AA8" s="248"/>
      <c r="AB8" s="340">
        <f t="shared" si="0"/>
        <v>4735000</v>
      </c>
      <c r="AC8" s="347">
        <f t="shared" si="1"/>
        <v>0</v>
      </c>
      <c r="AD8" s="249" t="s">
        <v>3588</v>
      </c>
      <c r="AE8" s="341">
        <v>8813200</v>
      </c>
      <c r="AF8" s="342">
        <f t="shared" si="2"/>
        <v>13548200</v>
      </c>
      <c r="AG8" s="275">
        <f>+X8</f>
        <v>2700000</v>
      </c>
      <c r="AH8" s="241"/>
      <c r="AI8" s="241"/>
      <c r="AJ8" s="241"/>
      <c r="AK8" s="194"/>
      <c r="AL8" s="195"/>
      <c r="AM8" s="195"/>
      <c r="AN8" s="196">
        <v>8813200</v>
      </c>
    </row>
    <row r="9" spans="1:40">
      <c r="B9" s="253">
        <v>6</v>
      </c>
      <c r="C9" s="244"/>
      <c r="D9" s="256"/>
      <c r="E9" s="457">
        <v>105283687720</v>
      </c>
      <c r="F9" s="602">
        <v>44980</v>
      </c>
      <c r="G9" s="47" t="s">
        <v>3589</v>
      </c>
      <c r="H9" s="230" t="s">
        <v>3579</v>
      </c>
      <c r="I9" s="230"/>
      <c r="J9" s="230"/>
      <c r="K9" s="230">
        <v>1</v>
      </c>
      <c r="L9" s="228"/>
      <c r="M9" s="257"/>
      <c r="N9" s="228" t="s">
        <v>376</v>
      </c>
      <c r="O9" s="228"/>
      <c r="P9" s="245"/>
      <c r="Q9" s="2564"/>
      <c r="R9" s="2564"/>
      <c r="S9" s="254"/>
      <c r="T9" s="228"/>
      <c r="U9" s="2552"/>
      <c r="V9" s="256"/>
      <c r="W9" s="248"/>
      <c r="X9" s="248"/>
      <c r="Y9" s="248"/>
      <c r="Z9" s="247"/>
      <c r="AA9" s="248"/>
      <c r="AB9" s="340">
        <f t="shared" si="0"/>
        <v>0</v>
      </c>
      <c r="AC9" s="347">
        <f t="shared" si="1"/>
        <v>0</v>
      </c>
      <c r="AD9" s="249" t="s">
        <v>3588</v>
      </c>
      <c r="AE9" s="341">
        <v>1557600.0000000002</v>
      </c>
      <c r="AF9" s="342">
        <f t="shared" si="2"/>
        <v>1557600.0000000002</v>
      </c>
      <c r="AG9" s="252"/>
      <c r="AH9" s="241"/>
      <c r="AI9" s="241"/>
      <c r="AJ9" s="241"/>
      <c r="AK9" s="194"/>
      <c r="AL9" s="195"/>
      <c r="AM9" s="195"/>
      <c r="AN9" s="196">
        <v>1557600.0000000002</v>
      </c>
    </row>
    <row r="10" spans="1:40" s="13" customFormat="1" ht="23.25" customHeight="1">
      <c r="A10" s="649" t="s">
        <v>3590</v>
      </c>
      <c r="B10" s="650"/>
      <c r="C10" s="650"/>
      <c r="D10" s="346"/>
      <c r="E10" s="650"/>
      <c r="F10" s="650"/>
      <c r="G10" s="650"/>
      <c r="H10" s="650"/>
      <c r="I10" s="369"/>
      <c r="J10" s="346"/>
      <c r="K10" s="346"/>
      <c r="L10" s="346"/>
      <c r="M10" s="346"/>
      <c r="N10" s="346"/>
      <c r="O10" s="354"/>
      <c r="P10" s="346"/>
      <c r="Q10" s="346"/>
      <c r="R10" s="346"/>
      <c r="S10" s="346"/>
      <c r="T10" s="346"/>
      <c r="U10" s="346"/>
      <c r="V10" s="357"/>
      <c r="W10" s="357"/>
      <c r="X10" s="357"/>
      <c r="Y10" s="357"/>
      <c r="Z10" s="357"/>
      <c r="AA10" s="357"/>
      <c r="AB10" s="358">
        <f>SUM(AB4:AB9)</f>
        <v>13797516</v>
      </c>
      <c r="AC10" s="358">
        <f>SUM(AC4:AC9)</f>
        <v>0</v>
      </c>
      <c r="AD10" s="359"/>
      <c r="AE10" s="360">
        <f>SUM(AE4:AE9)</f>
        <v>29108200</v>
      </c>
      <c r="AF10" s="358">
        <f>+AB10+AC10+AE10</f>
        <v>42905716</v>
      </c>
      <c r="AG10" s="357"/>
      <c r="AH10" s="357"/>
      <c r="AI10" s="357"/>
      <c r="AJ10" s="357"/>
      <c r="AK10" s="357"/>
      <c r="AL10" s="357"/>
      <c r="AM10" s="357"/>
    </row>
    <row r="11" spans="1:40" ht="78">
      <c r="B11" s="253">
        <v>1</v>
      </c>
      <c r="C11" s="244"/>
      <c r="D11" s="256"/>
      <c r="E11" s="459" t="s">
        <v>3591</v>
      </c>
      <c r="F11" s="603"/>
      <c r="G11" s="47" t="s">
        <v>3592</v>
      </c>
      <c r="H11" s="230"/>
      <c r="I11" s="230"/>
      <c r="J11" s="230"/>
      <c r="K11" s="230"/>
      <c r="L11" s="228"/>
      <c r="M11" s="257"/>
      <c r="N11" s="228"/>
      <c r="O11" s="228"/>
      <c r="P11" s="245"/>
      <c r="Q11" s="2564"/>
      <c r="R11" s="2564"/>
      <c r="S11" s="254"/>
      <c r="T11" s="228"/>
      <c r="U11" s="2552"/>
      <c r="V11" s="256"/>
      <c r="W11" s="248"/>
      <c r="X11" s="248"/>
      <c r="Y11" s="248"/>
      <c r="Z11" s="247"/>
      <c r="AA11" s="248"/>
      <c r="AB11" s="340">
        <f>V11+W11+X11+Y11+Z11+AA11</f>
        <v>0</v>
      </c>
      <c r="AC11" s="347">
        <f>+Z11</f>
        <v>0</v>
      </c>
      <c r="AD11" s="249" t="s">
        <v>647</v>
      </c>
      <c r="AE11" s="341">
        <v>2200000</v>
      </c>
      <c r="AF11" s="342">
        <f>+AB11+AE11</f>
        <v>2200000</v>
      </c>
      <c r="AG11" s="275"/>
      <c r="AH11" s="241"/>
      <c r="AI11" s="241"/>
      <c r="AJ11" s="241"/>
      <c r="AK11" s="194"/>
      <c r="AL11" s="195"/>
      <c r="AM11" s="195"/>
    </row>
    <row r="12" spans="1:40">
      <c r="B12" s="253">
        <v>2</v>
      </c>
      <c r="C12" s="244"/>
      <c r="D12" s="256"/>
      <c r="E12" s="460" t="s">
        <v>419</v>
      </c>
      <c r="F12" s="603">
        <v>44986</v>
      </c>
      <c r="G12" s="47" t="s">
        <v>3593</v>
      </c>
      <c r="H12" s="230" t="s">
        <v>210</v>
      </c>
      <c r="I12" s="230"/>
      <c r="J12" s="230">
        <v>1</v>
      </c>
      <c r="K12" s="230"/>
      <c r="L12" s="228" t="s">
        <v>210</v>
      </c>
      <c r="M12" s="257"/>
      <c r="N12" s="228" t="s">
        <v>421</v>
      </c>
      <c r="O12" s="254" t="s">
        <v>420</v>
      </c>
      <c r="P12" s="245"/>
      <c r="Q12" s="2564"/>
      <c r="R12" s="2564"/>
      <c r="S12" s="254"/>
      <c r="T12" s="228"/>
      <c r="U12" s="2552"/>
      <c r="V12" s="256"/>
      <c r="W12" s="452">
        <v>1065000</v>
      </c>
      <c r="X12" s="373">
        <v>1115000</v>
      </c>
      <c r="Y12" s="248"/>
      <c r="Z12" s="247"/>
      <c r="AA12" s="248"/>
      <c r="AB12" s="340">
        <f>V12+W12+X12+Y12+Z12+AA12</f>
        <v>2180000</v>
      </c>
      <c r="AC12" s="347">
        <f t="shared" si="1"/>
        <v>0</v>
      </c>
      <c r="AD12" s="249" t="s">
        <v>3594</v>
      </c>
      <c r="AE12" s="341">
        <v>5750800</v>
      </c>
      <c r="AF12" s="342">
        <f>+AB12+AE12</f>
        <v>7930800</v>
      </c>
      <c r="AG12" s="275">
        <f>+W12+X12</f>
        <v>2180000</v>
      </c>
      <c r="AH12" s="241"/>
      <c r="AI12" s="241"/>
      <c r="AJ12" s="241"/>
      <c r="AK12" s="194"/>
      <c r="AL12" s="195"/>
      <c r="AM12" s="195"/>
    </row>
    <row r="13" spans="1:40" ht="31.2">
      <c r="B13" s="253">
        <v>3</v>
      </c>
      <c r="C13" s="244"/>
      <c r="D13" s="256"/>
      <c r="E13" s="460" t="s">
        <v>422</v>
      </c>
      <c r="F13" s="603">
        <v>44987</v>
      </c>
      <c r="G13" s="47" t="s">
        <v>3595</v>
      </c>
      <c r="H13" s="230" t="s">
        <v>210</v>
      </c>
      <c r="I13" s="230"/>
      <c r="J13" s="230">
        <v>2</v>
      </c>
      <c r="K13" s="230"/>
      <c r="L13" s="228" t="s">
        <v>210</v>
      </c>
      <c r="M13" s="257"/>
      <c r="N13" s="228">
        <v>22351222</v>
      </c>
      <c r="O13" s="254" t="s">
        <v>423</v>
      </c>
      <c r="P13" s="245"/>
      <c r="Q13" s="2564"/>
      <c r="R13" s="2564"/>
      <c r="S13" s="254"/>
      <c r="T13" s="228"/>
      <c r="U13" s="2552"/>
      <c r="V13" s="256"/>
      <c r="W13" s="373">
        <f>1056000+1056000</f>
        <v>2112000</v>
      </c>
      <c r="X13" s="373">
        <f>920000+920000</f>
        <v>1840000</v>
      </c>
      <c r="Y13" s="248"/>
      <c r="Z13" s="247"/>
      <c r="AA13" s="248"/>
      <c r="AB13" s="340">
        <f>W13+X13+Y13+Z13+AA13</f>
        <v>3952000</v>
      </c>
      <c r="AC13" s="347">
        <f t="shared" si="1"/>
        <v>0</v>
      </c>
      <c r="AD13" s="249"/>
      <c r="AE13" s="341">
        <v>10511600</v>
      </c>
      <c r="AF13" s="342">
        <f t="shared" si="2"/>
        <v>14463600</v>
      </c>
      <c r="AG13" s="275">
        <f>+W13+X13</f>
        <v>3952000</v>
      </c>
      <c r="AH13" s="241"/>
      <c r="AI13" s="241"/>
      <c r="AJ13" s="241"/>
      <c r="AK13" s="194"/>
      <c r="AL13" s="195"/>
      <c r="AM13" s="195"/>
    </row>
    <row r="14" spans="1:40">
      <c r="B14" s="253">
        <v>4</v>
      </c>
      <c r="C14" s="244"/>
      <c r="D14" s="256"/>
      <c r="E14" s="458" t="s">
        <v>424</v>
      </c>
      <c r="F14" s="603">
        <v>44993</v>
      </c>
      <c r="G14" s="394" t="s">
        <v>3596</v>
      </c>
      <c r="H14" s="230" t="s">
        <v>210</v>
      </c>
      <c r="I14" s="230">
        <v>1</v>
      </c>
      <c r="J14" s="230"/>
      <c r="K14" s="230"/>
      <c r="L14" s="228"/>
      <c r="M14" s="257"/>
      <c r="N14" s="228" t="s">
        <v>425</v>
      </c>
      <c r="O14" s="228" t="s">
        <v>426</v>
      </c>
      <c r="P14" s="245"/>
      <c r="Q14" s="2564"/>
      <c r="R14" s="2564"/>
      <c r="S14" s="254"/>
      <c r="T14" s="228"/>
      <c r="U14" s="2552"/>
      <c r="V14" s="256"/>
      <c r="W14" s="373">
        <v>900000</v>
      </c>
      <c r="X14" s="373">
        <v>401500</v>
      </c>
      <c r="Y14" s="248"/>
      <c r="Z14" s="247"/>
      <c r="AA14" s="248"/>
      <c r="AB14" s="340">
        <f t="shared" ref="AB14:AB24" si="3">W14+X14+Y14+Z14+AA14</f>
        <v>1301500</v>
      </c>
      <c r="AC14" s="347">
        <f t="shared" si="1"/>
        <v>0</v>
      </c>
      <c r="AD14" s="249" t="s">
        <v>3597</v>
      </c>
      <c r="AE14" s="341">
        <v>4320800</v>
      </c>
      <c r="AF14" s="342">
        <f t="shared" si="2"/>
        <v>5622300</v>
      </c>
      <c r="AG14" s="275">
        <f>+W14+X14</f>
        <v>1301500</v>
      </c>
      <c r="AH14" s="241"/>
      <c r="AI14" s="241"/>
      <c r="AJ14" s="241"/>
      <c r="AK14" s="194"/>
      <c r="AL14" s="195"/>
      <c r="AM14" s="195"/>
    </row>
    <row r="15" spans="1:40" ht="16.5" customHeight="1">
      <c r="B15" s="253">
        <v>5</v>
      </c>
      <c r="C15" s="244"/>
      <c r="D15" s="256"/>
      <c r="E15" s="651" t="s">
        <v>660</v>
      </c>
      <c r="F15" s="603">
        <v>44992</v>
      </c>
      <c r="G15" s="47" t="s">
        <v>3598</v>
      </c>
      <c r="H15" s="230" t="s">
        <v>3579</v>
      </c>
      <c r="I15" s="402">
        <v>1</v>
      </c>
      <c r="J15" s="230"/>
      <c r="K15" s="230"/>
      <c r="L15" s="375" t="s">
        <v>418</v>
      </c>
      <c r="M15" s="257"/>
      <c r="N15" s="254" t="s">
        <v>518</v>
      </c>
      <c r="O15" s="3847" t="s">
        <v>427</v>
      </c>
      <c r="P15" s="245"/>
      <c r="Q15" s="2564"/>
      <c r="R15" s="2564"/>
      <c r="S15" s="254"/>
      <c r="T15" s="228"/>
      <c r="U15" s="2552"/>
      <c r="V15" s="256"/>
      <c r="W15" s="324">
        <v>660000</v>
      </c>
      <c r="X15" s="373">
        <v>940000</v>
      </c>
      <c r="Y15" s="248"/>
      <c r="Z15" s="325">
        <v>3437016</v>
      </c>
      <c r="AA15" s="324">
        <v>302500</v>
      </c>
      <c r="AB15" s="340">
        <f t="shared" si="3"/>
        <v>5339516</v>
      </c>
      <c r="AC15" s="347">
        <f t="shared" si="1"/>
        <v>3437016</v>
      </c>
      <c r="AD15" s="3845" t="s">
        <v>417</v>
      </c>
      <c r="AE15" s="3833">
        <f>5678000*1.1</f>
        <v>6245800.0000000009</v>
      </c>
      <c r="AF15" s="3835">
        <f t="shared" si="2"/>
        <v>11585316</v>
      </c>
      <c r="AG15" s="275">
        <f>+X15</f>
        <v>940000</v>
      </c>
      <c r="AH15" s="3843">
        <v>1000000</v>
      </c>
      <c r="AI15" s="241"/>
      <c r="AJ15" s="241"/>
      <c r="AK15" s="194"/>
      <c r="AL15" s="195"/>
      <c r="AM15" s="195"/>
    </row>
    <row r="16" spans="1:40">
      <c r="B16" s="253"/>
      <c r="C16" s="244"/>
      <c r="D16" s="256"/>
      <c r="E16" s="652"/>
      <c r="F16" s="603">
        <v>44992</v>
      </c>
      <c r="G16" s="47" t="s">
        <v>3599</v>
      </c>
      <c r="H16" s="230" t="s">
        <v>3579</v>
      </c>
      <c r="I16" s="419"/>
      <c r="J16" s="230"/>
      <c r="K16" s="230"/>
      <c r="L16" s="375" t="s">
        <v>418</v>
      </c>
      <c r="M16" s="257"/>
      <c r="N16" s="228" t="s">
        <v>517</v>
      </c>
      <c r="O16" s="3848"/>
      <c r="P16" s="245"/>
      <c r="Q16" s="2564"/>
      <c r="R16" s="2564"/>
      <c r="S16" s="254"/>
      <c r="T16" s="228"/>
      <c r="U16" s="2552"/>
      <c r="V16" s="256"/>
      <c r="W16" s="248"/>
      <c r="X16" s="248"/>
      <c r="Y16" s="248"/>
      <c r="Z16" s="247"/>
      <c r="AA16" s="248"/>
      <c r="AB16" s="340">
        <f t="shared" si="3"/>
        <v>0</v>
      </c>
      <c r="AC16" s="347">
        <f t="shared" si="1"/>
        <v>0</v>
      </c>
      <c r="AD16" s="3846"/>
      <c r="AE16" s="3834"/>
      <c r="AF16" s="3836"/>
      <c r="AG16" s="275"/>
      <c r="AH16" s="3844"/>
      <c r="AI16" s="241"/>
      <c r="AJ16" s="241"/>
      <c r="AK16" s="194"/>
      <c r="AL16" s="195"/>
      <c r="AM16" s="195"/>
    </row>
    <row r="17" spans="1:39">
      <c r="B17" s="253">
        <v>6</v>
      </c>
      <c r="C17" s="244"/>
      <c r="D17" s="256"/>
      <c r="E17" s="458" t="s">
        <v>563</v>
      </c>
      <c r="F17" s="603" t="s">
        <v>520</v>
      </c>
      <c r="G17" s="394" t="s">
        <v>3600</v>
      </c>
      <c r="H17" s="230" t="s">
        <v>210</v>
      </c>
      <c r="I17" s="230"/>
      <c r="J17" s="230">
        <v>1</v>
      </c>
      <c r="K17" s="230"/>
      <c r="L17" s="228"/>
      <c r="M17" s="257"/>
      <c r="N17" s="254" t="s">
        <v>542</v>
      </c>
      <c r="O17" s="228" t="s">
        <v>564</v>
      </c>
      <c r="P17" s="245"/>
      <c r="Q17" s="2564"/>
      <c r="R17" s="2564"/>
      <c r="S17" s="254"/>
      <c r="T17" s="228"/>
      <c r="U17" s="2552"/>
      <c r="V17" s="256"/>
      <c r="W17" s="373">
        <v>1100000</v>
      </c>
      <c r="X17" s="373">
        <v>709500</v>
      </c>
      <c r="Y17" s="248"/>
      <c r="Z17" s="247"/>
      <c r="AA17" s="248"/>
      <c r="AB17" s="340">
        <f t="shared" si="3"/>
        <v>1809500</v>
      </c>
      <c r="AC17" s="347">
        <f>+Z17</f>
        <v>0</v>
      </c>
      <c r="AD17" s="249" t="s">
        <v>3597</v>
      </c>
      <c r="AE17" s="341">
        <v>4430800</v>
      </c>
      <c r="AF17" s="342">
        <f t="shared" si="2"/>
        <v>6240300</v>
      </c>
      <c r="AG17" s="275">
        <f>+W17+X17</f>
        <v>1809500</v>
      </c>
      <c r="AH17" s="241"/>
      <c r="AI17" s="241"/>
      <c r="AJ17" s="241"/>
      <c r="AK17" s="194"/>
      <c r="AL17" s="195"/>
      <c r="AM17" s="195"/>
    </row>
    <row r="18" spans="1:39">
      <c r="B18" s="253">
        <v>7</v>
      </c>
      <c r="C18" s="244"/>
      <c r="D18" s="256"/>
      <c r="E18" s="458" t="s">
        <v>565</v>
      </c>
      <c r="F18" s="603" t="s">
        <v>520</v>
      </c>
      <c r="G18" s="394" t="s">
        <v>3601</v>
      </c>
      <c r="H18" s="230" t="s">
        <v>210</v>
      </c>
      <c r="I18" s="230"/>
      <c r="J18" s="230">
        <v>1</v>
      </c>
      <c r="K18" s="230"/>
      <c r="L18" s="228"/>
      <c r="M18" s="257"/>
      <c r="N18" s="254" t="s">
        <v>543</v>
      </c>
      <c r="O18" s="228" t="s">
        <v>566</v>
      </c>
      <c r="P18" s="245"/>
      <c r="Q18" s="2564"/>
      <c r="R18" s="2564"/>
      <c r="S18" s="254"/>
      <c r="T18" s="228"/>
      <c r="U18" s="2552"/>
      <c r="V18" s="256"/>
      <c r="W18" s="373">
        <v>1100000</v>
      </c>
      <c r="X18" s="373">
        <v>709500</v>
      </c>
      <c r="Y18" s="248"/>
      <c r="Z18" s="247"/>
      <c r="AA18" s="248"/>
      <c r="AB18" s="340">
        <f t="shared" si="3"/>
        <v>1809500</v>
      </c>
      <c r="AC18" s="347">
        <f>+Z18</f>
        <v>0</v>
      </c>
      <c r="AD18" s="249" t="s">
        <v>3597</v>
      </c>
      <c r="AE18" s="341">
        <v>4430800</v>
      </c>
      <c r="AF18" s="342">
        <f t="shared" si="2"/>
        <v>6240300</v>
      </c>
      <c r="AG18" s="275">
        <f t="shared" ref="AG18:AG24" si="4">+W18+X18</f>
        <v>1809500</v>
      </c>
      <c r="AH18" s="241"/>
      <c r="AI18" s="241"/>
      <c r="AJ18" s="241"/>
      <c r="AK18" s="194"/>
      <c r="AL18" s="195"/>
      <c r="AM18" s="195"/>
    </row>
    <row r="19" spans="1:39">
      <c r="B19" s="253">
        <v>8</v>
      </c>
      <c r="C19" s="244"/>
      <c r="D19" s="256"/>
      <c r="E19" s="458" t="s">
        <v>567</v>
      </c>
      <c r="F19" s="603" t="s">
        <v>453</v>
      </c>
      <c r="G19" s="394" t="s">
        <v>3602</v>
      </c>
      <c r="H19" s="230" t="s">
        <v>210</v>
      </c>
      <c r="I19" s="230">
        <v>1</v>
      </c>
      <c r="J19" s="230"/>
      <c r="K19" s="230"/>
      <c r="L19" s="228"/>
      <c r="M19" s="257"/>
      <c r="N19" s="254" t="s">
        <v>544</v>
      </c>
      <c r="O19" s="228" t="s">
        <v>568</v>
      </c>
      <c r="P19" s="245"/>
      <c r="Q19" s="2564"/>
      <c r="R19" s="2564"/>
      <c r="S19" s="254"/>
      <c r="T19" s="228"/>
      <c r="U19" s="2552"/>
      <c r="V19" s="256"/>
      <c r="W19" s="373">
        <v>880000</v>
      </c>
      <c r="X19" s="373">
        <v>660000</v>
      </c>
      <c r="Y19" s="248"/>
      <c r="Z19" s="247"/>
      <c r="AA19" s="248"/>
      <c r="AB19" s="340">
        <f t="shared" si="3"/>
        <v>1540000</v>
      </c>
      <c r="AC19" s="347">
        <f>+Z19</f>
        <v>0</v>
      </c>
      <c r="AD19" s="249" t="s">
        <v>3597</v>
      </c>
      <c r="AE19" s="341">
        <v>4320800</v>
      </c>
      <c r="AF19" s="342">
        <f t="shared" si="2"/>
        <v>5860800</v>
      </c>
      <c r="AG19" s="275">
        <f t="shared" si="4"/>
        <v>1540000</v>
      </c>
      <c r="AH19" s="241"/>
      <c r="AI19" s="241"/>
      <c r="AJ19" s="241"/>
      <c r="AK19" s="194"/>
      <c r="AL19" s="195"/>
      <c r="AM19" s="195"/>
    </row>
    <row r="20" spans="1:39">
      <c r="B20" s="253">
        <v>9</v>
      </c>
      <c r="C20" s="244"/>
      <c r="D20" s="256"/>
      <c r="E20" s="460" t="s">
        <v>519</v>
      </c>
      <c r="F20" s="603" t="s">
        <v>471</v>
      </c>
      <c r="G20" s="47" t="s">
        <v>3603</v>
      </c>
      <c r="H20" s="230" t="s">
        <v>210</v>
      </c>
      <c r="I20" s="230"/>
      <c r="J20" s="230">
        <v>1</v>
      </c>
      <c r="K20" s="230"/>
      <c r="L20" s="228" t="s">
        <v>210</v>
      </c>
      <c r="M20" s="257"/>
      <c r="N20" s="289" t="s">
        <v>545</v>
      </c>
      <c r="O20" s="228" t="s">
        <v>569</v>
      </c>
      <c r="P20" s="245"/>
      <c r="Q20" s="2564"/>
      <c r="R20" s="2564"/>
      <c r="S20" s="254"/>
      <c r="T20" s="228"/>
      <c r="U20" s="2552"/>
      <c r="V20" s="256"/>
      <c r="W20" s="373">
        <v>1350000</v>
      </c>
      <c r="X20" s="373">
        <v>709500</v>
      </c>
      <c r="Y20" s="248"/>
      <c r="Z20" s="247"/>
      <c r="AA20" s="248"/>
      <c r="AB20" s="340">
        <f t="shared" si="3"/>
        <v>2059500</v>
      </c>
      <c r="AC20" s="347">
        <f t="shared" si="1"/>
        <v>0</v>
      </c>
      <c r="AD20" s="249"/>
      <c r="AE20" s="341">
        <v>5255800</v>
      </c>
      <c r="AF20" s="342">
        <f t="shared" si="2"/>
        <v>7315300</v>
      </c>
      <c r="AG20" s="275">
        <f t="shared" si="4"/>
        <v>2059500</v>
      </c>
      <c r="AH20" s="241"/>
      <c r="AI20" s="241"/>
      <c r="AJ20" s="241"/>
      <c r="AK20" s="194"/>
      <c r="AL20" s="195"/>
      <c r="AM20" s="195"/>
    </row>
    <row r="21" spans="1:39">
      <c r="B21" s="253">
        <v>10</v>
      </c>
      <c r="C21" s="244"/>
      <c r="D21" s="256"/>
      <c r="E21" s="458" t="s">
        <v>570</v>
      </c>
      <c r="F21" s="603" t="s">
        <v>546</v>
      </c>
      <c r="G21" s="394" t="s">
        <v>3604</v>
      </c>
      <c r="H21" s="230" t="s">
        <v>210</v>
      </c>
      <c r="I21" s="230"/>
      <c r="J21" s="230"/>
      <c r="K21" s="368">
        <v>1</v>
      </c>
      <c r="L21" s="228"/>
      <c r="M21" s="257"/>
      <c r="N21" s="289" t="s">
        <v>548</v>
      </c>
      <c r="O21" s="228"/>
      <c r="P21" s="367"/>
      <c r="Q21" s="367"/>
      <c r="R21" s="367"/>
      <c r="S21" s="254"/>
      <c r="T21" s="228"/>
      <c r="U21" s="2552"/>
      <c r="V21" s="256"/>
      <c r="W21" s="248"/>
      <c r="X21" s="248"/>
      <c r="Y21" s="248"/>
      <c r="Z21" s="247"/>
      <c r="AA21" s="248"/>
      <c r="AB21" s="340">
        <f t="shared" si="3"/>
        <v>0</v>
      </c>
      <c r="AC21" s="347">
        <f t="shared" si="1"/>
        <v>0</v>
      </c>
      <c r="AD21" s="249" t="s">
        <v>3597</v>
      </c>
      <c r="AE21" s="341">
        <v>1669800.0000000002</v>
      </c>
      <c r="AF21" s="342">
        <f t="shared" si="2"/>
        <v>1669800.0000000002</v>
      </c>
      <c r="AG21" s="275"/>
      <c r="AH21" s="241"/>
      <c r="AI21" s="241"/>
      <c r="AJ21" s="241"/>
      <c r="AK21" s="194"/>
      <c r="AL21" s="195"/>
      <c r="AM21" s="195"/>
    </row>
    <row r="22" spans="1:39" ht="26.4">
      <c r="B22" s="253">
        <v>11</v>
      </c>
      <c r="C22" s="244"/>
      <c r="D22" s="256"/>
      <c r="E22" s="461" t="s">
        <v>571</v>
      </c>
      <c r="F22" s="603" t="s">
        <v>547</v>
      </c>
      <c r="G22" s="394" t="s">
        <v>3605</v>
      </c>
      <c r="H22" s="230" t="s">
        <v>210</v>
      </c>
      <c r="I22" s="230"/>
      <c r="J22" s="230">
        <v>1</v>
      </c>
      <c r="K22" s="230"/>
      <c r="L22" s="228"/>
      <c r="M22" s="257"/>
      <c r="N22" s="289" t="s">
        <v>3606</v>
      </c>
      <c r="O22" s="228" t="s">
        <v>572</v>
      </c>
      <c r="P22" s="367"/>
      <c r="Q22" s="367"/>
      <c r="R22" s="367"/>
      <c r="S22" s="254"/>
      <c r="T22" s="228"/>
      <c r="U22" s="2552"/>
      <c r="V22" s="256"/>
      <c r="W22" s="373">
        <v>1350000</v>
      </c>
      <c r="X22" s="373">
        <v>709500</v>
      </c>
      <c r="Y22" s="248"/>
      <c r="Z22" s="247"/>
      <c r="AA22" s="248"/>
      <c r="AB22" s="340">
        <f t="shared" si="3"/>
        <v>2059500</v>
      </c>
      <c r="AC22" s="347">
        <f t="shared" si="1"/>
        <v>0</v>
      </c>
      <c r="AD22" s="249" t="s">
        <v>3597</v>
      </c>
      <c r="AE22" s="341">
        <v>4430800</v>
      </c>
      <c r="AF22" s="342">
        <f t="shared" si="2"/>
        <v>6490300</v>
      </c>
      <c r="AG22" s="275">
        <f t="shared" si="4"/>
        <v>2059500</v>
      </c>
      <c r="AH22" s="241"/>
      <c r="AI22" s="241"/>
      <c r="AJ22" s="241"/>
      <c r="AK22" s="194"/>
      <c r="AL22" s="195"/>
      <c r="AM22" s="195"/>
    </row>
    <row r="23" spans="1:39">
      <c r="B23" s="253">
        <v>12</v>
      </c>
      <c r="C23" s="244"/>
      <c r="D23" s="256"/>
      <c r="E23" s="462" t="s">
        <v>573</v>
      </c>
      <c r="F23" s="603" t="s">
        <v>547</v>
      </c>
      <c r="G23" s="394" t="s">
        <v>3607</v>
      </c>
      <c r="H23" s="230" t="s">
        <v>210</v>
      </c>
      <c r="I23" s="230"/>
      <c r="J23" s="230">
        <v>1</v>
      </c>
      <c r="K23" s="230"/>
      <c r="L23" s="228"/>
      <c r="M23" s="257"/>
      <c r="N23" s="289" t="s">
        <v>549</v>
      </c>
      <c r="O23" s="228" t="s">
        <v>575</v>
      </c>
      <c r="P23" s="367"/>
      <c r="Q23" s="367"/>
      <c r="R23" s="367"/>
      <c r="S23" s="254"/>
      <c r="T23" s="228"/>
      <c r="U23" s="2552"/>
      <c r="V23" s="256"/>
      <c r="W23" s="373">
        <v>1350000</v>
      </c>
      <c r="X23" s="373">
        <v>1050000</v>
      </c>
      <c r="Y23" s="248"/>
      <c r="Z23" s="247"/>
      <c r="AA23" s="248"/>
      <c r="AB23" s="340">
        <f t="shared" si="3"/>
        <v>2400000</v>
      </c>
      <c r="AC23" s="347">
        <f t="shared" si="1"/>
        <v>0</v>
      </c>
      <c r="AD23" s="249" t="s">
        <v>3597</v>
      </c>
      <c r="AE23" s="341">
        <v>4430800</v>
      </c>
      <c r="AF23" s="342">
        <f t="shared" si="2"/>
        <v>6830800</v>
      </c>
      <c r="AG23" s="275">
        <f t="shared" si="4"/>
        <v>2400000</v>
      </c>
      <c r="AH23" s="241"/>
      <c r="AI23" s="241"/>
      <c r="AJ23" s="241"/>
      <c r="AK23" s="194"/>
      <c r="AL23" s="195"/>
      <c r="AM23" s="195"/>
    </row>
    <row r="24" spans="1:39">
      <c r="B24" s="253">
        <v>13</v>
      </c>
      <c r="C24" s="244"/>
      <c r="D24" s="256"/>
      <c r="E24" s="462" t="s">
        <v>574</v>
      </c>
      <c r="F24" s="603" t="s">
        <v>553</v>
      </c>
      <c r="G24" s="394" t="s">
        <v>3608</v>
      </c>
      <c r="H24" s="230" t="s">
        <v>210</v>
      </c>
      <c r="I24" s="230">
        <v>1</v>
      </c>
      <c r="J24" s="230"/>
      <c r="K24" s="230"/>
      <c r="L24" s="228"/>
      <c r="M24" s="257"/>
      <c r="N24" s="289" t="s">
        <v>554</v>
      </c>
      <c r="O24" s="228" t="s">
        <v>576</v>
      </c>
      <c r="P24" s="367"/>
      <c r="Q24" s="367"/>
      <c r="R24" s="367"/>
      <c r="S24" s="254"/>
      <c r="T24" s="228"/>
      <c r="U24" s="2552"/>
      <c r="V24" s="256"/>
      <c r="W24" s="373">
        <v>900000</v>
      </c>
      <c r="X24" s="373">
        <v>655000</v>
      </c>
      <c r="Y24" s="248"/>
      <c r="Z24" s="247"/>
      <c r="AA24" s="248"/>
      <c r="AB24" s="340">
        <f t="shared" si="3"/>
        <v>1555000</v>
      </c>
      <c r="AC24" s="347">
        <f t="shared" si="1"/>
        <v>0</v>
      </c>
      <c r="AD24" s="249" t="s">
        <v>3597</v>
      </c>
      <c r="AE24" s="341">
        <v>4320800</v>
      </c>
      <c r="AF24" s="342">
        <f t="shared" si="2"/>
        <v>5875800</v>
      </c>
      <c r="AG24" s="275">
        <f t="shared" si="4"/>
        <v>1555000</v>
      </c>
      <c r="AH24" s="241"/>
      <c r="AI24" s="241"/>
      <c r="AJ24" s="241"/>
      <c r="AK24" s="194"/>
      <c r="AL24" s="195"/>
      <c r="AM24" s="195"/>
    </row>
    <row r="25" spans="1:39" s="13" customFormat="1" ht="36" customHeight="1">
      <c r="A25" s="649" t="s">
        <v>3609</v>
      </c>
      <c r="B25" s="650"/>
      <c r="C25" s="650"/>
      <c r="D25" s="346"/>
      <c r="E25" s="650"/>
      <c r="F25" s="650"/>
      <c r="G25" s="650"/>
      <c r="H25" s="650"/>
      <c r="I25" s="369"/>
      <c r="J25" s="346"/>
      <c r="K25" s="346"/>
      <c r="L25" s="346"/>
      <c r="M25" s="346"/>
      <c r="N25" s="346"/>
      <c r="O25" s="354"/>
      <c r="P25" s="346"/>
      <c r="Q25" s="346"/>
      <c r="R25" s="346"/>
      <c r="S25" s="346"/>
      <c r="T25" s="346"/>
      <c r="U25" s="346"/>
      <c r="V25" s="357"/>
      <c r="W25" s="357"/>
      <c r="X25" s="357"/>
      <c r="Y25" s="357"/>
      <c r="Z25" s="357"/>
      <c r="AA25" s="357"/>
      <c r="AB25" s="358">
        <f>SUM(AB11:AB24)</f>
        <v>26006016</v>
      </c>
      <c r="AC25" s="358">
        <f>SUM(AC19:AC24)</f>
        <v>0</v>
      </c>
      <c r="AD25" s="359"/>
      <c r="AE25" s="360">
        <f>SUM(AE11:AE24)</f>
        <v>62319400</v>
      </c>
      <c r="AF25" s="358">
        <f>+AB25+AC25+AE25</f>
        <v>88325416</v>
      </c>
      <c r="AG25" s="357"/>
      <c r="AH25" s="357"/>
      <c r="AI25" s="357"/>
      <c r="AJ25" s="357"/>
      <c r="AK25" s="357"/>
      <c r="AL25" s="357"/>
      <c r="AM25" s="357"/>
    </row>
    <row r="26" spans="1:39" ht="46.8">
      <c r="B26" s="253">
        <v>1</v>
      </c>
      <c r="C26" s="244"/>
      <c r="D26" s="256"/>
      <c r="E26" s="459" t="s">
        <v>3610</v>
      </c>
      <c r="F26" s="603"/>
      <c r="G26" s="47" t="s">
        <v>3611</v>
      </c>
      <c r="H26" s="230"/>
      <c r="I26" s="230"/>
      <c r="J26" s="230"/>
      <c r="K26" s="230"/>
      <c r="L26" s="228"/>
      <c r="M26" s="257"/>
      <c r="N26" s="228"/>
      <c r="O26" s="228"/>
      <c r="P26" s="245"/>
      <c r="Q26" s="2564"/>
      <c r="R26" s="2564"/>
      <c r="S26" s="254"/>
      <c r="T26" s="228"/>
      <c r="U26" s="2552"/>
      <c r="V26" s="256"/>
      <c r="W26" s="248"/>
      <c r="X26" s="248"/>
      <c r="Y26" s="248"/>
      <c r="Z26" s="247"/>
      <c r="AA26" s="248"/>
      <c r="AB26" s="340">
        <f t="shared" ref="AB26:AB43" si="5">V26+W26+X26+Y26+Z26+AA26</f>
        <v>0</v>
      </c>
      <c r="AC26" s="347">
        <f>+Z26</f>
        <v>0</v>
      </c>
      <c r="AD26" s="249" t="s">
        <v>868</v>
      </c>
      <c r="AE26" s="341">
        <f>2200000/2</f>
        <v>1100000</v>
      </c>
      <c r="AF26" s="342">
        <f>+AB26+AE26</f>
        <v>1100000</v>
      </c>
      <c r="AG26" s="252"/>
      <c r="AH26" s="241"/>
      <c r="AI26" s="241"/>
      <c r="AJ26" s="241"/>
      <c r="AK26" s="194"/>
      <c r="AL26" s="195"/>
      <c r="AM26" s="195"/>
    </row>
    <row r="27" spans="1:39" ht="62.4">
      <c r="B27" s="253">
        <v>2</v>
      </c>
      <c r="C27" s="244"/>
      <c r="D27" s="256"/>
      <c r="E27" s="458" t="s">
        <v>669</v>
      </c>
      <c r="F27" s="604" t="s">
        <v>679</v>
      </c>
      <c r="G27" s="47" t="s">
        <v>3612</v>
      </c>
      <c r="H27" s="230" t="s">
        <v>210</v>
      </c>
      <c r="I27" s="230"/>
      <c r="J27" s="230">
        <v>1</v>
      </c>
      <c r="K27" s="230"/>
      <c r="L27" s="228"/>
      <c r="M27" s="257"/>
      <c r="N27" s="289" t="s">
        <v>666</v>
      </c>
      <c r="O27" s="375" t="s">
        <v>670</v>
      </c>
      <c r="P27" s="367"/>
      <c r="Q27" s="367"/>
      <c r="R27" s="367"/>
      <c r="S27" s="254"/>
      <c r="T27" s="228"/>
      <c r="U27" s="2552"/>
      <c r="V27" s="256"/>
      <c r="W27" s="373">
        <v>1350000</v>
      </c>
      <c r="X27" s="373">
        <v>1115000</v>
      </c>
      <c r="Y27" s="248"/>
      <c r="Z27" s="247"/>
      <c r="AA27" s="248"/>
      <c r="AB27" s="340">
        <f t="shared" si="5"/>
        <v>2465000</v>
      </c>
      <c r="AC27" s="347">
        <f t="shared" si="1"/>
        <v>0</v>
      </c>
      <c r="AD27" s="208" t="s">
        <v>3613</v>
      </c>
      <c r="AE27" s="435">
        <f t="shared" ref="AE27:AE33" si="6">+(I27*3714000+J27*(3714000+100000))*1.1+(150000*1.1)</f>
        <v>4360400</v>
      </c>
      <c r="AF27" s="342">
        <f t="shared" si="2"/>
        <v>6825400</v>
      </c>
      <c r="AG27" s="275">
        <f t="shared" ref="AG27:AG35" si="7">+W27+X27</f>
        <v>2465000</v>
      </c>
      <c r="AH27" s="241"/>
      <c r="AI27" s="241"/>
      <c r="AJ27" s="241"/>
      <c r="AK27" s="194"/>
      <c r="AL27" s="195"/>
      <c r="AM27" s="195"/>
    </row>
    <row r="28" spans="1:39">
      <c r="B28" s="253">
        <v>3</v>
      </c>
      <c r="C28" s="244"/>
      <c r="D28" s="256"/>
      <c r="E28" s="458" t="s">
        <v>671</v>
      </c>
      <c r="F28" s="604" t="s">
        <v>679</v>
      </c>
      <c r="G28" s="47" t="s">
        <v>3614</v>
      </c>
      <c r="H28" s="230" t="s">
        <v>210</v>
      </c>
      <c r="I28" s="230">
        <v>1</v>
      </c>
      <c r="J28" s="230"/>
      <c r="K28" s="230"/>
      <c r="L28" s="228"/>
      <c r="M28" s="257"/>
      <c r="N28" s="289" t="s">
        <v>3615</v>
      </c>
      <c r="O28" s="375" t="s">
        <v>672</v>
      </c>
      <c r="P28" s="367"/>
      <c r="Q28" s="367"/>
      <c r="R28" s="367"/>
      <c r="S28" s="254"/>
      <c r="T28" s="228"/>
      <c r="U28" s="2552"/>
      <c r="V28" s="256"/>
      <c r="W28" s="373">
        <v>900000</v>
      </c>
      <c r="X28" s="373">
        <v>660000</v>
      </c>
      <c r="Y28" s="248"/>
      <c r="Z28" s="247"/>
      <c r="AA28" s="248"/>
      <c r="AB28" s="340">
        <f t="shared" si="5"/>
        <v>1560000</v>
      </c>
      <c r="AC28" s="347">
        <f t="shared" si="1"/>
        <v>0</v>
      </c>
      <c r="AD28" s="249" t="s">
        <v>3597</v>
      </c>
      <c r="AE28" s="435">
        <f t="shared" si="6"/>
        <v>4250400</v>
      </c>
      <c r="AF28" s="342">
        <f t="shared" si="2"/>
        <v>5810400</v>
      </c>
      <c r="AG28" s="275">
        <f t="shared" si="7"/>
        <v>1560000</v>
      </c>
      <c r="AH28" s="241"/>
      <c r="AI28" s="241"/>
      <c r="AJ28" s="241"/>
      <c r="AK28" s="194"/>
      <c r="AL28" s="195"/>
      <c r="AM28" s="195"/>
    </row>
    <row r="29" spans="1:39">
      <c r="B29" s="253">
        <v>4</v>
      </c>
      <c r="C29" s="244"/>
      <c r="D29" s="256"/>
      <c r="E29" s="458" t="s">
        <v>673</v>
      </c>
      <c r="F29" s="604" t="s">
        <v>679</v>
      </c>
      <c r="G29" s="379" t="s">
        <v>3616</v>
      </c>
      <c r="H29" s="230" t="s">
        <v>210</v>
      </c>
      <c r="I29" s="230"/>
      <c r="J29" s="230">
        <v>1</v>
      </c>
      <c r="K29" s="230"/>
      <c r="L29" s="228"/>
      <c r="M29" s="257"/>
      <c r="N29" s="228" t="s">
        <v>3617</v>
      </c>
      <c r="O29" s="375" t="s">
        <v>674</v>
      </c>
      <c r="P29" s="245"/>
      <c r="Q29" s="2564"/>
      <c r="R29" s="2564"/>
      <c r="S29" s="254"/>
      <c r="T29" s="228"/>
      <c r="U29" s="2552"/>
      <c r="V29" s="256"/>
      <c r="W29" s="373">
        <v>1250000</v>
      </c>
      <c r="X29" s="373">
        <v>1055000</v>
      </c>
      <c r="Y29" s="248"/>
      <c r="Z29" s="247"/>
      <c r="AA29" s="248"/>
      <c r="AB29" s="340">
        <f t="shared" si="5"/>
        <v>2305000</v>
      </c>
      <c r="AC29" s="347">
        <f t="shared" si="1"/>
        <v>0</v>
      </c>
      <c r="AD29" s="249" t="s">
        <v>3597</v>
      </c>
      <c r="AE29" s="435">
        <f t="shared" si="6"/>
        <v>4360400</v>
      </c>
      <c r="AF29" s="342">
        <f t="shared" si="2"/>
        <v>6665400</v>
      </c>
      <c r="AG29" s="275">
        <f t="shared" si="7"/>
        <v>2305000</v>
      </c>
      <c r="AH29" s="241"/>
      <c r="AI29" s="241"/>
      <c r="AJ29" s="241"/>
      <c r="AK29" s="194"/>
      <c r="AL29" s="195"/>
      <c r="AM29" s="195"/>
    </row>
    <row r="30" spans="1:39">
      <c r="B30" s="253">
        <v>5</v>
      </c>
      <c r="C30" s="244"/>
      <c r="D30" s="256"/>
      <c r="E30" s="458" t="s">
        <v>680</v>
      </c>
      <c r="F30" s="603">
        <v>45020</v>
      </c>
      <c r="G30" s="379" t="s">
        <v>3618</v>
      </c>
      <c r="H30" s="230" t="s">
        <v>210</v>
      </c>
      <c r="I30" s="230"/>
      <c r="J30" s="230">
        <v>1</v>
      </c>
      <c r="K30" s="230"/>
      <c r="L30" s="228"/>
      <c r="M30" s="257"/>
      <c r="N30" s="228" t="s">
        <v>3619</v>
      </c>
      <c r="O30" s="375" t="s">
        <v>3620</v>
      </c>
      <c r="P30" s="245"/>
      <c r="Q30" s="2564"/>
      <c r="R30" s="2564"/>
      <c r="S30" s="254"/>
      <c r="T30" s="228"/>
      <c r="U30" s="2552"/>
      <c r="V30" s="256"/>
      <c r="W30" s="373">
        <v>1350000</v>
      </c>
      <c r="X30" s="373">
        <v>1055000</v>
      </c>
      <c r="Y30" s="248"/>
      <c r="Z30" s="247"/>
      <c r="AA30" s="248"/>
      <c r="AB30" s="340">
        <f t="shared" si="5"/>
        <v>2405000</v>
      </c>
      <c r="AC30" s="347">
        <f t="shared" si="1"/>
        <v>0</v>
      </c>
      <c r="AD30" s="249" t="s">
        <v>3597</v>
      </c>
      <c r="AE30" s="435">
        <f t="shared" si="6"/>
        <v>4360400</v>
      </c>
      <c r="AF30" s="342">
        <f t="shared" si="2"/>
        <v>6765400</v>
      </c>
      <c r="AG30" s="275">
        <f t="shared" si="7"/>
        <v>2405000</v>
      </c>
      <c r="AH30" s="241"/>
      <c r="AI30" s="241"/>
      <c r="AJ30" s="241"/>
      <c r="AK30" s="194"/>
      <c r="AL30" s="195"/>
      <c r="AM30" s="195"/>
    </row>
    <row r="31" spans="1:39" ht="15" customHeight="1">
      <c r="B31" s="253">
        <v>6</v>
      </c>
      <c r="C31" s="244"/>
      <c r="D31" s="256"/>
      <c r="E31" s="458" t="s">
        <v>751</v>
      </c>
      <c r="F31" s="603">
        <v>45021</v>
      </c>
      <c r="G31" s="385" t="s">
        <v>3621</v>
      </c>
      <c r="H31" s="230" t="s">
        <v>210</v>
      </c>
      <c r="I31" s="230"/>
      <c r="J31" s="391">
        <v>1</v>
      </c>
      <c r="K31" s="230"/>
      <c r="L31" s="228"/>
      <c r="M31" s="257"/>
      <c r="N31" s="228">
        <v>71722920</v>
      </c>
      <c r="O31" s="375" t="s">
        <v>752</v>
      </c>
      <c r="P31" s="245"/>
      <c r="Q31" s="2564"/>
      <c r="R31" s="2564"/>
      <c r="S31" s="254"/>
      <c r="T31" s="228"/>
      <c r="U31" s="2552"/>
      <c r="V31" s="256"/>
      <c r="W31" s="373">
        <v>924000</v>
      </c>
      <c r="X31" s="373">
        <v>1056000</v>
      </c>
      <c r="Y31" s="248"/>
      <c r="Z31" s="247"/>
      <c r="AA31" s="248"/>
      <c r="AB31" s="340">
        <f t="shared" si="5"/>
        <v>1980000</v>
      </c>
      <c r="AC31" s="347">
        <f t="shared" si="1"/>
        <v>0</v>
      </c>
      <c r="AD31" s="249" t="s">
        <v>3597</v>
      </c>
      <c r="AE31" s="435">
        <f t="shared" si="6"/>
        <v>4360400</v>
      </c>
      <c r="AF31" s="342">
        <f t="shared" si="2"/>
        <v>6340400</v>
      </c>
      <c r="AG31" s="275">
        <f t="shared" si="7"/>
        <v>1980000</v>
      </c>
      <c r="AH31" s="241"/>
      <c r="AI31" s="241"/>
      <c r="AJ31" s="241"/>
      <c r="AK31" s="194"/>
      <c r="AL31" s="195"/>
      <c r="AM31" s="195"/>
    </row>
    <row r="32" spans="1:39">
      <c r="B32" s="253">
        <v>7</v>
      </c>
      <c r="C32" s="244"/>
      <c r="D32" s="256"/>
      <c r="E32" s="458" t="s">
        <v>769</v>
      </c>
      <c r="F32" s="603">
        <v>45022</v>
      </c>
      <c r="G32" s="387" t="s">
        <v>3622</v>
      </c>
      <c r="H32" s="230" t="s">
        <v>210</v>
      </c>
      <c r="I32" s="230"/>
      <c r="J32" s="230">
        <v>1</v>
      </c>
      <c r="K32" s="230"/>
      <c r="L32" s="228"/>
      <c r="M32" s="257"/>
      <c r="N32" s="228">
        <v>71727554</v>
      </c>
      <c r="O32" s="375" t="s">
        <v>770</v>
      </c>
      <c r="P32" s="245"/>
      <c r="Q32" s="2564"/>
      <c r="R32" s="2564"/>
      <c r="S32" s="254"/>
      <c r="T32" s="228"/>
      <c r="U32" s="2552"/>
      <c r="V32" s="256"/>
      <c r="W32" s="373">
        <v>924000</v>
      </c>
      <c r="X32" s="373">
        <v>1056000</v>
      </c>
      <c r="Y32" s="248"/>
      <c r="Z32" s="247"/>
      <c r="AA32" s="248"/>
      <c r="AB32" s="340">
        <f t="shared" si="5"/>
        <v>1980000</v>
      </c>
      <c r="AC32" s="347">
        <f t="shared" si="1"/>
        <v>0</v>
      </c>
      <c r="AD32" s="249" t="s">
        <v>3597</v>
      </c>
      <c r="AE32" s="435">
        <f t="shared" si="6"/>
        <v>4360400</v>
      </c>
      <c r="AF32" s="342">
        <f t="shared" si="2"/>
        <v>6340400</v>
      </c>
      <c r="AG32" s="275">
        <f t="shared" si="7"/>
        <v>1980000</v>
      </c>
      <c r="AH32" s="241"/>
      <c r="AI32" s="241"/>
      <c r="AJ32" s="241"/>
      <c r="AK32" s="194"/>
      <c r="AL32" s="195"/>
      <c r="AM32" s="195"/>
    </row>
    <row r="33" spans="1:39">
      <c r="B33" s="253">
        <v>8</v>
      </c>
      <c r="C33" s="244"/>
      <c r="D33" s="256"/>
      <c r="E33" s="458" t="s">
        <v>771</v>
      </c>
      <c r="F33" s="603">
        <v>45022</v>
      </c>
      <c r="G33" s="387" t="s">
        <v>3623</v>
      </c>
      <c r="H33" s="230" t="s">
        <v>210</v>
      </c>
      <c r="I33" s="391">
        <v>1</v>
      </c>
      <c r="J33" s="230"/>
      <c r="K33" s="230"/>
      <c r="L33" s="228"/>
      <c r="M33" s="257"/>
      <c r="N33" s="228">
        <v>71727554</v>
      </c>
      <c r="O33" s="375" t="s">
        <v>948</v>
      </c>
      <c r="P33" s="245"/>
      <c r="Q33" s="2564"/>
      <c r="R33" s="2564"/>
      <c r="S33" s="254"/>
      <c r="T33" s="228"/>
      <c r="U33" s="2552"/>
      <c r="V33" s="256"/>
      <c r="W33" s="373">
        <v>627000</v>
      </c>
      <c r="X33" s="373">
        <v>638000</v>
      </c>
      <c r="Y33" s="248"/>
      <c r="Z33" s="247"/>
      <c r="AA33" s="248"/>
      <c r="AB33" s="340">
        <f t="shared" si="5"/>
        <v>1265000</v>
      </c>
      <c r="AC33" s="347">
        <f t="shared" si="1"/>
        <v>0</v>
      </c>
      <c r="AD33" s="249" t="s">
        <v>3597</v>
      </c>
      <c r="AE33" s="435">
        <f t="shared" si="6"/>
        <v>4250400</v>
      </c>
      <c r="AF33" s="342">
        <f t="shared" si="2"/>
        <v>5515400</v>
      </c>
      <c r="AG33" s="275">
        <f t="shared" si="7"/>
        <v>1265000</v>
      </c>
      <c r="AH33" s="241"/>
      <c r="AI33" s="241"/>
      <c r="AJ33" s="241"/>
      <c r="AK33" s="194"/>
      <c r="AL33" s="195"/>
      <c r="AM33" s="195"/>
    </row>
    <row r="34" spans="1:39">
      <c r="B34" s="253">
        <v>9</v>
      </c>
      <c r="C34" s="244"/>
      <c r="D34" s="256"/>
      <c r="E34" s="458" t="s">
        <v>832</v>
      </c>
      <c r="F34" s="603">
        <v>45028</v>
      </c>
      <c r="G34" s="387" t="s">
        <v>3624</v>
      </c>
      <c r="H34" s="230" t="s">
        <v>210</v>
      </c>
      <c r="I34" s="230"/>
      <c r="J34" s="230"/>
      <c r="K34" s="230">
        <v>1</v>
      </c>
      <c r="L34" s="228"/>
      <c r="M34" s="257"/>
      <c r="N34" s="388" t="s">
        <v>833</v>
      </c>
      <c r="O34" s="228"/>
      <c r="P34" s="245"/>
      <c r="Q34" s="2564"/>
      <c r="R34" s="2564"/>
      <c r="S34" s="254"/>
      <c r="T34" s="228"/>
      <c r="U34" s="2552"/>
      <c r="V34" s="256"/>
      <c r="W34" s="373"/>
      <c r="X34" s="373"/>
      <c r="Y34" s="248"/>
      <c r="Z34" s="247"/>
      <c r="AA34" s="248"/>
      <c r="AB34" s="340">
        <f t="shared" si="5"/>
        <v>0</v>
      </c>
      <c r="AC34" s="347"/>
      <c r="AD34" s="249" t="s">
        <v>3597</v>
      </c>
      <c r="AE34" s="435">
        <f>1320000*1.1+(150000*1.1)</f>
        <v>1617000.0000000002</v>
      </c>
      <c r="AF34" s="342">
        <f t="shared" si="2"/>
        <v>1617000.0000000002</v>
      </c>
      <c r="AG34" s="275">
        <f t="shared" si="7"/>
        <v>0</v>
      </c>
      <c r="AH34" s="241"/>
      <c r="AI34" s="241"/>
      <c r="AJ34" s="241"/>
      <c r="AK34" s="194"/>
      <c r="AL34" s="195"/>
      <c r="AM34" s="195"/>
    </row>
    <row r="35" spans="1:39">
      <c r="B35" s="253">
        <v>10</v>
      </c>
      <c r="C35" s="244"/>
      <c r="D35" s="256"/>
      <c r="E35" s="458" t="s">
        <v>834</v>
      </c>
      <c r="F35" s="603">
        <v>45029</v>
      </c>
      <c r="G35" s="387" t="s">
        <v>3625</v>
      </c>
      <c r="H35" s="230" t="s">
        <v>210</v>
      </c>
      <c r="I35" s="230"/>
      <c r="J35" s="230">
        <v>1</v>
      </c>
      <c r="K35" s="230"/>
      <c r="L35" s="228"/>
      <c r="M35" s="257"/>
      <c r="N35" s="228" t="s">
        <v>835</v>
      </c>
      <c r="O35" s="375" t="s">
        <v>836</v>
      </c>
      <c r="P35" s="245"/>
      <c r="Q35" s="2564"/>
      <c r="R35" s="2564"/>
      <c r="S35" s="254"/>
      <c r="T35" s="228"/>
      <c r="U35" s="2552"/>
      <c r="V35" s="256"/>
      <c r="W35" s="373">
        <v>1450000</v>
      </c>
      <c r="X35" s="373">
        <v>1115000</v>
      </c>
      <c r="Y35" s="248"/>
      <c r="Z35" s="247"/>
      <c r="AA35" s="248"/>
      <c r="AB35" s="340">
        <f t="shared" si="5"/>
        <v>2565000</v>
      </c>
      <c r="AC35" s="347">
        <f t="shared" si="1"/>
        <v>0</v>
      </c>
      <c r="AD35" s="249" t="s">
        <v>3597</v>
      </c>
      <c r="AE35" s="435">
        <f>+(I35*3714000+J35*(3714000+100000))*1.1+(150000*1.1)</f>
        <v>4360400</v>
      </c>
      <c r="AF35" s="342">
        <f t="shared" si="2"/>
        <v>6925400</v>
      </c>
      <c r="AG35" s="275">
        <f t="shared" si="7"/>
        <v>2565000</v>
      </c>
      <c r="AH35" s="241"/>
      <c r="AI35" s="241"/>
      <c r="AJ35" s="241"/>
      <c r="AK35" s="194"/>
      <c r="AL35" s="195"/>
      <c r="AM35" s="195"/>
    </row>
    <row r="36" spans="1:39" ht="46.8">
      <c r="B36" s="253">
        <v>11</v>
      </c>
      <c r="C36" s="244"/>
      <c r="D36" s="256"/>
      <c r="E36" s="463" t="s">
        <v>838</v>
      </c>
      <c r="F36" s="603">
        <v>45027</v>
      </c>
      <c r="G36" s="387" t="s">
        <v>3626</v>
      </c>
      <c r="H36" s="230" t="s">
        <v>3579</v>
      </c>
      <c r="I36" s="230"/>
      <c r="J36" s="230">
        <v>1</v>
      </c>
      <c r="K36" s="230"/>
      <c r="L36" s="228"/>
      <c r="M36" s="257"/>
      <c r="N36" s="228" t="s">
        <v>837</v>
      </c>
      <c r="O36" s="375" t="s">
        <v>3627</v>
      </c>
      <c r="P36" s="245"/>
      <c r="Q36" s="2564"/>
      <c r="R36" s="2564"/>
      <c r="S36" s="254"/>
      <c r="T36" s="228"/>
      <c r="U36" s="2552"/>
      <c r="V36" s="256"/>
      <c r="W36" s="324">
        <v>1017500</v>
      </c>
      <c r="X36" s="373">
        <v>1540000</v>
      </c>
      <c r="Y36" s="248"/>
      <c r="Z36" s="247"/>
      <c r="AA36" s="248"/>
      <c r="AB36" s="340">
        <f t="shared" si="5"/>
        <v>2557500</v>
      </c>
      <c r="AC36" s="347">
        <f t="shared" si="1"/>
        <v>0</v>
      </c>
      <c r="AD36" s="249" t="s">
        <v>3628</v>
      </c>
      <c r="AE36" s="435">
        <f>+(I36*3714000+J36*(3714000+100000))*1.1+(150000*1.1)+(500000*1.1)</f>
        <v>4910400</v>
      </c>
      <c r="AF36" s="342">
        <f t="shared" si="2"/>
        <v>7467900</v>
      </c>
      <c r="AG36" s="275">
        <f>+X36</f>
        <v>1540000</v>
      </c>
      <c r="AH36" s="241"/>
      <c r="AI36" s="241"/>
      <c r="AJ36" s="241"/>
      <c r="AK36" s="194"/>
      <c r="AL36" s="195"/>
      <c r="AM36" s="195"/>
    </row>
    <row r="37" spans="1:39">
      <c r="B37" s="253">
        <v>12</v>
      </c>
      <c r="C37" s="244"/>
      <c r="D37" s="256"/>
      <c r="E37" s="464" t="s">
        <v>853</v>
      </c>
      <c r="F37" s="603">
        <v>45033</v>
      </c>
      <c r="G37" s="387" t="s">
        <v>3629</v>
      </c>
      <c r="H37" s="230" t="s">
        <v>748</v>
      </c>
      <c r="I37" s="230"/>
      <c r="J37" s="230">
        <v>1</v>
      </c>
      <c r="K37" s="230"/>
      <c r="L37" s="228"/>
      <c r="M37" s="257"/>
      <c r="N37" s="228" t="s">
        <v>3630</v>
      </c>
      <c r="O37" s="375" t="s">
        <v>854</v>
      </c>
      <c r="P37" s="245"/>
      <c r="Q37" s="2564"/>
      <c r="R37" s="2564"/>
      <c r="S37" s="254"/>
      <c r="T37" s="228"/>
      <c r="U37" s="2552"/>
      <c r="V37" s="256"/>
      <c r="W37" s="373">
        <v>1050000</v>
      </c>
      <c r="X37" s="373">
        <v>961400</v>
      </c>
      <c r="Y37" s="248"/>
      <c r="Z37" s="247"/>
      <c r="AA37" s="248"/>
      <c r="AB37" s="340">
        <f t="shared" si="5"/>
        <v>2011400</v>
      </c>
      <c r="AC37" s="347">
        <f t="shared" si="1"/>
        <v>0</v>
      </c>
      <c r="AD37" s="249" t="s">
        <v>3597</v>
      </c>
      <c r="AE37" s="435">
        <f>+(I37*3714000+J37*(3714000+100000))*1.1+(150000*1.1)</f>
        <v>4360400</v>
      </c>
      <c r="AF37" s="342">
        <f t="shared" si="2"/>
        <v>6371800</v>
      </c>
      <c r="AG37" s="275">
        <f>+W37+X37</f>
        <v>2011400</v>
      </c>
      <c r="AH37" s="241"/>
      <c r="AI37" s="241"/>
      <c r="AJ37" s="241"/>
      <c r="AK37" s="194"/>
      <c r="AL37" s="195"/>
      <c r="AM37" s="195"/>
    </row>
    <row r="38" spans="1:39">
      <c r="B38" s="253">
        <v>13</v>
      </c>
      <c r="C38" s="244"/>
      <c r="D38" s="256"/>
      <c r="E38" s="464" t="s">
        <v>880</v>
      </c>
      <c r="F38" s="604" t="s">
        <v>881</v>
      </c>
      <c r="G38" s="387" t="s">
        <v>3631</v>
      </c>
      <c r="H38" s="230" t="s">
        <v>748</v>
      </c>
      <c r="I38" s="230"/>
      <c r="J38" s="230">
        <v>1</v>
      </c>
      <c r="K38" s="230"/>
      <c r="L38" s="228"/>
      <c r="M38" s="257"/>
      <c r="N38" s="228" t="s">
        <v>882</v>
      </c>
      <c r="O38" s="228" t="s">
        <v>883</v>
      </c>
      <c r="P38" s="245"/>
      <c r="Q38" s="2564"/>
      <c r="R38" s="2564"/>
      <c r="S38" s="254"/>
      <c r="T38" s="228"/>
      <c r="U38" s="2552"/>
      <c r="V38" s="256"/>
      <c r="W38" s="373">
        <v>1100000</v>
      </c>
      <c r="X38" s="373">
        <v>709500</v>
      </c>
      <c r="Y38" s="248"/>
      <c r="Z38" s="247"/>
      <c r="AA38" s="248"/>
      <c r="AB38" s="340">
        <f t="shared" si="5"/>
        <v>1809500</v>
      </c>
      <c r="AC38" s="347">
        <f t="shared" si="1"/>
        <v>0</v>
      </c>
      <c r="AD38" s="249" t="s">
        <v>3597</v>
      </c>
      <c r="AE38" s="435">
        <f>+(I38*3714000+J38*(3714000+100000))*1.1+(150000*1.1)</f>
        <v>4360400</v>
      </c>
      <c r="AF38" s="342">
        <f t="shared" si="2"/>
        <v>6169900</v>
      </c>
      <c r="AG38" s="275">
        <f>+W38+X38</f>
        <v>1809500</v>
      </c>
      <c r="AH38" s="241"/>
      <c r="AI38" s="241"/>
      <c r="AJ38" s="241"/>
      <c r="AK38" s="194"/>
      <c r="AL38" s="195"/>
      <c r="AM38" s="195"/>
    </row>
    <row r="39" spans="1:39">
      <c r="B39" s="253">
        <v>14</v>
      </c>
      <c r="C39" s="244"/>
      <c r="D39" s="256"/>
      <c r="E39" s="464" t="s">
        <v>884</v>
      </c>
      <c r="F39" s="604" t="s">
        <v>881</v>
      </c>
      <c r="G39" s="387" t="s">
        <v>3632</v>
      </c>
      <c r="H39" s="230" t="s">
        <v>748</v>
      </c>
      <c r="I39" s="230"/>
      <c r="J39" s="230">
        <v>1</v>
      </c>
      <c r="K39" s="230"/>
      <c r="L39" s="228"/>
      <c r="M39" s="257"/>
      <c r="N39" s="228">
        <v>71523780</v>
      </c>
      <c r="O39" s="228" t="s">
        <v>885</v>
      </c>
      <c r="P39" s="245"/>
      <c r="Q39" s="2564"/>
      <c r="R39" s="2564"/>
      <c r="S39" s="254"/>
      <c r="T39" s="228"/>
      <c r="U39" s="2552"/>
      <c r="V39" s="256"/>
      <c r="W39" s="373">
        <v>1450000</v>
      </c>
      <c r="X39" s="373">
        <v>1050000</v>
      </c>
      <c r="Y39" s="248"/>
      <c r="Z39" s="247"/>
      <c r="AA39" s="248"/>
      <c r="AB39" s="340">
        <f t="shared" si="5"/>
        <v>2500000</v>
      </c>
      <c r="AC39" s="347">
        <f t="shared" si="1"/>
        <v>0</v>
      </c>
      <c r="AD39" s="249" t="s">
        <v>3597</v>
      </c>
      <c r="AE39" s="435">
        <f>+(I39*3714000+J39*(3714000+100000))*1.1+(150000*1.1)</f>
        <v>4360400</v>
      </c>
      <c r="AF39" s="342">
        <f t="shared" si="2"/>
        <v>6860400</v>
      </c>
      <c r="AG39" s="275">
        <f>+W39+X39</f>
        <v>2500000</v>
      </c>
      <c r="AH39" s="241"/>
      <c r="AI39" s="241"/>
      <c r="AJ39" s="241"/>
      <c r="AK39" s="194"/>
      <c r="AL39" s="195"/>
      <c r="AM39" s="195"/>
    </row>
    <row r="40" spans="1:39">
      <c r="B40" s="253">
        <v>15</v>
      </c>
      <c r="C40" s="244"/>
      <c r="D40" s="256"/>
      <c r="E40" s="464" t="s">
        <v>961</v>
      </c>
      <c r="F40" s="603" t="s">
        <v>910</v>
      </c>
      <c r="G40" s="391" t="s">
        <v>3633</v>
      </c>
      <c r="H40" s="230" t="s">
        <v>748</v>
      </c>
      <c r="I40" s="230"/>
      <c r="J40" s="230">
        <v>1</v>
      </c>
      <c r="K40" s="230"/>
      <c r="L40" s="228"/>
      <c r="M40" s="257"/>
      <c r="N40" s="228" t="s">
        <v>959</v>
      </c>
      <c r="O40" s="228" t="s">
        <v>960</v>
      </c>
      <c r="P40" s="245"/>
      <c r="Q40" s="2564"/>
      <c r="R40" s="2564"/>
      <c r="S40" s="254"/>
      <c r="T40" s="228"/>
      <c r="U40" s="2552"/>
      <c r="V40" s="256"/>
      <c r="W40" s="373">
        <v>1100000</v>
      </c>
      <c r="X40" s="373">
        <v>709500</v>
      </c>
      <c r="Y40" s="248"/>
      <c r="Z40" s="247"/>
      <c r="AA40" s="248"/>
      <c r="AB40" s="340">
        <f t="shared" si="5"/>
        <v>1809500</v>
      </c>
      <c r="AC40" s="347">
        <f t="shared" si="1"/>
        <v>0</v>
      </c>
      <c r="AD40" s="249" t="s">
        <v>3597</v>
      </c>
      <c r="AE40" s="435">
        <f>+(I40*3714000+J40*(3714000+100000))*1.1+(150000*1.1)</f>
        <v>4360400</v>
      </c>
      <c r="AF40" s="342">
        <f t="shared" si="2"/>
        <v>6169900</v>
      </c>
      <c r="AG40" s="275">
        <f>+W40+X40</f>
        <v>1809500</v>
      </c>
      <c r="AH40" s="241"/>
      <c r="AI40" s="241"/>
      <c r="AJ40" s="241"/>
      <c r="AK40" s="194"/>
      <c r="AL40" s="195"/>
      <c r="AM40" s="195"/>
    </row>
    <row r="41" spans="1:39" ht="16.5" customHeight="1">
      <c r="B41" s="253">
        <v>16</v>
      </c>
      <c r="C41" s="244"/>
      <c r="D41" s="256"/>
      <c r="E41" s="464" t="s">
        <v>962</v>
      </c>
      <c r="F41" s="603" t="s">
        <v>963</v>
      </c>
      <c r="G41" s="391" t="s">
        <v>3634</v>
      </c>
      <c r="H41" s="230" t="s">
        <v>748</v>
      </c>
      <c r="I41" s="230"/>
      <c r="J41" s="230">
        <v>1</v>
      </c>
      <c r="K41" s="230"/>
      <c r="L41" s="228"/>
      <c r="M41" s="257"/>
      <c r="N41" s="228" t="s">
        <v>3635</v>
      </c>
      <c r="O41" s="228" t="s">
        <v>964</v>
      </c>
      <c r="P41" s="245"/>
      <c r="Q41" s="2564"/>
      <c r="R41" s="2564"/>
      <c r="S41" s="254"/>
      <c r="T41" s="228"/>
      <c r="U41" s="2552"/>
      <c r="V41" s="256"/>
      <c r="W41" s="373">
        <v>920000</v>
      </c>
      <c r="X41" s="373">
        <v>1055000</v>
      </c>
      <c r="Y41" s="248"/>
      <c r="Z41" s="247"/>
      <c r="AA41" s="248"/>
      <c r="AB41" s="340">
        <f t="shared" si="5"/>
        <v>1975000</v>
      </c>
      <c r="AC41" s="347">
        <f t="shared" si="1"/>
        <v>0</v>
      </c>
      <c r="AD41" s="249" t="s">
        <v>3597</v>
      </c>
      <c r="AE41" s="435">
        <f>+(I41*3714000+J41*(3714000+100000))*1.1+(150000*1.1)</f>
        <v>4360400</v>
      </c>
      <c r="AF41" s="342">
        <f t="shared" si="2"/>
        <v>6335400</v>
      </c>
      <c r="AG41" s="275">
        <f>+W41+X41</f>
        <v>1975000</v>
      </c>
      <c r="AH41" s="241"/>
      <c r="AI41" s="241"/>
      <c r="AJ41" s="241"/>
      <c r="AK41" s="194"/>
      <c r="AL41" s="195"/>
      <c r="AM41" s="195"/>
    </row>
    <row r="42" spans="1:39" ht="57" customHeight="1">
      <c r="B42" s="253">
        <v>17</v>
      </c>
      <c r="C42" s="244"/>
      <c r="D42" s="256"/>
      <c r="E42" s="464" t="s">
        <v>971</v>
      </c>
      <c r="F42" s="603" t="s">
        <v>966</v>
      </c>
      <c r="G42" s="391" t="s">
        <v>3636</v>
      </c>
      <c r="H42" s="230" t="s">
        <v>748</v>
      </c>
      <c r="I42" s="230"/>
      <c r="J42" s="230">
        <v>1</v>
      </c>
      <c r="K42" s="230"/>
      <c r="L42" s="228"/>
      <c r="M42" s="257"/>
      <c r="N42" s="228" t="s">
        <v>3637</v>
      </c>
      <c r="O42" s="228" t="s">
        <v>3638</v>
      </c>
      <c r="P42" s="245"/>
      <c r="Q42" s="2564"/>
      <c r="R42" s="2564"/>
      <c r="S42" s="254"/>
      <c r="T42" s="228"/>
      <c r="U42" s="2552"/>
      <c r="V42" s="256"/>
      <c r="W42" s="373">
        <f>1056000+1250000</f>
        <v>2306000</v>
      </c>
      <c r="X42" s="324">
        <f>627000+5280000</f>
        <v>5907000</v>
      </c>
      <c r="Y42" s="248"/>
      <c r="Z42" s="247"/>
      <c r="AA42" s="248"/>
      <c r="AB42" s="340">
        <f t="shared" si="5"/>
        <v>8213000</v>
      </c>
      <c r="AC42" s="347">
        <f>+Z42</f>
        <v>0</v>
      </c>
      <c r="AD42" s="208" t="s">
        <v>3639</v>
      </c>
      <c r="AE42" s="435">
        <f>+(I42*3714000+J42*(3714000+100000))*1.1+(2500000*1.1)+(1700000*1.1)+(150000*1.1)</f>
        <v>8980400</v>
      </c>
      <c r="AF42" s="342">
        <f t="shared" si="2"/>
        <v>17193400</v>
      </c>
      <c r="AG42" s="275">
        <f>+W42</f>
        <v>2306000</v>
      </c>
      <c r="AH42" s="241"/>
      <c r="AI42" s="241"/>
      <c r="AJ42" s="241"/>
      <c r="AK42" s="194"/>
      <c r="AL42" s="195"/>
      <c r="AM42" s="195"/>
    </row>
    <row r="43" spans="1:39">
      <c r="B43" s="253">
        <v>18</v>
      </c>
      <c r="C43" s="244"/>
      <c r="D43" s="256"/>
      <c r="E43" s="465" t="s">
        <v>967</v>
      </c>
      <c r="F43" s="603" t="s">
        <v>966</v>
      </c>
      <c r="G43" s="391" t="s">
        <v>3640</v>
      </c>
      <c r="H43" s="230" t="s">
        <v>3579</v>
      </c>
      <c r="I43" s="230"/>
      <c r="J43" s="230"/>
      <c r="K43" s="230">
        <v>1</v>
      </c>
      <c r="L43" s="228"/>
      <c r="M43" s="257"/>
      <c r="N43" s="228" t="s">
        <v>968</v>
      </c>
      <c r="O43" s="228"/>
      <c r="P43" s="245"/>
      <c r="Q43" s="2564"/>
      <c r="R43" s="2564"/>
      <c r="S43" s="254"/>
      <c r="T43" s="228"/>
      <c r="U43" s="2552"/>
      <c r="V43" s="256"/>
      <c r="W43" s="248"/>
      <c r="X43" s="248"/>
      <c r="Y43" s="248"/>
      <c r="Z43" s="247"/>
      <c r="AA43" s="248"/>
      <c r="AB43" s="340">
        <f t="shared" si="5"/>
        <v>0</v>
      </c>
      <c r="AC43" s="347">
        <f t="shared" si="1"/>
        <v>0</v>
      </c>
      <c r="AD43" s="249" t="s">
        <v>3597</v>
      </c>
      <c r="AE43" s="435">
        <f>(1320000*1.1)+(150000*1.1)</f>
        <v>1617000.0000000002</v>
      </c>
      <c r="AF43" s="342">
        <f t="shared" si="2"/>
        <v>1617000.0000000002</v>
      </c>
      <c r="AG43" s="275"/>
      <c r="AH43" s="241"/>
      <c r="AI43" s="241"/>
      <c r="AJ43" s="241"/>
      <c r="AK43" s="194"/>
      <c r="AL43" s="195"/>
      <c r="AM43" s="195"/>
    </row>
    <row r="44" spans="1:39" s="13" customFormat="1" ht="36" customHeight="1">
      <c r="A44" s="649" t="s">
        <v>3641</v>
      </c>
      <c r="B44" s="650"/>
      <c r="C44" s="650"/>
      <c r="D44" s="346"/>
      <c r="E44" s="650"/>
      <c r="F44" s="650"/>
      <c r="G44" s="650"/>
      <c r="H44" s="650"/>
      <c r="I44" s="369"/>
      <c r="J44" s="346"/>
      <c r="K44" s="346"/>
      <c r="L44" s="346"/>
      <c r="M44" s="346"/>
      <c r="N44" s="346"/>
      <c r="O44" s="354"/>
      <c r="P44" s="346"/>
      <c r="Q44" s="346"/>
      <c r="R44" s="346"/>
      <c r="S44" s="346"/>
      <c r="T44" s="346"/>
      <c r="U44" s="346"/>
      <c r="V44" s="357"/>
      <c r="W44" s="357"/>
      <c r="X44" s="357"/>
      <c r="Y44" s="357"/>
      <c r="Z44" s="357"/>
      <c r="AA44" s="357"/>
      <c r="AB44" s="358">
        <f>SUM(AB26:AB43)</f>
        <v>37400900</v>
      </c>
      <c r="AC44" s="358">
        <f>SUM(AC26:AC43)</f>
        <v>0</v>
      </c>
      <c r="AD44" s="359"/>
      <c r="AE44" s="358">
        <f>SUM(AE26:AE43)</f>
        <v>74690000</v>
      </c>
      <c r="AF44" s="358">
        <f>+AB44+AC44+AE44</f>
        <v>112090900</v>
      </c>
      <c r="AG44" s="357"/>
      <c r="AH44" s="357"/>
      <c r="AI44" s="357"/>
      <c r="AJ44" s="357"/>
      <c r="AK44" s="357"/>
      <c r="AL44" s="357"/>
      <c r="AM44" s="357"/>
    </row>
    <row r="45" spans="1:39">
      <c r="B45" s="439" t="s">
        <v>973</v>
      </c>
      <c r="C45" s="244"/>
      <c r="D45" s="256"/>
      <c r="E45" s="465" t="s">
        <v>974</v>
      </c>
      <c r="F45" s="604" t="s">
        <v>975</v>
      </c>
      <c r="G45" s="391" t="s">
        <v>3642</v>
      </c>
      <c r="H45" s="230" t="s">
        <v>3579</v>
      </c>
      <c r="I45" s="230"/>
      <c r="J45" s="230"/>
      <c r="K45" s="230">
        <v>1</v>
      </c>
      <c r="L45" s="228"/>
      <c r="M45" s="257"/>
      <c r="N45" s="228" t="s">
        <v>976</v>
      </c>
      <c r="O45" s="228"/>
      <c r="P45" s="245"/>
      <c r="Q45" s="2564"/>
      <c r="R45" s="2564"/>
      <c r="S45" s="254"/>
      <c r="T45" s="228"/>
      <c r="U45" s="2552"/>
      <c r="V45" s="256"/>
      <c r="W45" s="248"/>
      <c r="X45" s="248"/>
      <c r="Y45" s="248"/>
      <c r="Z45" s="247"/>
      <c r="AA45" s="248"/>
      <c r="AB45" s="340">
        <f t="shared" ref="AB45:AB53" si="8">V45+W45+X45+Y45+Z45+AA45</f>
        <v>0</v>
      </c>
      <c r="AC45" s="347">
        <f t="shared" si="1"/>
        <v>0</v>
      </c>
      <c r="AD45" s="249" t="s">
        <v>3597</v>
      </c>
      <c r="AE45" s="435">
        <f>(1420000*1.1)+(150000*1.1)</f>
        <v>1727000.0000000002</v>
      </c>
      <c r="AF45" s="342">
        <f t="shared" si="2"/>
        <v>1727000.0000000002</v>
      </c>
      <c r="AG45" s="275"/>
      <c r="AH45" s="241"/>
      <c r="AI45" s="241"/>
      <c r="AJ45" s="241"/>
      <c r="AK45" s="194"/>
      <c r="AL45" s="195"/>
      <c r="AM45" s="195"/>
    </row>
    <row r="46" spans="1:39" ht="31.2">
      <c r="B46" s="253">
        <v>2</v>
      </c>
      <c r="C46" s="244"/>
      <c r="D46" s="256"/>
      <c r="E46" s="464" t="s">
        <v>977</v>
      </c>
      <c r="F46" s="604" t="s">
        <v>978</v>
      </c>
      <c r="G46" s="391" t="s">
        <v>3643</v>
      </c>
      <c r="H46" s="230" t="s">
        <v>210</v>
      </c>
      <c r="I46" s="230"/>
      <c r="J46" s="230">
        <v>2</v>
      </c>
      <c r="K46" s="230"/>
      <c r="L46" s="228"/>
      <c r="M46" s="257"/>
      <c r="N46" s="228">
        <v>2140535460</v>
      </c>
      <c r="O46" s="254" t="s">
        <v>979</v>
      </c>
      <c r="P46" s="245"/>
      <c r="Q46" s="2564"/>
      <c r="R46" s="2564"/>
      <c r="S46" s="254"/>
      <c r="T46" s="228"/>
      <c r="U46" s="2552"/>
      <c r="V46" s="256"/>
      <c r="W46" s="373">
        <f>1450000+1450000</f>
        <v>2900000</v>
      </c>
      <c r="X46" s="373">
        <f>1056000+1056000</f>
        <v>2112000</v>
      </c>
      <c r="Y46" s="248"/>
      <c r="Z46" s="247"/>
      <c r="AA46" s="248"/>
      <c r="AB46" s="340">
        <f t="shared" si="8"/>
        <v>5012000</v>
      </c>
      <c r="AC46" s="347">
        <f t="shared" si="1"/>
        <v>0</v>
      </c>
      <c r="AD46" s="249" t="s">
        <v>3597</v>
      </c>
      <c r="AE46" s="435">
        <f t="shared" ref="AE46:AE53" si="9">+(I46*3650000+J46*(3650000+100000))*1.1+(150000*1.1)</f>
        <v>8415000</v>
      </c>
      <c r="AF46" s="342">
        <f t="shared" si="2"/>
        <v>13427000</v>
      </c>
      <c r="AG46" s="275">
        <f>+W46+X46</f>
        <v>5012000</v>
      </c>
      <c r="AH46" s="241"/>
      <c r="AI46" s="241"/>
      <c r="AJ46" s="241"/>
      <c r="AK46" s="194"/>
      <c r="AL46" s="195"/>
      <c r="AM46" s="195"/>
    </row>
    <row r="47" spans="1:39">
      <c r="B47" s="253">
        <v>3</v>
      </c>
      <c r="C47" s="244"/>
      <c r="D47" s="256"/>
      <c r="E47" s="464" t="s">
        <v>980</v>
      </c>
      <c r="F47" s="604" t="s">
        <v>981</v>
      </c>
      <c r="G47" s="391" t="s">
        <v>3644</v>
      </c>
      <c r="H47" s="230" t="s">
        <v>210</v>
      </c>
      <c r="I47" s="230"/>
      <c r="J47" s="230">
        <v>1</v>
      </c>
      <c r="K47" s="230"/>
      <c r="L47" s="228"/>
      <c r="M47" s="257"/>
      <c r="N47" s="228" t="s">
        <v>982</v>
      </c>
      <c r="O47" s="228" t="s">
        <v>1092</v>
      </c>
      <c r="P47" s="245"/>
      <c r="Q47" s="2564"/>
      <c r="R47" s="2564"/>
      <c r="S47" s="254"/>
      <c r="T47" s="228"/>
      <c r="U47" s="2552"/>
      <c r="V47" s="256"/>
      <c r="W47" s="373">
        <v>1100000</v>
      </c>
      <c r="X47" s="373">
        <v>709500</v>
      </c>
      <c r="Y47" s="248"/>
      <c r="Z47" s="247"/>
      <c r="AA47" s="248"/>
      <c r="AB47" s="340">
        <f t="shared" si="8"/>
        <v>1809500</v>
      </c>
      <c r="AC47" s="347">
        <f t="shared" si="1"/>
        <v>0</v>
      </c>
      <c r="AD47" s="249" t="s">
        <v>3597</v>
      </c>
      <c r="AE47" s="435">
        <f t="shared" si="9"/>
        <v>4290000</v>
      </c>
      <c r="AF47" s="342">
        <f t="shared" si="2"/>
        <v>6099500</v>
      </c>
      <c r="AG47" s="275">
        <f t="shared" ref="AG47:AG53" si="10">+W47+X47</f>
        <v>1809500</v>
      </c>
      <c r="AH47" s="241"/>
      <c r="AI47" s="241"/>
      <c r="AJ47" s="241"/>
      <c r="AK47" s="194"/>
      <c r="AL47" s="195"/>
      <c r="AM47" s="195"/>
    </row>
    <row r="48" spans="1:39">
      <c r="B48" s="253">
        <v>4</v>
      </c>
      <c r="C48" s="244"/>
      <c r="D48" s="256"/>
      <c r="E48" s="464" t="s">
        <v>1109</v>
      </c>
      <c r="F48" s="604" t="s">
        <v>1044</v>
      </c>
      <c r="G48" s="391" t="s">
        <v>3645</v>
      </c>
      <c r="H48" s="230" t="s">
        <v>210</v>
      </c>
      <c r="I48" s="230"/>
      <c r="J48" s="230">
        <v>1</v>
      </c>
      <c r="K48" s="230"/>
      <c r="L48" s="228"/>
      <c r="M48" s="257"/>
      <c r="N48" s="228" t="s">
        <v>1043</v>
      </c>
      <c r="O48" s="228" t="s">
        <v>1045</v>
      </c>
      <c r="P48" s="245"/>
      <c r="Q48" s="2564"/>
      <c r="R48" s="2564"/>
      <c r="S48" s="254"/>
      <c r="T48" s="228"/>
      <c r="U48" s="2552"/>
      <c r="V48" s="256"/>
      <c r="W48" s="373">
        <v>1450000</v>
      </c>
      <c r="X48" s="373">
        <v>1070000</v>
      </c>
      <c r="Y48" s="248"/>
      <c r="Z48" s="247"/>
      <c r="AA48" s="248"/>
      <c r="AB48" s="340">
        <f t="shared" si="8"/>
        <v>2520000</v>
      </c>
      <c r="AC48" s="347">
        <f t="shared" si="1"/>
        <v>0</v>
      </c>
      <c r="AD48" s="249" t="s">
        <v>3597</v>
      </c>
      <c r="AE48" s="435">
        <f t="shared" si="9"/>
        <v>4290000</v>
      </c>
      <c r="AF48" s="342">
        <f t="shared" si="2"/>
        <v>6810000</v>
      </c>
      <c r="AG48" s="275">
        <f t="shared" si="10"/>
        <v>2520000</v>
      </c>
      <c r="AH48" s="241"/>
      <c r="AI48" s="241"/>
      <c r="AJ48" s="241"/>
      <c r="AK48" s="194"/>
      <c r="AL48" s="195"/>
      <c r="AM48" s="195"/>
    </row>
    <row r="49" spans="1:39">
      <c r="B49" s="253">
        <v>5</v>
      </c>
      <c r="C49" s="244"/>
      <c r="D49" s="256"/>
      <c r="E49" s="464" t="s">
        <v>1108</v>
      </c>
      <c r="F49" s="603" t="s">
        <v>1093</v>
      </c>
      <c r="G49" s="391" t="s">
        <v>3646</v>
      </c>
      <c r="H49" s="230" t="s">
        <v>210</v>
      </c>
      <c r="I49" s="230"/>
      <c r="J49" s="230">
        <v>1</v>
      </c>
      <c r="K49" s="230"/>
      <c r="L49" s="228"/>
      <c r="M49" s="257"/>
      <c r="N49" s="228" t="s">
        <v>3647</v>
      </c>
      <c r="O49" s="228" t="s">
        <v>1094</v>
      </c>
      <c r="P49" s="245"/>
      <c r="Q49" s="2564"/>
      <c r="R49" s="2564"/>
      <c r="S49" s="254"/>
      <c r="T49" s="228"/>
      <c r="U49" s="2552"/>
      <c r="V49" s="256"/>
      <c r="W49" s="373">
        <v>1450000</v>
      </c>
      <c r="X49" s="373">
        <v>1050000</v>
      </c>
      <c r="Y49" s="248"/>
      <c r="Z49" s="247"/>
      <c r="AA49" s="248"/>
      <c r="AB49" s="340">
        <f t="shared" si="8"/>
        <v>2500000</v>
      </c>
      <c r="AC49" s="347">
        <f t="shared" si="1"/>
        <v>0</v>
      </c>
      <c r="AD49" s="249" t="s">
        <v>3597</v>
      </c>
      <c r="AE49" s="435">
        <f t="shared" si="9"/>
        <v>4290000</v>
      </c>
      <c r="AF49" s="342">
        <f t="shared" si="2"/>
        <v>6790000</v>
      </c>
      <c r="AG49" s="275">
        <f t="shared" si="10"/>
        <v>2500000</v>
      </c>
      <c r="AH49" s="241"/>
      <c r="AI49" s="241"/>
      <c r="AJ49" s="241"/>
      <c r="AK49" s="194"/>
      <c r="AL49" s="195"/>
      <c r="AM49" s="195"/>
    </row>
    <row r="50" spans="1:39">
      <c r="B50" s="253">
        <v>6</v>
      </c>
      <c r="C50" s="244"/>
      <c r="D50" s="256"/>
      <c r="E50" s="464" t="s">
        <v>1095</v>
      </c>
      <c r="F50" s="603" t="s">
        <v>1096</v>
      </c>
      <c r="G50" s="391" t="s">
        <v>3648</v>
      </c>
      <c r="H50" s="230" t="s">
        <v>210</v>
      </c>
      <c r="I50" s="230">
        <v>1</v>
      </c>
      <c r="J50" s="230"/>
      <c r="K50" s="230"/>
      <c r="L50" s="228"/>
      <c r="M50" s="257"/>
      <c r="N50" s="228">
        <v>71215165</v>
      </c>
      <c r="O50" s="228" t="s">
        <v>1097</v>
      </c>
      <c r="P50" s="245"/>
      <c r="Q50" s="2564"/>
      <c r="R50" s="2564"/>
      <c r="S50" s="254"/>
      <c r="T50" s="228"/>
      <c r="U50" s="2552"/>
      <c r="V50" s="256"/>
      <c r="W50" s="373">
        <v>630000</v>
      </c>
      <c r="X50" s="373">
        <v>638000</v>
      </c>
      <c r="Y50" s="248"/>
      <c r="Z50" s="247"/>
      <c r="AA50" s="248"/>
      <c r="AB50" s="340">
        <f t="shared" si="8"/>
        <v>1268000</v>
      </c>
      <c r="AC50" s="347">
        <f t="shared" si="1"/>
        <v>0</v>
      </c>
      <c r="AD50" s="249" t="s">
        <v>3597</v>
      </c>
      <c r="AE50" s="435">
        <f t="shared" si="9"/>
        <v>4180000.0000000005</v>
      </c>
      <c r="AF50" s="342">
        <f t="shared" si="2"/>
        <v>5448000</v>
      </c>
      <c r="AG50" s="275">
        <f t="shared" si="10"/>
        <v>1268000</v>
      </c>
      <c r="AH50" s="241"/>
      <c r="AI50" s="241"/>
      <c r="AJ50" s="241"/>
      <c r="AK50" s="194"/>
      <c r="AL50" s="195"/>
      <c r="AM50" s="195"/>
    </row>
    <row r="51" spans="1:39">
      <c r="B51" s="253">
        <v>7</v>
      </c>
      <c r="C51" s="244"/>
      <c r="D51" s="256"/>
      <c r="E51" s="464" t="s">
        <v>1105</v>
      </c>
      <c r="F51" s="603" t="s">
        <v>1106</v>
      </c>
      <c r="G51" s="391" t="s">
        <v>3649</v>
      </c>
      <c r="H51" s="230" t="s">
        <v>210</v>
      </c>
      <c r="I51" s="230"/>
      <c r="J51" s="230">
        <v>1</v>
      </c>
      <c r="K51" s="230"/>
      <c r="L51" s="228"/>
      <c r="M51" s="257"/>
      <c r="N51" s="289" t="s">
        <v>1104</v>
      </c>
      <c r="O51" s="228" t="s">
        <v>1107</v>
      </c>
      <c r="P51" s="245"/>
      <c r="Q51" s="2564"/>
      <c r="R51" s="2564"/>
      <c r="S51" s="254"/>
      <c r="T51" s="228"/>
      <c r="U51" s="2552"/>
      <c r="V51" s="256"/>
      <c r="W51" s="373">
        <v>920000</v>
      </c>
      <c r="X51" s="373">
        <v>1050000</v>
      </c>
      <c r="Y51" s="248"/>
      <c r="Z51" s="247"/>
      <c r="AA51" s="248"/>
      <c r="AB51" s="340">
        <f t="shared" si="8"/>
        <v>1970000</v>
      </c>
      <c r="AC51" s="347">
        <f t="shared" si="1"/>
        <v>0</v>
      </c>
      <c r="AD51" s="249" t="s">
        <v>3597</v>
      </c>
      <c r="AE51" s="435">
        <f t="shared" si="9"/>
        <v>4290000</v>
      </c>
      <c r="AF51" s="342">
        <f t="shared" si="2"/>
        <v>6260000</v>
      </c>
      <c r="AG51" s="275">
        <f t="shared" si="10"/>
        <v>1970000</v>
      </c>
      <c r="AH51" s="241"/>
      <c r="AI51" s="241"/>
      <c r="AJ51" s="241"/>
      <c r="AK51" s="194"/>
      <c r="AL51" s="195"/>
      <c r="AM51" s="195"/>
    </row>
    <row r="52" spans="1:39">
      <c r="B52" s="253">
        <v>8</v>
      </c>
      <c r="C52" s="244"/>
      <c r="D52" s="256"/>
      <c r="E52" s="464" t="s">
        <v>1111</v>
      </c>
      <c r="F52" s="603" t="s">
        <v>1110</v>
      </c>
      <c r="G52" s="391" t="s">
        <v>3650</v>
      </c>
      <c r="H52" s="230" t="s">
        <v>210</v>
      </c>
      <c r="I52" s="230"/>
      <c r="J52" s="230">
        <v>1</v>
      </c>
      <c r="K52" s="230"/>
      <c r="L52" s="228"/>
      <c r="M52" s="257"/>
      <c r="N52" s="228" t="s">
        <v>3651</v>
      </c>
      <c r="O52" s="228" t="s">
        <v>1112</v>
      </c>
      <c r="P52" s="245"/>
      <c r="Q52" s="2564"/>
      <c r="R52" s="2564"/>
      <c r="S52" s="254"/>
      <c r="T52" s="228"/>
      <c r="U52" s="2552"/>
      <c r="V52" s="256"/>
      <c r="W52" s="373">
        <v>1450000</v>
      </c>
      <c r="X52" s="373">
        <v>709500</v>
      </c>
      <c r="Y52" s="248"/>
      <c r="Z52" s="247"/>
      <c r="AA52" s="248"/>
      <c r="AB52" s="340">
        <f t="shared" si="8"/>
        <v>2159500</v>
      </c>
      <c r="AC52" s="347">
        <f t="shared" si="1"/>
        <v>0</v>
      </c>
      <c r="AD52" s="249" t="s">
        <v>3597</v>
      </c>
      <c r="AE52" s="435">
        <f t="shared" si="9"/>
        <v>4290000</v>
      </c>
      <c r="AF52" s="342">
        <f t="shared" si="2"/>
        <v>6449500</v>
      </c>
      <c r="AG52" s="275">
        <f t="shared" si="10"/>
        <v>2159500</v>
      </c>
      <c r="AH52" s="241"/>
      <c r="AI52" s="241"/>
      <c r="AJ52" s="241"/>
      <c r="AK52" s="194"/>
      <c r="AL52" s="195"/>
      <c r="AM52" s="195"/>
    </row>
    <row r="53" spans="1:39">
      <c r="B53" s="253">
        <v>9</v>
      </c>
      <c r="C53" s="244"/>
      <c r="D53" s="256"/>
      <c r="E53" s="464" t="s">
        <v>1113</v>
      </c>
      <c r="F53" s="603" t="s">
        <v>1110</v>
      </c>
      <c r="G53" s="391" t="s">
        <v>3652</v>
      </c>
      <c r="H53" s="230" t="s">
        <v>210</v>
      </c>
      <c r="I53" s="230"/>
      <c r="J53" s="230">
        <v>1</v>
      </c>
      <c r="K53" s="230"/>
      <c r="L53" s="228"/>
      <c r="M53" s="257"/>
      <c r="N53" s="228" t="s">
        <v>1114</v>
      </c>
      <c r="O53" s="228" t="s">
        <v>1115</v>
      </c>
      <c r="P53" s="245"/>
      <c r="Q53" s="2564"/>
      <c r="R53" s="2564"/>
      <c r="S53" s="254"/>
      <c r="T53" s="228"/>
      <c r="U53" s="2552"/>
      <c r="V53" s="256"/>
      <c r="W53" s="373">
        <v>1450000</v>
      </c>
      <c r="X53" s="373">
        <v>1070000</v>
      </c>
      <c r="Y53" s="248"/>
      <c r="Z53" s="247"/>
      <c r="AA53" s="248"/>
      <c r="AB53" s="340">
        <f t="shared" si="8"/>
        <v>2520000</v>
      </c>
      <c r="AC53" s="347">
        <f t="shared" si="1"/>
        <v>0</v>
      </c>
      <c r="AD53" s="249" t="s">
        <v>3597</v>
      </c>
      <c r="AE53" s="435">
        <f t="shared" si="9"/>
        <v>4290000</v>
      </c>
      <c r="AF53" s="342">
        <f t="shared" si="2"/>
        <v>6810000</v>
      </c>
      <c r="AG53" s="275">
        <f t="shared" si="10"/>
        <v>2520000</v>
      </c>
      <c r="AH53" s="241"/>
      <c r="AI53" s="241"/>
      <c r="AJ53" s="241"/>
      <c r="AK53" s="194"/>
      <c r="AL53" s="195"/>
      <c r="AM53" s="195"/>
    </row>
    <row r="54" spans="1:39" s="13" customFormat="1" ht="36" customHeight="1">
      <c r="A54" s="649" t="s">
        <v>3653</v>
      </c>
      <c r="B54" s="650"/>
      <c r="C54" s="650"/>
      <c r="D54" s="346"/>
      <c r="E54" s="650"/>
      <c r="F54" s="650"/>
      <c r="G54" s="650"/>
      <c r="H54" s="650"/>
      <c r="I54" s="369"/>
      <c r="J54" s="346"/>
      <c r="K54" s="346"/>
      <c r="L54" s="346"/>
      <c r="M54" s="346"/>
      <c r="N54" s="346"/>
      <c r="O54" s="354"/>
      <c r="P54" s="346"/>
      <c r="Q54" s="346"/>
      <c r="R54" s="346"/>
      <c r="S54" s="346"/>
      <c r="T54" s="346"/>
      <c r="U54" s="346"/>
      <c r="V54" s="357"/>
      <c r="W54" s="357"/>
      <c r="X54" s="357"/>
      <c r="Y54" s="357"/>
      <c r="Z54" s="357"/>
      <c r="AA54" s="357"/>
      <c r="AB54" s="358">
        <f>SUM(AB36:AB53)</f>
        <v>78035800</v>
      </c>
      <c r="AC54" s="358">
        <f>SUM(AC36:AC53)</f>
        <v>0</v>
      </c>
      <c r="AD54" s="359"/>
      <c r="AE54" s="358">
        <f>SUM(AE36:AE53)</f>
        <v>152061800</v>
      </c>
      <c r="AF54" s="358">
        <f>+AB54+AC54+AE54</f>
        <v>230097600</v>
      </c>
      <c r="AG54" s="357"/>
      <c r="AH54" s="357"/>
      <c r="AI54" s="357"/>
      <c r="AJ54" s="357"/>
      <c r="AK54" s="357"/>
      <c r="AL54" s="357"/>
      <c r="AM54" s="357"/>
    </row>
    <row r="55" spans="1:39" ht="78">
      <c r="B55" s="253">
        <v>1</v>
      </c>
      <c r="C55" s="244"/>
      <c r="D55" s="256"/>
      <c r="E55" s="473" t="s">
        <v>1172</v>
      </c>
      <c r="F55" s="603" t="s">
        <v>1169</v>
      </c>
      <c r="G55" s="391" t="s">
        <v>3654</v>
      </c>
      <c r="H55" s="230" t="s">
        <v>210</v>
      </c>
      <c r="I55" s="230"/>
      <c r="J55" s="230">
        <v>1</v>
      </c>
      <c r="K55" s="230"/>
      <c r="L55" s="228"/>
      <c r="M55" s="257"/>
      <c r="N55" s="228" t="s">
        <v>1173</v>
      </c>
      <c r="O55" s="228" t="s">
        <v>1233</v>
      </c>
      <c r="P55" s="245"/>
      <c r="Q55" s="2564"/>
      <c r="R55" s="2564"/>
      <c r="S55" s="254"/>
      <c r="T55" s="257"/>
      <c r="U55" s="2553"/>
      <c r="V55" s="256"/>
      <c r="W55" s="373">
        <v>1450000</v>
      </c>
      <c r="X55" s="373">
        <v>1070000</v>
      </c>
      <c r="Y55" s="248"/>
      <c r="Z55" s="247"/>
      <c r="AA55" s="248"/>
      <c r="AB55" s="340">
        <f t="shared" ref="AB55:AB75" si="11">V55+W55+X55+Y55+Z55+AA55</f>
        <v>2520000</v>
      </c>
      <c r="AC55" s="347">
        <f t="shared" si="1"/>
        <v>0</v>
      </c>
      <c r="AD55" s="208" t="s">
        <v>3655</v>
      </c>
      <c r="AE55" s="471">
        <f>+(I55*3586000+J55*(3586000+100000))*1.1+(150000*2*1.1)</f>
        <v>4384600</v>
      </c>
      <c r="AF55" s="342">
        <f t="shared" si="2"/>
        <v>6904600</v>
      </c>
      <c r="AG55" s="435"/>
      <c r="AH55" s="241"/>
      <c r="AI55" s="241"/>
      <c r="AJ55" s="241"/>
      <c r="AK55" s="194"/>
      <c r="AL55" s="195"/>
      <c r="AM55" s="3840" t="s">
        <v>3656</v>
      </c>
    </row>
    <row r="56" spans="1:39">
      <c r="B56" s="253">
        <v>2</v>
      </c>
      <c r="C56" s="244"/>
      <c r="D56" s="256"/>
      <c r="E56" s="468" t="s">
        <v>1175</v>
      </c>
      <c r="F56" s="603" t="s">
        <v>1169</v>
      </c>
      <c r="G56" s="391" t="s">
        <v>3657</v>
      </c>
      <c r="H56" s="230" t="s">
        <v>210</v>
      </c>
      <c r="I56" s="230"/>
      <c r="J56" s="230">
        <v>1</v>
      </c>
      <c r="K56" s="230"/>
      <c r="L56" s="228"/>
      <c r="M56" s="257"/>
      <c r="N56" s="228">
        <v>6356961980</v>
      </c>
      <c r="O56" s="228" t="s">
        <v>1176</v>
      </c>
      <c r="P56" s="245"/>
      <c r="Q56" s="2564"/>
      <c r="R56" s="2564"/>
      <c r="S56" s="254"/>
      <c r="T56" s="257"/>
      <c r="U56" s="2553"/>
      <c r="V56" s="256"/>
      <c r="W56" s="373">
        <v>1056000</v>
      </c>
      <c r="X56" s="373">
        <v>920000</v>
      </c>
      <c r="Y56" s="248"/>
      <c r="Z56" s="247"/>
      <c r="AA56" s="248"/>
      <c r="AB56" s="340">
        <f t="shared" si="11"/>
        <v>1976000</v>
      </c>
      <c r="AC56" s="347">
        <f t="shared" si="1"/>
        <v>0</v>
      </c>
      <c r="AD56" s="249" t="s">
        <v>3597</v>
      </c>
      <c r="AE56" s="471">
        <f>+(I56*3586000+J56*(3586000+100000))*1.1+(150000*1.1)</f>
        <v>4219600</v>
      </c>
      <c r="AF56" s="342">
        <f t="shared" si="2"/>
        <v>6195600</v>
      </c>
      <c r="AG56" s="252"/>
      <c r="AH56" s="241"/>
      <c r="AI56" s="241"/>
      <c r="AJ56" s="241"/>
      <c r="AK56" s="194"/>
      <c r="AL56" s="195"/>
      <c r="AM56" s="3841"/>
    </row>
    <row r="57" spans="1:39">
      <c r="B57" s="253">
        <v>3</v>
      </c>
      <c r="C57" s="244"/>
      <c r="D57" s="256"/>
      <c r="E57" s="469" t="s">
        <v>1174</v>
      </c>
      <c r="F57" s="603" t="s">
        <v>1169</v>
      </c>
      <c r="G57" s="391" t="s">
        <v>3658</v>
      </c>
      <c r="H57" s="230" t="s">
        <v>3579</v>
      </c>
      <c r="I57" s="230"/>
      <c r="J57" s="230"/>
      <c r="K57" s="230">
        <v>1</v>
      </c>
      <c r="L57" s="228"/>
      <c r="M57" s="257" t="s">
        <v>1195</v>
      </c>
      <c r="N57" s="228" t="s">
        <v>3659</v>
      </c>
      <c r="O57" s="228"/>
      <c r="P57" s="245"/>
      <c r="Q57" s="2564"/>
      <c r="R57" s="2564"/>
      <c r="S57" s="254"/>
      <c r="T57" s="257" t="s">
        <v>1195</v>
      </c>
      <c r="U57" s="2553"/>
      <c r="V57" s="256"/>
      <c r="W57" s="248"/>
      <c r="X57" s="248"/>
      <c r="Y57" s="248"/>
      <c r="Z57" s="247"/>
      <c r="AA57" s="248"/>
      <c r="AB57" s="340">
        <f t="shared" si="11"/>
        <v>0</v>
      </c>
      <c r="AC57" s="347">
        <f t="shared" si="1"/>
        <v>0</v>
      </c>
      <c r="AD57" s="249" t="s">
        <v>3597</v>
      </c>
      <c r="AE57" s="471">
        <f>(3300000*1.1)+(150000*1.1)</f>
        <v>3795000.0000000005</v>
      </c>
      <c r="AF57" s="342">
        <f t="shared" si="2"/>
        <v>3795000.0000000005</v>
      </c>
      <c r="AG57" s="252"/>
      <c r="AH57" s="241"/>
      <c r="AI57" s="241"/>
      <c r="AJ57" s="241"/>
      <c r="AK57" s="194"/>
      <c r="AL57" s="195"/>
      <c r="AM57" s="3841"/>
    </row>
    <row r="58" spans="1:39">
      <c r="B58" s="253">
        <v>4</v>
      </c>
      <c r="C58" s="244"/>
      <c r="D58" s="256"/>
      <c r="E58" s="468" t="s">
        <v>1181</v>
      </c>
      <c r="F58" s="603" t="s">
        <v>1178</v>
      </c>
      <c r="G58" s="391" t="s">
        <v>3660</v>
      </c>
      <c r="H58" s="230" t="s">
        <v>210</v>
      </c>
      <c r="I58" s="230"/>
      <c r="J58" s="230">
        <v>1</v>
      </c>
      <c r="K58" s="230"/>
      <c r="L58" s="228"/>
      <c r="M58" s="257"/>
      <c r="N58" s="289" t="s">
        <v>1183</v>
      </c>
      <c r="O58" s="228" t="s">
        <v>1182</v>
      </c>
      <c r="P58" s="245"/>
      <c r="Q58" s="2564"/>
      <c r="R58" s="2564"/>
      <c r="S58" s="254"/>
      <c r="T58" s="257"/>
      <c r="U58" s="2553"/>
      <c r="V58" s="256"/>
      <c r="W58" s="373">
        <v>920000</v>
      </c>
      <c r="X58" s="373">
        <v>709500</v>
      </c>
      <c r="Y58" s="248"/>
      <c r="Z58" s="247"/>
      <c r="AA58" s="248"/>
      <c r="AB58" s="340">
        <f t="shared" si="11"/>
        <v>1629500</v>
      </c>
      <c r="AC58" s="347">
        <f t="shared" si="1"/>
        <v>0</v>
      </c>
      <c r="AD58" s="249" t="s">
        <v>3597</v>
      </c>
      <c r="AE58" s="471">
        <f>+(I58*3586000+J58*(3586000+100000))*1.1+(150000*1.1)</f>
        <v>4219600</v>
      </c>
      <c r="AF58" s="342">
        <f t="shared" si="2"/>
        <v>5849100</v>
      </c>
      <c r="AG58" s="252"/>
      <c r="AH58" s="241"/>
      <c r="AI58" s="241"/>
      <c r="AJ58" s="241"/>
      <c r="AK58" s="194"/>
      <c r="AL58" s="195"/>
      <c r="AM58" s="3841"/>
    </row>
    <row r="59" spans="1:39">
      <c r="B59" s="253">
        <v>5</v>
      </c>
      <c r="C59" s="244"/>
      <c r="D59" s="256"/>
      <c r="E59" s="470">
        <v>305560419900</v>
      </c>
      <c r="F59" s="603" t="s">
        <v>1178</v>
      </c>
      <c r="G59" s="391" t="s">
        <v>3661</v>
      </c>
      <c r="H59" s="230" t="s">
        <v>210</v>
      </c>
      <c r="I59" s="230"/>
      <c r="J59" s="230">
        <v>1</v>
      </c>
      <c r="K59" s="230"/>
      <c r="L59" s="228"/>
      <c r="M59" s="257"/>
      <c r="N59" s="228">
        <v>2719365720</v>
      </c>
      <c r="O59" s="228" t="s">
        <v>1184</v>
      </c>
      <c r="P59" s="245"/>
      <c r="Q59" s="2564"/>
      <c r="R59" s="2564"/>
      <c r="S59" s="254"/>
      <c r="T59" s="257"/>
      <c r="U59" s="2553"/>
      <c r="V59" s="256"/>
      <c r="W59" s="373">
        <v>1450000</v>
      </c>
      <c r="X59" s="373">
        <v>1055000</v>
      </c>
      <c r="Y59" s="248"/>
      <c r="Z59" s="247"/>
      <c r="AA59" s="248"/>
      <c r="AB59" s="340">
        <f t="shared" si="11"/>
        <v>2505000</v>
      </c>
      <c r="AC59" s="347">
        <f t="shared" si="1"/>
        <v>0</v>
      </c>
      <c r="AD59" s="249" t="s">
        <v>3597</v>
      </c>
      <c r="AE59" s="471">
        <f>+(I59*3586000+J59*(3586000+100000))*1.1+(150000*1.1)</f>
        <v>4219600</v>
      </c>
      <c r="AF59" s="342">
        <f t="shared" si="2"/>
        <v>6724600</v>
      </c>
      <c r="AG59" s="252"/>
      <c r="AH59" s="241"/>
      <c r="AI59" s="241"/>
      <c r="AJ59" s="241"/>
      <c r="AK59" s="194"/>
      <c r="AL59" s="195"/>
      <c r="AM59" s="3841"/>
    </row>
    <row r="60" spans="1:39">
      <c r="B60" s="253">
        <v>6</v>
      </c>
      <c r="C60" s="244"/>
      <c r="D60" s="256"/>
      <c r="E60" s="470">
        <v>305564712260</v>
      </c>
      <c r="F60" s="603" t="s">
        <v>1185</v>
      </c>
      <c r="G60" s="391" t="s">
        <v>3662</v>
      </c>
      <c r="H60" s="230" t="s">
        <v>210</v>
      </c>
      <c r="I60" s="230"/>
      <c r="J60" s="230">
        <v>1</v>
      </c>
      <c r="K60" s="230"/>
      <c r="L60" s="228"/>
      <c r="M60" s="257"/>
      <c r="N60" s="228" t="s">
        <v>1187</v>
      </c>
      <c r="O60" s="228" t="s">
        <v>1186</v>
      </c>
      <c r="P60" s="245"/>
      <c r="Q60" s="2564"/>
      <c r="R60" s="2564"/>
      <c r="S60" s="254"/>
      <c r="T60" s="257"/>
      <c r="U60" s="2553"/>
      <c r="V60" s="256"/>
      <c r="W60" s="373">
        <v>1450000</v>
      </c>
      <c r="X60" s="373">
        <v>1070000</v>
      </c>
      <c r="Y60" s="248"/>
      <c r="Z60" s="247"/>
      <c r="AA60" s="248"/>
      <c r="AB60" s="340">
        <f t="shared" si="11"/>
        <v>2520000</v>
      </c>
      <c r="AC60" s="347">
        <f t="shared" si="1"/>
        <v>0</v>
      </c>
      <c r="AD60" s="249" t="s">
        <v>3597</v>
      </c>
      <c r="AE60" s="471">
        <f>+(I60*3586000+J60*(3586000+100000))*1.1+(150000*1.1)</f>
        <v>4219600</v>
      </c>
      <c r="AF60" s="342">
        <f t="shared" si="2"/>
        <v>6739600</v>
      </c>
      <c r="AG60" s="252"/>
      <c r="AH60" s="241"/>
      <c r="AI60" s="241"/>
      <c r="AJ60" s="241"/>
      <c r="AK60" s="194"/>
      <c r="AL60" s="195"/>
      <c r="AM60" s="3841"/>
    </row>
    <row r="61" spans="1:39">
      <c r="B61" s="253">
        <v>7</v>
      </c>
      <c r="C61" s="244"/>
      <c r="D61" s="256"/>
      <c r="E61" s="470">
        <v>305566470440</v>
      </c>
      <c r="F61" s="603" t="s">
        <v>1188</v>
      </c>
      <c r="G61" s="391" t="s">
        <v>3663</v>
      </c>
      <c r="H61" s="230" t="s">
        <v>210</v>
      </c>
      <c r="I61" s="230"/>
      <c r="J61" s="230">
        <v>1</v>
      </c>
      <c r="K61" s="230"/>
      <c r="L61" s="228"/>
      <c r="M61" s="257"/>
      <c r="N61" s="228">
        <v>71972161</v>
      </c>
      <c r="O61" s="228" t="s">
        <v>1231</v>
      </c>
      <c r="P61" s="245"/>
      <c r="Q61" s="2564"/>
      <c r="R61" s="2564"/>
      <c r="S61" s="254"/>
      <c r="T61" s="257"/>
      <c r="U61" s="2553"/>
      <c r="V61" s="256"/>
      <c r="W61" s="373">
        <v>1450000</v>
      </c>
      <c r="X61" s="373">
        <v>1050000</v>
      </c>
      <c r="Y61" s="248"/>
      <c r="Z61" s="247"/>
      <c r="AA61" s="248"/>
      <c r="AB61" s="340">
        <f t="shared" si="11"/>
        <v>2500000</v>
      </c>
      <c r="AC61" s="347">
        <f t="shared" si="1"/>
        <v>0</v>
      </c>
      <c r="AD61" s="249" t="s">
        <v>3597</v>
      </c>
      <c r="AE61" s="471">
        <f>+(I61*3586000+J61*(3586000+100000))*1.1+(150000*1.1)</f>
        <v>4219600</v>
      </c>
      <c r="AF61" s="342">
        <f t="shared" si="2"/>
        <v>6719600</v>
      </c>
      <c r="AG61" s="252"/>
      <c r="AH61" s="241"/>
      <c r="AI61" s="241"/>
      <c r="AJ61" s="241"/>
      <c r="AK61" s="194"/>
      <c r="AL61" s="195"/>
      <c r="AM61" s="3841"/>
    </row>
    <row r="62" spans="1:39" ht="31.2">
      <c r="B62" s="253">
        <v>8</v>
      </c>
      <c r="C62" s="244"/>
      <c r="D62" s="256"/>
      <c r="E62" s="472" t="s">
        <v>1189</v>
      </c>
      <c r="F62" s="603" t="s">
        <v>1188</v>
      </c>
      <c r="G62" s="391" t="s">
        <v>3664</v>
      </c>
      <c r="H62" s="230" t="s">
        <v>3579</v>
      </c>
      <c r="I62" s="230"/>
      <c r="J62" s="230">
        <v>2</v>
      </c>
      <c r="K62" s="230"/>
      <c r="L62" s="228"/>
      <c r="M62" s="257"/>
      <c r="N62" s="289" t="s">
        <v>1190</v>
      </c>
      <c r="O62" s="254" t="s">
        <v>1191</v>
      </c>
      <c r="P62" s="245"/>
      <c r="Q62" s="2564"/>
      <c r="R62" s="2564"/>
      <c r="S62" s="254"/>
      <c r="T62" s="257"/>
      <c r="U62" s="2553"/>
      <c r="V62" s="324">
        <v>616000</v>
      </c>
      <c r="W62" s="324">
        <v>1419000</v>
      </c>
      <c r="X62" s="373">
        <f>1450000+1450000</f>
        <v>2900000</v>
      </c>
      <c r="Y62" s="248"/>
      <c r="Z62" s="247"/>
      <c r="AA62" s="248"/>
      <c r="AB62" s="340">
        <f t="shared" si="11"/>
        <v>4935000</v>
      </c>
      <c r="AC62" s="347">
        <f t="shared" si="1"/>
        <v>0</v>
      </c>
      <c r="AD62" s="249" t="s">
        <v>3597</v>
      </c>
      <c r="AE62" s="471">
        <f>+(I62*3586000+J62*(3586000+100000))*1.1+(150000*2*1.1)</f>
        <v>8439200</v>
      </c>
      <c r="AF62" s="342">
        <f t="shared" si="2"/>
        <v>13374200</v>
      </c>
      <c r="AG62" s="252"/>
      <c r="AH62" s="241"/>
      <c r="AI62" s="241"/>
      <c r="AJ62" s="241"/>
      <c r="AK62" s="194"/>
      <c r="AL62" s="195"/>
      <c r="AM62" s="3841"/>
    </row>
    <row r="63" spans="1:39" ht="20.25" customHeight="1">
      <c r="B63" s="253">
        <v>9</v>
      </c>
      <c r="C63" s="244"/>
      <c r="D63" s="256"/>
      <c r="E63" s="470">
        <v>305572329550</v>
      </c>
      <c r="F63" s="604" t="s">
        <v>1193</v>
      </c>
      <c r="G63" s="391" t="s">
        <v>3665</v>
      </c>
      <c r="H63" s="230" t="s">
        <v>210</v>
      </c>
      <c r="I63" s="230">
        <v>1</v>
      </c>
      <c r="J63" s="230"/>
      <c r="K63" s="230"/>
      <c r="L63" s="228"/>
      <c r="M63" s="257"/>
      <c r="N63" s="228" t="s">
        <v>1192</v>
      </c>
      <c r="O63" s="228" t="s">
        <v>1194</v>
      </c>
      <c r="P63" s="245"/>
      <c r="Q63" s="2564"/>
      <c r="R63" s="2564"/>
      <c r="S63" s="254"/>
      <c r="T63" s="257"/>
      <c r="U63" s="2553"/>
      <c r="V63" s="256"/>
      <c r="W63" s="373">
        <v>900000</v>
      </c>
      <c r="X63" s="373">
        <v>401500</v>
      </c>
      <c r="Y63" s="248"/>
      <c r="Z63" s="247"/>
      <c r="AA63" s="248"/>
      <c r="AB63" s="340">
        <f t="shared" si="11"/>
        <v>1301500</v>
      </c>
      <c r="AC63" s="347">
        <f t="shared" si="1"/>
        <v>0</v>
      </c>
      <c r="AD63" s="249" t="s">
        <v>3597</v>
      </c>
      <c r="AE63" s="471">
        <f>+(I63*3586000+J63*(3586000+100000))*1.1+(150000*1.1)</f>
        <v>4109600.0000000005</v>
      </c>
      <c r="AF63" s="342">
        <f t="shared" si="2"/>
        <v>5411100</v>
      </c>
      <c r="AG63" s="252"/>
      <c r="AH63" s="241"/>
      <c r="AI63" s="241"/>
      <c r="AJ63" s="241"/>
      <c r="AK63" s="194"/>
      <c r="AL63" s="195"/>
      <c r="AM63" s="3841"/>
    </row>
    <row r="64" spans="1:39">
      <c r="B64" s="253">
        <v>10</v>
      </c>
      <c r="C64" s="244"/>
      <c r="D64" s="256"/>
      <c r="E64" s="470">
        <v>305576506930</v>
      </c>
      <c r="F64" s="604" t="s">
        <v>1198</v>
      </c>
      <c r="G64" s="391" t="s">
        <v>3666</v>
      </c>
      <c r="H64" s="230" t="s">
        <v>210</v>
      </c>
      <c r="I64" s="230"/>
      <c r="J64" s="230"/>
      <c r="K64" s="230">
        <v>1</v>
      </c>
      <c r="L64" s="228"/>
      <c r="M64" s="257" t="s">
        <v>1196</v>
      </c>
      <c r="N64" s="228" t="s">
        <v>1197</v>
      </c>
      <c r="O64" s="228"/>
      <c r="P64" s="245"/>
      <c r="Q64" s="2564"/>
      <c r="R64" s="2564"/>
      <c r="S64" s="254"/>
      <c r="T64" s="257" t="s">
        <v>1196</v>
      </c>
      <c r="U64" s="2553"/>
      <c r="V64" s="256"/>
      <c r="W64" s="248"/>
      <c r="X64" s="248"/>
      <c r="Y64" s="248"/>
      <c r="Z64" s="247"/>
      <c r="AA64" s="248"/>
      <c r="AB64" s="340">
        <f t="shared" si="11"/>
        <v>0</v>
      </c>
      <c r="AC64" s="347">
        <f>+Z64</f>
        <v>0</v>
      </c>
      <c r="AD64" s="249" t="s">
        <v>3597</v>
      </c>
      <c r="AE64" s="471">
        <f>(1272000*1.1)+(150000*1.1)</f>
        <v>1564200</v>
      </c>
      <c r="AF64" s="342">
        <f>+AB64+AE64</f>
        <v>1564200</v>
      </c>
      <c r="AG64" s="252"/>
      <c r="AH64" s="241"/>
      <c r="AI64" s="241"/>
      <c r="AJ64" s="241"/>
      <c r="AK64" s="194"/>
      <c r="AL64" s="195"/>
      <c r="AM64" s="3841"/>
    </row>
    <row r="65" spans="1:39">
      <c r="B65" s="253">
        <v>11</v>
      </c>
      <c r="C65" s="244"/>
      <c r="D65" s="256"/>
      <c r="E65" s="470">
        <v>305579693330</v>
      </c>
      <c r="F65" s="604" t="s">
        <v>1200</v>
      </c>
      <c r="G65" s="391" t="s">
        <v>3667</v>
      </c>
      <c r="H65" s="230" t="s">
        <v>210</v>
      </c>
      <c r="I65" s="230"/>
      <c r="J65" s="230">
        <v>1</v>
      </c>
      <c r="K65" s="230"/>
      <c r="L65" s="228"/>
      <c r="M65" s="257"/>
      <c r="N65" s="228">
        <v>71643091</v>
      </c>
      <c r="O65" s="228" t="s">
        <v>1201</v>
      </c>
      <c r="P65" s="245"/>
      <c r="Q65" s="2564"/>
      <c r="R65" s="2564"/>
      <c r="S65" s="254"/>
      <c r="T65" s="257"/>
      <c r="U65" s="2553"/>
      <c r="V65" s="256"/>
      <c r="W65" s="373">
        <v>1350000</v>
      </c>
      <c r="X65" s="373">
        <v>709500</v>
      </c>
      <c r="Y65" s="248"/>
      <c r="Z65" s="247"/>
      <c r="AA65" s="248"/>
      <c r="AB65" s="340">
        <f t="shared" si="11"/>
        <v>2059500</v>
      </c>
      <c r="AC65" s="347">
        <f>+Z65</f>
        <v>0</v>
      </c>
      <c r="AD65" s="249" t="s">
        <v>3597</v>
      </c>
      <c r="AE65" s="471">
        <f t="shared" ref="AE65:AE75" si="12">+(I65*3586000+J65*(3586000+100000))*1.1+(150000*1.1)</f>
        <v>4219600</v>
      </c>
      <c r="AF65" s="342">
        <f>+AB65+AE65</f>
        <v>6279100</v>
      </c>
      <c r="AG65" s="252"/>
      <c r="AH65" s="241"/>
      <c r="AI65" s="241"/>
      <c r="AJ65" s="241"/>
      <c r="AK65" s="194"/>
      <c r="AL65" s="195"/>
      <c r="AM65" s="3841"/>
    </row>
    <row r="66" spans="1:39">
      <c r="B66" s="439" t="s">
        <v>1225</v>
      </c>
      <c r="C66" s="244"/>
      <c r="D66" s="256"/>
      <c r="E66" s="470">
        <v>305579143610</v>
      </c>
      <c r="F66" s="604" t="s">
        <v>1200</v>
      </c>
      <c r="G66" s="391" t="s">
        <v>3668</v>
      </c>
      <c r="H66" s="230" t="s">
        <v>210</v>
      </c>
      <c r="I66" s="230"/>
      <c r="J66" s="230">
        <v>1</v>
      </c>
      <c r="K66" s="230"/>
      <c r="L66" s="228"/>
      <c r="M66" s="257"/>
      <c r="N66" s="228" t="s">
        <v>1202</v>
      </c>
      <c r="O66" s="228" t="s">
        <v>1203</v>
      </c>
      <c r="P66" s="245"/>
      <c r="Q66" s="2564"/>
      <c r="R66" s="2564"/>
      <c r="S66" s="254"/>
      <c r="T66" s="257"/>
      <c r="U66" s="2553"/>
      <c r="V66" s="256"/>
      <c r="W66" s="373">
        <v>1450000</v>
      </c>
      <c r="X66" s="373">
        <v>709500</v>
      </c>
      <c r="Y66" s="248"/>
      <c r="Z66" s="247"/>
      <c r="AA66" s="248"/>
      <c r="AB66" s="340">
        <f t="shared" si="11"/>
        <v>2159500</v>
      </c>
      <c r="AC66" s="347">
        <f t="shared" ref="AC66:AC71" si="13">+Z66</f>
        <v>0</v>
      </c>
      <c r="AD66" s="249" t="s">
        <v>3597</v>
      </c>
      <c r="AE66" s="471">
        <f t="shared" si="12"/>
        <v>4219600</v>
      </c>
      <c r="AF66" s="342">
        <f t="shared" ref="AF66:AF71" si="14">+AB66+AE66</f>
        <v>6379100</v>
      </c>
      <c r="AG66" s="252"/>
      <c r="AH66" s="241"/>
      <c r="AI66" s="241"/>
      <c r="AJ66" s="241"/>
      <c r="AK66" s="194"/>
      <c r="AL66" s="195"/>
      <c r="AM66" s="3841"/>
    </row>
    <row r="67" spans="1:39">
      <c r="B67" s="439" t="s">
        <v>1226</v>
      </c>
      <c r="C67" s="244"/>
      <c r="D67" s="256"/>
      <c r="E67" s="474">
        <v>305596349940</v>
      </c>
      <c r="F67" s="603" t="s">
        <v>1215</v>
      </c>
      <c r="G67" s="391" t="s">
        <v>3669</v>
      </c>
      <c r="H67" s="230" t="s">
        <v>210</v>
      </c>
      <c r="I67" s="230"/>
      <c r="J67" s="230">
        <v>1</v>
      </c>
      <c r="K67" s="230"/>
      <c r="L67" s="228"/>
      <c r="M67" s="257"/>
      <c r="N67" s="228">
        <v>2720559560</v>
      </c>
      <c r="O67" s="228" t="s">
        <v>1216</v>
      </c>
      <c r="P67" s="245"/>
      <c r="Q67" s="2564"/>
      <c r="R67" s="2564"/>
      <c r="S67" s="254"/>
      <c r="T67" s="257"/>
      <c r="U67" s="2553"/>
      <c r="V67" s="256"/>
      <c r="W67" s="373">
        <v>1200000</v>
      </c>
      <c r="X67" s="373">
        <v>1160000</v>
      </c>
      <c r="Y67" s="248"/>
      <c r="Z67" s="247"/>
      <c r="AA67" s="248"/>
      <c r="AB67" s="340">
        <f t="shared" si="11"/>
        <v>2360000</v>
      </c>
      <c r="AC67" s="347">
        <f t="shared" si="13"/>
        <v>0</v>
      </c>
      <c r="AD67" s="249" t="s">
        <v>3597</v>
      </c>
      <c r="AE67" s="435">
        <f t="shared" si="12"/>
        <v>4219600</v>
      </c>
      <c r="AF67" s="342">
        <f t="shared" si="14"/>
        <v>6579600</v>
      </c>
      <c r="AG67" s="252"/>
      <c r="AH67" s="241"/>
      <c r="AI67" s="241"/>
      <c r="AJ67" s="241"/>
      <c r="AK67" s="194"/>
      <c r="AL67" s="195"/>
      <c r="AM67" s="3841"/>
    </row>
    <row r="68" spans="1:39">
      <c r="B68" s="439" t="s">
        <v>1227</v>
      </c>
      <c r="C68" s="244"/>
      <c r="D68" s="256"/>
      <c r="E68" s="474">
        <v>305596954150</v>
      </c>
      <c r="F68" s="603" t="s">
        <v>1215</v>
      </c>
      <c r="G68" s="391" t="s">
        <v>3670</v>
      </c>
      <c r="H68" s="230" t="s">
        <v>210</v>
      </c>
      <c r="I68" s="230"/>
      <c r="J68" s="230">
        <v>1</v>
      </c>
      <c r="K68" s="230"/>
      <c r="L68" s="228"/>
      <c r="M68" s="257"/>
      <c r="N68" s="228" t="s">
        <v>1217</v>
      </c>
      <c r="O68" s="228" t="s">
        <v>1218</v>
      </c>
      <c r="P68" s="245"/>
      <c r="Q68" s="2564"/>
      <c r="R68" s="2564"/>
      <c r="S68" s="254"/>
      <c r="T68" s="257"/>
      <c r="U68" s="2553"/>
      <c r="V68" s="256"/>
      <c r="W68" s="373">
        <v>1450000</v>
      </c>
      <c r="X68" s="373">
        <v>1220000</v>
      </c>
      <c r="Y68" s="248"/>
      <c r="Z68" s="247"/>
      <c r="AA68" s="248"/>
      <c r="AB68" s="340">
        <f t="shared" si="11"/>
        <v>2670000</v>
      </c>
      <c r="AC68" s="347">
        <f t="shared" si="13"/>
        <v>0</v>
      </c>
      <c r="AD68" s="249" t="s">
        <v>3597</v>
      </c>
      <c r="AE68" s="435">
        <f t="shared" si="12"/>
        <v>4219600</v>
      </c>
      <c r="AF68" s="342">
        <f t="shared" si="14"/>
        <v>6889600</v>
      </c>
      <c r="AG68" s="252"/>
      <c r="AH68" s="241"/>
      <c r="AI68" s="241"/>
      <c r="AJ68" s="241"/>
      <c r="AK68" s="194"/>
      <c r="AL68" s="195"/>
      <c r="AM68" s="3841"/>
    </row>
    <row r="69" spans="1:39">
      <c r="B69" s="439" t="s">
        <v>1228</v>
      </c>
      <c r="C69" s="244"/>
      <c r="D69" s="256"/>
      <c r="E69" s="474">
        <v>305599567360</v>
      </c>
      <c r="F69" s="603" t="s">
        <v>1219</v>
      </c>
      <c r="G69" s="391" t="s">
        <v>3671</v>
      </c>
      <c r="H69" s="230" t="s">
        <v>210</v>
      </c>
      <c r="I69" s="230"/>
      <c r="J69" s="230">
        <v>1</v>
      </c>
      <c r="K69" s="230"/>
      <c r="L69" s="228"/>
      <c r="M69" s="257"/>
      <c r="N69" s="228">
        <v>72062045</v>
      </c>
      <c r="O69" s="228" t="s">
        <v>1222</v>
      </c>
      <c r="P69" s="245"/>
      <c r="Q69" s="2564"/>
      <c r="R69" s="2564"/>
      <c r="S69" s="254"/>
      <c r="T69" s="257"/>
      <c r="U69" s="2553"/>
      <c r="V69" s="256"/>
      <c r="W69" s="373">
        <v>1450000</v>
      </c>
      <c r="X69" s="373">
        <v>1160000</v>
      </c>
      <c r="Y69" s="248"/>
      <c r="Z69" s="247"/>
      <c r="AA69" s="248"/>
      <c r="AB69" s="340">
        <f t="shared" si="11"/>
        <v>2610000</v>
      </c>
      <c r="AC69" s="347">
        <f t="shared" si="13"/>
        <v>0</v>
      </c>
      <c r="AD69" s="249" t="s">
        <v>3597</v>
      </c>
      <c r="AE69" s="435">
        <f t="shared" si="12"/>
        <v>4219600</v>
      </c>
      <c r="AF69" s="342">
        <f t="shared" si="14"/>
        <v>6829600</v>
      </c>
      <c r="AG69" s="252"/>
      <c r="AH69" s="241"/>
      <c r="AI69" s="241"/>
      <c r="AJ69" s="241"/>
      <c r="AK69" s="194"/>
      <c r="AL69" s="195"/>
      <c r="AM69" s="3841"/>
    </row>
    <row r="70" spans="1:39">
      <c r="B70" s="439" t="s">
        <v>1229</v>
      </c>
      <c r="C70" s="244"/>
      <c r="D70" s="256"/>
      <c r="E70" s="474">
        <v>305599128020</v>
      </c>
      <c r="F70" s="603" t="s">
        <v>1219</v>
      </c>
      <c r="G70" s="391" t="s">
        <v>3672</v>
      </c>
      <c r="H70" s="230" t="s">
        <v>210</v>
      </c>
      <c r="I70" s="230"/>
      <c r="J70" s="230">
        <v>1</v>
      </c>
      <c r="K70" s="230"/>
      <c r="L70" s="228"/>
      <c r="M70" s="257"/>
      <c r="N70" s="228" t="s">
        <v>1220</v>
      </c>
      <c r="O70" s="228" t="s">
        <v>1221</v>
      </c>
      <c r="P70" s="245"/>
      <c r="Q70" s="2564"/>
      <c r="R70" s="2564"/>
      <c r="S70" s="254"/>
      <c r="T70" s="257"/>
      <c r="U70" s="2553"/>
      <c r="V70" s="256"/>
      <c r="W70" s="373">
        <v>1100000</v>
      </c>
      <c r="X70" s="373">
        <v>709500</v>
      </c>
      <c r="Y70" s="248"/>
      <c r="Z70" s="247"/>
      <c r="AA70" s="248"/>
      <c r="AB70" s="340">
        <f t="shared" si="11"/>
        <v>1809500</v>
      </c>
      <c r="AC70" s="347">
        <f t="shared" si="13"/>
        <v>0</v>
      </c>
      <c r="AD70" s="249" t="s">
        <v>3597</v>
      </c>
      <c r="AE70" s="435">
        <f t="shared" si="12"/>
        <v>4219600</v>
      </c>
      <c r="AF70" s="342">
        <f t="shared" si="14"/>
        <v>6029100</v>
      </c>
      <c r="AG70" s="252"/>
      <c r="AH70" s="241"/>
      <c r="AI70" s="241"/>
      <c r="AJ70" s="241"/>
      <c r="AK70" s="194"/>
      <c r="AL70" s="195"/>
      <c r="AM70" s="3841"/>
    </row>
    <row r="71" spans="1:39">
      <c r="B71" s="439" t="s">
        <v>1230</v>
      </c>
      <c r="C71" s="244"/>
      <c r="D71" s="256"/>
      <c r="E71" s="474">
        <v>305600641050</v>
      </c>
      <c r="F71" s="603" t="s">
        <v>1219</v>
      </c>
      <c r="G71" s="391" t="s">
        <v>3673</v>
      </c>
      <c r="H71" s="230" t="s">
        <v>210</v>
      </c>
      <c r="I71" s="230"/>
      <c r="J71" s="230">
        <v>1</v>
      </c>
      <c r="K71" s="230"/>
      <c r="L71" s="228"/>
      <c r="M71" s="257"/>
      <c r="N71" s="228" t="s">
        <v>1223</v>
      </c>
      <c r="O71" s="228" t="s">
        <v>1224</v>
      </c>
      <c r="P71" s="245"/>
      <c r="Q71" s="2564"/>
      <c r="R71" s="2564"/>
      <c r="S71" s="254"/>
      <c r="T71" s="257"/>
      <c r="U71" s="2553"/>
      <c r="V71" s="256"/>
      <c r="W71" s="373">
        <v>1100000</v>
      </c>
      <c r="X71" s="373">
        <v>709500</v>
      </c>
      <c r="Y71" s="248"/>
      <c r="Z71" s="247"/>
      <c r="AA71" s="248"/>
      <c r="AB71" s="340">
        <f t="shared" si="11"/>
        <v>1809500</v>
      </c>
      <c r="AC71" s="347">
        <f t="shared" si="13"/>
        <v>0</v>
      </c>
      <c r="AD71" s="249" t="s">
        <v>3597</v>
      </c>
      <c r="AE71" s="435">
        <f t="shared" si="12"/>
        <v>4219600</v>
      </c>
      <c r="AF71" s="342">
        <f t="shared" si="14"/>
        <v>6029100</v>
      </c>
      <c r="AG71" s="252"/>
      <c r="AH71" s="241"/>
      <c r="AI71" s="241"/>
      <c r="AJ71" s="241"/>
      <c r="AK71" s="194"/>
      <c r="AL71" s="195"/>
      <c r="AM71" s="3841"/>
    </row>
    <row r="72" spans="1:39">
      <c r="B72" s="439" t="s">
        <v>1247</v>
      </c>
      <c r="C72" s="244"/>
      <c r="D72" s="256"/>
      <c r="E72" s="474">
        <v>305610594130</v>
      </c>
      <c r="F72" s="603" t="s">
        <v>1244</v>
      </c>
      <c r="G72" s="391" t="s">
        <v>3674</v>
      </c>
      <c r="H72" s="230" t="s">
        <v>748</v>
      </c>
      <c r="I72" s="230"/>
      <c r="J72" s="230">
        <v>1</v>
      </c>
      <c r="K72" s="230"/>
      <c r="L72" s="228"/>
      <c r="M72" s="257"/>
      <c r="N72" s="228" t="s">
        <v>3675</v>
      </c>
      <c r="O72" s="228" t="s">
        <v>1245</v>
      </c>
      <c r="P72" s="245"/>
      <c r="Q72" s="2564"/>
      <c r="R72" s="2564"/>
      <c r="S72" s="254"/>
      <c r="T72" s="257"/>
      <c r="U72" s="2553"/>
      <c r="V72" s="256"/>
      <c r="W72" s="373">
        <v>1350000</v>
      </c>
      <c r="X72" s="373">
        <v>709500</v>
      </c>
      <c r="Y72" s="248"/>
      <c r="Z72" s="247"/>
      <c r="AA72" s="248"/>
      <c r="AB72" s="340">
        <f t="shared" si="11"/>
        <v>2059500</v>
      </c>
      <c r="AC72" s="347">
        <f>+Z72</f>
        <v>0</v>
      </c>
      <c r="AD72" s="249" t="s">
        <v>3597</v>
      </c>
      <c r="AE72" s="435">
        <f t="shared" si="12"/>
        <v>4219600</v>
      </c>
      <c r="AF72" s="342">
        <f>+AB72+AE72</f>
        <v>6279100</v>
      </c>
      <c r="AG72" s="252"/>
      <c r="AH72" s="241"/>
      <c r="AI72" s="241"/>
      <c r="AJ72" s="241"/>
      <c r="AK72" s="194"/>
      <c r="AL72" s="195"/>
      <c r="AM72" s="3841"/>
    </row>
    <row r="73" spans="1:39">
      <c r="B73" s="439" t="s">
        <v>1248</v>
      </c>
      <c r="C73" s="244"/>
      <c r="D73" s="256"/>
      <c r="E73" s="474">
        <v>305609182930</v>
      </c>
      <c r="F73" s="603" t="s">
        <v>1244</v>
      </c>
      <c r="G73" s="391" t="s">
        <v>3676</v>
      </c>
      <c r="H73" s="230" t="s">
        <v>748</v>
      </c>
      <c r="I73" s="230"/>
      <c r="J73" s="230">
        <v>1</v>
      </c>
      <c r="K73" s="230"/>
      <c r="L73" s="228"/>
      <c r="M73" s="257"/>
      <c r="N73" s="228" t="s">
        <v>3677</v>
      </c>
      <c r="O73" s="228" t="s">
        <v>1246</v>
      </c>
      <c r="P73" s="245"/>
      <c r="Q73" s="2564"/>
      <c r="R73" s="2564"/>
      <c r="S73" s="254"/>
      <c r="T73" s="257"/>
      <c r="U73" s="2553"/>
      <c r="V73" s="256"/>
      <c r="W73" s="373">
        <v>1450000</v>
      </c>
      <c r="X73" s="373">
        <v>709500</v>
      </c>
      <c r="Y73" s="248"/>
      <c r="Z73" s="247"/>
      <c r="AA73" s="248"/>
      <c r="AB73" s="340">
        <f t="shared" si="11"/>
        <v>2159500</v>
      </c>
      <c r="AC73" s="347">
        <f>+Z73</f>
        <v>0</v>
      </c>
      <c r="AD73" s="249" t="s">
        <v>3597</v>
      </c>
      <c r="AE73" s="435">
        <f t="shared" si="12"/>
        <v>4219600</v>
      </c>
      <c r="AF73" s="342">
        <f>+AB73+AE73</f>
        <v>6379100</v>
      </c>
      <c r="AG73" s="252"/>
      <c r="AH73" s="241"/>
      <c r="AI73" s="241"/>
      <c r="AJ73" s="241"/>
      <c r="AK73" s="194"/>
      <c r="AL73" s="195"/>
      <c r="AM73" s="3841"/>
    </row>
    <row r="74" spans="1:39">
      <c r="B74" s="439" t="s">
        <v>1255</v>
      </c>
      <c r="C74" s="244"/>
      <c r="D74" s="256"/>
      <c r="E74" s="474">
        <v>305615186240</v>
      </c>
      <c r="F74" s="603" t="s">
        <v>1252</v>
      </c>
      <c r="G74" s="391" t="s">
        <v>3678</v>
      </c>
      <c r="H74" s="230" t="s">
        <v>748</v>
      </c>
      <c r="I74" s="230"/>
      <c r="J74" s="230">
        <v>1</v>
      </c>
      <c r="K74" s="230"/>
      <c r="L74" s="228"/>
      <c r="M74" s="257"/>
      <c r="N74" s="228">
        <v>71089920</v>
      </c>
      <c r="O74" s="228" t="s">
        <v>1254</v>
      </c>
      <c r="P74" s="245"/>
      <c r="Q74" s="2564"/>
      <c r="R74" s="2564"/>
      <c r="S74" s="254"/>
      <c r="T74" s="257"/>
      <c r="U74" s="2553"/>
      <c r="V74" s="256"/>
      <c r="W74" s="373">
        <v>1450000</v>
      </c>
      <c r="X74" s="373">
        <v>1160000</v>
      </c>
      <c r="Y74" s="248"/>
      <c r="Z74" s="247"/>
      <c r="AA74" s="248"/>
      <c r="AB74" s="340">
        <f t="shared" si="11"/>
        <v>2610000</v>
      </c>
      <c r="AC74" s="347">
        <f>+Z74</f>
        <v>0</v>
      </c>
      <c r="AD74" s="249" t="s">
        <v>3597</v>
      </c>
      <c r="AE74" s="435">
        <f t="shared" si="12"/>
        <v>4219600</v>
      </c>
      <c r="AF74" s="342">
        <f>+AB74+AE74</f>
        <v>6829600</v>
      </c>
      <c r="AG74" s="252"/>
      <c r="AH74" s="241"/>
      <c r="AI74" s="241"/>
      <c r="AJ74" s="241"/>
      <c r="AK74" s="194"/>
      <c r="AL74" s="195"/>
      <c r="AM74" s="3841"/>
    </row>
    <row r="75" spans="1:39">
      <c r="B75" s="439" t="s">
        <v>1256</v>
      </c>
      <c r="C75" s="244"/>
      <c r="D75" s="256"/>
      <c r="E75" s="474">
        <v>305620103850</v>
      </c>
      <c r="F75" s="603" t="s">
        <v>1253</v>
      </c>
      <c r="G75" s="391" t="s">
        <v>3679</v>
      </c>
      <c r="H75" s="230" t="s">
        <v>748</v>
      </c>
      <c r="I75" s="230"/>
      <c r="J75" s="230">
        <v>1</v>
      </c>
      <c r="K75" s="230"/>
      <c r="L75" s="228"/>
      <c r="M75" s="257"/>
      <c r="N75" s="289" t="s">
        <v>1258</v>
      </c>
      <c r="O75" s="289" t="s">
        <v>1259</v>
      </c>
      <c r="P75" s="245"/>
      <c r="Q75" s="2564"/>
      <c r="R75" s="2564"/>
      <c r="S75" s="254"/>
      <c r="T75" s="257"/>
      <c r="U75" s="2553"/>
      <c r="V75" s="256"/>
      <c r="W75" s="373">
        <v>1450000</v>
      </c>
      <c r="X75" s="373">
        <v>709500</v>
      </c>
      <c r="Y75" s="248"/>
      <c r="Z75" s="247"/>
      <c r="AA75" s="248"/>
      <c r="AB75" s="340">
        <f t="shared" si="11"/>
        <v>2159500</v>
      </c>
      <c r="AC75" s="347">
        <f>+Z75</f>
        <v>0</v>
      </c>
      <c r="AD75" s="249" t="s">
        <v>3597</v>
      </c>
      <c r="AE75" s="435">
        <f t="shared" si="12"/>
        <v>4219600</v>
      </c>
      <c r="AF75" s="342">
        <f>+AB75+AE75</f>
        <v>6379100</v>
      </c>
      <c r="AG75" s="252"/>
      <c r="AH75" s="241"/>
      <c r="AI75" s="241"/>
      <c r="AJ75" s="241"/>
      <c r="AK75" s="194"/>
      <c r="AL75" s="195"/>
      <c r="AM75" s="3842"/>
    </row>
    <row r="76" spans="1:39" s="13" customFormat="1" ht="36" customHeight="1">
      <c r="A76" s="649" t="s">
        <v>3680</v>
      </c>
      <c r="B76" s="650"/>
      <c r="C76" s="650"/>
      <c r="D76" s="346"/>
      <c r="E76" s="650"/>
      <c r="F76" s="650"/>
      <c r="G76" s="650"/>
      <c r="H76" s="650"/>
      <c r="I76" s="369"/>
      <c r="J76" s="346"/>
      <c r="K76" s="346"/>
      <c r="L76" s="346"/>
      <c r="M76" s="346"/>
      <c r="N76" s="346"/>
      <c r="O76" s="354"/>
      <c r="P76" s="346"/>
      <c r="Q76" s="346"/>
      <c r="R76" s="346"/>
      <c r="S76" s="346"/>
      <c r="T76" s="346"/>
      <c r="U76" s="346"/>
      <c r="V76" s="357"/>
      <c r="W76" s="357"/>
      <c r="X76" s="357"/>
      <c r="Y76" s="357"/>
      <c r="Z76" s="357"/>
      <c r="AA76" s="357"/>
      <c r="AB76" s="358">
        <f>SUM(AB45:AB53)</f>
        <v>19759000</v>
      </c>
      <c r="AC76" s="358">
        <f>SUM(AC36:AC53)</f>
        <v>0</v>
      </c>
      <c r="AD76" s="359"/>
      <c r="AE76" s="358">
        <f>SUM(AE45:AE53)</f>
        <v>40062000</v>
      </c>
      <c r="AF76" s="358">
        <f>+AB76+AC76+AE76</f>
        <v>59821000</v>
      </c>
      <c r="AG76" s="357"/>
      <c r="AH76" s="357"/>
      <c r="AI76" s="357"/>
      <c r="AJ76" s="357"/>
      <c r="AK76" s="357"/>
      <c r="AL76" s="357"/>
      <c r="AM76" s="357"/>
    </row>
    <row r="77" spans="1:39">
      <c r="B77" s="253">
        <v>1</v>
      </c>
      <c r="C77" s="244"/>
      <c r="D77" s="256"/>
      <c r="E77" s="474">
        <v>305624904710</v>
      </c>
      <c r="F77" s="603" t="s">
        <v>1260</v>
      </c>
      <c r="G77" s="391" t="s">
        <v>3681</v>
      </c>
      <c r="H77" s="230" t="s">
        <v>210</v>
      </c>
      <c r="I77" s="230"/>
      <c r="J77" s="230">
        <v>1</v>
      </c>
      <c r="K77" s="230"/>
      <c r="L77" s="228"/>
      <c r="M77" s="257"/>
      <c r="N77" s="228" t="s">
        <v>3682</v>
      </c>
      <c r="O77" s="228" t="s">
        <v>3683</v>
      </c>
      <c r="P77" s="245"/>
      <c r="Q77" s="2564"/>
      <c r="R77" s="2564"/>
      <c r="S77" s="254"/>
      <c r="T77" s="257"/>
      <c r="U77" s="2553"/>
      <c r="V77" s="256"/>
      <c r="W77" s="373">
        <v>1450000</v>
      </c>
      <c r="X77" s="373">
        <v>1160000</v>
      </c>
      <c r="Y77" s="248"/>
      <c r="Z77" s="247"/>
      <c r="AA77" s="248"/>
      <c r="AB77" s="340">
        <f t="shared" ref="AB77:AB95" si="15">V77+W77+X77+Y77+Z77+AA77</f>
        <v>2610000</v>
      </c>
      <c r="AC77" s="347">
        <f>+Z77</f>
        <v>0</v>
      </c>
      <c r="AD77" s="249" t="s">
        <v>3597</v>
      </c>
      <c r="AE77" s="435">
        <f t="shared" ref="AE77:AE85" si="16">+(I77*3650000+J77*(3650000+100000))*1.08+(150000*1.08)</f>
        <v>4212000</v>
      </c>
      <c r="AF77" s="342">
        <f>+AB77+AE77</f>
        <v>6822000</v>
      </c>
      <c r="AG77" s="252"/>
      <c r="AH77" s="241"/>
      <c r="AI77" s="241"/>
      <c r="AJ77" s="241"/>
      <c r="AK77" s="194"/>
      <c r="AL77" s="195"/>
      <c r="AM77" s="195"/>
    </row>
    <row r="78" spans="1:39">
      <c r="B78" s="253">
        <v>2</v>
      </c>
      <c r="C78" s="244"/>
      <c r="D78" s="256"/>
      <c r="E78" s="474">
        <v>305628199460</v>
      </c>
      <c r="F78" s="603" t="s">
        <v>1262</v>
      </c>
      <c r="G78" s="391" t="s">
        <v>3684</v>
      </c>
      <c r="H78" s="230" t="s">
        <v>210</v>
      </c>
      <c r="I78" s="230"/>
      <c r="J78" s="230">
        <v>1</v>
      </c>
      <c r="K78" s="230"/>
      <c r="L78" s="228"/>
      <c r="M78" s="257"/>
      <c r="N78" s="228">
        <v>70915049</v>
      </c>
      <c r="O78" s="228" t="s">
        <v>1261</v>
      </c>
      <c r="P78" s="245"/>
      <c r="Q78" s="2564"/>
      <c r="R78" s="2564"/>
      <c r="S78" s="254"/>
      <c r="T78" s="257"/>
      <c r="U78" s="2553"/>
      <c r="V78" s="256"/>
      <c r="W78" s="373">
        <v>1070000</v>
      </c>
      <c r="X78" s="373">
        <v>709500</v>
      </c>
      <c r="Y78" s="248"/>
      <c r="Z78" s="247"/>
      <c r="AA78" s="248"/>
      <c r="AB78" s="340">
        <f t="shared" si="15"/>
        <v>1779500</v>
      </c>
      <c r="AC78" s="347">
        <f>+Z78</f>
        <v>0</v>
      </c>
      <c r="AD78" s="249" t="s">
        <v>3597</v>
      </c>
      <c r="AE78" s="435">
        <f t="shared" si="16"/>
        <v>4212000</v>
      </c>
      <c r="AF78" s="342">
        <f>+AB78+AE78</f>
        <v>5991500</v>
      </c>
      <c r="AG78" s="252"/>
      <c r="AH78" s="241"/>
      <c r="AI78" s="241"/>
      <c r="AJ78" s="241"/>
      <c r="AK78" s="194"/>
      <c r="AL78" s="195"/>
      <c r="AM78" s="195"/>
    </row>
    <row r="79" spans="1:39">
      <c r="B79" s="253">
        <v>3</v>
      </c>
      <c r="C79" s="244"/>
      <c r="D79" s="256"/>
      <c r="E79" s="474">
        <v>305627735250</v>
      </c>
      <c r="F79" s="603" t="s">
        <v>1262</v>
      </c>
      <c r="G79" s="391" t="s">
        <v>3685</v>
      </c>
      <c r="H79" s="230" t="s">
        <v>210</v>
      </c>
      <c r="I79" s="230"/>
      <c r="J79" s="230">
        <v>1</v>
      </c>
      <c r="K79" s="230"/>
      <c r="L79" s="228"/>
      <c r="M79" s="257"/>
      <c r="N79" s="228" t="s">
        <v>3686</v>
      </c>
      <c r="O79" s="228" t="s">
        <v>1263</v>
      </c>
      <c r="P79" s="245"/>
      <c r="Q79" s="2564"/>
      <c r="R79" s="2564"/>
      <c r="S79" s="254"/>
      <c r="T79" s="257"/>
      <c r="U79" s="2553"/>
      <c r="V79" s="256"/>
      <c r="W79" s="373">
        <v>1450000</v>
      </c>
      <c r="X79" s="373">
        <v>1160000</v>
      </c>
      <c r="Y79" s="248"/>
      <c r="Z79" s="247"/>
      <c r="AA79" s="248"/>
      <c r="AB79" s="340">
        <f t="shared" si="15"/>
        <v>2610000</v>
      </c>
      <c r="AC79" s="347">
        <f t="shared" ref="AC79:AC86" si="17">+Z79</f>
        <v>0</v>
      </c>
      <c r="AD79" s="249" t="s">
        <v>3597</v>
      </c>
      <c r="AE79" s="435">
        <f t="shared" si="16"/>
        <v>4212000</v>
      </c>
      <c r="AF79" s="342">
        <f t="shared" ref="AF79:AF86" si="18">+AB79+AE79</f>
        <v>6822000</v>
      </c>
      <c r="AG79" s="252"/>
      <c r="AH79" s="241"/>
      <c r="AI79" s="241"/>
      <c r="AJ79" s="241"/>
      <c r="AK79" s="194"/>
      <c r="AL79" s="195"/>
      <c r="AM79" s="195"/>
    </row>
    <row r="80" spans="1:39">
      <c r="B80" s="253">
        <v>4</v>
      </c>
      <c r="C80" s="244"/>
      <c r="D80" s="256"/>
      <c r="E80" s="474">
        <v>305630845240</v>
      </c>
      <c r="F80" s="603" t="s">
        <v>1265</v>
      </c>
      <c r="G80" s="391" t="s">
        <v>3687</v>
      </c>
      <c r="H80" s="230" t="s">
        <v>210</v>
      </c>
      <c r="I80" s="230"/>
      <c r="J80" s="230">
        <v>1</v>
      </c>
      <c r="K80" s="230"/>
      <c r="L80" s="228"/>
      <c r="M80" s="257"/>
      <c r="N80" s="228" t="s">
        <v>3688</v>
      </c>
      <c r="O80" s="228" t="s">
        <v>1266</v>
      </c>
      <c r="P80" s="245"/>
      <c r="Q80" s="2564"/>
      <c r="R80" s="2564"/>
      <c r="S80" s="254"/>
      <c r="T80" s="257"/>
      <c r="U80" s="2553"/>
      <c r="V80" s="256"/>
      <c r="W80" s="373">
        <v>1070000</v>
      </c>
      <c r="X80" s="373">
        <v>1160000</v>
      </c>
      <c r="Y80" s="248"/>
      <c r="Z80" s="247"/>
      <c r="AA80" s="248"/>
      <c r="AB80" s="340">
        <f t="shared" si="15"/>
        <v>2230000</v>
      </c>
      <c r="AC80" s="347">
        <f t="shared" si="17"/>
        <v>0</v>
      </c>
      <c r="AD80" s="249" t="s">
        <v>3597</v>
      </c>
      <c r="AE80" s="435">
        <f t="shared" si="16"/>
        <v>4212000</v>
      </c>
      <c r="AF80" s="342">
        <f t="shared" si="18"/>
        <v>6442000</v>
      </c>
      <c r="AG80" s="252"/>
      <c r="AH80" s="241"/>
      <c r="AI80" s="241"/>
      <c r="AJ80" s="241"/>
      <c r="AK80" s="194"/>
      <c r="AL80" s="195"/>
      <c r="AM80" s="195"/>
    </row>
    <row r="81" spans="1:39">
      <c r="B81" s="253">
        <v>5</v>
      </c>
      <c r="C81" s="244"/>
      <c r="D81" s="256"/>
      <c r="E81" s="474">
        <v>305638035160</v>
      </c>
      <c r="F81" s="603">
        <v>45110</v>
      </c>
      <c r="G81" s="391" t="s">
        <v>3689</v>
      </c>
      <c r="H81" s="230" t="s">
        <v>210</v>
      </c>
      <c r="I81" s="230"/>
      <c r="J81" s="230">
        <v>1</v>
      </c>
      <c r="K81" s="230"/>
      <c r="L81" s="228"/>
      <c r="M81" s="257"/>
      <c r="N81" s="228" t="s">
        <v>3690</v>
      </c>
      <c r="O81" s="228" t="s">
        <v>1268</v>
      </c>
      <c r="P81" s="245"/>
      <c r="Q81" s="2564"/>
      <c r="R81" s="2564"/>
      <c r="S81" s="254"/>
      <c r="T81" s="257"/>
      <c r="U81" s="2553"/>
      <c r="V81" s="256"/>
      <c r="W81" s="373">
        <v>1050000</v>
      </c>
      <c r="X81" s="373">
        <v>1140000</v>
      </c>
      <c r="Y81" s="248"/>
      <c r="Z81" s="247"/>
      <c r="AA81" s="248"/>
      <c r="AB81" s="340">
        <f t="shared" si="15"/>
        <v>2190000</v>
      </c>
      <c r="AC81" s="347">
        <f t="shared" si="17"/>
        <v>0</v>
      </c>
      <c r="AD81" s="249" t="s">
        <v>3597</v>
      </c>
      <c r="AE81" s="435">
        <f t="shared" si="16"/>
        <v>4212000</v>
      </c>
      <c r="AF81" s="342">
        <f t="shared" si="18"/>
        <v>6402000</v>
      </c>
      <c r="AG81" s="252"/>
      <c r="AH81" s="241"/>
      <c r="AI81" s="241"/>
      <c r="AJ81" s="241"/>
      <c r="AK81" s="194"/>
      <c r="AL81" s="195"/>
      <c r="AM81" s="195"/>
    </row>
    <row r="82" spans="1:39">
      <c r="B82" s="253">
        <v>6</v>
      </c>
      <c r="C82" s="244"/>
      <c r="D82" s="256"/>
      <c r="E82" s="474">
        <v>305644174310</v>
      </c>
      <c r="F82" s="603">
        <v>45112</v>
      </c>
      <c r="G82" s="391" t="s">
        <v>3691</v>
      </c>
      <c r="H82" s="230" t="s">
        <v>210</v>
      </c>
      <c r="I82" s="230"/>
      <c r="J82" s="230">
        <v>1</v>
      </c>
      <c r="K82" s="230"/>
      <c r="L82" s="228"/>
      <c r="M82" s="257"/>
      <c r="N82" s="228" t="s">
        <v>3692</v>
      </c>
      <c r="O82" s="228" t="s">
        <v>1269</v>
      </c>
      <c r="P82" s="245"/>
      <c r="Q82" s="2564"/>
      <c r="R82" s="2564"/>
      <c r="S82" s="254"/>
      <c r="T82" s="257"/>
      <c r="U82" s="2553"/>
      <c r="V82" s="256"/>
      <c r="W82" s="373">
        <v>1450000</v>
      </c>
      <c r="X82" s="373">
        <v>1160000</v>
      </c>
      <c r="Y82" s="248"/>
      <c r="Z82" s="247"/>
      <c r="AA82" s="248"/>
      <c r="AB82" s="340">
        <f t="shared" si="15"/>
        <v>2610000</v>
      </c>
      <c r="AC82" s="347">
        <f t="shared" si="17"/>
        <v>0</v>
      </c>
      <c r="AD82" s="249" t="s">
        <v>3597</v>
      </c>
      <c r="AE82" s="435">
        <f t="shared" si="16"/>
        <v>4212000</v>
      </c>
      <c r="AF82" s="342">
        <f t="shared" si="18"/>
        <v>6822000</v>
      </c>
      <c r="AG82" s="252"/>
      <c r="AH82" s="241"/>
      <c r="AI82" s="241"/>
      <c r="AJ82" s="241"/>
      <c r="AK82" s="194"/>
      <c r="AL82" s="195"/>
      <c r="AM82" s="195"/>
    </row>
    <row r="83" spans="1:39">
      <c r="B83" s="253">
        <v>7</v>
      </c>
      <c r="C83" s="244"/>
      <c r="D83" s="256"/>
      <c r="E83" s="474">
        <v>305643987630</v>
      </c>
      <c r="F83" s="603">
        <v>45112</v>
      </c>
      <c r="G83" s="391" t="s">
        <v>3693</v>
      </c>
      <c r="H83" s="230" t="s">
        <v>210</v>
      </c>
      <c r="I83" s="230"/>
      <c r="J83" s="230">
        <v>1</v>
      </c>
      <c r="K83" s="230"/>
      <c r="L83" s="228"/>
      <c r="M83" s="257"/>
      <c r="N83" s="228" t="s">
        <v>1270</v>
      </c>
      <c r="O83" s="228" t="s">
        <v>3694</v>
      </c>
      <c r="P83" s="245"/>
      <c r="Q83" s="2564"/>
      <c r="R83" s="2564"/>
      <c r="S83" s="254"/>
      <c r="T83" s="257"/>
      <c r="U83" s="2553"/>
      <c r="V83" s="256"/>
      <c r="W83" s="373">
        <v>1450000</v>
      </c>
      <c r="X83" s="373">
        <v>1160000</v>
      </c>
      <c r="Y83" s="248"/>
      <c r="Z83" s="247"/>
      <c r="AA83" s="248"/>
      <c r="AB83" s="340">
        <f t="shared" si="15"/>
        <v>2610000</v>
      </c>
      <c r="AC83" s="347">
        <f t="shared" si="17"/>
        <v>0</v>
      </c>
      <c r="AD83" s="249" t="s">
        <v>3597</v>
      </c>
      <c r="AE83" s="435">
        <f t="shared" si="16"/>
        <v>4212000</v>
      </c>
      <c r="AF83" s="342">
        <f t="shared" si="18"/>
        <v>6822000</v>
      </c>
      <c r="AG83" s="252"/>
      <c r="AH83" s="241"/>
      <c r="AI83" s="241"/>
      <c r="AJ83" s="241"/>
      <c r="AK83" s="194"/>
      <c r="AL83" s="195"/>
      <c r="AM83" s="195"/>
    </row>
    <row r="84" spans="1:39">
      <c r="B84" s="253">
        <v>8</v>
      </c>
      <c r="C84" s="244"/>
      <c r="D84" s="256"/>
      <c r="E84" s="474">
        <v>305646439360</v>
      </c>
      <c r="F84" s="603">
        <v>45113</v>
      </c>
      <c r="G84" s="391" t="s">
        <v>3695</v>
      </c>
      <c r="H84" s="230" t="s">
        <v>210</v>
      </c>
      <c r="I84" s="230"/>
      <c r="J84" s="230">
        <v>1</v>
      </c>
      <c r="K84" s="230"/>
      <c r="L84" s="228"/>
      <c r="M84" s="257"/>
      <c r="N84" s="228" t="s">
        <v>1271</v>
      </c>
      <c r="O84" s="228" t="s">
        <v>1272</v>
      </c>
      <c r="P84" s="245"/>
      <c r="Q84" s="2564"/>
      <c r="R84" s="2564"/>
      <c r="S84" s="254"/>
      <c r="T84" s="257"/>
      <c r="U84" s="2553"/>
      <c r="V84" s="256"/>
      <c r="W84" s="373">
        <v>1450000</v>
      </c>
      <c r="X84" s="373">
        <v>1160000</v>
      </c>
      <c r="Y84" s="248"/>
      <c r="Z84" s="247"/>
      <c r="AA84" s="248"/>
      <c r="AB84" s="340">
        <f t="shared" si="15"/>
        <v>2610000</v>
      </c>
      <c r="AC84" s="347">
        <f t="shared" si="17"/>
        <v>0</v>
      </c>
      <c r="AD84" s="249" t="s">
        <v>3597</v>
      </c>
      <c r="AE84" s="435">
        <f t="shared" si="16"/>
        <v>4212000</v>
      </c>
      <c r="AF84" s="342">
        <f t="shared" si="18"/>
        <v>6822000</v>
      </c>
      <c r="AG84" s="252"/>
      <c r="AH84" s="241"/>
      <c r="AI84" s="241"/>
      <c r="AJ84" s="241"/>
      <c r="AK84" s="194"/>
      <c r="AL84" s="195"/>
      <c r="AM84" s="195"/>
    </row>
    <row r="85" spans="1:39">
      <c r="B85" s="253">
        <v>9</v>
      </c>
      <c r="C85" s="244"/>
      <c r="D85" s="256"/>
      <c r="E85" s="474">
        <v>305651703360</v>
      </c>
      <c r="F85" s="603">
        <v>45115</v>
      </c>
      <c r="G85" s="391" t="s">
        <v>3696</v>
      </c>
      <c r="H85" s="230" t="s">
        <v>210</v>
      </c>
      <c r="I85" s="230"/>
      <c r="J85" s="230">
        <v>1</v>
      </c>
      <c r="K85" s="230"/>
      <c r="L85" s="228"/>
      <c r="M85" s="257"/>
      <c r="N85" s="228" t="s">
        <v>3697</v>
      </c>
      <c r="O85" s="228" t="s">
        <v>1315</v>
      </c>
      <c r="P85" s="245"/>
      <c r="Q85" s="2564"/>
      <c r="R85" s="2564"/>
      <c r="S85" s="254"/>
      <c r="T85" s="257"/>
      <c r="U85" s="2553"/>
      <c r="V85" s="256"/>
      <c r="W85" s="373">
        <v>1050000</v>
      </c>
      <c r="X85" s="373">
        <v>696600</v>
      </c>
      <c r="Y85" s="248"/>
      <c r="Z85" s="247"/>
      <c r="AA85" s="248"/>
      <c r="AB85" s="340">
        <f t="shared" si="15"/>
        <v>1746600</v>
      </c>
      <c r="AC85" s="347">
        <f>+Z85</f>
        <v>0</v>
      </c>
      <c r="AD85" s="249" t="s">
        <v>3597</v>
      </c>
      <c r="AE85" s="435">
        <f t="shared" si="16"/>
        <v>4212000</v>
      </c>
      <c r="AF85" s="342">
        <f>+AB85+AE85</f>
        <v>5958600</v>
      </c>
      <c r="AG85" s="252"/>
      <c r="AH85" s="241"/>
      <c r="AI85" s="241"/>
      <c r="AJ85" s="241"/>
      <c r="AK85" s="194"/>
      <c r="AL85" s="195"/>
      <c r="AM85" s="195"/>
    </row>
    <row r="86" spans="1:39" ht="46.8">
      <c r="B86" s="253">
        <v>10</v>
      </c>
      <c r="C86" s="244"/>
      <c r="D86" s="256"/>
      <c r="E86" s="466">
        <v>105571332200</v>
      </c>
      <c r="F86" s="603">
        <v>45117</v>
      </c>
      <c r="G86" s="391" t="s">
        <v>3698</v>
      </c>
      <c r="H86" s="230" t="s">
        <v>3579</v>
      </c>
      <c r="I86" s="230"/>
      <c r="J86" s="230">
        <v>3</v>
      </c>
      <c r="K86" s="230"/>
      <c r="L86" s="228"/>
      <c r="M86" s="257"/>
      <c r="N86" s="228" t="s">
        <v>1279</v>
      </c>
      <c r="O86" s="254" t="s">
        <v>1379</v>
      </c>
      <c r="P86" s="245"/>
      <c r="Q86" s="2564"/>
      <c r="R86" s="2564"/>
      <c r="S86" s="254"/>
      <c r="T86" s="257"/>
      <c r="U86" s="2553"/>
      <c r="V86" s="256"/>
      <c r="W86" s="324">
        <v>2089800</v>
      </c>
      <c r="X86" s="373">
        <f>1100000+1100000+1100000</f>
        <v>3300000</v>
      </c>
      <c r="Y86" s="248"/>
      <c r="Z86" s="247"/>
      <c r="AA86" s="248"/>
      <c r="AB86" s="340">
        <f t="shared" si="15"/>
        <v>5389800</v>
      </c>
      <c r="AC86" s="347">
        <f t="shared" si="17"/>
        <v>0</v>
      </c>
      <c r="AD86" s="249" t="s">
        <v>3597</v>
      </c>
      <c r="AE86" s="435">
        <f>+(I86*3650000+J86*(3650000+100000))*1.08+(150000*3*1.08)</f>
        <v>12636000</v>
      </c>
      <c r="AF86" s="342">
        <f t="shared" si="18"/>
        <v>18025800</v>
      </c>
      <c r="AG86" s="252"/>
      <c r="AH86" s="241"/>
      <c r="AI86" s="241"/>
      <c r="AJ86" s="241"/>
      <c r="AK86" s="194"/>
      <c r="AL86" s="195"/>
      <c r="AM86" s="195" t="s">
        <v>3699</v>
      </c>
    </row>
    <row r="87" spans="1:39">
      <c r="B87" s="253">
        <v>11</v>
      </c>
      <c r="C87" s="244"/>
      <c r="D87" s="256"/>
      <c r="E87" s="474">
        <v>305658587200</v>
      </c>
      <c r="F87" s="603">
        <v>45119</v>
      </c>
      <c r="G87" s="391" t="s">
        <v>3700</v>
      </c>
      <c r="H87" s="230" t="s">
        <v>210</v>
      </c>
      <c r="I87" s="230"/>
      <c r="J87" s="230"/>
      <c r="K87" s="230">
        <v>1</v>
      </c>
      <c r="L87" s="228"/>
      <c r="M87" s="257" t="s">
        <v>1294</v>
      </c>
      <c r="N87" s="228" t="s">
        <v>1337</v>
      </c>
      <c r="P87" s="245"/>
      <c r="Q87" s="2564"/>
      <c r="R87" s="2564"/>
      <c r="S87" s="254"/>
      <c r="T87" s="257" t="s">
        <v>1294</v>
      </c>
      <c r="U87" s="2553"/>
      <c r="V87" s="256"/>
      <c r="W87" s="248"/>
      <c r="X87" s="248"/>
      <c r="Y87" s="248"/>
      <c r="Z87" s="247"/>
      <c r="AA87" s="248"/>
      <c r="AB87" s="340">
        <f t="shared" si="15"/>
        <v>0</v>
      </c>
      <c r="AC87" s="347">
        <f>+Z87</f>
        <v>0</v>
      </c>
      <c r="AD87" s="249" t="s">
        <v>3597</v>
      </c>
      <c r="AE87" s="435">
        <f>(1320000*1.08)+(150000*1.08)</f>
        <v>1587600</v>
      </c>
      <c r="AF87" s="342">
        <f>+AB87+AE87</f>
        <v>1587600</v>
      </c>
      <c r="AG87" s="252"/>
      <c r="AH87" s="241"/>
      <c r="AI87" s="241"/>
      <c r="AJ87" s="241"/>
      <c r="AK87" s="194"/>
      <c r="AL87" s="195"/>
      <c r="AM87" s="195"/>
    </row>
    <row r="88" spans="1:39" ht="31.2">
      <c r="B88" s="253">
        <v>12</v>
      </c>
      <c r="C88" s="244"/>
      <c r="D88" s="256"/>
      <c r="E88" s="474">
        <v>305672397830</v>
      </c>
      <c r="F88" s="603" t="s">
        <v>1327</v>
      </c>
      <c r="G88" s="391" t="s">
        <v>3701</v>
      </c>
      <c r="H88" s="230" t="s">
        <v>748</v>
      </c>
      <c r="I88" s="230"/>
      <c r="J88" s="230">
        <v>2</v>
      </c>
      <c r="K88" s="230"/>
      <c r="L88" s="228"/>
      <c r="M88" s="257"/>
      <c r="N88" s="228" t="s">
        <v>1334</v>
      </c>
      <c r="O88" s="254" t="s">
        <v>1333</v>
      </c>
      <c r="P88" s="245"/>
      <c r="Q88" s="2564"/>
      <c r="R88" s="2564"/>
      <c r="S88" s="254"/>
      <c r="T88" s="257"/>
      <c r="U88" s="2553"/>
      <c r="V88" s="256"/>
      <c r="W88" s="373">
        <f>1100000+1100000</f>
        <v>2200000</v>
      </c>
      <c r="X88" s="373">
        <f>696600+696600</f>
        <v>1393200</v>
      </c>
      <c r="Y88" s="248"/>
      <c r="Z88" s="247"/>
      <c r="AA88" s="248"/>
      <c r="AB88" s="340">
        <f t="shared" si="15"/>
        <v>3593200</v>
      </c>
      <c r="AC88" s="347">
        <f>+Z88</f>
        <v>0</v>
      </c>
      <c r="AD88" s="249" t="s">
        <v>3597</v>
      </c>
      <c r="AE88" s="435">
        <f>+(I88*3650000+J88*(3650000+100000))*1.08+(150000*2*1.08)</f>
        <v>8424000</v>
      </c>
      <c r="AF88" s="342">
        <f>+AB88+AE88</f>
        <v>12017200</v>
      </c>
      <c r="AG88" s="252"/>
      <c r="AH88" s="241"/>
      <c r="AI88" s="241"/>
      <c r="AJ88" s="241"/>
      <c r="AK88" s="194"/>
      <c r="AL88" s="195"/>
      <c r="AM88" s="195"/>
    </row>
    <row r="89" spans="1:39" ht="31.2">
      <c r="B89" s="253">
        <v>13</v>
      </c>
      <c r="C89" s="244"/>
      <c r="D89" s="256"/>
      <c r="E89" s="474">
        <v>305674349650</v>
      </c>
      <c r="F89" s="603" t="s">
        <v>1327</v>
      </c>
      <c r="G89" s="391" t="s">
        <v>3702</v>
      </c>
      <c r="H89" s="230" t="s">
        <v>748</v>
      </c>
      <c r="I89" s="230"/>
      <c r="J89" s="230">
        <v>2</v>
      </c>
      <c r="K89" s="230"/>
      <c r="L89" s="228"/>
      <c r="M89" s="257"/>
      <c r="N89" s="228" t="s">
        <v>1335</v>
      </c>
      <c r="O89" s="254" t="s">
        <v>1336</v>
      </c>
      <c r="P89" s="245"/>
      <c r="Q89" s="2564"/>
      <c r="R89" s="2564"/>
      <c r="S89" s="254"/>
      <c r="T89" s="257"/>
      <c r="U89" s="2553"/>
      <c r="V89" s="256"/>
      <c r="W89" s="373">
        <f>1100000+1100000</f>
        <v>2200000</v>
      </c>
      <c r="X89" s="373">
        <f>696600+696600</f>
        <v>1393200</v>
      </c>
      <c r="Y89" s="248"/>
      <c r="Z89" s="247"/>
      <c r="AA89" s="248"/>
      <c r="AB89" s="340">
        <f t="shared" si="15"/>
        <v>3593200</v>
      </c>
      <c r="AC89" s="347">
        <f>+Z89</f>
        <v>0</v>
      </c>
      <c r="AD89" s="249" t="s">
        <v>3597</v>
      </c>
      <c r="AE89" s="435">
        <f>+(I89*3650000+J89*(3650000+100000))*1.08+(150000*2*1.08)</f>
        <v>8424000</v>
      </c>
      <c r="AF89" s="342">
        <f>+AB89+AE89</f>
        <v>12017200</v>
      </c>
      <c r="AG89" s="252"/>
      <c r="AH89" s="241"/>
      <c r="AI89" s="241"/>
      <c r="AJ89" s="241"/>
      <c r="AK89" s="194"/>
      <c r="AL89" s="195"/>
      <c r="AM89" s="195"/>
    </row>
    <row r="90" spans="1:39">
      <c r="B90" s="253">
        <v>14</v>
      </c>
      <c r="C90" s="244"/>
      <c r="D90" s="256"/>
      <c r="E90" s="474">
        <v>305681825060</v>
      </c>
      <c r="F90" s="603" t="s">
        <v>1344</v>
      </c>
      <c r="G90" s="391" t="s">
        <v>3703</v>
      </c>
      <c r="H90" s="230" t="s">
        <v>748</v>
      </c>
      <c r="I90" s="230"/>
      <c r="J90" s="230">
        <v>1</v>
      </c>
      <c r="K90" s="230"/>
      <c r="L90" s="228"/>
      <c r="M90" s="257"/>
      <c r="N90" s="228" t="s">
        <v>1356</v>
      </c>
      <c r="O90" s="228" t="s">
        <v>1355</v>
      </c>
      <c r="P90" s="245"/>
      <c r="Q90" s="2564"/>
      <c r="R90" s="2564"/>
      <c r="S90" s="254"/>
      <c r="T90" s="257"/>
      <c r="U90" s="2553"/>
      <c r="V90" s="256"/>
      <c r="W90" s="373">
        <v>1450000</v>
      </c>
      <c r="X90" s="373">
        <v>696600</v>
      </c>
      <c r="Y90" s="248"/>
      <c r="Z90" s="247"/>
      <c r="AA90" s="248"/>
      <c r="AB90" s="340">
        <f t="shared" si="15"/>
        <v>2146600</v>
      </c>
      <c r="AC90" s="347">
        <f t="shared" ref="AC90:AC103" si="19">+Z90</f>
        <v>0</v>
      </c>
      <c r="AD90" s="249" t="s">
        <v>3597</v>
      </c>
      <c r="AE90" s="435">
        <f>+(I90*3650000+J90*(3650000+100000))*1.08+(150000*1.08)</f>
        <v>4212000</v>
      </c>
      <c r="AF90" s="342">
        <f t="shared" ref="AF90:AF103" si="20">+AB90+AE90</f>
        <v>6358600</v>
      </c>
      <c r="AG90" s="252"/>
      <c r="AH90" s="241"/>
      <c r="AI90" s="241"/>
      <c r="AJ90" s="241"/>
      <c r="AK90" s="194"/>
      <c r="AL90" s="195"/>
      <c r="AM90" s="195"/>
    </row>
    <row r="91" spans="1:39">
      <c r="B91" s="253">
        <v>15</v>
      </c>
      <c r="C91" s="244"/>
      <c r="D91" s="256"/>
      <c r="E91" s="466">
        <v>105593291900</v>
      </c>
      <c r="F91" s="603" t="s">
        <v>1344</v>
      </c>
      <c r="G91" s="391" t="s">
        <v>3704</v>
      </c>
      <c r="H91" s="230" t="s">
        <v>3579</v>
      </c>
      <c r="I91" s="230"/>
      <c r="J91" s="230"/>
      <c r="K91" s="230">
        <v>1</v>
      </c>
      <c r="L91" s="228"/>
      <c r="M91" s="257" t="s">
        <v>1347</v>
      </c>
      <c r="N91" s="228" t="s">
        <v>1346</v>
      </c>
      <c r="O91" s="228"/>
      <c r="P91" s="245"/>
      <c r="Q91" s="2564"/>
      <c r="R91" s="2564"/>
      <c r="S91" s="254"/>
      <c r="T91" s="257" t="s">
        <v>1347</v>
      </c>
      <c r="U91" s="2553"/>
      <c r="V91" s="256"/>
      <c r="W91" s="248"/>
      <c r="X91" s="248"/>
      <c r="Y91" s="248"/>
      <c r="Z91" s="247"/>
      <c r="AA91" s="248"/>
      <c r="AB91" s="340">
        <f t="shared" si="15"/>
        <v>0</v>
      </c>
      <c r="AC91" s="347">
        <f t="shared" si="19"/>
        <v>0</v>
      </c>
      <c r="AD91" s="249" t="s">
        <v>3597</v>
      </c>
      <c r="AE91" s="435">
        <f>+(2220000*1.08)+(150000*1.08)</f>
        <v>2559600</v>
      </c>
      <c r="AF91" s="342">
        <f t="shared" si="20"/>
        <v>2559600</v>
      </c>
      <c r="AG91" s="252"/>
      <c r="AH91" s="241"/>
      <c r="AI91" s="241"/>
      <c r="AJ91" s="241"/>
      <c r="AK91" s="194"/>
      <c r="AL91" s="195"/>
      <c r="AM91" s="195"/>
    </row>
    <row r="92" spans="1:39">
      <c r="B92" s="253">
        <v>16</v>
      </c>
      <c r="C92" s="244"/>
      <c r="D92" s="256"/>
      <c r="E92" s="474">
        <v>305687224530</v>
      </c>
      <c r="F92" s="603" t="s">
        <v>1357</v>
      </c>
      <c r="G92" s="391" t="s">
        <v>3705</v>
      </c>
      <c r="H92" s="230" t="s">
        <v>210</v>
      </c>
      <c r="I92" s="230">
        <v>1</v>
      </c>
      <c r="J92" s="230"/>
      <c r="K92" s="230"/>
      <c r="L92" s="228"/>
      <c r="M92" s="257"/>
      <c r="N92" s="228" t="s">
        <v>1360</v>
      </c>
      <c r="O92" s="228" t="s">
        <v>1361</v>
      </c>
      <c r="P92" s="245"/>
      <c r="Q92" s="2564"/>
      <c r="R92" s="2564"/>
      <c r="S92" s="254"/>
      <c r="T92" s="257"/>
      <c r="U92" s="2553"/>
      <c r="V92" s="256"/>
      <c r="W92" s="373">
        <v>378000</v>
      </c>
      <c r="X92" s="373">
        <v>394200</v>
      </c>
      <c r="Y92" s="248"/>
      <c r="Z92" s="247"/>
      <c r="AA92" s="248"/>
      <c r="AB92" s="340">
        <f t="shared" si="15"/>
        <v>772200</v>
      </c>
      <c r="AC92" s="347">
        <f t="shared" si="19"/>
        <v>0</v>
      </c>
      <c r="AD92" s="249" t="s">
        <v>3597</v>
      </c>
      <c r="AE92" s="435">
        <f>+(I92*3650000+J92*(3650000+100000))*1.08+(150000*1.08)</f>
        <v>4104000.0000000005</v>
      </c>
      <c r="AF92" s="342">
        <f t="shared" si="20"/>
        <v>4876200</v>
      </c>
      <c r="AG92" s="252"/>
      <c r="AH92" s="241"/>
      <c r="AI92" s="241"/>
      <c r="AJ92" s="241"/>
      <c r="AK92" s="194"/>
      <c r="AL92" s="195"/>
      <c r="AM92" s="195"/>
    </row>
    <row r="93" spans="1:39" ht="31.2">
      <c r="B93" s="253">
        <v>17</v>
      </c>
      <c r="C93" s="244"/>
      <c r="D93" s="256"/>
      <c r="E93" s="474">
        <v>305691369450</v>
      </c>
      <c r="F93" s="603" t="s">
        <v>1362</v>
      </c>
      <c r="G93" s="391" t="s">
        <v>3706</v>
      </c>
      <c r="H93" s="230" t="s">
        <v>748</v>
      </c>
      <c r="I93" s="230"/>
      <c r="J93" s="230">
        <v>2</v>
      </c>
      <c r="K93" s="230"/>
      <c r="L93" s="228"/>
      <c r="M93" s="257"/>
      <c r="N93" s="228" t="s">
        <v>1371</v>
      </c>
      <c r="O93" s="254" t="s">
        <v>1430</v>
      </c>
      <c r="P93" s="245"/>
      <c r="Q93" s="2564"/>
      <c r="R93" s="2564"/>
      <c r="S93" s="254"/>
      <c r="T93" s="257"/>
      <c r="U93" s="2553"/>
      <c r="V93" s="256"/>
      <c r="W93" s="373">
        <f>1100000+1100000</f>
        <v>2200000</v>
      </c>
      <c r="X93" s="373">
        <f>696600+696600</f>
        <v>1393200</v>
      </c>
      <c r="Y93" s="248"/>
      <c r="Z93" s="247"/>
      <c r="AA93" s="248"/>
      <c r="AB93" s="340">
        <f t="shared" si="15"/>
        <v>3593200</v>
      </c>
      <c r="AC93" s="347">
        <f t="shared" si="19"/>
        <v>0</v>
      </c>
      <c r="AD93" s="249" t="s">
        <v>3597</v>
      </c>
      <c r="AE93" s="435">
        <f>+(I93*3650000+J93*(3650000+100000))*1.08+(150000*2*1.08)</f>
        <v>8424000</v>
      </c>
      <c r="AF93" s="342">
        <f t="shared" si="20"/>
        <v>12017200</v>
      </c>
      <c r="AG93" s="252"/>
      <c r="AH93" s="241"/>
      <c r="AI93" s="241"/>
      <c r="AJ93" s="241"/>
      <c r="AK93" s="194"/>
      <c r="AL93" s="195"/>
      <c r="AM93" s="195"/>
    </row>
    <row r="94" spans="1:39">
      <c r="B94" s="253">
        <v>18</v>
      </c>
      <c r="C94" s="244"/>
      <c r="D94" s="256"/>
      <c r="E94" s="474">
        <v>305690681460</v>
      </c>
      <c r="F94" s="603" t="s">
        <v>1362</v>
      </c>
      <c r="G94" s="391" t="s">
        <v>3707</v>
      </c>
      <c r="H94" s="230" t="s">
        <v>748</v>
      </c>
      <c r="I94" s="230"/>
      <c r="J94" s="230">
        <v>1</v>
      </c>
      <c r="K94" s="230"/>
      <c r="L94" s="228"/>
      <c r="M94" s="257"/>
      <c r="N94" s="228" t="s">
        <v>1372</v>
      </c>
      <c r="O94" s="228" t="s">
        <v>1373</v>
      </c>
      <c r="P94" s="245"/>
      <c r="Q94" s="2564"/>
      <c r="R94" s="2564"/>
      <c r="S94" s="254"/>
      <c r="T94" s="257"/>
      <c r="U94" s="2553"/>
      <c r="V94" s="256"/>
      <c r="W94" s="373">
        <v>1080000</v>
      </c>
      <c r="X94" s="373">
        <v>696600</v>
      </c>
      <c r="Y94" s="248"/>
      <c r="Z94" s="247"/>
      <c r="AA94" s="248"/>
      <c r="AB94" s="340">
        <f t="shared" si="15"/>
        <v>1776600</v>
      </c>
      <c r="AC94" s="347">
        <f t="shared" si="19"/>
        <v>0</v>
      </c>
      <c r="AD94" s="249" t="s">
        <v>3597</v>
      </c>
      <c r="AE94" s="435">
        <f>+(I94*3650000+J94*(3650000+100000))*1.08+(150000*1.08)</f>
        <v>4212000</v>
      </c>
      <c r="AF94" s="342">
        <f t="shared" si="20"/>
        <v>5988600</v>
      </c>
      <c r="AG94" s="252"/>
      <c r="AH94" s="241"/>
      <c r="AI94" s="241"/>
      <c r="AJ94" s="241"/>
      <c r="AK94" s="194"/>
      <c r="AL94" s="195"/>
      <c r="AM94" s="195"/>
    </row>
    <row r="95" spans="1:39" ht="39" customHeight="1">
      <c r="B95" s="253">
        <v>19</v>
      </c>
      <c r="C95" s="244"/>
      <c r="D95" s="256"/>
      <c r="E95" s="463" t="s">
        <v>1427</v>
      </c>
      <c r="F95" s="603" t="s">
        <v>1383</v>
      </c>
      <c r="G95" s="391" t="s">
        <v>3708</v>
      </c>
      <c r="H95" s="230" t="s">
        <v>3579</v>
      </c>
      <c r="I95" s="230">
        <v>1</v>
      </c>
      <c r="J95" s="230"/>
      <c r="K95" s="230"/>
      <c r="L95" s="228"/>
      <c r="M95" s="257"/>
      <c r="N95" s="254" t="s">
        <v>1429</v>
      </c>
      <c r="O95" s="228" t="s">
        <v>1428</v>
      </c>
      <c r="P95" s="245"/>
      <c r="Q95" s="2564"/>
      <c r="R95" s="2564"/>
      <c r="S95" s="254"/>
      <c r="T95" s="257"/>
      <c r="U95" s="2553"/>
      <c r="V95" s="324">
        <v>86400</v>
      </c>
      <c r="W95" s="324">
        <v>561600</v>
      </c>
      <c r="X95" s="373">
        <v>900000</v>
      </c>
      <c r="Y95" s="248"/>
      <c r="Z95" s="247"/>
      <c r="AA95" s="248"/>
      <c r="AB95" s="340">
        <f t="shared" si="15"/>
        <v>1548000</v>
      </c>
      <c r="AC95" s="347">
        <f t="shared" si="19"/>
        <v>0</v>
      </c>
      <c r="AD95" s="249"/>
      <c r="AE95" s="435">
        <f>+(I95*3650000+J95*(3650000+100000))*1.08+(150000*1*1.08)</f>
        <v>4104000.0000000005</v>
      </c>
      <c r="AF95" s="342">
        <f t="shared" si="20"/>
        <v>5652000</v>
      </c>
      <c r="AG95" s="252"/>
      <c r="AH95" s="241"/>
      <c r="AI95" s="241"/>
      <c r="AJ95" s="241"/>
      <c r="AK95" s="194"/>
      <c r="AL95" s="195"/>
      <c r="AM95" s="195" t="s">
        <v>3709</v>
      </c>
    </row>
    <row r="96" spans="1:39" s="13" customFormat="1" ht="36" customHeight="1">
      <c r="A96" s="649" t="s">
        <v>3710</v>
      </c>
      <c r="B96" s="650"/>
      <c r="C96" s="650"/>
      <c r="D96" s="346"/>
      <c r="E96" s="650"/>
      <c r="F96" s="650"/>
      <c r="G96" s="650"/>
      <c r="H96" s="650"/>
      <c r="I96" s="369"/>
      <c r="J96" s="346"/>
      <c r="K96" s="346"/>
      <c r="L96" s="346"/>
      <c r="M96" s="346"/>
      <c r="N96" s="346"/>
      <c r="O96" s="354"/>
      <c r="P96" s="346"/>
      <c r="Q96" s="346"/>
      <c r="R96" s="346"/>
      <c r="S96" s="346"/>
      <c r="T96" s="346"/>
      <c r="U96" s="346"/>
      <c r="V96" s="357"/>
      <c r="W96" s="357"/>
      <c r="X96" s="357"/>
      <c r="Y96" s="357"/>
      <c r="Z96" s="357"/>
      <c r="AA96" s="357"/>
      <c r="AB96" s="358">
        <f>SUM(AB77:AB95)</f>
        <v>43408900</v>
      </c>
      <c r="AC96" s="358">
        <f>SUM(AC77:AC95)</f>
        <v>0</v>
      </c>
      <c r="AD96" s="359"/>
      <c r="AE96" s="358">
        <f>SUM(AE77:AE95)</f>
        <v>96595200</v>
      </c>
      <c r="AF96" s="358">
        <f>+AB96+AC96+AE96</f>
        <v>140004100</v>
      </c>
      <c r="AG96" s="357"/>
      <c r="AH96" s="357"/>
      <c r="AI96" s="357"/>
      <c r="AJ96" s="357"/>
      <c r="AK96" s="357"/>
      <c r="AL96" s="357"/>
      <c r="AM96" s="357"/>
    </row>
    <row r="97" spans="2:39" ht="31.2">
      <c r="B97" s="253">
        <v>1</v>
      </c>
      <c r="C97" s="244"/>
      <c r="D97" s="256"/>
      <c r="E97" s="474">
        <v>305694734940</v>
      </c>
      <c r="F97" s="603" t="s">
        <v>1378</v>
      </c>
      <c r="G97" s="391" t="s">
        <v>3711</v>
      </c>
      <c r="H97" s="230" t="s">
        <v>748</v>
      </c>
      <c r="I97" s="230">
        <v>1</v>
      </c>
      <c r="J97" s="230">
        <v>1</v>
      </c>
      <c r="K97" s="230"/>
      <c r="L97" s="228"/>
      <c r="M97" s="257"/>
      <c r="N97" s="228" t="s">
        <v>1386</v>
      </c>
      <c r="O97" s="254" t="s">
        <v>1485</v>
      </c>
      <c r="P97" s="245"/>
      <c r="Q97" s="2564"/>
      <c r="R97" s="2564"/>
      <c r="S97" s="254"/>
      <c r="T97" s="257"/>
      <c r="U97" s="2553"/>
      <c r="V97" s="256"/>
      <c r="W97" s="373">
        <f>1450000+900000</f>
        <v>2350000</v>
      </c>
      <c r="X97" s="373">
        <f>696600+394200</f>
        <v>1090800</v>
      </c>
      <c r="Y97" s="248"/>
      <c r="Z97" s="247"/>
      <c r="AA97" s="248"/>
      <c r="AB97" s="340">
        <f t="shared" ref="AB97:AB113" si="21">V97+W97+X97+Y97+Z97+AA97</f>
        <v>3440800</v>
      </c>
      <c r="AC97" s="347">
        <f t="shared" si="19"/>
        <v>0</v>
      </c>
      <c r="AD97" s="249" t="s">
        <v>3597</v>
      </c>
      <c r="AE97" s="435">
        <f t="shared" ref="AE97:AE112" si="22">+(I97*3778000+J97*(3778000+100000))*1.08+((I97+J97+K97)*150000)*1.08</f>
        <v>8592480</v>
      </c>
      <c r="AF97" s="342">
        <f t="shared" si="20"/>
        <v>12033280</v>
      </c>
      <c r="AG97" s="252"/>
      <c r="AH97" s="241"/>
      <c r="AI97" s="241"/>
      <c r="AJ97" s="241"/>
      <c r="AK97" s="194"/>
      <c r="AL97" s="195"/>
      <c r="AM97" s="195"/>
    </row>
    <row r="98" spans="2:39">
      <c r="B98" s="253">
        <v>2</v>
      </c>
      <c r="C98" s="244"/>
      <c r="D98" s="256"/>
      <c r="E98" s="474">
        <v>305693938710</v>
      </c>
      <c r="F98" s="603" t="s">
        <v>1378</v>
      </c>
      <c r="G98" s="391" t="s">
        <v>3712</v>
      </c>
      <c r="H98" s="230" t="s">
        <v>748</v>
      </c>
      <c r="I98" s="230"/>
      <c r="J98" s="230">
        <v>1</v>
      </c>
      <c r="K98" s="230"/>
      <c r="L98" s="228"/>
      <c r="M98" s="257"/>
      <c r="N98" s="228" t="s">
        <v>3713</v>
      </c>
      <c r="O98" s="228" t="s">
        <v>1387</v>
      </c>
      <c r="P98" s="245"/>
      <c r="Q98" s="2564"/>
      <c r="R98" s="2564"/>
      <c r="S98" s="254"/>
      <c r="T98" s="257"/>
      <c r="U98" s="2553"/>
      <c r="V98" s="256"/>
      <c r="W98" s="373">
        <v>1050000</v>
      </c>
      <c r="X98" s="373">
        <v>1140000</v>
      </c>
      <c r="Y98" s="248"/>
      <c r="Z98" s="247"/>
      <c r="AA98" s="248"/>
      <c r="AB98" s="340">
        <f t="shared" si="21"/>
        <v>2190000</v>
      </c>
      <c r="AC98" s="347">
        <f t="shared" si="19"/>
        <v>0</v>
      </c>
      <c r="AD98" s="249" t="s">
        <v>3597</v>
      </c>
      <c r="AE98" s="435">
        <f t="shared" si="22"/>
        <v>4350240</v>
      </c>
      <c r="AF98" s="342">
        <f t="shared" si="20"/>
        <v>6540240</v>
      </c>
      <c r="AG98" s="252"/>
      <c r="AH98" s="241"/>
      <c r="AI98" s="241"/>
      <c r="AJ98" s="241"/>
      <c r="AK98" s="194"/>
      <c r="AL98" s="195"/>
      <c r="AM98" s="195"/>
    </row>
    <row r="99" spans="2:39">
      <c r="B99" s="253">
        <v>3</v>
      </c>
      <c r="C99" s="244"/>
      <c r="D99" s="256"/>
      <c r="E99" s="474">
        <v>305696831330</v>
      </c>
      <c r="F99" s="603" t="s">
        <v>1383</v>
      </c>
      <c r="G99" s="391" t="s">
        <v>3714</v>
      </c>
      <c r="H99" s="230" t="s">
        <v>748</v>
      </c>
      <c r="I99" s="230">
        <v>1</v>
      </c>
      <c r="J99" s="230"/>
      <c r="K99" s="230"/>
      <c r="L99" s="228"/>
      <c r="M99" s="257"/>
      <c r="N99" s="228" t="s">
        <v>3715</v>
      </c>
      <c r="O99" s="228" t="s">
        <v>3716</v>
      </c>
      <c r="P99" s="245"/>
      <c r="Q99" s="2564"/>
      <c r="R99" s="2564"/>
      <c r="S99" s="254"/>
      <c r="T99" s="257"/>
      <c r="U99" s="2553"/>
      <c r="V99" s="256"/>
      <c r="W99" s="373">
        <v>720000</v>
      </c>
      <c r="X99" s="373">
        <v>700000</v>
      </c>
      <c r="Y99" s="248"/>
      <c r="Z99" s="247"/>
      <c r="AA99" s="248"/>
      <c r="AB99" s="340">
        <f t="shared" si="21"/>
        <v>1420000</v>
      </c>
      <c r="AC99" s="347">
        <f t="shared" si="19"/>
        <v>0</v>
      </c>
      <c r="AD99" s="249" t="s">
        <v>3597</v>
      </c>
      <c r="AE99" s="435">
        <f t="shared" si="22"/>
        <v>4242240</v>
      </c>
      <c r="AF99" s="342">
        <f t="shared" si="20"/>
        <v>5662240</v>
      </c>
      <c r="AG99" s="252"/>
      <c r="AH99" s="241"/>
      <c r="AI99" s="241"/>
      <c r="AJ99" s="241"/>
      <c r="AK99" s="194"/>
      <c r="AL99" s="195"/>
      <c r="AM99" s="195"/>
    </row>
    <row r="100" spans="2:39">
      <c r="B100" s="253">
        <v>4</v>
      </c>
      <c r="C100" s="244"/>
      <c r="D100" s="256"/>
      <c r="E100" s="474">
        <v>305721535250</v>
      </c>
      <c r="F100" s="603">
        <v>45145</v>
      </c>
      <c r="G100" s="391" t="s">
        <v>3717</v>
      </c>
      <c r="H100" s="230" t="s">
        <v>748</v>
      </c>
      <c r="I100" s="230"/>
      <c r="J100" s="230">
        <v>1</v>
      </c>
      <c r="K100" s="230"/>
      <c r="L100" s="228"/>
      <c r="M100" s="257"/>
      <c r="N100" s="494">
        <v>70348539</v>
      </c>
      <c r="O100" s="228" t="s">
        <v>1461</v>
      </c>
      <c r="P100" s="245"/>
      <c r="Q100" s="2564"/>
      <c r="R100" s="2564"/>
      <c r="S100" s="254"/>
      <c r="T100" s="257"/>
      <c r="U100" s="2553"/>
      <c r="V100" s="256"/>
      <c r="W100" s="373">
        <v>1050000</v>
      </c>
      <c r="X100" s="373">
        <v>1140000</v>
      </c>
      <c r="Y100" s="248"/>
      <c r="Z100" s="247"/>
      <c r="AA100" s="248"/>
      <c r="AB100" s="340">
        <f t="shared" si="21"/>
        <v>2190000</v>
      </c>
      <c r="AC100" s="347">
        <f t="shared" si="19"/>
        <v>0</v>
      </c>
      <c r="AD100" s="249" t="s">
        <v>3597</v>
      </c>
      <c r="AE100" s="435">
        <f t="shared" si="22"/>
        <v>4350240</v>
      </c>
      <c r="AF100" s="342">
        <f t="shared" si="20"/>
        <v>6540240</v>
      </c>
      <c r="AG100" s="252"/>
      <c r="AH100" s="241"/>
      <c r="AI100" s="241"/>
      <c r="AJ100" s="241"/>
      <c r="AK100" s="194"/>
      <c r="AL100" s="195"/>
      <c r="AM100" s="195"/>
    </row>
    <row r="101" spans="2:39">
      <c r="B101" s="253">
        <v>5</v>
      </c>
      <c r="C101" s="244"/>
      <c r="D101" s="256"/>
      <c r="E101" s="474">
        <v>305728505300</v>
      </c>
      <c r="F101" s="603">
        <v>45147</v>
      </c>
      <c r="G101" s="391" t="s">
        <v>3718</v>
      </c>
      <c r="H101" s="230" t="s">
        <v>748</v>
      </c>
      <c r="I101" s="230"/>
      <c r="J101" s="230">
        <v>1</v>
      </c>
      <c r="K101" s="230"/>
      <c r="L101" s="228"/>
      <c r="M101" s="257"/>
      <c r="N101" s="494">
        <v>6361389890</v>
      </c>
      <c r="O101" s="228" t="s">
        <v>1462</v>
      </c>
      <c r="P101" s="245"/>
      <c r="Q101" s="2564"/>
      <c r="R101" s="2564"/>
      <c r="S101" s="254"/>
      <c r="T101" s="257"/>
      <c r="U101" s="2553"/>
      <c r="V101" s="256"/>
      <c r="W101" s="373">
        <v>1450000</v>
      </c>
      <c r="X101" s="373">
        <v>1140000</v>
      </c>
      <c r="Y101" s="248"/>
      <c r="Z101" s="247"/>
      <c r="AA101" s="248"/>
      <c r="AB101" s="340">
        <f t="shared" si="21"/>
        <v>2590000</v>
      </c>
      <c r="AC101" s="347">
        <f t="shared" si="19"/>
        <v>0</v>
      </c>
      <c r="AD101" s="249" t="s">
        <v>3597</v>
      </c>
      <c r="AE101" s="435">
        <f t="shared" si="22"/>
        <v>4350240</v>
      </c>
      <c r="AF101" s="342">
        <f t="shared" si="20"/>
        <v>6940240</v>
      </c>
      <c r="AG101" s="252"/>
      <c r="AH101" s="241"/>
      <c r="AI101" s="241"/>
      <c r="AJ101" s="241"/>
      <c r="AK101" s="194"/>
      <c r="AL101" s="195"/>
      <c r="AM101" s="195"/>
    </row>
    <row r="102" spans="2:39">
      <c r="B102" s="253">
        <v>6</v>
      </c>
      <c r="C102" s="244"/>
      <c r="D102" s="256"/>
      <c r="E102" s="474">
        <v>305728707230</v>
      </c>
      <c r="F102" s="603">
        <v>45147</v>
      </c>
      <c r="G102" s="391" t="s">
        <v>3719</v>
      </c>
      <c r="H102" s="230" t="s">
        <v>748</v>
      </c>
      <c r="I102" s="230"/>
      <c r="J102" s="230">
        <v>1</v>
      </c>
      <c r="K102" s="230"/>
      <c r="L102" s="228"/>
      <c r="M102" s="257"/>
      <c r="N102" s="494">
        <v>72980741</v>
      </c>
      <c r="O102" s="228" t="s">
        <v>1463</v>
      </c>
      <c r="P102" s="245"/>
      <c r="Q102" s="2564"/>
      <c r="R102" s="2564"/>
      <c r="S102" s="254"/>
      <c r="T102" s="257"/>
      <c r="U102" s="2553"/>
      <c r="V102" s="256"/>
      <c r="W102" s="373">
        <v>1050000</v>
      </c>
      <c r="X102" s="373">
        <v>696600</v>
      </c>
      <c r="Y102" s="248"/>
      <c r="Z102" s="247"/>
      <c r="AA102" s="248"/>
      <c r="AB102" s="340">
        <f t="shared" si="21"/>
        <v>1746600</v>
      </c>
      <c r="AC102" s="347">
        <f t="shared" si="19"/>
        <v>0</v>
      </c>
      <c r="AD102" s="249" t="s">
        <v>3597</v>
      </c>
      <c r="AE102" s="435">
        <f t="shared" si="22"/>
        <v>4350240</v>
      </c>
      <c r="AF102" s="342">
        <f t="shared" si="20"/>
        <v>6096840</v>
      </c>
      <c r="AG102" s="252"/>
      <c r="AH102" s="241"/>
      <c r="AI102" s="241"/>
      <c r="AJ102" s="241"/>
      <c r="AK102" s="194"/>
      <c r="AL102" s="195"/>
      <c r="AM102" s="195"/>
    </row>
    <row r="103" spans="2:39">
      <c r="B103" s="253">
        <v>7</v>
      </c>
      <c r="C103" s="244"/>
      <c r="D103" s="256"/>
      <c r="E103" s="474">
        <v>305730389700</v>
      </c>
      <c r="F103" s="603">
        <v>45148</v>
      </c>
      <c r="G103" s="391" t="s">
        <v>3720</v>
      </c>
      <c r="H103" s="230" t="s">
        <v>748</v>
      </c>
      <c r="I103" s="230"/>
      <c r="J103" s="230">
        <v>1</v>
      </c>
      <c r="K103" s="230"/>
      <c r="L103" s="228"/>
      <c r="M103" s="257"/>
      <c r="N103" s="494">
        <v>71349210</v>
      </c>
      <c r="O103" s="228" t="s">
        <v>3721</v>
      </c>
      <c r="P103" s="245"/>
      <c r="Q103" s="2564"/>
      <c r="R103" s="2564"/>
      <c r="S103" s="254"/>
      <c r="T103" s="257"/>
      <c r="U103" s="2553"/>
      <c r="V103" s="256"/>
      <c r="W103" s="373">
        <v>1050000</v>
      </c>
      <c r="X103" s="373">
        <v>696600</v>
      </c>
      <c r="Y103" s="248"/>
      <c r="Z103" s="247"/>
      <c r="AA103" s="248"/>
      <c r="AB103" s="340">
        <f t="shared" si="21"/>
        <v>1746600</v>
      </c>
      <c r="AC103" s="347">
        <f t="shared" si="19"/>
        <v>0</v>
      </c>
      <c r="AD103" s="249" t="s">
        <v>3597</v>
      </c>
      <c r="AE103" s="435">
        <f t="shared" si="22"/>
        <v>4350240</v>
      </c>
      <c r="AF103" s="342">
        <f t="shared" si="20"/>
        <v>6096840</v>
      </c>
      <c r="AG103" s="252"/>
      <c r="AH103" s="241"/>
      <c r="AI103" s="241"/>
      <c r="AJ103" s="241"/>
      <c r="AK103" s="194"/>
      <c r="AL103" s="195"/>
      <c r="AM103" s="195"/>
    </row>
    <row r="104" spans="2:39">
      <c r="B104" s="253">
        <v>8</v>
      </c>
      <c r="C104" s="244"/>
      <c r="D104" s="256"/>
      <c r="E104" s="474">
        <v>305731050830</v>
      </c>
      <c r="F104" s="603">
        <v>45148</v>
      </c>
      <c r="G104" s="391" t="s">
        <v>3722</v>
      </c>
      <c r="H104" s="230" t="s">
        <v>748</v>
      </c>
      <c r="I104" s="230"/>
      <c r="J104" s="230">
        <v>1</v>
      </c>
      <c r="K104" s="230"/>
      <c r="L104" s="228"/>
      <c r="M104" s="257"/>
      <c r="N104" s="228">
        <v>6362903120</v>
      </c>
      <c r="O104" s="228" t="s">
        <v>1468</v>
      </c>
      <c r="P104" s="245"/>
      <c r="Q104" s="2564"/>
      <c r="R104" s="2564"/>
      <c r="S104" s="254"/>
      <c r="T104" s="257"/>
      <c r="U104" s="2553"/>
      <c r="V104" s="256"/>
      <c r="W104" s="373">
        <v>1450000</v>
      </c>
      <c r="X104" s="373">
        <v>1160000</v>
      </c>
      <c r="Y104" s="248"/>
      <c r="Z104" s="247"/>
      <c r="AA104" s="248"/>
      <c r="AB104" s="340">
        <f t="shared" si="21"/>
        <v>2610000</v>
      </c>
      <c r="AC104" s="347">
        <f>+Z104</f>
        <v>0</v>
      </c>
      <c r="AD104" s="249" t="s">
        <v>3597</v>
      </c>
      <c r="AE104" s="435">
        <f t="shared" si="22"/>
        <v>4350240</v>
      </c>
      <c r="AF104" s="342">
        <f>+AB104+AE104</f>
        <v>6960240</v>
      </c>
      <c r="AG104" s="252"/>
      <c r="AH104" s="241"/>
      <c r="AI104" s="241"/>
      <c r="AJ104" s="241"/>
      <c r="AK104" s="194"/>
      <c r="AL104" s="195"/>
      <c r="AM104" s="195"/>
    </row>
    <row r="105" spans="2:39" ht="31.5" customHeight="1">
      <c r="B105" s="253">
        <v>9</v>
      </c>
      <c r="C105" s="244"/>
      <c r="D105" s="256"/>
      <c r="E105" s="474">
        <v>305733568950</v>
      </c>
      <c r="F105" s="603">
        <v>45149</v>
      </c>
      <c r="G105" s="391" t="s">
        <v>3723</v>
      </c>
      <c r="H105" s="230" t="s">
        <v>748</v>
      </c>
      <c r="I105" s="230"/>
      <c r="J105" s="230">
        <v>2</v>
      </c>
      <c r="K105" s="230"/>
      <c r="L105" s="228"/>
      <c r="M105" s="257"/>
      <c r="N105" s="228">
        <v>6362574100</v>
      </c>
      <c r="O105" s="254" t="s">
        <v>1481</v>
      </c>
      <c r="P105" s="245"/>
      <c r="Q105" s="2564"/>
      <c r="R105" s="2564"/>
      <c r="S105" s="254"/>
      <c r="T105" s="257"/>
      <c r="U105" s="2553"/>
      <c r="V105" s="256"/>
      <c r="W105" s="373">
        <f>1450000+1450000</f>
        <v>2900000</v>
      </c>
      <c r="X105" s="373">
        <f>696600+696600</f>
        <v>1393200</v>
      </c>
      <c r="Y105" s="248"/>
      <c r="Z105" s="247"/>
      <c r="AA105" s="248"/>
      <c r="AB105" s="340">
        <f t="shared" si="21"/>
        <v>4293200</v>
      </c>
      <c r="AC105" s="347">
        <f>+Z105</f>
        <v>0</v>
      </c>
      <c r="AD105" s="249" t="s">
        <v>3597</v>
      </c>
      <c r="AE105" s="435">
        <f t="shared" si="22"/>
        <v>8700480</v>
      </c>
      <c r="AF105" s="342">
        <f>+AB105+AE105</f>
        <v>12993680</v>
      </c>
      <c r="AG105" s="252"/>
      <c r="AH105" s="241"/>
      <c r="AI105" s="241"/>
      <c r="AJ105" s="241"/>
      <c r="AK105" s="194"/>
      <c r="AL105" s="195"/>
      <c r="AM105" s="195"/>
    </row>
    <row r="106" spans="2:39" ht="46.8">
      <c r="B106" s="253">
        <v>10</v>
      </c>
      <c r="C106" s="244"/>
      <c r="D106" s="256"/>
      <c r="E106" s="474">
        <v>305746560620</v>
      </c>
      <c r="F106" s="603" t="s">
        <v>1489</v>
      </c>
      <c r="G106" s="391" t="s">
        <v>3724</v>
      </c>
      <c r="H106" s="230" t="s">
        <v>748</v>
      </c>
      <c r="I106" s="230">
        <v>1</v>
      </c>
      <c r="J106" s="230">
        <v>1</v>
      </c>
      <c r="K106" s="230"/>
      <c r="L106" s="228"/>
      <c r="M106" s="257"/>
      <c r="N106" s="228" t="s">
        <v>3725</v>
      </c>
      <c r="O106" s="254" t="s">
        <v>3726</v>
      </c>
      <c r="P106" s="245"/>
      <c r="Q106" s="2564"/>
      <c r="R106" s="2564"/>
      <c r="S106" s="254"/>
      <c r="T106" s="257"/>
      <c r="U106" s="2553"/>
      <c r="V106" s="256"/>
      <c r="W106" s="373">
        <f>900000+1450000</f>
        <v>2350000</v>
      </c>
      <c r="X106" s="373">
        <f>700000+1140000</f>
        <v>1840000</v>
      </c>
      <c r="Y106" s="248"/>
      <c r="Z106" s="247"/>
      <c r="AA106" s="248"/>
      <c r="AB106" s="340">
        <f t="shared" si="21"/>
        <v>4190000</v>
      </c>
      <c r="AC106" s="347">
        <f t="shared" ref="AC106:AC116" si="23">+Z106</f>
        <v>0</v>
      </c>
      <c r="AD106" s="249" t="s">
        <v>3597</v>
      </c>
      <c r="AE106" s="435">
        <f t="shared" si="22"/>
        <v>8592480</v>
      </c>
      <c r="AF106" s="342">
        <f t="shared" ref="AF106:AF118" si="24">+AB106+AE106</f>
        <v>12782480</v>
      </c>
      <c r="AG106" s="252"/>
      <c r="AH106" s="241"/>
      <c r="AI106" s="241"/>
      <c r="AJ106" s="241"/>
      <c r="AK106" s="194"/>
      <c r="AL106" s="195"/>
      <c r="AM106" s="195"/>
    </row>
    <row r="107" spans="2:39">
      <c r="B107" s="253">
        <v>11</v>
      </c>
      <c r="C107" s="244"/>
      <c r="D107" s="256"/>
      <c r="E107" s="474">
        <v>305748101540</v>
      </c>
      <c r="F107" s="603" t="s">
        <v>1489</v>
      </c>
      <c r="G107" s="391" t="s">
        <v>3727</v>
      </c>
      <c r="H107" s="230" t="s">
        <v>748</v>
      </c>
      <c r="I107" s="230">
        <v>1</v>
      </c>
      <c r="J107" s="230"/>
      <c r="K107" s="230"/>
      <c r="L107" s="228"/>
      <c r="M107" s="257"/>
      <c r="N107" s="228" t="s">
        <v>1490</v>
      </c>
      <c r="O107" s="228" t="s">
        <v>1491</v>
      </c>
      <c r="P107" s="245"/>
      <c r="Q107" s="2564"/>
      <c r="R107" s="2564"/>
      <c r="S107" s="254"/>
      <c r="T107" s="257"/>
      <c r="U107" s="2553"/>
      <c r="V107" s="256"/>
      <c r="W107" s="373">
        <v>885000</v>
      </c>
      <c r="X107" s="373">
        <v>394200</v>
      </c>
      <c r="Y107" s="248"/>
      <c r="Z107" s="247"/>
      <c r="AA107" s="248"/>
      <c r="AB107" s="340">
        <f t="shared" si="21"/>
        <v>1279200</v>
      </c>
      <c r="AC107" s="347">
        <f t="shared" si="23"/>
        <v>0</v>
      </c>
      <c r="AD107" s="249" t="s">
        <v>3597</v>
      </c>
      <c r="AE107" s="435">
        <f t="shared" si="22"/>
        <v>4242240</v>
      </c>
      <c r="AF107" s="342">
        <f t="shared" si="24"/>
        <v>5521440</v>
      </c>
      <c r="AG107" s="252"/>
      <c r="AH107" s="241"/>
      <c r="AI107" s="241"/>
      <c r="AJ107" s="241"/>
      <c r="AK107" s="194"/>
      <c r="AL107" s="195"/>
      <c r="AM107" s="195"/>
    </row>
    <row r="108" spans="2:39">
      <c r="B108" s="253">
        <v>12</v>
      </c>
      <c r="C108" s="244"/>
      <c r="D108" s="256"/>
      <c r="E108" s="474">
        <v>305756474830</v>
      </c>
      <c r="F108" s="603" t="s">
        <v>1501</v>
      </c>
      <c r="G108" s="391" t="s">
        <v>3728</v>
      </c>
      <c r="H108" s="230" t="s">
        <v>748</v>
      </c>
      <c r="I108" s="230"/>
      <c r="J108" s="230">
        <v>1</v>
      </c>
      <c r="K108" s="230"/>
      <c r="L108" s="228"/>
      <c r="M108" s="257"/>
      <c r="N108" s="228">
        <v>70866819</v>
      </c>
      <c r="O108" s="228" t="s">
        <v>1511</v>
      </c>
      <c r="P108" s="245"/>
      <c r="Q108" s="2564"/>
      <c r="R108" s="2564"/>
      <c r="S108" s="254"/>
      <c r="T108" s="257"/>
      <c r="U108" s="2553"/>
      <c r="V108" s="256"/>
      <c r="W108" s="373">
        <v>1450000</v>
      </c>
      <c r="X108" s="373">
        <v>1140000</v>
      </c>
      <c r="Y108" s="248"/>
      <c r="Z108" s="247"/>
      <c r="AA108" s="248"/>
      <c r="AB108" s="340">
        <f t="shared" si="21"/>
        <v>2590000</v>
      </c>
      <c r="AC108" s="347">
        <f t="shared" si="23"/>
        <v>0</v>
      </c>
      <c r="AD108" s="249" t="s">
        <v>3597</v>
      </c>
      <c r="AE108" s="435">
        <f t="shared" si="22"/>
        <v>4350240</v>
      </c>
      <c r="AF108" s="342">
        <f t="shared" si="24"/>
        <v>6940240</v>
      </c>
      <c r="AG108" s="252"/>
      <c r="AH108" s="241"/>
      <c r="AI108" s="241"/>
      <c r="AJ108" s="241"/>
      <c r="AK108" s="194"/>
      <c r="AL108" s="195"/>
      <c r="AM108" s="195"/>
    </row>
    <row r="109" spans="2:39" ht="16.5" customHeight="1">
      <c r="B109" s="253">
        <v>13</v>
      </c>
      <c r="C109" s="244"/>
      <c r="D109" s="256"/>
      <c r="E109" s="474">
        <v>305757135150</v>
      </c>
      <c r="F109" s="603" t="s">
        <v>1501</v>
      </c>
      <c r="G109" s="391" t="s">
        <v>3729</v>
      </c>
      <c r="H109" s="230" t="s">
        <v>748</v>
      </c>
      <c r="I109" s="230"/>
      <c r="J109" s="230">
        <v>1</v>
      </c>
      <c r="K109" s="230"/>
      <c r="L109" s="228"/>
      <c r="M109" s="257"/>
      <c r="N109" s="228" t="s">
        <v>1512</v>
      </c>
      <c r="O109" s="228" t="s">
        <v>1513</v>
      </c>
      <c r="P109" s="245"/>
      <c r="Q109" s="2564"/>
      <c r="R109" s="2564"/>
      <c r="S109" s="254"/>
      <c r="T109" s="257"/>
      <c r="U109" s="2553"/>
      <c r="V109" s="256"/>
      <c r="W109" s="373">
        <v>1425000</v>
      </c>
      <c r="X109" s="373">
        <v>696600</v>
      </c>
      <c r="Y109" s="248"/>
      <c r="Z109" s="247"/>
      <c r="AA109" s="248"/>
      <c r="AB109" s="340">
        <f t="shared" si="21"/>
        <v>2121600</v>
      </c>
      <c r="AC109" s="347">
        <f t="shared" si="23"/>
        <v>0</v>
      </c>
      <c r="AD109" s="249" t="s">
        <v>3597</v>
      </c>
      <c r="AE109" s="435">
        <f t="shared" si="22"/>
        <v>4350240</v>
      </c>
      <c r="AF109" s="342">
        <f t="shared" si="24"/>
        <v>6471840</v>
      </c>
      <c r="AG109" s="252"/>
      <c r="AH109" s="241"/>
      <c r="AI109" s="241"/>
      <c r="AJ109" s="241"/>
      <c r="AK109" s="194"/>
      <c r="AL109" s="195"/>
      <c r="AM109" s="195"/>
    </row>
    <row r="110" spans="2:39">
      <c r="B110" s="253">
        <v>14</v>
      </c>
      <c r="C110" s="244"/>
      <c r="D110" s="256"/>
      <c r="E110" s="474">
        <v>305759445300</v>
      </c>
      <c r="F110" s="603" t="s">
        <v>1515</v>
      </c>
      <c r="G110" s="391" t="s">
        <v>3730</v>
      </c>
      <c r="H110" s="230" t="s">
        <v>748</v>
      </c>
      <c r="I110" s="230"/>
      <c r="J110" s="230">
        <v>1</v>
      </c>
      <c r="K110" s="230"/>
      <c r="L110" s="228"/>
      <c r="M110" s="257"/>
      <c r="N110" s="228">
        <v>6362326040</v>
      </c>
      <c r="O110" s="228" t="s">
        <v>1516</v>
      </c>
      <c r="P110" s="245"/>
      <c r="Q110" s="2564"/>
      <c r="R110" s="2564"/>
      <c r="S110" s="254"/>
      <c r="T110" s="257"/>
      <c r="U110" s="2553"/>
      <c r="V110" s="256"/>
      <c r="W110" s="373">
        <v>1450000</v>
      </c>
      <c r="X110" s="373">
        <v>1140000</v>
      </c>
      <c r="Y110" s="248"/>
      <c r="Z110" s="247"/>
      <c r="AA110" s="248"/>
      <c r="AB110" s="340">
        <f t="shared" si="21"/>
        <v>2590000</v>
      </c>
      <c r="AC110" s="347">
        <f t="shared" si="23"/>
        <v>0</v>
      </c>
      <c r="AD110" s="249" t="s">
        <v>3597</v>
      </c>
      <c r="AE110" s="435">
        <f t="shared" si="22"/>
        <v>4350240</v>
      </c>
      <c r="AF110" s="342">
        <f t="shared" si="24"/>
        <v>6940240</v>
      </c>
      <c r="AG110" s="252"/>
      <c r="AH110" s="241"/>
      <c r="AI110" s="241"/>
      <c r="AJ110" s="241"/>
      <c r="AK110" s="194"/>
      <c r="AL110" s="195"/>
      <c r="AM110" s="195"/>
    </row>
    <row r="111" spans="2:39">
      <c r="B111" s="253">
        <v>15</v>
      </c>
      <c r="C111" s="244"/>
      <c r="D111" s="256"/>
      <c r="E111" s="474">
        <v>305762471250</v>
      </c>
      <c r="F111" s="603" t="s">
        <v>1519</v>
      </c>
      <c r="G111" s="391" t="s">
        <v>3731</v>
      </c>
      <c r="H111" s="230" t="s">
        <v>748</v>
      </c>
      <c r="I111" s="230">
        <v>1</v>
      </c>
      <c r="J111" s="230"/>
      <c r="K111" s="230"/>
      <c r="L111" s="228"/>
      <c r="M111" s="257"/>
      <c r="N111" s="228">
        <v>71400998</v>
      </c>
      <c r="O111" s="228" t="s">
        <v>1528</v>
      </c>
      <c r="P111" s="245"/>
      <c r="Q111" s="2564"/>
      <c r="R111" s="2564"/>
      <c r="S111" s="254"/>
      <c r="T111" s="257"/>
      <c r="U111" s="2553"/>
      <c r="V111" s="256"/>
      <c r="W111" s="373">
        <v>720000</v>
      </c>
      <c r="X111" s="373">
        <v>700000</v>
      </c>
      <c r="Y111" s="248"/>
      <c r="Z111" s="247"/>
      <c r="AA111" s="248"/>
      <c r="AB111" s="340">
        <f t="shared" si="21"/>
        <v>1420000</v>
      </c>
      <c r="AC111" s="347">
        <f t="shared" si="23"/>
        <v>0</v>
      </c>
      <c r="AD111" s="249" t="s">
        <v>3597</v>
      </c>
      <c r="AE111" s="435">
        <f t="shared" si="22"/>
        <v>4242240</v>
      </c>
      <c r="AF111" s="342">
        <f t="shared" si="24"/>
        <v>5662240</v>
      </c>
      <c r="AG111" s="252"/>
      <c r="AH111" s="241"/>
      <c r="AI111" s="241"/>
      <c r="AJ111" s="241"/>
      <c r="AK111" s="194"/>
      <c r="AL111" s="195"/>
      <c r="AM111" s="195"/>
    </row>
    <row r="112" spans="2:39">
      <c r="B112" s="253">
        <v>16</v>
      </c>
      <c r="C112" s="244"/>
      <c r="D112" s="256"/>
      <c r="E112" s="474">
        <v>305762999310</v>
      </c>
      <c r="F112" s="603" t="s">
        <v>1519</v>
      </c>
      <c r="G112" s="391" t="s">
        <v>3732</v>
      </c>
      <c r="H112" s="230" t="s">
        <v>748</v>
      </c>
      <c r="I112" s="230">
        <v>1</v>
      </c>
      <c r="J112" s="230"/>
      <c r="K112" s="230"/>
      <c r="L112" s="228"/>
      <c r="M112" s="257"/>
      <c r="N112" s="228" t="s">
        <v>1529</v>
      </c>
      <c r="O112" s="228" t="s">
        <v>1530</v>
      </c>
      <c r="P112" s="245"/>
      <c r="Q112" s="2564"/>
      <c r="R112" s="2564"/>
      <c r="S112" s="254"/>
      <c r="T112" s="257"/>
      <c r="U112" s="2553"/>
      <c r="V112" s="256"/>
      <c r="W112" s="373">
        <v>610000</v>
      </c>
      <c r="X112" s="373">
        <v>394200</v>
      </c>
      <c r="Y112" s="248"/>
      <c r="Z112" s="247"/>
      <c r="AA112" s="248"/>
      <c r="AB112" s="340">
        <f t="shared" si="21"/>
        <v>1004200</v>
      </c>
      <c r="AC112" s="347">
        <f t="shared" si="23"/>
        <v>0</v>
      </c>
      <c r="AD112" s="249" t="s">
        <v>3597</v>
      </c>
      <c r="AE112" s="435">
        <f t="shared" si="22"/>
        <v>4242240</v>
      </c>
      <c r="AF112" s="342">
        <f t="shared" si="24"/>
        <v>5246440</v>
      </c>
      <c r="AG112" s="252"/>
      <c r="AH112" s="241"/>
      <c r="AI112" s="241"/>
      <c r="AJ112" s="241"/>
      <c r="AK112" s="194"/>
      <c r="AL112" s="195"/>
      <c r="AM112" s="195"/>
    </row>
    <row r="113" spans="1:39" ht="265.2">
      <c r="B113" s="253">
        <v>17</v>
      </c>
      <c r="C113" s="244"/>
      <c r="D113" s="256"/>
      <c r="E113" s="466">
        <v>105675138550</v>
      </c>
      <c r="F113" s="603" t="s">
        <v>1531</v>
      </c>
      <c r="G113" s="391" t="s">
        <v>3733</v>
      </c>
      <c r="H113" s="230" t="s">
        <v>3579</v>
      </c>
      <c r="I113" s="230"/>
      <c r="J113" s="230"/>
      <c r="K113" s="230">
        <v>1</v>
      </c>
      <c r="L113" s="228"/>
      <c r="M113" s="499" t="s">
        <v>1537</v>
      </c>
      <c r="N113" s="228" t="s">
        <v>1538</v>
      </c>
      <c r="O113" s="228"/>
      <c r="P113" s="245"/>
      <c r="Q113" s="2564"/>
      <c r="R113" s="2564"/>
      <c r="S113" s="254"/>
      <c r="T113" s="499" t="s">
        <v>1537</v>
      </c>
      <c r="U113" s="2554"/>
      <c r="V113" s="256"/>
      <c r="W113" s="248"/>
      <c r="X113" s="248"/>
      <c r="Y113" s="248"/>
      <c r="Z113" s="247"/>
      <c r="AA113" s="248"/>
      <c r="AB113" s="340">
        <f t="shared" si="21"/>
        <v>0</v>
      </c>
      <c r="AC113" s="347">
        <f t="shared" si="23"/>
        <v>0</v>
      </c>
      <c r="AD113" s="249" t="s">
        <v>3597</v>
      </c>
      <c r="AE113" s="435">
        <f>+(2268000)*1.08+((I113+J113+K113)*150000)*1.08</f>
        <v>2611440</v>
      </c>
      <c r="AF113" s="342">
        <f t="shared" si="24"/>
        <v>2611440</v>
      </c>
      <c r="AG113" s="252"/>
      <c r="AH113" s="241"/>
      <c r="AI113" s="241"/>
      <c r="AJ113" s="241"/>
      <c r="AK113" s="194"/>
      <c r="AL113" s="195"/>
      <c r="AM113" s="195"/>
    </row>
    <row r="114" spans="1:39" s="13" customFormat="1" ht="36.75" customHeight="1">
      <c r="A114" s="649" t="s">
        <v>3734</v>
      </c>
      <c r="B114" s="650"/>
      <c r="C114" s="650"/>
      <c r="D114" s="346"/>
      <c r="E114" s="650"/>
      <c r="F114" s="650"/>
      <c r="G114" s="650"/>
      <c r="H114" s="650"/>
      <c r="I114" s="369"/>
      <c r="J114" s="346"/>
      <c r="K114" s="346"/>
      <c r="L114" s="346"/>
      <c r="M114" s="346"/>
      <c r="N114" s="346"/>
      <c r="O114" s="354"/>
      <c r="P114" s="346"/>
      <c r="Q114" s="346"/>
      <c r="R114" s="346"/>
      <c r="S114" s="346"/>
      <c r="T114" s="346"/>
      <c r="U114" s="346"/>
      <c r="V114" s="357"/>
      <c r="W114" s="357"/>
      <c r="X114" s="357"/>
      <c r="Y114" s="357"/>
      <c r="Z114" s="357"/>
      <c r="AA114" s="357"/>
      <c r="AB114" s="358">
        <f>SUM(AB97:AB113)</f>
        <v>37422200</v>
      </c>
      <c r="AC114" s="358">
        <f>SUM(AC95:AC113)</f>
        <v>0</v>
      </c>
      <c r="AD114" s="359"/>
      <c r="AE114" s="358">
        <f>SUM(AE97:AE113)</f>
        <v>84618000</v>
      </c>
      <c r="AF114" s="358">
        <f>+AB114+AC114+AE114</f>
        <v>122040200</v>
      </c>
      <c r="AG114" s="357"/>
      <c r="AH114" s="357"/>
      <c r="AI114" s="357"/>
      <c r="AJ114" s="357"/>
      <c r="AK114" s="357"/>
      <c r="AL114" s="357"/>
      <c r="AM114" s="357"/>
    </row>
    <row r="115" spans="1:39" ht="62.4">
      <c r="B115" s="253">
        <v>1</v>
      </c>
      <c r="C115" s="244"/>
      <c r="D115" s="256"/>
      <c r="E115" s="528">
        <v>105671646623</v>
      </c>
      <c r="F115" s="603" t="s">
        <v>1550</v>
      </c>
      <c r="G115" s="518" t="s">
        <v>3735</v>
      </c>
      <c r="H115" s="230" t="s">
        <v>3579</v>
      </c>
      <c r="I115" s="230">
        <v>1</v>
      </c>
      <c r="J115" s="230">
        <v>1</v>
      </c>
      <c r="K115" s="230"/>
      <c r="L115" s="526" t="s">
        <v>136</v>
      </c>
      <c r="M115" s="257"/>
      <c r="N115" s="228" t="s">
        <v>1554</v>
      </c>
      <c r="O115" s="254" t="s">
        <v>1555</v>
      </c>
      <c r="P115" s="245"/>
      <c r="Q115" s="2564"/>
      <c r="R115" s="2564"/>
      <c r="S115" s="254"/>
      <c r="T115" s="257"/>
      <c r="U115" s="2553"/>
      <c r="V115" s="324">
        <v>237600</v>
      </c>
      <c r="W115" s="324">
        <v>1560600</v>
      </c>
      <c r="X115" s="373">
        <f>890000+1250000</f>
        <v>2140000</v>
      </c>
      <c r="Y115" s="248"/>
      <c r="Z115" s="247"/>
      <c r="AA115" s="248"/>
      <c r="AB115" s="340">
        <f t="shared" ref="AB115:AB133" si="25">V115+W115+X115+Y115+Z115+AA115</f>
        <v>3938200</v>
      </c>
      <c r="AC115" s="347">
        <f>+Z115</f>
        <v>0</v>
      </c>
      <c r="AD115" s="249" t="s">
        <v>3597</v>
      </c>
      <c r="AE115" s="435">
        <f>+((I115*7214000)+(J115*7314000 ))*1.08</f>
        <v>15690240.000000002</v>
      </c>
      <c r="AF115" s="342">
        <f>+AB115+AE115</f>
        <v>19628440</v>
      </c>
      <c r="AG115" s="523" t="s">
        <v>3736</v>
      </c>
      <c r="AH115" s="241"/>
      <c r="AI115" s="241"/>
      <c r="AJ115" s="241"/>
      <c r="AK115" s="194"/>
      <c r="AL115" s="195"/>
      <c r="AM115" s="3837" t="s">
        <v>3737</v>
      </c>
    </row>
    <row r="116" spans="1:39">
      <c r="B116" s="253">
        <v>2</v>
      </c>
      <c r="C116" s="244"/>
      <c r="D116" s="256"/>
      <c r="E116" s="529">
        <v>305774476400</v>
      </c>
      <c r="F116" s="603" t="s">
        <v>1550</v>
      </c>
      <c r="G116" s="518" t="s">
        <v>3738</v>
      </c>
      <c r="H116" s="230" t="s">
        <v>210</v>
      </c>
      <c r="I116" s="230"/>
      <c r="J116" s="230">
        <v>1</v>
      </c>
      <c r="K116" s="230"/>
      <c r="L116" s="228"/>
      <c r="M116" s="257"/>
      <c r="N116" s="228">
        <v>31337245</v>
      </c>
      <c r="O116" s="228" t="s">
        <v>1553</v>
      </c>
      <c r="P116" s="245"/>
      <c r="Q116" s="2564"/>
      <c r="R116" s="2564"/>
      <c r="S116" s="254"/>
      <c r="T116" s="257"/>
      <c r="U116" s="2553"/>
      <c r="V116" s="256"/>
      <c r="W116" s="373">
        <v>1050000</v>
      </c>
      <c r="X116" s="373">
        <v>1140000</v>
      </c>
      <c r="Y116" s="248"/>
      <c r="Z116" s="247"/>
      <c r="AA116" s="248"/>
      <c r="AB116" s="340">
        <f t="shared" si="25"/>
        <v>2190000</v>
      </c>
      <c r="AC116" s="347">
        <f t="shared" si="23"/>
        <v>0</v>
      </c>
      <c r="AD116" s="249" t="s">
        <v>3597</v>
      </c>
      <c r="AE116" s="435">
        <f t="shared" ref="AE116:AE130" si="26">+(I116*3906000+J116*(3906000+100000))*1.08+((I116+J116+K116)*150000)*1.08</f>
        <v>4488480</v>
      </c>
      <c r="AF116" s="342">
        <f t="shared" si="24"/>
        <v>6678480</v>
      </c>
      <c r="AG116" s="252"/>
      <c r="AH116" s="241"/>
      <c r="AI116" s="241"/>
      <c r="AJ116" s="241"/>
      <c r="AK116" s="194"/>
      <c r="AL116" s="195"/>
      <c r="AM116" s="3838"/>
    </row>
    <row r="117" spans="1:39">
      <c r="B117" s="253">
        <v>3</v>
      </c>
      <c r="C117" s="244"/>
      <c r="D117" s="256"/>
      <c r="E117" s="529">
        <v>305775287330</v>
      </c>
      <c r="F117" s="603" t="s">
        <v>1550</v>
      </c>
      <c r="G117" s="518" t="s">
        <v>3739</v>
      </c>
      <c r="H117" s="230" t="s">
        <v>210</v>
      </c>
      <c r="I117" s="230">
        <v>1</v>
      </c>
      <c r="J117" s="230"/>
      <c r="K117" s="230"/>
      <c r="L117" s="228"/>
      <c r="M117" s="257"/>
      <c r="N117" s="228" t="s">
        <v>1556</v>
      </c>
      <c r="O117" s="228" t="s">
        <v>1557</v>
      </c>
      <c r="P117" s="245"/>
      <c r="Q117" s="2564"/>
      <c r="R117" s="2564"/>
      <c r="S117" s="254"/>
      <c r="T117" s="257"/>
      <c r="U117" s="2553"/>
      <c r="V117" s="256"/>
      <c r="W117" s="373">
        <v>900000</v>
      </c>
      <c r="X117" s="373">
        <v>394200</v>
      </c>
      <c r="Y117" s="248"/>
      <c r="Z117" s="247"/>
      <c r="AA117" s="248"/>
      <c r="AB117" s="340">
        <f t="shared" si="25"/>
        <v>1294200</v>
      </c>
      <c r="AC117" s="347">
        <f t="shared" ref="AC117:AC122" si="27">+Z117</f>
        <v>0</v>
      </c>
      <c r="AD117" s="249"/>
      <c r="AE117" s="435">
        <f t="shared" si="26"/>
        <v>4380480</v>
      </c>
      <c r="AF117" s="342">
        <f t="shared" si="24"/>
        <v>5674680</v>
      </c>
      <c r="AG117" s="252"/>
      <c r="AH117" s="241"/>
      <c r="AI117" s="241"/>
      <c r="AJ117" s="241"/>
      <c r="AK117" s="194"/>
      <c r="AL117" s="195"/>
      <c r="AM117" s="3838"/>
    </row>
    <row r="118" spans="1:39">
      <c r="B118" s="253">
        <v>4</v>
      </c>
      <c r="C118" s="244"/>
      <c r="D118" s="256"/>
      <c r="E118" s="529">
        <v>305777769160</v>
      </c>
      <c r="F118" s="603" t="s">
        <v>1558</v>
      </c>
      <c r="G118" s="518" t="s">
        <v>3740</v>
      </c>
      <c r="H118" s="230" t="s">
        <v>210</v>
      </c>
      <c r="I118" s="230"/>
      <c r="J118" s="230">
        <v>1</v>
      </c>
      <c r="K118" s="230"/>
      <c r="L118" s="228"/>
      <c r="M118" s="257"/>
      <c r="N118" s="228">
        <v>72836680</v>
      </c>
      <c r="O118" s="228" t="s">
        <v>1559</v>
      </c>
      <c r="P118" s="245"/>
      <c r="Q118" s="2564"/>
      <c r="R118" s="2564"/>
      <c r="S118" s="254"/>
      <c r="T118" s="257"/>
      <c r="U118" s="2553"/>
      <c r="V118" s="256"/>
      <c r="W118" s="373">
        <v>1040000</v>
      </c>
      <c r="X118" s="373">
        <v>1140000</v>
      </c>
      <c r="Y118" s="248"/>
      <c r="Z118" s="247"/>
      <c r="AA118" s="248"/>
      <c r="AB118" s="340">
        <f t="shared" si="25"/>
        <v>2180000</v>
      </c>
      <c r="AC118" s="347">
        <f t="shared" si="27"/>
        <v>0</v>
      </c>
      <c r="AD118" s="249"/>
      <c r="AE118" s="435">
        <f t="shared" si="26"/>
        <v>4488480</v>
      </c>
      <c r="AF118" s="342">
        <f t="shared" si="24"/>
        <v>6668480</v>
      </c>
      <c r="AG118" s="252"/>
      <c r="AH118" s="241"/>
      <c r="AI118" s="241"/>
      <c r="AJ118" s="241"/>
      <c r="AK118" s="194"/>
      <c r="AL118" s="195"/>
      <c r="AM118" s="3838"/>
    </row>
    <row r="119" spans="1:39">
      <c r="B119" s="253">
        <v>5</v>
      </c>
      <c r="C119" s="244"/>
      <c r="D119" s="256"/>
      <c r="E119" s="529">
        <v>305781976530</v>
      </c>
      <c r="F119" s="603" t="s">
        <v>1560</v>
      </c>
      <c r="G119" s="518" t="s">
        <v>3741</v>
      </c>
      <c r="H119" s="230" t="s">
        <v>210</v>
      </c>
      <c r="I119" s="230"/>
      <c r="J119" s="230">
        <v>1</v>
      </c>
      <c r="K119" s="230"/>
      <c r="L119" s="228"/>
      <c r="M119" s="257"/>
      <c r="N119" s="228">
        <v>70994684</v>
      </c>
      <c r="O119" s="228" t="s">
        <v>1561</v>
      </c>
      <c r="P119" s="245"/>
      <c r="Q119" s="2564"/>
      <c r="R119" s="2564"/>
      <c r="S119" s="254"/>
      <c r="T119" s="257"/>
      <c r="U119" s="2553"/>
      <c r="V119" s="256"/>
      <c r="W119" s="373">
        <v>1050000</v>
      </c>
      <c r="X119" s="373">
        <v>1140000</v>
      </c>
      <c r="Y119" s="248"/>
      <c r="Z119" s="247"/>
      <c r="AA119" s="248"/>
      <c r="AB119" s="340">
        <f t="shared" si="25"/>
        <v>2190000</v>
      </c>
      <c r="AC119" s="347">
        <f t="shared" si="27"/>
        <v>0</v>
      </c>
      <c r="AD119" s="249"/>
      <c r="AE119" s="435">
        <f t="shared" si="26"/>
        <v>4488480</v>
      </c>
      <c r="AF119" s="342">
        <f>+AB119+AE119</f>
        <v>6678480</v>
      </c>
      <c r="AG119" s="252"/>
      <c r="AH119" s="241"/>
      <c r="AI119" s="241"/>
      <c r="AJ119" s="241"/>
      <c r="AK119" s="194"/>
      <c r="AL119" s="195"/>
      <c r="AM119" s="3838"/>
    </row>
    <row r="120" spans="1:39">
      <c r="B120" s="253">
        <v>6</v>
      </c>
      <c r="C120" s="244"/>
      <c r="D120" s="256"/>
      <c r="E120" s="474">
        <v>305788909110</v>
      </c>
      <c r="F120" s="603">
        <v>45175</v>
      </c>
      <c r="G120" s="391" t="s">
        <v>3742</v>
      </c>
      <c r="H120" s="230" t="s">
        <v>748</v>
      </c>
      <c r="I120" s="230"/>
      <c r="J120" s="230">
        <v>1</v>
      </c>
      <c r="K120" s="230"/>
      <c r="L120" s="228"/>
      <c r="M120" s="257"/>
      <c r="N120" s="228">
        <v>10685542</v>
      </c>
      <c r="O120" s="228" t="s">
        <v>1572</v>
      </c>
      <c r="P120" s="245"/>
      <c r="Q120" s="2564"/>
      <c r="R120" s="2564"/>
      <c r="S120" s="254"/>
      <c r="T120" s="257"/>
      <c r="U120" s="2553"/>
      <c r="V120" s="256"/>
      <c r="W120" s="373">
        <v>1250000</v>
      </c>
      <c r="X120" s="373">
        <v>1160000</v>
      </c>
      <c r="Y120" s="248"/>
      <c r="Z120" s="247"/>
      <c r="AA120" s="248"/>
      <c r="AB120" s="340">
        <f t="shared" si="25"/>
        <v>2410000</v>
      </c>
      <c r="AC120" s="347">
        <f t="shared" si="27"/>
        <v>0</v>
      </c>
      <c r="AD120" s="249"/>
      <c r="AE120" s="435">
        <f t="shared" si="26"/>
        <v>4488480</v>
      </c>
      <c r="AF120" s="342">
        <f>+AB120+AE120</f>
        <v>6898480</v>
      </c>
      <c r="AG120" s="252"/>
      <c r="AH120" s="241"/>
      <c r="AI120" s="241"/>
      <c r="AJ120" s="241"/>
      <c r="AK120" s="194"/>
      <c r="AL120" s="195"/>
      <c r="AM120" s="3838"/>
    </row>
    <row r="121" spans="1:39">
      <c r="B121" s="253">
        <v>7</v>
      </c>
      <c r="C121" s="244"/>
      <c r="D121" s="256"/>
      <c r="E121" s="474">
        <v>305792018730</v>
      </c>
      <c r="F121" s="603">
        <v>45176</v>
      </c>
      <c r="G121" s="391" t="s">
        <v>3743</v>
      </c>
      <c r="H121" s="230" t="s">
        <v>748</v>
      </c>
      <c r="I121" s="230"/>
      <c r="J121" s="230">
        <v>1</v>
      </c>
      <c r="K121" s="230"/>
      <c r="L121" s="228"/>
      <c r="M121" s="257"/>
      <c r="N121" s="228">
        <v>99214431</v>
      </c>
      <c r="O121" s="228" t="s">
        <v>1570</v>
      </c>
      <c r="P121" s="245"/>
      <c r="Q121" s="2564"/>
      <c r="R121" s="2564"/>
      <c r="S121" s="254"/>
      <c r="T121" s="257"/>
      <c r="U121" s="2553"/>
      <c r="V121" s="256"/>
      <c r="W121" s="373">
        <v>1050000</v>
      </c>
      <c r="X121" s="373">
        <v>1140000</v>
      </c>
      <c r="Y121" s="248"/>
      <c r="Z121" s="247"/>
      <c r="AA121" s="248"/>
      <c r="AB121" s="340">
        <f t="shared" si="25"/>
        <v>2190000</v>
      </c>
      <c r="AC121" s="347">
        <f t="shared" si="27"/>
        <v>0</v>
      </c>
      <c r="AD121" s="249"/>
      <c r="AE121" s="435">
        <f t="shared" si="26"/>
        <v>4488480</v>
      </c>
      <c r="AF121" s="342">
        <f>+AB121+AE121</f>
        <v>6678480</v>
      </c>
      <c r="AG121" s="252"/>
      <c r="AH121" s="241"/>
      <c r="AI121" s="241"/>
      <c r="AJ121" s="241"/>
      <c r="AK121" s="194"/>
      <c r="AL121" s="195"/>
      <c r="AM121" s="3838"/>
    </row>
    <row r="122" spans="1:39" ht="17.25" customHeight="1">
      <c r="B122" s="253">
        <v>8</v>
      </c>
      <c r="C122" s="244"/>
      <c r="D122" s="256"/>
      <c r="E122" s="474">
        <v>305793583560</v>
      </c>
      <c r="F122" s="603">
        <v>45176</v>
      </c>
      <c r="G122" s="391" t="s">
        <v>3744</v>
      </c>
      <c r="H122" s="230" t="s">
        <v>748</v>
      </c>
      <c r="I122" s="230"/>
      <c r="J122" s="230">
        <v>1</v>
      </c>
      <c r="K122" s="230"/>
      <c r="L122" s="228"/>
      <c r="M122" s="257"/>
      <c r="N122" s="228">
        <v>23367301</v>
      </c>
      <c r="O122" s="228" t="s">
        <v>1571</v>
      </c>
      <c r="P122" s="245"/>
      <c r="Q122" s="2564"/>
      <c r="R122" s="2564"/>
      <c r="S122" s="254"/>
      <c r="T122" s="257"/>
      <c r="U122" s="2553"/>
      <c r="V122" s="256"/>
      <c r="W122" s="373">
        <v>1140000</v>
      </c>
      <c r="X122" s="373">
        <v>1450000</v>
      </c>
      <c r="Y122" s="248"/>
      <c r="Z122" s="247"/>
      <c r="AA122" s="248"/>
      <c r="AB122" s="340">
        <f t="shared" si="25"/>
        <v>2590000</v>
      </c>
      <c r="AC122" s="347">
        <f t="shared" si="27"/>
        <v>0</v>
      </c>
      <c r="AD122" s="249"/>
      <c r="AE122" s="435">
        <f t="shared" si="26"/>
        <v>4488480</v>
      </c>
      <c r="AF122" s="342">
        <f>+AB122+AE122</f>
        <v>7078480</v>
      </c>
      <c r="AG122" s="252"/>
      <c r="AH122" s="241"/>
      <c r="AI122" s="241"/>
      <c r="AJ122" s="241"/>
      <c r="AK122" s="194"/>
      <c r="AL122" s="195"/>
      <c r="AM122" s="3838"/>
    </row>
    <row r="123" spans="1:39">
      <c r="B123" s="253">
        <f>+B122+1</f>
        <v>9</v>
      </c>
      <c r="C123" s="244"/>
      <c r="D123" s="256"/>
      <c r="E123" s="474">
        <v>305802288100</v>
      </c>
      <c r="F123" s="603">
        <v>45181</v>
      </c>
      <c r="G123" s="391" t="s">
        <v>3745</v>
      </c>
      <c r="H123" s="230" t="s">
        <v>748</v>
      </c>
      <c r="I123" s="230"/>
      <c r="J123" s="230">
        <v>1</v>
      </c>
      <c r="K123" s="230"/>
      <c r="L123" s="228"/>
      <c r="M123" s="257"/>
      <c r="N123" s="228" t="s">
        <v>3746</v>
      </c>
      <c r="O123" s="228" t="s">
        <v>1587</v>
      </c>
      <c r="P123" s="245"/>
      <c r="Q123" s="2564"/>
      <c r="R123" s="2564"/>
      <c r="S123" s="254"/>
      <c r="T123" s="257"/>
      <c r="U123" s="2553"/>
      <c r="V123" s="256"/>
      <c r="W123" s="373">
        <v>1450000</v>
      </c>
      <c r="X123" s="373">
        <v>696600</v>
      </c>
      <c r="Y123" s="248"/>
      <c r="Z123" s="247"/>
      <c r="AA123" s="248"/>
      <c r="AB123" s="340">
        <f t="shared" si="25"/>
        <v>2146600</v>
      </c>
      <c r="AC123" s="347">
        <f t="shared" ref="AC123:AC133" si="28">+Z123</f>
        <v>0</v>
      </c>
      <c r="AD123" s="249"/>
      <c r="AE123" s="435">
        <f t="shared" si="26"/>
        <v>4488480</v>
      </c>
      <c r="AF123" s="342">
        <f t="shared" ref="AF123:AF133" si="29">+AB123+AE123</f>
        <v>6635080</v>
      </c>
      <c r="AG123" s="252"/>
      <c r="AH123" s="241"/>
      <c r="AI123" s="241"/>
      <c r="AJ123" s="241"/>
      <c r="AK123" s="194"/>
      <c r="AL123" s="195"/>
      <c r="AM123" s="3838"/>
    </row>
    <row r="124" spans="1:39">
      <c r="B124" s="253">
        <f t="shared" ref="B124:B133" si="30">+B123+1</f>
        <v>10</v>
      </c>
      <c r="C124" s="244"/>
      <c r="D124" s="256"/>
      <c r="E124" s="474">
        <v>305805954810</v>
      </c>
      <c r="F124" s="603" t="s">
        <v>1590</v>
      </c>
      <c r="G124" s="391" t="s">
        <v>3747</v>
      </c>
      <c r="H124" s="230" t="s">
        <v>748</v>
      </c>
      <c r="I124" s="230"/>
      <c r="J124" s="230">
        <v>1</v>
      </c>
      <c r="K124" s="230"/>
      <c r="L124" s="228"/>
      <c r="M124" s="257"/>
      <c r="N124" s="228" t="s">
        <v>3748</v>
      </c>
      <c r="O124" s="228" t="s">
        <v>1591</v>
      </c>
      <c r="P124" s="245"/>
      <c r="Q124" s="2564"/>
      <c r="R124" s="2564"/>
      <c r="S124" s="254"/>
      <c r="T124" s="257"/>
      <c r="U124" s="2553"/>
      <c r="V124" s="256"/>
      <c r="W124" s="373">
        <v>1050000</v>
      </c>
      <c r="X124" s="373">
        <v>1140000</v>
      </c>
      <c r="Y124" s="248"/>
      <c r="Z124" s="247"/>
      <c r="AA124" s="248"/>
      <c r="AB124" s="340">
        <f t="shared" si="25"/>
        <v>2190000</v>
      </c>
      <c r="AC124" s="347">
        <f t="shared" si="28"/>
        <v>0</v>
      </c>
      <c r="AD124" s="249"/>
      <c r="AE124" s="435">
        <f t="shared" si="26"/>
        <v>4488480</v>
      </c>
      <c r="AF124" s="342">
        <f t="shared" si="29"/>
        <v>6678480</v>
      </c>
      <c r="AG124" s="252"/>
      <c r="AH124" s="241"/>
      <c r="AI124" s="241"/>
      <c r="AJ124" s="241"/>
      <c r="AK124" s="194"/>
      <c r="AL124" s="195"/>
      <c r="AM124" s="3838"/>
    </row>
    <row r="125" spans="1:39">
      <c r="B125" s="253">
        <f t="shared" si="30"/>
        <v>11</v>
      </c>
      <c r="C125" s="244"/>
      <c r="D125" s="256"/>
      <c r="E125" s="474">
        <v>305806057450</v>
      </c>
      <c r="F125" s="603" t="s">
        <v>1590</v>
      </c>
      <c r="G125" s="391" t="s">
        <v>3749</v>
      </c>
      <c r="H125" s="230" t="s">
        <v>210</v>
      </c>
      <c r="I125" s="230"/>
      <c r="J125" s="230">
        <v>1</v>
      </c>
      <c r="K125" s="230"/>
      <c r="L125" s="228"/>
      <c r="M125" s="257"/>
      <c r="N125" s="228" t="s">
        <v>3750</v>
      </c>
      <c r="O125" s="228" t="s">
        <v>1592</v>
      </c>
      <c r="P125" s="245"/>
      <c r="Q125" s="2564"/>
      <c r="R125" s="2564"/>
      <c r="S125" s="254"/>
      <c r="T125" s="257"/>
      <c r="U125" s="2553"/>
      <c r="V125" s="256"/>
      <c r="W125" s="373">
        <v>1450000</v>
      </c>
      <c r="X125" s="373">
        <v>1160000</v>
      </c>
      <c r="Y125" s="248"/>
      <c r="Z125" s="247"/>
      <c r="AA125" s="248"/>
      <c r="AB125" s="340">
        <f t="shared" si="25"/>
        <v>2610000</v>
      </c>
      <c r="AC125" s="347">
        <f t="shared" si="28"/>
        <v>0</v>
      </c>
      <c r="AD125" s="249"/>
      <c r="AE125" s="435">
        <f t="shared" si="26"/>
        <v>4488480</v>
      </c>
      <c r="AF125" s="342">
        <f t="shared" si="29"/>
        <v>7098480</v>
      </c>
      <c r="AG125" s="252"/>
      <c r="AH125" s="241"/>
      <c r="AI125" s="241"/>
      <c r="AJ125" s="241"/>
      <c r="AK125" s="194"/>
      <c r="AL125" s="195"/>
      <c r="AM125" s="3838"/>
    </row>
    <row r="126" spans="1:39">
      <c r="B126" s="253">
        <f>+B131+1</f>
        <v>14</v>
      </c>
      <c r="C126" s="244"/>
      <c r="D126" s="256"/>
      <c r="E126" s="474">
        <v>305816443500</v>
      </c>
      <c r="F126" s="603" t="s">
        <v>1598</v>
      </c>
      <c r="G126" s="391" t="s">
        <v>3751</v>
      </c>
      <c r="H126" s="230" t="s">
        <v>748</v>
      </c>
      <c r="I126" s="612">
        <v>1</v>
      </c>
      <c r="J126" s="230"/>
      <c r="K126" s="230"/>
      <c r="L126" s="228"/>
      <c r="M126" s="257"/>
      <c r="N126" s="228" t="s">
        <v>3752</v>
      </c>
      <c r="O126" s="228" t="s">
        <v>1608</v>
      </c>
      <c r="P126" s="245"/>
      <c r="Q126" s="2564"/>
      <c r="R126" s="2564"/>
      <c r="S126" s="254"/>
      <c r="T126" s="257"/>
      <c r="U126" s="2553"/>
      <c r="V126" s="256"/>
      <c r="W126" s="373">
        <v>900000</v>
      </c>
      <c r="X126" s="373">
        <v>394200</v>
      </c>
      <c r="Y126" s="248"/>
      <c r="Z126" s="247"/>
      <c r="AA126" s="248"/>
      <c r="AB126" s="340">
        <f t="shared" si="25"/>
        <v>1294200</v>
      </c>
      <c r="AC126" s="347">
        <f t="shared" si="28"/>
        <v>0</v>
      </c>
      <c r="AD126" s="249"/>
      <c r="AE126" s="435">
        <f t="shared" si="26"/>
        <v>4380480</v>
      </c>
      <c r="AF126" s="342">
        <f t="shared" si="29"/>
        <v>5674680</v>
      </c>
      <c r="AG126" s="252"/>
      <c r="AH126" s="241"/>
      <c r="AI126" s="241"/>
      <c r="AJ126" s="241"/>
      <c r="AK126" s="194"/>
      <c r="AL126" s="195"/>
      <c r="AM126" s="3838"/>
    </row>
    <row r="127" spans="1:39">
      <c r="B127" s="253">
        <f t="shared" si="30"/>
        <v>15</v>
      </c>
      <c r="C127" s="244"/>
      <c r="D127" s="256"/>
      <c r="E127" s="474">
        <v>305823871420</v>
      </c>
      <c r="F127" s="603" t="s">
        <v>1610</v>
      </c>
      <c r="G127" s="391" t="s">
        <v>3753</v>
      </c>
      <c r="H127" s="230" t="s">
        <v>748</v>
      </c>
      <c r="I127" s="612">
        <v>1</v>
      </c>
      <c r="J127" s="230"/>
      <c r="K127" s="230"/>
      <c r="L127" s="228"/>
      <c r="M127" s="257"/>
      <c r="N127" s="228" t="s">
        <v>1622</v>
      </c>
      <c r="O127" s="228" t="s">
        <v>1621</v>
      </c>
      <c r="P127" s="245"/>
      <c r="Q127" s="2564"/>
      <c r="R127" s="2564"/>
      <c r="S127" s="254"/>
      <c r="T127" s="257"/>
      <c r="U127" s="2553"/>
      <c r="V127" s="256"/>
      <c r="W127" s="373">
        <v>900000</v>
      </c>
      <c r="X127" s="373">
        <v>394200</v>
      </c>
      <c r="Y127" s="248"/>
      <c r="Z127" s="247"/>
      <c r="AA127" s="248"/>
      <c r="AB127" s="340">
        <f t="shared" si="25"/>
        <v>1294200</v>
      </c>
      <c r="AC127" s="347">
        <f t="shared" si="28"/>
        <v>0</v>
      </c>
      <c r="AD127" s="249"/>
      <c r="AE127" s="435">
        <f t="shared" si="26"/>
        <v>4380480</v>
      </c>
      <c r="AF127" s="342">
        <f t="shared" si="29"/>
        <v>5674680</v>
      </c>
      <c r="AG127" s="252"/>
      <c r="AH127" s="241"/>
      <c r="AI127" s="241"/>
      <c r="AJ127" s="241"/>
      <c r="AK127" s="194"/>
      <c r="AL127" s="195"/>
      <c r="AM127" s="3838"/>
    </row>
    <row r="128" spans="1:39">
      <c r="B128" s="253">
        <f t="shared" si="30"/>
        <v>16</v>
      </c>
      <c r="C128" s="244"/>
      <c r="D128" s="256"/>
      <c r="E128" s="474">
        <v>305825775420</v>
      </c>
      <c r="F128" s="603" t="s">
        <v>1625</v>
      </c>
      <c r="G128" s="391" t="s">
        <v>3754</v>
      </c>
      <c r="H128" s="230" t="s">
        <v>748</v>
      </c>
      <c r="I128" s="230"/>
      <c r="J128" s="230">
        <v>1</v>
      </c>
      <c r="K128" s="230"/>
      <c r="L128" s="228"/>
      <c r="M128" s="257"/>
      <c r="N128" s="228">
        <v>21049153</v>
      </c>
      <c r="O128" s="228" t="s">
        <v>3755</v>
      </c>
      <c r="P128" s="245"/>
      <c r="Q128" s="2564"/>
      <c r="R128" s="2564"/>
      <c r="S128" s="254"/>
      <c r="T128" s="257"/>
      <c r="U128" s="2553"/>
      <c r="V128" s="256"/>
      <c r="W128" s="373">
        <v>1450000</v>
      </c>
      <c r="X128" s="373">
        <v>1160000</v>
      </c>
      <c r="Y128" s="248"/>
      <c r="Z128" s="247"/>
      <c r="AA128" s="248"/>
      <c r="AB128" s="340">
        <f t="shared" si="25"/>
        <v>2610000</v>
      </c>
      <c r="AC128" s="347">
        <f t="shared" si="28"/>
        <v>0</v>
      </c>
      <c r="AD128" s="249"/>
      <c r="AE128" s="435">
        <f t="shared" si="26"/>
        <v>4488480</v>
      </c>
      <c r="AF128" s="342">
        <f t="shared" si="29"/>
        <v>7098480</v>
      </c>
      <c r="AG128" s="252"/>
      <c r="AH128" s="241"/>
      <c r="AI128" s="241"/>
      <c r="AJ128" s="241"/>
      <c r="AK128" s="194"/>
      <c r="AL128" s="195"/>
      <c r="AM128" s="3838"/>
    </row>
    <row r="129" spans="2:40" ht="20.25" customHeight="1">
      <c r="B129" s="253">
        <f t="shared" si="30"/>
        <v>17</v>
      </c>
      <c r="C129" s="244"/>
      <c r="D129" s="256"/>
      <c r="E129" s="474">
        <v>305836870640</v>
      </c>
      <c r="F129" s="603" t="s">
        <v>1632</v>
      </c>
      <c r="G129" s="391" t="s">
        <v>3756</v>
      </c>
      <c r="H129" s="230" t="s">
        <v>210</v>
      </c>
      <c r="I129" s="230"/>
      <c r="J129" s="230">
        <v>1</v>
      </c>
      <c r="K129" s="230"/>
      <c r="L129" s="228"/>
      <c r="M129" s="257"/>
      <c r="N129" s="228" t="s">
        <v>3757</v>
      </c>
      <c r="O129" s="228" t="s">
        <v>1640</v>
      </c>
      <c r="P129" s="245"/>
      <c r="Q129" s="2564"/>
      <c r="R129" s="2564"/>
      <c r="S129" s="254"/>
      <c r="T129" s="257"/>
      <c r="U129" s="2553"/>
      <c r="V129" s="256"/>
      <c r="W129" s="373">
        <v>1450000</v>
      </c>
      <c r="X129" s="373">
        <v>696600</v>
      </c>
      <c r="Y129" s="248"/>
      <c r="Z129" s="247"/>
      <c r="AA129" s="248"/>
      <c r="AB129" s="340">
        <f t="shared" si="25"/>
        <v>2146600</v>
      </c>
      <c r="AC129" s="347">
        <f>+Z129</f>
        <v>0</v>
      </c>
      <c r="AD129" s="249"/>
      <c r="AE129" s="435">
        <f t="shared" si="26"/>
        <v>4488480</v>
      </c>
      <c r="AF129" s="342">
        <f>+AB129+AE129</f>
        <v>6635080</v>
      </c>
      <c r="AG129" s="252"/>
      <c r="AH129" s="241"/>
      <c r="AI129" s="241"/>
      <c r="AJ129" s="241"/>
      <c r="AK129" s="194"/>
      <c r="AL129" s="195"/>
      <c r="AM129" s="3838"/>
    </row>
    <row r="130" spans="2:40" ht="109.2">
      <c r="B130" s="253">
        <f>+B125+1</f>
        <v>12</v>
      </c>
      <c r="C130" s="244"/>
      <c r="D130" s="256"/>
      <c r="E130" s="463" t="s">
        <v>1595</v>
      </c>
      <c r="F130" s="603" t="s">
        <v>1590</v>
      </c>
      <c r="G130" s="391" t="s">
        <v>3758</v>
      </c>
      <c r="H130" s="230" t="s">
        <v>3579</v>
      </c>
      <c r="I130" s="612">
        <v>1</v>
      </c>
      <c r="J130" s="230"/>
      <c r="K130" s="230"/>
      <c r="L130" s="527" t="s">
        <v>3759</v>
      </c>
      <c r="M130" s="257"/>
      <c r="N130" s="228" t="s">
        <v>1593</v>
      </c>
      <c r="O130" s="228" t="s">
        <v>1594</v>
      </c>
      <c r="P130" s="245"/>
      <c r="Q130" s="2564"/>
      <c r="R130" s="2564"/>
      <c r="S130" s="254"/>
      <c r="T130" s="257"/>
      <c r="U130" s="2553"/>
      <c r="V130" s="256"/>
      <c r="W130" s="324">
        <v>648000</v>
      </c>
      <c r="X130" s="373">
        <v>890000</v>
      </c>
      <c r="Y130" s="248"/>
      <c r="Z130" s="247"/>
      <c r="AA130" s="248"/>
      <c r="AB130" s="340">
        <f t="shared" si="25"/>
        <v>1538000</v>
      </c>
      <c r="AC130" s="347">
        <f>+Z130</f>
        <v>0</v>
      </c>
      <c r="AD130" s="249"/>
      <c r="AE130" s="435">
        <f t="shared" si="26"/>
        <v>4380480</v>
      </c>
      <c r="AF130" s="342">
        <f>+AB130+AE130</f>
        <v>5918480</v>
      </c>
      <c r="AG130" s="523" t="s">
        <v>1596</v>
      </c>
      <c r="AH130" s="241"/>
      <c r="AI130" s="241"/>
      <c r="AJ130" s="241"/>
      <c r="AK130" s="194"/>
      <c r="AL130" s="195"/>
      <c r="AM130" s="3838"/>
    </row>
    <row r="131" spans="2:40">
      <c r="B131" s="253">
        <f>+B130+1</f>
        <v>13</v>
      </c>
      <c r="C131" s="244"/>
      <c r="D131" s="256"/>
      <c r="E131" s="466">
        <v>105727947360</v>
      </c>
      <c r="F131" s="603" t="s">
        <v>1598</v>
      </c>
      <c r="G131" s="391" t="s">
        <v>3760</v>
      </c>
      <c r="H131" s="230" t="s">
        <v>3579</v>
      </c>
      <c r="I131" s="230"/>
      <c r="J131" s="230"/>
      <c r="K131" s="230">
        <v>1</v>
      </c>
      <c r="L131" s="228"/>
      <c r="M131" s="257" t="s">
        <v>1607</v>
      </c>
      <c r="N131" s="228" t="s">
        <v>1606</v>
      </c>
      <c r="O131" s="228"/>
      <c r="P131" s="245"/>
      <c r="Q131" s="2564"/>
      <c r="R131" s="2564"/>
      <c r="S131" s="254"/>
      <c r="T131" s="257" t="s">
        <v>1607</v>
      </c>
      <c r="U131" s="2553"/>
      <c r="V131" s="256"/>
      <c r="W131" s="248"/>
      <c r="X131" s="248"/>
      <c r="Y131" s="248"/>
      <c r="Z131" s="247"/>
      <c r="AA131" s="248"/>
      <c r="AB131" s="340">
        <f t="shared" si="25"/>
        <v>0</v>
      </c>
      <c r="AC131" s="347">
        <f>+Z131</f>
        <v>0</v>
      </c>
      <c r="AD131" s="249"/>
      <c r="AE131" s="435">
        <f>+(1416000*1.08+((I131+J131+K131)*150000)*1.08-(20000*1.08))</f>
        <v>1669680</v>
      </c>
      <c r="AF131" s="342">
        <f>+AB131+AE131</f>
        <v>1669680</v>
      </c>
      <c r="AG131" s="252" t="s">
        <v>1609</v>
      </c>
      <c r="AH131" s="241"/>
      <c r="AI131" s="241"/>
      <c r="AJ131" s="241"/>
      <c r="AK131" s="194"/>
      <c r="AL131" s="195"/>
      <c r="AM131" s="3838"/>
    </row>
    <row r="132" spans="2:40" ht="31.2">
      <c r="B132" s="253">
        <f>+B129+1</f>
        <v>18</v>
      </c>
      <c r="C132" s="244"/>
      <c r="D132" s="256"/>
      <c r="E132" s="463" t="s">
        <v>1635</v>
      </c>
      <c r="F132" s="603" t="s">
        <v>1644</v>
      </c>
      <c r="G132" s="391" t="s">
        <v>3761</v>
      </c>
      <c r="H132" s="230" t="s">
        <v>3579</v>
      </c>
      <c r="I132" s="230">
        <v>1</v>
      </c>
      <c r="J132" s="230"/>
      <c r="K132" s="230"/>
      <c r="L132" s="228"/>
      <c r="M132" s="257"/>
      <c r="N132" s="228" t="s">
        <v>1636</v>
      </c>
      <c r="O132" s="228" t="s">
        <v>1637</v>
      </c>
      <c r="P132" s="245"/>
      <c r="Q132" s="2564"/>
      <c r="R132" s="2564"/>
      <c r="S132" s="254"/>
      <c r="T132" s="257"/>
      <c r="U132" s="2553"/>
      <c r="V132" s="256"/>
      <c r="W132" s="324">
        <v>561600</v>
      </c>
      <c r="X132" s="373">
        <v>900000</v>
      </c>
      <c r="Y132" s="248"/>
      <c r="Z132" s="247"/>
      <c r="AA132" s="248"/>
      <c r="AB132" s="340">
        <f t="shared" si="25"/>
        <v>1461600</v>
      </c>
      <c r="AC132" s="347">
        <f t="shared" si="28"/>
        <v>0</v>
      </c>
      <c r="AD132" s="249"/>
      <c r="AE132" s="435">
        <f>+(I132*3906000+J132*(3906000+100000))*1.08+((I132+J132+K132)*150000)*1.08</f>
        <v>4380480</v>
      </c>
      <c r="AF132" s="342">
        <f t="shared" si="29"/>
        <v>5842080</v>
      </c>
      <c r="AG132" s="252"/>
      <c r="AH132" s="241"/>
      <c r="AI132" s="241"/>
      <c r="AJ132" s="241"/>
      <c r="AK132" s="194"/>
      <c r="AL132" s="195"/>
      <c r="AM132" s="3838"/>
    </row>
    <row r="133" spans="2:40">
      <c r="B133" s="253">
        <f t="shared" si="30"/>
        <v>19</v>
      </c>
      <c r="C133" s="244"/>
      <c r="D133" s="256"/>
      <c r="E133" s="466">
        <v>105740876030</v>
      </c>
      <c r="F133" s="603" t="s">
        <v>1641</v>
      </c>
      <c r="G133" s="391" t="s">
        <v>3762</v>
      </c>
      <c r="H133" s="230" t="s">
        <v>3579</v>
      </c>
      <c r="I133" s="230">
        <v>1</v>
      </c>
      <c r="J133" s="230"/>
      <c r="K133" s="230"/>
      <c r="L133" s="526" t="s">
        <v>136</v>
      </c>
      <c r="M133" s="257"/>
      <c r="N133" s="289" t="s">
        <v>1642</v>
      </c>
      <c r="O133" s="228" t="s">
        <v>1643</v>
      </c>
      <c r="P133" s="245"/>
      <c r="Q133" s="2564"/>
      <c r="R133" s="2564"/>
      <c r="S133" s="254"/>
      <c r="T133" s="257"/>
      <c r="U133" s="2553"/>
      <c r="V133" s="256"/>
      <c r="W133" s="324">
        <v>561600</v>
      </c>
      <c r="X133" s="373">
        <v>900000</v>
      </c>
      <c r="Y133" s="248"/>
      <c r="Z133" s="247"/>
      <c r="AA133" s="248"/>
      <c r="AB133" s="340">
        <f t="shared" si="25"/>
        <v>1461600</v>
      </c>
      <c r="AC133" s="347">
        <f t="shared" si="28"/>
        <v>0</v>
      </c>
      <c r="AD133" s="249"/>
      <c r="AE133" s="435">
        <f>+(I133*3906000+J133*(3906000+100000))*1.08+((I133+J133+K133)*150000)*1.08</f>
        <v>4380480</v>
      </c>
      <c r="AF133" s="342">
        <f t="shared" si="29"/>
        <v>5842080</v>
      </c>
      <c r="AG133" s="252"/>
      <c r="AH133" s="241"/>
      <c r="AI133" s="241"/>
      <c r="AJ133" s="241"/>
      <c r="AK133" s="194"/>
      <c r="AL133" s="195"/>
      <c r="AM133" s="3839"/>
    </row>
    <row r="134" spans="2:40">
      <c r="B134" s="649" t="s">
        <v>3763</v>
      </c>
      <c r="C134" s="650"/>
      <c r="D134" s="346"/>
      <c r="E134" s="650"/>
      <c r="F134" s="650"/>
      <c r="G134" s="650"/>
      <c r="H134" s="650"/>
      <c r="I134" s="1303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57"/>
      <c r="W134" s="357"/>
      <c r="X134" s="357"/>
      <c r="Y134" s="357"/>
      <c r="Z134" s="357"/>
      <c r="AA134" s="357"/>
      <c r="AB134" s="358">
        <f>SUM(AB115:AB133)</f>
        <v>37735200</v>
      </c>
      <c r="AC134" s="358">
        <f>SUM(AC117:AC133)</f>
        <v>0</v>
      </c>
      <c r="AD134" s="358">
        <f>SUM(AD115:AD133)</f>
        <v>0</v>
      </c>
      <c r="AE134" s="358">
        <f>SUM(AE115:AE133)</f>
        <v>93016080</v>
      </c>
      <c r="AF134" s="358">
        <f>SUM(AF117:AF133)</f>
        <v>104444360</v>
      </c>
      <c r="AG134" s="358"/>
      <c r="AH134" s="357"/>
      <c r="AI134" s="357"/>
      <c r="AJ134" s="357"/>
      <c r="AK134" s="357"/>
      <c r="AL134" s="357"/>
      <c r="AM134" s="357"/>
      <c r="AN134" s="357"/>
    </row>
    <row r="135" spans="2:40">
      <c r="B135" s="253">
        <v>1</v>
      </c>
      <c r="C135" s="244"/>
      <c r="D135" s="256"/>
      <c r="E135" s="466">
        <v>105767555240</v>
      </c>
      <c r="F135" s="603">
        <v>45204</v>
      </c>
      <c r="G135" s="391" t="s">
        <v>3764</v>
      </c>
      <c r="H135" s="230" t="s">
        <v>3579</v>
      </c>
      <c r="I135" s="230"/>
      <c r="J135" s="230"/>
      <c r="K135" s="230">
        <v>1</v>
      </c>
      <c r="L135" s="228"/>
      <c r="M135" s="535" t="s">
        <v>1676</v>
      </c>
      <c r="N135" s="228" t="s">
        <v>1675</v>
      </c>
      <c r="O135" s="228"/>
      <c r="P135" s="245"/>
      <c r="Q135" s="2564"/>
      <c r="R135" s="2564"/>
      <c r="S135" s="254"/>
      <c r="T135" s="535" t="s">
        <v>1676</v>
      </c>
      <c r="U135" s="2555"/>
      <c r="V135" s="324">
        <v>38055</v>
      </c>
      <c r="W135" s="248"/>
      <c r="X135" s="248"/>
      <c r="Y135" s="248"/>
      <c r="Z135" s="247"/>
      <c r="AA135" s="248"/>
      <c r="AB135" s="340">
        <f t="shared" ref="AB135:AB148" si="31">V135+W135+X135+Y135+Z135+AA135</f>
        <v>38055</v>
      </c>
      <c r="AC135" s="347">
        <f>+Z135</f>
        <v>0</v>
      </c>
      <c r="AD135" s="249"/>
      <c r="AE135" s="435">
        <f>+(2616000*1.08+((I135+J135+K135)*150000)*1.08)</f>
        <v>2987280</v>
      </c>
      <c r="AF135" s="342">
        <f>+AB135+AE135</f>
        <v>3025335</v>
      </c>
      <c r="AG135" s="251">
        <f>+AE135/1.08</f>
        <v>2766000</v>
      </c>
      <c r="AH135" s="241"/>
      <c r="AI135" s="241"/>
      <c r="AJ135" s="241"/>
      <c r="AK135" s="194"/>
      <c r="AL135" s="195"/>
      <c r="AM135" s="195"/>
    </row>
    <row r="136" spans="2:40">
      <c r="B136" s="253">
        <v>5</v>
      </c>
      <c r="C136" s="244"/>
      <c r="D136" s="256"/>
      <c r="E136" s="466">
        <v>105792238160</v>
      </c>
      <c r="F136" s="603" t="s">
        <v>1704</v>
      </c>
      <c r="G136" s="391" t="s">
        <v>3765</v>
      </c>
      <c r="H136" s="230" t="s">
        <v>3579</v>
      </c>
      <c r="I136" s="230"/>
      <c r="J136" s="230"/>
      <c r="K136" s="230">
        <v>1</v>
      </c>
      <c r="L136" s="228"/>
      <c r="M136" s="543" t="s">
        <v>1707</v>
      </c>
      <c r="N136" s="228" t="s">
        <v>1708</v>
      </c>
      <c r="O136" s="228"/>
      <c r="P136" s="245"/>
      <c r="Q136" s="2564"/>
      <c r="R136" s="2564"/>
      <c r="S136" s="254"/>
      <c r="T136" s="543" t="s">
        <v>1707</v>
      </c>
      <c r="U136" s="2556"/>
      <c r="V136" s="256"/>
      <c r="W136" s="248"/>
      <c r="X136" s="248"/>
      <c r="Y136" s="248"/>
      <c r="Z136" s="247"/>
      <c r="AA136" s="248"/>
      <c r="AB136" s="340">
        <f t="shared" si="31"/>
        <v>0</v>
      </c>
      <c r="AC136" s="347">
        <f>+Z136</f>
        <v>0</v>
      </c>
      <c r="AD136" s="249"/>
      <c r="AE136" s="435">
        <f>+(2616000*1.08+((I136+J136+K136)*150000)*1.08)</f>
        <v>2987280</v>
      </c>
      <c r="AF136" s="342">
        <f>+AB136+AE136</f>
        <v>2987280</v>
      </c>
      <c r="AG136" s="251">
        <f t="shared" ref="AG136:AG165" si="32">+AE136/1.08</f>
        <v>2766000</v>
      </c>
      <c r="AH136" s="241"/>
      <c r="AI136" s="241"/>
      <c r="AJ136" s="241"/>
      <c r="AK136" s="194"/>
      <c r="AL136" s="195"/>
      <c r="AM136" s="195"/>
    </row>
    <row r="137" spans="2:40" ht="16.5" customHeight="1">
      <c r="B137" s="253">
        <v>8</v>
      </c>
      <c r="C137" s="244"/>
      <c r="D137" s="256"/>
      <c r="E137" s="466">
        <v>105807399350</v>
      </c>
      <c r="F137" s="603" t="s">
        <v>1735</v>
      </c>
      <c r="G137" s="391" t="s">
        <v>3766</v>
      </c>
      <c r="H137" s="230" t="s">
        <v>3579</v>
      </c>
      <c r="I137" s="230">
        <v>1</v>
      </c>
      <c r="J137" s="230"/>
      <c r="K137" s="230"/>
      <c r="L137" s="228"/>
      <c r="M137" s="257"/>
      <c r="N137" s="228" t="s">
        <v>1726</v>
      </c>
      <c r="O137" s="228" t="s">
        <v>1728</v>
      </c>
      <c r="P137" s="245"/>
      <c r="Q137" s="2564"/>
      <c r="R137" s="2564"/>
      <c r="S137" s="254"/>
      <c r="T137" s="257"/>
      <c r="U137" s="2553"/>
      <c r="V137" s="256"/>
      <c r="W137" s="324">
        <v>394200</v>
      </c>
      <c r="X137" s="373">
        <f>167400+890000</f>
        <v>1057400</v>
      </c>
      <c r="Y137" s="248"/>
      <c r="Z137" s="247"/>
      <c r="AA137" s="248"/>
      <c r="AB137" s="340">
        <f t="shared" si="31"/>
        <v>1451600</v>
      </c>
      <c r="AC137" s="347">
        <f>+Z137</f>
        <v>0</v>
      </c>
      <c r="AD137" s="249"/>
      <c r="AE137" s="435">
        <f t="shared" ref="AE137:AE148" si="33">+(I137*3970000+J137*(3970000+100000))*1.08+((I137+J137+K137)*150000)*1.08</f>
        <v>4449600</v>
      </c>
      <c r="AF137" s="342">
        <f>+AB137+AE137</f>
        <v>5901200</v>
      </c>
      <c r="AG137" s="251">
        <f t="shared" si="32"/>
        <v>4119999.9999999995</v>
      </c>
      <c r="AH137" s="241"/>
      <c r="AI137" s="241"/>
      <c r="AJ137" s="241"/>
      <c r="AK137" s="194"/>
      <c r="AL137" s="195"/>
      <c r="AM137" s="195"/>
    </row>
    <row r="138" spans="2:40">
      <c r="B138" s="253">
        <v>10</v>
      </c>
      <c r="C138" s="244"/>
      <c r="D138" s="256"/>
      <c r="E138" s="466">
        <v>105807308130</v>
      </c>
      <c r="F138" s="603" t="s">
        <v>1727</v>
      </c>
      <c r="G138" s="391" t="s">
        <v>3767</v>
      </c>
      <c r="H138" s="230" t="s">
        <v>3579</v>
      </c>
      <c r="I138" s="230"/>
      <c r="J138" s="230">
        <v>1</v>
      </c>
      <c r="K138" s="230"/>
      <c r="L138" s="228"/>
      <c r="M138" s="257"/>
      <c r="N138" s="228" t="s">
        <v>1741</v>
      </c>
      <c r="O138" s="228" t="s">
        <v>1742</v>
      </c>
      <c r="P138" s="245"/>
      <c r="Q138" s="2564"/>
      <c r="R138" s="2564"/>
      <c r="S138" s="254"/>
      <c r="T138" s="257"/>
      <c r="U138" s="2553"/>
      <c r="V138" s="256"/>
      <c r="W138" s="324">
        <v>999000</v>
      </c>
      <c r="X138" s="373">
        <v>1450000</v>
      </c>
      <c r="Y138" s="248"/>
      <c r="Z138" s="247"/>
      <c r="AA138" s="248"/>
      <c r="AB138" s="340">
        <f t="shared" si="31"/>
        <v>2449000</v>
      </c>
      <c r="AC138" s="347">
        <f>+Z138</f>
        <v>0</v>
      </c>
      <c r="AD138" s="249"/>
      <c r="AE138" s="435">
        <f t="shared" si="33"/>
        <v>4557600</v>
      </c>
      <c r="AF138" s="342">
        <f>+AB138+AE138</f>
        <v>7006600</v>
      </c>
      <c r="AG138" s="251">
        <f t="shared" si="32"/>
        <v>4220000</v>
      </c>
      <c r="AH138" s="241"/>
      <c r="AI138" s="241"/>
      <c r="AJ138" s="241"/>
      <c r="AK138" s="194"/>
      <c r="AL138" s="195"/>
      <c r="AM138" s="195"/>
    </row>
    <row r="139" spans="2:40" ht="46.8">
      <c r="B139" s="253">
        <v>14</v>
      </c>
      <c r="C139" s="244"/>
      <c r="D139" s="256"/>
      <c r="E139" s="466">
        <v>105830197210</v>
      </c>
      <c r="F139" s="603" t="s">
        <v>1769</v>
      </c>
      <c r="G139" s="391" t="s">
        <v>3768</v>
      </c>
      <c r="H139" s="230" t="s">
        <v>3579</v>
      </c>
      <c r="I139" s="230"/>
      <c r="J139" s="230">
        <v>3</v>
      </c>
      <c r="K139" s="230"/>
      <c r="L139" s="228"/>
      <c r="M139" s="257"/>
      <c r="N139" s="228" t="s">
        <v>1770</v>
      </c>
      <c r="O139" s="254" t="s">
        <v>1771</v>
      </c>
      <c r="P139" s="245"/>
      <c r="Q139" s="2564"/>
      <c r="R139" s="2564"/>
      <c r="S139" s="254"/>
      <c r="T139" s="257"/>
      <c r="U139" s="2553"/>
      <c r="V139" s="256"/>
      <c r="W139" s="324">
        <v>2089800</v>
      </c>
      <c r="X139" s="373">
        <f>1100000+1100000+1100000</f>
        <v>3300000</v>
      </c>
      <c r="Y139" s="248"/>
      <c r="Z139" s="247"/>
      <c r="AA139" s="248"/>
      <c r="AB139" s="340">
        <f t="shared" si="31"/>
        <v>5389800</v>
      </c>
      <c r="AC139" s="347">
        <f>+Z139</f>
        <v>0</v>
      </c>
      <c r="AD139" s="249"/>
      <c r="AE139" s="435">
        <f t="shared" si="33"/>
        <v>13672800</v>
      </c>
      <c r="AF139" s="342">
        <f>+AB139+AE139</f>
        <v>19062600</v>
      </c>
      <c r="AG139" s="251">
        <f t="shared" si="32"/>
        <v>12660000</v>
      </c>
      <c r="AH139" s="241"/>
      <c r="AI139" s="241"/>
      <c r="AJ139" s="241"/>
      <c r="AK139" s="194"/>
      <c r="AL139" s="195"/>
      <c r="AM139" s="195"/>
    </row>
    <row r="140" spans="2:40">
      <c r="B140" s="253">
        <v>2</v>
      </c>
      <c r="C140" s="244"/>
      <c r="D140" s="256"/>
      <c r="E140" s="474">
        <v>305868535360</v>
      </c>
      <c r="F140" s="603">
        <v>45205</v>
      </c>
      <c r="G140" s="391" t="s">
        <v>3769</v>
      </c>
      <c r="H140" s="230" t="s">
        <v>210</v>
      </c>
      <c r="I140" s="230"/>
      <c r="J140" s="230">
        <v>1</v>
      </c>
      <c r="K140" s="230"/>
      <c r="L140" s="228"/>
      <c r="M140" s="257"/>
      <c r="N140" s="228" t="s">
        <v>3770</v>
      </c>
      <c r="O140" s="228" t="s">
        <v>1700</v>
      </c>
      <c r="P140" s="245"/>
      <c r="Q140" s="2564"/>
      <c r="R140" s="2564"/>
      <c r="S140" s="254"/>
      <c r="T140" s="257"/>
      <c r="U140" s="2553"/>
      <c r="V140" s="241"/>
      <c r="W140" s="373">
        <v>1050000</v>
      </c>
      <c r="X140" s="373">
        <v>1140000</v>
      </c>
      <c r="Y140" s="248"/>
      <c r="Z140" s="247"/>
      <c r="AA140" s="248"/>
      <c r="AB140" s="340">
        <f t="shared" si="31"/>
        <v>2190000</v>
      </c>
      <c r="AC140" s="347">
        <f t="shared" ref="AC140:AC146" si="34">+Z140</f>
        <v>0</v>
      </c>
      <c r="AD140" s="249"/>
      <c r="AE140" s="435">
        <f t="shared" si="33"/>
        <v>4557600</v>
      </c>
      <c r="AF140" s="342">
        <f t="shared" ref="AF140:AF146" si="35">+AB140+AE140</f>
        <v>6747600</v>
      </c>
      <c r="AG140" s="251">
        <f t="shared" si="32"/>
        <v>4220000</v>
      </c>
      <c r="AH140" s="241"/>
      <c r="AI140" s="241"/>
      <c r="AJ140" s="241"/>
      <c r="AK140" s="194"/>
      <c r="AL140" s="195"/>
      <c r="AM140" s="195"/>
    </row>
    <row r="141" spans="2:40">
      <c r="B141" s="253">
        <v>3</v>
      </c>
      <c r="C141" s="244"/>
      <c r="D141" s="256"/>
      <c r="E141" s="474">
        <v>305876102250</v>
      </c>
      <c r="F141" s="603">
        <v>45209</v>
      </c>
      <c r="G141" s="391" t="s">
        <v>3771</v>
      </c>
      <c r="H141" s="230" t="s">
        <v>210</v>
      </c>
      <c r="I141" s="230"/>
      <c r="J141" s="230">
        <v>1</v>
      </c>
      <c r="K141" s="230"/>
      <c r="L141" s="228"/>
      <c r="M141" s="257"/>
      <c r="N141" s="228" t="s">
        <v>1720</v>
      </c>
      <c r="O141" s="228" t="s">
        <v>1701</v>
      </c>
      <c r="P141" s="245"/>
      <c r="Q141" s="2564"/>
      <c r="R141" s="2564"/>
      <c r="S141" s="254"/>
      <c r="T141" s="257"/>
      <c r="U141" s="2553"/>
      <c r="V141" s="241"/>
      <c r="W141" s="373">
        <v>1450000</v>
      </c>
      <c r="X141" s="373">
        <v>1140000</v>
      </c>
      <c r="Y141" s="248"/>
      <c r="Z141" s="247"/>
      <c r="AA141" s="248"/>
      <c r="AB141" s="340">
        <f t="shared" si="31"/>
        <v>2590000</v>
      </c>
      <c r="AC141" s="347">
        <f t="shared" si="34"/>
        <v>0</v>
      </c>
      <c r="AD141" s="249"/>
      <c r="AE141" s="435">
        <f t="shared" si="33"/>
        <v>4557600</v>
      </c>
      <c r="AF141" s="342">
        <f t="shared" si="35"/>
        <v>7147600</v>
      </c>
      <c r="AG141" s="251">
        <f t="shared" si="32"/>
        <v>4220000</v>
      </c>
      <c r="AH141" s="241"/>
      <c r="AI141" s="241"/>
      <c r="AJ141" s="241"/>
      <c r="AK141" s="194"/>
      <c r="AL141" s="195"/>
      <c r="AM141" s="195"/>
    </row>
    <row r="142" spans="2:40">
      <c r="B142" s="253">
        <v>4</v>
      </c>
      <c r="C142" s="244"/>
      <c r="D142" s="256"/>
      <c r="E142" s="474">
        <v>305879283530</v>
      </c>
      <c r="F142" s="603">
        <v>45210</v>
      </c>
      <c r="G142" s="391" t="s">
        <v>3772</v>
      </c>
      <c r="H142" s="230" t="s">
        <v>210</v>
      </c>
      <c r="I142" s="230"/>
      <c r="J142" s="230">
        <v>1</v>
      </c>
      <c r="K142" s="230"/>
      <c r="L142" s="228"/>
      <c r="M142" s="257"/>
      <c r="N142" s="228" t="s">
        <v>3773</v>
      </c>
      <c r="O142" s="228" t="s">
        <v>1699</v>
      </c>
      <c r="P142" s="245"/>
      <c r="Q142" s="2564"/>
      <c r="R142" s="2564"/>
      <c r="S142" s="254"/>
      <c r="T142" s="257"/>
      <c r="U142" s="2553"/>
      <c r="V142" s="256"/>
      <c r="W142" s="373">
        <v>588600</v>
      </c>
      <c r="X142" s="373">
        <v>1160000</v>
      </c>
      <c r="Y142" s="248"/>
      <c r="Z142" s="247"/>
      <c r="AA142" s="248"/>
      <c r="AB142" s="340">
        <f t="shared" si="31"/>
        <v>1748600</v>
      </c>
      <c r="AC142" s="347">
        <f t="shared" si="34"/>
        <v>0</v>
      </c>
      <c r="AD142" s="249"/>
      <c r="AE142" s="435">
        <f t="shared" si="33"/>
        <v>4557600</v>
      </c>
      <c r="AF142" s="342">
        <f t="shared" si="35"/>
        <v>6306200</v>
      </c>
      <c r="AG142" s="251">
        <f t="shared" si="32"/>
        <v>4220000</v>
      </c>
      <c r="AH142" s="241"/>
      <c r="AI142" s="241"/>
      <c r="AJ142" s="241"/>
      <c r="AK142" s="194"/>
      <c r="AL142" s="195"/>
      <c r="AM142" s="195"/>
    </row>
    <row r="143" spans="2:40">
      <c r="B143" s="253">
        <v>6</v>
      </c>
      <c r="C143" s="244"/>
      <c r="D143" s="256"/>
      <c r="E143" s="474">
        <v>305897839130</v>
      </c>
      <c r="F143" s="603" t="s">
        <v>1709</v>
      </c>
      <c r="G143" s="391" t="s">
        <v>3774</v>
      </c>
      <c r="H143" s="230" t="s">
        <v>210</v>
      </c>
      <c r="I143" s="230"/>
      <c r="J143" s="230">
        <v>1</v>
      </c>
      <c r="K143" s="230"/>
      <c r="L143" s="228"/>
      <c r="M143" s="257"/>
      <c r="N143" s="228" t="s">
        <v>3775</v>
      </c>
      <c r="O143" s="228" t="s">
        <v>3776</v>
      </c>
      <c r="P143" s="245"/>
      <c r="Q143" s="2564"/>
      <c r="R143" s="2564"/>
      <c r="S143" s="254"/>
      <c r="T143" s="257"/>
      <c r="U143" s="2553"/>
      <c r="V143" s="256"/>
      <c r="W143" s="373">
        <v>1450000</v>
      </c>
      <c r="X143" s="373">
        <v>1160000</v>
      </c>
      <c r="Y143" s="248"/>
      <c r="Z143" s="247"/>
      <c r="AA143" s="248"/>
      <c r="AB143" s="340">
        <f t="shared" si="31"/>
        <v>2610000</v>
      </c>
      <c r="AC143" s="347">
        <f t="shared" si="34"/>
        <v>0</v>
      </c>
      <c r="AD143" s="249"/>
      <c r="AE143" s="435">
        <f t="shared" si="33"/>
        <v>4557600</v>
      </c>
      <c r="AF143" s="342">
        <f t="shared" si="35"/>
        <v>7167600</v>
      </c>
      <c r="AG143" s="251">
        <f t="shared" si="32"/>
        <v>4220000</v>
      </c>
      <c r="AH143" s="241"/>
      <c r="AI143" s="241"/>
      <c r="AJ143" s="241"/>
      <c r="AK143" s="194"/>
      <c r="AL143" s="195"/>
      <c r="AM143" s="195"/>
    </row>
    <row r="144" spans="2:40">
      <c r="B144" s="253">
        <v>7</v>
      </c>
      <c r="C144" s="244"/>
      <c r="D144" s="256"/>
      <c r="E144" s="474">
        <v>305902142360</v>
      </c>
      <c r="F144" s="603" t="s">
        <v>1718</v>
      </c>
      <c r="G144" s="391" t="s">
        <v>3777</v>
      </c>
      <c r="H144" s="230" t="s">
        <v>210</v>
      </c>
      <c r="I144" s="230"/>
      <c r="J144" s="230">
        <v>1</v>
      </c>
      <c r="K144" s="230"/>
      <c r="L144" s="228"/>
      <c r="M144" s="257"/>
      <c r="N144" s="289" t="s">
        <v>1717</v>
      </c>
      <c r="O144" s="228" t="s">
        <v>1724</v>
      </c>
      <c r="P144" s="245"/>
      <c r="Q144" s="2564"/>
      <c r="R144" s="2564"/>
      <c r="S144" s="254"/>
      <c r="T144" s="257"/>
      <c r="U144" s="2553"/>
      <c r="V144" s="256"/>
      <c r="W144" s="373">
        <v>1450000</v>
      </c>
      <c r="X144" s="373">
        <v>696600</v>
      </c>
      <c r="Y144" s="248"/>
      <c r="Z144" s="247"/>
      <c r="AA144" s="248"/>
      <c r="AB144" s="340">
        <f t="shared" si="31"/>
        <v>2146600</v>
      </c>
      <c r="AC144" s="347">
        <f t="shared" si="34"/>
        <v>0</v>
      </c>
      <c r="AD144" s="249"/>
      <c r="AE144" s="435">
        <f t="shared" si="33"/>
        <v>4557600</v>
      </c>
      <c r="AF144" s="342">
        <f t="shared" si="35"/>
        <v>6704200</v>
      </c>
      <c r="AG144" s="251">
        <f t="shared" si="32"/>
        <v>4220000</v>
      </c>
      <c r="AH144" s="241"/>
      <c r="AI144" s="241"/>
      <c r="AJ144" s="241"/>
      <c r="AK144" s="194"/>
      <c r="AL144" s="195"/>
      <c r="AM144" s="195"/>
    </row>
    <row r="145" spans="2:40">
      <c r="B145" s="253">
        <v>9</v>
      </c>
      <c r="C145" s="244"/>
      <c r="D145" s="256"/>
      <c r="E145" s="474">
        <v>305914168140</v>
      </c>
      <c r="F145" s="603" t="s">
        <v>1727</v>
      </c>
      <c r="G145" s="391" t="s">
        <v>3778</v>
      </c>
      <c r="H145" s="230" t="s">
        <v>210</v>
      </c>
      <c r="I145" s="230">
        <v>1</v>
      </c>
      <c r="J145" s="230"/>
      <c r="K145" s="230"/>
      <c r="L145" s="228"/>
      <c r="M145" s="257"/>
      <c r="N145" s="228">
        <v>2726898740</v>
      </c>
      <c r="O145" s="228" t="s">
        <v>1734</v>
      </c>
      <c r="P145" s="245"/>
      <c r="Q145" s="2564"/>
      <c r="R145" s="2564"/>
      <c r="S145" s="254"/>
      <c r="T145" s="257"/>
      <c r="U145" s="2553"/>
      <c r="V145" s="256"/>
      <c r="W145" s="373">
        <v>900000</v>
      </c>
      <c r="X145" s="373">
        <v>394200</v>
      </c>
      <c r="Y145" s="248"/>
      <c r="Z145" s="247"/>
      <c r="AA145" s="248"/>
      <c r="AB145" s="340">
        <f t="shared" si="31"/>
        <v>1294200</v>
      </c>
      <c r="AC145" s="347">
        <f t="shared" si="34"/>
        <v>0</v>
      </c>
      <c r="AD145" s="249"/>
      <c r="AE145" s="435">
        <f t="shared" si="33"/>
        <v>4449600</v>
      </c>
      <c r="AF145" s="342">
        <f t="shared" si="35"/>
        <v>5743800</v>
      </c>
      <c r="AG145" s="251">
        <f t="shared" si="32"/>
        <v>4119999.9999999995</v>
      </c>
      <c r="AH145" s="241"/>
      <c r="AI145" s="241"/>
      <c r="AJ145" s="241"/>
      <c r="AK145" s="194"/>
      <c r="AL145" s="195"/>
      <c r="AM145" s="195"/>
    </row>
    <row r="146" spans="2:40">
      <c r="B146" s="253">
        <v>11</v>
      </c>
      <c r="C146" s="244"/>
      <c r="D146" s="256"/>
      <c r="E146" s="474">
        <v>305913915330</v>
      </c>
      <c r="F146" s="603" t="s">
        <v>1727</v>
      </c>
      <c r="G146" s="391" t="s">
        <v>3779</v>
      </c>
      <c r="H146" s="230" t="s">
        <v>210</v>
      </c>
      <c r="I146" s="230">
        <v>1</v>
      </c>
      <c r="J146" s="230"/>
      <c r="K146" s="230"/>
      <c r="L146" s="228"/>
      <c r="M146" s="257"/>
      <c r="N146" s="228">
        <v>2727253230</v>
      </c>
      <c r="O146" s="228" t="s">
        <v>1736</v>
      </c>
      <c r="P146" s="245"/>
      <c r="Q146" s="2564"/>
      <c r="R146" s="2564"/>
      <c r="S146" s="254"/>
      <c r="T146" s="257"/>
      <c r="U146" s="2553"/>
      <c r="V146" s="256"/>
      <c r="W146" s="373">
        <v>900000</v>
      </c>
      <c r="X146" s="373">
        <v>394200</v>
      </c>
      <c r="Y146" s="248"/>
      <c r="Z146" s="247"/>
      <c r="AA146" s="248"/>
      <c r="AB146" s="340">
        <f t="shared" si="31"/>
        <v>1294200</v>
      </c>
      <c r="AC146" s="347">
        <f t="shared" si="34"/>
        <v>0</v>
      </c>
      <c r="AD146" s="249"/>
      <c r="AE146" s="435">
        <f t="shared" si="33"/>
        <v>4449600</v>
      </c>
      <c r="AF146" s="342">
        <f t="shared" si="35"/>
        <v>5743800</v>
      </c>
      <c r="AG146" s="251">
        <f t="shared" si="32"/>
        <v>4119999.9999999995</v>
      </c>
      <c r="AH146" s="241"/>
      <c r="AI146" s="241"/>
      <c r="AJ146" s="241"/>
      <c r="AK146" s="194"/>
      <c r="AL146" s="195"/>
      <c r="AM146" s="195"/>
    </row>
    <row r="147" spans="2:40">
      <c r="B147" s="253">
        <v>12</v>
      </c>
      <c r="C147" s="244"/>
      <c r="D147" s="256"/>
      <c r="E147" s="474">
        <v>305926168460</v>
      </c>
      <c r="F147" s="603" t="s">
        <v>1763</v>
      </c>
      <c r="G147" s="391" t="s">
        <v>3780</v>
      </c>
      <c r="H147" s="230" t="s">
        <v>210</v>
      </c>
      <c r="I147" s="230">
        <v>1</v>
      </c>
      <c r="J147" s="230"/>
      <c r="K147" s="230"/>
      <c r="L147" s="228"/>
      <c r="M147" s="257"/>
      <c r="N147" s="228">
        <v>2727616620</v>
      </c>
      <c r="O147" s="228" t="s">
        <v>1766</v>
      </c>
      <c r="P147" s="245"/>
      <c r="Q147" s="2564"/>
      <c r="R147" s="2564"/>
      <c r="S147" s="254"/>
      <c r="T147" s="257"/>
      <c r="U147" s="2553"/>
      <c r="V147" s="256"/>
      <c r="W147" s="373">
        <v>900000</v>
      </c>
      <c r="X147" s="373">
        <v>394200</v>
      </c>
      <c r="Y147" s="248"/>
      <c r="Z147" s="247"/>
      <c r="AA147" s="248"/>
      <c r="AB147" s="340">
        <f t="shared" si="31"/>
        <v>1294200</v>
      </c>
      <c r="AC147" s="347">
        <f t="shared" ref="AC147:AC162" si="36">+Z147</f>
        <v>0</v>
      </c>
      <c r="AD147" s="249"/>
      <c r="AE147" s="435">
        <f t="shared" si="33"/>
        <v>4449600</v>
      </c>
      <c r="AF147" s="342">
        <f t="shared" ref="AF147:AF162" si="37">+AB147+AE147</f>
        <v>5743800</v>
      </c>
      <c r="AG147" s="251">
        <f t="shared" si="32"/>
        <v>4119999.9999999995</v>
      </c>
      <c r="AH147" s="241"/>
      <c r="AI147" s="241"/>
      <c r="AJ147" s="241"/>
      <c r="AK147" s="194"/>
      <c r="AL147" s="195"/>
      <c r="AM147" s="195"/>
    </row>
    <row r="148" spans="2:40">
      <c r="B148" s="253">
        <v>13</v>
      </c>
      <c r="C148" s="244"/>
      <c r="D148" s="256"/>
      <c r="E148" s="474">
        <v>305926963550</v>
      </c>
      <c r="F148" s="603" t="s">
        <v>1763</v>
      </c>
      <c r="G148" s="391" t="s">
        <v>3781</v>
      </c>
      <c r="H148" s="230" t="s">
        <v>210</v>
      </c>
      <c r="I148" s="230"/>
      <c r="J148" s="230">
        <v>1</v>
      </c>
      <c r="K148" s="230"/>
      <c r="L148" s="228"/>
      <c r="M148" s="257"/>
      <c r="N148" s="228" t="s">
        <v>1767</v>
      </c>
      <c r="O148" s="228" t="s">
        <v>1768</v>
      </c>
      <c r="P148" s="245"/>
      <c r="Q148" s="2564"/>
      <c r="R148" s="2564"/>
      <c r="S148" s="254"/>
      <c r="T148" s="257"/>
      <c r="U148" s="2553"/>
      <c r="V148" s="256"/>
      <c r="W148" s="373">
        <v>1040000</v>
      </c>
      <c r="X148" s="373">
        <v>1160000</v>
      </c>
      <c r="Y148" s="248"/>
      <c r="Z148" s="247"/>
      <c r="AA148" s="248"/>
      <c r="AB148" s="340">
        <f t="shared" si="31"/>
        <v>2200000</v>
      </c>
      <c r="AC148" s="347">
        <f t="shared" si="36"/>
        <v>0</v>
      </c>
      <c r="AD148" s="249"/>
      <c r="AE148" s="435">
        <f t="shared" si="33"/>
        <v>4557600</v>
      </c>
      <c r="AF148" s="342">
        <f t="shared" si="37"/>
        <v>6757600</v>
      </c>
      <c r="AG148" s="251">
        <f t="shared" si="32"/>
        <v>4220000</v>
      </c>
      <c r="AH148" s="241"/>
      <c r="AI148" s="241"/>
      <c r="AJ148" s="241"/>
      <c r="AK148" s="194"/>
      <c r="AL148" s="195"/>
      <c r="AM148" s="195"/>
    </row>
    <row r="149" spans="2:40">
      <c r="B149" s="649" t="s">
        <v>3782</v>
      </c>
      <c r="C149" s="650"/>
      <c r="D149" s="346"/>
      <c r="E149" s="650"/>
      <c r="F149" s="650"/>
      <c r="G149" s="650"/>
      <c r="H149" s="650"/>
      <c r="I149" s="1303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1717">
        <f>+T146+Y146</f>
        <v>0</v>
      </c>
      <c r="U149" s="1717"/>
      <c r="V149" s="357"/>
      <c r="W149" s="357"/>
      <c r="X149" s="357"/>
      <c r="Y149" s="357"/>
      <c r="Z149" s="357"/>
      <c r="AA149" s="357"/>
      <c r="AB149" s="358">
        <f>SUM(AB135:AB146)</f>
        <v>23202055</v>
      </c>
      <c r="AC149" s="358">
        <f>SUM(AC129:AC146)</f>
        <v>0</v>
      </c>
      <c r="AD149" s="358">
        <f>SUM(AD127:AD146)</f>
        <v>0</v>
      </c>
      <c r="AE149" s="358">
        <f>SUM(AE135:AE146)</f>
        <v>60341760</v>
      </c>
      <c r="AF149" s="358">
        <f>+AB149+AE149</f>
        <v>83543815</v>
      </c>
      <c r="AG149" s="358"/>
      <c r="AH149" s="357"/>
      <c r="AI149" s="357"/>
      <c r="AJ149" s="357"/>
      <c r="AK149" s="357"/>
      <c r="AL149" s="357"/>
      <c r="AM149" s="357"/>
      <c r="AN149" s="357"/>
    </row>
    <row r="150" spans="2:40">
      <c r="B150" s="253">
        <v>1</v>
      </c>
      <c r="C150" s="244"/>
      <c r="D150" s="256"/>
      <c r="E150" s="474">
        <v>305948031820</v>
      </c>
      <c r="F150" s="603">
        <v>45234</v>
      </c>
      <c r="G150" s="391" t="s">
        <v>3783</v>
      </c>
      <c r="H150" s="230" t="s">
        <v>210</v>
      </c>
      <c r="I150" s="230">
        <v>1</v>
      </c>
      <c r="J150" s="230"/>
      <c r="K150" s="230"/>
      <c r="L150" s="228"/>
      <c r="M150" s="257"/>
      <c r="N150" s="228" t="s">
        <v>1788</v>
      </c>
      <c r="O150" s="228" t="s">
        <v>3784</v>
      </c>
      <c r="P150" s="245"/>
      <c r="Q150" s="2564"/>
      <c r="R150" s="2564"/>
      <c r="S150" s="254"/>
      <c r="T150" s="544" t="s">
        <v>3785</v>
      </c>
      <c r="U150" s="2557"/>
      <c r="V150" s="256"/>
      <c r="W150" s="373">
        <v>800000</v>
      </c>
      <c r="X150" s="373">
        <v>394200</v>
      </c>
      <c r="Y150" s="248"/>
      <c r="Z150" s="247"/>
      <c r="AA150" s="248"/>
      <c r="AB150" s="340">
        <f t="shared" ref="AB150:AB160" si="38">V150+W150+X150+Y150+Z150+AA150</f>
        <v>1194200</v>
      </c>
      <c r="AC150" s="347">
        <f t="shared" si="36"/>
        <v>0</v>
      </c>
      <c r="AD150" s="249"/>
      <c r="AE150" s="435">
        <f>+(I150*3842000+J150*(3842000+100000))*1.08+((I150+J150+K150)*150000)*1.08+(500000*1.08)</f>
        <v>4851360</v>
      </c>
      <c r="AF150" s="342">
        <f t="shared" si="37"/>
        <v>6045560</v>
      </c>
      <c r="AG150" s="251">
        <f t="shared" si="32"/>
        <v>4492000</v>
      </c>
      <c r="AH150" s="241"/>
      <c r="AI150" s="241"/>
      <c r="AJ150" s="241"/>
      <c r="AK150" s="194"/>
      <c r="AL150" s="195"/>
      <c r="AM150" s="3830" t="s">
        <v>3786</v>
      </c>
    </row>
    <row r="151" spans="2:40" ht="31.2">
      <c r="B151" s="253">
        <v>2</v>
      </c>
      <c r="C151" s="244"/>
      <c r="D151" s="256"/>
      <c r="E151" s="547" t="s">
        <v>1793</v>
      </c>
      <c r="F151" s="604" t="s">
        <v>1794</v>
      </c>
      <c r="G151" s="391" t="s">
        <v>3787</v>
      </c>
      <c r="H151" s="230" t="s">
        <v>3579</v>
      </c>
      <c r="I151" s="230"/>
      <c r="J151" s="230">
        <v>1</v>
      </c>
      <c r="K151" s="230"/>
      <c r="L151" s="228"/>
      <c r="M151" s="257"/>
      <c r="N151" s="228" t="s">
        <v>1795</v>
      </c>
      <c r="O151" s="375" t="s">
        <v>1796</v>
      </c>
      <c r="P151" s="245"/>
      <c r="Q151" s="2564"/>
      <c r="R151" s="2564"/>
      <c r="S151" s="254"/>
      <c r="T151" s="228"/>
      <c r="U151" s="2552"/>
      <c r="V151" s="256"/>
      <c r="W151" s="324">
        <v>999000</v>
      </c>
      <c r="X151" s="373">
        <v>1450000</v>
      </c>
      <c r="Y151" s="248"/>
      <c r="Z151" s="247"/>
      <c r="AA151" s="248"/>
      <c r="AB151" s="340">
        <f t="shared" si="38"/>
        <v>2449000</v>
      </c>
      <c r="AC151" s="347">
        <f t="shared" si="36"/>
        <v>0</v>
      </c>
      <c r="AD151" s="249"/>
      <c r="AE151" s="435">
        <f>+(I151*3842000+J151*(3842000+100000))*1.08+((I151+J151+K151)*150000)*1.08</f>
        <v>4419360</v>
      </c>
      <c r="AF151" s="342">
        <f t="shared" si="37"/>
        <v>6868360</v>
      </c>
      <c r="AG151" s="251">
        <f t="shared" si="32"/>
        <v>4091999.9999999995</v>
      </c>
      <c r="AH151" s="241"/>
      <c r="AI151" s="241"/>
      <c r="AJ151" s="241"/>
      <c r="AK151" s="194"/>
      <c r="AL151" s="195"/>
      <c r="AM151" s="3831"/>
    </row>
    <row r="152" spans="2:40" ht="31.2">
      <c r="B152" s="253">
        <v>3</v>
      </c>
      <c r="C152" s="244"/>
      <c r="D152" s="256"/>
      <c r="E152" s="547" t="s">
        <v>1797</v>
      </c>
      <c r="F152" s="604" t="s">
        <v>1794</v>
      </c>
      <c r="G152" s="391" t="s">
        <v>3788</v>
      </c>
      <c r="H152" s="230" t="s">
        <v>3579</v>
      </c>
      <c r="I152" s="230">
        <v>1</v>
      </c>
      <c r="J152" s="230"/>
      <c r="K152" s="230"/>
      <c r="L152" s="228"/>
      <c r="M152" s="257"/>
      <c r="N152" s="228" t="s">
        <v>1798</v>
      </c>
      <c r="O152" s="375" t="s">
        <v>1799</v>
      </c>
      <c r="P152" s="245"/>
      <c r="Q152" s="2564"/>
      <c r="R152" s="2564"/>
      <c r="S152" s="254"/>
      <c r="T152" s="228"/>
      <c r="U152" s="2552"/>
      <c r="V152" s="256"/>
      <c r="W152" s="324">
        <v>561600</v>
      </c>
      <c r="X152" s="373">
        <v>890000</v>
      </c>
      <c r="Y152" s="248"/>
      <c r="Z152" s="247"/>
      <c r="AA152" s="248"/>
      <c r="AB152" s="340">
        <f t="shared" si="38"/>
        <v>1451600</v>
      </c>
      <c r="AC152" s="347">
        <f t="shared" si="36"/>
        <v>0</v>
      </c>
      <c r="AD152" s="249"/>
      <c r="AE152" s="435">
        <f>+(I152*3842000+J152*(3842000+100000))*1.08+((I152+J152+K152)*150000)*1.08</f>
        <v>4311360</v>
      </c>
      <c r="AF152" s="342">
        <f t="shared" si="37"/>
        <v>5762960</v>
      </c>
      <c r="AG152" s="251">
        <f t="shared" si="32"/>
        <v>3991999.9999999995</v>
      </c>
      <c r="AH152" s="241"/>
      <c r="AI152" s="241"/>
      <c r="AJ152" s="241"/>
      <c r="AK152" s="194"/>
      <c r="AL152" s="195"/>
      <c r="AM152" s="3831"/>
    </row>
    <row r="153" spans="2:40">
      <c r="B153" s="253">
        <v>4</v>
      </c>
      <c r="C153" s="244"/>
      <c r="D153" s="256"/>
      <c r="E153" s="474">
        <v>305960054320</v>
      </c>
      <c r="F153" s="604" t="s">
        <v>1808</v>
      </c>
      <c r="G153" s="391" t="s">
        <v>3789</v>
      </c>
      <c r="H153" s="230" t="s">
        <v>210</v>
      </c>
      <c r="I153" s="230">
        <v>1</v>
      </c>
      <c r="J153" s="230"/>
      <c r="K153" s="230"/>
      <c r="L153" s="228"/>
      <c r="M153" s="257"/>
      <c r="N153" s="228" t="s">
        <v>1806</v>
      </c>
      <c r="O153" s="228" t="s">
        <v>1807</v>
      </c>
      <c r="P153" s="245"/>
      <c r="Q153" s="2564"/>
      <c r="R153" s="2564"/>
      <c r="S153" s="254"/>
      <c r="T153" s="228"/>
      <c r="U153" s="2552"/>
      <c r="V153" s="256"/>
      <c r="W153" s="373">
        <v>900000</v>
      </c>
      <c r="X153" s="373">
        <v>394200</v>
      </c>
      <c r="Y153" s="248"/>
      <c r="Z153" s="247"/>
      <c r="AA153" s="248"/>
      <c r="AB153" s="340">
        <f t="shared" si="38"/>
        <v>1294200</v>
      </c>
      <c r="AC153" s="347">
        <f t="shared" si="36"/>
        <v>0</v>
      </c>
      <c r="AD153" s="249"/>
      <c r="AE153" s="435">
        <f>+(I153*3842000+J153*(3842000+100000))*1.08+((I153+J153+K153)*150000)*1.08</f>
        <v>4311360</v>
      </c>
      <c r="AF153" s="342">
        <f t="shared" si="37"/>
        <v>5605560</v>
      </c>
      <c r="AG153" s="251">
        <f t="shared" si="32"/>
        <v>3991999.9999999995</v>
      </c>
      <c r="AH153" s="241"/>
      <c r="AI153" s="241"/>
      <c r="AJ153" s="241"/>
      <c r="AK153" s="194"/>
      <c r="AL153" s="195"/>
      <c r="AM153" s="3831"/>
    </row>
    <row r="154" spans="2:40">
      <c r="B154" s="253">
        <v>5</v>
      </c>
      <c r="C154" s="244"/>
      <c r="D154" s="256"/>
      <c r="E154" s="474">
        <v>305963443460</v>
      </c>
      <c r="F154" s="604" t="s">
        <v>1810</v>
      </c>
      <c r="G154" s="391" t="s">
        <v>3790</v>
      </c>
      <c r="H154" s="230" t="s">
        <v>210</v>
      </c>
      <c r="I154" s="230"/>
      <c r="J154" s="230">
        <v>1</v>
      </c>
      <c r="K154" s="230"/>
      <c r="L154" s="228"/>
      <c r="N154" s="228">
        <v>71778991</v>
      </c>
      <c r="O154" s="228" t="s">
        <v>1809</v>
      </c>
      <c r="P154" s="245"/>
      <c r="Q154" s="2564"/>
      <c r="R154" s="2564"/>
      <c r="S154" s="254"/>
      <c r="T154" s="228"/>
      <c r="U154" s="2552"/>
      <c r="V154" s="256"/>
      <c r="W154" s="373">
        <v>1050000</v>
      </c>
      <c r="X154" s="373">
        <v>1140000</v>
      </c>
      <c r="Y154" s="248"/>
      <c r="Z154" s="247"/>
      <c r="AA154" s="248"/>
      <c r="AB154" s="340">
        <f t="shared" si="38"/>
        <v>2190000</v>
      </c>
      <c r="AC154" s="347">
        <f t="shared" si="36"/>
        <v>0</v>
      </c>
      <c r="AD154" s="249"/>
      <c r="AE154" s="435">
        <f>+(I154*3842000+J154*(3842000+100000))*1.08+((I154+J154+K154)*150000)*1.08</f>
        <v>4419360</v>
      </c>
      <c r="AF154" s="342">
        <f t="shared" si="37"/>
        <v>6609360</v>
      </c>
      <c r="AG154" s="251">
        <f t="shared" si="32"/>
        <v>4091999.9999999995</v>
      </c>
      <c r="AH154" s="241"/>
      <c r="AI154" s="241"/>
      <c r="AJ154" s="241"/>
      <c r="AK154" s="194"/>
      <c r="AL154" s="195"/>
      <c r="AM154" s="3831"/>
    </row>
    <row r="155" spans="2:40">
      <c r="B155" s="253">
        <v>6</v>
      </c>
      <c r="C155" s="244"/>
      <c r="D155" s="275"/>
      <c r="E155" s="466">
        <v>105862109360</v>
      </c>
      <c r="F155" s="604" t="s">
        <v>1810</v>
      </c>
      <c r="G155" s="391" t="s">
        <v>3791</v>
      </c>
      <c r="H155" s="230" t="s">
        <v>3579</v>
      </c>
      <c r="I155" s="230"/>
      <c r="J155" s="230"/>
      <c r="K155" s="230">
        <v>1</v>
      </c>
      <c r="L155" s="228"/>
      <c r="M155" s="543" t="s">
        <v>1826</v>
      </c>
      <c r="N155" s="228" t="s">
        <v>1811</v>
      </c>
      <c r="O155" s="228"/>
      <c r="P155" s="245"/>
      <c r="Q155" s="2564"/>
      <c r="R155" s="2564"/>
      <c r="S155" s="254"/>
      <c r="T155" s="543" t="s">
        <v>1826</v>
      </c>
      <c r="U155" s="2556"/>
      <c r="V155" s="324">
        <v>78467</v>
      </c>
      <c r="W155" s="248"/>
      <c r="X155" s="248"/>
      <c r="Y155" s="248"/>
      <c r="Z155" s="247"/>
      <c r="AA155" s="248"/>
      <c r="AB155" s="340">
        <f t="shared" si="38"/>
        <v>78467</v>
      </c>
      <c r="AC155" s="347">
        <f t="shared" si="36"/>
        <v>0</v>
      </c>
      <c r="AD155" s="249"/>
      <c r="AE155" s="435">
        <f>+(2568000*1.08+((I155+J155+K155)*150000)*1.08)</f>
        <v>2935440</v>
      </c>
      <c r="AF155" s="342">
        <f t="shared" si="37"/>
        <v>3013907</v>
      </c>
      <c r="AG155" s="251">
        <f t="shared" si="32"/>
        <v>2718000</v>
      </c>
      <c r="AH155" s="241"/>
      <c r="AI155" s="241"/>
      <c r="AJ155" s="241"/>
      <c r="AK155" s="194"/>
      <c r="AL155" s="195"/>
      <c r="AM155" s="3831"/>
    </row>
    <row r="156" spans="2:40">
      <c r="B156" s="253">
        <v>7</v>
      </c>
      <c r="C156" s="244"/>
      <c r="D156" s="256"/>
      <c r="E156" s="474">
        <v>305986454930</v>
      </c>
      <c r="F156" s="603" t="s">
        <v>1837</v>
      </c>
      <c r="G156" s="391" t="s">
        <v>3792</v>
      </c>
      <c r="H156" s="230" t="s">
        <v>210</v>
      </c>
      <c r="I156" s="230"/>
      <c r="J156" s="230">
        <v>1</v>
      </c>
      <c r="K156" s="230"/>
      <c r="L156" s="228"/>
      <c r="M156" s="257"/>
      <c r="N156" s="228" t="s">
        <v>1844</v>
      </c>
      <c r="O156" s="375" t="s">
        <v>1845</v>
      </c>
      <c r="P156" s="245"/>
      <c r="Q156" s="2564"/>
      <c r="R156" s="2564"/>
      <c r="S156" s="254"/>
      <c r="T156" s="228"/>
      <c r="U156" s="2552"/>
      <c r="V156" s="256"/>
      <c r="W156" s="373">
        <v>1450000</v>
      </c>
      <c r="X156" s="373">
        <v>1160000</v>
      </c>
      <c r="Y156" s="248"/>
      <c r="Z156" s="247"/>
      <c r="AA156" s="248"/>
      <c r="AB156" s="340">
        <f t="shared" si="38"/>
        <v>2610000</v>
      </c>
      <c r="AC156" s="347">
        <f t="shared" si="36"/>
        <v>0</v>
      </c>
      <c r="AD156" s="249"/>
      <c r="AE156" s="435">
        <f>+(I156*3842000+J156*(3842000+100000))*1.08+((I156+J156+K156)*150000)*1.08</f>
        <v>4419360</v>
      </c>
      <c r="AF156" s="342">
        <f>+AB156+AE156</f>
        <v>7029360</v>
      </c>
      <c r="AG156" s="251">
        <f t="shared" si="32"/>
        <v>4091999.9999999995</v>
      </c>
      <c r="AH156" s="241"/>
      <c r="AI156" s="241"/>
      <c r="AJ156" s="241"/>
      <c r="AK156" s="194"/>
      <c r="AL156" s="195"/>
      <c r="AM156" s="3831"/>
    </row>
    <row r="157" spans="2:40">
      <c r="B157" s="253">
        <v>8</v>
      </c>
      <c r="C157" s="244"/>
      <c r="D157" s="256"/>
      <c r="E157" s="474">
        <v>305989580910</v>
      </c>
      <c r="F157" s="603" t="s">
        <v>1846</v>
      </c>
      <c r="G157" s="391" t="s">
        <v>3793</v>
      </c>
      <c r="H157" s="230" t="s">
        <v>210</v>
      </c>
      <c r="I157" s="230">
        <v>1</v>
      </c>
      <c r="J157" s="230"/>
      <c r="K157" s="230"/>
      <c r="L157" s="228"/>
      <c r="M157" s="257"/>
      <c r="N157" s="228" t="s">
        <v>3794</v>
      </c>
      <c r="O157" s="228" t="s">
        <v>1854</v>
      </c>
      <c r="P157" s="245"/>
      <c r="Q157" s="2564"/>
      <c r="R157" s="2564"/>
      <c r="S157" s="254"/>
      <c r="T157" s="228"/>
      <c r="U157" s="2552"/>
      <c r="V157" s="256"/>
      <c r="W157" s="373">
        <v>900000</v>
      </c>
      <c r="X157" s="373">
        <v>394200</v>
      </c>
      <c r="Y157" s="248"/>
      <c r="Z157" s="247"/>
      <c r="AA157" s="248"/>
      <c r="AB157" s="340">
        <f t="shared" si="38"/>
        <v>1294200</v>
      </c>
      <c r="AC157" s="347">
        <f t="shared" si="36"/>
        <v>0</v>
      </c>
      <c r="AD157" s="249"/>
      <c r="AE157" s="435">
        <f>+(I157*3842000+J157*(3842000+100000))*1.08+((I157+J157+K157)*150000)*1.08</f>
        <v>4311360</v>
      </c>
      <c r="AF157" s="342">
        <f t="shared" si="37"/>
        <v>5605560</v>
      </c>
      <c r="AG157" s="251">
        <f t="shared" si="32"/>
        <v>3991999.9999999995</v>
      </c>
      <c r="AH157" s="241"/>
      <c r="AI157" s="241"/>
      <c r="AJ157" s="241"/>
      <c r="AK157" s="194"/>
      <c r="AL157" s="195"/>
      <c r="AM157" s="3831"/>
    </row>
    <row r="158" spans="2:40" ht="17.25" customHeight="1">
      <c r="B158" s="253">
        <v>9</v>
      </c>
      <c r="C158" s="244"/>
      <c r="D158" s="256"/>
      <c r="E158" s="474">
        <v>306005584310</v>
      </c>
      <c r="F158" s="603" t="s">
        <v>1861</v>
      </c>
      <c r="G158" s="391" t="s">
        <v>3795</v>
      </c>
      <c r="H158" s="230" t="s">
        <v>210</v>
      </c>
      <c r="I158" s="230"/>
      <c r="J158" s="230">
        <v>1</v>
      </c>
      <c r="K158" s="230"/>
      <c r="L158" s="228"/>
      <c r="M158" s="257"/>
      <c r="N158" s="228" t="s">
        <v>1859</v>
      </c>
      <c r="O158" s="228" t="s">
        <v>1860</v>
      </c>
      <c r="P158" s="245"/>
      <c r="Q158" s="2564"/>
      <c r="R158" s="2564"/>
      <c r="S158" s="254"/>
      <c r="T158" s="228"/>
      <c r="U158" s="2552"/>
      <c r="V158" s="256"/>
      <c r="W158" s="373">
        <v>920000</v>
      </c>
      <c r="X158" s="373">
        <v>696600</v>
      </c>
      <c r="Y158" s="248"/>
      <c r="Z158" s="247"/>
      <c r="AA158" s="248"/>
      <c r="AB158" s="340">
        <f t="shared" si="38"/>
        <v>1616600</v>
      </c>
      <c r="AC158" s="347">
        <f t="shared" si="36"/>
        <v>0</v>
      </c>
      <c r="AD158" s="249"/>
      <c r="AE158" s="435">
        <f>+(I158*3842000+J158*(3842000+100000))*1.08+((I158+J158+K158)*150000)*1.08</f>
        <v>4419360</v>
      </c>
      <c r="AF158" s="342">
        <f t="shared" si="37"/>
        <v>6035960</v>
      </c>
      <c r="AG158" s="251">
        <f t="shared" si="32"/>
        <v>4091999.9999999995</v>
      </c>
      <c r="AH158" s="241"/>
      <c r="AI158" s="241"/>
      <c r="AJ158" s="241"/>
      <c r="AK158" s="194"/>
      <c r="AL158" s="195"/>
      <c r="AM158" s="3831"/>
    </row>
    <row r="159" spans="2:40" ht="31.2">
      <c r="B159" s="253">
        <v>10</v>
      </c>
      <c r="C159" s="244"/>
      <c r="D159" s="256"/>
      <c r="E159" s="463" t="s">
        <v>1881</v>
      </c>
      <c r="F159" s="603" t="s">
        <v>1880</v>
      </c>
      <c r="G159" s="391" t="s">
        <v>3796</v>
      </c>
      <c r="H159" s="230" t="s">
        <v>3579</v>
      </c>
      <c r="I159" s="230">
        <v>1</v>
      </c>
      <c r="J159" s="230"/>
      <c r="K159" s="230"/>
      <c r="L159" s="526" t="s">
        <v>136</v>
      </c>
      <c r="M159" s="257"/>
      <c r="N159" s="228" t="s">
        <v>1882</v>
      </c>
      <c r="O159" s="228" t="s">
        <v>1883</v>
      </c>
      <c r="P159" s="245"/>
      <c r="Q159" s="2564"/>
      <c r="R159" s="2564"/>
      <c r="S159" s="254"/>
      <c r="T159" s="228"/>
      <c r="U159" s="2552"/>
      <c r="V159" s="256"/>
      <c r="W159" s="324">
        <v>648000</v>
      </c>
      <c r="X159" s="373">
        <v>900000</v>
      </c>
      <c r="Y159" s="248"/>
      <c r="Z159" s="247"/>
      <c r="AA159" s="248"/>
      <c r="AB159" s="340">
        <f t="shared" si="38"/>
        <v>1548000</v>
      </c>
      <c r="AC159" s="347">
        <f t="shared" si="36"/>
        <v>0</v>
      </c>
      <c r="AD159" s="249"/>
      <c r="AE159" s="435">
        <f>+(I159*3842000+J159*(3842000+100000))*1.08+((I159+J159+K159)*150000)*1.08</f>
        <v>4311360</v>
      </c>
      <c r="AF159" s="342">
        <f t="shared" si="37"/>
        <v>5859360</v>
      </c>
      <c r="AG159" s="251">
        <f t="shared" si="32"/>
        <v>3991999.9999999995</v>
      </c>
      <c r="AH159" s="241"/>
      <c r="AI159" s="241"/>
      <c r="AJ159" s="241"/>
      <c r="AK159" s="194"/>
      <c r="AL159" s="195"/>
      <c r="AM159" s="3831"/>
    </row>
    <row r="160" spans="2:40">
      <c r="B160" s="253">
        <v>11</v>
      </c>
      <c r="C160" s="244"/>
      <c r="D160" s="256"/>
      <c r="E160" s="474">
        <v>306032667900</v>
      </c>
      <c r="F160" s="603" t="s">
        <v>1932</v>
      </c>
      <c r="G160" s="391" t="s">
        <v>3797</v>
      </c>
      <c r="H160" s="230" t="s">
        <v>210</v>
      </c>
      <c r="I160" s="230"/>
      <c r="J160" s="230">
        <v>1</v>
      </c>
      <c r="K160" s="230"/>
      <c r="L160" s="228"/>
      <c r="M160" s="257"/>
      <c r="N160" s="228" t="s">
        <v>1937</v>
      </c>
      <c r="O160" s="228" t="s">
        <v>1938</v>
      </c>
      <c r="P160" s="245"/>
      <c r="Q160" s="2564"/>
      <c r="R160" s="2564"/>
      <c r="S160" s="254"/>
      <c r="T160" s="228"/>
      <c r="U160" s="2552"/>
      <c r="V160" s="256"/>
      <c r="W160" s="373">
        <v>1450000</v>
      </c>
      <c r="X160" s="373">
        <v>1160000</v>
      </c>
      <c r="Y160" s="248"/>
      <c r="Z160" s="247"/>
      <c r="AA160" s="248"/>
      <c r="AB160" s="340">
        <f t="shared" si="38"/>
        <v>2610000</v>
      </c>
      <c r="AC160" s="347">
        <f>+Z160</f>
        <v>0</v>
      </c>
      <c r="AD160" s="249"/>
      <c r="AE160" s="435">
        <f>+(I160*3842000+J160*(3842000+100000))*1.08+((I160+J160+K160)*150000)*1.08</f>
        <v>4419360</v>
      </c>
      <c r="AF160" s="342">
        <f>+AB160+AE160</f>
        <v>7029360</v>
      </c>
      <c r="AG160" s="251">
        <f t="shared" si="32"/>
        <v>4091999.9999999995</v>
      </c>
      <c r="AH160" s="241"/>
      <c r="AI160" s="241"/>
      <c r="AJ160" s="241"/>
      <c r="AK160" s="194"/>
      <c r="AL160" s="195"/>
      <c r="AM160" s="3832"/>
    </row>
    <row r="161" spans="2:40">
      <c r="B161" s="649" t="s">
        <v>3798</v>
      </c>
      <c r="C161" s="650"/>
      <c r="D161" s="346"/>
      <c r="E161" s="650"/>
      <c r="F161" s="650"/>
      <c r="G161" s="650"/>
      <c r="H161" s="650"/>
      <c r="I161" s="1303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57"/>
      <c r="W161" s="357"/>
      <c r="X161" s="357"/>
      <c r="Y161" s="357"/>
      <c r="Z161" s="357"/>
      <c r="AA161" s="357"/>
      <c r="AB161" s="358">
        <f>SUM(AB150:AB159)</f>
        <v>15726267</v>
      </c>
      <c r="AC161" s="358">
        <f>SUM(AC140:AC157)</f>
        <v>0</v>
      </c>
      <c r="AD161" s="358">
        <f>SUM(AD138:AD157)</f>
        <v>0</v>
      </c>
      <c r="AE161" s="358">
        <f>SUM(AE150:AE159)</f>
        <v>42709680</v>
      </c>
      <c r="AF161" s="358">
        <f>+AB161+AE161</f>
        <v>58435947</v>
      </c>
      <c r="AG161" s="358"/>
      <c r="AH161" s="357"/>
      <c r="AI161" s="357"/>
      <c r="AJ161" s="357"/>
      <c r="AK161" s="357"/>
      <c r="AL161" s="357"/>
      <c r="AM161" s="357"/>
      <c r="AN161" s="357"/>
    </row>
    <row r="162" spans="2:40">
      <c r="B162" s="253">
        <v>1</v>
      </c>
      <c r="C162" s="244"/>
      <c r="D162" s="256"/>
      <c r="E162" s="466">
        <v>105956095930</v>
      </c>
      <c r="F162" s="603" t="s">
        <v>1960</v>
      </c>
      <c r="G162" s="391" t="s">
        <v>3799</v>
      </c>
      <c r="H162" s="230" t="s">
        <v>3579</v>
      </c>
      <c r="I162" s="230">
        <v>1</v>
      </c>
      <c r="J162" s="230"/>
      <c r="K162" s="230"/>
      <c r="L162" s="228"/>
      <c r="M162" s="257"/>
      <c r="N162" s="228" t="s">
        <v>1972</v>
      </c>
      <c r="O162" s="228" t="s">
        <v>1973</v>
      </c>
      <c r="P162" s="245"/>
      <c r="Q162" s="2564"/>
      <c r="R162" s="2564"/>
      <c r="S162" s="254"/>
      <c r="T162" s="228"/>
      <c r="U162" s="2552"/>
      <c r="V162" s="324">
        <v>167400</v>
      </c>
      <c r="W162" s="324">
        <v>394200</v>
      </c>
      <c r="X162" s="373">
        <v>890000</v>
      </c>
      <c r="Y162" s="248"/>
      <c r="Z162" s="247"/>
      <c r="AA162" s="248"/>
      <c r="AB162" s="340">
        <f t="shared" ref="AB162:AB173" si="39">V162+W162+X162+Y162+Z162+AA162</f>
        <v>1451600</v>
      </c>
      <c r="AC162" s="347">
        <f t="shared" si="36"/>
        <v>0</v>
      </c>
      <c r="AD162" s="249"/>
      <c r="AE162" s="435">
        <f t="shared" ref="AE162:AE173" si="40">+(I162*3714000+J162*(3714000+100000))*1.08+((I162+J162+K162)*150000)*1.08</f>
        <v>4173120.0000000005</v>
      </c>
      <c r="AF162" s="342">
        <f t="shared" si="37"/>
        <v>5624720</v>
      </c>
      <c r="AG162" s="251">
        <f t="shared" si="32"/>
        <v>3864000</v>
      </c>
      <c r="AH162" s="241"/>
      <c r="AI162" s="241"/>
      <c r="AJ162" s="241"/>
      <c r="AK162" s="194"/>
      <c r="AL162" s="195"/>
      <c r="AM162" s="195"/>
    </row>
    <row r="163" spans="2:40" ht="31.2">
      <c r="B163" s="253">
        <v>2</v>
      </c>
      <c r="C163" s="244"/>
      <c r="D163" s="256"/>
      <c r="E163" s="463" t="s">
        <v>1974</v>
      </c>
      <c r="F163" s="603" t="s">
        <v>1960</v>
      </c>
      <c r="G163" s="391" t="s">
        <v>3800</v>
      </c>
      <c r="H163" s="230" t="s">
        <v>3579</v>
      </c>
      <c r="I163" s="230">
        <v>1</v>
      </c>
      <c r="J163" s="230"/>
      <c r="K163" s="230"/>
      <c r="L163" s="526" t="s">
        <v>136</v>
      </c>
      <c r="M163" s="257"/>
      <c r="N163" s="228" t="s">
        <v>1976</v>
      </c>
      <c r="O163" s="228" t="s">
        <v>1975</v>
      </c>
      <c r="P163" s="245"/>
      <c r="Q163" s="2564"/>
      <c r="R163" s="2564"/>
      <c r="S163" s="254"/>
      <c r="T163" s="228"/>
      <c r="U163" s="2552"/>
      <c r="V163" s="256"/>
      <c r="W163" s="324">
        <v>648000</v>
      </c>
      <c r="X163" s="373">
        <v>890000</v>
      </c>
      <c r="Y163" s="248"/>
      <c r="Z163" s="247"/>
      <c r="AA163" s="248"/>
      <c r="AB163" s="340">
        <f t="shared" si="39"/>
        <v>1538000</v>
      </c>
      <c r="AC163" s="347">
        <f t="shared" ref="AC163:AC172" si="41">+Z163</f>
        <v>0</v>
      </c>
      <c r="AD163" s="249"/>
      <c r="AE163" s="435">
        <f t="shared" si="40"/>
        <v>4173120.0000000005</v>
      </c>
      <c r="AF163" s="342">
        <f t="shared" ref="AF163:AF172" si="42">+AB163+AE163</f>
        <v>5711120</v>
      </c>
      <c r="AG163" s="251">
        <f t="shared" si="32"/>
        <v>3864000</v>
      </c>
      <c r="AH163" s="241"/>
      <c r="AI163" s="241"/>
      <c r="AJ163" s="241"/>
      <c r="AK163" s="194"/>
      <c r="AL163" s="195"/>
      <c r="AM163" s="195"/>
    </row>
    <row r="164" spans="2:40">
      <c r="B164" s="253">
        <v>3</v>
      </c>
      <c r="C164" s="244"/>
      <c r="D164" s="256"/>
      <c r="E164" s="474">
        <v>306076606420</v>
      </c>
      <c r="F164" s="603" t="s">
        <v>1983</v>
      </c>
      <c r="G164" s="391" t="s">
        <v>3801</v>
      </c>
      <c r="H164" s="230" t="s">
        <v>210</v>
      </c>
      <c r="I164" s="230"/>
      <c r="J164" s="230">
        <v>1</v>
      </c>
      <c r="K164" s="230"/>
      <c r="L164" s="228"/>
      <c r="M164" s="257"/>
      <c r="N164" s="228">
        <v>6372084400</v>
      </c>
      <c r="O164" s="228" t="s">
        <v>1988</v>
      </c>
      <c r="P164" s="245"/>
      <c r="Q164" s="2564"/>
      <c r="R164" s="2564"/>
      <c r="S164" s="254"/>
      <c r="T164" s="228"/>
      <c r="U164" s="2552"/>
      <c r="V164" s="256"/>
      <c r="W164" s="373">
        <v>1140000</v>
      </c>
      <c r="X164" s="373">
        <v>1050000</v>
      </c>
      <c r="Y164" s="248"/>
      <c r="Z164" s="247"/>
      <c r="AA164" s="248"/>
      <c r="AB164" s="340">
        <f t="shared" si="39"/>
        <v>2190000</v>
      </c>
      <c r="AC164" s="347">
        <f t="shared" si="41"/>
        <v>0</v>
      </c>
      <c r="AD164" s="249"/>
      <c r="AE164" s="435">
        <f t="shared" si="40"/>
        <v>4281120</v>
      </c>
      <c r="AF164" s="342">
        <f t="shared" si="42"/>
        <v>6471120</v>
      </c>
      <c r="AG164" s="251">
        <f t="shared" si="32"/>
        <v>3963999.9999999995</v>
      </c>
      <c r="AH164" s="241"/>
      <c r="AI164" s="241"/>
      <c r="AJ164" s="241"/>
      <c r="AK164" s="194"/>
      <c r="AL164" s="195"/>
      <c r="AM164" s="195"/>
    </row>
    <row r="165" spans="2:40" ht="31.2">
      <c r="B165" s="253">
        <v>4</v>
      </c>
      <c r="C165" s="244"/>
      <c r="D165" s="256"/>
      <c r="E165" s="474">
        <v>306088884640</v>
      </c>
      <c r="F165" s="603" t="s">
        <v>2009</v>
      </c>
      <c r="G165" s="391" t="s">
        <v>3802</v>
      </c>
      <c r="H165" s="230" t="s">
        <v>210</v>
      </c>
      <c r="I165" s="230"/>
      <c r="J165" s="230">
        <v>2</v>
      </c>
      <c r="K165" s="230"/>
      <c r="L165" s="228"/>
      <c r="M165" s="257"/>
      <c r="N165" s="228">
        <v>6370938580</v>
      </c>
      <c r="O165" s="254" t="s">
        <v>2018</v>
      </c>
      <c r="P165" s="245"/>
      <c r="Q165" s="2564"/>
      <c r="R165" s="2564"/>
      <c r="S165" s="254"/>
      <c r="T165" s="228"/>
      <c r="U165" s="2552"/>
      <c r="V165" s="256"/>
      <c r="W165" s="373">
        <f>1450000+1450000</f>
        <v>2900000</v>
      </c>
      <c r="X165" s="373">
        <f>1140000+1140000</f>
        <v>2280000</v>
      </c>
      <c r="Y165" s="248"/>
      <c r="Z165" s="247"/>
      <c r="AA165" s="248"/>
      <c r="AB165" s="340">
        <f t="shared" si="39"/>
        <v>5180000</v>
      </c>
      <c r="AC165" s="347">
        <f t="shared" si="41"/>
        <v>0</v>
      </c>
      <c r="AD165" s="249"/>
      <c r="AE165" s="435">
        <f t="shared" si="40"/>
        <v>8562240</v>
      </c>
      <c r="AF165" s="342">
        <f t="shared" si="42"/>
        <v>13742240</v>
      </c>
      <c r="AG165" s="251">
        <f t="shared" si="32"/>
        <v>7927999.9999999991</v>
      </c>
      <c r="AH165" s="241"/>
      <c r="AI165" s="241"/>
      <c r="AJ165" s="241"/>
      <c r="AK165" s="194"/>
      <c r="AL165" s="195"/>
      <c r="AM165" s="195"/>
    </row>
    <row r="166" spans="2:40">
      <c r="B166" s="253">
        <v>5</v>
      </c>
      <c r="C166" s="244"/>
      <c r="D166" s="256"/>
      <c r="E166" s="474">
        <v>306090531850</v>
      </c>
      <c r="F166" s="603" t="s">
        <v>2014</v>
      </c>
      <c r="G166" s="391" t="s">
        <v>3803</v>
      </c>
      <c r="H166" s="230" t="s">
        <v>210</v>
      </c>
      <c r="I166" s="230"/>
      <c r="J166" s="230">
        <v>1</v>
      </c>
      <c r="K166" s="230"/>
      <c r="L166" s="228"/>
      <c r="M166" s="257"/>
      <c r="N166" s="228" t="s">
        <v>3804</v>
      </c>
      <c r="O166" s="228" t="s">
        <v>2019</v>
      </c>
      <c r="P166" s="245"/>
      <c r="Q166" s="2564"/>
      <c r="R166" s="2564"/>
      <c r="S166" s="254"/>
      <c r="T166" s="228"/>
      <c r="U166" s="2552"/>
      <c r="V166" s="256"/>
      <c r="W166" s="373">
        <v>1050000</v>
      </c>
      <c r="X166" s="373">
        <v>1160000</v>
      </c>
      <c r="Y166" s="248"/>
      <c r="Z166" s="247"/>
      <c r="AA166" s="248"/>
      <c r="AB166" s="340">
        <f t="shared" si="39"/>
        <v>2210000</v>
      </c>
      <c r="AC166" s="347">
        <f t="shared" si="41"/>
        <v>0</v>
      </c>
      <c r="AD166" s="249"/>
      <c r="AE166" s="435">
        <f t="shared" si="40"/>
        <v>4281120</v>
      </c>
      <c r="AF166" s="342">
        <f t="shared" si="42"/>
        <v>6491120</v>
      </c>
      <c r="AG166" s="251">
        <f t="shared" ref="AG166:AG173" si="43">+AE166/1.08</f>
        <v>3963999.9999999995</v>
      </c>
      <c r="AH166" s="241"/>
      <c r="AI166" s="241"/>
      <c r="AJ166" s="241"/>
      <c r="AK166" s="194"/>
      <c r="AL166" s="195"/>
      <c r="AM166" s="195"/>
    </row>
    <row r="167" spans="2:40">
      <c r="B167" s="253">
        <v>6</v>
      </c>
      <c r="C167" s="244"/>
      <c r="D167" s="256"/>
      <c r="E167" s="474">
        <v>306091865610</v>
      </c>
      <c r="F167" s="603" t="s">
        <v>2015</v>
      </c>
      <c r="G167" s="391" t="s">
        <v>3805</v>
      </c>
      <c r="H167" s="230" t="s">
        <v>210</v>
      </c>
      <c r="I167" s="230"/>
      <c r="J167" s="230">
        <v>1</v>
      </c>
      <c r="K167" s="230"/>
      <c r="L167" s="228"/>
      <c r="M167" s="257"/>
      <c r="N167" s="228">
        <v>6372167310</v>
      </c>
      <c r="O167" s="228" t="s">
        <v>2020</v>
      </c>
      <c r="P167" s="245"/>
      <c r="Q167" s="2564"/>
      <c r="R167" s="2564"/>
      <c r="S167" s="254"/>
      <c r="T167" s="228"/>
      <c r="U167" s="2552"/>
      <c r="V167" s="256"/>
      <c r="W167" s="373">
        <v>1450000</v>
      </c>
      <c r="X167" s="373">
        <v>1140000</v>
      </c>
      <c r="Y167" s="248"/>
      <c r="Z167" s="247"/>
      <c r="AA167" s="248"/>
      <c r="AB167" s="340">
        <f t="shared" si="39"/>
        <v>2590000</v>
      </c>
      <c r="AC167" s="347">
        <f t="shared" si="41"/>
        <v>0</v>
      </c>
      <c r="AD167" s="249"/>
      <c r="AE167" s="435">
        <f t="shared" si="40"/>
        <v>4281120</v>
      </c>
      <c r="AF167" s="342">
        <f t="shared" si="42"/>
        <v>6871120</v>
      </c>
      <c r="AG167" s="251">
        <f t="shared" si="43"/>
        <v>3963999.9999999995</v>
      </c>
      <c r="AH167" s="241"/>
      <c r="AI167" s="241"/>
      <c r="AJ167" s="241"/>
      <c r="AK167" s="194"/>
      <c r="AL167" s="195"/>
      <c r="AM167" s="195"/>
    </row>
    <row r="168" spans="2:40" ht="31.2">
      <c r="B168" s="253">
        <v>7</v>
      </c>
      <c r="C168" s="244"/>
      <c r="D168" s="256"/>
      <c r="E168" s="474">
        <v>306092553120</v>
      </c>
      <c r="F168" s="603" t="s">
        <v>2015</v>
      </c>
      <c r="G168" s="391" t="s">
        <v>3806</v>
      </c>
      <c r="H168" s="230" t="s">
        <v>210</v>
      </c>
      <c r="I168" s="230"/>
      <c r="J168" s="230">
        <v>2</v>
      </c>
      <c r="K168" s="230"/>
      <c r="L168" s="228"/>
      <c r="M168" s="257"/>
      <c r="N168" s="228">
        <v>6372167330</v>
      </c>
      <c r="O168" s="292" t="s">
        <v>2021</v>
      </c>
      <c r="P168" s="245"/>
      <c r="Q168" s="2564"/>
      <c r="R168" s="2564"/>
      <c r="S168" s="254"/>
      <c r="T168" s="228"/>
      <c r="U168" s="2552"/>
      <c r="V168" s="256"/>
      <c r="W168" s="373">
        <f>1450000+1450000</f>
        <v>2900000</v>
      </c>
      <c r="X168" s="373">
        <f>1140000+1140000</f>
        <v>2280000</v>
      </c>
      <c r="Y168" s="248"/>
      <c r="Z168" s="247"/>
      <c r="AA168" s="248"/>
      <c r="AB168" s="340">
        <f t="shared" si="39"/>
        <v>5180000</v>
      </c>
      <c r="AC168" s="347">
        <f t="shared" si="41"/>
        <v>0</v>
      </c>
      <c r="AD168" s="249"/>
      <c r="AE168" s="435">
        <f t="shared" si="40"/>
        <v>8562240</v>
      </c>
      <c r="AF168" s="342">
        <f t="shared" si="42"/>
        <v>13742240</v>
      </c>
      <c r="AG168" s="251">
        <f t="shared" si="43"/>
        <v>7927999.9999999991</v>
      </c>
      <c r="AH168" s="241"/>
      <c r="AI168" s="241"/>
      <c r="AJ168" s="241"/>
      <c r="AK168" s="194"/>
      <c r="AL168" s="195"/>
      <c r="AM168" s="195"/>
    </row>
    <row r="169" spans="2:40">
      <c r="B169" s="253">
        <v>8</v>
      </c>
      <c r="C169" s="244"/>
      <c r="D169" s="256"/>
      <c r="E169" s="474">
        <v>306096469360</v>
      </c>
      <c r="F169" s="603" t="s">
        <v>2016</v>
      </c>
      <c r="G169" s="391" t="s">
        <v>3807</v>
      </c>
      <c r="H169" s="230" t="s">
        <v>210</v>
      </c>
      <c r="I169" s="230"/>
      <c r="J169" s="230">
        <v>1</v>
      </c>
      <c r="K169" s="230"/>
      <c r="L169" s="228"/>
      <c r="M169" s="257"/>
      <c r="N169" s="228" t="s">
        <v>3804</v>
      </c>
      <c r="O169" s="228" t="s">
        <v>2030</v>
      </c>
      <c r="P169" s="245"/>
      <c r="Q169" s="2564"/>
      <c r="R169" s="2564"/>
      <c r="S169" s="254"/>
      <c r="T169" s="228"/>
      <c r="U169" s="2552"/>
      <c r="V169" s="256"/>
      <c r="W169" s="373">
        <v>1350000</v>
      </c>
      <c r="X169" s="373">
        <f>3480000/3</f>
        <v>1160000</v>
      </c>
      <c r="Y169" s="248"/>
      <c r="Z169" s="247"/>
      <c r="AA169" s="248"/>
      <c r="AB169" s="340">
        <f t="shared" si="39"/>
        <v>2510000</v>
      </c>
      <c r="AC169" s="347">
        <f t="shared" si="41"/>
        <v>0</v>
      </c>
      <c r="AD169" s="249"/>
      <c r="AE169" s="435">
        <f t="shared" si="40"/>
        <v>4281120</v>
      </c>
      <c r="AF169" s="342">
        <f t="shared" si="42"/>
        <v>6791120</v>
      </c>
      <c r="AG169" s="251">
        <f t="shared" si="43"/>
        <v>3963999.9999999995</v>
      </c>
      <c r="AH169" s="241"/>
      <c r="AI169" s="241"/>
      <c r="AJ169" s="241"/>
      <c r="AK169" s="194"/>
      <c r="AL169" s="195"/>
      <c r="AM169" s="195"/>
    </row>
    <row r="170" spans="2:40">
      <c r="B170" s="253">
        <v>9</v>
      </c>
      <c r="C170" s="244"/>
      <c r="D170" s="256"/>
      <c r="E170" s="474">
        <v>306095303420</v>
      </c>
      <c r="F170" s="603" t="s">
        <v>2016</v>
      </c>
      <c r="G170" s="391" t="s">
        <v>3808</v>
      </c>
      <c r="H170" s="230" t="s">
        <v>210</v>
      </c>
      <c r="I170" s="230"/>
      <c r="J170" s="230">
        <v>1</v>
      </c>
      <c r="K170" s="230"/>
      <c r="L170" s="228"/>
      <c r="M170" s="257"/>
      <c r="N170" s="228" t="s">
        <v>3804</v>
      </c>
      <c r="O170" s="228" t="s">
        <v>2031</v>
      </c>
      <c r="P170" s="245"/>
      <c r="Q170" s="2564"/>
      <c r="R170" s="2564"/>
      <c r="S170" s="254"/>
      <c r="T170" s="228"/>
      <c r="U170" s="2552"/>
      <c r="V170" s="256"/>
      <c r="W170" s="373">
        <v>1450000</v>
      </c>
      <c r="X170" s="373">
        <f>3480000/3</f>
        <v>1160000</v>
      </c>
      <c r="Y170" s="248"/>
      <c r="Z170" s="247"/>
      <c r="AA170" s="248"/>
      <c r="AB170" s="340">
        <f t="shared" si="39"/>
        <v>2610000</v>
      </c>
      <c r="AC170" s="347">
        <f>+Z170</f>
        <v>0</v>
      </c>
      <c r="AD170" s="249"/>
      <c r="AE170" s="435">
        <f t="shared" si="40"/>
        <v>4281120</v>
      </c>
      <c r="AF170" s="342">
        <f t="shared" si="42"/>
        <v>6891120</v>
      </c>
      <c r="AG170" s="251">
        <f t="shared" si="43"/>
        <v>3963999.9999999995</v>
      </c>
      <c r="AH170" s="241"/>
      <c r="AI170" s="241"/>
      <c r="AJ170" s="241"/>
      <c r="AK170" s="194"/>
      <c r="AL170" s="195"/>
      <c r="AM170" s="195"/>
    </row>
    <row r="171" spans="2:40">
      <c r="B171" s="253">
        <v>10</v>
      </c>
      <c r="C171" s="244"/>
      <c r="D171" s="256"/>
      <c r="E171" s="474">
        <v>306095678950</v>
      </c>
      <c r="F171" s="603" t="s">
        <v>2016</v>
      </c>
      <c r="G171" s="391" t="s">
        <v>3809</v>
      </c>
      <c r="H171" s="230" t="s">
        <v>210</v>
      </c>
      <c r="I171" s="230"/>
      <c r="J171" s="230">
        <v>1</v>
      </c>
      <c r="K171" s="230"/>
      <c r="L171" s="228"/>
      <c r="M171" s="257"/>
      <c r="N171" s="228" t="s">
        <v>3804</v>
      </c>
      <c r="O171" s="228" t="s">
        <v>2032</v>
      </c>
      <c r="P171" s="245"/>
      <c r="Q171" s="2564"/>
      <c r="R171" s="2564"/>
      <c r="S171" s="254"/>
      <c r="T171" s="228"/>
      <c r="U171" s="2552"/>
      <c r="V171" s="256"/>
      <c r="W171" s="373">
        <v>1350000</v>
      </c>
      <c r="X171" s="373">
        <f>3480000/3</f>
        <v>1160000</v>
      </c>
      <c r="Y171" s="248"/>
      <c r="Z171" s="247"/>
      <c r="AA171" s="248"/>
      <c r="AB171" s="340">
        <f t="shared" si="39"/>
        <v>2510000</v>
      </c>
      <c r="AC171" s="347">
        <f>+Z171</f>
        <v>0</v>
      </c>
      <c r="AD171" s="249"/>
      <c r="AE171" s="435">
        <f t="shared" si="40"/>
        <v>4281120</v>
      </c>
      <c r="AF171" s="342">
        <f t="shared" si="42"/>
        <v>6791120</v>
      </c>
      <c r="AG171" s="251">
        <f t="shared" si="43"/>
        <v>3963999.9999999995</v>
      </c>
      <c r="AH171" s="241"/>
      <c r="AI171" s="241"/>
      <c r="AJ171" s="241"/>
      <c r="AK171" s="194"/>
      <c r="AL171" s="195"/>
      <c r="AM171" s="195"/>
    </row>
    <row r="172" spans="2:40">
      <c r="B172" s="253">
        <v>11</v>
      </c>
      <c r="C172" s="244"/>
      <c r="D172" s="256"/>
      <c r="E172" s="474">
        <v>306098636120</v>
      </c>
      <c r="F172" s="603" t="s">
        <v>2017</v>
      </c>
      <c r="G172" s="391" t="s">
        <v>3810</v>
      </c>
      <c r="H172" s="230" t="s">
        <v>210</v>
      </c>
      <c r="I172" s="230"/>
      <c r="J172" s="230">
        <v>1</v>
      </c>
      <c r="K172" s="230"/>
      <c r="L172" s="228"/>
      <c r="M172" s="257"/>
      <c r="N172" s="228" t="s">
        <v>3804</v>
      </c>
      <c r="O172" s="228" t="s">
        <v>2036</v>
      </c>
      <c r="P172" s="245"/>
      <c r="Q172" s="2564"/>
      <c r="R172" s="2564"/>
      <c r="S172" s="254"/>
      <c r="T172" s="228"/>
      <c r="U172" s="2552"/>
      <c r="V172" s="256"/>
      <c r="W172" s="373">
        <v>1050000</v>
      </c>
      <c r="X172" s="373">
        <f>2320000/2</f>
        <v>1160000</v>
      </c>
      <c r="Y172" s="248"/>
      <c r="Z172" s="247"/>
      <c r="AA172" s="248"/>
      <c r="AB172" s="340">
        <f t="shared" si="39"/>
        <v>2210000</v>
      </c>
      <c r="AC172" s="347">
        <f t="shared" si="41"/>
        <v>0</v>
      </c>
      <c r="AD172" s="249"/>
      <c r="AE172" s="435">
        <f t="shared" si="40"/>
        <v>4281120</v>
      </c>
      <c r="AF172" s="342">
        <f t="shared" si="42"/>
        <v>6491120</v>
      </c>
      <c r="AG172" s="251">
        <f t="shared" si="43"/>
        <v>3963999.9999999995</v>
      </c>
      <c r="AH172" s="241"/>
      <c r="AI172" s="241"/>
      <c r="AJ172" s="241"/>
      <c r="AK172" s="194"/>
      <c r="AL172" s="195"/>
      <c r="AM172" s="195"/>
    </row>
    <row r="173" spans="2:40">
      <c r="B173" s="253">
        <v>12</v>
      </c>
      <c r="C173" s="244"/>
      <c r="D173" s="256"/>
      <c r="E173" s="474">
        <v>306100832500</v>
      </c>
      <c r="F173" s="603" t="s">
        <v>2017</v>
      </c>
      <c r="G173" s="391" t="s">
        <v>3811</v>
      </c>
      <c r="H173" s="230" t="s">
        <v>210</v>
      </c>
      <c r="I173" s="230"/>
      <c r="J173" s="230">
        <v>1</v>
      </c>
      <c r="K173" s="230"/>
      <c r="L173" s="228"/>
      <c r="M173" s="257"/>
      <c r="N173" s="228" t="s">
        <v>3804</v>
      </c>
      <c r="O173" s="228" t="s">
        <v>2037</v>
      </c>
      <c r="P173" s="245"/>
      <c r="Q173" s="2564"/>
      <c r="R173" s="2564"/>
      <c r="S173" s="254"/>
      <c r="T173" s="228"/>
      <c r="U173" s="2552"/>
      <c r="V173" s="256"/>
      <c r="W173" s="373">
        <v>1450000</v>
      </c>
      <c r="X173" s="373">
        <f>2320000/2</f>
        <v>1160000</v>
      </c>
      <c r="Y173" s="248"/>
      <c r="Z173" s="247"/>
      <c r="AA173" s="248"/>
      <c r="AB173" s="340">
        <f t="shared" si="39"/>
        <v>2610000</v>
      </c>
      <c r="AC173" s="347">
        <f>+Z173</f>
        <v>0</v>
      </c>
      <c r="AD173" s="249"/>
      <c r="AE173" s="435">
        <f t="shared" si="40"/>
        <v>4281120</v>
      </c>
      <c r="AF173" s="342">
        <f>+AB173+AE173</f>
        <v>6891120</v>
      </c>
      <c r="AG173" s="251">
        <f t="shared" si="43"/>
        <v>3963999.9999999995</v>
      </c>
      <c r="AH173" s="241"/>
      <c r="AI173" s="241"/>
      <c r="AJ173" s="241"/>
      <c r="AK173" s="194"/>
      <c r="AL173" s="195"/>
      <c r="AM173" s="195"/>
    </row>
    <row r="174" spans="2:40">
      <c r="B174" s="649" t="s">
        <v>3812</v>
      </c>
      <c r="C174" s="650"/>
      <c r="D174" s="346"/>
      <c r="E174" s="650"/>
      <c r="F174" s="650"/>
      <c r="G174" s="650"/>
      <c r="H174" s="650"/>
      <c r="I174" s="1303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57"/>
      <c r="W174" s="357"/>
      <c r="X174" s="357"/>
      <c r="Y174" s="357"/>
      <c r="Z174" s="357"/>
      <c r="AA174" s="357"/>
      <c r="AB174" s="358">
        <f>SUM(AB162:AB173)</f>
        <v>32789600</v>
      </c>
      <c r="AC174" s="358">
        <f>SUM(AC153:AC170)</f>
        <v>0</v>
      </c>
      <c r="AD174" s="358">
        <f>SUM(AD151:AD170)</f>
        <v>0</v>
      </c>
      <c r="AE174" s="358">
        <f>SUM(AE162:AE173)</f>
        <v>59719680</v>
      </c>
      <c r="AF174" s="358">
        <f>+AB174+AE174</f>
        <v>92509280</v>
      </c>
      <c r="AG174" s="358">
        <f>+AE174/1.08</f>
        <v>55296000</v>
      </c>
      <c r="AH174" s="357"/>
      <c r="AI174" s="357"/>
      <c r="AJ174" s="357"/>
      <c r="AK174" s="357"/>
      <c r="AL174" s="357"/>
      <c r="AM174" s="357"/>
    </row>
    <row r="175" spans="2:40">
      <c r="B175" s="253">
        <v>1</v>
      </c>
      <c r="C175" s="244"/>
      <c r="D175" s="587"/>
      <c r="E175" s="466">
        <v>105995242841</v>
      </c>
      <c r="F175" s="604" t="s">
        <v>2054</v>
      </c>
      <c r="G175" s="391" t="s">
        <v>3813</v>
      </c>
      <c r="H175" s="230" t="s">
        <v>3579</v>
      </c>
      <c r="I175" s="230"/>
      <c r="J175" s="230"/>
      <c r="K175" s="230">
        <v>1</v>
      </c>
      <c r="L175" s="228"/>
      <c r="M175" s="275">
        <v>438500</v>
      </c>
      <c r="N175" s="228" t="s">
        <v>2055</v>
      </c>
      <c r="P175" s="245"/>
      <c r="Q175" s="2564"/>
      <c r="R175" s="2564"/>
      <c r="S175" s="254"/>
      <c r="T175" s="228"/>
      <c r="U175" s="2552"/>
      <c r="V175" s="324">
        <v>35345</v>
      </c>
      <c r="W175" s="248"/>
      <c r="X175" s="248"/>
      <c r="Y175" s="248"/>
      <c r="Z175" s="247"/>
      <c r="AA175" s="248"/>
      <c r="AB175" s="340">
        <f t="shared" ref="AB175:AB187" si="44">V175+W175+X175+Y175+Z175+AA175</f>
        <v>35345</v>
      </c>
      <c r="AC175" s="347">
        <f>+Z175</f>
        <v>0</v>
      </c>
      <c r="AD175" s="249"/>
      <c r="AE175" s="435">
        <f>+(1320000*1.08+((I175+J175+K175)*150000)*1.08)</f>
        <v>1587600</v>
      </c>
      <c r="AF175" s="342">
        <f>+AB175+AE175</f>
        <v>1622945</v>
      </c>
      <c r="AG175" s="251">
        <f>+AE175/1.08</f>
        <v>1470000</v>
      </c>
      <c r="AH175" s="241"/>
      <c r="AI175" s="241"/>
      <c r="AJ175" s="241"/>
      <c r="AK175" s="194"/>
      <c r="AL175" s="195"/>
      <c r="AM175" s="195"/>
    </row>
    <row r="176" spans="2:40">
      <c r="B176" s="253">
        <v>2</v>
      </c>
      <c r="C176" s="244"/>
      <c r="D176" s="587"/>
      <c r="E176" s="474">
        <v>306120212920</v>
      </c>
      <c r="F176" s="604" t="s">
        <v>2064</v>
      </c>
      <c r="G176" s="391" t="s">
        <v>3814</v>
      </c>
      <c r="H176" s="230" t="s">
        <v>748</v>
      </c>
      <c r="I176" s="230"/>
      <c r="J176" s="230">
        <v>1</v>
      </c>
      <c r="K176" s="230"/>
      <c r="L176" s="228"/>
      <c r="M176" s="257"/>
      <c r="N176" s="228">
        <v>6372167180</v>
      </c>
      <c r="O176" s="228" t="s">
        <v>3815</v>
      </c>
      <c r="P176" s="245"/>
      <c r="Q176" s="2564"/>
      <c r="R176" s="2564"/>
      <c r="S176" s="254"/>
      <c r="T176" s="228"/>
      <c r="U176" s="2552"/>
      <c r="V176" s="256"/>
      <c r="W176" s="373">
        <v>1140000</v>
      </c>
      <c r="X176" s="373">
        <v>1450000</v>
      </c>
      <c r="Y176" s="248"/>
      <c r="Z176" s="247"/>
      <c r="AA176" s="248"/>
      <c r="AB176" s="340">
        <f t="shared" si="44"/>
        <v>2590000</v>
      </c>
      <c r="AC176" s="347">
        <f t="shared" ref="AC176:AC183" si="45">+Z176</f>
        <v>0</v>
      </c>
      <c r="AD176" s="249"/>
      <c r="AE176" s="435">
        <f t="shared" ref="AE176:AE184" si="46">+(I176*3714000+J176*(3714000+100000))*1.08+((I176+J176+K176)*150000)*1.08</f>
        <v>4281120</v>
      </c>
      <c r="AF176" s="342">
        <f t="shared" ref="AF176:AF183" si="47">+AB176+AE176</f>
        <v>6871120</v>
      </c>
      <c r="AG176" s="251">
        <f t="shared" ref="AG176:AG183" si="48">+AE176/1.08</f>
        <v>3963999.9999999995</v>
      </c>
      <c r="AH176" s="241"/>
      <c r="AI176" s="241"/>
      <c r="AJ176" s="241"/>
      <c r="AK176" s="194"/>
      <c r="AL176" s="195"/>
      <c r="AM176" s="195"/>
    </row>
    <row r="177" spans="2:39" ht="31.2">
      <c r="B177" s="253">
        <v>3</v>
      </c>
      <c r="C177" s="244"/>
      <c r="D177" s="587"/>
      <c r="E177" s="474">
        <v>306122185740</v>
      </c>
      <c r="F177" s="604" t="s">
        <v>2065</v>
      </c>
      <c r="G177" s="391" t="s">
        <v>3816</v>
      </c>
      <c r="H177" s="230" t="s">
        <v>210</v>
      </c>
      <c r="I177" s="230"/>
      <c r="J177" s="230">
        <v>2</v>
      </c>
      <c r="K177" s="230"/>
      <c r="L177" s="228"/>
      <c r="M177" s="257"/>
      <c r="N177" s="228">
        <v>6372167400</v>
      </c>
      <c r="O177" s="254" t="s">
        <v>2066</v>
      </c>
      <c r="P177" s="245"/>
      <c r="Q177" s="2564"/>
      <c r="R177" s="2564"/>
      <c r="S177" s="254"/>
      <c r="T177" s="228"/>
      <c r="U177" s="2552"/>
      <c r="V177" s="256"/>
      <c r="W177" s="373">
        <f>1140000+1140000</f>
        <v>2280000</v>
      </c>
      <c r="X177" s="373">
        <f>1450000+1450000</f>
        <v>2900000</v>
      </c>
      <c r="Y177" s="248"/>
      <c r="Z177" s="247"/>
      <c r="AA177" s="248"/>
      <c r="AB177" s="340">
        <f t="shared" si="44"/>
        <v>5180000</v>
      </c>
      <c r="AC177" s="347">
        <f t="shared" si="45"/>
        <v>0</v>
      </c>
      <c r="AD177" s="249"/>
      <c r="AE177" s="435">
        <f t="shared" si="46"/>
        <v>8562240</v>
      </c>
      <c r="AF177" s="342">
        <f t="shared" si="47"/>
        <v>13742240</v>
      </c>
      <c r="AG177" s="251">
        <f t="shared" si="48"/>
        <v>7927999.9999999991</v>
      </c>
      <c r="AH177" s="241"/>
      <c r="AI177" s="241"/>
      <c r="AJ177" s="241"/>
      <c r="AK177" s="194"/>
      <c r="AL177" s="195"/>
      <c r="AM177" s="195"/>
    </row>
    <row r="178" spans="2:39" ht="16.5" customHeight="1">
      <c r="B178" s="253">
        <v>4</v>
      </c>
      <c r="C178" s="244"/>
      <c r="D178" s="587"/>
      <c r="E178" s="474">
        <v>306126807950</v>
      </c>
      <c r="F178" s="604" t="s">
        <v>2068</v>
      </c>
      <c r="G178" s="391" t="s">
        <v>3817</v>
      </c>
      <c r="H178" s="230" t="s">
        <v>210</v>
      </c>
      <c r="I178" s="230"/>
      <c r="J178" s="230">
        <v>1</v>
      </c>
      <c r="K178" s="230"/>
      <c r="L178" s="228"/>
      <c r="M178" s="257"/>
      <c r="N178" s="228" t="s">
        <v>3818</v>
      </c>
      <c r="O178" s="228" t="s">
        <v>2067</v>
      </c>
      <c r="P178" s="245"/>
      <c r="Q178" s="2564"/>
      <c r="R178" s="2564"/>
      <c r="S178" s="254"/>
      <c r="T178" s="228"/>
      <c r="U178" s="2552"/>
      <c r="V178" s="256"/>
      <c r="W178" s="373">
        <v>1050000</v>
      </c>
      <c r="X178" s="373">
        <v>1140000</v>
      </c>
      <c r="Y178" s="248"/>
      <c r="Z178" s="247"/>
      <c r="AA178" s="248"/>
      <c r="AB178" s="340">
        <f t="shared" si="44"/>
        <v>2190000</v>
      </c>
      <c r="AC178" s="347">
        <f t="shared" si="45"/>
        <v>0</v>
      </c>
      <c r="AD178" s="249"/>
      <c r="AE178" s="435">
        <f t="shared" si="46"/>
        <v>4281120</v>
      </c>
      <c r="AF178" s="342">
        <f t="shared" si="47"/>
        <v>6471120</v>
      </c>
      <c r="AG178" s="251">
        <f t="shared" si="48"/>
        <v>3963999.9999999995</v>
      </c>
      <c r="AH178" s="241"/>
      <c r="AI178" s="241"/>
      <c r="AJ178" s="241"/>
      <c r="AK178" s="194"/>
      <c r="AL178" s="195"/>
      <c r="AM178" s="195"/>
    </row>
    <row r="179" spans="2:39">
      <c r="B179" s="253">
        <v>5</v>
      </c>
      <c r="C179" s="244"/>
      <c r="D179" s="587"/>
      <c r="E179" s="474">
        <v>306126608450</v>
      </c>
      <c r="F179" s="604" t="s">
        <v>2068</v>
      </c>
      <c r="G179" s="391" t="s">
        <v>3819</v>
      </c>
      <c r="H179" s="230" t="s">
        <v>210</v>
      </c>
      <c r="I179" s="230"/>
      <c r="J179" s="230">
        <v>1</v>
      </c>
      <c r="K179" s="230"/>
      <c r="L179" s="228"/>
      <c r="M179" s="257"/>
      <c r="N179" s="228">
        <v>6373833340</v>
      </c>
      <c r="O179" s="228" t="s">
        <v>2069</v>
      </c>
      <c r="P179" s="245"/>
      <c r="Q179" s="2564"/>
      <c r="R179" s="2564"/>
      <c r="S179" s="254"/>
      <c r="T179" s="228"/>
      <c r="U179" s="2552"/>
      <c r="V179" s="256"/>
      <c r="W179" s="373">
        <v>1140000</v>
      </c>
      <c r="X179" s="373">
        <v>1450000</v>
      </c>
      <c r="Y179" s="248"/>
      <c r="Z179" s="247"/>
      <c r="AA179" s="248"/>
      <c r="AB179" s="340">
        <f t="shared" si="44"/>
        <v>2590000</v>
      </c>
      <c r="AC179" s="347">
        <f t="shared" si="45"/>
        <v>0</v>
      </c>
      <c r="AD179" s="249"/>
      <c r="AE179" s="435">
        <f t="shared" si="46"/>
        <v>4281120</v>
      </c>
      <c r="AF179" s="342">
        <f t="shared" si="47"/>
        <v>6871120</v>
      </c>
      <c r="AG179" s="251">
        <f t="shared" si="48"/>
        <v>3963999.9999999995</v>
      </c>
      <c r="AH179" s="241"/>
      <c r="AI179" s="241"/>
      <c r="AJ179" s="241"/>
      <c r="AK179" s="194"/>
      <c r="AL179" s="195"/>
      <c r="AM179" s="195"/>
    </row>
    <row r="180" spans="2:39">
      <c r="B180" s="253">
        <v>6</v>
      </c>
      <c r="C180" s="244"/>
      <c r="D180" s="587"/>
      <c r="E180" s="474">
        <v>306146969940</v>
      </c>
      <c r="F180" s="604" t="s">
        <v>2087</v>
      </c>
      <c r="G180" s="391" t="s">
        <v>3820</v>
      </c>
      <c r="H180" s="230" t="s">
        <v>210</v>
      </c>
      <c r="I180" s="230">
        <v>1</v>
      </c>
      <c r="J180" s="230"/>
      <c r="K180" s="230"/>
      <c r="L180" s="228"/>
      <c r="M180" s="257"/>
      <c r="N180" s="228" t="s">
        <v>2094</v>
      </c>
      <c r="O180" s="228" t="s">
        <v>2095</v>
      </c>
      <c r="P180" s="245"/>
      <c r="Q180" s="2564"/>
      <c r="R180" s="2564"/>
      <c r="S180" s="254"/>
      <c r="T180" s="228"/>
      <c r="U180" s="2552"/>
      <c r="V180" s="256"/>
      <c r="W180" s="373">
        <v>900000</v>
      </c>
      <c r="X180" s="373">
        <v>710000</v>
      </c>
      <c r="Y180" s="248"/>
      <c r="Z180" s="247"/>
      <c r="AA180" s="248"/>
      <c r="AB180" s="340">
        <f t="shared" si="44"/>
        <v>1610000</v>
      </c>
      <c r="AC180" s="347">
        <f t="shared" si="45"/>
        <v>0</v>
      </c>
      <c r="AD180" s="249"/>
      <c r="AE180" s="435">
        <f t="shared" si="46"/>
        <v>4173120.0000000005</v>
      </c>
      <c r="AF180" s="342">
        <f t="shared" si="47"/>
        <v>5783120</v>
      </c>
      <c r="AG180" s="251">
        <f t="shared" si="48"/>
        <v>3864000</v>
      </c>
      <c r="AH180" s="241"/>
      <c r="AI180" s="241"/>
      <c r="AJ180" s="241"/>
      <c r="AK180" s="194"/>
      <c r="AL180" s="195"/>
      <c r="AM180" s="195"/>
    </row>
    <row r="181" spans="2:39" ht="31.2">
      <c r="B181" s="253">
        <v>7</v>
      </c>
      <c r="C181" s="244"/>
      <c r="D181" s="587"/>
      <c r="E181" s="474">
        <v>306155270430</v>
      </c>
      <c r="F181" s="603" t="s">
        <v>2113</v>
      </c>
      <c r="G181" s="391" t="s">
        <v>3821</v>
      </c>
      <c r="H181" s="230" t="s">
        <v>210</v>
      </c>
      <c r="I181" s="230"/>
      <c r="J181" s="230">
        <v>2</v>
      </c>
      <c r="K181" s="230"/>
      <c r="L181" s="228"/>
      <c r="M181" s="257"/>
      <c r="N181" s="228">
        <v>6372572030</v>
      </c>
      <c r="O181" s="254" t="s">
        <v>2118</v>
      </c>
      <c r="P181" s="245"/>
      <c r="Q181" s="2564"/>
      <c r="R181" s="2564"/>
      <c r="S181" s="254"/>
      <c r="T181" s="228"/>
      <c r="U181" s="2552"/>
      <c r="V181" s="256"/>
      <c r="W181" s="373">
        <f>1450000+1450000</f>
        <v>2900000</v>
      </c>
      <c r="X181" s="373">
        <f>1140000+1140000</f>
        <v>2280000</v>
      </c>
      <c r="Y181" s="248"/>
      <c r="Z181" s="247"/>
      <c r="AA181" s="248"/>
      <c r="AB181" s="340">
        <f t="shared" si="44"/>
        <v>5180000</v>
      </c>
      <c r="AC181" s="347">
        <f t="shared" si="45"/>
        <v>0</v>
      </c>
      <c r="AD181" s="249"/>
      <c r="AE181" s="435">
        <f t="shared" si="46"/>
        <v>8562240</v>
      </c>
      <c r="AF181" s="342">
        <f t="shared" si="47"/>
        <v>13742240</v>
      </c>
      <c r="AG181" s="251">
        <f t="shared" si="48"/>
        <v>7927999.9999999991</v>
      </c>
      <c r="AH181" s="241"/>
      <c r="AI181" s="241"/>
      <c r="AJ181" s="241"/>
      <c r="AK181" s="194"/>
      <c r="AL181" s="195"/>
      <c r="AM181" s="195"/>
    </row>
    <row r="182" spans="2:39">
      <c r="B182" s="253">
        <v>8</v>
      </c>
      <c r="C182" s="244"/>
      <c r="D182" s="587"/>
      <c r="E182" s="474">
        <v>306159236260</v>
      </c>
      <c r="F182" s="603" t="s">
        <v>2110</v>
      </c>
      <c r="G182" s="391" t="s">
        <v>3822</v>
      </c>
      <c r="H182" s="230" t="s">
        <v>210</v>
      </c>
      <c r="I182" s="230"/>
      <c r="J182" s="230">
        <v>1</v>
      </c>
      <c r="K182" s="230"/>
      <c r="L182" s="228"/>
      <c r="M182" s="257"/>
      <c r="N182" s="228" t="s">
        <v>2119</v>
      </c>
      <c r="O182" s="228" t="s">
        <v>2120</v>
      </c>
      <c r="P182" s="245"/>
      <c r="Q182" s="2564"/>
      <c r="R182" s="2564"/>
      <c r="S182" s="254"/>
      <c r="T182" s="228"/>
      <c r="U182" s="2552"/>
      <c r="V182" s="256"/>
      <c r="W182" s="373">
        <v>1300000</v>
      </c>
      <c r="X182" s="373">
        <v>766800</v>
      </c>
      <c r="Y182" s="248"/>
      <c r="Z182" s="247"/>
      <c r="AA182" s="248"/>
      <c r="AB182" s="340">
        <f t="shared" si="44"/>
        <v>2066800</v>
      </c>
      <c r="AC182" s="347">
        <f t="shared" si="45"/>
        <v>0</v>
      </c>
      <c r="AD182" s="249"/>
      <c r="AE182" s="435">
        <f t="shared" si="46"/>
        <v>4281120</v>
      </c>
      <c r="AF182" s="342">
        <f t="shared" si="47"/>
        <v>6347920</v>
      </c>
      <c r="AG182" s="251">
        <f t="shared" si="48"/>
        <v>3963999.9999999995</v>
      </c>
      <c r="AH182" s="241"/>
      <c r="AI182" s="241"/>
      <c r="AJ182" s="241"/>
      <c r="AK182" s="194"/>
      <c r="AL182" s="195"/>
      <c r="AM182" s="195"/>
    </row>
    <row r="183" spans="2:39">
      <c r="B183" s="253">
        <v>9</v>
      </c>
      <c r="C183" s="244"/>
      <c r="D183" s="587"/>
      <c r="E183" s="474">
        <v>306164049240</v>
      </c>
      <c r="F183" s="603" t="s">
        <v>2124</v>
      </c>
      <c r="G183" s="391" t="s">
        <v>3823</v>
      </c>
      <c r="H183" s="230" t="s">
        <v>210</v>
      </c>
      <c r="I183" s="230"/>
      <c r="J183" s="230">
        <v>1</v>
      </c>
      <c r="K183" s="230"/>
      <c r="L183" s="228"/>
      <c r="M183" s="257"/>
      <c r="N183" s="228" t="s">
        <v>2134</v>
      </c>
      <c r="O183" s="228" t="s">
        <v>2128</v>
      </c>
      <c r="P183" s="245"/>
      <c r="Q183" s="2564"/>
      <c r="R183" s="2564"/>
      <c r="S183" s="254"/>
      <c r="T183" s="228"/>
      <c r="U183" s="2552"/>
      <c r="V183" s="256"/>
      <c r="W183" s="373">
        <v>588600</v>
      </c>
      <c r="X183" s="373">
        <v>1160000</v>
      </c>
      <c r="Y183" s="248"/>
      <c r="Z183" s="247"/>
      <c r="AA183" s="248"/>
      <c r="AB183" s="340">
        <f t="shared" si="44"/>
        <v>1748600</v>
      </c>
      <c r="AC183" s="347">
        <f t="shared" si="45"/>
        <v>0</v>
      </c>
      <c r="AD183" s="249"/>
      <c r="AE183" s="435">
        <f t="shared" si="46"/>
        <v>4281120</v>
      </c>
      <c r="AF183" s="342">
        <f t="shared" si="47"/>
        <v>6029720</v>
      </c>
      <c r="AG183" s="251">
        <f t="shared" si="48"/>
        <v>3963999.9999999995</v>
      </c>
      <c r="AH183" s="241"/>
      <c r="AI183" s="241"/>
      <c r="AJ183" s="241"/>
      <c r="AK183" s="194"/>
      <c r="AL183" s="195"/>
      <c r="AM183" s="195"/>
    </row>
    <row r="184" spans="2:39" ht="31.2">
      <c r="B184" s="253">
        <v>10</v>
      </c>
      <c r="C184" s="244"/>
      <c r="D184" s="587"/>
      <c r="E184" s="474">
        <v>306165372940</v>
      </c>
      <c r="F184" s="603" t="s">
        <v>2124</v>
      </c>
      <c r="G184" s="391" t="s">
        <v>3824</v>
      </c>
      <c r="H184" s="230" t="s">
        <v>210</v>
      </c>
      <c r="I184" s="230"/>
      <c r="J184" s="230">
        <v>2</v>
      </c>
      <c r="K184" s="230"/>
      <c r="L184" s="228"/>
      <c r="M184" s="257"/>
      <c r="N184" s="228">
        <v>6372572140</v>
      </c>
      <c r="O184" s="254" t="s">
        <v>2129</v>
      </c>
      <c r="P184" s="245"/>
      <c r="Q184" s="2564"/>
      <c r="R184" s="2564"/>
      <c r="S184" s="254"/>
      <c r="T184" s="228"/>
      <c r="U184" s="2552"/>
      <c r="V184" s="256"/>
      <c r="W184" s="373">
        <f>1450000+1450000</f>
        <v>2900000</v>
      </c>
      <c r="X184" s="373">
        <f>1140000+1140000</f>
        <v>2280000</v>
      </c>
      <c r="Y184" s="248"/>
      <c r="Z184" s="247"/>
      <c r="AA184" s="248"/>
      <c r="AB184" s="340">
        <f t="shared" si="44"/>
        <v>5180000</v>
      </c>
      <c r="AC184" s="347">
        <f>+Z184</f>
        <v>0</v>
      </c>
      <c r="AD184" s="249"/>
      <c r="AE184" s="435">
        <f t="shared" si="46"/>
        <v>8562240</v>
      </c>
      <c r="AF184" s="342">
        <f t="shared" ref="AF184:AF189" si="49">+AB184+AE184</f>
        <v>13742240</v>
      </c>
      <c r="AG184" s="251">
        <f t="shared" ref="AG184:AG189" si="50">+AE184/1.08</f>
        <v>7927999.9999999991</v>
      </c>
      <c r="AH184" s="241"/>
      <c r="AI184" s="241"/>
      <c r="AJ184" s="241"/>
      <c r="AK184" s="194"/>
      <c r="AL184" s="195"/>
      <c r="AM184" s="195"/>
    </row>
    <row r="185" spans="2:39">
      <c r="B185" s="253">
        <v>11</v>
      </c>
      <c r="C185" s="244"/>
      <c r="D185" s="475"/>
      <c r="E185" s="466">
        <v>106045421311</v>
      </c>
      <c r="F185" s="603" t="s">
        <v>2131</v>
      </c>
      <c r="G185" s="391" t="s">
        <v>3825</v>
      </c>
      <c r="H185" s="230" t="s">
        <v>3579</v>
      </c>
      <c r="I185" s="230"/>
      <c r="J185" s="230"/>
      <c r="K185" s="230">
        <v>1</v>
      </c>
      <c r="L185" s="228"/>
      <c r="M185" s="543" t="s">
        <v>2133</v>
      </c>
      <c r="N185" s="228" t="s">
        <v>2132</v>
      </c>
      <c r="O185" s="228"/>
      <c r="P185" s="245"/>
      <c r="Q185" s="2564"/>
      <c r="R185" s="2564"/>
      <c r="S185" s="254"/>
      <c r="T185" s="543" t="s">
        <v>2133</v>
      </c>
      <c r="U185" s="2556"/>
      <c r="V185" s="324">
        <v>13313</v>
      </c>
      <c r="W185" s="248"/>
      <c r="X185" s="248"/>
      <c r="Y185" s="248"/>
      <c r="Z185" s="247"/>
      <c r="AA185" s="248"/>
      <c r="AB185" s="340">
        <f t="shared" si="44"/>
        <v>13313</v>
      </c>
      <c r="AC185" s="347">
        <f>+Z185</f>
        <v>0</v>
      </c>
      <c r="AD185" s="249"/>
      <c r="AE185" s="435">
        <f>+(1320000*1.08+((I185+J185+K185)*150000)*1.08)</f>
        <v>1587600</v>
      </c>
      <c r="AF185" s="342">
        <f t="shared" si="49"/>
        <v>1600913</v>
      </c>
      <c r="AG185" s="251">
        <f t="shared" si="50"/>
        <v>1470000</v>
      </c>
      <c r="AH185" s="241"/>
      <c r="AI185" s="241"/>
      <c r="AJ185" s="241"/>
      <c r="AK185" s="194"/>
      <c r="AL185" s="195"/>
      <c r="AM185" s="195"/>
    </row>
    <row r="186" spans="2:39" ht="31.2">
      <c r="B186" s="253">
        <v>12</v>
      </c>
      <c r="C186" s="253"/>
      <c r="D186" s="228"/>
      <c r="E186" s="588" t="s">
        <v>2148</v>
      </c>
      <c r="F186" s="603" t="s">
        <v>2131</v>
      </c>
      <c r="G186" s="391" t="s">
        <v>3826</v>
      </c>
      <c r="H186" s="230" t="s">
        <v>3579</v>
      </c>
      <c r="I186" s="230"/>
      <c r="J186" s="228">
        <v>1</v>
      </c>
      <c r="K186" s="230"/>
      <c r="L186" s="230"/>
      <c r="M186" s="475"/>
      <c r="N186" s="589" t="s">
        <v>2147</v>
      </c>
      <c r="O186" s="254" t="s">
        <v>2146</v>
      </c>
      <c r="P186" s="228"/>
      <c r="Q186" s="2552"/>
      <c r="R186" s="2552"/>
      <c r="S186" s="245"/>
      <c r="T186" s="543"/>
      <c r="U186" s="2556"/>
      <c r="V186" s="256"/>
      <c r="W186" s="324">
        <v>1128600</v>
      </c>
      <c r="X186" s="373">
        <v>1250000</v>
      </c>
      <c r="Y186" s="248"/>
      <c r="Z186" s="248"/>
      <c r="AA186" s="247"/>
      <c r="AB186" s="340">
        <f t="shared" si="44"/>
        <v>2378600</v>
      </c>
      <c r="AC186" s="347">
        <f>+Z186</f>
        <v>0</v>
      </c>
      <c r="AD186" s="347"/>
      <c r="AE186" s="435">
        <f>+(I186*3714000+J186*(3714000+100000))*1.08+((I186+J186+K186)*150000)*1.08</f>
        <v>4281120</v>
      </c>
      <c r="AF186" s="342">
        <f t="shared" si="49"/>
        <v>6659720</v>
      </c>
      <c r="AG186" s="251">
        <f t="shared" si="50"/>
        <v>3963999.9999999995</v>
      </c>
      <c r="AH186" s="251"/>
      <c r="AI186" s="241"/>
      <c r="AJ186" s="241"/>
      <c r="AK186" s="241"/>
      <c r="AL186" s="194"/>
      <c r="AM186" s="195"/>
    </row>
    <row r="187" spans="2:39" ht="31.2">
      <c r="B187" s="253">
        <v>13</v>
      </c>
      <c r="C187" s="253"/>
      <c r="D187" s="228"/>
      <c r="E187" s="588" t="s">
        <v>2151</v>
      </c>
      <c r="F187" s="603" t="s">
        <v>2144</v>
      </c>
      <c r="G187" s="391" t="s">
        <v>3827</v>
      </c>
      <c r="H187" s="230" t="s">
        <v>3579</v>
      </c>
      <c r="I187" s="230"/>
      <c r="J187" s="228">
        <v>1</v>
      </c>
      <c r="K187" s="230"/>
      <c r="L187" s="230"/>
      <c r="M187" s="475"/>
      <c r="N187" s="254" t="s">
        <v>2150</v>
      </c>
      <c r="O187" s="254" t="s">
        <v>2149</v>
      </c>
      <c r="P187" s="228"/>
      <c r="Q187" s="2552"/>
      <c r="R187" s="2552"/>
      <c r="S187" s="245"/>
      <c r="T187" s="543"/>
      <c r="U187" s="2556"/>
      <c r="V187" s="324">
        <v>361800</v>
      </c>
      <c r="W187" s="324">
        <v>766800</v>
      </c>
      <c r="X187" s="373">
        <v>1050000</v>
      </c>
      <c r="Y187" s="248"/>
      <c r="Z187" s="248"/>
      <c r="AA187" s="247"/>
      <c r="AB187" s="340">
        <f t="shared" si="44"/>
        <v>2178600</v>
      </c>
      <c r="AC187" s="347">
        <f>+Z187</f>
        <v>0</v>
      </c>
      <c r="AD187" s="347"/>
      <c r="AE187" s="435">
        <f>+(I187*3714000+J187*(3714000+100000))*1.08+((I187+J187+K187)*150000)*1.08</f>
        <v>4281120</v>
      </c>
      <c r="AF187" s="342">
        <f t="shared" si="49"/>
        <v>6459720</v>
      </c>
      <c r="AG187" s="251">
        <f t="shared" si="50"/>
        <v>3963999.9999999995</v>
      </c>
      <c r="AH187" s="251"/>
      <c r="AI187" s="241"/>
      <c r="AJ187" s="241"/>
      <c r="AK187" s="241"/>
      <c r="AL187" s="194"/>
      <c r="AM187" s="195"/>
    </row>
    <row r="188" spans="2:39">
      <c r="B188" s="649" t="s">
        <v>3828</v>
      </c>
      <c r="C188" s="650"/>
      <c r="D188" s="346"/>
      <c r="E188" s="650"/>
      <c r="F188" s="650"/>
      <c r="G188" s="650"/>
      <c r="H188" s="650"/>
      <c r="I188" s="1303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57"/>
      <c r="W188" s="590"/>
      <c r="X188" s="357"/>
      <c r="Y188" s="357"/>
      <c r="Z188" s="357"/>
      <c r="AA188" s="357"/>
      <c r="AB188" s="358">
        <f>SUM(AB175:AB185)</f>
        <v>28384058</v>
      </c>
      <c r="AC188" s="358">
        <f>SUM(AC165:AC182)</f>
        <v>0</v>
      </c>
      <c r="AD188" s="358">
        <f>SUM(AD163:AD182)</f>
        <v>0</v>
      </c>
      <c r="AE188" s="358">
        <f>SUM(AE175:AE185)</f>
        <v>54440640</v>
      </c>
      <c r="AF188" s="358">
        <f t="shared" si="49"/>
        <v>82824698</v>
      </c>
      <c r="AG188" s="358">
        <f t="shared" si="50"/>
        <v>50408000</v>
      </c>
      <c r="AH188" s="357"/>
      <c r="AI188" s="357"/>
      <c r="AJ188" s="357"/>
      <c r="AK188" s="357"/>
      <c r="AL188" s="357"/>
      <c r="AM188" s="357"/>
    </row>
    <row r="189" spans="2:39" ht="31.2">
      <c r="B189" s="253">
        <v>1</v>
      </c>
      <c r="C189" s="244"/>
      <c r="D189" s="256"/>
      <c r="E189" s="474">
        <v>306174187230</v>
      </c>
      <c r="F189" s="603" t="s">
        <v>2144</v>
      </c>
      <c r="G189" s="391" t="s">
        <v>3829</v>
      </c>
      <c r="H189" s="230" t="s">
        <v>210</v>
      </c>
      <c r="I189" s="230">
        <v>1</v>
      </c>
      <c r="J189" s="230">
        <v>1</v>
      </c>
      <c r="K189" s="230"/>
      <c r="L189" s="228"/>
      <c r="M189" s="257"/>
      <c r="N189" s="228" t="s">
        <v>2143</v>
      </c>
      <c r="O189" s="254" t="s">
        <v>2145</v>
      </c>
      <c r="P189" s="245"/>
      <c r="Q189" s="2564"/>
      <c r="R189" s="2564"/>
      <c r="S189" s="254"/>
      <c r="T189" s="228"/>
      <c r="U189" s="2552"/>
      <c r="V189" s="256"/>
      <c r="W189" s="373">
        <f>1200000+750000</f>
        <v>1950000</v>
      </c>
      <c r="X189" s="373">
        <v>1870000</v>
      </c>
      <c r="Y189" s="248"/>
      <c r="Z189" s="247"/>
      <c r="AA189" s="248"/>
      <c r="AB189" s="340">
        <f t="shared" ref="AB189:AB201" si="51">V189+W189+X189+Y189+Z189+AA189</f>
        <v>3820000</v>
      </c>
      <c r="AC189" s="347">
        <f>+Z189</f>
        <v>0</v>
      </c>
      <c r="AD189" s="249"/>
      <c r="AE189" s="435">
        <f t="shared" ref="AE189:AE201" si="52">+(I189*3778000+J189*(3778000+100000))*1.08+((I189+J189+K189)*150000)*1.08</f>
        <v>8592480</v>
      </c>
      <c r="AF189" s="342">
        <f t="shared" si="49"/>
        <v>12412480</v>
      </c>
      <c r="AG189" s="251">
        <f t="shared" si="50"/>
        <v>7955999.9999999991</v>
      </c>
      <c r="AH189" s="241"/>
      <c r="AI189" s="241"/>
      <c r="AJ189" s="241"/>
      <c r="AK189" s="194"/>
      <c r="AL189" s="195"/>
      <c r="AM189" s="195"/>
    </row>
    <row r="190" spans="2:39">
      <c r="B190" s="253">
        <v>2</v>
      </c>
      <c r="C190" s="244"/>
      <c r="D190" s="256"/>
      <c r="E190" s="474">
        <v>306176122840</v>
      </c>
      <c r="F190" s="603" t="s">
        <v>2159</v>
      </c>
      <c r="G190" s="391" t="s">
        <v>3830</v>
      </c>
      <c r="H190" s="230" t="s">
        <v>748</v>
      </c>
      <c r="I190" s="230"/>
      <c r="J190" s="230">
        <v>1</v>
      </c>
      <c r="K190" s="230"/>
      <c r="L190" s="228"/>
      <c r="M190" s="257"/>
      <c r="N190" s="228" t="s">
        <v>2158</v>
      </c>
      <c r="O190" s="228" t="s">
        <v>2160</v>
      </c>
      <c r="P190" s="245"/>
      <c r="Q190" s="2564"/>
      <c r="R190" s="2564"/>
      <c r="S190" s="254"/>
      <c r="T190" s="228"/>
      <c r="U190" s="2552"/>
      <c r="V190" s="256"/>
      <c r="W190" s="373">
        <v>588600</v>
      </c>
      <c r="X190" s="373">
        <v>1160000</v>
      </c>
      <c r="Y190" s="248"/>
      <c r="Z190" s="247"/>
      <c r="AA190" s="248"/>
      <c r="AB190" s="340">
        <f t="shared" si="51"/>
        <v>1748600</v>
      </c>
      <c r="AC190" s="347">
        <f t="shared" ref="AC190:AC197" si="53">+Z190</f>
        <v>0</v>
      </c>
      <c r="AD190" s="249"/>
      <c r="AE190" s="435">
        <f t="shared" si="52"/>
        <v>4350240</v>
      </c>
      <c r="AF190" s="342">
        <f t="shared" ref="AF190:AF197" si="54">+AB190+AE190</f>
        <v>6098840</v>
      </c>
      <c r="AG190" s="251">
        <f t="shared" ref="AG190:AG197" si="55">+AE190/1.08</f>
        <v>4027999.9999999995</v>
      </c>
      <c r="AH190" s="241"/>
      <c r="AI190" s="241"/>
      <c r="AJ190" s="241"/>
      <c r="AK190" s="194"/>
      <c r="AL190" s="195"/>
      <c r="AM190" s="195"/>
    </row>
    <row r="191" spans="2:39">
      <c r="B191" s="253">
        <v>3</v>
      </c>
      <c r="C191" s="244"/>
      <c r="D191" s="256"/>
      <c r="E191" s="474">
        <v>306178565950</v>
      </c>
      <c r="F191" s="603" t="s">
        <v>2159</v>
      </c>
      <c r="G191" s="391" t="s">
        <v>3831</v>
      </c>
      <c r="H191" s="230" t="s">
        <v>210</v>
      </c>
      <c r="I191" s="230"/>
      <c r="J191" s="230">
        <v>1</v>
      </c>
      <c r="K191" s="230"/>
      <c r="L191" s="228"/>
      <c r="M191" s="257"/>
      <c r="N191" s="228" t="s">
        <v>2158</v>
      </c>
      <c r="O191" s="228" t="s">
        <v>3832</v>
      </c>
      <c r="P191" s="245"/>
      <c r="Q191" s="2564"/>
      <c r="R191" s="2564"/>
      <c r="S191" s="254"/>
      <c r="T191" s="228"/>
      <c r="U191" s="2552"/>
      <c r="V191" s="256"/>
      <c r="W191" s="373">
        <v>588600</v>
      </c>
      <c r="X191" s="373">
        <v>1160000</v>
      </c>
      <c r="Y191" s="248"/>
      <c r="Z191" s="247"/>
      <c r="AA191" s="248"/>
      <c r="AB191" s="340">
        <f t="shared" si="51"/>
        <v>1748600</v>
      </c>
      <c r="AC191" s="347">
        <f t="shared" si="53"/>
        <v>0</v>
      </c>
      <c r="AD191" s="249"/>
      <c r="AE191" s="435">
        <f t="shared" si="52"/>
        <v>4350240</v>
      </c>
      <c r="AF191" s="342">
        <f t="shared" si="54"/>
        <v>6098840</v>
      </c>
      <c r="AG191" s="251">
        <f t="shared" si="55"/>
        <v>4027999.9999999995</v>
      </c>
      <c r="AH191" s="241"/>
      <c r="AI191" s="241"/>
      <c r="AJ191" s="241"/>
      <c r="AK191" s="194"/>
      <c r="AL191" s="195"/>
      <c r="AM191" s="195"/>
    </row>
    <row r="192" spans="2:39">
      <c r="B192" s="253">
        <v>4</v>
      </c>
      <c r="C192" s="244"/>
      <c r="D192" s="256"/>
      <c r="E192" s="474">
        <v>306179851040</v>
      </c>
      <c r="F192" s="603" t="s">
        <v>2162</v>
      </c>
      <c r="G192" s="391" t="s">
        <v>3833</v>
      </c>
      <c r="H192" s="230" t="s">
        <v>210</v>
      </c>
      <c r="I192" s="230"/>
      <c r="J192" s="230">
        <v>1</v>
      </c>
      <c r="K192" s="230"/>
      <c r="L192" s="228"/>
      <c r="M192" s="257"/>
      <c r="N192" s="228">
        <v>6374359520</v>
      </c>
      <c r="O192" s="228" t="s">
        <v>2161</v>
      </c>
      <c r="P192" s="245"/>
      <c r="Q192" s="2564"/>
      <c r="R192" s="2564"/>
      <c r="S192" s="254"/>
      <c r="T192" s="228"/>
      <c r="U192" s="2552"/>
      <c r="V192" s="256"/>
      <c r="W192" s="373">
        <v>1450000</v>
      </c>
      <c r="X192" s="373">
        <v>1140000</v>
      </c>
      <c r="Y192" s="248"/>
      <c r="Z192" s="247"/>
      <c r="AA192" s="248"/>
      <c r="AB192" s="340">
        <f t="shared" si="51"/>
        <v>2590000</v>
      </c>
      <c r="AC192" s="347">
        <f t="shared" si="53"/>
        <v>0</v>
      </c>
      <c r="AD192" s="249"/>
      <c r="AE192" s="435">
        <f t="shared" si="52"/>
        <v>4350240</v>
      </c>
      <c r="AF192" s="342">
        <f t="shared" si="54"/>
        <v>6940240</v>
      </c>
      <c r="AG192" s="251">
        <f t="shared" si="55"/>
        <v>4027999.9999999995</v>
      </c>
      <c r="AH192" s="241"/>
      <c r="AI192" s="241"/>
      <c r="AJ192" s="241"/>
      <c r="AK192" s="194"/>
      <c r="AL192" s="195"/>
      <c r="AM192" s="195"/>
    </row>
    <row r="193" spans="2:39">
      <c r="B193" s="253">
        <v>5</v>
      </c>
      <c r="C193" s="244"/>
      <c r="D193" s="256"/>
      <c r="E193" s="474">
        <v>306192751120</v>
      </c>
      <c r="F193" s="603">
        <v>45324</v>
      </c>
      <c r="G193" s="391" t="s">
        <v>3834</v>
      </c>
      <c r="H193" s="230" t="s">
        <v>210</v>
      </c>
      <c r="I193" s="230"/>
      <c r="J193" s="230">
        <v>1</v>
      </c>
      <c r="K193" s="230"/>
      <c r="L193" s="228"/>
      <c r="M193" s="257"/>
      <c r="N193" s="228">
        <v>91249542</v>
      </c>
      <c r="O193" s="228" t="s">
        <v>3835</v>
      </c>
      <c r="P193" s="245"/>
      <c r="Q193" s="2564"/>
      <c r="R193" s="2564"/>
      <c r="S193" s="254"/>
      <c r="T193" s="228"/>
      <c r="U193" s="2552"/>
      <c r="V193" s="256"/>
      <c r="W193" s="373">
        <v>1450000</v>
      </c>
      <c r="X193" s="373">
        <v>1140000</v>
      </c>
      <c r="Y193" s="248"/>
      <c r="Z193" s="247"/>
      <c r="AA193" s="248"/>
      <c r="AB193" s="340">
        <f t="shared" si="51"/>
        <v>2590000</v>
      </c>
      <c r="AC193" s="347">
        <f t="shared" si="53"/>
        <v>0</v>
      </c>
      <c r="AD193" s="249"/>
      <c r="AE193" s="435">
        <f t="shared" si="52"/>
        <v>4350240</v>
      </c>
      <c r="AF193" s="342">
        <f t="shared" si="54"/>
        <v>6940240</v>
      </c>
      <c r="AG193" s="251">
        <f t="shared" si="55"/>
        <v>4027999.9999999995</v>
      </c>
      <c r="AH193" s="241"/>
      <c r="AI193" s="241"/>
      <c r="AJ193" s="241"/>
      <c r="AK193" s="194"/>
      <c r="AL193" s="195"/>
      <c r="AM193" s="195"/>
    </row>
    <row r="194" spans="2:39">
      <c r="B194" s="253">
        <v>6</v>
      </c>
      <c r="C194" s="244"/>
      <c r="D194" s="256"/>
      <c r="E194" s="474">
        <v>306191407600</v>
      </c>
      <c r="F194" s="603">
        <v>45324</v>
      </c>
      <c r="G194" s="391" t="s">
        <v>3836</v>
      </c>
      <c r="H194" s="230" t="s">
        <v>210</v>
      </c>
      <c r="I194" s="230"/>
      <c r="J194" s="230">
        <v>1</v>
      </c>
      <c r="K194" s="230"/>
      <c r="L194" s="228"/>
      <c r="M194" s="257"/>
      <c r="N194" s="228" t="s">
        <v>3837</v>
      </c>
      <c r="O194" s="228" t="s">
        <v>3838</v>
      </c>
      <c r="P194" s="245"/>
      <c r="Q194" s="2564"/>
      <c r="R194" s="2564"/>
      <c r="S194" s="254"/>
      <c r="T194" s="228"/>
      <c r="U194" s="2552"/>
      <c r="V194" s="256"/>
      <c r="W194" s="373">
        <v>1450000</v>
      </c>
      <c r="X194" s="373">
        <v>1140000</v>
      </c>
      <c r="Y194" s="248"/>
      <c r="Z194" s="247"/>
      <c r="AA194" s="248"/>
      <c r="AB194" s="340">
        <f t="shared" si="51"/>
        <v>2590000</v>
      </c>
      <c r="AC194" s="347">
        <f t="shared" si="53"/>
        <v>0</v>
      </c>
      <c r="AD194" s="249"/>
      <c r="AE194" s="435">
        <f t="shared" si="52"/>
        <v>4350240</v>
      </c>
      <c r="AF194" s="342">
        <f t="shared" si="54"/>
        <v>6940240</v>
      </c>
      <c r="AG194" s="251">
        <f t="shared" si="55"/>
        <v>4027999.9999999995</v>
      </c>
      <c r="AH194" s="241"/>
      <c r="AI194" s="241"/>
      <c r="AJ194" s="241"/>
      <c r="AK194" s="194"/>
      <c r="AL194" s="195"/>
      <c r="AM194" s="195"/>
    </row>
    <row r="195" spans="2:39">
      <c r="B195" s="253">
        <v>7</v>
      </c>
      <c r="C195" s="244"/>
      <c r="D195" s="256"/>
      <c r="E195" s="474">
        <v>306191886400</v>
      </c>
      <c r="F195" s="603">
        <v>45324</v>
      </c>
      <c r="G195" s="391" t="s">
        <v>3839</v>
      </c>
      <c r="H195" s="230" t="s">
        <v>210</v>
      </c>
      <c r="I195" s="230"/>
      <c r="J195" s="230">
        <v>1</v>
      </c>
      <c r="K195" s="230"/>
      <c r="L195" s="228"/>
      <c r="M195" s="257"/>
      <c r="N195" s="228" t="s">
        <v>3840</v>
      </c>
      <c r="O195" s="228" t="s">
        <v>3841</v>
      </c>
      <c r="P195" s="245"/>
      <c r="Q195" s="2564"/>
      <c r="R195" s="2564"/>
      <c r="S195" s="254"/>
      <c r="T195" s="228"/>
      <c r="U195" s="2552"/>
      <c r="V195" s="256"/>
      <c r="W195" s="373">
        <v>1450000</v>
      </c>
      <c r="X195" s="373">
        <v>1140000</v>
      </c>
      <c r="Y195" s="248"/>
      <c r="Z195" s="247"/>
      <c r="AA195" s="248"/>
      <c r="AB195" s="340">
        <f t="shared" si="51"/>
        <v>2590000</v>
      </c>
      <c r="AC195" s="347">
        <f t="shared" si="53"/>
        <v>0</v>
      </c>
      <c r="AD195" s="249"/>
      <c r="AE195" s="435">
        <f t="shared" si="52"/>
        <v>4350240</v>
      </c>
      <c r="AF195" s="342">
        <f t="shared" si="54"/>
        <v>6940240</v>
      </c>
      <c r="AG195" s="251">
        <f t="shared" si="55"/>
        <v>4027999.9999999995</v>
      </c>
      <c r="AH195" s="241"/>
      <c r="AI195" s="241"/>
      <c r="AJ195" s="241"/>
      <c r="AK195" s="194"/>
      <c r="AL195" s="195"/>
      <c r="AM195" s="195"/>
    </row>
    <row r="196" spans="2:39">
      <c r="B196" s="253">
        <v>8</v>
      </c>
      <c r="C196" s="244"/>
      <c r="D196" s="256"/>
      <c r="E196" s="474">
        <v>306194402900</v>
      </c>
      <c r="F196" s="603">
        <v>45325</v>
      </c>
      <c r="G196" s="391" t="s">
        <v>3842</v>
      </c>
      <c r="H196" s="230" t="s">
        <v>210</v>
      </c>
      <c r="I196" s="612">
        <v>1</v>
      </c>
      <c r="J196" s="230"/>
      <c r="K196" s="230"/>
      <c r="L196" s="228"/>
      <c r="M196" s="257"/>
      <c r="N196" s="228" t="s">
        <v>3843</v>
      </c>
      <c r="O196" s="228" t="s">
        <v>3844</v>
      </c>
      <c r="P196" s="245"/>
      <c r="Q196" s="2564"/>
      <c r="R196" s="2564"/>
      <c r="S196" s="254"/>
      <c r="T196" s="228"/>
      <c r="U196" s="2552"/>
      <c r="V196" s="256"/>
      <c r="W196" s="373">
        <v>885000</v>
      </c>
      <c r="X196" s="373">
        <v>700000</v>
      </c>
      <c r="Y196" s="248"/>
      <c r="Z196" s="247"/>
      <c r="AA196" s="248"/>
      <c r="AB196" s="340">
        <f t="shared" si="51"/>
        <v>1585000</v>
      </c>
      <c r="AC196" s="347">
        <f t="shared" si="53"/>
        <v>0</v>
      </c>
      <c r="AD196" s="249"/>
      <c r="AE196" s="435">
        <f t="shared" si="52"/>
        <v>4242240</v>
      </c>
      <c r="AF196" s="342">
        <f t="shared" si="54"/>
        <v>5827240</v>
      </c>
      <c r="AG196" s="251">
        <f t="shared" si="55"/>
        <v>3927999.9999999995</v>
      </c>
      <c r="AH196" s="241"/>
      <c r="AI196" s="241"/>
      <c r="AJ196" s="241"/>
      <c r="AK196" s="194"/>
      <c r="AL196" s="195"/>
      <c r="AM196" s="195"/>
    </row>
    <row r="197" spans="2:39">
      <c r="B197" s="253">
        <v>9</v>
      </c>
      <c r="C197" s="244"/>
      <c r="D197" s="256"/>
      <c r="E197" s="474">
        <v>306199011330</v>
      </c>
      <c r="F197" s="603">
        <v>45327</v>
      </c>
      <c r="G197" s="391" t="s">
        <v>3845</v>
      </c>
      <c r="H197" s="230" t="s">
        <v>210</v>
      </c>
      <c r="I197" s="230"/>
      <c r="J197" s="230">
        <v>1</v>
      </c>
      <c r="K197" s="230"/>
      <c r="L197" s="228"/>
      <c r="M197" s="257"/>
      <c r="N197" s="228" t="s">
        <v>3846</v>
      </c>
      <c r="O197" s="228" t="s">
        <v>2173</v>
      </c>
      <c r="P197" s="245"/>
      <c r="Q197" s="2564"/>
      <c r="R197" s="2564"/>
      <c r="S197" s="254"/>
      <c r="T197" s="228"/>
      <c r="U197" s="2552"/>
      <c r="V197" s="256"/>
      <c r="W197" s="373">
        <v>1040000</v>
      </c>
      <c r="X197" s="373">
        <v>1140000</v>
      </c>
      <c r="Y197" s="248"/>
      <c r="Z197" s="247"/>
      <c r="AA197" s="248"/>
      <c r="AB197" s="340">
        <f t="shared" si="51"/>
        <v>2180000</v>
      </c>
      <c r="AC197" s="347">
        <f t="shared" si="53"/>
        <v>0</v>
      </c>
      <c r="AD197" s="249"/>
      <c r="AE197" s="435">
        <f t="shared" si="52"/>
        <v>4350240</v>
      </c>
      <c r="AF197" s="342">
        <f t="shared" si="54"/>
        <v>6530240</v>
      </c>
      <c r="AG197" s="251">
        <f t="shared" si="55"/>
        <v>4027999.9999999995</v>
      </c>
      <c r="AH197" s="241"/>
      <c r="AI197" s="241"/>
      <c r="AJ197" s="241"/>
      <c r="AK197" s="194"/>
      <c r="AL197" s="195"/>
      <c r="AM197" s="195"/>
    </row>
    <row r="198" spans="2:39">
      <c r="B198" s="253">
        <v>10</v>
      </c>
      <c r="C198" s="244"/>
      <c r="D198" s="256"/>
      <c r="E198" s="474">
        <v>306197869850</v>
      </c>
      <c r="F198" s="603">
        <v>45327</v>
      </c>
      <c r="G198" s="391" t="s">
        <v>3847</v>
      </c>
      <c r="H198" s="230" t="s">
        <v>210</v>
      </c>
      <c r="I198" s="230"/>
      <c r="J198" s="230">
        <v>1</v>
      </c>
      <c r="K198" s="230"/>
      <c r="L198" s="228"/>
      <c r="M198" s="257"/>
      <c r="N198" s="228" t="s">
        <v>3848</v>
      </c>
      <c r="O198" s="228" t="s">
        <v>2174</v>
      </c>
      <c r="P198" s="245"/>
      <c r="Q198" s="2564"/>
      <c r="R198" s="2564"/>
      <c r="S198" s="254"/>
      <c r="T198" s="228"/>
      <c r="U198" s="2552"/>
      <c r="V198" s="256"/>
      <c r="W198" s="373">
        <v>1450000</v>
      </c>
      <c r="X198" s="373">
        <v>1140000</v>
      </c>
      <c r="Y198" s="248"/>
      <c r="Z198" s="247"/>
      <c r="AA198" s="248"/>
      <c r="AB198" s="340">
        <f t="shared" si="51"/>
        <v>2590000</v>
      </c>
      <c r="AC198" s="347">
        <f>+Z198</f>
        <v>0</v>
      </c>
      <c r="AD198" s="249"/>
      <c r="AE198" s="435">
        <f t="shared" si="52"/>
        <v>4350240</v>
      </c>
      <c r="AF198" s="342">
        <f>+AB198+AE198</f>
        <v>6940240</v>
      </c>
      <c r="AG198" s="251">
        <f>+AE198/1.08</f>
        <v>4027999.9999999995</v>
      </c>
      <c r="AH198" s="241"/>
      <c r="AI198" s="241"/>
      <c r="AJ198" s="241"/>
      <c r="AK198" s="194"/>
      <c r="AL198" s="195"/>
      <c r="AM198" s="195"/>
    </row>
    <row r="199" spans="2:39" ht="46.8">
      <c r="B199" s="253">
        <v>11</v>
      </c>
      <c r="C199" s="244"/>
      <c r="D199" s="256"/>
      <c r="E199" s="474">
        <v>306198707640</v>
      </c>
      <c r="F199" s="603">
        <v>45327</v>
      </c>
      <c r="G199" s="391" t="s">
        <v>3849</v>
      </c>
      <c r="H199" s="230" t="s">
        <v>210</v>
      </c>
      <c r="I199" s="230"/>
      <c r="J199" s="230">
        <v>3</v>
      </c>
      <c r="K199" s="230"/>
      <c r="L199" s="228"/>
      <c r="M199" s="257"/>
      <c r="N199" s="289" t="s">
        <v>2175</v>
      </c>
      <c r="O199" s="254" t="s">
        <v>2176</v>
      </c>
      <c r="P199" s="245"/>
      <c r="Q199" s="2564"/>
      <c r="R199" s="2564"/>
      <c r="S199" s="254"/>
      <c r="T199" s="228"/>
      <c r="U199" s="2552"/>
      <c r="V199" s="256"/>
      <c r="W199" s="373">
        <f>1450000+1450000+1450000</f>
        <v>4350000</v>
      </c>
      <c r="X199" s="373">
        <f>766800+766800+766800</f>
        <v>2300400</v>
      </c>
      <c r="Y199" s="248"/>
      <c r="Z199" s="247"/>
      <c r="AA199" s="248"/>
      <c r="AB199" s="340">
        <f t="shared" si="51"/>
        <v>6650400</v>
      </c>
      <c r="AC199" s="347">
        <f>+Z199</f>
        <v>0</v>
      </c>
      <c r="AD199" s="249"/>
      <c r="AE199" s="435">
        <f t="shared" si="52"/>
        <v>13050720</v>
      </c>
      <c r="AF199" s="342">
        <f>+AB199+AE199</f>
        <v>19701120</v>
      </c>
      <c r="AG199" s="251">
        <f>+AE199/1.08</f>
        <v>12084000</v>
      </c>
      <c r="AH199" s="241"/>
      <c r="AI199" s="241"/>
      <c r="AJ199" s="241"/>
      <c r="AK199" s="194"/>
      <c r="AL199" s="195"/>
      <c r="AM199" s="195"/>
    </row>
    <row r="200" spans="2:39">
      <c r="B200" s="253">
        <v>12</v>
      </c>
      <c r="C200" s="244"/>
      <c r="D200" s="256"/>
      <c r="E200" s="474">
        <v>306205041830</v>
      </c>
      <c r="F200" s="603">
        <v>45338</v>
      </c>
      <c r="G200" s="391" t="s">
        <v>3850</v>
      </c>
      <c r="H200" s="230" t="s">
        <v>210</v>
      </c>
      <c r="I200" s="230"/>
      <c r="J200" s="230">
        <v>1</v>
      </c>
      <c r="K200" s="230"/>
      <c r="L200" s="228"/>
      <c r="M200" s="257"/>
      <c r="N200" s="228">
        <v>235491792</v>
      </c>
      <c r="O200" s="228" t="s">
        <v>2177</v>
      </c>
      <c r="P200" s="245"/>
      <c r="Q200" s="2564"/>
      <c r="R200" s="2564"/>
      <c r="S200" s="254"/>
      <c r="T200" s="228"/>
      <c r="U200" s="2552"/>
      <c r="V200" s="256"/>
      <c r="W200" s="373">
        <v>1000000</v>
      </c>
      <c r="X200" s="373">
        <v>766800</v>
      </c>
      <c r="Y200" s="248"/>
      <c r="Z200" s="247"/>
      <c r="AA200" s="248"/>
      <c r="AB200" s="340">
        <f t="shared" si="51"/>
        <v>1766800</v>
      </c>
      <c r="AC200" s="347">
        <f>+Z200</f>
        <v>0</v>
      </c>
      <c r="AD200" s="249"/>
      <c r="AE200" s="435">
        <f t="shared" si="52"/>
        <v>4350240</v>
      </c>
      <c r="AF200" s="342">
        <f>+AB200+AE200</f>
        <v>6117040</v>
      </c>
      <c r="AG200" s="251">
        <f>+AE200/1.08</f>
        <v>4027999.9999999995</v>
      </c>
      <c r="AH200" s="241"/>
      <c r="AI200" s="241"/>
      <c r="AJ200" s="241"/>
      <c r="AK200" s="194"/>
      <c r="AL200" s="195"/>
      <c r="AM200" s="195"/>
    </row>
    <row r="201" spans="2:39">
      <c r="B201" s="253">
        <v>13</v>
      </c>
      <c r="C201" s="244"/>
      <c r="D201" s="256"/>
      <c r="E201" s="474">
        <v>306213415120</v>
      </c>
      <c r="F201" s="603" t="s">
        <v>2185</v>
      </c>
      <c r="G201" s="391" t="s">
        <v>3851</v>
      </c>
      <c r="H201" s="230" t="s">
        <v>210</v>
      </c>
      <c r="I201" s="230"/>
      <c r="J201" s="230">
        <v>1</v>
      </c>
      <c r="K201" s="230"/>
      <c r="L201" s="228"/>
      <c r="M201" s="257"/>
      <c r="N201" s="228" t="s">
        <v>3852</v>
      </c>
      <c r="O201" s="228" t="s">
        <v>2194</v>
      </c>
      <c r="P201" s="245"/>
      <c r="Q201" s="2564"/>
      <c r="R201" s="2564"/>
      <c r="S201" s="254"/>
      <c r="T201" s="228"/>
      <c r="U201" s="2552"/>
      <c r="V201" s="256"/>
      <c r="W201" s="373">
        <v>1050000</v>
      </c>
      <c r="X201" s="373">
        <v>1140000</v>
      </c>
      <c r="Y201" s="248"/>
      <c r="Z201" s="247"/>
      <c r="AA201" s="248"/>
      <c r="AB201" s="340">
        <f t="shared" si="51"/>
        <v>2190000</v>
      </c>
      <c r="AC201" s="347">
        <f>+Z201</f>
        <v>0</v>
      </c>
      <c r="AD201" s="249"/>
      <c r="AE201" s="435">
        <f t="shared" si="52"/>
        <v>4350240</v>
      </c>
      <c r="AF201" s="342">
        <f>+AB201+AE201</f>
        <v>6540240</v>
      </c>
      <c r="AG201" s="251">
        <f t="shared" ref="AG201:AG218" si="56">+AE201/1.08</f>
        <v>4027999.9999999995</v>
      </c>
      <c r="AH201" s="241"/>
      <c r="AI201" s="241"/>
      <c r="AJ201" s="241"/>
      <c r="AK201" s="194"/>
      <c r="AL201" s="195"/>
      <c r="AM201" s="195"/>
    </row>
    <row r="202" spans="2:39">
      <c r="B202" s="649" t="s">
        <v>3853</v>
      </c>
      <c r="C202" s="650"/>
      <c r="D202" s="346"/>
      <c r="E202" s="650"/>
      <c r="F202" s="650"/>
      <c r="G202" s="650"/>
      <c r="H202" s="650"/>
      <c r="I202" s="1303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57"/>
      <c r="W202" s="590"/>
      <c r="X202" s="357"/>
      <c r="Y202" s="357"/>
      <c r="Z202" s="357"/>
      <c r="AA202" s="357"/>
      <c r="AB202" s="358">
        <f>SUM(AB189:AB201)</f>
        <v>34639400</v>
      </c>
      <c r="AC202" s="358">
        <f>SUM(AC179:AC196)</f>
        <v>0</v>
      </c>
      <c r="AD202" s="358">
        <f>SUM(AD177:AD196)</f>
        <v>0</v>
      </c>
      <c r="AE202" s="358">
        <f>SUM(AE189:AE201)</f>
        <v>69387840</v>
      </c>
      <c r="AF202" s="358">
        <f>SUM(AF189:AF201)</f>
        <v>104027240</v>
      </c>
      <c r="AG202" s="358">
        <f>SUM(AG189:AG201)</f>
        <v>64247999.999999993</v>
      </c>
      <c r="AH202" s="357"/>
      <c r="AI202" s="357"/>
      <c r="AJ202" s="357"/>
      <c r="AK202" s="357"/>
      <c r="AL202" s="357"/>
      <c r="AM202" s="357"/>
    </row>
    <row r="203" spans="2:39">
      <c r="B203" s="253">
        <v>1</v>
      </c>
      <c r="C203" s="244"/>
      <c r="D203" s="256"/>
      <c r="E203" s="470">
        <v>306224644150</v>
      </c>
      <c r="F203" s="603" t="s">
        <v>2213</v>
      </c>
      <c r="G203" s="391" t="s">
        <v>3854</v>
      </c>
      <c r="H203" s="230" t="s">
        <v>210</v>
      </c>
      <c r="I203" s="230"/>
      <c r="J203" s="230">
        <v>1</v>
      </c>
      <c r="K203" s="230"/>
      <c r="L203" s="228"/>
      <c r="M203" s="257"/>
      <c r="N203" s="228">
        <v>6377825030</v>
      </c>
      <c r="O203" s="228" t="s">
        <v>2210</v>
      </c>
      <c r="P203" s="245"/>
      <c r="Q203" s="2564"/>
      <c r="R203" s="2564"/>
      <c r="S203" s="254"/>
      <c r="T203" s="228"/>
      <c r="U203" s="2552"/>
      <c r="V203" s="256"/>
      <c r="W203" s="373">
        <v>1450000</v>
      </c>
      <c r="X203" s="373">
        <v>1140000</v>
      </c>
      <c r="Y203" s="248"/>
      <c r="Z203" s="247"/>
      <c r="AA203" s="248"/>
      <c r="AB203" s="340">
        <f t="shared" ref="AB203:AB229" si="57">V203+W203+X203+Y203+Z203+AA203</f>
        <v>2590000</v>
      </c>
      <c r="AC203" s="347">
        <f>+Z203</f>
        <v>0</v>
      </c>
      <c r="AD203" s="249"/>
      <c r="AE203" s="435">
        <f>+(I203*3778000+J203*(3778000+100000))*1.08+((I203+J203+K203)*150000)*1.08</f>
        <v>4350240</v>
      </c>
      <c r="AF203" s="342">
        <f>+AB203+AE203</f>
        <v>6940240</v>
      </c>
      <c r="AG203" s="251">
        <f t="shared" si="56"/>
        <v>4027999.9999999995</v>
      </c>
      <c r="AH203" s="241"/>
      <c r="AI203" s="241"/>
      <c r="AJ203" s="241"/>
      <c r="AK203" s="194"/>
      <c r="AL203" s="195"/>
      <c r="AM203" s="195"/>
    </row>
    <row r="204" spans="2:39">
      <c r="B204" s="253">
        <v>2</v>
      </c>
      <c r="C204" s="244"/>
      <c r="D204" s="256"/>
      <c r="E204" s="470">
        <v>306223882550</v>
      </c>
      <c r="F204" s="603" t="s">
        <v>2213</v>
      </c>
      <c r="G204" s="391" t="s">
        <v>3855</v>
      </c>
      <c r="H204" s="230" t="s">
        <v>210</v>
      </c>
      <c r="I204" s="230"/>
      <c r="J204" s="230">
        <v>1</v>
      </c>
      <c r="K204" s="230"/>
      <c r="L204" s="228"/>
      <c r="M204" s="257"/>
      <c r="N204" s="228">
        <v>6377825030</v>
      </c>
      <c r="O204" s="594" t="s">
        <v>2211</v>
      </c>
      <c r="P204" s="245"/>
      <c r="Q204" s="2564"/>
      <c r="R204" s="2564"/>
      <c r="S204" s="254"/>
      <c r="T204" s="228"/>
      <c r="U204" s="2552"/>
      <c r="V204" s="256"/>
      <c r="W204" s="373">
        <v>1450000</v>
      </c>
      <c r="X204" s="373">
        <v>1140000</v>
      </c>
      <c r="Y204" s="248"/>
      <c r="Z204" s="247"/>
      <c r="AA204" s="248"/>
      <c r="AB204" s="340">
        <f t="shared" si="57"/>
        <v>2590000</v>
      </c>
      <c r="AC204" s="347">
        <f t="shared" ref="AC204:AC218" si="58">+Z204</f>
        <v>0</v>
      </c>
      <c r="AD204" s="249"/>
      <c r="AE204" s="435">
        <f>+(I204*3778000+J204*(3778000+100000))*1.08+((I204+J204+K204)*150000)*1.08</f>
        <v>4350240</v>
      </c>
      <c r="AF204" s="342">
        <f t="shared" ref="AF204:AF218" si="59">+AB204+AE204</f>
        <v>6940240</v>
      </c>
      <c r="AG204" s="251">
        <f t="shared" si="56"/>
        <v>4027999.9999999995</v>
      </c>
      <c r="AH204" s="241"/>
      <c r="AI204" s="241"/>
      <c r="AJ204" s="241"/>
      <c r="AK204" s="194"/>
      <c r="AL204" s="195"/>
      <c r="AM204" s="195"/>
    </row>
    <row r="205" spans="2:39">
      <c r="B205" s="253">
        <v>3</v>
      </c>
      <c r="C205" s="244"/>
      <c r="D205" s="256"/>
      <c r="E205" s="470">
        <v>306225780950</v>
      </c>
      <c r="F205" s="603" t="s">
        <v>2213</v>
      </c>
      <c r="G205" s="391" t="s">
        <v>3856</v>
      </c>
      <c r="H205" s="230" t="s">
        <v>210</v>
      </c>
      <c r="I205" s="230"/>
      <c r="J205" s="230">
        <v>1</v>
      </c>
      <c r="K205" s="230"/>
      <c r="L205" s="228"/>
      <c r="M205" s="257"/>
      <c r="N205" s="228">
        <v>6377825030</v>
      </c>
      <c r="O205" s="594" t="s">
        <v>2212</v>
      </c>
      <c r="P205" s="245"/>
      <c r="Q205" s="2564"/>
      <c r="R205" s="2564"/>
      <c r="S205" s="254"/>
      <c r="T205" s="228"/>
      <c r="U205" s="2552"/>
      <c r="V205" s="256"/>
      <c r="W205" s="373">
        <v>1450000</v>
      </c>
      <c r="X205" s="373">
        <v>1140000</v>
      </c>
      <c r="Y205" s="248"/>
      <c r="Z205" s="247"/>
      <c r="AA205" s="248"/>
      <c r="AB205" s="340">
        <f t="shared" si="57"/>
        <v>2590000</v>
      </c>
      <c r="AC205" s="347">
        <f t="shared" si="58"/>
        <v>0</v>
      </c>
      <c r="AD205" s="249"/>
      <c r="AE205" s="435">
        <f>+(I205*3778000+J205*(3778000+100000))*1.08+((I205+J205+K205)*150000)*1.08</f>
        <v>4350240</v>
      </c>
      <c r="AF205" s="342">
        <f t="shared" si="59"/>
        <v>6940240</v>
      </c>
      <c r="AG205" s="251">
        <f t="shared" si="56"/>
        <v>4027999.9999999995</v>
      </c>
      <c r="AH205" s="241"/>
      <c r="AI205" s="241"/>
      <c r="AJ205" s="241"/>
      <c r="AK205" s="194"/>
      <c r="AL205" s="195"/>
      <c r="AM205" s="195"/>
    </row>
    <row r="206" spans="2:39">
      <c r="B206" s="253">
        <v>4</v>
      </c>
      <c r="C206" s="244"/>
      <c r="D206" s="256"/>
      <c r="E206" s="470">
        <v>306231241760</v>
      </c>
      <c r="F206" s="603" t="s">
        <v>2214</v>
      </c>
      <c r="G206" s="391" t="s">
        <v>3857</v>
      </c>
      <c r="H206" s="230" t="s">
        <v>210</v>
      </c>
      <c r="I206" s="230"/>
      <c r="J206" s="230">
        <v>1</v>
      </c>
      <c r="K206" s="230"/>
      <c r="L206" s="228"/>
      <c r="M206" s="257"/>
      <c r="N206" s="228" t="s">
        <v>2226</v>
      </c>
      <c r="O206" s="228" t="s">
        <v>2227</v>
      </c>
      <c r="P206" s="245"/>
      <c r="Q206" s="2564"/>
      <c r="R206" s="2564"/>
      <c r="S206" s="254"/>
      <c r="T206" s="228"/>
      <c r="U206" s="2552"/>
      <c r="V206" s="256"/>
      <c r="W206" s="373">
        <v>1050000</v>
      </c>
      <c r="X206" s="610">
        <v>766800</v>
      </c>
      <c r="Y206" s="248"/>
      <c r="Z206" s="247"/>
      <c r="AA206" s="248"/>
      <c r="AB206" s="340">
        <f t="shared" si="57"/>
        <v>1816800</v>
      </c>
      <c r="AC206" s="347">
        <f t="shared" si="58"/>
        <v>0</v>
      </c>
      <c r="AD206" s="249"/>
      <c r="AE206" s="435">
        <f>+(I206*3778000+J206*(3778000+100000))*1.08+((I206+J206+K206)*150000)*1.08</f>
        <v>4350240</v>
      </c>
      <c r="AF206" s="342">
        <f t="shared" si="59"/>
        <v>6167040</v>
      </c>
      <c r="AG206" s="251">
        <f t="shared" si="56"/>
        <v>4027999.9999999995</v>
      </c>
      <c r="AH206" s="241"/>
      <c r="AI206" s="241"/>
      <c r="AJ206" s="241"/>
      <c r="AK206" s="194"/>
      <c r="AL206" s="195"/>
      <c r="AM206" s="195"/>
    </row>
    <row r="207" spans="2:39">
      <c r="B207" s="253">
        <v>5</v>
      </c>
      <c r="C207" s="244"/>
      <c r="D207" s="256"/>
      <c r="E207" s="470">
        <v>306232358630</v>
      </c>
      <c r="F207" s="603" t="s">
        <v>2214</v>
      </c>
      <c r="G207" s="391" t="s">
        <v>3858</v>
      </c>
      <c r="H207" s="230" t="s">
        <v>210</v>
      </c>
      <c r="I207" s="230"/>
      <c r="J207" s="230">
        <v>1</v>
      </c>
      <c r="K207" s="230"/>
      <c r="L207" s="228"/>
      <c r="M207" s="257"/>
      <c r="N207" s="228" t="s">
        <v>2228</v>
      </c>
      <c r="O207" s="228" t="s">
        <v>2229</v>
      </c>
      <c r="P207" s="245"/>
      <c r="Q207" s="2564"/>
      <c r="R207" s="2564"/>
      <c r="S207" s="254"/>
      <c r="T207" s="228"/>
      <c r="U207" s="2552"/>
      <c r="V207" s="256"/>
      <c r="W207" s="373">
        <v>1040000</v>
      </c>
      <c r="X207" s="610">
        <v>1160000</v>
      </c>
      <c r="Y207" s="248"/>
      <c r="Z207" s="247"/>
      <c r="AA207" s="248"/>
      <c r="AB207" s="340">
        <f t="shared" si="57"/>
        <v>2200000</v>
      </c>
      <c r="AC207" s="347">
        <f t="shared" si="58"/>
        <v>0</v>
      </c>
      <c r="AD207" s="249"/>
      <c r="AE207" s="435">
        <f>+(I207*3778000+J207*(3778000+100000))*1.08+((I207+J207+K207)*150000)*1.08</f>
        <v>4350240</v>
      </c>
      <c r="AF207" s="342">
        <f t="shared" si="59"/>
        <v>6550240</v>
      </c>
      <c r="AG207" s="251">
        <f t="shared" si="56"/>
        <v>4027999.9999999995</v>
      </c>
      <c r="AH207" s="241"/>
      <c r="AI207" s="241"/>
      <c r="AJ207" s="241"/>
      <c r="AK207" s="194"/>
      <c r="AL207" s="195"/>
      <c r="AM207" s="195"/>
    </row>
    <row r="208" spans="2:39">
      <c r="B208" s="253">
        <v>6</v>
      </c>
      <c r="C208" s="244"/>
      <c r="D208" s="256"/>
      <c r="E208" s="608">
        <v>106106738730</v>
      </c>
      <c r="F208" s="603">
        <v>45352</v>
      </c>
      <c r="G208" s="391" t="s">
        <v>3859</v>
      </c>
      <c r="H208" s="230" t="s">
        <v>3579</v>
      </c>
      <c r="I208" s="230"/>
      <c r="J208" s="230"/>
      <c r="K208" s="230">
        <v>1</v>
      </c>
      <c r="L208" s="228"/>
      <c r="M208" s="543" t="s">
        <v>2231</v>
      </c>
      <c r="N208" s="228" t="s">
        <v>2230</v>
      </c>
      <c r="O208" s="228"/>
      <c r="P208" s="245"/>
      <c r="Q208" s="2564"/>
      <c r="R208" s="2564"/>
      <c r="S208" s="254"/>
      <c r="T208" s="543" t="s">
        <v>2231</v>
      </c>
      <c r="U208" s="2556"/>
      <c r="V208" s="256"/>
      <c r="W208" s="248"/>
      <c r="X208" s="248"/>
      <c r="Y208" s="248"/>
      <c r="Z208" s="247"/>
      <c r="AA208" s="248"/>
      <c r="AB208" s="340">
        <f t="shared" si="57"/>
        <v>0</v>
      </c>
      <c r="AC208" s="347">
        <f t="shared" si="58"/>
        <v>0</v>
      </c>
      <c r="AD208" s="249"/>
      <c r="AE208" s="607">
        <f>+(3250000*1.08+((I208+J208+K208)*150000)*1.08)</f>
        <v>3672000</v>
      </c>
      <c r="AF208" s="342">
        <f t="shared" si="59"/>
        <v>3672000</v>
      </c>
      <c r="AG208" s="251">
        <f t="shared" si="56"/>
        <v>3400000</v>
      </c>
      <c r="AH208" s="241"/>
      <c r="AI208" s="241"/>
      <c r="AJ208" s="241"/>
      <c r="AK208" s="194"/>
      <c r="AL208" s="195"/>
      <c r="AM208" s="195"/>
    </row>
    <row r="209" spans="2:39">
      <c r="B209" s="253">
        <v>7</v>
      </c>
      <c r="C209" s="244"/>
      <c r="D209" s="256"/>
      <c r="E209" s="616">
        <v>306242864560</v>
      </c>
      <c r="F209" s="604" t="s">
        <v>2245</v>
      </c>
      <c r="G209" s="391" t="s">
        <v>3860</v>
      </c>
      <c r="H209" s="230" t="s">
        <v>210</v>
      </c>
      <c r="I209" s="230"/>
      <c r="J209" s="230">
        <v>1</v>
      </c>
      <c r="K209" s="230"/>
      <c r="L209" s="228"/>
      <c r="M209" s="257"/>
      <c r="N209" s="228" t="s">
        <v>2246</v>
      </c>
      <c r="O209" s="375" t="s">
        <v>2387</v>
      </c>
      <c r="P209" s="245"/>
      <c r="Q209" s="2564"/>
      <c r="R209" s="2564"/>
      <c r="S209" s="254"/>
      <c r="T209" s="228"/>
      <c r="U209" s="2552"/>
      <c r="V209" s="256"/>
      <c r="W209" s="373">
        <v>1450000</v>
      </c>
      <c r="X209" s="373">
        <v>766800</v>
      </c>
      <c r="Y209" s="248"/>
      <c r="Z209" s="247"/>
      <c r="AA209" s="248"/>
      <c r="AB209" s="340">
        <f t="shared" si="57"/>
        <v>2216800</v>
      </c>
      <c r="AC209" s="347">
        <f t="shared" si="58"/>
        <v>0</v>
      </c>
      <c r="AD209" s="249"/>
      <c r="AE209" s="435">
        <f>+(I209*3778000+J209*(3778000+100000))*1.08+((I209+J209+K209)*150000)*1.08</f>
        <v>4350240</v>
      </c>
      <c r="AF209" s="342">
        <f t="shared" si="59"/>
        <v>6567040</v>
      </c>
      <c r="AG209" s="251">
        <f t="shared" si="56"/>
        <v>4027999.9999999995</v>
      </c>
      <c r="AH209" s="241"/>
      <c r="AI209" s="241"/>
      <c r="AJ209" s="241"/>
      <c r="AK209" s="194"/>
      <c r="AL209" s="195"/>
      <c r="AM209" s="195"/>
    </row>
    <row r="210" spans="2:39">
      <c r="B210" s="253">
        <v>8</v>
      </c>
      <c r="C210" s="244"/>
      <c r="D210" s="256"/>
      <c r="E210" s="470">
        <v>306242753300</v>
      </c>
      <c r="F210" s="604" t="s">
        <v>2245</v>
      </c>
      <c r="G210" s="391" t="s">
        <v>3861</v>
      </c>
      <c r="H210" s="230" t="s">
        <v>210</v>
      </c>
      <c r="I210" s="230"/>
      <c r="J210" s="230">
        <v>1</v>
      </c>
      <c r="K210" s="230"/>
      <c r="L210" s="228"/>
      <c r="M210" s="257"/>
      <c r="N210" s="228" t="s">
        <v>2248</v>
      </c>
      <c r="O210" s="228" t="s">
        <v>2249</v>
      </c>
      <c r="P210" s="245"/>
      <c r="Q210" s="2564"/>
      <c r="R210" s="2564"/>
      <c r="S210" s="254"/>
      <c r="T210" s="228"/>
      <c r="U210" s="2552"/>
      <c r="V210" s="256"/>
      <c r="W210" s="373">
        <v>1300000</v>
      </c>
      <c r="X210" s="373">
        <v>766800</v>
      </c>
      <c r="Y210" s="248"/>
      <c r="Z210" s="247"/>
      <c r="AA210" s="248"/>
      <c r="AB210" s="340">
        <f t="shared" si="57"/>
        <v>2066800</v>
      </c>
      <c r="AC210" s="347">
        <f t="shared" si="58"/>
        <v>0</v>
      </c>
      <c r="AD210" s="249"/>
      <c r="AE210" s="435">
        <f>+(I210*3778000+J210*(3778000+100000))*1.08+((I210+J210+K210)*150000)*1.08</f>
        <v>4350240</v>
      </c>
      <c r="AF210" s="342">
        <f t="shared" si="59"/>
        <v>6417040</v>
      </c>
      <c r="AG210" s="251">
        <f t="shared" si="56"/>
        <v>4027999.9999999995</v>
      </c>
      <c r="AH210" s="241"/>
      <c r="AI210" s="241"/>
      <c r="AJ210" s="241"/>
      <c r="AK210" s="194"/>
      <c r="AL210" s="195"/>
      <c r="AM210" s="195"/>
    </row>
    <row r="211" spans="2:39" ht="78">
      <c r="B211" s="253">
        <v>9</v>
      </c>
      <c r="C211" s="244"/>
      <c r="D211" s="256"/>
      <c r="E211" s="470">
        <v>306255184230</v>
      </c>
      <c r="F211" s="603">
        <v>45359</v>
      </c>
      <c r="G211" s="391" t="s">
        <v>3862</v>
      </c>
      <c r="H211" s="230" t="s">
        <v>210</v>
      </c>
      <c r="I211" s="230">
        <v>1</v>
      </c>
      <c r="J211" s="230">
        <v>2</v>
      </c>
      <c r="K211" s="230"/>
      <c r="L211" s="228"/>
      <c r="M211" s="257"/>
      <c r="N211" s="228" t="s">
        <v>3863</v>
      </c>
      <c r="O211" s="254" t="s">
        <v>3864</v>
      </c>
      <c r="P211" s="245"/>
      <c r="Q211" s="2564"/>
      <c r="R211" s="2564"/>
      <c r="S211" s="254"/>
      <c r="T211" s="228"/>
      <c r="U211" s="2552"/>
      <c r="V211" s="256"/>
      <c r="W211" s="373">
        <f>1425000+1425000+885000</f>
        <v>3735000</v>
      </c>
      <c r="X211" s="373">
        <f>1140000+1140000+700000</f>
        <v>2980000</v>
      </c>
      <c r="Y211" s="248"/>
      <c r="Z211" s="247"/>
      <c r="AA211" s="248"/>
      <c r="AB211" s="340">
        <f t="shared" si="57"/>
        <v>6715000</v>
      </c>
      <c r="AC211" s="347">
        <f t="shared" si="58"/>
        <v>0</v>
      </c>
      <c r="AD211" s="249"/>
      <c r="AE211" s="435">
        <f>+(I211*3778000+J211*(3778000+100000))*1.08+((I211+J211+K211)*150000)*1.08</f>
        <v>12942720</v>
      </c>
      <c r="AF211" s="342">
        <f t="shared" si="59"/>
        <v>19657720</v>
      </c>
      <c r="AG211" s="251">
        <f t="shared" si="56"/>
        <v>11984000</v>
      </c>
      <c r="AH211" s="241"/>
      <c r="AI211" s="241"/>
      <c r="AJ211" s="241"/>
      <c r="AK211" s="194"/>
      <c r="AL211" s="195"/>
      <c r="AM211" s="195"/>
    </row>
    <row r="212" spans="2:39">
      <c r="B212" s="253">
        <v>10</v>
      </c>
      <c r="C212" s="244"/>
      <c r="D212" s="256"/>
      <c r="E212" s="470">
        <v>306245421700</v>
      </c>
      <c r="F212" s="604" t="s">
        <v>2250</v>
      </c>
      <c r="G212" s="391" t="s">
        <v>3865</v>
      </c>
      <c r="H212" s="230" t="s">
        <v>210</v>
      </c>
      <c r="I212" s="230"/>
      <c r="J212" s="230">
        <v>1</v>
      </c>
      <c r="K212" s="230"/>
      <c r="L212" s="228"/>
      <c r="M212" s="257"/>
      <c r="N212" s="228">
        <v>6378004450</v>
      </c>
      <c r="O212" s="228" t="s">
        <v>2247</v>
      </c>
      <c r="P212" s="245"/>
      <c r="Q212" s="2564"/>
      <c r="R212" s="2564"/>
      <c r="S212" s="254"/>
      <c r="T212" s="228"/>
      <c r="U212" s="2552"/>
      <c r="V212" s="256"/>
      <c r="W212" s="373">
        <v>1450000</v>
      </c>
      <c r="X212" s="373">
        <v>1140000</v>
      </c>
      <c r="Y212" s="248"/>
      <c r="Z212" s="247"/>
      <c r="AA212" s="248"/>
      <c r="AB212" s="340">
        <f t="shared" si="57"/>
        <v>2590000</v>
      </c>
      <c r="AC212" s="347">
        <f t="shared" si="58"/>
        <v>0</v>
      </c>
      <c r="AD212" s="249"/>
      <c r="AE212" s="435">
        <f>+(I212*3778000+J212*(3778000+100000))*1.08+((I212+J212+K212)*150000)*1.08</f>
        <v>4350240</v>
      </c>
      <c r="AF212" s="342">
        <f t="shared" si="59"/>
        <v>6940240</v>
      </c>
      <c r="AG212" s="251">
        <f t="shared" si="56"/>
        <v>4027999.9999999995</v>
      </c>
      <c r="AH212" s="241"/>
      <c r="AI212" s="241"/>
      <c r="AJ212" s="241"/>
      <c r="AK212" s="194"/>
      <c r="AL212" s="195"/>
      <c r="AM212" s="195"/>
    </row>
    <row r="213" spans="2:39">
      <c r="B213" s="253">
        <v>11</v>
      </c>
      <c r="C213" s="244"/>
      <c r="D213" s="256"/>
      <c r="E213" s="609">
        <v>106116276710</v>
      </c>
      <c r="F213" s="604" t="s">
        <v>2251</v>
      </c>
      <c r="G213" s="391" t="s">
        <v>3866</v>
      </c>
      <c r="H213" s="230" t="s">
        <v>3579</v>
      </c>
      <c r="I213" s="230"/>
      <c r="J213" s="230"/>
      <c r="K213" s="230">
        <v>1</v>
      </c>
      <c r="L213" s="228"/>
      <c r="M213" s="543" t="s">
        <v>2273</v>
      </c>
      <c r="N213" s="228" t="s">
        <v>3867</v>
      </c>
      <c r="O213" s="228"/>
      <c r="P213" s="245"/>
      <c r="Q213" s="2564"/>
      <c r="R213" s="2564"/>
      <c r="S213" s="254"/>
      <c r="T213" s="543" t="s">
        <v>2273</v>
      </c>
      <c r="U213" s="2556"/>
      <c r="V213" s="256"/>
      <c r="W213" s="248"/>
      <c r="X213" s="248"/>
      <c r="Y213" s="248"/>
      <c r="Z213" s="247"/>
      <c r="AA213" s="248"/>
      <c r="AB213" s="340">
        <f t="shared" si="57"/>
        <v>0</v>
      </c>
      <c r="AC213" s="347">
        <f t="shared" si="58"/>
        <v>0</v>
      </c>
      <c r="AD213" s="249"/>
      <c r="AE213" s="607">
        <f>+(1468000*1.08+((I213+J213+K213)*150000)*1.08)</f>
        <v>1747440</v>
      </c>
      <c r="AF213" s="342">
        <f t="shared" si="59"/>
        <v>1747440</v>
      </c>
      <c r="AG213" s="251">
        <f t="shared" si="56"/>
        <v>1618000</v>
      </c>
      <c r="AH213" s="241"/>
      <c r="AI213" s="241"/>
      <c r="AJ213" s="241"/>
      <c r="AK213" s="194"/>
      <c r="AL213" s="195"/>
      <c r="AM213" s="195"/>
    </row>
    <row r="214" spans="2:39">
      <c r="B214" s="253">
        <v>12</v>
      </c>
      <c r="C214" s="244"/>
      <c r="D214" s="256"/>
      <c r="E214" s="470">
        <v>306258805220</v>
      </c>
      <c r="F214" s="604" t="s">
        <v>2259</v>
      </c>
      <c r="G214" s="391" t="s">
        <v>3868</v>
      </c>
      <c r="H214" s="230" t="s">
        <v>748</v>
      </c>
      <c r="I214" s="230">
        <v>1</v>
      </c>
      <c r="J214" s="230"/>
      <c r="K214" s="230"/>
      <c r="L214" s="228"/>
      <c r="M214" s="257"/>
      <c r="N214" s="228">
        <v>30434192</v>
      </c>
      <c r="O214" s="228" t="s">
        <v>2257</v>
      </c>
      <c r="P214" s="245"/>
      <c r="Q214" s="2564"/>
      <c r="R214" s="2564"/>
      <c r="S214" s="254"/>
      <c r="T214" s="228"/>
      <c r="U214" s="2552"/>
      <c r="V214" s="256"/>
      <c r="W214" s="373">
        <v>900000</v>
      </c>
      <c r="X214" s="373">
        <v>700000</v>
      </c>
      <c r="Y214" s="248"/>
      <c r="Z214" s="247"/>
      <c r="AA214" s="248"/>
      <c r="AB214" s="340">
        <f t="shared" si="57"/>
        <v>1600000</v>
      </c>
      <c r="AC214" s="347">
        <f t="shared" si="58"/>
        <v>0</v>
      </c>
      <c r="AD214" s="249"/>
      <c r="AE214" s="435">
        <f t="shared" ref="AE214:AE220" si="60">+(I214*3778000+J214*(3778000+100000))*1.08+((I214+J214+K214)*150000)*1.08</f>
        <v>4242240</v>
      </c>
      <c r="AF214" s="342">
        <f t="shared" si="59"/>
        <v>5842240</v>
      </c>
      <c r="AG214" s="251">
        <f t="shared" si="56"/>
        <v>3927999.9999999995</v>
      </c>
      <c r="AH214" s="241"/>
      <c r="AI214" s="241"/>
      <c r="AJ214" s="241"/>
      <c r="AK214" s="194"/>
      <c r="AL214" s="195"/>
      <c r="AM214" s="195"/>
    </row>
    <row r="215" spans="2:39" ht="31.2">
      <c r="B215" s="253">
        <v>13</v>
      </c>
      <c r="C215" s="244"/>
      <c r="D215" s="256"/>
      <c r="E215" s="470">
        <v>306260262360</v>
      </c>
      <c r="F215" s="604" t="s">
        <v>2259</v>
      </c>
      <c r="G215" s="391" t="s">
        <v>3869</v>
      </c>
      <c r="H215" s="230" t="s">
        <v>748</v>
      </c>
      <c r="I215" s="230"/>
      <c r="J215" s="230">
        <v>2</v>
      </c>
      <c r="K215" s="230"/>
      <c r="L215" s="228"/>
      <c r="M215" s="257"/>
      <c r="N215" s="228" t="s">
        <v>3870</v>
      </c>
      <c r="O215" s="254" t="s">
        <v>2258</v>
      </c>
      <c r="P215" s="245"/>
      <c r="Q215" s="2564"/>
      <c r="R215" s="2564"/>
      <c r="S215" s="254"/>
      <c r="T215" s="228"/>
      <c r="U215" s="2552"/>
      <c r="V215" s="256"/>
      <c r="W215" s="373">
        <f>1050000+1050000</f>
        <v>2100000</v>
      </c>
      <c r="X215" s="373">
        <f>1140000+1140000</f>
        <v>2280000</v>
      </c>
      <c r="Y215" s="248"/>
      <c r="Z215" s="247"/>
      <c r="AA215" s="248"/>
      <c r="AB215" s="340">
        <f t="shared" si="57"/>
        <v>4380000</v>
      </c>
      <c r="AC215" s="347">
        <f t="shared" si="58"/>
        <v>0</v>
      </c>
      <c r="AD215" s="249"/>
      <c r="AE215" s="435">
        <f t="shared" si="60"/>
        <v>8700480</v>
      </c>
      <c r="AF215" s="342">
        <f t="shared" si="59"/>
        <v>13080480</v>
      </c>
      <c r="AG215" s="251">
        <f t="shared" si="56"/>
        <v>8055999.9999999991</v>
      </c>
      <c r="AH215" s="241"/>
      <c r="AI215" s="241"/>
      <c r="AJ215" s="241"/>
      <c r="AK215" s="194"/>
      <c r="AL215" s="195"/>
      <c r="AM215" s="195"/>
    </row>
    <row r="216" spans="2:39">
      <c r="B216" s="253">
        <v>14</v>
      </c>
      <c r="C216" s="244"/>
      <c r="D216" s="256"/>
      <c r="E216" s="474">
        <v>306262131840</v>
      </c>
      <c r="F216" s="604" t="s">
        <v>2264</v>
      </c>
      <c r="G216" s="391" t="s">
        <v>3871</v>
      </c>
      <c r="H216" s="230" t="s">
        <v>748</v>
      </c>
      <c r="I216" s="230"/>
      <c r="J216" s="230">
        <v>1</v>
      </c>
      <c r="K216" s="230"/>
      <c r="L216" s="228"/>
      <c r="M216" s="257"/>
      <c r="N216" s="228" t="s">
        <v>3872</v>
      </c>
      <c r="O216" s="228" t="s">
        <v>2265</v>
      </c>
      <c r="P216" s="245"/>
      <c r="Q216" s="2564"/>
      <c r="R216" s="2564"/>
      <c r="S216" s="254"/>
      <c r="T216" s="228"/>
      <c r="U216" s="2552"/>
      <c r="V216" s="256"/>
      <c r="W216" s="373">
        <v>1450000</v>
      </c>
      <c r="X216" s="373">
        <v>1140000</v>
      </c>
      <c r="Y216" s="248"/>
      <c r="Z216" s="247"/>
      <c r="AA216" s="248"/>
      <c r="AB216" s="340">
        <f t="shared" si="57"/>
        <v>2590000</v>
      </c>
      <c r="AC216" s="347">
        <f t="shared" si="58"/>
        <v>0</v>
      </c>
      <c r="AD216" s="249"/>
      <c r="AE216" s="435">
        <f t="shared" si="60"/>
        <v>4350240</v>
      </c>
      <c r="AF216" s="342">
        <f>+AB216+AE216</f>
        <v>6940240</v>
      </c>
      <c r="AG216" s="251">
        <f t="shared" si="56"/>
        <v>4027999.9999999995</v>
      </c>
      <c r="AH216" s="241"/>
      <c r="AI216" s="241"/>
      <c r="AJ216" s="241"/>
      <c r="AK216" s="194"/>
      <c r="AL216" s="195"/>
      <c r="AM216" s="195"/>
    </row>
    <row r="217" spans="2:39">
      <c r="B217" s="253">
        <v>15</v>
      </c>
      <c r="C217" s="244"/>
      <c r="D217" s="256"/>
      <c r="E217" s="474">
        <v>306263464751</v>
      </c>
      <c r="F217" s="604" t="s">
        <v>2264</v>
      </c>
      <c r="G217" s="391" t="s">
        <v>3873</v>
      </c>
      <c r="H217" s="230" t="s">
        <v>748</v>
      </c>
      <c r="I217" s="230"/>
      <c r="J217" s="230">
        <v>1</v>
      </c>
      <c r="K217" s="230"/>
      <c r="L217" s="228"/>
      <c r="M217" s="257"/>
      <c r="N217" s="228" t="s">
        <v>3872</v>
      </c>
      <c r="O217" s="228" t="s">
        <v>2266</v>
      </c>
      <c r="P217" s="245"/>
      <c r="Q217" s="2564"/>
      <c r="R217" s="2564"/>
      <c r="S217" s="254"/>
      <c r="T217" s="228"/>
      <c r="U217" s="2552"/>
      <c r="V217" s="256"/>
      <c r="W217" s="373">
        <v>1450000</v>
      </c>
      <c r="X217" s="373">
        <v>1140000</v>
      </c>
      <c r="Y217" s="248"/>
      <c r="Z217" s="247"/>
      <c r="AA217" s="248"/>
      <c r="AB217" s="340">
        <f t="shared" si="57"/>
        <v>2590000</v>
      </c>
      <c r="AC217" s="347">
        <f t="shared" si="58"/>
        <v>0</v>
      </c>
      <c r="AD217" s="249"/>
      <c r="AE217" s="435">
        <f t="shared" si="60"/>
        <v>4350240</v>
      </c>
      <c r="AF217" s="342">
        <f t="shared" si="59"/>
        <v>6940240</v>
      </c>
      <c r="AG217" s="251">
        <f t="shared" si="56"/>
        <v>4027999.9999999995</v>
      </c>
      <c r="AH217" s="241"/>
      <c r="AI217" s="241"/>
      <c r="AJ217" s="241"/>
      <c r="AK217" s="194"/>
      <c r="AL217" s="195"/>
      <c r="AM217" s="195"/>
    </row>
    <row r="218" spans="2:39">
      <c r="B218" s="253">
        <v>16</v>
      </c>
      <c r="C218" s="244"/>
      <c r="D218" s="256"/>
      <c r="E218" s="466">
        <v>106134357710</v>
      </c>
      <c r="F218" s="603" t="s">
        <v>2260</v>
      </c>
      <c r="G218" s="391" t="s">
        <v>3874</v>
      </c>
      <c r="H218" s="230" t="s">
        <v>3579</v>
      </c>
      <c r="I218" s="230"/>
      <c r="J218" s="230">
        <v>1</v>
      </c>
      <c r="K218" s="230"/>
      <c r="L218" s="228"/>
      <c r="M218" s="257"/>
      <c r="N218" s="228" t="s">
        <v>2267</v>
      </c>
      <c r="O218" s="228" t="s">
        <v>2268</v>
      </c>
      <c r="P218" s="245"/>
      <c r="Q218" s="2564"/>
      <c r="R218" s="2564"/>
      <c r="S218" s="254"/>
      <c r="T218" s="228"/>
      <c r="U218" s="2552"/>
      <c r="V218" s="324">
        <v>361800</v>
      </c>
      <c r="W218" s="324">
        <v>766800</v>
      </c>
      <c r="X218" s="373">
        <v>1450000</v>
      </c>
      <c r="Y218" s="248"/>
      <c r="Z218" s="247"/>
      <c r="AA218" s="248"/>
      <c r="AB218" s="340">
        <f t="shared" si="57"/>
        <v>2578600</v>
      </c>
      <c r="AC218" s="347">
        <f t="shared" si="58"/>
        <v>0</v>
      </c>
      <c r="AD218" s="249"/>
      <c r="AE218" s="435">
        <f t="shared" si="60"/>
        <v>4350240</v>
      </c>
      <c r="AF218" s="342">
        <f t="shared" si="59"/>
        <v>6928840</v>
      </c>
      <c r="AG218" s="251">
        <f t="shared" si="56"/>
        <v>4027999.9999999995</v>
      </c>
      <c r="AH218" s="241"/>
      <c r="AI218" s="241"/>
      <c r="AJ218" s="241"/>
      <c r="AK218" s="194"/>
      <c r="AL218" s="195"/>
      <c r="AM218" s="195"/>
    </row>
    <row r="219" spans="2:39" ht="33.75" customHeight="1">
      <c r="B219" s="253">
        <v>17</v>
      </c>
      <c r="C219" s="244"/>
      <c r="D219" s="256"/>
      <c r="E219" s="474">
        <v>306282694600</v>
      </c>
      <c r="F219" s="611" t="s">
        <v>2282</v>
      </c>
      <c r="G219" s="391" t="s">
        <v>3875</v>
      </c>
      <c r="H219" s="230" t="s">
        <v>210</v>
      </c>
      <c r="I219" s="230"/>
      <c r="J219" s="230">
        <v>2</v>
      </c>
      <c r="K219" s="230"/>
      <c r="L219" s="228"/>
      <c r="M219" s="257"/>
      <c r="N219" s="228" t="s">
        <v>2281</v>
      </c>
      <c r="O219" s="254" t="s">
        <v>2332</v>
      </c>
      <c r="P219" s="245"/>
      <c r="Q219" s="2564"/>
      <c r="R219" s="2564"/>
      <c r="S219" s="254"/>
      <c r="T219" s="228"/>
      <c r="U219" s="2552"/>
      <c r="V219" s="256"/>
      <c r="W219" s="373">
        <f>1300000+1300000</f>
        <v>2600000</v>
      </c>
      <c r="X219" s="373">
        <f>766800+766800</f>
        <v>1533600</v>
      </c>
      <c r="Y219" s="248"/>
      <c r="Z219" s="247"/>
      <c r="AA219" s="248"/>
      <c r="AB219" s="340">
        <f t="shared" si="57"/>
        <v>4133600</v>
      </c>
      <c r="AC219" s="347">
        <f t="shared" ref="AC219:AC229" si="61">+Z219</f>
        <v>0</v>
      </c>
      <c r="AD219" s="249"/>
      <c r="AE219" s="435">
        <f t="shared" si="60"/>
        <v>8700480</v>
      </c>
      <c r="AF219" s="342">
        <f t="shared" ref="AF219:AF229" si="62">+AB219+AE219</f>
        <v>12834080</v>
      </c>
      <c r="AG219" s="251">
        <f t="shared" ref="AG219:AG229" si="63">+AE219/1.08</f>
        <v>8055999.9999999991</v>
      </c>
      <c r="AH219" s="241"/>
      <c r="AI219" s="241"/>
      <c r="AJ219" s="241"/>
      <c r="AK219" s="194"/>
      <c r="AL219" s="195"/>
      <c r="AM219" s="195"/>
    </row>
    <row r="220" spans="2:39" ht="31.2">
      <c r="B220" s="253">
        <v>18</v>
      </c>
      <c r="C220" s="244"/>
      <c r="D220" s="256"/>
      <c r="E220" s="474">
        <v>306283708050</v>
      </c>
      <c r="F220" s="611" t="s">
        <v>2282</v>
      </c>
      <c r="G220" s="391" t="s">
        <v>3876</v>
      </c>
      <c r="H220" s="230" t="s">
        <v>210</v>
      </c>
      <c r="I220" s="230"/>
      <c r="J220" s="230">
        <v>2</v>
      </c>
      <c r="K220" s="230"/>
      <c r="L220" s="228"/>
      <c r="M220" s="257"/>
      <c r="N220" s="228" t="s">
        <v>2283</v>
      </c>
      <c r="O220" s="254" t="s">
        <v>2333</v>
      </c>
      <c r="P220" s="245"/>
      <c r="Q220" s="2564"/>
      <c r="R220" s="2564"/>
      <c r="S220" s="254"/>
      <c r="T220" s="228"/>
      <c r="U220" s="2552"/>
      <c r="V220" s="256"/>
      <c r="W220" s="373">
        <f>1300000+1300000</f>
        <v>2600000</v>
      </c>
      <c r="X220" s="373">
        <f>766800+766800</f>
        <v>1533600</v>
      </c>
      <c r="Y220" s="248"/>
      <c r="Z220" s="247"/>
      <c r="AA220" s="248"/>
      <c r="AB220" s="340">
        <f t="shared" si="57"/>
        <v>4133600</v>
      </c>
      <c r="AC220" s="347">
        <f t="shared" si="61"/>
        <v>0</v>
      </c>
      <c r="AD220" s="249"/>
      <c r="AE220" s="435">
        <f t="shared" si="60"/>
        <v>8700480</v>
      </c>
      <c r="AF220" s="342">
        <f t="shared" si="62"/>
        <v>12834080</v>
      </c>
      <c r="AG220" s="251">
        <f t="shared" si="63"/>
        <v>8055999.9999999991</v>
      </c>
      <c r="AH220" s="241"/>
      <c r="AI220" s="241"/>
      <c r="AJ220" s="241"/>
      <c r="AK220" s="194"/>
      <c r="AL220" s="195"/>
      <c r="AM220" s="195"/>
    </row>
    <row r="221" spans="2:39">
      <c r="B221" s="253">
        <v>19</v>
      </c>
      <c r="C221" s="244"/>
      <c r="D221" s="256"/>
      <c r="E221" s="474">
        <v>306283956330</v>
      </c>
      <c r="F221" s="611" t="s">
        <v>2282</v>
      </c>
      <c r="G221" s="391" t="s">
        <v>3877</v>
      </c>
      <c r="H221" s="230" t="s">
        <v>210</v>
      </c>
      <c r="I221" s="612">
        <v>2</v>
      </c>
      <c r="J221" s="230"/>
      <c r="K221" s="230"/>
      <c r="L221" s="228"/>
      <c r="M221" s="257"/>
      <c r="N221" s="228" t="s">
        <v>2284</v>
      </c>
      <c r="O221" s="544" t="s">
        <v>2285</v>
      </c>
      <c r="P221" s="245"/>
      <c r="Q221" s="2564"/>
      <c r="R221" s="2564"/>
      <c r="S221" s="254"/>
      <c r="T221" s="612" t="s">
        <v>3878</v>
      </c>
      <c r="U221" s="2558"/>
      <c r="V221" s="324">
        <v>1922000</v>
      </c>
      <c r="W221" s="373">
        <v>680000</v>
      </c>
      <c r="X221" s="373">
        <f>710000+920000</f>
        <v>1630000</v>
      </c>
      <c r="Y221" s="248"/>
      <c r="Z221" s="247"/>
      <c r="AA221" s="248"/>
      <c r="AB221" s="340">
        <f t="shared" si="57"/>
        <v>4232000</v>
      </c>
      <c r="AC221" s="347">
        <f t="shared" si="61"/>
        <v>0</v>
      </c>
      <c r="AD221" s="249"/>
      <c r="AE221" s="613">
        <f>+(I221*3778000+J221*(3778000+100000))*1.08+((I221+J221+K221)*150000)*1.08+(5500000*1.08)+(2500000*1.08)-(150000*1.08)</f>
        <v>16962480</v>
      </c>
      <c r="AF221" s="342">
        <f t="shared" si="62"/>
        <v>21194480</v>
      </c>
      <c r="AG221" s="251">
        <f t="shared" si="63"/>
        <v>15705999.999999998</v>
      </c>
      <c r="AH221" s="241"/>
      <c r="AI221" s="241"/>
      <c r="AJ221" s="241"/>
      <c r="AK221" s="194"/>
      <c r="AL221" s="195"/>
      <c r="AM221" s="195"/>
    </row>
    <row r="222" spans="2:39">
      <c r="B222" s="253">
        <v>20</v>
      </c>
      <c r="C222" s="244"/>
      <c r="D222" s="256"/>
      <c r="E222" s="616">
        <v>306286231220</v>
      </c>
      <c r="F222" s="603" t="s">
        <v>2294</v>
      </c>
      <c r="G222" s="391" t="s">
        <v>3879</v>
      </c>
      <c r="H222" s="230" t="s">
        <v>210</v>
      </c>
      <c r="I222" s="230"/>
      <c r="J222" s="612">
        <v>2</v>
      </c>
      <c r="K222" s="230"/>
      <c r="L222" s="228"/>
      <c r="M222" s="257"/>
      <c r="N222" s="228" t="s">
        <v>2296</v>
      </c>
      <c r="O222" s="544" t="s">
        <v>2298</v>
      </c>
      <c r="P222" s="245"/>
      <c r="Q222" s="2564"/>
      <c r="R222" s="2564"/>
      <c r="S222" s="254"/>
      <c r="T222" s="612" t="s">
        <v>3880</v>
      </c>
      <c r="U222" s="2558"/>
      <c r="V222" s="324">
        <v>1504440</v>
      </c>
      <c r="W222" s="373">
        <f>1160000</f>
        <v>1160000</v>
      </c>
      <c r="X222" s="373">
        <f>766800+1160000</f>
        <v>1926800</v>
      </c>
      <c r="Y222" s="248"/>
      <c r="Z222" s="247"/>
      <c r="AA222" s="248"/>
      <c r="AB222" s="340">
        <f t="shared" si="57"/>
        <v>4591240</v>
      </c>
      <c r="AC222" s="347">
        <f t="shared" si="61"/>
        <v>0</v>
      </c>
      <c r="AD222" s="249"/>
      <c r="AE222" s="613">
        <f>+(I222*3778000+J222*(3778000+100000))*1.08+((I222+J222+K222)*150000)*1.08+(3500000*1.08)-(150000*1.08)</f>
        <v>12318480</v>
      </c>
      <c r="AF222" s="342">
        <f t="shared" si="62"/>
        <v>16909720</v>
      </c>
      <c r="AG222" s="251">
        <f t="shared" si="63"/>
        <v>11406000</v>
      </c>
      <c r="AH222" s="241"/>
      <c r="AI222" s="241"/>
      <c r="AJ222" s="241"/>
      <c r="AK222" s="194"/>
      <c r="AL222" s="195"/>
      <c r="AM222" s="242" t="s">
        <v>3881</v>
      </c>
    </row>
    <row r="223" spans="2:39" ht="31.2">
      <c r="B223" s="253">
        <v>21</v>
      </c>
      <c r="C223" s="244"/>
      <c r="D223" s="256"/>
      <c r="E223" s="474">
        <v>306287202230</v>
      </c>
      <c r="F223" s="603" t="s">
        <v>2294</v>
      </c>
      <c r="G223" s="391" t="s">
        <v>3882</v>
      </c>
      <c r="H223" s="230" t="s">
        <v>210</v>
      </c>
      <c r="I223" s="230"/>
      <c r="J223" s="230">
        <v>2</v>
      </c>
      <c r="K223" s="230"/>
      <c r="L223" s="228"/>
      <c r="M223" s="257"/>
      <c r="N223" s="228" t="s">
        <v>2297</v>
      </c>
      <c r="O223" s="614" t="s">
        <v>2324</v>
      </c>
      <c r="P223" s="245"/>
      <c r="Q223" s="2564"/>
      <c r="R223" s="2564"/>
      <c r="S223" s="254"/>
      <c r="T223" s="228"/>
      <c r="U223" s="2552"/>
      <c r="V223" s="256"/>
      <c r="W223" s="373">
        <f>1300000+1300000</f>
        <v>2600000</v>
      </c>
      <c r="X223" s="373">
        <f>766800+766800</f>
        <v>1533600</v>
      </c>
      <c r="Y223" s="248"/>
      <c r="Z223" s="247"/>
      <c r="AA223" s="248"/>
      <c r="AB223" s="340">
        <f t="shared" si="57"/>
        <v>4133600</v>
      </c>
      <c r="AC223" s="347">
        <f t="shared" si="61"/>
        <v>0</v>
      </c>
      <c r="AD223" s="249"/>
      <c r="AE223" s="435">
        <f t="shared" ref="AE223:AE229" si="64">+(I223*3778000+J223*(3778000+100000))*1.08+((I223+J223+K223)*150000)*1.08</f>
        <v>8700480</v>
      </c>
      <c r="AF223" s="342">
        <f t="shared" si="62"/>
        <v>12834080</v>
      </c>
      <c r="AG223" s="251">
        <f t="shared" si="63"/>
        <v>8055999.9999999991</v>
      </c>
      <c r="AH223" s="241"/>
      <c r="AI223" s="241"/>
      <c r="AJ223" s="241"/>
      <c r="AK223" s="194"/>
      <c r="AL223" s="195"/>
      <c r="AM223" s="195"/>
    </row>
    <row r="224" spans="2:39" ht="15" customHeight="1">
      <c r="B224" s="253">
        <v>22</v>
      </c>
      <c r="C224" s="244"/>
      <c r="D224" s="256"/>
      <c r="E224" s="474">
        <v>306290215140</v>
      </c>
      <c r="F224" s="603" t="s">
        <v>2295</v>
      </c>
      <c r="G224" s="391" t="s">
        <v>3883</v>
      </c>
      <c r="H224" s="230" t="s">
        <v>210</v>
      </c>
      <c r="I224" s="230"/>
      <c r="J224" s="230">
        <v>1</v>
      </c>
      <c r="K224" s="230"/>
      <c r="L224" s="228"/>
      <c r="M224" s="257"/>
      <c r="N224" s="228" t="s">
        <v>2296</v>
      </c>
      <c r="O224" s="254" t="s">
        <v>2300</v>
      </c>
      <c r="P224" s="245"/>
      <c r="Q224" s="2564"/>
      <c r="R224" s="2564"/>
      <c r="S224" s="254"/>
      <c r="T224" s="228"/>
      <c r="U224" s="2552"/>
      <c r="V224" s="256"/>
      <c r="W224" s="373">
        <v>1160000</v>
      </c>
      <c r="X224" s="373">
        <v>766800</v>
      </c>
      <c r="Y224" s="248"/>
      <c r="Z224" s="247"/>
      <c r="AA224" s="248"/>
      <c r="AB224" s="340">
        <f t="shared" si="57"/>
        <v>1926800</v>
      </c>
      <c r="AC224" s="347">
        <f t="shared" si="61"/>
        <v>0</v>
      </c>
      <c r="AD224" s="249"/>
      <c r="AE224" s="435">
        <f t="shared" si="64"/>
        <v>4350240</v>
      </c>
      <c r="AF224" s="342">
        <f t="shared" si="62"/>
        <v>6277040</v>
      </c>
      <c r="AG224" s="251">
        <f t="shared" si="63"/>
        <v>4027999.9999999995</v>
      </c>
      <c r="AH224" s="241"/>
      <c r="AI224" s="241"/>
      <c r="AJ224" s="241"/>
      <c r="AK224" s="194"/>
      <c r="AL224" s="195"/>
      <c r="AM224" s="195"/>
    </row>
    <row r="225" spans="2:39">
      <c r="B225" s="253">
        <v>23</v>
      </c>
      <c r="C225" s="244"/>
      <c r="D225" s="256"/>
      <c r="E225" s="474">
        <v>306293914050</v>
      </c>
      <c r="F225" s="603" t="s">
        <v>2299</v>
      </c>
      <c r="G225" s="391" t="s">
        <v>3884</v>
      </c>
      <c r="H225" s="230" t="s">
        <v>210</v>
      </c>
      <c r="I225" s="230">
        <v>1</v>
      </c>
      <c r="J225" s="230"/>
      <c r="K225" s="230"/>
      <c r="L225" s="228"/>
      <c r="M225" s="257"/>
      <c r="N225" s="228">
        <v>24901350</v>
      </c>
      <c r="O225" s="228" t="s">
        <v>2306</v>
      </c>
      <c r="P225" s="245"/>
      <c r="Q225" s="2564"/>
      <c r="R225" s="2564"/>
      <c r="S225" s="254"/>
      <c r="T225" s="228"/>
      <c r="U225" s="2552"/>
      <c r="V225" s="256"/>
      <c r="W225" s="373">
        <v>900000</v>
      </c>
      <c r="X225" s="373">
        <v>432000</v>
      </c>
      <c r="Y225" s="248"/>
      <c r="Z225" s="247"/>
      <c r="AA225" s="248"/>
      <c r="AB225" s="340">
        <f t="shared" si="57"/>
        <v>1332000</v>
      </c>
      <c r="AC225" s="347">
        <f t="shared" si="61"/>
        <v>0</v>
      </c>
      <c r="AD225" s="249"/>
      <c r="AE225" s="435">
        <f t="shared" si="64"/>
        <v>4242240</v>
      </c>
      <c r="AF225" s="342">
        <f t="shared" si="62"/>
        <v>5574240</v>
      </c>
      <c r="AG225" s="251">
        <f t="shared" si="63"/>
        <v>3927999.9999999995</v>
      </c>
      <c r="AH225" s="241"/>
      <c r="AI225" s="241"/>
      <c r="AJ225" s="241"/>
      <c r="AK225" s="194"/>
      <c r="AL225" s="195"/>
      <c r="AM225" s="195"/>
    </row>
    <row r="226" spans="2:39" ht="31.2">
      <c r="B226" s="253">
        <v>24</v>
      </c>
      <c r="C226" s="244"/>
      <c r="D226" s="256"/>
      <c r="E226" s="474">
        <v>306293743950</v>
      </c>
      <c r="F226" s="603" t="s">
        <v>2299</v>
      </c>
      <c r="G226" s="391" t="s">
        <v>3885</v>
      </c>
      <c r="H226" s="230" t="s">
        <v>210</v>
      </c>
      <c r="I226" s="230"/>
      <c r="J226" s="230">
        <v>2</v>
      </c>
      <c r="K226" s="230"/>
      <c r="L226" s="228"/>
      <c r="M226" s="257"/>
      <c r="N226" s="228">
        <v>6378085250</v>
      </c>
      <c r="O226" s="254" t="s">
        <v>2301</v>
      </c>
      <c r="P226" s="245"/>
      <c r="Q226" s="2564"/>
      <c r="R226" s="2564"/>
      <c r="S226" s="254"/>
      <c r="T226" s="228"/>
      <c r="U226" s="2552"/>
      <c r="V226" s="256"/>
      <c r="W226" s="373">
        <f>1450000+1450000</f>
        <v>2900000</v>
      </c>
      <c r="X226" s="373">
        <f>1140000+1140000</f>
        <v>2280000</v>
      </c>
      <c r="Y226" s="248"/>
      <c r="Z226" s="247"/>
      <c r="AA226" s="248"/>
      <c r="AB226" s="340">
        <f t="shared" si="57"/>
        <v>5180000</v>
      </c>
      <c r="AC226" s="347">
        <f t="shared" si="61"/>
        <v>0</v>
      </c>
      <c r="AD226" s="249"/>
      <c r="AE226" s="435">
        <f t="shared" si="64"/>
        <v>8700480</v>
      </c>
      <c r="AF226" s="342">
        <f t="shared" si="62"/>
        <v>13880480</v>
      </c>
      <c r="AG226" s="251">
        <f t="shared" si="63"/>
        <v>8055999.9999999991</v>
      </c>
      <c r="AH226" s="241"/>
      <c r="AI226" s="241"/>
      <c r="AJ226" s="241"/>
      <c r="AK226" s="194"/>
      <c r="AL226" s="195"/>
      <c r="AM226" s="195"/>
    </row>
    <row r="227" spans="2:39">
      <c r="B227" s="253">
        <v>25</v>
      </c>
      <c r="C227" s="244"/>
      <c r="D227" s="256"/>
      <c r="E227" s="466">
        <v>106162535950</v>
      </c>
      <c r="F227" s="603" t="s">
        <v>2302</v>
      </c>
      <c r="G227" s="391" t="s">
        <v>3886</v>
      </c>
      <c r="H227" s="230" t="s">
        <v>3579</v>
      </c>
      <c r="I227" s="230">
        <v>1</v>
      </c>
      <c r="J227" s="230"/>
      <c r="K227" s="230"/>
      <c r="L227" s="228"/>
      <c r="M227" s="257"/>
      <c r="N227" s="228" t="s">
        <v>2305</v>
      </c>
      <c r="O227" s="228" t="s">
        <v>2304</v>
      </c>
      <c r="P227" s="245"/>
      <c r="Q227" s="2564"/>
      <c r="R227" s="2564"/>
      <c r="S227" s="254"/>
      <c r="T227" s="228"/>
      <c r="U227" s="2552"/>
      <c r="V227" s="256"/>
      <c r="W227" s="324">
        <v>631800</v>
      </c>
      <c r="X227" s="373">
        <v>900000</v>
      </c>
      <c r="Y227" s="248"/>
      <c r="Z227" s="247"/>
      <c r="AA227" s="248"/>
      <c r="AB227" s="340">
        <f t="shared" si="57"/>
        <v>1531800</v>
      </c>
      <c r="AC227" s="347">
        <f t="shared" si="61"/>
        <v>0</v>
      </c>
      <c r="AD227" s="249"/>
      <c r="AE227" s="435">
        <f t="shared" si="64"/>
        <v>4242240</v>
      </c>
      <c r="AF227" s="342">
        <f t="shared" si="62"/>
        <v>5774040</v>
      </c>
      <c r="AG227" s="251">
        <f t="shared" si="63"/>
        <v>3927999.9999999995</v>
      </c>
      <c r="AH227" s="241"/>
      <c r="AI227" s="241"/>
      <c r="AJ227" s="241"/>
      <c r="AK227" s="194"/>
      <c r="AL227" s="195"/>
      <c r="AM227" s="195"/>
    </row>
    <row r="228" spans="2:39" ht="31.2">
      <c r="B228" s="253">
        <v>26</v>
      </c>
      <c r="C228" s="244"/>
      <c r="D228" s="256"/>
      <c r="E228" s="463" t="s">
        <v>2311</v>
      </c>
      <c r="F228" s="603" t="s">
        <v>2303</v>
      </c>
      <c r="G228" s="391" t="s">
        <v>3887</v>
      </c>
      <c r="H228" s="230" t="s">
        <v>3579</v>
      </c>
      <c r="I228" s="230"/>
      <c r="J228" s="230">
        <v>1</v>
      </c>
      <c r="K228" s="230"/>
      <c r="L228" s="228"/>
      <c r="M228" s="257"/>
      <c r="N228" s="228" t="s">
        <v>2310</v>
      </c>
      <c r="O228" s="228" t="s">
        <v>2309</v>
      </c>
      <c r="P228" s="245"/>
      <c r="Q228" s="2564"/>
      <c r="R228" s="2564"/>
      <c r="S228" s="254"/>
      <c r="T228" s="228"/>
      <c r="U228" s="2552"/>
      <c r="V228" s="256"/>
      <c r="W228" s="324">
        <v>1128600</v>
      </c>
      <c r="X228" s="373">
        <v>1450000</v>
      </c>
      <c r="Y228" s="248"/>
      <c r="Z228" s="247"/>
      <c r="AA228" s="248"/>
      <c r="AB228" s="340">
        <f t="shared" si="57"/>
        <v>2578600</v>
      </c>
      <c r="AC228" s="347">
        <f t="shared" si="61"/>
        <v>0</v>
      </c>
      <c r="AD228" s="249"/>
      <c r="AE228" s="435">
        <f t="shared" si="64"/>
        <v>4350240</v>
      </c>
      <c r="AF228" s="342">
        <f t="shared" si="62"/>
        <v>6928840</v>
      </c>
      <c r="AG228" s="251">
        <f t="shared" si="63"/>
        <v>4027999.9999999995</v>
      </c>
      <c r="AH228" s="241"/>
      <c r="AI228" s="241"/>
      <c r="AJ228" s="241"/>
      <c r="AK228" s="194"/>
      <c r="AL228" s="195"/>
      <c r="AM228" s="195"/>
    </row>
    <row r="229" spans="2:39">
      <c r="B229" s="253">
        <v>27</v>
      </c>
      <c r="C229" s="244"/>
      <c r="D229" s="256"/>
      <c r="E229" s="466">
        <v>106161307600</v>
      </c>
      <c r="F229" s="603" t="s">
        <v>2303</v>
      </c>
      <c r="G229" s="391" t="s">
        <v>3888</v>
      </c>
      <c r="H229" s="230" t="s">
        <v>3579</v>
      </c>
      <c r="I229" s="230">
        <v>1</v>
      </c>
      <c r="J229" s="230"/>
      <c r="K229" s="230"/>
      <c r="L229" s="526" t="s">
        <v>136</v>
      </c>
      <c r="M229" s="257"/>
      <c r="N229" s="228" t="s">
        <v>2308</v>
      </c>
      <c r="O229" s="228" t="s">
        <v>2307</v>
      </c>
      <c r="P229" s="245"/>
      <c r="Q229" s="2564"/>
      <c r="R229" s="2564"/>
      <c r="S229" s="254"/>
      <c r="T229" s="228"/>
      <c r="U229" s="2552"/>
      <c r="V229" s="256"/>
      <c r="W229" s="324">
        <v>631800</v>
      </c>
      <c r="X229" s="373">
        <v>890000</v>
      </c>
      <c r="Y229" s="248"/>
      <c r="Z229" s="247"/>
      <c r="AA229" s="248"/>
      <c r="AB229" s="340">
        <f t="shared" si="57"/>
        <v>1521800</v>
      </c>
      <c r="AC229" s="347">
        <f t="shared" si="61"/>
        <v>0</v>
      </c>
      <c r="AD229" s="249"/>
      <c r="AE229" s="435">
        <f t="shared" si="64"/>
        <v>4242240</v>
      </c>
      <c r="AF229" s="342">
        <f t="shared" si="62"/>
        <v>5764040</v>
      </c>
      <c r="AG229" s="251">
        <f t="shared" si="63"/>
        <v>3927999.9999999995</v>
      </c>
      <c r="AH229" s="241"/>
      <c r="AI229" s="241"/>
      <c r="AJ229" s="241"/>
      <c r="AK229" s="194"/>
      <c r="AL229" s="195"/>
      <c r="AM229" s="195"/>
    </row>
    <row r="230" spans="2:39">
      <c r="B230" s="649" t="s">
        <v>3889</v>
      </c>
      <c r="C230" s="650"/>
      <c r="D230" s="346"/>
      <c r="E230" s="650"/>
      <c r="F230" s="650"/>
      <c r="G230" s="650"/>
      <c r="H230" s="650"/>
      <c r="I230" s="1303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57"/>
      <c r="W230" s="590">
        <f>+V218+W218+V221+V222+W227+W228+W229</f>
        <v>6947240</v>
      </c>
      <c r="X230" s="590" t="e">
        <f>+W230+'[1]CHÍNHẬPHẬPH NHẬPHẬPGUYÊNHẬPHẬP'!R94</f>
        <v>#REF!</v>
      </c>
      <c r="Y230" s="357"/>
      <c r="Z230" s="357"/>
      <c r="AA230" s="357"/>
      <c r="AB230" s="358">
        <f>SUM(AB203:AB229)</f>
        <v>74409040</v>
      </c>
      <c r="AC230" s="358">
        <f>SUM(AC207:AC224)</f>
        <v>0</v>
      </c>
      <c r="AD230" s="358">
        <f>SUM(AD205:AD224)</f>
        <v>0</v>
      </c>
      <c r="AE230" s="358">
        <f>SUM(AE203:AE229)</f>
        <v>164667600</v>
      </c>
      <c r="AF230" s="358">
        <f>SUM(AF203:AF229)</f>
        <v>239076640</v>
      </c>
      <c r="AG230" s="358">
        <f>SUM(AG203:AG229)</f>
        <v>152470000</v>
      </c>
      <c r="AH230" s="357"/>
      <c r="AI230" s="357"/>
      <c r="AJ230" s="357"/>
      <c r="AK230" s="357"/>
      <c r="AL230" s="357"/>
      <c r="AM230" s="617">
        <f>+AE230/1.08</f>
        <v>152470000</v>
      </c>
    </row>
    <row r="231" spans="2:39">
      <c r="B231" s="619">
        <v>1</v>
      </c>
      <c r="C231" s="244"/>
      <c r="D231" s="256"/>
      <c r="E231" s="474">
        <v>306307236560</v>
      </c>
      <c r="F231" s="603" t="s">
        <v>2331</v>
      </c>
      <c r="G231" s="391" t="s">
        <v>2335</v>
      </c>
      <c r="H231" s="230" t="s">
        <v>210</v>
      </c>
      <c r="I231" s="230"/>
      <c r="J231" s="230">
        <v>1</v>
      </c>
      <c r="K231" s="230"/>
      <c r="L231" s="228"/>
      <c r="M231" s="257"/>
      <c r="N231" s="228">
        <v>237270158</v>
      </c>
      <c r="O231" s="228" t="s">
        <v>2334</v>
      </c>
      <c r="P231" s="245"/>
      <c r="Q231" s="2564"/>
      <c r="R231" s="2564"/>
      <c r="S231" s="254"/>
      <c r="T231" s="228"/>
      <c r="U231" s="2552"/>
      <c r="V231" s="256"/>
      <c r="W231" s="373">
        <v>1200000</v>
      </c>
      <c r="X231" s="373">
        <v>766800</v>
      </c>
      <c r="Y231" s="248"/>
      <c r="Z231" s="247"/>
      <c r="AA231" s="248"/>
      <c r="AB231" s="340">
        <f t="shared" ref="AB231:AB265" si="65">V231+W231+X231+Y231+Z231+AA231</f>
        <v>1966800</v>
      </c>
      <c r="AC231" s="347">
        <f>+Z231</f>
        <v>0</v>
      </c>
      <c r="AD231" s="249"/>
      <c r="AE231" s="435">
        <f t="shared" ref="AE231:AE244" si="66">+(I231*3778000+J231*(3778000+100000))*1.08+((I231+J231+K231)*150000)*1.08</f>
        <v>4350240</v>
      </c>
      <c r="AF231" s="342">
        <f>+AB231+AE231</f>
        <v>6317040</v>
      </c>
      <c r="AG231" s="251">
        <f>+AE231/1.08</f>
        <v>4027999.9999999995</v>
      </c>
      <c r="AH231" s="241"/>
      <c r="AI231" s="241"/>
      <c r="AJ231" s="241"/>
      <c r="AK231" s="194"/>
      <c r="AL231" s="195"/>
      <c r="AM231" s="195"/>
    </row>
    <row r="232" spans="2:39" ht="18.75" customHeight="1">
      <c r="B232" s="619">
        <v>2</v>
      </c>
      <c r="C232" s="244"/>
      <c r="D232" s="256"/>
      <c r="E232" s="474">
        <v>306313853220</v>
      </c>
      <c r="F232" s="615">
        <v>45383</v>
      </c>
      <c r="G232" s="391" t="s">
        <v>2338</v>
      </c>
      <c r="H232" s="230" t="s">
        <v>210</v>
      </c>
      <c r="I232" s="230"/>
      <c r="J232" s="230">
        <v>1</v>
      </c>
      <c r="K232" s="230"/>
      <c r="L232" s="228"/>
      <c r="M232" s="257"/>
      <c r="N232" s="228" t="s">
        <v>2336</v>
      </c>
      <c r="O232" s="228" t="s">
        <v>2337</v>
      </c>
      <c r="P232" s="245"/>
      <c r="Q232" s="2564"/>
      <c r="R232" s="2564"/>
      <c r="S232" s="254"/>
      <c r="T232" s="228"/>
      <c r="U232" s="2552"/>
      <c r="V232" s="256"/>
      <c r="W232" s="373">
        <v>1450000</v>
      </c>
      <c r="X232" s="373">
        <f>3480000/3</f>
        <v>1160000</v>
      </c>
      <c r="Y232" s="248"/>
      <c r="Z232" s="247"/>
      <c r="AA232" s="248"/>
      <c r="AB232" s="340">
        <f t="shared" si="65"/>
        <v>2610000</v>
      </c>
      <c r="AC232" s="347">
        <f t="shared" ref="AC232:AC253" si="67">+Z232</f>
        <v>0</v>
      </c>
      <c r="AD232" s="249"/>
      <c r="AE232" s="435">
        <f t="shared" si="66"/>
        <v>4350240</v>
      </c>
      <c r="AF232" s="342">
        <f t="shared" ref="AF232:AF253" si="68">+AB232+AE232</f>
        <v>6960240</v>
      </c>
      <c r="AG232" s="251">
        <f t="shared" ref="AG232:AG253" si="69">+AE232/1.08</f>
        <v>4027999.9999999995</v>
      </c>
      <c r="AH232" s="241"/>
      <c r="AI232" s="241"/>
      <c r="AJ232" s="241"/>
      <c r="AK232" s="194"/>
      <c r="AL232" s="195"/>
      <c r="AM232" s="195"/>
    </row>
    <row r="233" spans="2:39">
      <c r="B233" s="619">
        <v>3</v>
      </c>
      <c r="C233" s="244"/>
      <c r="D233" s="256"/>
      <c r="E233" s="474">
        <v>306315187160</v>
      </c>
      <c r="F233" s="615">
        <v>45383</v>
      </c>
      <c r="G233" s="391" t="s">
        <v>2340</v>
      </c>
      <c r="H233" s="230" t="s">
        <v>210</v>
      </c>
      <c r="I233" s="230"/>
      <c r="J233" s="230">
        <v>1</v>
      </c>
      <c r="K233" s="230"/>
      <c r="L233" s="228"/>
      <c r="M233" s="257"/>
      <c r="N233" s="228">
        <v>29246465</v>
      </c>
      <c r="O233" s="228" t="s">
        <v>2339</v>
      </c>
      <c r="P233" s="245"/>
      <c r="Q233" s="2564"/>
      <c r="R233" s="2564"/>
      <c r="S233" s="254"/>
      <c r="T233" s="228"/>
      <c r="U233" s="2552"/>
      <c r="V233" s="256"/>
      <c r="W233" s="373">
        <v>1150000</v>
      </c>
      <c r="X233" s="373">
        <v>1140000</v>
      </c>
      <c r="Y233" s="248"/>
      <c r="Z233" s="247"/>
      <c r="AA233" s="248"/>
      <c r="AB233" s="340">
        <f t="shared" si="65"/>
        <v>2290000</v>
      </c>
      <c r="AC233" s="347">
        <f t="shared" si="67"/>
        <v>0</v>
      </c>
      <c r="AD233" s="249"/>
      <c r="AE233" s="435">
        <f t="shared" si="66"/>
        <v>4350240</v>
      </c>
      <c r="AF233" s="342">
        <f t="shared" si="68"/>
        <v>6640240</v>
      </c>
      <c r="AG233" s="251">
        <f t="shared" si="69"/>
        <v>4027999.9999999995</v>
      </c>
      <c r="AH233" s="241"/>
      <c r="AI233" s="241"/>
      <c r="AJ233" s="241"/>
      <c r="AK233" s="194"/>
      <c r="AL233" s="195"/>
      <c r="AM233" s="195"/>
    </row>
    <row r="234" spans="2:39">
      <c r="B234" s="619">
        <v>4</v>
      </c>
      <c r="C234" s="244"/>
      <c r="D234" s="256"/>
      <c r="E234" s="474">
        <v>306313837560</v>
      </c>
      <c r="F234" s="615">
        <v>45383</v>
      </c>
      <c r="G234" s="391" t="s">
        <v>2341</v>
      </c>
      <c r="H234" s="230" t="s">
        <v>210</v>
      </c>
      <c r="I234" s="230"/>
      <c r="J234" s="230">
        <v>1</v>
      </c>
      <c r="K234" s="230"/>
      <c r="L234" s="228"/>
      <c r="M234" s="257"/>
      <c r="N234" s="228" t="s">
        <v>2336</v>
      </c>
      <c r="O234" s="228" t="s">
        <v>2342</v>
      </c>
      <c r="P234" s="245"/>
      <c r="Q234" s="2564"/>
      <c r="R234" s="2564"/>
      <c r="S234" s="254"/>
      <c r="T234" s="228"/>
      <c r="U234" s="2552"/>
      <c r="V234" s="256"/>
      <c r="W234" s="373">
        <v>1450000</v>
      </c>
      <c r="X234" s="373">
        <f>3480000/3</f>
        <v>1160000</v>
      </c>
      <c r="Y234" s="248"/>
      <c r="Z234" s="247"/>
      <c r="AA234" s="248"/>
      <c r="AB234" s="340">
        <f t="shared" si="65"/>
        <v>2610000</v>
      </c>
      <c r="AC234" s="347">
        <f t="shared" si="67"/>
        <v>0</v>
      </c>
      <c r="AD234" s="249"/>
      <c r="AE234" s="435">
        <f t="shared" si="66"/>
        <v>4350240</v>
      </c>
      <c r="AF234" s="342">
        <f t="shared" si="68"/>
        <v>6960240</v>
      </c>
      <c r="AG234" s="251">
        <f t="shared" si="69"/>
        <v>4027999.9999999995</v>
      </c>
      <c r="AH234" s="241"/>
      <c r="AI234" s="241"/>
      <c r="AJ234" s="241"/>
      <c r="AK234" s="194"/>
      <c r="AL234" s="195"/>
      <c r="AM234" s="195"/>
    </row>
    <row r="235" spans="2:39" ht="18" customHeight="1">
      <c r="B235" s="619">
        <v>5</v>
      </c>
      <c r="C235" s="244"/>
      <c r="D235" s="256"/>
      <c r="E235" s="474">
        <v>306313466010</v>
      </c>
      <c r="F235" s="615">
        <v>45383</v>
      </c>
      <c r="G235" s="391" t="s">
        <v>2344</v>
      </c>
      <c r="H235" s="230" t="s">
        <v>210</v>
      </c>
      <c r="I235" s="230"/>
      <c r="J235" s="230">
        <v>1</v>
      </c>
      <c r="K235" s="230"/>
      <c r="L235" s="228"/>
      <c r="M235" s="257"/>
      <c r="N235" s="228" t="s">
        <v>2336</v>
      </c>
      <c r="O235" s="228" t="s">
        <v>2343</v>
      </c>
      <c r="P235" s="245"/>
      <c r="Q235" s="2564"/>
      <c r="R235" s="2564"/>
      <c r="S235" s="254"/>
      <c r="T235" s="228"/>
      <c r="U235" s="2552"/>
      <c r="V235" s="256"/>
      <c r="W235" s="373">
        <v>1450000</v>
      </c>
      <c r="X235" s="373">
        <f>3480000/3</f>
        <v>1160000</v>
      </c>
      <c r="Y235" s="248"/>
      <c r="Z235" s="247"/>
      <c r="AA235" s="248"/>
      <c r="AB235" s="340">
        <f t="shared" si="65"/>
        <v>2610000</v>
      </c>
      <c r="AC235" s="347">
        <f t="shared" si="67"/>
        <v>0</v>
      </c>
      <c r="AD235" s="249"/>
      <c r="AE235" s="435">
        <f t="shared" si="66"/>
        <v>4350240</v>
      </c>
      <c r="AF235" s="342">
        <f t="shared" si="68"/>
        <v>6960240</v>
      </c>
      <c r="AG235" s="251">
        <f t="shared" si="69"/>
        <v>4027999.9999999995</v>
      </c>
      <c r="AH235" s="241"/>
      <c r="AI235" s="241"/>
      <c r="AJ235" s="241"/>
      <c r="AK235" s="194"/>
      <c r="AL235" s="195"/>
      <c r="AM235" s="195"/>
    </row>
    <row r="236" spans="2:39">
      <c r="B236" s="619">
        <v>6</v>
      </c>
      <c r="C236" s="244"/>
      <c r="D236" s="256"/>
      <c r="E236" s="474">
        <v>306316387440</v>
      </c>
      <c r="F236" s="615">
        <v>45384</v>
      </c>
      <c r="G236" s="391" t="s">
        <v>2347</v>
      </c>
      <c r="H236" s="230" t="s">
        <v>210</v>
      </c>
      <c r="I236" s="230"/>
      <c r="J236" s="230">
        <v>1</v>
      </c>
      <c r="K236" s="230"/>
      <c r="L236" s="228"/>
      <c r="M236" s="257"/>
      <c r="N236" s="228" t="s">
        <v>2345</v>
      </c>
      <c r="O236" s="228" t="s">
        <v>2346</v>
      </c>
      <c r="P236" s="245"/>
      <c r="Q236" s="2564"/>
      <c r="R236" s="2564"/>
      <c r="S236" s="254"/>
      <c r="T236" s="228"/>
      <c r="U236" s="2552"/>
      <c r="V236" s="256"/>
      <c r="W236" s="373">
        <v>1160000</v>
      </c>
      <c r="X236" s="373">
        <v>1160000</v>
      </c>
      <c r="Y236" s="248"/>
      <c r="Z236" s="247"/>
      <c r="AA236" s="248"/>
      <c r="AB236" s="340">
        <f t="shared" si="65"/>
        <v>2320000</v>
      </c>
      <c r="AC236" s="347">
        <f t="shared" si="67"/>
        <v>0</v>
      </c>
      <c r="AD236" s="249"/>
      <c r="AE236" s="435">
        <f t="shared" si="66"/>
        <v>4350240</v>
      </c>
      <c r="AF236" s="342">
        <f t="shared" si="68"/>
        <v>6670240</v>
      </c>
      <c r="AG236" s="251">
        <f t="shared" si="69"/>
        <v>4027999.9999999995</v>
      </c>
      <c r="AH236" s="241"/>
      <c r="AI236" s="241"/>
      <c r="AJ236" s="241"/>
      <c r="AK236" s="194"/>
      <c r="AL236" s="195"/>
      <c r="AM236" s="195"/>
    </row>
    <row r="237" spans="2:39">
      <c r="B237" s="619">
        <v>7</v>
      </c>
      <c r="C237" s="244"/>
      <c r="D237" s="256"/>
      <c r="E237" s="474">
        <v>306320645800</v>
      </c>
      <c r="F237" s="615">
        <v>45385</v>
      </c>
      <c r="G237" s="391" t="s">
        <v>2355</v>
      </c>
      <c r="H237" s="230" t="s">
        <v>210</v>
      </c>
      <c r="I237" s="230"/>
      <c r="J237" s="230">
        <v>1</v>
      </c>
      <c r="K237" s="230"/>
      <c r="L237" s="228"/>
      <c r="M237" s="257"/>
      <c r="N237" s="228" t="s">
        <v>2354</v>
      </c>
      <c r="O237" s="228" t="s">
        <v>2356</v>
      </c>
      <c r="P237" s="245"/>
      <c r="Q237" s="2564"/>
      <c r="R237" s="2564"/>
      <c r="S237" s="254"/>
      <c r="T237" s="228"/>
      <c r="U237" s="2552"/>
      <c r="V237" s="256"/>
      <c r="W237" s="373">
        <v>1160000</v>
      </c>
      <c r="X237" s="373">
        <v>766800</v>
      </c>
      <c r="Y237" s="248"/>
      <c r="Z237" s="247"/>
      <c r="AA237" s="248"/>
      <c r="AB237" s="340">
        <f t="shared" si="65"/>
        <v>1926800</v>
      </c>
      <c r="AC237" s="347">
        <f t="shared" si="67"/>
        <v>0</v>
      </c>
      <c r="AD237" s="249"/>
      <c r="AE237" s="435">
        <f t="shared" si="66"/>
        <v>4350240</v>
      </c>
      <c r="AF237" s="342">
        <f t="shared" si="68"/>
        <v>6277040</v>
      </c>
      <c r="AG237" s="251">
        <f t="shared" si="69"/>
        <v>4027999.9999999995</v>
      </c>
      <c r="AH237" s="241"/>
      <c r="AI237" s="241"/>
      <c r="AJ237" s="241"/>
      <c r="AK237" s="194"/>
      <c r="AL237" s="195"/>
      <c r="AM237" s="195"/>
    </row>
    <row r="238" spans="2:39" ht="16.5" customHeight="1">
      <c r="B238" s="619">
        <v>8</v>
      </c>
      <c r="C238" s="244"/>
      <c r="D238" s="256"/>
      <c r="E238" s="474">
        <v>306322185100</v>
      </c>
      <c r="F238" s="615">
        <v>45386</v>
      </c>
      <c r="G238" s="391" t="s">
        <v>2360</v>
      </c>
      <c r="H238" s="230" t="s">
        <v>210</v>
      </c>
      <c r="I238" s="230"/>
      <c r="J238" s="230">
        <v>1</v>
      </c>
      <c r="K238" s="230"/>
      <c r="L238" s="228"/>
      <c r="M238" s="257"/>
      <c r="N238" s="228" t="s">
        <v>2358</v>
      </c>
      <c r="O238" s="228" t="s">
        <v>2359</v>
      </c>
      <c r="P238" s="245"/>
      <c r="Q238" s="2564"/>
      <c r="R238" s="2564"/>
      <c r="S238" s="254"/>
      <c r="T238" s="228"/>
      <c r="U238" s="2552"/>
      <c r="V238" s="256"/>
      <c r="W238" s="373">
        <v>1450000</v>
      </c>
      <c r="X238" s="373">
        <v>766800</v>
      </c>
      <c r="Y238" s="248"/>
      <c r="Z238" s="247"/>
      <c r="AA238" s="248"/>
      <c r="AB238" s="340">
        <f t="shared" si="65"/>
        <v>2216800</v>
      </c>
      <c r="AC238" s="347">
        <f t="shared" si="67"/>
        <v>0</v>
      </c>
      <c r="AD238" s="249"/>
      <c r="AE238" s="435">
        <f t="shared" si="66"/>
        <v>4350240</v>
      </c>
      <c r="AF238" s="342">
        <f t="shared" si="68"/>
        <v>6567040</v>
      </c>
      <c r="AG238" s="251">
        <f t="shared" si="69"/>
        <v>4027999.9999999995</v>
      </c>
      <c r="AH238" s="241"/>
      <c r="AI238" s="241"/>
      <c r="AJ238" s="241"/>
      <c r="AK238" s="194"/>
      <c r="AL238" s="195"/>
      <c r="AM238" s="195"/>
    </row>
    <row r="239" spans="2:39">
      <c r="B239" s="619">
        <v>9</v>
      </c>
      <c r="C239" s="244"/>
      <c r="D239" s="256"/>
      <c r="E239" s="474">
        <v>306326672210</v>
      </c>
      <c r="F239" s="615">
        <v>45387</v>
      </c>
      <c r="G239" s="391" t="s">
        <v>2388</v>
      </c>
      <c r="H239" s="230" t="s">
        <v>210</v>
      </c>
      <c r="I239" s="230"/>
      <c r="J239" s="230">
        <v>1</v>
      </c>
      <c r="K239" s="230"/>
      <c r="L239" s="228"/>
      <c r="M239" s="257"/>
      <c r="N239" s="228">
        <v>28589372</v>
      </c>
      <c r="O239" s="375" t="s">
        <v>2389</v>
      </c>
      <c r="P239" s="245"/>
      <c r="Q239" s="2564"/>
      <c r="R239" s="2564"/>
      <c r="S239" s="254"/>
      <c r="T239" s="228"/>
      <c r="U239" s="2552"/>
      <c r="V239" s="256"/>
      <c r="W239" s="373">
        <v>1150000</v>
      </c>
      <c r="X239" s="373">
        <v>1140000</v>
      </c>
      <c r="Y239" s="248"/>
      <c r="Z239" s="247"/>
      <c r="AA239" s="248"/>
      <c r="AB239" s="340">
        <f t="shared" si="65"/>
        <v>2290000</v>
      </c>
      <c r="AC239" s="347">
        <f t="shared" si="67"/>
        <v>0</v>
      </c>
      <c r="AD239" s="249"/>
      <c r="AE239" s="435">
        <f t="shared" si="66"/>
        <v>4350240</v>
      </c>
      <c r="AF239" s="342">
        <f t="shared" si="68"/>
        <v>6640240</v>
      </c>
      <c r="AG239" s="251">
        <f t="shared" si="69"/>
        <v>4027999.9999999995</v>
      </c>
      <c r="AH239" s="241"/>
      <c r="AI239" s="241"/>
      <c r="AJ239" s="241"/>
      <c r="AK239" s="194"/>
      <c r="AL239" s="195"/>
      <c r="AM239" s="195"/>
    </row>
    <row r="240" spans="2:39">
      <c r="B240" s="619">
        <v>10</v>
      </c>
      <c r="C240" s="244"/>
      <c r="D240" s="256"/>
      <c r="E240" s="474">
        <v>306327056730</v>
      </c>
      <c r="F240" s="615">
        <v>45387</v>
      </c>
      <c r="G240" s="391" t="s">
        <v>2390</v>
      </c>
      <c r="H240" s="230" t="s">
        <v>210</v>
      </c>
      <c r="I240" s="230"/>
      <c r="J240" s="230">
        <v>1</v>
      </c>
      <c r="K240" s="230"/>
      <c r="L240" s="228"/>
      <c r="M240" s="257"/>
      <c r="N240" s="228">
        <v>28589372</v>
      </c>
      <c r="O240" s="375" t="s">
        <v>2391</v>
      </c>
      <c r="P240" s="245"/>
      <c r="Q240" s="2564"/>
      <c r="R240" s="2564"/>
      <c r="S240" s="254"/>
      <c r="T240" s="228"/>
      <c r="U240" s="2552"/>
      <c r="V240" s="256"/>
      <c r="W240" s="373">
        <v>1150000</v>
      </c>
      <c r="X240" s="373">
        <v>1140000</v>
      </c>
      <c r="Y240" s="248"/>
      <c r="Z240" s="247"/>
      <c r="AA240" s="248"/>
      <c r="AB240" s="340">
        <f t="shared" si="65"/>
        <v>2290000</v>
      </c>
      <c r="AC240" s="347">
        <f t="shared" si="67"/>
        <v>0</v>
      </c>
      <c r="AD240" s="249"/>
      <c r="AE240" s="435">
        <f t="shared" si="66"/>
        <v>4350240</v>
      </c>
      <c r="AF240" s="342">
        <f t="shared" si="68"/>
        <v>6640240</v>
      </c>
      <c r="AG240" s="251">
        <f t="shared" si="69"/>
        <v>4027999.9999999995</v>
      </c>
      <c r="AH240" s="241"/>
      <c r="AI240" s="241"/>
      <c r="AJ240" s="241"/>
      <c r="AK240" s="194"/>
      <c r="AL240" s="195"/>
      <c r="AM240" s="195"/>
    </row>
    <row r="241" spans="2:39">
      <c r="B241" s="619">
        <v>11</v>
      </c>
      <c r="C241" s="244"/>
      <c r="D241" s="256"/>
      <c r="E241" s="466">
        <v>106187932060</v>
      </c>
      <c r="F241" s="615">
        <v>45388</v>
      </c>
      <c r="G241" s="391" t="s">
        <v>2392</v>
      </c>
      <c r="H241" s="230" t="s">
        <v>206</v>
      </c>
      <c r="I241" s="230">
        <v>1</v>
      </c>
      <c r="J241" s="230"/>
      <c r="K241" s="230"/>
      <c r="L241" s="228"/>
      <c r="M241" s="257"/>
      <c r="N241" s="228" t="s">
        <v>2361</v>
      </c>
      <c r="O241" s="228" t="s">
        <v>2362</v>
      </c>
      <c r="P241" s="245" t="s">
        <v>2362</v>
      </c>
      <c r="Q241" s="2564"/>
      <c r="R241" s="2564"/>
      <c r="S241" s="254"/>
      <c r="T241" s="228"/>
      <c r="U241" s="2552"/>
      <c r="V241" s="256"/>
      <c r="W241" s="324">
        <v>432000</v>
      </c>
      <c r="X241" s="373">
        <v>890000</v>
      </c>
      <c r="Y241" s="248"/>
      <c r="Z241" s="247"/>
      <c r="AA241" s="248"/>
      <c r="AB241" s="340">
        <f t="shared" si="65"/>
        <v>1322000</v>
      </c>
      <c r="AC241" s="347">
        <f t="shared" si="67"/>
        <v>0</v>
      </c>
      <c r="AD241" s="249"/>
      <c r="AE241" s="435">
        <f t="shared" si="66"/>
        <v>4242240</v>
      </c>
      <c r="AF241" s="342">
        <f t="shared" si="68"/>
        <v>5564240</v>
      </c>
      <c r="AG241" s="251">
        <f t="shared" si="69"/>
        <v>3927999.9999999995</v>
      </c>
      <c r="AH241" s="241"/>
      <c r="AI241" s="241"/>
      <c r="AJ241" s="241"/>
      <c r="AK241" s="194"/>
      <c r="AL241" s="195"/>
      <c r="AM241" s="195"/>
    </row>
    <row r="242" spans="2:39">
      <c r="B242" s="619">
        <v>12</v>
      </c>
      <c r="C242" s="244"/>
      <c r="D242" s="256"/>
      <c r="E242" s="466">
        <v>106189468120</v>
      </c>
      <c r="F242" s="615">
        <v>45388</v>
      </c>
      <c r="G242" s="391" t="s">
        <v>2393</v>
      </c>
      <c r="H242" s="230" t="s">
        <v>206</v>
      </c>
      <c r="I242" s="230">
        <v>1</v>
      </c>
      <c r="J242" s="230"/>
      <c r="K242" s="230"/>
      <c r="L242" s="228"/>
      <c r="M242" s="257"/>
      <c r="N242" s="228" t="s">
        <v>2363</v>
      </c>
      <c r="O242" s="228" t="s">
        <v>2364</v>
      </c>
      <c r="P242" s="245" t="s">
        <v>2364</v>
      </c>
      <c r="Q242" s="2564"/>
      <c r="R242" s="2564"/>
      <c r="S242" s="254"/>
      <c r="T242" s="228"/>
      <c r="U242" s="2552"/>
      <c r="V242" s="256"/>
      <c r="W242" s="324">
        <v>432000</v>
      </c>
      <c r="X242" s="373">
        <v>900000</v>
      </c>
      <c r="Y242" s="248"/>
      <c r="Z242" s="247"/>
      <c r="AA242" s="248"/>
      <c r="AB242" s="340">
        <f t="shared" si="65"/>
        <v>1332000</v>
      </c>
      <c r="AC242" s="347">
        <f t="shared" si="67"/>
        <v>0</v>
      </c>
      <c r="AD242" s="249"/>
      <c r="AE242" s="435">
        <f t="shared" si="66"/>
        <v>4242240</v>
      </c>
      <c r="AF242" s="342">
        <f t="shared" si="68"/>
        <v>5574240</v>
      </c>
      <c r="AG242" s="251">
        <f t="shared" si="69"/>
        <v>3927999.9999999995</v>
      </c>
      <c r="AH242" s="241"/>
      <c r="AI242" s="241"/>
      <c r="AJ242" s="241"/>
      <c r="AK242" s="194"/>
      <c r="AL242" s="195"/>
      <c r="AM242" s="195"/>
    </row>
    <row r="243" spans="2:39">
      <c r="B243" s="619">
        <v>13</v>
      </c>
      <c r="C243" s="244"/>
      <c r="D243" s="256"/>
      <c r="E243" s="466">
        <v>106188911140</v>
      </c>
      <c r="F243" s="615">
        <v>45388</v>
      </c>
      <c r="G243" s="391" t="s">
        <v>2394</v>
      </c>
      <c r="H243" s="230" t="s">
        <v>206</v>
      </c>
      <c r="I243" s="230">
        <v>1</v>
      </c>
      <c r="J243" s="230"/>
      <c r="K243" s="230"/>
      <c r="L243" s="228"/>
      <c r="M243" s="257"/>
      <c r="N243" s="228" t="s">
        <v>2365</v>
      </c>
      <c r="O243" s="228" t="s">
        <v>2366</v>
      </c>
      <c r="P243" s="245" t="s">
        <v>2366</v>
      </c>
      <c r="Q243" s="2564"/>
      <c r="R243" s="2564"/>
      <c r="S243" s="254"/>
      <c r="V243" s="256"/>
      <c r="W243" s="324">
        <v>432000</v>
      </c>
      <c r="X243" s="373">
        <v>900000</v>
      </c>
      <c r="Y243" s="248"/>
      <c r="Z243" s="247"/>
      <c r="AA243" s="248"/>
      <c r="AB243" s="340">
        <f t="shared" si="65"/>
        <v>1332000</v>
      </c>
      <c r="AC243" s="347">
        <f t="shared" si="67"/>
        <v>0</v>
      </c>
      <c r="AD243" s="249"/>
      <c r="AE243" s="435">
        <f t="shared" si="66"/>
        <v>4242240</v>
      </c>
      <c r="AF243" s="342">
        <f t="shared" si="68"/>
        <v>5574240</v>
      </c>
      <c r="AG243" s="251">
        <f t="shared" si="69"/>
        <v>3927999.9999999995</v>
      </c>
      <c r="AH243" s="241"/>
      <c r="AI243" s="241"/>
      <c r="AJ243" s="241"/>
      <c r="AK243" s="194"/>
      <c r="AL243" s="195"/>
      <c r="AM243" s="195"/>
    </row>
    <row r="244" spans="2:39" ht="31.2">
      <c r="B244" s="619">
        <v>14</v>
      </c>
      <c r="C244" s="244"/>
      <c r="D244" s="256"/>
      <c r="E244" s="463" t="s">
        <v>2426</v>
      </c>
      <c r="F244" s="615">
        <v>45391</v>
      </c>
      <c r="G244" s="391" t="s">
        <v>2399</v>
      </c>
      <c r="H244" s="230" t="s">
        <v>206</v>
      </c>
      <c r="I244" s="230">
        <v>1</v>
      </c>
      <c r="J244" s="230"/>
      <c r="K244" s="230"/>
      <c r="L244" s="228"/>
      <c r="M244" s="257"/>
      <c r="N244" s="228" t="s">
        <v>2395</v>
      </c>
      <c r="O244" s="228" t="s">
        <v>2396</v>
      </c>
      <c r="P244" s="245"/>
      <c r="Q244" s="2564"/>
      <c r="R244" s="2564"/>
      <c r="S244" s="254"/>
      <c r="T244" s="228"/>
      <c r="U244" s="2552"/>
      <c r="V244" s="256"/>
      <c r="W244" s="324">
        <v>631800</v>
      </c>
      <c r="X244" s="373">
        <v>900000</v>
      </c>
      <c r="Y244" s="248"/>
      <c r="Z244" s="247"/>
      <c r="AA244" s="248"/>
      <c r="AB244" s="340">
        <f t="shared" si="65"/>
        <v>1531800</v>
      </c>
      <c r="AC244" s="347">
        <f t="shared" si="67"/>
        <v>0</v>
      </c>
      <c r="AD244" s="249"/>
      <c r="AE244" s="435">
        <f t="shared" si="66"/>
        <v>4242240</v>
      </c>
      <c r="AF244" s="342">
        <f t="shared" si="68"/>
        <v>5774040</v>
      </c>
      <c r="AG244" s="251">
        <f t="shared" si="69"/>
        <v>3927999.9999999995</v>
      </c>
      <c r="AH244" s="241"/>
      <c r="AI244" s="241"/>
      <c r="AJ244" s="241"/>
      <c r="AK244" s="194"/>
      <c r="AL244" s="195"/>
      <c r="AM244" s="195"/>
    </row>
    <row r="245" spans="2:39">
      <c r="B245" s="619">
        <v>15</v>
      </c>
      <c r="C245" s="244"/>
      <c r="D245" s="256"/>
      <c r="E245" s="466">
        <v>106193549450</v>
      </c>
      <c r="F245" s="615">
        <v>45391</v>
      </c>
      <c r="G245" s="391" t="s">
        <v>2398</v>
      </c>
      <c r="H245" s="230" t="s">
        <v>206</v>
      </c>
      <c r="I245" s="230"/>
      <c r="J245" s="230"/>
      <c r="K245" s="230">
        <v>1</v>
      </c>
      <c r="L245" s="228"/>
      <c r="M245" s="543" t="s">
        <v>2433</v>
      </c>
      <c r="N245" s="228" t="s">
        <v>2397</v>
      </c>
      <c r="O245" s="228"/>
      <c r="P245" s="245"/>
      <c r="Q245" s="2564"/>
      <c r="R245" s="2564"/>
      <c r="S245" s="254"/>
      <c r="T245" s="543" t="s">
        <v>2433</v>
      </c>
      <c r="U245" s="2556"/>
      <c r="V245" s="324">
        <v>24389</v>
      </c>
      <c r="W245" s="248"/>
      <c r="X245" s="248"/>
      <c r="Y245" s="248"/>
      <c r="Z245" s="247"/>
      <c r="AA245" s="248"/>
      <c r="AB245" s="340">
        <f t="shared" si="65"/>
        <v>24389</v>
      </c>
      <c r="AC245" s="347">
        <f t="shared" si="67"/>
        <v>0</v>
      </c>
      <c r="AD245" s="249"/>
      <c r="AE245" s="607">
        <f>+(2268000*1.08+((I245+J245+K245)*150000)*1.08)</f>
        <v>2611440</v>
      </c>
      <c r="AF245" s="342">
        <f t="shared" si="68"/>
        <v>2635829</v>
      </c>
      <c r="AG245" s="251">
        <f t="shared" si="69"/>
        <v>2418000</v>
      </c>
      <c r="AH245" s="241"/>
      <c r="AI245" s="241"/>
      <c r="AJ245" s="241"/>
      <c r="AK245" s="194"/>
      <c r="AL245" s="195"/>
      <c r="AM245" s="195"/>
    </row>
    <row r="246" spans="2:39">
      <c r="B246" s="619">
        <v>16</v>
      </c>
      <c r="C246" s="244"/>
      <c r="D246" s="256"/>
      <c r="E246" s="474">
        <v>306333158040</v>
      </c>
      <c r="F246" s="615">
        <v>45391</v>
      </c>
      <c r="G246" s="391" t="s">
        <v>2403</v>
      </c>
      <c r="H246" s="230" t="s">
        <v>210</v>
      </c>
      <c r="I246" s="230"/>
      <c r="J246" s="230">
        <v>1</v>
      </c>
      <c r="K246" s="230"/>
      <c r="L246" s="228"/>
      <c r="M246" s="257"/>
      <c r="N246" s="228" t="s">
        <v>2401</v>
      </c>
      <c r="O246" s="228" t="s">
        <v>2400</v>
      </c>
      <c r="P246" s="245"/>
      <c r="Q246" s="2564"/>
      <c r="R246" s="2564"/>
      <c r="S246" s="254"/>
      <c r="T246" s="228"/>
      <c r="U246" s="2552"/>
      <c r="V246" s="256"/>
      <c r="W246" s="373">
        <v>1450000</v>
      </c>
      <c r="X246" s="373">
        <v>766800</v>
      </c>
      <c r="Y246" s="248"/>
      <c r="Z246" s="247"/>
      <c r="AA246" s="248"/>
      <c r="AB246" s="340">
        <f t="shared" si="65"/>
        <v>2216800</v>
      </c>
      <c r="AC246" s="347">
        <f t="shared" si="67"/>
        <v>0</v>
      </c>
      <c r="AD246" s="249"/>
      <c r="AE246" s="435">
        <f t="shared" ref="AE246:AE258" si="70">+(I246*3778000+J246*(3778000+100000))*1.08+((I246+J246+K246)*150000)*1.08</f>
        <v>4350240</v>
      </c>
      <c r="AF246" s="342">
        <f t="shared" si="68"/>
        <v>6567040</v>
      </c>
      <c r="AG246" s="251">
        <f t="shared" si="69"/>
        <v>4027999.9999999995</v>
      </c>
      <c r="AH246" s="241"/>
      <c r="AI246" s="241"/>
      <c r="AJ246" s="241"/>
      <c r="AK246" s="194"/>
      <c r="AL246" s="195"/>
      <c r="AM246" s="195"/>
    </row>
    <row r="247" spans="2:39" ht="31.2">
      <c r="B247" s="619">
        <v>17</v>
      </c>
      <c r="C247" s="244"/>
      <c r="D247" s="256"/>
      <c r="E247" s="474">
        <v>306333516700</v>
      </c>
      <c r="F247" s="615">
        <v>45391</v>
      </c>
      <c r="G247" s="391" t="s">
        <v>2404</v>
      </c>
      <c r="H247" s="230" t="s">
        <v>210</v>
      </c>
      <c r="I247" s="230"/>
      <c r="J247" s="230">
        <v>2</v>
      </c>
      <c r="K247" s="230"/>
      <c r="L247" s="228"/>
      <c r="M247" s="257"/>
      <c r="N247" s="228">
        <v>6380462590</v>
      </c>
      <c r="O247" s="254" t="s">
        <v>2402</v>
      </c>
      <c r="P247" s="245"/>
      <c r="Q247" s="2564"/>
      <c r="R247" s="2564"/>
      <c r="S247" s="254"/>
      <c r="T247" s="228"/>
      <c r="U247" s="2552"/>
      <c r="V247" s="256"/>
      <c r="W247" s="373">
        <f>1425000+1425000</f>
        <v>2850000</v>
      </c>
      <c r="X247" s="373">
        <f>1140000+1140000</f>
        <v>2280000</v>
      </c>
      <c r="Y247" s="248"/>
      <c r="Z247" s="247"/>
      <c r="AA247" s="248"/>
      <c r="AB247" s="340">
        <f t="shared" si="65"/>
        <v>5130000</v>
      </c>
      <c r="AC247" s="347">
        <f t="shared" si="67"/>
        <v>0</v>
      </c>
      <c r="AD247" s="249"/>
      <c r="AE247" s="435">
        <f t="shared" si="70"/>
        <v>8700480</v>
      </c>
      <c r="AF247" s="342">
        <f t="shared" si="68"/>
        <v>13830480</v>
      </c>
      <c r="AG247" s="251">
        <f t="shared" si="69"/>
        <v>8055999.9999999991</v>
      </c>
      <c r="AH247" s="241"/>
      <c r="AI247" s="241"/>
      <c r="AJ247" s="241"/>
      <c r="AK247" s="194"/>
      <c r="AL247" s="195"/>
      <c r="AM247" s="195"/>
    </row>
    <row r="248" spans="2:39">
      <c r="B248" s="619">
        <v>18</v>
      </c>
      <c r="C248" s="244"/>
      <c r="D248" s="256"/>
      <c r="E248" s="474">
        <v>306334562240</v>
      </c>
      <c r="F248" s="615">
        <v>45391</v>
      </c>
      <c r="G248" s="391" t="s">
        <v>2406</v>
      </c>
      <c r="H248" s="230" t="s">
        <v>210</v>
      </c>
      <c r="I248" s="230"/>
      <c r="J248" s="230">
        <v>1</v>
      </c>
      <c r="K248" s="230"/>
      <c r="L248" s="228"/>
      <c r="M248" s="257"/>
      <c r="N248" s="228" t="s">
        <v>2405</v>
      </c>
      <c r="O248" s="228" t="s">
        <v>2407</v>
      </c>
      <c r="P248" s="245"/>
      <c r="Q248" s="2564"/>
      <c r="R248" s="2564"/>
      <c r="S248" s="254"/>
      <c r="T248" s="228"/>
      <c r="U248" s="2552"/>
      <c r="V248" s="256"/>
      <c r="W248" s="373">
        <v>1450000</v>
      </c>
      <c r="X248" s="373">
        <v>766800</v>
      </c>
      <c r="Y248" s="248"/>
      <c r="Z248" s="247"/>
      <c r="AA248" s="248"/>
      <c r="AB248" s="340">
        <f t="shared" si="65"/>
        <v>2216800</v>
      </c>
      <c r="AC248" s="347">
        <f t="shared" si="67"/>
        <v>0</v>
      </c>
      <c r="AD248" s="249"/>
      <c r="AE248" s="435">
        <f t="shared" si="70"/>
        <v>4350240</v>
      </c>
      <c r="AF248" s="342">
        <f t="shared" si="68"/>
        <v>6567040</v>
      </c>
      <c r="AG248" s="251">
        <f t="shared" si="69"/>
        <v>4027999.9999999995</v>
      </c>
      <c r="AH248" s="241"/>
      <c r="AI248" s="241"/>
      <c r="AJ248" s="241"/>
      <c r="AK248" s="194"/>
      <c r="AL248" s="195"/>
      <c r="AM248" s="195"/>
    </row>
    <row r="249" spans="2:39">
      <c r="B249" s="619">
        <v>19</v>
      </c>
      <c r="C249" s="244"/>
      <c r="D249" s="256"/>
      <c r="E249" s="474">
        <v>306339526200</v>
      </c>
      <c r="F249" s="615">
        <v>45393</v>
      </c>
      <c r="G249" s="391" t="s">
        <v>2429</v>
      </c>
      <c r="H249" s="230" t="s">
        <v>210</v>
      </c>
      <c r="I249" s="230">
        <v>1</v>
      </c>
      <c r="J249" s="230"/>
      <c r="K249" s="230"/>
      <c r="L249" s="228"/>
      <c r="M249" s="257"/>
      <c r="N249" s="228" t="s">
        <v>2424</v>
      </c>
      <c r="O249" s="228" t="s">
        <v>2430</v>
      </c>
      <c r="P249" s="245"/>
      <c r="Q249" s="2564"/>
      <c r="R249" s="2564"/>
      <c r="S249" s="254"/>
      <c r="T249" s="228"/>
      <c r="U249" s="2552"/>
      <c r="V249" s="256"/>
      <c r="W249" s="373">
        <v>900000</v>
      </c>
      <c r="X249" s="373">
        <v>432000</v>
      </c>
      <c r="Y249" s="248"/>
      <c r="Z249" s="247"/>
      <c r="AA249" s="248"/>
      <c r="AB249" s="340">
        <f t="shared" si="65"/>
        <v>1332000</v>
      </c>
      <c r="AC249" s="347">
        <f t="shared" si="67"/>
        <v>0</v>
      </c>
      <c r="AD249" s="249"/>
      <c r="AE249" s="435">
        <f t="shared" si="70"/>
        <v>4242240</v>
      </c>
      <c r="AF249" s="342">
        <f t="shared" si="68"/>
        <v>5574240</v>
      </c>
      <c r="AG249" s="251">
        <f t="shared" si="69"/>
        <v>3927999.9999999995</v>
      </c>
      <c r="AH249" s="241"/>
      <c r="AI249" s="241"/>
      <c r="AJ249" s="241"/>
      <c r="AK249" s="194"/>
      <c r="AL249" s="195"/>
      <c r="AM249" s="195"/>
    </row>
    <row r="250" spans="2:39">
      <c r="B250" s="619">
        <v>20</v>
      </c>
      <c r="C250" s="244"/>
      <c r="D250" s="256"/>
      <c r="E250" s="474">
        <v>306343424460</v>
      </c>
      <c r="F250" s="615">
        <v>45394</v>
      </c>
      <c r="G250" s="391" t="s">
        <v>2431</v>
      </c>
      <c r="H250" s="230" t="s">
        <v>210</v>
      </c>
      <c r="I250" s="230"/>
      <c r="J250" s="230">
        <v>1</v>
      </c>
      <c r="K250" s="230"/>
      <c r="L250" s="228"/>
      <c r="M250" s="257"/>
      <c r="N250" s="228" t="s">
        <v>2425</v>
      </c>
      <c r="O250" s="228" t="s">
        <v>2432</v>
      </c>
      <c r="P250" s="245"/>
      <c r="Q250" s="2564"/>
      <c r="R250" s="2564"/>
      <c r="S250" s="254"/>
      <c r="T250" s="228"/>
      <c r="U250" s="2552"/>
      <c r="V250" s="256"/>
      <c r="W250" s="373">
        <v>1160000</v>
      </c>
      <c r="X250" s="373">
        <v>1140000</v>
      </c>
      <c r="Y250" s="248"/>
      <c r="Z250" s="247"/>
      <c r="AA250" s="248"/>
      <c r="AB250" s="340">
        <f t="shared" si="65"/>
        <v>2300000</v>
      </c>
      <c r="AC250" s="347">
        <f t="shared" si="67"/>
        <v>0</v>
      </c>
      <c r="AD250" s="249"/>
      <c r="AE250" s="435">
        <f t="shared" si="70"/>
        <v>4350240</v>
      </c>
      <c r="AF250" s="342">
        <f t="shared" si="68"/>
        <v>6650240</v>
      </c>
      <c r="AG250" s="251">
        <f t="shared" si="69"/>
        <v>4027999.9999999995</v>
      </c>
      <c r="AH250" s="241"/>
      <c r="AI250" s="241"/>
      <c r="AJ250" s="241"/>
      <c r="AK250" s="194"/>
      <c r="AL250" s="195"/>
      <c r="AM250" s="195"/>
    </row>
    <row r="251" spans="2:39">
      <c r="B251" s="253">
        <v>21</v>
      </c>
      <c r="C251" s="244"/>
      <c r="D251" s="256"/>
      <c r="E251" s="474">
        <v>306330227140</v>
      </c>
      <c r="F251" s="615">
        <v>45390</v>
      </c>
      <c r="G251" s="391" t="s">
        <v>2473</v>
      </c>
      <c r="H251" s="230" t="s">
        <v>210</v>
      </c>
      <c r="I251" s="230"/>
      <c r="J251" s="230">
        <v>1</v>
      </c>
      <c r="K251" s="230"/>
      <c r="L251" s="228"/>
      <c r="M251" s="257"/>
      <c r="N251" s="228" t="s">
        <v>2471</v>
      </c>
      <c r="O251" s="228" t="s">
        <v>2472</v>
      </c>
      <c r="P251" s="245"/>
      <c r="Q251" s="2564"/>
      <c r="R251" s="2564"/>
      <c r="S251" s="254"/>
      <c r="T251" s="228"/>
      <c r="U251" s="2552"/>
      <c r="V251" s="256"/>
      <c r="W251" s="373">
        <v>1450000</v>
      </c>
      <c r="X251" s="373">
        <v>766800</v>
      </c>
      <c r="Y251" s="248"/>
      <c r="Z251" s="247"/>
      <c r="AA251" s="248"/>
      <c r="AB251" s="340">
        <f t="shared" si="65"/>
        <v>2216800</v>
      </c>
      <c r="AC251" s="347">
        <f>+Z251</f>
        <v>0</v>
      </c>
      <c r="AD251" s="249"/>
      <c r="AE251" s="435">
        <f t="shared" si="70"/>
        <v>4350240</v>
      </c>
      <c r="AF251" s="342">
        <f>+AB251+AE251</f>
        <v>6567040</v>
      </c>
      <c r="AG251" s="251">
        <f>+AE251/1.08</f>
        <v>4027999.9999999995</v>
      </c>
      <c r="AH251" s="241"/>
      <c r="AI251" s="241"/>
      <c r="AJ251" s="241"/>
      <c r="AK251" s="194"/>
      <c r="AL251" s="195"/>
      <c r="AM251" s="195"/>
    </row>
    <row r="252" spans="2:39">
      <c r="B252" s="253">
        <v>22</v>
      </c>
      <c r="C252" s="244"/>
      <c r="D252" s="256"/>
      <c r="E252" s="474">
        <v>306351889710</v>
      </c>
      <c r="F252" s="615" t="s">
        <v>2441</v>
      </c>
      <c r="G252" s="391" t="s">
        <v>2444</v>
      </c>
      <c r="H252" s="230" t="s">
        <v>210</v>
      </c>
      <c r="I252" s="230"/>
      <c r="J252" s="230">
        <v>1</v>
      </c>
      <c r="K252" s="230"/>
      <c r="L252" s="228"/>
      <c r="M252" s="257"/>
      <c r="N252" s="228" t="s">
        <v>2442</v>
      </c>
      <c r="O252" s="228" t="s">
        <v>2443</v>
      </c>
      <c r="P252" s="245"/>
      <c r="Q252" s="2564"/>
      <c r="R252" s="2564"/>
      <c r="S252" s="254"/>
      <c r="T252" s="228"/>
      <c r="U252" s="2552"/>
      <c r="V252" s="256"/>
      <c r="W252" s="373">
        <v>1160000</v>
      </c>
      <c r="X252" s="373">
        <v>766800</v>
      </c>
      <c r="Y252" s="248"/>
      <c r="Z252" s="247"/>
      <c r="AA252" s="248"/>
      <c r="AB252" s="340">
        <f t="shared" si="65"/>
        <v>1926800</v>
      </c>
      <c r="AC252" s="347">
        <f t="shared" si="67"/>
        <v>0</v>
      </c>
      <c r="AD252" s="249"/>
      <c r="AE252" s="435">
        <f t="shared" si="70"/>
        <v>4350240</v>
      </c>
      <c r="AF252" s="342">
        <f t="shared" si="68"/>
        <v>6277040</v>
      </c>
      <c r="AG252" s="251">
        <f t="shared" si="69"/>
        <v>4027999.9999999995</v>
      </c>
      <c r="AH252" s="241"/>
      <c r="AI252" s="241"/>
      <c r="AJ252" s="241"/>
      <c r="AK252" s="194"/>
      <c r="AL252" s="195"/>
      <c r="AM252" s="195"/>
    </row>
    <row r="253" spans="2:39">
      <c r="B253" s="253">
        <v>23</v>
      </c>
      <c r="C253" s="244"/>
      <c r="D253" s="256"/>
      <c r="E253" s="474">
        <v>306352250910</v>
      </c>
      <c r="F253" s="615" t="s">
        <v>2441</v>
      </c>
      <c r="G253" s="391" t="s">
        <v>2446</v>
      </c>
      <c r="H253" s="230" t="s">
        <v>210</v>
      </c>
      <c r="I253" s="230"/>
      <c r="J253" s="230">
        <v>1</v>
      </c>
      <c r="K253" s="230"/>
      <c r="L253" s="228"/>
      <c r="M253" s="257"/>
      <c r="N253" s="228" t="s">
        <v>2445</v>
      </c>
      <c r="O253" s="228" t="s">
        <v>2447</v>
      </c>
      <c r="P253" s="245"/>
      <c r="Q253" s="2564"/>
      <c r="R253" s="2564"/>
      <c r="S253" s="254"/>
      <c r="T253" s="228"/>
      <c r="U253" s="2552"/>
      <c r="V253" s="256"/>
      <c r="W253" s="373">
        <v>1160000</v>
      </c>
      <c r="X253" s="373">
        <v>766800</v>
      </c>
      <c r="Y253" s="248"/>
      <c r="Z253" s="247"/>
      <c r="AA253" s="248"/>
      <c r="AB253" s="340">
        <f t="shared" si="65"/>
        <v>1926800</v>
      </c>
      <c r="AC253" s="347">
        <f t="shared" si="67"/>
        <v>0</v>
      </c>
      <c r="AD253" s="249"/>
      <c r="AE253" s="435">
        <f t="shared" si="70"/>
        <v>4350240</v>
      </c>
      <c r="AF253" s="342">
        <f t="shared" si="68"/>
        <v>6277040</v>
      </c>
      <c r="AG253" s="251">
        <f t="shared" si="69"/>
        <v>4027999.9999999995</v>
      </c>
      <c r="AH253" s="241"/>
      <c r="AI253" s="241"/>
      <c r="AJ253" s="241"/>
      <c r="AK253" s="194"/>
      <c r="AL253" s="195"/>
      <c r="AM253" s="195"/>
    </row>
    <row r="254" spans="2:39" ht="31.2">
      <c r="B254" s="253">
        <v>24</v>
      </c>
      <c r="C254" s="244"/>
      <c r="D254" s="256"/>
      <c r="E254" s="474">
        <v>306351272310</v>
      </c>
      <c r="F254" s="615" t="s">
        <v>2441</v>
      </c>
      <c r="G254" s="391" t="s">
        <v>2448</v>
      </c>
      <c r="H254" s="230" t="s">
        <v>210</v>
      </c>
      <c r="I254" s="230"/>
      <c r="J254" s="230">
        <v>2</v>
      </c>
      <c r="K254" s="230"/>
      <c r="L254" s="228"/>
      <c r="M254" s="257"/>
      <c r="N254" s="228" t="s">
        <v>2449</v>
      </c>
      <c r="O254" s="254" t="s">
        <v>2450</v>
      </c>
      <c r="P254" s="245"/>
      <c r="Q254" s="2564"/>
      <c r="R254" s="2564"/>
      <c r="S254" s="254"/>
      <c r="T254" s="228"/>
      <c r="U254" s="2552"/>
      <c r="V254" s="256"/>
      <c r="W254" s="373">
        <f>1160000+1160000</f>
        <v>2320000</v>
      </c>
      <c r="X254" s="373">
        <f>1160000+1160000</f>
        <v>2320000</v>
      </c>
      <c r="Y254" s="248"/>
      <c r="Z254" s="247"/>
      <c r="AA254" s="248"/>
      <c r="AB254" s="340">
        <f t="shared" si="65"/>
        <v>4640000</v>
      </c>
      <c r="AC254" s="347">
        <f t="shared" ref="AC254:AC259" si="71">+Z254</f>
        <v>0</v>
      </c>
      <c r="AD254" s="249"/>
      <c r="AE254" s="435">
        <f t="shared" si="70"/>
        <v>8700480</v>
      </c>
      <c r="AF254" s="342">
        <f t="shared" ref="AF254:AF259" si="72">+AB254+AE254</f>
        <v>13340480</v>
      </c>
      <c r="AG254" s="251">
        <f t="shared" ref="AG254:AG259" si="73">+AE254/1.08</f>
        <v>8055999.9999999991</v>
      </c>
      <c r="AH254" s="241"/>
      <c r="AI254" s="241"/>
      <c r="AJ254" s="241"/>
      <c r="AK254" s="194"/>
      <c r="AL254" s="195"/>
      <c r="AM254" s="195"/>
    </row>
    <row r="255" spans="2:39">
      <c r="B255" s="253">
        <v>25</v>
      </c>
      <c r="C255" s="244"/>
      <c r="D255" s="256"/>
      <c r="E255" s="474">
        <v>306356023800</v>
      </c>
      <c r="F255" s="603" t="s">
        <v>2453</v>
      </c>
      <c r="G255" s="391" t="s">
        <v>2454</v>
      </c>
      <c r="H255" s="230" t="s">
        <v>748</v>
      </c>
      <c r="I255" s="230"/>
      <c r="J255" s="230">
        <v>1</v>
      </c>
      <c r="K255" s="230"/>
      <c r="L255" s="228"/>
      <c r="M255" s="257"/>
      <c r="N255" s="228" t="s">
        <v>2452</v>
      </c>
      <c r="O255" s="228" t="s">
        <v>2451</v>
      </c>
      <c r="P255" s="245"/>
      <c r="Q255" s="2564"/>
      <c r="R255" s="2564"/>
      <c r="S255" s="254"/>
      <c r="T255" s="228"/>
      <c r="U255" s="2552"/>
      <c r="V255" s="256"/>
      <c r="W255" s="373">
        <v>1160000</v>
      </c>
      <c r="X255" s="373">
        <v>1160000</v>
      </c>
      <c r="Y255" s="248"/>
      <c r="Z255" s="247"/>
      <c r="AA255" s="248"/>
      <c r="AB255" s="340">
        <f t="shared" si="65"/>
        <v>2320000</v>
      </c>
      <c r="AC255" s="347">
        <f t="shared" si="71"/>
        <v>0</v>
      </c>
      <c r="AD255" s="249"/>
      <c r="AE255" s="435">
        <f t="shared" si="70"/>
        <v>4350240</v>
      </c>
      <c r="AF255" s="342">
        <f t="shared" si="72"/>
        <v>6670240</v>
      </c>
      <c r="AG255" s="251">
        <f t="shared" si="73"/>
        <v>4027999.9999999995</v>
      </c>
      <c r="AH255" s="241"/>
      <c r="AI255" s="241"/>
      <c r="AJ255" s="241"/>
      <c r="AK255" s="194"/>
      <c r="AL255" s="195"/>
      <c r="AM255" s="195"/>
    </row>
    <row r="256" spans="2:39" ht="31.2">
      <c r="B256" s="253">
        <v>26</v>
      </c>
      <c r="C256" s="244"/>
      <c r="D256" s="256"/>
      <c r="E256" s="547">
        <v>106214029460</v>
      </c>
      <c r="F256" s="603" t="s">
        <v>2453</v>
      </c>
      <c r="G256" s="391" t="s">
        <v>2460</v>
      </c>
      <c r="H256" s="230" t="s">
        <v>206</v>
      </c>
      <c r="I256" s="230"/>
      <c r="J256" s="230">
        <v>2</v>
      </c>
      <c r="K256" s="230"/>
      <c r="L256" s="228"/>
      <c r="M256" s="257"/>
      <c r="N256" s="228" t="s">
        <v>2459</v>
      </c>
      <c r="O256" s="254" t="s">
        <v>2461</v>
      </c>
      <c r="P256" s="245"/>
      <c r="Q256" s="2564"/>
      <c r="R256" s="2564"/>
      <c r="S256" s="254"/>
      <c r="T256" s="228"/>
      <c r="U256" s="2552"/>
      <c r="V256" s="256"/>
      <c r="W256" s="324">
        <v>2257200</v>
      </c>
      <c r="X256" s="373">
        <v>2900001</v>
      </c>
      <c r="Y256" s="248"/>
      <c r="Z256" s="247"/>
      <c r="AA256" s="248"/>
      <c r="AB256" s="340">
        <f t="shared" si="65"/>
        <v>5157201</v>
      </c>
      <c r="AC256" s="347">
        <f t="shared" si="71"/>
        <v>0</v>
      </c>
      <c r="AD256" s="249"/>
      <c r="AE256" s="435">
        <f t="shared" si="70"/>
        <v>8700480</v>
      </c>
      <c r="AF256" s="342">
        <f>+AB256+AE256</f>
        <v>13857681</v>
      </c>
      <c r="AG256" s="251">
        <f t="shared" si="73"/>
        <v>8055999.9999999991</v>
      </c>
      <c r="AH256" s="241"/>
      <c r="AI256" s="241"/>
      <c r="AJ256" s="241"/>
      <c r="AK256" s="194"/>
      <c r="AL256" s="195"/>
      <c r="AM256" s="195"/>
    </row>
    <row r="257" spans="2:39">
      <c r="B257" s="253">
        <v>27</v>
      </c>
      <c r="C257" s="244"/>
      <c r="D257" s="256"/>
      <c r="E257" s="474">
        <v>306360801040</v>
      </c>
      <c r="F257" s="603" t="s">
        <v>2464</v>
      </c>
      <c r="G257" s="391" t="s">
        <v>2476</v>
      </c>
      <c r="H257" s="230" t="s">
        <v>210</v>
      </c>
      <c r="I257" s="230">
        <v>1</v>
      </c>
      <c r="J257" s="230"/>
      <c r="K257" s="230"/>
      <c r="L257" s="228"/>
      <c r="M257" s="257"/>
      <c r="N257" s="228" t="s">
        <v>2465</v>
      </c>
      <c r="O257" s="228" t="s">
        <v>2477</v>
      </c>
      <c r="P257" s="245"/>
      <c r="Q257" s="2564"/>
      <c r="R257" s="2564"/>
      <c r="S257" s="254"/>
      <c r="T257" s="228"/>
      <c r="U257" s="2552"/>
      <c r="V257" s="256"/>
      <c r="W257" s="373">
        <v>900000</v>
      </c>
      <c r="X257" s="373">
        <v>432000</v>
      </c>
      <c r="Y257" s="248"/>
      <c r="Z257" s="247"/>
      <c r="AA257" s="248"/>
      <c r="AB257" s="340">
        <f t="shared" si="65"/>
        <v>1332000</v>
      </c>
      <c r="AC257" s="347">
        <f t="shared" si="71"/>
        <v>0</v>
      </c>
      <c r="AD257" s="249"/>
      <c r="AE257" s="435">
        <f t="shared" si="70"/>
        <v>4242240</v>
      </c>
      <c r="AF257" s="342">
        <f>+AB257+AE257</f>
        <v>5574240</v>
      </c>
      <c r="AG257" s="251">
        <f t="shared" si="73"/>
        <v>3927999.9999999995</v>
      </c>
      <c r="AH257" s="241"/>
      <c r="AI257" s="241"/>
      <c r="AJ257" s="241"/>
      <c r="AK257" s="194"/>
      <c r="AL257" s="195"/>
      <c r="AM257" s="195"/>
    </row>
    <row r="258" spans="2:39">
      <c r="B258" s="253">
        <v>28</v>
      </c>
      <c r="C258" s="244"/>
      <c r="D258" s="256"/>
      <c r="E258" s="474">
        <v>306359736340</v>
      </c>
      <c r="F258" s="603" t="s">
        <v>2464</v>
      </c>
      <c r="G258" s="391" t="s">
        <v>2483</v>
      </c>
      <c r="H258" s="230" t="s">
        <v>210</v>
      </c>
      <c r="I258" s="230">
        <v>1</v>
      </c>
      <c r="J258" s="230"/>
      <c r="K258" s="230"/>
      <c r="L258" s="228"/>
      <c r="M258" s="257"/>
      <c r="N258" s="228">
        <v>238068511</v>
      </c>
      <c r="O258" s="228" t="s">
        <v>2475</v>
      </c>
      <c r="P258" s="245"/>
      <c r="Q258" s="2564"/>
      <c r="R258" s="2564"/>
      <c r="S258" s="254"/>
      <c r="T258" s="228"/>
      <c r="U258" s="2552"/>
      <c r="V258" s="256"/>
      <c r="W258" s="373">
        <v>834545</v>
      </c>
      <c r="X258" s="373">
        <v>432000</v>
      </c>
      <c r="Y258" s="248"/>
      <c r="Z258" s="247"/>
      <c r="AA258" s="248"/>
      <c r="AB258" s="340">
        <f t="shared" si="65"/>
        <v>1266545</v>
      </c>
      <c r="AC258" s="347">
        <f t="shared" si="71"/>
        <v>0</v>
      </c>
      <c r="AD258" s="249"/>
      <c r="AE258" s="435">
        <f t="shared" si="70"/>
        <v>4242240</v>
      </c>
      <c r="AF258" s="342">
        <f t="shared" si="72"/>
        <v>5508785</v>
      </c>
      <c r="AG258" s="251">
        <f t="shared" si="73"/>
        <v>3927999.9999999995</v>
      </c>
      <c r="AH258" s="241"/>
      <c r="AI258" s="241"/>
      <c r="AJ258" s="241"/>
      <c r="AK258" s="194"/>
      <c r="AL258" s="195"/>
      <c r="AM258" s="195"/>
    </row>
    <row r="259" spans="2:39">
      <c r="B259" s="253">
        <v>29</v>
      </c>
      <c r="C259" s="244"/>
      <c r="D259" s="256"/>
      <c r="E259" s="466">
        <v>106219820820</v>
      </c>
      <c r="F259" s="603" t="s">
        <v>2466</v>
      </c>
      <c r="G259" s="391" t="s">
        <v>2474</v>
      </c>
      <c r="H259" s="230" t="s">
        <v>206</v>
      </c>
      <c r="I259" s="230"/>
      <c r="J259" s="230"/>
      <c r="K259" s="230">
        <v>1</v>
      </c>
      <c r="L259" s="228"/>
      <c r="M259" s="543" t="s">
        <v>2481</v>
      </c>
      <c r="N259" s="228" t="s">
        <v>2467</v>
      </c>
      <c r="O259" s="228"/>
      <c r="P259" s="245"/>
      <c r="Q259" s="2564"/>
      <c r="R259" s="2564"/>
      <c r="S259" s="254"/>
      <c r="T259" s="543" t="s">
        <v>2481</v>
      </c>
      <c r="U259" s="2556"/>
      <c r="V259" s="256"/>
      <c r="W259" s="248"/>
      <c r="X259" s="248"/>
      <c r="Y259" s="248"/>
      <c r="Z259" s="247"/>
      <c r="AA259" s="248"/>
      <c r="AB259" s="340">
        <f t="shared" si="65"/>
        <v>0</v>
      </c>
      <c r="AC259" s="347">
        <f t="shared" si="71"/>
        <v>0</v>
      </c>
      <c r="AD259" s="249"/>
      <c r="AE259" s="607">
        <f>+(1368000*1.08+((I259+J259+K259)*150000)*1.08)</f>
        <v>1639440</v>
      </c>
      <c r="AF259" s="342">
        <f t="shared" si="72"/>
        <v>1639440</v>
      </c>
      <c r="AG259" s="251">
        <f t="shared" si="73"/>
        <v>1518000</v>
      </c>
      <c r="AH259" s="241"/>
      <c r="AI259" s="241"/>
      <c r="AJ259" s="241"/>
      <c r="AK259" s="194"/>
      <c r="AL259" s="195"/>
      <c r="AM259" s="195"/>
    </row>
    <row r="260" spans="2:39">
      <c r="B260" s="253">
        <v>30</v>
      </c>
      <c r="C260" s="244"/>
      <c r="D260" s="256"/>
      <c r="E260" s="474">
        <v>306368398620</v>
      </c>
      <c r="F260" s="603" t="s">
        <v>2482</v>
      </c>
      <c r="G260" s="391" t="s">
        <v>2485</v>
      </c>
      <c r="H260" s="230" t="s">
        <v>210</v>
      </c>
      <c r="I260" s="230"/>
      <c r="J260" s="230">
        <v>1</v>
      </c>
      <c r="K260" s="230"/>
      <c r="L260" s="228"/>
      <c r="M260" s="257"/>
      <c r="N260" s="228" t="s">
        <v>2484</v>
      </c>
      <c r="O260" s="228" t="s">
        <v>2486</v>
      </c>
      <c r="P260" s="245"/>
      <c r="Q260" s="2564"/>
      <c r="R260" s="2564"/>
      <c r="S260" s="254"/>
      <c r="T260" s="228"/>
      <c r="U260" s="2552"/>
      <c r="V260" s="256"/>
      <c r="W260" s="373">
        <v>1450000</v>
      </c>
      <c r="X260" s="373">
        <v>1140000</v>
      </c>
      <c r="Y260" s="248"/>
      <c r="Z260" s="247"/>
      <c r="AA260" s="248"/>
      <c r="AB260" s="340">
        <f t="shared" si="65"/>
        <v>2590000</v>
      </c>
      <c r="AC260" s="347">
        <f t="shared" ref="AC260:AC267" si="74">+Z260</f>
        <v>0</v>
      </c>
      <c r="AD260" s="249"/>
      <c r="AE260" s="435">
        <f t="shared" ref="AE260:AE265" si="75">+(I260*3778000+J260*(3778000+100000))*1.08+((I260+J260+K260)*150000)*1.08</f>
        <v>4350240</v>
      </c>
      <c r="AF260" s="342">
        <f t="shared" ref="AF260:AF265" si="76">+AB260+AE260</f>
        <v>6940240</v>
      </c>
      <c r="AG260" s="251">
        <f t="shared" ref="AG260:AG265" si="77">+AE260/1.08</f>
        <v>4027999.9999999995</v>
      </c>
      <c r="AH260" s="241"/>
      <c r="AI260" s="241"/>
      <c r="AJ260" s="241"/>
      <c r="AK260" s="194"/>
      <c r="AL260" s="195"/>
      <c r="AM260" s="195"/>
    </row>
    <row r="261" spans="2:39">
      <c r="B261" s="253">
        <v>31</v>
      </c>
      <c r="C261" s="244"/>
      <c r="D261" s="256"/>
      <c r="E261" s="529">
        <v>306369056620</v>
      </c>
      <c r="F261" s="603" t="s">
        <v>2482</v>
      </c>
      <c r="G261" s="391" t="s">
        <v>2488</v>
      </c>
      <c r="H261" s="230" t="s">
        <v>210</v>
      </c>
      <c r="I261" s="230"/>
      <c r="J261" s="230">
        <v>1</v>
      </c>
      <c r="K261" s="230"/>
      <c r="L261" s="228"/>
      <c r="M261" s="257"/>
      <c r="N261" s="228" t="s">
        <v>2487</v>
      </c>
      <c r="O261" s="228" t="s">
        <v>2489</v>
      </c>
      <c r="P261" s="245"/>
      <c r="Q261" s="2564"/>
      <c r="R261" s="2564"/>
      <c r="S261" s="254"/>
      <c r="T261" s="228"/>
      <c r="U261" s="2552"/>
      <c r="V261" s="256"/>
      <c r="W261" s="373">
        <v>1450000</v>
      </c>
      <c r="X261" s="373">
        <v>1160000</v>
      </c>
      <c r="Y261" s="248"/>
      <c r="Z261" s="247"/>
      <c r="AA261" s="248"/>
      <c r="AB261" s="340">
        <f t="shared" si="65"/>
        <v>2610000</v>
      </c>
      <c r="AC261" s="347">
        <f t="shared" si="74"/>
        <v>0</v>
      </c>
      <c r="AD261" s="249"/>
      <c r="AE261" s="435">
        <f t="shared" si="75"/>
        <v>4350240</v>
      </c>
      <c r="AF261" s="342">
        <f t="shared" si="76"/>
        <v>6960240</v>
      </c>
      <c r="AG261" s="251">
        <f t="shared" si="77"/>
        <v>4027999.9999999995</v>
      </c>
      <c r="AH261" s="241"/>
      <c r="AI261" s="241"/>
      <c r="AJ261" s="241"/>
      <c r="AK261" s="194"/>
      <c r="AL261" s="195"/>
      <c r="AM261" s="195"/>
    </row>
    <row r="262" spans="2:39">
      <c r="B262" s="253">
        <v>32</v>
      </c>
      <c r="C262" s="244"/>
      <c r="D262" s="256"/>
      <c r="E262" s="474">
        <v>306370630920</v>
      </c>
      <c r="F262" s="603" t="s">
        <v>2482</v>
      </c>
      <c r="G262" s="391" t="s">
        <v>2490</v>
      </c>
      <c r="H262" s="230" t="s">
        <v>210</v>
      </c>
      <c r="I262" s="230"/>
      <c r="J262" s="230">
        <v>1</v>
      </c>
      <c r="K262" s="230"/>
      <c r="L262" s="228"/>
      <c r="M262" s="257"/>
      <c r="N262" s="228">
        <v>6380649392</v>
      </c>
      <c r="O262" s="228" t="s">
        <v>2491</v>
      </c>
      <c r="P262" s="245"/>
      <c r="Q262" s="2564"/>
      <c r="R262" s="2564"/>
      <c r="S262" s="254"/>
      <c r="T262" s="228"/>
      <c r="U262" s="2552"/>
      <c r="V262" s="256"/>
      <c r="W262" s="373">
        <v>1450000</v>
      </c>
      <c r="X262" s="373">
        <v>1140000</v>
      </c>
      <c r="Y262" s="248"/>
      <c r="Z262" s="247"/>
      <c r="AA262" s="248"/>
      <c r="AB262" s="340">
        <f t="shared" si="65"/>
        <v>2590000</v>
      </c>
      <c r="AC262" s="347">
        <f t="shared" si="74"/>
        <v>0</v>
      </c>
      <c r="AD262" s="249"/>
      <c r="AE262" s="435">
        <f t="shared" si="75"/>
        <v>4350240</v>
      </c>
      <c r="AF262" s="342">
        <f t="shared" si="76"/>
        <v>6940240</v>
      </c>
      <c r="AG262" s="251">
        <f t="shared" si="77"/>
        <v>4027999.9999999995</v>
      </c>
      <c r="AH262" s="241"/>
      <c r="AI262" s="241"/>
      <c r="AJ262" s="241"/>
      <c r="AK262" s="194"/>
      <c r="AL262" s="195"/>
      <c r="AM262" s="195"/>
    </row>
    <row r="263" spans="2:39">
      <c r="B263" s="253">
        <v>33</v>
      </c>
      <c r="C263" s="244"/>
      <c r="D263" s="256"/>
      <c r="E263" s="529">
        <v>306372331920</v>
      </c>
      <c r="F263" s="603" t="s">
        <v>2492</v>
      </c>
      <c r="G263" s="391" t="s">
        <v>2502</v>
      </c>
      <c r="H263" s="230" t="s">
        <v>210</v>
      </c>
      <c r="I263" s="230"/>
      <c r="J263" s="230">
        <v>1</v>
      </c>
      <c r="K263" s="230"/>
      <c r="L263" s="228"/>
      <c r="M263" s="257"/>
      <c r="N263" s="228">
        <v>6382661660</v>
      </c>
      <c r="O263" s="228" t="s">
        <v>2501</v>
      </c>
      <c r="P263" s="245"/>
      <c r="Q263" s="2564"/>
      <c r="R263" s="2564"/>
      <c r="S263" s="254"/>
      <c r="T263" s="228"/>
      <c r="U263" s="2552"/>
      <c r="V263" s="256"/>
      <c r="W263" s="373">
        <v>1160000</v>
      </c>
      <c r="X263" s="373">
        <v>1140000</v>
      </c>
      <c r="Y263" s="248"/>
      <c r="Z263" s="247"/>
      <c r="AA263" s="248"/>
      <c r="AB263" s="340">
        <f t="shared" si="65"/>
        <v>2300000</v>
      </c>
      <c r="AC263" s="347">
        <f t="shared" si="74"/>
        <v>0</v>
      </c>
      <c r="AD263" s="249"/>
      <c r="AE263" s="435">
        <f t="shared" si="75"/>
        <v>4350240</v>
      </c>
      <c r="AF263" s="342">
        <f t="shared" si="76"/>
        <v>6650240</v>
      </c>
      <c r="AG263" s="251">
        <f t="shared" si="77"/>
        <v>4027999.9999999995</v>
      </c>
      <c r="AH263" s="241"/>
      <c r="AI263" s="241"/>
      <c r="AJ263" s="241"/>
      <c r="AK263" s="194"/>
      <c r="AL263" s="195"/>
      <c r="AM263" s="195"/>
    </row>
    <row r="264" spans="2:39">
      <c r="B264" s="253">
        <v>34</v>
      </c>
      <c r="C264" s="244"/>
      <c r="D264" s="256"/>
      <c r="E264" s="474">
        <v>306377754230</v>
      </c>
      <c r="F264" s="603" t="s">
        <v>2503</v>
      </c>
      <c r="G264" s="391" t="s">
        <v>2507</v>
      </c>
      <c r="H264" s="230" t="s">
        <v>210</v>
      </c>
      <c r="I264" s="230"/>
      <c r="J264" s="230">
        <v>1</v>
      </c>
      <c r="K264" s="230"/>
      <c r="L264" s="228"/>
      <c r="M264" s="257"/>
      <c r="N264" s="228" t="s">
        <v>2505</v>
      </c>
      <c r="O264" s="228" t="s">
        <v>2504</v>
      </c>
      <c r="P264" s="245"/>
      <c r="Q264" s="2564"/>
      <c r="R264" s="2564"/>
      <c r="S264" s="254"/>
      <c r="T264" s="228"/>
      <c r="U264" s="2552"/>
      <c r="V264" s="256"/>
      <c r="W264" s="373">
        <v>1425000</v>
      </c>
      <c r="X264" s="373">
        <v>1140000</v>
      </c>
      <c r="Y264" s="248"/>
      <c r="Z264" s="247"/>
      <c r="AA264" s="248"/>
      <c r="AB264" s="340">
        <f t="shared" si="65"/>
        <v>2565000</v>
      </c>
      <c r="AC264" s="347">
        <f t="shared" si="74"/>
        <v>0</v>
      </c>
      <c r="AD264" s="249"/>
      <c r="AE264" s="435">
        <f t="shared" si="75"/>
        <v>4350240</v>
      </c>
      <c r="AF264" s="342">
        <f t="shared" si="76"/>
        <v>6915240</v>
      </c>
      <c r="AG264" s="251">
        <f t="shared" si="77"/>
        <v>4027999.9999999995</v>
      </c>
      <c r="AH264" s="241"/>
      <c r="AI264" s="241"/>
      <c r="AJ264" s="241"/>
      <c r="AK264" s="194"/>
      <c r="AL264" s="195"/>
      <c r="AM264" s="195"/>
    </row>
    <row r="265" spans="2:39">
      <c r="B265" s="253">
        <v>35</v>
      </c>
      <c r="C265" s="244"/>
      <c r="D265" s="256"/>
      <c r="E265" s="529">
        <v>306382449500</v>
      </c>
      <c r="F265" s="603" t="s">
        <v>2511</v>
      </c>
      <c r="G265" s="391" t="s">
        <v>2513</v>
      </c>
      <c r="H265" s="230" t="s">
        <v>210</v>
      </c>
      <c r="I265" s="230"/>
      <c r="J265" s="230">
        <v>1</v>
      </c>
      <c r="K265" s="230"/>
      <c r="L265" s="228"/>
      <c r="M265" s="257"/>
      <c r="N265" s="228" t="s">
        <v>2506</v>
      </c>
      <c r="O265" s="228" t="s">
        <v>2512</v>
      </c>
      <c r="P265" s="245"/>
      <c r="Q265" s="2564"/>
      <c r="R265" s="2564"/>
      <c r="S265" s="254"/>
      <c r="T265" s="228"/>
      <c r="U265" s="2552"/>
      <c r="V265" s="256"/>
      <c r="W265" s="373">
        <v>1450000</v>
      </c>
      <c r="X265" s="373">
        <v>1140000</v>
      </c>
      <c r="Y265" s="248"/>
      <c r="Z265" s="247"/>
      <c r="AA265" s="248"/>
      <c r="AB265" s="340">
        <f t="shared" si="65"/>
        <v>2590000</v>
      </c>
      <c r="AC265" s="347">
        <f t="shared" si="74"/>
        <v>0</v>
      </c>
      <c r="AD265" s="249"/>
      <c r="AE265" s="435">
        <f t="shared" si="75"/>
        <v>4350240</v>
      </c>
      <c r="AF265" s="342">
        <f t="shared" si="76"/>
        <v>6940240</v>
      </c>
      <c r="AG265" s="251">
        <f t="shared" si="77"/>
        <v>4027999.9999999995</v>
      </c>
      <c r="AH265" s="241"/>
      <c r="AI265" s="241"/>
      <c r="AJ265" s="241"/>
      <c r="AK265" s="194"/>
      <c r="AL265" s="195"/>
      <c r="AM265" s="195"/>
    </row>
    <row r="266" spans="2:39">
      <c r="B266" s="649" t="s">
        <v>2469</v>
      </c>
      <c r="C266" s="650"/>
      <c r="D266" s="346"/>
      <c r="E266" s="650"/>
      <c r="F266" s="650"/>
      <c r="G266" s="650"/>
      <c r="H266" s="650"/>
      <c r="I266" s="1303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57"/>
      <c r="W266" s="590"/>
      <c r="X266" s="590"/>
      <c r="Y266" s="357"/>
      <c r="Z266" s="357"/>
      <c r="AA266" s="357"/>
      <c r="AB266" s="358">
        <f>SUM(AB231:AB265)</f>
        <v>77899335</v>
      </c>
      <c r="AC266" s="358">
        <f>SUM(AC243:AC260)</f>
        <v>0</v>
      </c>
      <c r="AD266" s="358">
        <f>SUM(AD241:AD260)</f>
        <v>0</v>
      </c>
      <c r="AE266" s="358">
        <f>SUM(AE231:AE265)</f>
        <v>160103520</v>
      </c>
      <c r="AF266" s="358">
        <f>SUM(AF231:AF265)</f>
        <v>238002855</v>
      </c>
      <c r="AG266" s="358">
        <f>SUM(AG231:AG265)</f>
        <v>148243999.99999997</v>
      </c>
      <c r="AH266" s="357"/>
      <c r="AI266" s="357"/>
      <c r="AJ266" s="357"/>
      <c r="AK266" s="357"/>
      <c r="AL266" s="357"/>
      <c r="AM266" s="617">
        <f>+AE266/1.08</f>
        <v>148244000</v>
      </c>
    </row>
    <row r="267" spans="2:39">
      <c r="B267" s="619">
        <v>1</v>
      </c>
      <c r="C267" s="244"/>
      <c r="D267" s="256"/>
      <c r="E267" s="616">
        <v>306393547260</v>
      </c>
      <c r="F267" s="615">
        <v>45415</v>
      </c>
      <c r="G267" s="391" t="s">
        <v>2521</v>
      </c>
      <c r="H267" s="230" t="s">
        <v>210</v>
      </c>
      <c r="I267" s="230">
        <v>1</v>
      </c>
      <c r="J267" s="230"/>
      <c r="K267" s="230"/>
      <c r="L267" s="228"/>
      <c r="M267" s="257"/>
      <c r="N267" s="228" t="s">
        <v>2516</v>
      </c>
      <c r="O267" s="228" t="s">
        <v>2518</v>
      </c>
      <c r="P267" s="245"/>
      <c r="Q267" s="2564"/>
      <c r="R267" s="2564"/>
      <c r="S267" s="254"/>
      <c r="T267" s="228"/>
      <c r="U267" s="2552"/>
      <c r="V267" s="256"/>
      <c r="W267" s="373">
        <f>900000+349920</f>
        <v>1249920</v>
      </c>
      <c r="X267" s="373">
        <v>700000</v>
      </c>
      <c r="Y267" s="248"/>
      <c r="Z267" s="247"/>
      <c r="AA267" s="248"/>
      <c r="AB267" s="340">
        <f t="shared" ref="AB267:AB283" si="78">V267+W267+X267+Y267+Z267+AA267</f>
        <v>1949920</v>
      </c>
      <c r="AC267" s="347">
        <f t="shared" si="74"/>
        <v>0</v>
      </c>
      <c r="AD267" s="249"/>
      <c r="AE267" s="435">
        <f t="shared" ref="AE267:AE276" si="79">+(I267*3714000+J267*(3714000+100000))*1.08+((I267+J267+K267)*150000)*1.08</f>
        <v>4173120.0000000005</v>
      </c>
      <c r="AF267" s="342">
        <f t="shared" ref="AF267:AF279" si="80">+AB267+AE267</f>
        <v>6123040</v>
      </c>
      <c r="AG267" s="251">
        <f t="shared" ref="AG267:AG279" si="81">+AE267/1.08</f>
        <v>3864000</v>
      </c>
      <c r="AH267" s="241"/>
      <c r="AI267" s="241"/>
      <c r="AJ267" s="241"/>
      <c r="AK267" s="194"/>
      <c r="AL267" s="195"/>
      <c r="AM267" s="242" t="s">
        <v>2646</v>
      </c>
    </row>
    <row r="268" spans="2:39">
      <c r="B268" s="619">
        <v>2</v>
      </c>
      <c r="C268" s="244"/>
      <c r="D268" s="256"/>
      <c r="E268" s="466">
        <v>106242007430</v>
      </c>
      <c r="F268" s="615">
        <v>45416</v>
      </c>
      <c r="G268" s="391" t="s">
        <v>2522</v>
      </c>
      <c r="H268" s="230" t="s">
        <v>206</v>
      </c>
      <c r="I268" s="230"/>
      <c r="J268" s="230">
        <v>1</v>
      </c>
      <c r="K268" s="230"/>
      <c r="L268" s="228"/>
      <c r="M268" s="257"/>
      <c r="N268" s="289" t="s">
        <v>2520</v>
      </c>
      <c r="O268" s="228" t="s">
        <v>2519</v>
      </c>
      <c r="P268" s="245"/>
      <c r="Q268" s="2564"/>
      <c r="R268" s="2564"/>
      <c r="S268" s="254"/>
      <c r="T268" s="228"/>
      <c r="U268" s="2552"/>
      <c r="V268" s="256"/>
      <c r="W268" s="324">
        <v>1128600</v>
      </c>
      <c r="X268" s="373">
        <v>1276363</v>
      </c>
      <c r="Y268" s="248"/>
      <c r="Z268" s="247"/>
      <c r="AA268" s="248"/>
      <c r="AB268" s="340">
        <f t="shared" si="78"/>
        <v>2404963</v>
      </c>
      <c r="AC268" s="347">
        <f t="shared" ref="AC268:AC279" si="82">+Z268</f>
        <v>0</v>
      </c>
      <c r="AD268" s="249"/>
      <c r="AE268" s="435">
        <f t="shared" si="79"/>
        <v>4281120</v>
      </c>
      <c r="AF268" s="342">
        <f t="shared" si="80"/>
        <v>6686083</v>
      </c>
      <c r="AG268" s="251">
        <f t="shared" si="81"/>
        <v>3963999.9999999995</v>
      </c>
      <c r="AH268" s="241"/>
      <c r="AI268" s="241"/>
      <c r="AJ268" s="241"/>
      <c r="AK268" s="194"/>
      <c r="AL268" s="195"/>
      <c r="AM268" s="195"/>
    </row>
    <row r="269" spans="2:39" ht="31.2">
      <c r="B269" s="619">
        <v>3</v>
      </c>
      <c r="C269" s="244"/>
      <c r="D269" s="256"/>
      <c r="E269" s="463" t="s">
        <v>2528</v>
      </c>
      <c r="F269" s="615">
        <v>45416</v>
      </c>
      <c r="G269" s="391" t="s">
        <v>2562</v>
      </c>
      <c r="H269" s="230" t="s">
        <v>206</v>
      </c>
      <c r="I269" s="230">
        <v>1</v>
      </c>
      <c r="J269" s="230"/>
      <c r="K269" s="230"/>
      <c r="L269" s="228"/>
      <c r="M269" s="257"/>
      <c r="N269" s="254" t="s">
        <v>2529</v>
      </c>
      <c r="O269" s="228" t="s">
        <v>2527</v>
      </c>
      <c r="P269" s="245"/>
      <c r="Q269" s="2564"/>
      <c r="R269" s="2564"/>
      <c r="S269" s="254"/>
      <c r="T269" s="228"/>
      <c r="U269" s="2552"/>
      <c r="V269" s="256"/>
      <c r="W269" s="324">
        <v>734400</v>
      </c>
      <c r="X269" s="373">
        <v>900000</v>
      </c>
      <c r="Y269" s="248"/>
      <c r="Z269" s="247"/>
      <c r="AA269" s="248"/>
      <c r="AB269" s="340">
        <f t="shared" si="78"/>
        <v>1634400</v>
      </c>
      <c r="AC269" s="347">
        <f t="shared" si="82"/>
        <v>0</v>
      </c>
      <c r="AD269" s="249"/>
      <c r="AE269" s="435">
        <f t="shared" si="79"/>
        <v>4173120.0000000005</v>
      </c>
      <c r="AF269" s="342">
        <f t="shared" si="80"/>
        <v>5807520</v>
      </c>
      <c r="AG269" s="251">
        <f t="shared" si="81"/>
        <v>3864000</v>
      </c>
      <c r="AH269" s="241"/>
      <c r="AI269" s="241"/>
      <c r="AJ269" s="241"/>
      <c r="AK269" s="194"/>
      <c r="AL269" s="195"/>
      <c r="AM269" s="195"/>
    </row>
    <row r="270" spans="2:39">
      <c r="B270" s="619">
        <v>4</v>
      </c>
      <c r="C270" s="244"/>
      <c r="D270" s="256"/>
      <c r="E270" s="474">
        <v>306395227041</v>
      </c>
      <c r="F270" s="615">
        <v>45416</v>
      </c>
      <c r="G270" s="391" t="s">
        <v>2556</v>
      </c>
      <c r="H270" s="230" t="s">
        <v>210</v>
      </c>
      <c r="I270" s="230"/>
      <c r="J270" s="230">
        <v>1</v>
      </c>
      <c r="K270" s="230"/>
      <c r="L270" s="228"/>
      <c r="M270" s="257"/>
      <c r="N270" s="228" t="s">
        <v>2517</v>
      </c>
      <c r="O270" s="228" t="s">
        <v>2540</v>
      </c>
      <c r="P270" s="245"/>
      <c r="Q270" s="2564"/>
      <c r="R270" s="2564"/>
      <c r="S270" s="254"/>
      <c r="T270" s="228"/>
      <c r="U270" s="2552"/>
      <c r="V270" s="256"/>
      <c r="W270" s="373">
        <v>1150000</v>
      </c>
      <c r="X270" s="373">
        <v>766800</v>
      </c>
      <c r="Y270" s="248"/>
      <c r="Z270" s="247"/>
      <c r="AA270" s="248"/>
      <c r="AB270" s="340">
        <f t="shared" si="78"/>
        <v>1916800</v>
      </c>
      <c r="AC270" s="347">
        <f t="shared" si="82"/>
        <v>0</v>
      </c>
      <c r="AD270" s="249"/>
      <c r="AE270" s="435">
        <f t="shared" si="79"/>
        <v>4281120</v>
      </c>
      <c r="AF270" s="342">
        <f t="shared" si="80"/>
        <v>6197920</v>
      </c>
      <c r="AG270" s="251">
        <f t="shared" si="81"/>
        <v>3963999.9999999995</v>
      </c>
      <c r="AH270" s="241"/>
      <c r="AI270" s="241"/>
      <c r="AJ270" s="241"/>
      <c r="AK270" s="194"/>
      <c r="AL270" s="195"/>
      <c r="AM270" s="195"/>
    </row>
    <row r="271" spans="2:39">
      <c r="B271" s="619">
        <v>5</v>
      </c>
      <c r="C271" s="244"/>
      <c r="D271" s="256"/>
      <c r="E271" s="474">
        <v>306402254120</v>
      </c>
      <c r="F271" s="615">
        <v>45419</v>
      </c>
      <c r="G271" s="391" t="s">
        <v>2557</v>
      </c>
      <c r="H271" s="230" t="s">
        <v>210</v>
      </c>
      <c r="I271" s="230">
        <v>1</v>
      </c>
      <c r="J271" s="230"/>
      <c r="K271" s="230"/>
      <c r="L271" s="228"/>
      <c r="M271" s="257"/>
      <c r="N271" s="228" t="s">
        <v>2541</v>
      </c>
      <c r="O271" s="228" t="s">
        <v>2542</v>
      </c>
      <c r="P271" s="245"/>
      <c r="Q271" s="2564"/>
      <c r="R271" s="2564"/>
      <c r="S271" s="254"/>
      <c r="T271" s="228"/>
      <c r="U271" s="2552"/>
      <c r="V271" s="256"/>
      <c r="W271" s="373">
        <v>885000</v>
      </c>
      <c r="X271" s="373">
        <v>700000</v>
      </c>
      <c r="Y271" s="248"/>
      <c r="Z271" s="247"/>
      <c r="AA271" s="248"/>
      <c r="AB271" s="340">
        <f t="shared" si="78"/>
        <v>1585000</v>
      </c>
      <c r="AC271" s="347">
        <f t="shared" si="82"/>
        <v>0</v>
      </c>
      <c r="AD271" s="249"/>
      <c r="AE271" s="435">
        <f t="shared" si="79"/>
        <v>4173120.0000000005</v>
      </c>
      <c r="AF271" s="342">
        <f t="shared" si="80"/>
        <v>5758120</v>
      </c>
      <c r="AG271" s="251">
        <f t="shared" si="81"/>
        <v>3864000</v>
      </c>
      <c r="AH271" s="241"/>
      <c r="AI271" s="241"/>
      <c r="AJ271" s="241"/>
      <c r="AK271" s="194"/>
      <c r="AL271" s="195"/>
      <c r="AM271" s="195"/>
    </row>
    <row r="272" spans="2:39">
      <c r="B272" s="619">
        <v>6</v>
      </c>
      <c r="C272" s="244"/>
      <c r="D272" s="256"/>
      <c r="E272" s="474">
        <v>306401456820</v>
      </c>
      <c r="F272" s="615">
        <v>45419</v>
      </c>
      <c r="G272" s="391" t="s">
        <v>2558</v>
      </c>
      <c r="H272" s="230" t="s">
        <v>210</v>
      </c>
      <c r="I272" s="230"/>
      <c r="J272" s="230">
        <v>1</v>
      </c>
      <c r="K272" s="230"/>
      <c r="L272" s="228"/>
      <c r="M272" s="257"/>
      <c r="N272" s="228">
        <v>22240678</v>
      </c>
      <c r="O272" s="228" t="s">
        <v>2543</v>
      </c>
      <c r="P272" s="245"/>
      <c r="Q272" s="2564"/>
      <c r="R272" s="2564"/>
      <c r="S272" s="254"/>
      <c r="T272" s="228"/>
      <c r="U272" s="2552"/>
      <c r="V272" s="256"/>
      <c r="W272" s="373">
        <v>1450000</v>
      </c>
      <c r="X272" s="373">
        <v>1140000</v>
      </c>
      <c r="Y272" s="248"/>
      <c r="Z272" s="247"/>
      <c r="AA272" s="248"/>
      <c r="AB272" s="340">
        <f t="shared" si="78"/>
        <v>2590000</v>
      </c>
      <c r="AC272" s="347">
        <f t="shared" si="82"/>
        <v>0</v>
      </c>
      <c r="AD272" s="249"/>
      <c r="AE272" s="435">
        <f t="shared" si="79"/>
        <v>4281120</v>
      </c>
      <c r="AF272" s="342">
        <f t="shared" si="80"/>
        <v>6871120</v>
      </c>
      <c r="AG272" s="251">
        <f t="shared" si="81"/>
        <v>3963999.9999999995</v>
      </c>
      <c r="AH272" s="241"/>
      <c r="AI272" s="241"/>
      <c r="AJ272" s="241"/>
      <c r="AK272" s="194"/>
      <c r="AL272" s="195"/>
      <c r="AM272" s="195"/>
    </row>
    <row r="273" spans="2:39">
      <c r="B273" s="619">
        <v>7</v>
      </c>
      <c r="C273" s="244"/>
      <c r="D273" s="256"/>
      <c r="E273" s="474">
        <v>306403970740</v>
      </c>
      <c r="F273" s="615">
        <v>45420</v>
      </c>
      <c r="G273" s="391" t="s">
        <v>2559</v>
      </c>
      <c r="H273" s="230" t="s">
        <v>210</v>
      </c>
      <c r="I273" s="230"/>
      <c r="J273" s="230">
        <v>1</v>
      </c>
      <c r="K273" s="230"/>
      <c r="L273" s="228"/>
      <c r="M273" s="257"/>
      <c r="N273" s="289" t="s">
        <v>2544</v>
      </c>
      <c r="O273" s="228" t="s">
        <v>2545</v>
      </c>
      <c r="P273" s="245"/>
      <c r="Q273" s="2564"/>
      <c r="R273" s="2564"/>
      <c r="S273" s="254"/>
      <c r="T273" s="228"/>
      <c r="U273" s="2552"/>
      <c r="V273" s="256"/>
      <c r="W273" s="373">
        <v>1450000</v>
      </c>
      <c r="X273" s="373">
        <v>766800</v>
      </c>
      <c r="Y273" s="248"/>
      <c r="Z273" s="247"/>
      <c r="AA273" s="248"/>
      <c r="AB273" s="340">
        <f t="shared" si="78"/>
        <v>2216800</v>
      </c>
      <c r="AC273" s="347">
        <f t="shared" si="82"/>
        <v>0</v>
      </c>
      <c r="AD273" s="249"/>
      <c r="AE273" s="435">
        <f t="shared" si="79"/>
        <v>4281120</v>
      </c>
      <c r="AF273" s="342">
        <f t="shared" si="80"/>
        <v>6497920</v>
      </c>
      <c r="AG273" s="251">
        <f t="shared" si="81"/>
        <v>3963999.9999999995</v>
      </c>
      <c r="AH273" s="241"/>
      <c r="AI273" s="241"/>
      <c r="AJ273" s="241"/>
      <c r="AK273" s="194"/>
      <c r="AL273" s="195"/>
      <c r="AM273" s="195"/>
    </row>
    <row r="274" spans="2:39">
      <c r="B274" s="619">
        <v>8</v>
      </c>
      <c r="C274" s="244"/>
      <c r="D274" s="256"/>
      <c r="E274" s="474">
        <v>306405071250</v>
      </c>
      <c r="F274" s="615">
        <v>45420</v>
      </c>
      <c r="G274" s="391" t="s">
        <v>2560</v>
      </c>
      <c r="H274" s="230" t="s">
        <v>210</v>
      </c>
      <c r="I274" s="230">
        <v>1</v>
      </c>
      <c r="J274" s="230"/>
      <c r="K274" s="230"/>
      <c r="L274" s="228"/>
      <c r="M274" s="257"/>
      <c r="N274" s="289" t="s">
        <v>2547</v>
      </c>
      <c r="O274" s="228" t="s">
        <v>2546</v>
      </c>
      <c r="P274" s="245"/>
      <c r="Q274" s="2564"/>
      <c r="R274" s="2564"/>
      <c r="S274" s="254"/>
      <c r="T274" s="228"/>
      <c r="U274" s="2552"/>
      <c r="V274" s="256"/>
      <c r="W274" s="373">
        <v>680000</v>
      </c>
      <c r="X274" s="373">
        <v>432000</v>
      </c>
      <c r="Y274" s="248"/>
      <c r="Z274" s="247"/>
      <c r="AA274" s="248"/>
      <c r="AB274" s="340">
        <f t="shared" si="78"/>
        <v>1112000</v>
      </c>
      <c r="AC274" s="347">
        <f t="shared" si="82"/>
        <v>0</v>
      </c>
      <c r="AD274" s="249"/>
      <c r="AE274" s="435">
        <f t="shared" si="79"/>
        <v>4173120.0000000005</v>
      </c>
      <c r="AF274" s="342">
        <f t="shared" si="80"/>
        <v>5285120</v>
      </c>
      <c r="AG274" s="251">
        <f t="shared" si="81"/>
        <v>3864000</v>
      </c>
      <c r="AH274" s="241"/>
      <c r="AI274" s="241"/>
      <c r="AJ274" s="241"/>
      <c r="AK274" s="194"/>
      <c r="AL274" s="195"/>
      <c r="AM274" s="195"/>
    </row>
    <row r="275" spans="2:39">
      <c r="B275" s="619">
        <v>9</v>
      </c>
      <c r="C275" s="244"/>
      <c r="D275" s="256"/>
      <c r="E275" s="529">
        <v>306407995850</v>
      </c>
      <c r="F275" s="615">
        <v>45421</v>
      </c>
      <c r="G275" s="391" t="s">
        <v>2561</v>
      </c>
      <c r="H275" s="230" t="s">
        <v>210</v>
      </c>
      <c r="I275" s="230">
        <v>1</v>
      </c>
      <c r="J275" s="230"/>
      <c r="K275" s="230"/>
      <c r="L275" s="228"/>
      <c r="M275" s="257"/>
      <c r="N275" s="289" t="s">
        <v>2548</v>
      </c>
      <c r="O275" s="228" t="s">
        <v>2549</v>
      </c>
      <c r="P275" s="245"/>
      <c r="Q275" s="2564"/>
      <c r="R275" s="2564"/>
      <c r="S275" s="254"/>
      <c r="T275" s="228"/>
      <c r="U275" s="2552"/>
      <c r="V275" s="256"/>
      <c r="W275" s="373">
        <v>795000</v>
      </c>
      <c r="X275" s="373">
        <v>432000</v>
      </c>
      <c r="Y275" s="248"/>
      <c r="Z275" s="247"/>
      <c r="AA275" s="248"/>
      <c r="AB275" s="340">
        <f t="shared" si="78"/>
        <v>1227000</v>
      </c>
      <c r="AC275" s="347">
        <f t="shared" si="82"/>
        <v>0</v>
      </c>
      <c r="AD275" s="249"/>
      <c r="AE275" s="435">
        <f t="shared" si="79"/>
        <v>4173120.0000000005</v>
      </c>
      <c r="AF275" s="342">
        <f t="shared" si="80"/>
        <v>5400120</v>
      </c>
      <c r="AG275" s="251">
        <f t="shared" si="81"/>
        <v>3864000</v>
      </c>
      <c r="AH275" s="241"/>
      <c r="AI275" s="241"/>
      <c r="AJ275" s="241"/>
      <c r="AK275" s="194"/>
      <c r="AL275" s="195"/>
      <c r="AM275" s="195"/>
    </row>
    <row r="276" spans="2:39" ht="31.2">
      <c r="B276" s="619">
        <v>10</v>
      </c>
      <c r="C276" s="244"/>
      <c r="D276" s="256"/>
      <c r="E276" s="463" t="s">
        <v>2537</v>
      </c>
      <c r="F276" s="615">
        <v>45421</v>
      </c>
      <c r="G276" s="391" t="s">
        <v>2563</v>
      </c>
      <c r="H276" s="230" t="s">
        <v>206</v>
      </c>
      <c r="I276" s="230">
        <v>1</v>
      </c>
      <c r="J276" s="230"/>
      <c r="K276" s="230"/>
      <c r="L276" s="228"/>
      <c r="M276" s="257"/>
      <c r="N276" s="254" t="s">
        <v>2538</v>
      </c>
      <c r="O276" s="228" t="s">
        <v>2539</v>
      </c>
      <c r="P276" s="245"/>
      <c r="Q276" s="2564"/>
      <c r="R276" s="2564"/>
      <c r="S276" s="254"/>
      <c r="T276" s="228"/>
      <c r="U276" s="2552"/>
      <c r="V276" s="256"/>
      <c r="W276" s="324">
        <v>734400</v>
      </c>
      <c r="X276" s="373">
        <v>900000</v>
      </c>
      <c r="Y276" s="248"/>
      <c r="Z276" s="247"/>
      <c r="AA276" s="248"/>
      <c r="AB276" s="340">
        <f t="shared" si="78"/>
        <v>1634400</v>
      </c>
      <c r="AC276" s="347">
        <f t="shared" si="82"/>
        <v>0</v>
      </c>
      <c r="AD276" s="249"/>
      <c r="AE276" s="435">
        <f t="shared" si="79"/>
        <v>4173120.0000000005</v>
      </c>
      <c r="AF276" s="342">
        <f t="shared" si="80"/>
        <v>5807520</v>
      </c>
      <c r="AG276" s="251">
        <f t="shared" si="81"/>
        <v>3864000</v>
      </c>
      <c r="AH276" s="241"/>
      <c r="AI276" s="241"/>
      <c r="AJ276" s="241"/>
      <c r="AK276" s="194"/>
      <c r="AL276" s="195"/>
      <c r="AM276" s="195"/>
    </row>
    <row r="277" spans="2:39">
      <c r="B277" s="619">
        <v>11</v>
      </c>
      <c r="C277" s="244"/>
      <c r="D277" s="256"/>
      <c r="E277" s="466">
        <v>106263187920</v>
      </c>
      <c r="F277" s="615">
        <v>45419</v>
      </c>
      <c r="G277" s="391" t="s">
        <v>2564</v>
      </c>
      <c r="H277" s="230" t="s">
        <v>206</v>
      </c>
      <c r="I277" s="230"/>
      <c r="J277" s="230"/>
      <c r="K277" s="230">
        <v>1</v>
      </c>
      <c r="L277" s="228"/>
      <c r="M277" s="543" t="s">
        <v>2536</v>
      </c>
      <c r="N277" s="228" t="s">
        <v>2535</v>
      </c>
      <c r="O277" s="228"/>
      <c r="P277" s="245"/>
      <c r="Q277" s="2564"/>
      <c r="R277" s="2564"/>
      <c r="S277" s="254"/>
      <c r="T277" s="543" t="s">
        <v>2536</v>
      </c>
      <c r="U277" s="2556"/>
      <c r="V277" s="324">
        <v>23563</v>
      </c>
      <c r="W277" s="248"/>
      <c r="X277" s="248"/>
      <c r="Y277" s="248"/>
      <c r="Z277" s="247"/>
      <c r="AA277" s="248"/>
      <c r="AB277" s="340">
        <f t="shared" si="78"/>
        <v>23563</v>
      </c>
      <c r="AC277" s="347">
        <f t="shared" si="82"/>
        <v>0</v>
      </c>
      <c r="AD277" s="249"/>
      <c r="AE277" s="607">
        <f>+(1320000*1.08+((I277+J277+K277)*150000)*1.08)</f>
        <v>1587600</v>
      </c>
      <c r="AF277" s="342">
        <f t="shared" si="80"/>
        <v>1611163</v>
      </c>
      <c r="AG277" s="251">
        <f t="shared" si="81"/>
        <v>1470000</v>
      </c>
      <c r="AH277" s="241"/>
      <c r="AI277" s="241"/>
      <c r="AJ277" s="241"/>
      <c r="AK277" s="194"/>
      <c r="AL277" s="195"/>
      <c r="AM277" s="195"/>
    </row>
    <row r="278" spans="2:39">
      <c r="B278" s="619">
        <v>12</v>
      </c>
      <c r="C278" s="244"/>
      <c r="D278" s="256"/>
      <c r="E278" s="474">
        <v>306418322950</v>
      </c>
      <c r="F278" s="615" t="s">
        <v>2570</v>
      </c>
      <c r="G278" s="391" t="s">
        <v>2577</v>
      </c>
      <c r="H278" s="230" t="s">
        <v>210</v>
      </c>
      <c r="I278" s="230"/>
      <c r="J278" s="230">
        <v>1</v>
      </c>
      <c r="K278" s="230"/>
      <c r="L278" s="228"/>
      <c r="M278" s="257"/>
      <c r="N278" s="228">
        <v>6383547640</v>
      </c>
      <c r="O278" s="228" t="s">
        <v>2572</v>
      </c>
      <c r="P278" s="245"/>
      <c r="Q278" s="2564"/>
      <c r="R278" s="2564"/>
      <c r="S278" s="254"/>
      <c r="T278" s="228"/>
      <c r="U278" s="2552"/>
      <c r="V278" s="256"/>
      <c r="W278" s="373">
        <v>1450000</v>
      </c>
      <c r="X278" s="373">
        <v>1140000</v>
      </c>
      <c r="Y278" s="248"/>
      <c r="Z278" s="247"/>
      <c r="AA278" s="248"/>
      <c r="AB278" s="340">
        <f t="shared" si="78"/>
        <v>2590000</v>
      </c>
      <c r="AC278" s="347">
        <f t="shared" si="82"/>
        <v>0</v>
      </c>
      <c r="AD278" s="249"/>
      <c r="AE278" s="435">
        <f t="shared" ref="AE278:AE283" si="83">+(I278*3714000+J278*(3714000+100000))*1.08+((I278+J278+K278)*150000)*1.08</f>
        <v>4281120</v>
      </c>
      <c r="AF278" s="342">
        <f t="shared" si="80"/>
        <v>6871120</v>
      </c>
      <c r="AG278" s="251">
        <f t="shared" si="81"/>
        <v>3963999.9999999995</v>
      </c>
      <c r="AH278" s="241"/>
      <c r="AI278" s="241"/>
      <c r="AJ278" s="241"/>
      <c r="AK278" s="194"/>
      <c r="AL278" s="195"/>
      <c r="AM278" s="195"/>
    </row>
    <row r="279" spans="2:39">
      <c r="B279" s="253">
        <v>13</v>
      </c>
      <c r="C279" s="244"/>
      <c r="D279" s="256"/>
      <c r="E279" s="474">
        <v>306426075930</v>
      </c>
      <c r="F279" s="615" t="s">
        <v>2571</v>
      </c>
      <c r="G279" s="391" t="s">
        <v>2578</v>
      </c>
      <c r="H279" s="230" t="s">
        <v>210</v>
      </c>
      <c r="I279" s="230"/>
      <c r="J279" s="230">
        <v>1</v>
      </c>
      <c r="K279" s="230"/>
      <c r="L279" s="228"/>
      <c r="M279" s="257"/>
      <c r="N279" s="228" t="s">
        <v>2569</v>
      </c>
      <c r="O279" s="228" t="s">
        <v>2579</v>
      </c>
      <c r="P279" s="245"/>
      <c r="Q279" s="2564"/>
      <c r="R279" s="2564"/>
      <c r="S279" s="254"/>
      <c r="T279" s="228"/>
      <c r="U279" s="2552"/>
      <c r="V279" s="256"/>
      <c r="W279" s="373">
        <v>1450000</v>
      </c>
      <c r="X279" s="373">
        <v>766800</v>
      </c>
      <c r="Y279" s="248"/>
      <c r="Z279" s="247"/>
      <c r="AA279" s="248"/>
      <c r="AB279" s="340">
        <f t="shared" si="78"/>
        <v>2216800</v>
      </c>
      <c r="AC279" s="347">
        <f t="shared" si="82"/>
        <v>0</v>
      </c>
      <c r="AD279" s="249"/>
      <c r="AE279" s="435">
        <f t="shared" si="83"/>
        <v>4281120</v>
      </c>
      <c r="AF279" s="342">
        <f t="shared" si="80"/>
        <v>6497920</v>
      </c>
      <c r="AG279" s="251">
        <f t="shared" si="81"/>
        <v>3963999.9999999995</v>
      </c>
      <c r="AH279" s="241"/>
      <c r="AI279" s="241"/>
      <c r="AJ279" s="241"/>
      <c r="AK279" s="194"/>
      <c r="AL279" s="195"/>
      <c r="AM279" s="195"/>
    </row>
    <row r="280" spans="2:39">
      <c r="B280" s="253">
        <v>14</v>
      </c>
      <c r="C280" s="244"/>
      <c r="D280" s="256"/>
      <c r="E280" s="474">
        <v>306436492150</v>
      </c>
      <c r="F280" s="615" t="s">
        <v>2590</v>
      </c>
      <c r="G280" s="391" t="s">
        <v>2592</v>
      </c>
      <c r="H280" s="230" t="s">
        <v>210</v>
      </c>
      <c r="I280" s="230"/>
      <c r="J280" s="230">
        <v>1</v>
      </c>
      <c r="K280" s="230"/>
      <c r="L280" s="228"/>
      <c r="M280" s="257"/>
      <c r="N280" s="228" t="s">
        <v>2591</v>
      </c>
      <c r="O280" s="228" t="s">
        <v>2593</v>
      </c>
      <c r="P280" s="245"/>
      <c r="Q280" s="2564"/>
      <c r="R280" s="2564"/>
      <c r="S280" s="254"/>
      <c r="T280" s="228"/>
      <c r="U280" s="2552"/>
      <c r="V280" s="256"/>
      <c r="W280" s="373">
        <v>1450000</v>
      </c>
      <c r="X280" s="373">
        <v>1160000</v>
      </c>
      <c r="Y280" s="248"/>
      <c r="Z280" s="247"/>
      <c r="AA280" s="248"/>
      <c r="AB280" s="340">
        <f t="shared" si="78"/>
        <v>2610000</v>
      </c>
      <c r="AC280" s="347">
        <f t="shared" ref="AC280:AC286" si="84">+Z280</f>
        <v>0</v>
      </c>
      <c r="AD280" s="249"/>
      <c r="AE280" s="435">
        <f t="shared" si="83"/>
        <v>4281120</v>
      </c>
      <c r="AF280" s="342">
        <f t="shared" ref="AF280:AF286" si="85">+AB280+AE280</f>
        <v>6891120</v>
      </c>
      <c r="AG280" s="251">
        <f t="shared" ref="AG280:AG286" si="86">+AE280/1.08</f>
        <v>3963999.9999999995</v>
      </c>
      <c r="AH280" s="241"/>
      <c r="AI280" s="241"/>
      <c r="AJ280" s="241"/>
      <c r="AK280" s="194"/>
      <c r="AL280" s="195"/>
      <c r="AM280" s="195"/>
    </row>
    <row r="281" spans="2:39">
      <c r="B281" s="253">
        <v>15</v>
      </c>
      <c r="C281" s="244"/>
      <c r="D281" s="256"/>
      <c r="E281" s="474">
        <v>306435814700</v>
      </c>
      <c r="F281" s="615" t="s">
        <v>2590</v>
      </c>
      <c r="G281" s="391" t="s">
        <v>2594</v>
      </c>
      <c r="H281" s="230" t="s">
        <v>210</v>
      </c>
      <c r="I281" s="230"/>
      <c r="J281" s="230">
        <v>1</v>
      </c>
      <c r="K281" s="230"/>
      <c r="L281" s="228"/>
      <c r="M281" s="257"/>
      <c r="N281" s="228" t="s">
        <v>2591</v>
      </c>
      <c r="O281" s="228" t="s">
        <v>2595</v>
      </c>
      <c r="P281" s="245"/>
      <c r="Q281" s="2564"/>
      <c r="R281" s="2564"/>
      <c r="S281" s="254"/>
      <c r="T281" s="228"/>
      <c r="U281" s="2552"/>
      <c r="V281" s="256"/>
      <c r="W281" s="373">
        <v>1450000</v>
      </c>
      <c r="X281" s="373">
        <v>1160000</v>
      </c>
      <c r="Y281" s="248"/>
      <c r="Z281" s="247"/>
      <c r="AA281" s="248"/>
      <c r="AB281" s="340">
        <f t="shared" si="78"/>
        <v>2610000</v>
      </c>
      <c r="AC281" s="347">
        <f t="shared" si="84"/>
        <v>0</v>
      </c>
      <c r="AD281" s="249"/>
      <c r="AE281" s="435">
        <f t="shared" si="83"/>
        <v>4281120</v>
      </c>
      <c r="AF281" s="342">
        <f t="shared" si="85"/>
        <v>6891120</v>
      </c>
      <c r="AG281" s="251">
        <f t="shared" si="86"/>
        <v>3963999.9999999995</v>
      </c>
      <c r="AH281" s="241"/>
      <c r="AI281" s="241"/>
      <c r="AJ281" s="241"/>
      <c r="AK281" s="194"/>
      <c r="AL281" s="195"/>
      <c r="AM281" s="195"/>
    </row>
    <row r="282" spans="2:39">
      <c r="B282" s="253">
        <v>16</v>
      </c>
      <c r="C282" s="244"/>
      <c r="D282" s="256"/>
      <c r="E282" s="474">
        <v>306435880500</v>
      </c>
      <c r="F282" s="615" t="s">
        <v>2590</v>
      </c>
      <c r="G282" s="391" t="s">
        <v>2596</v>
      </c>
      <c r="H282" s="230" t="s">
        <v>210</v>
      </c>
      <c r="I282" s="230"/>
      <c r="J282" s="230">
        <v>1</v>
      </c>
      <c r="K282" s="230"/>
      <c r="L282" s="228"/>
      <c r="M282" s="257"/>
      <c r="N282" s="228" t="s">
        <v>2591</v>
      </c>
      <c r="O282" s="228" t="s">
        <v>2597</v>
      </c>
      <c r="P282" s="245"/>
      <c r="Q282" s="2564"/>
      <c r="R282" s="2564"/>
      <c r="S282" s="254"/>
      <c r="T282" s="228"/>
      <c r="U282" s="2552"/>
      <c r="V282" s="256"/>
      <c r="W282" s="373">
        <v>1450000</v>
      </c>
      <c r="X282" s="373">
        <v>1160000</v>
      </c>
      <c r="Y282" s="248"/>
      <c r="Z282" s="247"/>
      <c r="AA282" s="248"/>
      <c r="AB282" s="340">
        <f t="shared" si="78"/>
        <v>2610000</v>
      </c>
      <c r="AC282" s="347">
        <f t="shared" si="84"/>
        <v>0</v>
      </c>
      <c r="AD282" s="249"/>
      <c r="AE282" s="435">
        <f t="shared" si="83"/>
        <v>4281120</v>
      </c>
      <c r="AF282" s="342">
        <f t="shared" si="85"/>
        <v>6891120</v>
      </c>
      <c r="AG282" s="251">
        <f t="shared" si="86"/>
        <v>3963999.9999999995</v>
      </c>
      <c r="AH282" s="241"/>
      <c r="AI282" s="241"/>
      <c r="AJ282" s="241"/>
      <c r="AK282" s="194"/>
      <c r="AL282" s="195"/>
      <c r="AM282" s="195"/>
    </row>
    <row r="283" spans="2:39" ht="31.2">
      <c r="B283" s="253">
        <v>17</v>
      </c>
      <c r="C283" s="244"/>
      <c r="D283" s="256"/>
      <c r="E283" s="474">
        <v>306439392730</v>
      </c>
      <c r="F283" s="615" t="s">
        <v>2600</v>
      </c>
      <c r="G283" s="391" t="s">
        <v>2609</v>
      </c>
      <c r="H283" s="230" t="s">
        <v>210</v>
      </c>
      <c r="I283" s="230"/>
      <c r="J283" s="230">
        <v>2</v>
      </c>
      <c r="K283" s="230"/>
      <c r="L283" s="228"/>
      <c r="M283" s="257"/>
      <c r="N283" s="228" t="s">
        <v>2607</v>
      </c>
      <c r="O283" s="254" t="s">
        <v>2647</v>
      </c>
      <c r="P283" s="245"/>
      <c r="Q283" s="2564"/>
      <c r="R283" s="2564"/>
      <c r="S283" s="254"/>
      <c r="T283" s="228"/>
      <c r="U283" s="2552"/>
      <c r="V283" s="256"/>
      <c r="W283" s="373">
        <f>1300000+1300000</f>
        <v>2600000</v>
      </c>
      <c r="X283" s="373">
        <f>766800+766800</f>
        <v>1533600</v>
      </c>
      <c r="Y283" s="248"/>
      <c r="Z283" s="247"/>
      <c r="AA283" s="248"/>
      <c r="AB283" s="340">
        <f t="shared" si="78"/>
        <v>4133600</v>
      </c>
      <c r="AC283" s="347">
        <f t="shared" si="84"/>
        <v>0</v>
      </c>
      <c r="AD283" s="249"/>
      <c r="AE283" s="435">
        <f t="shared" si="83"/>
        <v>8562240</v>
      </c>
      <c r="AF283" s="342">
        <f t="shared" si="85"/>
        <v>12695840</v>
      </c>
      <c r="AG283" s="251">
        <f t="shared" si="86"/>
        <v>7927999.9999999991</v>
      </c>
      <c r="AH283" s="241"/>
      <c r="AI283" s="241"/>
      <c r="AJ283" s="241"/>
      <c r="AK283" s="194"/>
      <c r="AL283" s="195"/>
      <c r="AM283" s="195"/>
    </row>
    <row r="284" spans="2:39">
      <c r="B284" s="3811" t="s">
        <v>2586</v>
      </c>
      <c r="C284" s="3716"/>
      <c r="D284" s="3716"/>
      <c r="E284" s="3716"/>
      <c r="F284" s="3716"/>
      <c r="G284" s="3716"/>
      <c r="H284" s="3716"/>
      <c r="I284" s="3716"/>
      <c r="J284" s="3716"/>
      <c r="K284" s="3716"/>
      <c r="L284" s="3716"/>
      <c r="M284" s="346"/>
      <c r="N284" s="346"/>
      <c r="O284" s="346"/>
      <c r="P284" s="346"/>
      <c r="Q284" s="346"/>
      <c r="R284" s="346"/>
      <c r="S284" s="346"/>
      <c r="T284" s="346"/>
      <c r="U284" s="346"/>
      <c r="V284" s="590">
        <f>+'CHÍNH NGUYÊN'!S114+W284</f>
        <v>6039906</v>
      </c>
      <c r="W284" s="590">
        <f>+W268+W269+W276+V277</f>
        <v>2620963</v>
      </c>
      <c r="X284" s="590"/>
      <c r="Y284" s="357"/>
      <c r="Z284" s="357"/>
      <c r="AA284" s="357"/>
      <c r="AB284" s="358">
        <f>SUM(AB267:AB283)</f>
        <v>35065246</v>
      </c>
      <c r="AC284" s="358">
        <f>SUM(AC261:AC278)</f>
        <v>0</v>
      </c>
      <c r="AD284" s="358">
        <f>SUM(AD259:AD278)</f>
        <v>0</v>
      </c>
      <c r="AE284" s="358">
        <f>SUM(AE267:AE283)</f>
        <v>73718640</v>
      </c>
      <c r="AF284" s="358">
        <f>+AB284+AE284</f>
        <v>108783886</v>
      </c>
      <c r="AG284" s="358">
        <f>SUM(AG267:AG283)</f>
        <v>68258000</v>
      </c>
      <c r="AH284" s="357"/>
      <c r="AI284" s="357"/>
      <c r="AJ284" s="357"/>
      <c r="AK284" s="357"/>
      <c r="AL284" s="357"/>
      <c r="AM284" s="617">
        <f>+AE284/1.08</f>
        <v>68258000</v>
      </c>
    </row>
    <row r="285" spans="2:39">
      <c r="B285" s="1137">
        <v>1</v>
      </c>
      <c r="C285" s="244"/>
      <c r="D285" s="615"/>
      <c r="E285" s="474">
        <v>306451354000</v>
      </c>
      <c r="F285" s="615" t="s">
        <v>2616</v>
      </c>
      <c r="G285" s="391" t="s">
        <v>2620</v>
      </c>
      <c r="H285" s="230"/>
      <c r="I285" s="230"/>
      <c r="J285" s="230">
        <v>1</v>
      </c>
      <c r="K285" s="230"/>
      <c r="L285" s="228"/>
      <c r="M285" s="257"/>
      <c r="N285" s="228" t="s">
        <v>2608</v>
      </c>
      <c r="O285" s="228" t="s">
        <v>2621</v>
      </c>
      <c r="P285" s="245"/>
      <c r="Q285" s="2564"/>
      <c r="R285" s="2564"/>
      <c r="S285" s="254"/>
      <c r="T285" s="228"/>
      <c r="U285" s="2552"/>
      <c r="V285" s="256"/>
      <c r="W285" s="373">
        <v>1450000</v>
      </c>
      <c r="X285" s="373">
        <v>1160000</v>
      </c>
      <c r="Y285" s="248"/>
      <c r="Z285" s="247"/>
      <c r="AA285" s="248"/>
      <c r="AB285" s="340">
        <f t="shared" ref="AB285:AB312" si="87">V285+W285+X285+Y285+Z285+AA285</f>
        <v>2610000</v>
      </c>
      <c r="AC285" s="347">
        <f t="shared" si="84"/>
        <v>0</v>
      </c>
      <c r="AD285" s="249"/>
      <c r="AE285" s="435">
        <f>+(I285*3714000+J285*(3714000+100000))*1.08+((I285+J285+K285)*150000)*1.08</f>
        <v>4281120</v>
      </c>
      <c r="AF285" s="342">
        <f t="shared" si="85"/>
        <v>6891120</v>
      </c>
      <c r="AG285" s="251">
        <f t="shared" si="86"/>
        <v>3963999.9999999995</v>
      </c>
      <c r="AH285" s="241"/>
      <c r="AI285" s="241"/>
      <c r="AJ285" s="241"/>
      <c r="AK285" s="194"/>
      <c r="AL285" s="195"/>
      <c r="AM285" s="195"/>
    </row>
    <row r="286" spans="2:39" ht="31.2">
      <c r="B286" s="1137">
        <v>2</v>
      </c>
      <c r="C286" s="244"/>
      <c r="D286" s="615"/>
      <c r="E286" s="474">
        <v>306451805240</v>
      </c>
      <c r="F286" s="615" t="s">
        <v>2616</v>
      </c>
      <c r="G286" s="391" t="s">
        <v>2622</v>
      </c>
      <c r="H286" s="230"/>
      <c r="I286" s="230"/>
      <c r="J286" s="230">
        <v>2</v>
      </c>
      <c r="K286" s="230"/>
      <c r="L286" s="228"/>
      <c r="M286" s="257"/>
      <c r="N286" s="228" t="s">
        <v>2615</v>
      </c>
      <c r="O286" s="254" t="s">
        <v>2623</v>
      </c>
      <c r="P286" s="245"/>
      <c r="Q286" s="2564"/>
      <c r="R286" s="2564"/>
      <c r="S286" s="254"/>
      <c r="T286" s="228"/>
      <c r="U286" s="2552"/>
      <c r="V286" s="256"/>
      <c r="W286" s="373">
        <f>1300000+1300000</f>
        <v>2600000</v>
      </c>
      <c r="X286" s="373">
        <f>766800+766800</f>
        <v>1533600</v>
      </c>
      <c r="Y286" s="248"/>
      <c r="Z286" s="247"/>
      <c r="AA286" s="248"/>
      <c r="AB286" s="340">
        <f t="shared" si="87"/>
        <v>4133600</v>
      </c>
      <c r="AC286" s="347">
        <f t="shared" si="84"/>
        <v>0</v>
      </c>
      <c r="AD286" s="249"/>
      <c r="AE286" s="435">
        <f>+(I286*3714000+J286*(3714000+100000))*1.08+((I286+J286+K286)*150000)*1.08</f>
        <v>8562240</v>
      </c>
      <c r="AF286" s="342">
        <f t="shared" si="85"/>
        <v>12695840</v>
      </c>
      <c r="AG286" s="251">
        <f t="shared" si="86"/>
        <v>7927999.9999999991</v>
      </c>
      <c r="AH286" s="241"/>
      <c r="AI286" s="241"/>
      <c r="AJ286" s="241"/>
      <c r="AK286" s="194"/>
      <c r="AL286" s="195"/>
      <c r="AM286" s="195"/>
    </row>
    <row r="287" spans="2:39">
      <c r="B287" s="1137">
        <v>3</v>
      </c>
      <c r="C287" s="244"/>
      <c r="D287" s="615"/>
      <c r="E287" s="474">
        <v>306454941130</v>
      </c>
      <c r="F287" s="615" t="s">
        <v>2624</v>
      </c>
      <c r="G287" s="391" t="s">
        <v>2626</v>
      </c>
      <c r="H287" s="230"/>
      <c r="I287" s="230"/>
      <c r="J287" s="230">
        <v>1</v>
      </c>
      <c r="K287" s="230"/>
      <c r="L287" s="228"/>
      <c r="M287" s="257"/>
      <c r="N287" s="228" t="s">
        <v>2625</v>
      </c>
      <c r="O287" s="228" t="s">
        <v>2627</v>
      </c>
      <c r="P287" s="245"/>
      <c r="Q287" s="2564"/>
      <c r="R287" s="2564"/>
      <c r="S287" s="254"/>
      <c r="T287" s="228"/>
      <c r="U287" s="2552"/>
      <c r="V287" s="256"/>
      <c r="W287" s="373">
        <v>1450000</v>
      </c>
      <c r="X287" s="373">
        <v>766800</v>
      </c>
      <c r="Y287" s="248"/>
      <c r="Z287" s="247"/>
      <c r="AA287" s="248"/>
      <c r="AB287" s="340">
        <f t="shared" si="87"/>
        <v>2216800</v>
      </c>
      <c r="AC287" s="347">
        <f t="shared" ref="AC287:AC292" si="88">+Z287</f>
        <v>0</v>
      </c>
      <c r="AD287" s="249"/>
      <c r="AE287" s="435">
        <f>+(I287*3714000+J287*(3714000+100000))*1.08+((I287+J287+K287)*150000)*1.08</f>
        <v>4281120</v>
      </c>
      <c r="AF287" s="342">
        <f t="shared" ref="AF287:AF292" si="89">+AB287+AE287</f>
        <v>6497920</v>
      </c>
      <c r="AG287" s="251">
        <f t="shared" ref="AG287:AG311" si="90">+AE287/1.08</f>
        <v>3963999.9999999995</v>
      </c>
      <c r="AH287" s="241"/>
      <c r="AI287" s="241"/>
      <c r="AJ287" s="241"/>
      <c r="AK287" s="194"/>
      <c r="AL287" s="195"/>
      <c r="AM287" s="195"/>
    </row>
    <row r="288" spans="2:39">
      <c r="B288" s="1137">
        <v>4</v>
      </c>
      <c r="C288" s="244"/>
      <c r="D288" s="615"/>
      <c r="E288" s="466">
        <v>106315086730</v>
      </c>
      <c r="F288" s="615" t="s">
        <v>2629</v>
      </c>
      <c r="G288" s="391" t="s">
        <v>2653</v>
      </c>
      <c r="H288" s="230"/>
      <c r="I288" s="230"/>
      <c r="J288" s="230"/>
      <c r="K288" s="230">
        <v>1</v>
      </c>
      <c r="L288" s="228"/>
      <c r="M288" s="543" t="s">
        <v>2630</v>
      </c>
      <c r="N288" s="228" t="s">
        <v>2628</v>
      </c>
      <c r="O288" s="228"/>
      <c r="P288" s="245"/>
      <c r="Q288" s="2564"/>
      <c r="R288" s="2564"/>
      <c r="S288" s="254"/>
      <c r="T288" s="543" t="s">
        <v>2630</v>
      </c>
      <c r="U288" s="2556"/>
      <c r="V288" s="324">
        <f>11782+11782</f>
        <v>23564</v>
      </c>
      <c r="W288" s="248"/>
      <c r="X288" s="248"/>
      <c r="Y288" s="248"/>
      <c r="Z288" s="247"/>
      <c r="AA288" s="248"/>
      <c r="AB288" s="340">
        <f t="shared" si="87"/>
        <v>23564</v>
      </c>
      <c r="AC288" s="347">
        <f t="shared" si="88"/>
        <v>0</v>
      </c>
      <c r="AD288" s="249"/>
      <c r="AE288" s="607">
        <f>+(1320000*1.08+((I288+J288+K288)*150000)*1.08)</f>
        <v>1587600</v>
      </c>
      <c r="AF288" s="342">
        <f t="shared" si="89"/>
        <v>1611164</v>
      </c>
      <c r="AG288" s="251">
        <f t="shared" si="90"/>
        <v>1470000</v>
      </c>
      <c r="AH288" s="241"/>
      <c r="AI288" s="241"/>
      <c r="AJ288" s="241"/>
      <c r="AK288" s="194"/>
      <c r="AL288" s="195"/>
      <c r="AM288" s="195"/>
    </row>
    <row r="289" spans="2:39">
      <c r="B289" s="1137">
        <v>5</v>
      </c>
      <c r="C289" s="244"/>
      <c r="D289" s="615"/>
      <c r="E289" s="466">
        <v>106313483510</v>
      </c>
      <c r="F289" s="615" t="s">
        <v>2629</v>
      </c>
      <c r="G289" s="391" t="s">
        <v>2654</v>
      </c>
      <c r="H289" s="230"/>
      <c r="I289" s="230"/>
      <c r="J289" s="230"/>
      <c r="K289" s="230">
        <v>1</v>
      </c>
      <c r="L289" s="228"/>
      <c r="M289" s="543" t="s">
        <v>2632</v>
      </c>
      <c r="N289" s="228" t="s">
        <v>2631</v>
      </c>
      <c r="O289" s="228"/>
      <c r="P289" s="245"/>
      <c r="Q289" s="2564"/>
      <c r="R289" s="2564"/>
      <c r="S289" s="254"/>
      <c r="T289" s="543" t="s">
        <v>2632</v>
      </c>
      <c r="U289" s="2556"/>
      <c r="V289" s="256"/>
      <c r="W289" s="248"/>
      <c r="X289" s="248"/>
      <c r="Y289" s="248"/>
      <c r="Z289" s="247"/>
      <c r="AA289" s="248"/>
      <c r="AB289" s="340">
        <f t="shared" si="87"/>
        <v>0</v>
      </c>
      <c r="AC289" s="347">
        <f t="shared" si="88"/>
        <v>0</v>
      </c>
      <c r="AD289" s="375" t="s">
        <v>2639</v>
      </c>
      <c r="AE289" s="607">
        <f>+(3568000*1.08+((I289+J289+K289)*150000)*1.08)</f>
        <v>4015440.0000000005</v>
      </c>
      <c r="AF289" s="342">
        <f t="shared" si="89"/>
        <v>4015440.0000000005</v>
      </c>
      <c r="AG289" s="251">
        <f t="shared" si="90"/>
        <v>3718000</v>
      </c>
      <c r="AH289" s="241"/>
      <c r="AI289" s="241"/>
      <c r="AJ289" s="241"/>
      <c r="AK289" s="194"/>
      <c r="AL289" s="195"/>
      <c r="AM289" s="195"/>
    </row>
    <row r="290" spans="2:39">
      <c r="B290" s="1137">
        <v>6</v>
      </c>
      <c r="C290" s="244"/>
      <c r="D290" s="615"/>
      <c r="E290" s="474">
        <v>306460619530</v>
      </c>
      <c r="F290" s="615" t="s">
        <v>2629</v>
      </c>
      <c r="G290" s="391" t="s">
        <v>2655</v>
      </c>
      <c r="H290" s="230"/>
      <c r="I290" s="230"/>
      <c r="J290" s="230">
        <v>1</v>
      </c>
      <c r="K290" s="230"/>
      <c r="L290" s="228"/>
      <c r="M290" s="543"/>
      <c r="N290" s="375">
        <v>21878809</v>
      </c>
      <c r="O290" s="254" t="s">
        <v>2656</v>
      </c>
      <c r="P290" s="245"/>
      <c r="Q290" s="2564"/>
      <c r="R290" s="2564"/>
      <c r="S290" s="254"/>
      <c r="T290" s="543"/>
      <c r="U290" s="2556"/>
      <c r="V290" s="256"/>
      <c r="W290" s="373">
        <v>1450000</v>
      </c>
      <c r="X290" s="373">
        <v>1140000</v>
      </c>
      <c r="Y290" s="248"/>
      <c r="Z290" s="247"/>
      <c r="AA290" s="248"/>
      <c r="AB290" s="340">
        <f t="shared" si="87"/>
        <v>2590000</v>
      </c>
      <c r="AC290" s="347">
        <f t="shared" si="88"/>
        <v>0</v>
      </c>
      <c r="AD290" s="249"/>
      <c r="AE290" s="435">
        <f>+(I290*3714000+J290*(3714000+100000))*1.08+((I290+J290+K290)*150000)*1.08</f>
        <v>4281120</v>
      </c>
      <c r="AF290" s="342">
        <f t="shared" si="89"/>
        <v>6871120</v>
      </c>
      <c r="AG290" s="251">
        <f t="shared" si="90"/>
        <v>3963999.9999999995</v>
      </c>
      <c r="AH290" s="241"/>
      <c r="AI290" s="241"/>
      <c r="AJ290" s="241"/>
      <c r="AK290" s="194"/>
      <c r="AL290" s="195"/>
      <c r="AM290" s="195"/>
    </row>
    <row r="291" spans="2:39">
      <c r="B291" s="1137">
        <v>7</v>
      </c>
      <c r="C291" s="244"/>
      <c r="D291" s="615">
        <v>45447</v>
      </c>
      <c r="E291" s="466">
        <v>106314629740</v>
      </c>
      <c r="F291" s="615" t="s">
        <v>2629</v>
      </c>
      <c r="G291" s="391" t="s">
        <v>2657</v>
      </c>
      <c r="H291" s="230" t="s">
        <v>206</v>
      </c>
      <c r="I291" s="230">
        <v>1</v>
      </c>
      <c r="J291" s="230"/>
      <c r="K291" s="230"/>
      <c r="L291" s="526" t="s">
        <v>136</v>
      </c>
      <c r="M291" s="257"/>
      <c r="N291" s="228" t="s">
        <v>2637</v>
      </c>
      <c r="O291" s="228" t="s">
        <v>2638</v>
      </c>
      <c r="P291" s="245"/>
      <c r="Q291" s="2564"/>
      <c r="R291" s="2564"/>
      <c r="S291" s="254"/>
      <c r="T291" s="543"/>
      <c r="U291" s="2556"/>
      <c r="V291" s="373">
        <v>102600</v>
      </c>
      <c r="W291" s="324">
        <v>631800</v>
      </c>
      <c r="X291" s="373">
        <v>900000</v>
      </c>
      <c r="Y291" s="248"/>
      <c r="Z291" s="247"/>
      <c r="AA291" s="248"/>
      <c r="AB291" s="340">
        <f t="shared" si="87"/>
        <v>1634400</v>
      </c>
      <c r="AC291" s="347">
        <f t="shared" si="88"/>
        <v>0</v>
      </c>
      <c r="AD291" s="375" t="s">
        <v>2663</v>
      </c>
      <c r="AE291" s="621">
        <f>+(I291*3714000+J291*(3714000+100000))*1.08+((I291+J291+K291)*150000)*1.08+(1000000*1.08)</f>
        <v>5253120</v>
      </c>
      <c r="AF291" s="342">
        <f t="shared" si="89"/>
        <v>6887520</v>
      </c>
      <c r="AG291" s="251">
        <f t="shared" si="90"/>
        <v>4864000</v>
      </c>
      <c r="AH291" s="241"/>
      <c r="AI291" s="241"/>
      <c r="AJ291" s="241"/>
      <c r="AK291" s="194"/>
      <c r="AL291" s="195"/>
      <c r="AM291" s="195"/>
    </row>
    <row r="292" spans="2:39" ht="16.5" customHeight="1">
      <c r="B292" s="1137">
        <v>8</v>
      </c>
      <c r="C292" s="244"/>
      <c r="D292" s="615"/>
      <c r="E292" s="474">
        <v>306464823840</v>
      </c>
      <c r="F292" s="615" t="s">
        <v>2633</v>
      </c>
      <c r="G292" s="391" t="s">
        <v>2648</v>
      </c>
      <c r="H292" s="230"/>
      <c r="I292" s="612">
        <v>1</v>
      </c>
      <c r="J292" s="230"/>
      <c r="K292" s="230"/>
      <c r="L292" s="228"/>
      <c r="M292" s="257"/>
      <c r="N292" s="228" t="s">
        <v>2636</v>
      </c>
      <c r="O292" s="228" t="s">
        <v>2649</v>
      </c>
      <c r="P292" s="245"/>
      <c r="Q292" s="2564"/>
      <c r="R292" s="2564"/>
      <c r="S292" s="254"/>
      <c r="T292" s="228"/>
      <c r="U292" s="2552"/>
      <c r="V292" s="256"/>
      <c r="W292" s="373">
        <v>900000</v>
      </c>
      <c r="X292" s="373">
        <v>432000</v>
      </c>
      <c r="Y292" s="248"/>
      <c r="Z292" s="247"/>
      <c r="AA292" s="248"/>
      <c r="AB292" s="340">
        <f t="shared" si="87"/>
        <v>1332000</v>
      </c>
      <c r="AC292" s="347">
        <f t="shared" si="88"/>
        <v>0</v>
      </c>
      <c r="AD292" s="249"/>
      <c r="AE292" s="435">
        <f t="shared" ref="AE292:AE304" si="91">+(I292*3714000+J292*(3714000+100000))*1.08+((I292+J292+K292)*150000)*1.08</f>
        <v>4173120.0000000005</v>
      </c>
      <c r="AF292" s="342">
        <f t="shared" si="89"/>
        <v>5505120</v>
      </c>
      <c r="AG292" s="251">
        <f t="shared" si="90"/>
        <v>3864000</v>
      </c>
      <c r="AH292" s="241"/>
      <c r="AI292" s="241"/>
      <c r="AJ292" s="241"/>
      <c r="AK292" s="194"/>
      <c r="AL292" s="195"/>
      <c r="AM292" s="195"/>
    </row>
    <row r="293" spans="2:39" ht="31.2">
      <c r="B293" s="1137">
        <v>9</v>
      </c>
      <c r="C293" s="244"/>
      <c r="D293" s="615"/>
      <c r="E293" s="474">
        <v>306471139240</v>
      </c>
      <c r="F293" s="615">
        <v>45446</v>
      </c>
      <c r="G293" s="391" t="s">
        <v>2660</v>
      </c>
      <c r="H293" s="230"/>
      <c r="I293" s="230"/>
      <c r="J293" s="230">
        <v>2</v>
      </c>
      <c r="K293" s="230"/>
      <c r="L293" s="228"/>
      <c r="M293" s="257"/>
      <c r="N293" s="228" t="s">
        <v>2643</v>
      </c>
      <c r="O293" s="254" t="s">
        <v>2659</v>
      </c>
      <c r="P293" s="245"/>
      <c r="Q293" s="2564"/>
      <c r="R293" s="2564"/>
      <c r="S293" s="254"/>
      <c r="T293" s="228"/>
      <c r="U293" s="2552"/>
      <c r="V293" s="256"/>
      <c r="W293" s="373">
        <f>1300000+1300000</f>
        <v>2600000</v>
      </c>
      <c r="X293" s="373">
        <f>766800+766800</f>
        <v>1533600</v>
      </c>
      <c r="Y293" s="248"/>
      <c r="Z293" s="247"/>
      <c r="AA293" s="248"/>
      <c r="AB293" s="340">
        <f t="shared" si="87"/>
        <v>4133600</v>
      </c>
      <c r="AC293" s="347">
        <f t="shared" ref="AC293:AC301" si="92">+Z293</f>
        <v>0</v>
      </c>
      <c r="AD293" s="249"/>
      <c r="AE293" s="435">
        <f t="shared" si="91"/>
        <v>8562240</v>
      </c>
      <c r="AF293" s="342">
        <f t="shared" ref="AF293:AF301" si="93">+AB293+AE293</f>
        <v>12695840</v>
      </c>
      <c r="AG293" s="251">
        <f t="shared" si="90"/>
        <v>7927999.9999999991</v>
      </c>
      <c r="AH293" s="241"/>
      <c r="AI293" s="241"/>
      <c r="AJ293" s="241"/>
      <c r="AK293" s="194"/>
      <c r="AL293" s="195"/>
      <c r="AM293" s="195"/>
    </row>
    <row r="294" spans="2:39" ht="31.2">
      <c r="B294" s="1137">
        <v>10</v>
      </c>
      <c r="C294" s="244"/>
      <c r="D294" s="615"/>
      <c r="E294" s="474">
        <v>306470504450</v>
      </c>
      <c r="F294" s="615">
        <v>45446</v>
      </c>
      <c r="G294" s="391" t="s">
        <v>2661</v>
      </c>
      <c r="H294" s="230"/>
      <c r="I294" s="230"/>
      <c r="J294" s="230">
        <v>2</v>
      </c>
      <c r="K294" s="230"/>
      <c r="L294" s="228"/>
      <c r="M294" s="257"/>
      <c r="N294" s="228" t="s">
        <v>2644</v>
      </c>
      <c r="O294" s="254" t="s">
        <v>2662</v>
      </c>
      <c r="P294" s="245"/>
      <c r="Q294" s="2564"/>
      <c r="R294" s="2564"/>
      <c r="S294" s="254"/>
      <c r="T294" s="228"/>
      <c r="U294" s="2552"/>
      <c r="V294" s="256"/>
      <c r="W294" s="373">
        <f>1300000+1300000</f>
        <v>2600000</v>
      </c>
      <c r="X294" s="373">
        <f>766800+766800</f>
        <v>1533600</v>
      </c>
      <c r="Y294" s="248"/>
      <c r="Z294" s="247"/>
      <c r="AA294" s="248"/>
      <c r="AB294" s="340">
        <f t="shared" si="87"/>
        <v>4133600</v>
      </c>
      <c r="AC294" s="347">
        <f t="shared" si="92"/>
        <v>0</v>
      </c>
      <c r="AD294" s="249"/>
      <c r="AE294" s="435">
        <f t="shared" si="91"/>
        <v>8562240</v>
      </c>
      <c r="AF294" s="342">
        <f t="shared" si="93"/>
        <v>12695840</v>
      </c>
      <c r="AG294" s="251">
        <f t="shared" si="90"/>
        <v>7927999.9999999991</v>
      </c>
      <c r="AH294" s="241"/>
      <c r="AI294" s="241"/>
      <c r="AJ294" s="241"/>
      <c r="AK294" s="194"/>
      <c r="AL294" s="195"/>
      <c r="AM294" s="195"/>
    </row>
    <row r="295" spans="2:39">
      <c r="B295" s="1137">
        <v>11</v>
      </c>
      <c r="C295" s="244"/>
      <c r="D295" s="615"/>
      <c r="E295" s="474">
        <v>306474246540</v>
      </c>
      <c r="F295" s="615">
        <v>45447</v>
      </c>
      <c r="G295" s="391" t="s">
        <v>2666</v>
      </c>
      <c r="H295" s="230"/>
      <c r="I295" s="230"/>
      <c r="J295" s="230">
        <v>1</v>
      </c>
      <c r="K295" s="230"/>
      <c r="L295" s="228"/>
      <c r="M295" s="257"/>
      <c r="N295" s="228">
        <v>20540318</v>
      </c>
      <c r="O295" s="228" t="s">
        <v>2667</v>
      </c>
      <c r="P295" s="245"/>
      <c r="Q295" s="2564"/>
      <c r="R295" s="2564"/>
      <c r="S295" s="254"/>
      <c r="T295" s="228"/>
      <c r="U295" s="2552"/>
      <c r="V295" s="256"/>
      <c r="W295" s="373">
        <v>1450000</v>
      </c>
      <c r="X295" s="373">
        <v>1140000</v>
      </c>
      <c r="Y295" s="248"/>
      <c r="Z295" s="247"/>
      <c r="AA295" s="248"/>
      <c r="AB295" s="340">
        <f t="shared" si="87"/>
        <v>2590000</v>
      </c>
      <c r="AC295" s="347">
        <f t="shared" si="92"/>
        <v>0</v>
      </c>
      <c r="AD295" s="249"/>
      <c r="AE295" s="435">
        <f t="shared" si="91"/>
        <v>4281120</v>
      </c>
      <c r="AF295" s="342">
        <f t="shared" si="93"/>
        <v>6871120</v>
      </c>
      <c r="AG295" s="251">
        <f t="shared" si="90"/>
        <v>3963999.9999999995</v>
      </c>
      <c r="AH295" s="241"/>
      <c r="AI295" s="241"/>
      <c r="AJ295" s="241"/>
      <c r="AK295" s="194"/>
      <c r="AL295" s="195"/>
      <c r="AM295" s="195"/>
    </row>
    <row r="296" spans="2:39" ht="31.2">
      <c r="B296" s="1137">
        <v>12</v>
      </c>
      <c r="C296" s="244"/>
      <c r="D296" s="615"/>
      <c r="E296" s="474">
        <v>306473575130</v>
      </c>
      <c r="F296" s="615">
        <v>45447</v>
      </c>
      <c r="G296" s="391" t="s">
        <v>2669</v>
      </c>
      <c r="H296" s="230"/>
      <c r="I296" s="230"/>
      <c r="J296" s="230">
        <v>2</v>
      </c>
      <c r="K296" s="230"/>
      <c r="L296" s="228"/>
      <c r="M296" s="257"/>
      <c r="N296" s="228" t="s">
        <v>2652</v>
      </c>
      <c r="O296" s="254" t="s">
        <v>2668</v>
      </c>
      <c r="P296" s="245"/>
      <c r="Q296" s="2564"/>
      <c r="R296" s="2564"/>
      <c r="S296" s="254"/>
      <c r="T296" s="228"/>
      <c r="U296" s="2552"/>
      <c r="V296" s="256"/>
      <c r="W296" s="373">
        <f>1300000+1300000</f>
        <v>2600000</v>
      </c>
      <c r="X296" s="373">
        <f>766800+766800</f>
        <v>1533600</v>
      </c>
      <c r="Y296" s="248"/>
      <c r="Z296" s="247"/>
      <c r="AA296" s="248"/>
      <c r="AB296" s="340">
        <f t="shared" si="87"/>
        <v>4133600</v>
      </c>
      <c r="AC296" s="347"/>
      <c r="AD296" s="249"/>
      <c r="AE296" s="435">
        <f t="shared" si="91"/>
        <v>8562240</v>
      </c>
      <c r="AF296" s="342">
        <f t="shared" si="93"/>
        <v>12695840</v>
      </c>
      <c r="AG296" s="251">
        <f t="shared" si="90"/>
        <v>7927999.9999999991</v>
      </c>
      <c r="AH296" s="241"/>
      <c r="AI296" s="241"/>
      <c r="AJ296" s="241"/>
      <c r="AK296" s="194"/>
      <c r="AL296" s="195"/>
      <c r="AM296" s="195"/>
    </row>
    <row r="297" spans="2:39">
      <c r="B297" s="1137">
        <v>13</v>
      </c>
      <c r="C297" s="244"/>
      <c r="D297" s="615">
        <v>45447</v>
      </c>
      <c r="E297" s="466">
        <v>106323840820</v>
      </c>
      <c r="F297" s="615">
        <v>45446</v>
      </c>
      <c r="G297" s="391" t="s">
        <v>2658</v>
      </c>
      <c r="H297" s="230" t="s">
        <v>206</v>
      </c>
      <c r="I297" s="230">
        <v>1</v>
      </c>
      <c r="J297" s="230"/>
      <c r="K297" s="230"/>
      <c r="L297" s="228"/>
      <c r="M297" s="257"/>
      <c r="N297" s="228" t="s">
        <v>2650</v>
      </c>
      <c r="O297" s="228" t="s">
        <v>2651</v>
      </c>
      <c r="P297" s="245"/>
      <c r="Q297" s="2564"/>
      <c r="R297" s="2564"/>
      <c r="S297" s="254"/>
      <c r="T297" s="228"/>
      <c r="U297" s="2552"/>
      <c r="V297" s="256"/>
      <c r="W297" s="324">
        <v>432000</v>
      </c>
      <c r="X297" s="373">
        <v>900000</v>
      </c>
      <c r="Y297" s="248"/>
      <c r="Z297" s="247"/>
      <c r="AA297" s="248"/>
      <c r="AB297" s="340">
        <f t="shared" si="87"/>
        <v>1332000</v>
      </c>
      <c r="AC297" s="347">
        <f t="shared" si="92"/>
        <v>0</v>
      </c>
      <c r="AD297" s="249"/>
      <c r="AE297" s="435">
        <f t="shared" si="91"/>
        <v>4173120.0000000005</v>
      </c>
      <c r="AF297" s="342">
        <f t="shared" si="93"/>
        <v>5505120</v>
      </c>
      <c r="AG297" s="251">
        <f t="shared" si="90"/>
        <v>3864000</v>
      </c>
      <c r="AH297" s="241"/>
      <c r="AI297" s="241"/>
      <c r="AJ297" s="241"/>
      <c r="AK297" s="194"/>
      <c r="AL297" s="195"/>
      <c r="AM297" s="195"/>
    </row>
    <row r="298" spans="2:39">
      <c r="B298" s="1137">
        <v>14</v>
      </c>
      <c r="C298" s="244"/>
      <c r="D298" s="615"/>
      <c r="E298" s="474">
        <v>306475863320</v>
      </c>
      <c r="F298" s="615">
        <v>45447</v>
      </c>
      <c r="G298" s="391" t="s">
        <v>2671</v>
      </c>
      <c r="H298" s="230"/>
      <c r="I298" s="230"/>
      <c r="J298" s="230">
        <v>1</v>
      </c>
      <c r="K298" s="230"/>
      <c r="L298" s="228"/>
      <c r="M298" s="257"/>
      <c r="N298" s="228" t="s">
        <v>2645</v>
      </c>
      <c r="O298" s="228" t="s">
        <v>2670</v>
      </c>
      <c r="P298" s="245"/>
      <c r="Q298" s="2564"/>
      <c r="R298" s="2564"/>
      <c r="S298" s="254"/>
      <c r="T298" s="228"/>
      <c r="U298" s="2552"/>
      <c r="V298" s="256"/>
      <c r="W298" s="373">
        <v>1425000</v>
      </c>
      <c r="X298" s="373">
        <v>766800</v>
      </c>
      <c r="Y298" s="248"/>
      <c r="Z298" s="247"/>
      <c r="AA298" s="248"/>
      <c r="AB298" s="340">
        <f t="shared" si="87"/>
        <v>2191800</v>
      </c>
      <c r="AC298" s="347">
        <f>+Z298</f>
        <v>0</v>
      </c>
      <c r="AD298" s="249"/>
      <c r="AE298" s="435">
        <f t="shared" si="91"/>
        <v>4281120</v>
      </c>
      <c r="AF298" s="342">
        <f t="shared" si="93"/>
        <v>6472920</v>
      </c>
      <c r="AG298" s="251">
        <f t="shared" si="90"/>
        <v>3963999.9999999995</v>
      </c>
      <c r="AH298" s="241"/>
      <c r="AI298" s="241"/>
      <c r="AJ298" s="241"/>
      <c r="AK298" s="194"/>
      <c r="AL298" s="195"/>
      <c r="AM298" s="195"/>
    </row>
    <row r="299" spans="2:39">
      <c r="B299" s="1137">
        <v>15</v>
      </c>
      <c r="C299" s="244"/>
      <c r="D299" s="615"/>
      <c r="E299" s="474">
        <v>306477226220</v>
      </c>
      <c r="F299" s="615">
        <v>45448</v>
      </c>
      <c r="G299" s="391" t="s">
        <v>2676</v>
      </c>
      <c r="H299" s="230"/>
      <c r="I299" s="230"/>
      <c r="J299" s="230">
        <v>1</v>
      </c>
      <c r="K299" s="230"/>
      <c r="L299" s="228"/>
      <c r="M299" s="257"/>
      <c r="N299" s="228" t="s">
        <v>2665</v>
      </c>
      <c r="O299" s="228" t="s">
        <v>2672</v>
      </c>
      <c r="P299" s="245"/>
      <c r="Q299" s="2564"/>
      <c r="R299" s="2564"/>
      <c r="S299" s="254"/>
      <c r="T299" s="228"/>
      <c r="U299" s="2552"/>
      <c r="V299" s="256"/>
      <c r="W299" s="373">
        <v>1300000</v>
      </c>
      <c r="X299" s="373">
        <v>766800</v>
      </c>
      <c r="Y299" s="248"/>
      <c r="Z299" s="247"/>
      <c r="AA299" s="248"/>
      <c r="AB299" s="340">
        <f t="shared" si="87"/>
        <v>2066800</v>
      </c>
      <c r="AC299" s="347">
        <f t="shared" si="92"/>
        <v>0</v>
      </c>
      <c r="AD299" s="249"/>
      <c r="AE299" s="435">
        <f t="shared" si="91"/>
        <v>4281120</v>
      </c>
      <c r="AF299" s="342">
        <f t="shared" si="93"/>
        <v>6347920</v>
      </c>
      <c r="AG299" s="251">
        <f t="shared" si="90"/>
        <v>3963999.9999999995</v>
      </c>
      <c r="AH299" s="241"/>
      <c r="AI299" s="241"/>
      <c r="AJ299" s="241"/>
      <c r="AK299" s="194"/>
      <c r="AL299" s="195"/>
      <c r="AM299" s="195"/>
    </row>
    <row r="300" spans="2:39">
      <c r="B300" s="1137">
        <v>16</v>
      </c>
      <c r="C300" s="244"/>
      <c r="D300" s="622" t="s">
        <v>2683</v>
      </c>
      <c r="E300" s="474">
        <v>306491335160</v>
      </c>
      <c r="F300" s="645" t="s">
        <v>2683</v>
      </c>
      <c r="G300" s="391" t="s">
        <v>2702</v>
      </c>
      <c r="H300" s="230" t="s">
        <v>210</v>
      </c>
      <c r="I300" s="230"/>
      <c r="J300" s="230">
        <v>1</v>
      </c>
      <c r="K300" s="230"/>
      <c r="L300" s="228"/>
      <c r="M300" s="257"/>
      <c r="N300" s="228" t="s">
        <v>2684</v>
      </c>
      <c r="O300" s="228" t="s">
        <v>2693</v>
      </c>
      <c r="P300" s="245"/>
      <c r="Q300" s="2564"/>
      <c r="R300" s="2564"/>
      <c r="S300" s="254"/>
      <c r="T300" s="228"/>
      <c r="U300" s="2552"/>
      <c r="V300" s="256"/>
      <c r="W300" s="373">
        <v>1450000</v>
      </c>
      <c r="X300" s="373">
        <v>766800</v>
      </c>
      <c r="Y300" s="248"/>
      <c r="Z300" s="247"/>
      <c r="AA300" s="248"/>
      <c r="AB300" s="340">
        <f t="shared" si="87"/>
        <v>2216800</v>
      </c>
      <c r="AC300" s="347">
        <f t="shared" si="92"/>
        <v>0</v>
      </c>
      <c r="AD300" s="249"/>
      <c r="AE300" s="435">
        <f t="shared" si="91"/>
        <v>4281120</v>
      </c>
      <c r="AF300" s="342">
        <f t="shared" si="93"/>
        <v>6497920</v>
      </c>
      <c r="AG300" s="251">
        <f t="shared" si="90"/>
        <v>3963999.9999999995</v>
      </c>
      <c r="AH300" s="241"/>
      <c r="AI300" s="241"/>
      <c r="AJ300" s="241"/>
      <c r="AK300" s="194"/>
      <c r="AL300" s="195"/>
      <c r="AM300" s="195"/>
    </row>
    <row r="301" spans="2:39">
      <c r="B301" s="1137">
        <v>17</v>
      </c>
      <c r="C301" s="244"/>
      <c r="D301" s="622" t="s">
        <v>2685</v>
      </c>
      <c r="E301" s="474">
        <v>306497248760</v>
      </c>
      <c r="F301" s="645" t="s">
        <v>2685</v>
      </c>
      <c r="G301" s="391" t="s">
        <v>2709</v>
      </c>
      <c r="H301" s="230" t="s">
        <v>210</v>
      </c>
      <c r="I301" s="230"/>
      <c r="J301" s="230">
        <v>1</v>
      </c>
      <c r="K301" s="230"/>
      <c r="L301" s="228"/>
      <c r="M301" s="257"/>
      <c r="N301" s="228" t="s">
        <v>2686</v>
      </c>
      <c r="O301" s="228" t="s">
        <v>2703</v>
      </c>
      <c r="P301" s="245"/>
      <c r="Q301" s="2564"/>
      <c r="R301" s="2564"/>
      <c r="S301" s="254"/>
      <c r="T301" s="228"/>
      <c r="U301" s="2552"/>
      <c r="V301" s="256"/>
      <c r="W301" s="373">
        <v>1450000</v>
      </c>
      <c r="X301" s="373">
        <v>766800</v>
      </c>
      <c r="Y301" s="248"/>
      <c r="Z301" s="247"/>
      <c r="AA301" s="248"/>
      <c r="AB301" s="340">
        <f t="shared" si="87"/>
        <v>2216800</v>
      </c>
      <c r="AC301" s="347">
        <f t="shared" si="92"/>
        <v>0</v>
      </c>
      <c r="AD301" s="249"/>
      <c r="AE301" s="435">
        <f t="shared" si="91"/>
        <v>4281120</v>
      </c>
      <c r="AF301" s="342">
        <f t="shared" si="93"/>
        <v>6497920</v>
      </c>
      <c r="AG301" s="251">
        <f t="shared" si="90"/>
        <v>3963999.9999999995</v>
      </c>
      <c r="AH301" s="241"/>
      <c r="AI301" s="241"/>
      <c r="AJ301" s="241"/>
      <c r="AK301" s="194"/>
      <c r="AL301" s="195"/>
      <c r="AM301" s="195"/>
    </row>
    <row r="302" spans="2:39">
      <c r="B302" s="1137">
        <v>18</v>
      </c>
      <c r="C302" s="244"/>
      <c r="D302" s="622" t="s">
        <v>2685</v>
      </c>
      <c r="E302" s="474">
        <v>306497506730</v>
      </c>
      <c r="F302" s="645" t="s">
        <v>2685</v>
      </c>
      <c r="G302" s="391" t="s">
        <v>2710</v>
      </c>
      <c r="H302" s="230" t="s">
        <v>210</v>
      </c>
      <c r="I302" s="230"/>
      <c r="J302" s="230">
        <v>1</v>
      </c>
      <c r="K302" s="230"/>
      <c r="L302" s="228"/>
      <c r="M302" s="257"/>
      <c r="N302" s="228" t="s">
        <v>2694</v>
      </c>
      <c r="O302" s="228" t="s">
        <v>2704</v>
      </c>
      <c r="P302" s="245"/>
      <c r="Q302" s="2564"/>
      <c r="R302" s="2564"/>
      <c r="S302" s="254"/>
      <c r="T302" s="228"/>
      <c r="U302" s="2552"/>
      <c r="V302" s="256"/>
      <c r="W302" s="373">
        <v>1160000</v>
      </c>
      <c r="X302" s="373">
        <v>766800</v>
      </c>
      <c r="Y302" s="248"/>
      <c r="Z302" s="247"/>
      <c r="AA302" s="248"/>
      <c r="AB302" s="340">
        <f t="shared" si="87"/>
        <v>1926800</v>
      </c>
      <c r="AC302" s="347">
        <f t="shared" ref="AC302:AC311" si="94">+Z302</f>
        <v>0</v>
      </c>
      <c r="AD302" s="249"/>
      <c r="AE302" s="435">
        <f t="shared" si="91"/>
        <v>4281120</v>
      </c>
      <c r="AF302" s="342">
        <f t="shared" ref="AF302:AF311" si="95">+AB302+AE302</f>
        <v>6207920</v>
      </c>
      <c r="AG302" s="251">
        <f t="shared" si="90"/>
        <v>3963999.9999999995</v>
      </c>
      <c r="AH302" s="241"/>
      <c r="AI302" s="241"/>
      <c r="AJ302" s="241"/>
      <c r="AK302" s="194"/>
      <c r="AL302" s="195"/>
      <c r="AM302" s="195"/>
    </row>
    <row r="303" spans="2:39">
      <c r="B303" s="1137">
        <v>19</v>
      </c>
      <c r="C303" s="244"/>
      <c r="D303" s="622" t="s">
        <v>2688</v>
      </c>
      <c r="E303" s="466">
        <v>106340806721</v>
      </c>
      <c r="F303" s="645" t="s">
        <v>2699</v>
      </c>
      <c r="G303" s="391" t="s">
        <v>2711</v>
      </c>
      <c r="H303" s="230" t="s">
        <v>206</v>
      </c>
      <c r="I303" s="230"/>
      <c r="J303" s="230">
        <v>1</v>
      </c>
      <c r="K303" s="230"/>
      <c r="L303" s="228"/>
      <c r="M303" s="257"/>
      <c r="N303" s="228" t="s">
        <v>2700</v>
      </c>
      <c r="O303" s="228" t="s">
        <v>2701</v>
      </c>
      <c r="P303" s="245"/>
      <c r="Q303" s="2564"/>
      <c r="R303" s="2564"/>
      <c r="S303" s="254"/>
      <c r="T303" s="228"/>
      <c r="U303" s="2552"/>
      <c r="V303" s="324">
        <v>183600</v>
      </c>
      <c r="W303" s="324">
        <v>1128600</v>
      </c>
      <c r="X303" s="373">
        <v>1450000</v>
      </c>
      <c r="Y303" s="248"/>
      <c r="Z303" s="247"/>
      <c r="AA303" s="248"/>
      <c r="AB303" s="340">
        <f t="shared" si="87"/>
        <v>2762200</v>
      </c>
      <c r="AC303" s="347">
        <f t="shared" si="94"/>
        <v>0</v>
      </c>
      <c r="AD303" s="249"/>
      <c r="AE303" s="435">
        <f t="shared" si="91"/>
        <v>4281120</v>
      </c>
      <c r="AF303" s="342">
        <f t="shared" si="95"/>
        <v>7043320</v>
      </c>
      <c r="AG303" s="251">
        <f t="shared" si="90"/>
        <v>3963999.9999999995</v>
      </c>
      <c r="AH303" s="241"/>
      <c r="AI303" s="241"/>
      <c r="AJ303" s="241"/>
      <c r="AK303" s="194"/>
      <c r="AL303" s="195"/>
      <c r="AM303" s="195"/>
    </row>
    <row r="304" spans="2:39" ht="46.8">
      <c r="B304" s="253">
        <v>20</v>
      </c>
      <c r="C304" s="244"/>
      <c r="D304" s="587" t="s">
        <v>2698</v>
      </c>
      <c r="E304" s="528">
        <v>106357437800</v>
      </c>
      <c r="F304" s="645" t="s">
        <v>2716</v>
      </c>
      <c r="G304" s="391" t="s">
        <v>2724</v>
      </c>
      <c r="H304" s="230" t="s">
        <v>206</v>
      </c>
      <c r="I304" s="230"/>
      <c r="J304" s="230">
        <v>3</v>
      </c>
      <c r="K304" s="230"/>
      <c r="L304" s="228"/>
      <c r="M304" s="257"/>
      <c r="N304" s="228" t="s">
        <v>2715</v>
      </c>
      <c r="O304" s="254" t="s">
        <v>2788</v>
      </c>
      <c r="P304" s="245"/>
      <c r="Q304" s="2564"/>
      <c r="R304" s="2564"/>
      <c r="S304" s="254"/>
      <c r="T304" s="228"/>
      <c r="U304" s="2552"/>
      <c r="V304" s="256"/>
      <c r="W304" s="324">
        <v>3385800</v>
      </c>
      <c r="X304" s="373">
        <f>1450000+1450000+1450000</f>
        <v>4350000</v>
      </c>
      <c r="Y304" s="248"/>
      <c r="Z304" s="247"/>
      <c r="AA304" s="248"/>
      <c r="AB304" s="340">
        <f t="shared" si="87"/>
        <v>7735800</v>
      </c>
      <c r="AC304" s="347">
        <f t="shared" si="94"/>
        <v>0</v>
      </c>
      <c r="AD304" s="249"/>
      <c r="AE304" s="435">
        <f t="shared" si="91"/>
        <v>12843360</v>
      </c>
      <c r="AF304" s="342">
        <f t="shared" si="95"/>
        <v>20579160</v>
      </c>
      <c r="AG304" s="251">
        <f t="shared" si="90"/>
        <v>11892000</v>
      </c>
      <c r="AH304" s="241"/>
      <c r="AI304" s="241"/>
      <c r="AJ304" s="241"/>
      <c r="AK304" s="194"/>
      <c r="AL304" s="195"/>
      <c r="AM304" s="195"/>
    </row>
    <row r="305" spans="2:39">
      <c r="B305" s="253">
        <v>21</v>
      </c>
      <c r="C305" s="244"/>
      <c r="D305" s="587" t="s">
        <v>2698</v>
      </c>
      <c r="E305" s="529">
        <v>306509501230</v>
      </c>
      <c r="F305" s="615" t="s">
        <v>2698</v>
      </c>
      <c r="G305" s="391" t="s">
        <v>2733</v>
      </c>
      <c r="H305" s="230" t="s">
        <v>210</v>
      </c>
      <c r="I305" s="230"/>
      <c r="J305" s="230">
        <v>1</v>
      </c>
      <c r="K305" s="230"/>
      <c r="L305" s="228"/>
      <c r="M305" s="257"/>
      <c r="N305" s="228" t="s">
        <v>2687</v>
      </c>
      <c r="O305" s="228" t="s">
        <v>2732</v>
      </c>
      <c r="P305" s="245"/>
      <c r="Q305" s="2564"/>
      <c r="R305" s="2564"/>
      <c r="S305" s="254"/>
      <c r="T305" s="228"/>
      <c r="U305" s="2552"/>
      <c r="V305" s="256"/>
      <c r="W305" s="373">
        <v>766800</v>
      </c>
      <c r="X305" s="248"/>
      <c r="Y305" s="248"/>
      <c r="Z305" s="247"/>
      <c r="AA305" s="248"/>
      <c r="AB305" s="340">
        <f t="shared" si="87"/>
        <v>766800</v>
      </c>
      <c r="AC305" s="347">
        <f>+Z305</f>
        <v>0</v>
      </c>
      <c r="AD305" s="647" t="s">
        <v>2747</v>
      </c>
      <c r="AE305" s="435">
        <f>+(I305*3714000+J305*(3714000+100000))*1.08+((I305+J305+K305)*150000)*1.08-(1428000*1.08)</f>
        <v>2738880</v>
      </c>
      <c r="AF305" s="342">
        <f>+AB305+AE305</f>
        <v>3505680</v>
      </c>
      <c r="AG305" s="251">
        <f>+AE305/1.08</f>
        <v>2536000</v>
      </c>
      <c r="AH305" s="241"/>
      <c r="AI305" s="241"/>
      <c r="AJ305" s="241"/>
      <c r="AK305" s="194"/>
      <c r="AL305" s="195"/>
      <c r="AM305" s="195"/>
    </row>
    <row r="306" spans="2:39" ht="31.2">
      <c r="B306" s="253">
        <v>22</v>
      </c>
      <c r="C306" s="244"/>
      <c r="D306" s="587" t="s">
        <v>2726</v>
      </c>
      <c r="E306" s="547" t="s">
        <v>2728</v>
      </c>
      <c r="F306" s="645" t="s">
        <v>2716</v>
      </c>
      <c r="G306" s="391" t="s">
        <v>2743</v>
      </c>
      <c r="H306" s="230" t="s">
        <v>206</v>
      </c>
      <c r="I306" s="230">
        <v>1</v>
      </c>
      <c r="J306" s="230"/>
      <c r="K306" s="230"/>
      <c r="L306" s="228"/>
      <c r="M306" s="257"/>
      <c r="N306" s="254" t="s">
        <v>2727</v>
      </c>
      <c r="O306" s="228" t="s">
        <v>2725</v>
      </c>
      <c r="P306" s="245"/>
      <c r="Q306" s="2564"/>
      <c r="R306" s="2564"/>
      <c r="S306" s="254"/>
      <c r="T306" s="228"/>
      <c r="U306" s="2552"/>
      <c r="V306" s="256"/>
      <c r="W306" s="324">
        <v>662040</v>
      </c>
      <c r="X306" s="373">
        <v>900000</v>
      </c>
      <c r="Y306" s="248"/>
      <c r="Z306" s="247"/>
      <c r="AA306" s="248"/>
      <c r="AB306" s="340">
        <f t="shared" si="87"/>
        <v>1562040</v>
      </c>
      <c r="AC306" s="347">
        <f t="shared" si="94"/>
        <v>0</v>
      </c>
      <c r="AD306" s="249"/>
      <c r="AE306" s="435">
        <f t="shared" ref="AE306:AE312" si="96">+(I306*3714000+J306*(3714000+100000))*1.08+((I306+J306+K306)*150000)*1.08</f>
        <v>4173120.0000000005</v>
      </c>
      <c r="AF306" s="342">
        <f t="shared" si="95"/>
        <v>5735160</v>
      </c>
      <c r="AG306" s="251">
        <f t="shared" si="90"/>
        <v>3864000</v>
      </c>
      <c r="AH306" s="241"/>
      <c r="AI306" s="241"/>
      <c r="AJ306" s="241"/>
      <c r="AK306" s="194"/>
      <c r="AL306" s="195"/>
      <c r="AM306" s="195"/>
    </row>
    <row r="307" spans="2:39">
      <c r="B307" s="253">
        <v>23</v>
      </c>
      <c r="C307" s="244"/>
      <c r="D307" s="587" t="s">
        <v>2726</v>
      </c>
      <c r="E307" s="529">
        <v>306516955420</v>
      </c>
      <c r="F307" s="615" t="s">
        <v>2726</v>
      </c>
      <c r="G307" s="391" t="s">
        <v>2742</v>
      </c>
      <c r="H307" s="230" t="s">
        <v>210</v>
      </c>
      <c r="I307" s="230"/>
      <c r="J307" s="230">
        <v>1</v>
      </c>
      <c r="K307" s="230"/>
      <c r="L307" s="228"/>
      <c r="M307" s="257"/>
      <c r="N307" s="228">
        <v>20258225</v>
      </c>
      <c r="O307" s="228" t="s">
        <v>2741</v>
      </c>
      <c r="P307" s="245"/>
      <c r="Q307" s="2564"/>
      <c r="R307" s="2564"/>
      <c r="S307" s="254"/>
      <c r="T307" s="228"/>
      <c r="U307" s="2552"/>
      <c r="V307" s="256"/>
      <c r="W307" s="373">
        <v>1140000</v>
      </c>
      <c r="X307" s="248"/>
      <c r="Y307" s="248"/>
      <c r="Z307" s="247"/>
      <c r="AA307" s="248"/>
      <c r="AB307" s="340">
        <f t="shared" si="87"/>
        <v>1140000</v>
      </c>
      <c r="AC307" s="347">
        <f t="shared" si="94"/>
        <v>0</v>
      </c>
      <c r="AD307" s="249"/>
      <c r="AE307" s="435">
        <f t="shared" si="96"/>
        <v>4281120</v>
      </c>
      <c r="AF307" s="342">
        <f t="shared" si="95"/>
        <v>5421120</v>
      </c>
      <c r="AG307" s="251">
        <f t="shared" si="90"/>
        <v>3963999.9999999995</v>
      </c>
      <c r="AH307" s="241"/>
      <c r="AI307" s="241"/>
      <c r="AJ307" s="241"/>
      <c r="AK307" s="194"/>
      <c r="AL307" s="195"/>
      <c r="AM307" s="195"/>
    </row>
    <row r="308" spans="2:39">
      <c r="B308" s="253">
        <v>24</v>
      </c>
      <c r="C308" s="244"/>
      <c r="D308" s="587" t="s">
        <v>2744</v>
      </c>
      <c r="E308" s="466">
        <v>106366848710</v>
      </c>
      <c r="F308" s="615" t="s">
        <v>2726</v>
      </c>
      <c r="G308" s="391" t="s">
        <v>2748</v>
      </c>
      <c r="H308" s="230" t="s">
        <v>206</v>
      </c>
      <c r="I308" s="230">
        <v>1</v>
      </c>
      <c r="J308" s="230"/>
      <c r="K308" s="230"/>
      <c r="L308" s="228"/>
      <c r="M308" s="257"/>
      <c r="N308" s="228" t="s">
        <v>2745</v>
      </c>
      <c r="O308" s="228" t="s">
        <v>2746</v>
      </c>
      <c r="P308" s="245"/>
      <c r="Q308" s="2564"/>
      <c r="R308" s="2564"/>
      <c r="S308" s="254"/>
      <c r="T308" s="228"/>
      <c r="U308" s="2552"/>
      <c r="V308" s="256"/>
      <c r="W308" s="324">
        <v>432000</v>
      </c>
      <c r="X308" s="373">
        <v>900000</v>
      </c>
      <c r="Y308" s="248"/>
      <c r="Z308" s="247"/>
      <c r="AA308" s="248"/>
      <c r="AB308" s="340">
        <f t="shared" si="87"/>
        <v>1332000</v>
      </c>
      <c r="AC308" s="347">
        <f t="shared" si="94"/>
        <v>0</v>
      </c>
      <c r="AD308" s="249"/>
      <c r="AE308" s="435">
        <f t="shared" si="96"/>
        <v>4173120.0000000005</v>
      </c>
      <c r="AF308" s="342">
        <f t="shared" si="95"/>
        <v>5505120</v>
      </c>
      <c r="AG308" s="251">
        <f t="shared" si="90"/>
        <v>3864000</v>
      </c>
      <c r="AH308" s="241"/>
      <c r="AI308" s="241"/>
      <c r="AJ308" s="241"/>
      <c r="AK308" s="194"/>
      <c r="AL308" s="195"/>
      <c r="AM308" s="195"/>
    </row>
    <row r="309" spans="2:39">
      <c r="B309" s="253">
        <v>25</v>
      </c>
      <c r="C309" s="244"/>
      <c r="D309" s="587" t="s">
        <v>2750</v>
      </c>
      <c r="E309" s="529">
        <v>306523105620</v>
      </c>
      <c r="F309" s="615" t="s">
        <v>2750</v>
      </c>
      <c r="G309" s="391" t="s">
        <v>2758</v>
      </c>
      <c r="H309" s="230" t="s">
        <v>210</v>
      </c>
      <c r="I309" s="230"/>
      <c r="J309" s="230">
        <v>1</v>
      </c>
      <c r="K309" s="230"/>
      <c r="L309" s="228"/>
      <c r="M309" s="257"/>
      <c r="N309" s="228" t="s">
        <v>2749</v>
      </c>
      <c r="O309" s="228" t="s">
        <v>2757</v>
      </c>
      <c r="P309" s="245" t="s">
        <v>2761</v>
      </c>
      <c r="Q309" s="2564"/>
      <c r="R309" s="3613" t="s">
        <v>2760</v>
      </c>
      <c r="S309" s="2552"/>
      <c r="T309" s="2559"/>
      <c r="U309" s="2552"/>
      <c r="V309" s="256"/>
      <c r="W309" s="373">
        <v>1300000</v>
      </c>
      <c r="X309" s="248"/>
      <c r="Y309" s="248"/>
      <c r="Z309" s="247"/>
      <c r="AA309" s="248"/>
      <c r="AB309" s="340">
        <f t="shared" si="87"/>
        <v>1300000</v>
      </c>
      <c r="AC309" s="347">
        <f t="shared" si="94"/>
        <v>0</v>
      </c>
      <c r="AD309" s="249"/>
      <c r="AE309" s="435">
        <f t="shared" si="96"/>
        <v>4281120</v>
      </c>
      <c r="AF309" s="342">
        <f t="shared" si="95"/>
        <v>5581120</v>
      </c>
      <c r="AG309" s="251">
        <f t="shared" si="90"/>
        <v>3963999.9999999995</v>
      </c>
      <c r="AH309" s="241"/>
      <c r="AI309" s="241"/>
      <c r="AJ309" s="241"/>
      <c r="AK309" s="194"/>
      <c r="AL309" s="195"/>
      <c r="AM309" s="195"/>
    </row>
    <row r="310" spans="2:39" ht="31.2">
      <c r="B310" s="253">
        <v>26</v>
      </c>
      <c r="C310" s="244"/>
      <c r="D310" s="587" t="s">
        <v>2752</v>
      </c>
      <c r="E310" s="529">
        <v>306527051740</v>
      </c>
      <c r="F310" s="615" t="s">
        <v>2752</v>
      </c>
      <c r="G310" s="391" t="s">
        <v>2764</v>
      </c>
      <c r="H310" s="230" t="s">
        <v>210</v>
      </c>
      <c r="I310" s="230"/>
      <c r="J310" s="230">
        <v>2</v>
      </c>
      <c r="K310" s="230"/>
      <c r="L310" s="228"/>
      <c r="M310" s="257"/>
      <c r="N310" s="228" t="s">
        <v>2751</v>
      </c>
      <c r="O310" s="254" t="s">
        <v>2768</v>
      </c>
      <c r="P310" s="245" t="s">
        <v>2762</v>
      </c>
      <c r="Q310" s="2564"/>
      <c r="R310" s="3613" t="s">
        <v>2760</v>
      </c>
      <c r="S310" s="2552"/>
      <c r="T310" s="2559"/>
      <c r="U310" s="2552"/>
      <c r="V310" s="256"/>
      <c r="W310" s="373">
        <v>1300000</v>
      </c>
      <c r="X310" s="248"/>
      <c r="Y310" s="248"/>
      <c r="Z310" s="247"/>
      <c r="AA310" s="248"/>
      <c r="AB310" s="340">
        <f t="shared" si="87"/>
        <v>1300000</v>
      </c>
      <c r="AC310" s="347">
        <f t="shared" si="94"/>
        <v>0</v>
      </c>
      <c r="AD310" s="249"/>
      <c r="AE310" s="435">
        <f t="shared" si="96"/>
        <v>8562240</v>
      </c>
      <c r="AF310" s="342">
        <f t="shared" si="95"/>
        <v>9862240</v>
      </c>
      <c r="AG310" s="251">
        <f t="shared" si="90"/>
        <v>7927999.9999999991</v>
      </c>
      <c r="AH310" s="241"/>
      <c r="AI310" s="241"/>
      <c r="AJ310" s="241"/>
      <c r="AK310" s="194"/>
      <c r="AL310" s="195"/>
      <c r="AM310" s="195"/>
    </row>
    <row r="311" spans="2:39">
      <c r="B311" s="253">
        <v>27</v>
      </c>
      <c r="C311" s="244"/>
      <c r="D311" s="587" t="s">
        <v>2752</v>
      </c>
      <c r="E311" s="529">
        <v>306526863110</v>
      </c>
      <c r="F311" s="615" t="s">
        <v>2752</v>
      </c>
      <c r="G311" s="391" t="s">
        <v>2765</v>
      </c>
      <c r="H311" s="230" t="s">
        <v>210</v>
      </c>
      <c r="I311" s="230">
        <v>1</v>
      </c>
      <c r="J311" s="230"/>
      <c r="K311" s="230"/>
      <c r="L311" s="228"/>
      <c r="M311" s="257"/>
      <c r="N311" s="228">
        <v>8896889080</v>
      </c>
      <c r="O311" s="228" t="s">
        <v>2766</v>
      </c>
      <c r="P311" s="245" t="s">
        <v>2763</v>
      </c>
      <c r="Q311" s="2564"/>
      <c r="R311" s="3613" t="s">
        <v>2760</v>
      </c>
      <c r="S311" s="2552"/>
      <c r="T311" s="2559"/>
      <c r="U311" s="2552"/>
      <c r="V311" s="256"/>
      <c r="W311" s="373">
        <v>900000</v>
      </c>
      <c r="X311" s="248"/>
      <c r="Y311" s="248"/>
      <c r="Z311" s="247"/>
      <c r="AA311" s="248"/>
      <c r="AB311" s="340">
        <f t="shared" si="87"/>
        <v>900000</v>
      </c>
      <c r="AC311" s="347">
        <f t="shared" si="94"/>
        <v>0</v>
      </c>
      <c r="AD311" s="249"/>
      <c r="AE311" s="435">
        <f t="shared" si="96"/>
        <v>4173120.0000000005</v>
      </c>
      <c r="AF311" s="342">
        <f t="shared" si="95"/>
        <v>5073120</v>
      </c>
      <c r="AG311" s="251">
        <f t="shared" si="90"/>
        <v>3864000</v>
      </c>
      <c r="AH311" s="241"/>
      <c r="AI311" s="241"/>
      <c r="AJ311" s="241"/>
      <c r="AK311" s="194"/>
      <c r="AL311" s="195"/>
      <c r="AM311" s="195"/>
    </row>
    <row r="312" spans="2:39">
      <c r="B312" s="253">
        <v>28</v>
      </c>
      <c r="C312" s="244"/>
      <c r="D312" s="587" t="s">
        <v>2753</v>
      </c>
      <c r="E312" s="529">
        <v>306529718150</v>
      </c>
      <c r="F312" s="615" t="s">
        <v>2753</v>
      </c>
      <c r="G312" s="391" t="s">
        <v>2771</v>
      </c>
      <c r="H312" s="230" t="s">
        <v>210</v>
      </c>
      <c r="I312" s="230">
        <v>1</v>
      </c>
      <c r="J312" s="230"/>
      <c r="K312" s="230"/>
      <c r="L312" s="228"/>
      <c r="M312" s="257"/>
      <c r="N312" s="228">
        <v>6388220870</v>
      </c>
      <c r="O312" s="228" t="s">
        <v>2770</v>
      </c>
      <c r="P312" s="245" t="s">
        <v>2763</v>
      </c>
      <c r="Q312" s="2564"/>
      <c r="R312" s="3613" t="s">
        <v>2760</v>
      </c>
      <c r="S312" s="2552"/>
      <c r="T312" s="2559"/>
      <c r="U312" s="2552"/>
      <c r="V312" s="256"/>
      <c r="W312" s="248"/>
      <c r="X312" s="373">
        <v>900000</v>
      </c>
      <c r="Y312" s="248"/>
      <c r="Z312" s="247"/>
      <c r="AA312" s="248"/>
      <c r="AB312" s="340">
        <f t="shared" si="87"/>
        <v>900000</v>
      </c>
      <c r="AC312" s="347">
        <f>+Z312</f>
        <v>0</v>
      </c>
      <c r="AD312" s="249"/>
      <c r="AE312" s="435">
        <f t="shared" si="96"/>
        <v>4173120.0000000005</v>
      </c>
      <c r="AF312" s="342">
        <f>+AB312+AE312</f>
        <v>5073120</v>
      </c>
      <c r="AG312" s="251">
        <f>+AE312/1.08</f>
        <v>3864000</v>
      </c>
      <c r="AH312" s="241"/>
      <c r="AI312" s="241"/>
      <c r="AJ312" s="241"/>
      <c r="AK312" s="194"/>
      <c r="AL312" s="195"/>
      <c r="AM312" s="195"/>
    </row>
    <row r="313" spans="2:39">
      <c r="B313" s="3811" t="s">
        <v>2756</v>
      </c>
      <c r="C313" s="3716"/>
      <c r="D313" s="3716"/>
      <c r="E313" s="3716"/>
      <c r="F313" s="3716"/>
      <c r="G313" s="3716"/>
      <c r="H313" s="3716"/>
      <c r="I313" s="3716"/>
      <c r="J313" s="3716"/>
      <c r="K313" s="3716"/>
      <c r="L313" s="3716"/>
      <c r="M313" s="346"/>
      <c r="N313" s="346"/>
      <c r="O313" s="346"/>
      <c r="P313" s="346"/>
      <c r="Q313" s="346"/>
      <c r="R313" s="346"/>
      <c r="S313" s="1708"/>
      <c r="T313" s="346"/>
      <c r="U313" s="346"/>
      <c r="V313" s="590">
        <f>W313+'CHÍNH NGUYÊN'!S123</f>
        <v>10253304</v>
      </c>
      <c r="W313" s="590">
        <f>+V288+W291+W297+V303+W303+W304+W306+W308</f>
        <v>6879404</v>
      </c>
      <c r="X313" s="590"/>
      <c r="Y313" s="357"/>
      <c r="Z313" s="357"/>
      <c r="AA313" s="357"/>
      <c r="AB313" s="358">
        <f>SUM(AB285:AB312)</f>
        <v>61181004</v>
      </c>
      <c r="AC313" s="358">
        <f>SUM(AC290:AC307)</f>
        <v>0</v>
      </c>
      <c r="AD313" s="358">
        <f>SUM(AD288:AD307)</f>
        <v>0</v>
      </c>
      <c r="AE313" s="358">
        <f>SUM(AE285:AE312)</f>
        <v>145661760</v>
      </c>
      <c r="AF313" s="358">
        <f>+AB313+AE313</f>
        <v>206842764</v>
      </c>
      <c r="AG313" s="358">
        <f>SUM(AG285:AG312)</f>
        <v>134872000</v>
      </c>
      <c r="AH313" s="241"/>
      <c r="AI313" s="241"/>
      <c r="AJ313" s="241"/>
      <c r="AK313" s="194"/>
      <c r="AL313" s="195"/>
      <c r="AM313" s="195"/>
    </row>
    <row r="314" spans="2:39">
      <c r="B314" s="253">
        <v>1</v>
      </c>
      <c r="C314" s="244"/>
      <c r="D314" s="661" t="s">
        <v>2783</v>
      </c>
      <c r="E314" s="474">
        <v>306546255320</v>
      </c>
      <c r="F314" s="615">
        <v>45475</v>
      </c>
      <c r="G314" s="391" t="s">
        <v>2818</v>
      </c>
      <c r="H314" s="230" t="s">
        <v>210</v>
      </c>
      <c r="I314" s="230"/>
      <c r="J314" s="230">
        <v>1</v>
      </c>
      <c r="K314" s="230"/>
      <c r="L314" s="228"/>
      <c r="M314" s="257"/>
      <c r="N314" s="228">
        <v>13495044</v>
      </c>
      <c r="O314" s="228" t="s">
        <v>2800</v>
      </c>
      <c r="P314" s="245" t="s">
        <v>2786</v>
      </c>
      <c r="Q314" s="2564"/>
      <c r="R314" s="254" t="s">
        <v>2855</v>
      </c>
      <c r="S314" s="2552"/>
      <c r="T314" s="228"/>
      <c r="U314" s="2552"/>
      <c r="V314" s="256"/>
      <c r="W314" s="373">
        <v>1450000</v>
      </c>
      <c r="X314" s="373">
        <v>1140000</v>
      </c>
      <c r="Y314" s="248"/>
      <c r="Z314" s="247"/>
      <c r="AA314" s="248"/>
      <c r="AB314" s="340">
        <f t="shared" ref="AB314:AB324" si="97">V314+W314+X314+Y314+Z314+AA314</f>
        <v>2590000</v>
      </c>
      <c r="AC314" s="347">
        <f>+Z314</f>
        <v>0</v>
      </c>
      <c r="AD314" s="249"/>
      <c r="AE314" s="435">
        <f>+(I314*3778000+J314*(3778000+100000))*1.08+((I314+J314+K314)*150000)*1.08</f>
        <v>4350240</v>
      </c>
      <c r="AF314" s="342">
        <f>+AB314+AE314</f>
        <v>6940240</v>
      </c>
      <c r="AG314" s="251">
        <f>+AE314/1.08</f>
        <v>4027999.9999999995</v>
      </c>
      <c r="AH314" s="241"/>
      <c r="AI314" s="241"/>
      <c r="AJ314" s="241"/>
      <c r="AK314" s="194"/>
      <c r="AL314" s="195"/>
      <c r="AM314" s="195"/>
    </row>
    <row r="315" spans="2:39">
      <c r="B315" s="253">
        <v>2</v>
      </c>
      <c r="C315" s="244"/>
      <c r="D315" s="661" t="s">
        <v>2784</v>
      </c>
      <c r="E315" s="466">
        <v>106393987930</v>
      </c>
      <c r="F315" s="615">
        <v>45474</v>
      </c>
      <c r="G315" s="391" t="s">
        <v>2820</v>
      </c>
      <c r="H315" s="230" t="s">
        <v>206</v>
      </c>
      <c r="I315" s="230"/>
      <c r="J315" s="230"/>
      <c r="K315" s="230">
        <v>1</v>
      </c>
      <c r="L315" s="228"/>
      <c r="M315" s="711" t="s">
        <v>2948</v>
      </c>
      <c r="N315" s="228" t="s">
        <v>2797</v>
      </c>
      <c r="O315" s="704" t="s">
        <v>2889</v>
      </c>
      <c r="P315" s="245" t="s">
        <v>2799</v>
      </c>
      <c r="Q315" s="2564"/>
      <c r="R315" s="254" t="s">
        <v>2798</v>
      </c>
      <c r="S315" s="2552"/>
      <c r="T315" s="228"/>
      <c r="U315" s="2552"/>
      <c r="V315" s="324">
        <v>23564</v>
      </c>
      <c r="W315" s="248"/>
      <c r="X315" s="248"/>
      <c r="Y315" s="248"/>
      <c r="Z315" s="247"/>
      <c r="AA315" s="248"/>
      <c r="AB315" s="340">
        <f t="shared" si="97"/>
        <v>23564</v>
      </c>
      <c r="AC315" s="347">
        <f t="shared" ref="AC315:AC321" si="98">+Z315</f>
        <v>0</v>
      </c>
      <c r="AD315" s="249"/>
      <c r="AE315" s="607">
        <f>+(1368000*1.08+((I315+J315+K315)*150000)*1.08)</f>
        <v>1639440</v>
      </c>
      <c r="AF315" s="342">
        <f t="shared" ref="AF315:AF321" si="99">+AB315+AE315</f>
        <v>1663004</v>
      </c>
      <c r="AG315" s="251">
        <f t="shared" ref="AG315:AG321" si="100">+AE315/1.08</f>
        <v>1518000</v>
      </c>
      <c r="AH315" s="241"/>
      <c r="AI315" s="241"/>
      <c r="AJ315" s="241"/>
      <c r="AK315" s="194"/>
      <c r="AL315" s="195"/>
      <c r="AM315" s="195"/>
    </row>
    <row r="316" spans="2:39">
      <c r="B316" s="253">
        <v>3</v>
      </c>
      <c r="C316" s="244"/>
      <c r="D316" s="661" t="s">
        <v>2784</v>
      </c>
      <c r="E316" s="474">
        <v>306548967930</v>
      </c>
      <c r="F316" s="645" t="s">
        <v>2784</v>
      </c>
      <c r="G316" s="391" t="s">
        <v>2819</v>
      </c>
      <c r="H316" s="230" t="s">
        <v>210</v>
      </c>
      <c r="I316" s="230"/>
      <c r="J316" s="230">
        <v>1</v>
      </c>
      <c r="K316" s="230"/>
      <c r="L316" s="228"/>
      <c r="M316" s="257"/>
      <c r="N316" s="228">
        <v>6388698700</v>
      </c>
      <c r="O316" s="228" t="s">
        <v>2801</v>
      </c>
      <c r="P316" s="245" t="s">
        <v>2787</v>
      </c>
      <c r="Q316" s="2564"/>
      <c r="R316" s="254"/>
      <c r="S316" s="2552"/>
      <c r="T316" s="228"/>
      <c r="U316" s="2552"/>
      <c r="V316" s="256"/>
      <c r="W316" s="373">
        <v>1140000</v>
      </c>
      <c r="X316" s="373">
        <v>1450000</v>
      </c>
      <c r="Y316" s="248"/>
      <c r="Z316" s="247"/>
      <c r="AA316" s="248"/>
      <c r="AB316" s="340">
        <f t="shared" si="97"/>
        <v>2590000</v>
      </c>
      <c r="AC316" s="347">
        <f t="shared" si="98"/>
        <v>0</v>
      </c>
      <c r="AD316" s="249"/>
      <c r="AE316" s="435">
        <f t="shared" ref="AE316:AE324" si="101">+(I316*3778000+J316*(3778000+100000))*1.08+((I316+J316+K316)*150000)*1.08</f>
        <v>4350240</v>
      </c>
      <c r="AF316" s="342">
        <f t="shared" si="99"/>
        <v>6940240</v>
      </c>
      <c r="AG316" s="251">
        <f t="shared" si="100"/>
        <v>4027999.9999999995</v>
      </c>
      <c r="AH316" s="241"/>
      <c r="AI316" s="241"/>
      <c r="AJ316" s="241"/>
      <c r="AK316" s="194"/>
      <c r="AL316" s="195"/>
      <c r="AM316" s="195"/>
    </row>
    <row r="317" spans="2:39" ht="31.2">
      <c r="B317" s="253">
        <v>4</v>
      </c>
      <c r="C317" s="244"/>
      <c r="D317" s="661" t="s">
        <v>2806</v>
      </c>
      <c r="E317" s="463" t="s">
        <v>2816</v>
      </c>
      <c r="F317" s="645" t="s">
        <v>2784</v>
      </c>
      <c r="G317" s="391" t="s">
        <v>2821</v>
      </c>
      <c r="H317" s="230" t="s">
        <v>206</v>
      </c>
      <c r="I317" s="230">
        <v>1</v>
      </c>
      <c r="J317" s="230"/>
      <c r="K317" s="230"/>
      <c r="L317" s="544" t="s">
        <v>136</v>
      </c>
      <c r="M317" s="257"/>
      <c r="N317" s="254" t="s">
        <v>2814</v>
      </c>
      <c r="O317" s="228" t="s">
        <v>2815</v>
      </c>
      <c r="P317" s="245"/>
      <c r="Q317" s="2564"/>
      <c r="R317" s="254" t="s">
        <v>2760</v>
      </c>
      <c r="S317" s="2552"/>
      <c r="T317" s="228"/>
      <c r="U317" s="2552"/>
      <c r="V317" s="256"/>
      <c r="W317" s="324">
        <v>734400</v>
      </c>
      <c r="X317" s="373">
        <v>900000</v>
      </c>
      <c r="Y317" s="248"/>
      <c r="Z317" s="247"/>
      <c r="AA317" s="248"/>
      <c r="AB317" s="340">
        <f t="shared" si="97"/>
        <v>1634400</v>
      </c>
      <c r="AC317" s="347">
        <f t="shared" si="98"/>
        <v>0</v>
      </c>
      <c r="AD317" s="249"/>
      <c r="AE317" s="435">
        <f t="shared" si="101"/>
        <v>4242240</v>
      </c>
      <c r="AF317" s="342">
        <f t="shared" si="99"/>
        <v>5876640</v>
      </c>
      <c r="AG317" s="251">
        <f t="shared" si="100"/>
        <v>3927999.9999999995</v>
      </c>
      <c r="AH317" s="241"/>
      <c r="AI317" s="241"/>
      <c r="AJ317" s="241"/>
      <c r="AK317" s="194"/>
      <c r="AL317" s="195"/>
      <c r="AM317" s="195"/>
    </row>
    <row r="318" spans="2:39">
      <c r="B318" s="253">
        <v>5</v>
      </c>
      <c r="C318" s="244"/>
      <c r="D318" s="661" t="s">
        <v>2812</v>
      </c>
      <c r="E318" s="474">
        <v>306565262050</v>
      </c>
      <c r="F318" s="645" t="s">
        <v>2812</v>
      </c>
      <c r="G318" s="391" t="s">
        <v>2844</v>
      </c>
      <c r="H318" s="230" t="s">
        <v>210</v>
      </c>
      <c r="I318" s="230"/>
      <c r="J318" s="230">
        <v>1</v>
      </c>
      <c r="K318" s="230"/>
      <c r="L318" s="228"/>
      <c r="M318" s="257"/>
      <c r="N318" s="228" t="s">
        <v>2785</v>
      </c>
      <c r="O318" s="228" t="s">
        <v>2843</v>
      </c>
      <c r="P318" s="245" t="s">
        <v>2813</v>
      </c>
      <c r="Q318" s="2564"/>
      <c r="R318" s="254" t="s">
        <v>2760</v>
      </c>
      <c r="S318" s="2552"/>
      <c r="T318" s="228"/>
      <c r="U318" s="2552"/>
      <c r="V318" s="256"/>
      <c r="W318" s="373">
        <v>1150000</v>
      </c>
      <c r="X318" s="373">
        <v>766800</v>
      </c>
      <c r="Y318" s="248"/>
      <c r="Z318" s="247"/>
      <c r="AA318" s="248"/>
      <c r="AB318" s="340">
        <f t="shared" si="97"/>
        <v>1916800</v>
      </c>
      <c r="AC318" s="347">
        <f t="shared" si="98"/>
        <v>0</v>
      </c>
      <c r="AD318" s="249"/>
      <c r="AE318" s="435">
        <f t="shared" si="101"/>
        <v>4350240</v>
      </c>
      <c r="AF318" s="342">
        <f t="shared" si="99"/>
        <v>6267040</v>
      </c>
      <c r="AG318" s="251">
        <f t="shared" si="100"/>
        <v>4027999.9999999995</v>
      </c>
      <c r="AH318" s="241"/>
      <c r="AI318" s="241"/>
      <c r="AJ318" s="241"/>
      <c r="AK318" s="194"/>
      <c r="AL318" s="195"/>
      <c r="AM318" s="195"/>
    </row>
    <row r="319" spans="2:39">
      <c r="B319" s="253">
        <v>6</v>
      </c>
      <c r="C319" s="244"/>
      <c r="D319" s="683" t="s">
        <v>2846</v>
      </c>
      <c r="E319" s="724" t="s">
        <v>2856</v>
      </c>
      <c r="F319" s="645" t="s">
        <v>2846</v>
      </c>
      <c r="G319" s="391" t="s">
        <v>2858</v>
      </c>
      <c r="H319" s="230" t="s">
        <v>210</v>
      </c>
      <c r="I319" s="230">
        <v>1</v>
      </c>
      <c r="J319" s="230"/>
      <c r="K319" s="230"/>
      <c r="L319" s="228"/>
      <c r="M319" s="257"/>
      <c r="N319" s="228" t="s">
        <v>2849</v>
      </c>
      <c r="O319" s="712" t="s">
        <v>2957</v>
      </c>
      <c r="P319" s="685" t="s">
        <v>2854</v>
      </c>
      <c r="Q319" s="2565"/>
      <c r="R319" s="254" t="s">
        <v>2857</v>
      </c>
      <c r="S319" s="2552"/>
      <c r="T319" s="228"/>
      <c r="U319" s="2552"/>
      <c r="V319" s="256"/>
      <c r="W319" s="373">
        <v>885000</v>
      </c>
      <c r="X319" s="373">
        <v>710000</v>
      </c>
      <c r="Y319" s="248"/>
      <c r="Z319" s="247"/>
      <c r="AA319" s="248"/>
      <c r="AB319" s="340">
        <f t="shared" si="97"/>
        <v>1595000</v>
      </c>
      <c r="AC319" s="347">
        <f t="shared" si="98"/>
        <v>0</v>
      </c>
      <c r="AD319" s="249"/>
      <c r="AE319" s="435">
        <f t="shared" si="101"/>
        <v>4242240</v>
      </c>
      <c r="AF319" s="342">
        <f t="shared" si="99"/>
        <v>5837240</v>
      </c>
      <c r="AG319" s="251">
        <f t="shared" si="100"/>
        <v>3927999.9999999995</v>
      </c>
      <c r="AH319" s="241"/>
      <c r="AI319" s="241"/>
      <c r="AJ319" s="241"/>
      <c r="AK319" s="194"/>
      <c r="AL319" s="195"/>
      <c r="AM319" s="195"/>
    </row>
    <row r="320" spans="2:39" ht="31.2">
      <c r="B320" s="228">
        <v>7</v>
      </c>
      <c r="C320" s="244"/>
      <c r="D320" s="661" t="s">
        <v>2850</v>
      </c>
      <c r="E320" s="725" t="s">
        <v>2950</v>
      </c>
      <c r="F320" s="645" t="s">
        <v>2812</v>
      </c>
      <c r="G320" s="391" t="s">
        <v>2880</v>
      </c>
      <c r="H320" s="230" t="s">
        <v>206</v>
      </c>
      <c r="I320" s="230">
        <v>1</v>
      </c>
      <c r="J320" s="230"/>
      <c r="K320" s="230"/>
      <c r="L320" s="228"/>
      <c r="M320" s="257"/>
      <c r="N320" s="228" t="s">
        <v>2852</v>
      </c>
      <c r="O320" s="228" t="s">
        <v>2853</v>
      </c>
      <c r="P320" s="245"/>
      <c r="Q320" s="2564"/>
      <c r="R320" s="254" t="s">
        <v>2760</v>
      </c>
      <c r="S320" s="2552"/>
      <c r="T320" s="228"/>
      <c r="U320" s="2552"/>
      <c r="V320" s="256"/>
      <c r="W320" s="324">
        <v>734400</v>
      </c>
      <c r="X320" s="373">
        <v>890000</v>
      </c>
      <c r="Y320" s="248"/>
      <c r="Z320" s="247"/>
      <c r="AA320" s="248"/>
      <c r="AB320" s="340">
        <f t="shared" si="97"/>
        <v>1624400</v>
      </c>
      <c r="AC320" s="347">
        <f t="shared" si="98"/>
        <v>0</v>
      </c>
      <c r="AD320" s="249"/>
      <c r="AE320" s="435">
        <f t="shared" si="101"/>
        <v>4242240</v>
      </c>
      <c r="AF320" s="342">
        <f t="shared" si="99"/>
        <v>5866640</v>
      </c>
      <c r="AG320" s="251">
        <f t="shared" si="100"/>
        <v>3927999.9999999995</v>
      </c>
      <c r="AH320" s="241"/>
      <c r="AI320" s="241"/>
      <c r="AJ320" s="241"/>
      <c r="AK320" s="194"/>
      <c r="AL320" s="195"/>
      <c r="AM320" s="195"/>
    </row>
    <row r="321" spans="2:39" ht="31.2">
      <c r="B321" s="253">
        <v>8</v>
      </c>
      <c r="C321" s="244"/>
      <c r="D321" s="661" t="s">
        <v>2887</v>
      </c>
      <c r="E321" s="726">
        <v>306591509730</v>
      </c>
      <c r="F321" s="645" t="s">
        <v>2887</v>
      </c>
      <c r="G321" s="391" t="s">
        <v>2926</v>
      </c>
      <c r="H321" s="230" t="s">
        <v>210</v>
      </c>
      <c r="I321" s="230"/>
      <c r="J321" s="230">
        <v>2</v>
      </c>
      <c r="K321" s="230"/>
      <c r="L321" s="228"/>
      <c r="M321" s="257"/>
      <c r="N321" s="228" t="s">
        <v>2913</v>
      </c>
      <c r="O321" s="254" t="s">
        <v>2985</v>
      </c>
      <c r="P321" s="245"/>
      <c r="Q321" s="2564"/>
      <c r="R321" s="254"/>
      <c r="S321" s="2552"/>
      <c r="T321" s="228"/>
      <c r="U321" s="2552"/>
      <c r="V321" s="256"/>
      <c r="W321" s="373">
        <f>1160000+1160000</f>
        <v>2320000</v>
      </c>
      <c r="X321" s="373">
        <v>2320000</v>
      </c>
      <c r="Y321" s="248"/>
      <c r="Z321" s="247"/>
      <c r="AA321" s="248"/>
      <c r="AB321" s="340">
        <f t="shared" si="97"/>
        <v>4640000</v>
      </c>
      <c r="AC321" s="347">
        <f t="shared" si="98"/>
        <v>0</v>
      </c>
      <c r="AD321" s="249"/>
      <c r="AE321" s="435">
        <f t="shared" si="101"/>
        <v>8700480</v>
      </c>
      <c r="AF321" s="342">
        <f t="shared" si="99"/>
        <v>13340480</v>
      </c>
      <c r="AG321" s="251">
        <f t="shared" si="100"/>
        <v>8055999.9999999991</v>
      </c>
      <c r="AH321" s="241"/>
      <c r="AI321" s="241"/>
      <c r="AJ321" s="241"/>
      <c r="AK321" s="194"/>
      <c r="AL321" s="195"/>
      <c r="AM321" s="195"/>
    </row>
    <row r="322" spans="2:39">
      <c r="B322" s="253">
        <v>9</v>
      </c>
      <c r="C322" s="244"/>
      <c r="D322" s="661" t="s">
        <v>2915</v>
      </c>
      <c r="E322" s="726">
        <v>306596543540</v>
      </c>
      <c r="F322" s="615" t="s">
        <v>2915</v>
      </c>
      <c r="G322" s="391" t="s">
        <v>2952</v>
      </c>
      <c r="H322" s="230" t="s">
        <v>210</v>
      </c>
      <c r="I322" s="230">
        <v>1</v>
      </c>
      <c r="J322" s="230"/>
      <c r="K322" s="230"/>
      <c r="L322" s="228"/>
      <c r="M322" s="257"/>
      <c r="N322" s="289" t="s">
        <v>2914</v>
      </c>
      <c r="O322" s="228" t="s">
        <v>2932</v>
      </c>
      <c r="P322" s="245"/>
      <c r="Q322" s="2564"/>
      <c r="R322" s="254" t="s">
        <v>2947</v>
      </c>
      <c r="S322" s="2552"/>
      <c r="T322" s="228"/>
      <c r="U322" s="2552"/>
      <c r="V322" s="256"/>
      <c r="W322" s="373">
        <v>795000</v>
      </c>
      <c r="X322" s="373">
        <v>432000</v>
      </c>
      <c r="Y322" s="248"/>
      <c r="Z322" s="247"/>
      <c r="AA322" s="248"/>
      <c r="AB322" s="340">
        <f t="shared" si="97"/>
        <v>1227000</v>
      </c>
      <c r="AC322" s="347">
        <f>+Z322</f>
        <v>0</v>
      </c>
      <c r="AD322" s="249"/>
      <c r="AE322" s="435">
        <f t="shared" si="101"/>
        <v>4242240</v>
      </c>
      <c r="AF322" s="342">
        <f>+AB322+AE322</f>
        <v>5469240</v>
      </c>
      <c r="AG322" s="251">
        <f>+AE322/1.08</f>
        <v>3927999.9999999995</v>
      </c>
      <c r="AH322" s="241"/>
      <c r="AI322" s="241"/>
      <c r="AJ322" s="241"/>
      <c r="AK322" s="194"/>
      <c r="AL322" s="195"/>
      <c r="AM322" s="195"/>
    </row>
    <row r="323" spans="2:39">
      <c r="B323" s="253">
        <v>10</v>
      </c>
      <c r="C323" s="244"/>
      <c r="D323" s="661" t="s">
        <v>2935</v>
      </c>
      <c r="E323" s="726">
        <v>306602985900</v>
      </c>
      <c r="F323" s="645" t="s">
        <v>2935</v>
      </c>
      <c r="G323" s="391" t="s">
        <v>2970</v>
      </c>
      <c r="H323" s="230" t="s">
        <v>210</v>
      </c>
      <c r="I323" s="230"/>
      <c r="J323" s="230">
        <v>1</v>
      </c>
      <c r="K323" s="230"/>
      <c r="L323" s="228"/>
      <c r="M323" s="257"/>
      <c r="N323" s="289" t="s">
        <v>2954</v>
      </c>
      <c r="O323" s="228" t="s">
        <v>2965</v>
      </c>
      <c r="P323" s="685" t="s">
        <v>2967</v>
      </c>
      <c r="Q323" s="2565"/>
      <c r="R323" s="228" t="s">
        <v>2966</v>
      </c>
      <c r="S323" s="2552"/>
      <c r="T323" s="228"/>
      <c r="U323" s="2552"/>
      <c r="V323" s="256"/>
      <c r="W323" s="373">
        <v>1160000</v>
      </c>
      <c r="X323" s="373">
        <v>766800</v>
      </c>
      <c r="Y323" s="248"/>
      <c r="Z323" s="247"/>
      <c r="AA323" s="248"/>
      <c r="AB323" s="340">
        <f t="shared" si="97"/>
        <v>1926800</v>
      </c>
      <c r="AC323" s="347">
        <f>+Z323</f>
        <v>0</v>
      </c>
      <c r="AD323" s="249"/>
      <c r="AE323" s="435">
        <f t="shared" si="101"/>
        <v>4350240</v>
      </c>
      <c r="AF323" s="342">
        <f>+AB323+AE323</f>
        <v>6277040</v>
      </c>
      <c r="AG323" s="251">
        <f>+AE323/1.08</f>
        <v>4027999.9999999995</v>
      </c>
      <c r="AH323" s="241"/>
      <c r="AI323" s="241"/>
      <c r="AJ323" s="241"/>
      <c r="AK323" s="194"/>
      <c r="AL323" s="195"/>
      <c r="AM323" s="195"/>
    </row>
    <row r="324" spans="2:39">
      <c r="B324" s="253">
        <v>11</v>
      </c>
      <c r="C324" s="244"/>
      <c r="D324" s="661" t="s">
        <v>2953</v>
      </c>
      <c r="E324" s="726">
        <v>306607371400</v>
      </c>
      <c r="F324" s="645" t="s">
        <v>2953</v>
      </c>
      <c r="G324" s="391" t="s">
        <v>2971</v>
      </c>
      <c r="H324" s="230" t="s">
        <v>210</v>
      </c>
      <c r="I324" s="230"/>
      <c r="J324" s="230">
        <v>1</v>
      </c>
      <c r="K324" s="230"/>
      <c r="L324" s="228"/>
      <c r="M324" s="257"/>
      <c r="N324" s="289" t="s">
        <v>2955</v>
      </c>
      <c r="O324" s="228" t="s">
        <v>2976</v>
      </c>
      <c r="P324" s="245" t="s">
        <v>2956</v>
      </c>
      <c r="Q324" s="2564"/>
      <c r="R324" s="254" t="s">
        <v>2966</v>
      </c>
      <c r="S324" s="2552"/>
      <c r="T324" s="228"/>
      <c r="U324" s="2552"/>
      <c r="V324" s="256"/>
      <c r="W324" s="373">
        <v>1450000</v>
      </c>
      <c r="X324" s="373">
        <v>766800</v>
      </c>
      <c r="Y324" s="248"/>
      <c r="Z324" s="247"/>
      <c r="AA324" s="248"/>
      <c r="AB324" s="340">
        <f t="shared" si="97"/>
        <v>2216800</v>
      </c>
      <c r="AC324" s="347">
        <f>+Z324</f>
        <v>0</v>
      </c>
      <c r="AD324" s="249"/>
      <c r="AE324" s="435">
        <f t="shared" si="101"/>
        <v>4350240</v>
      </c>
      <c r="AF324" s="342">
        <f>+AB324+AE324</f>
        <v>6567040</v>
      </c>
      <c r="AG324" s="251">
        <f>+AE324/1.08</f>
        <v>4027999.9999999995</v>
      </c>
      <c r="AH324" s="241"/>
      <c r="AI324" s="241"/>
      <c r="AJ324" s="241"/>
      <c r="AK324" s="194"/>
      <c r="AL324" s="195"/>
      <c r="AM324" s="195"/>
    </row>
    <row r="325" spans="2:39">
      <c r="B325" s="3811" t="s">
        <v>2941</v>
      </c>
      <c r="C325" s="3716"/>
      <c r="D325" s="3716"/>
      <c r="E325" s="3716"/>
      <c r="F325" s="3716"/>
      <c r="G325" s="3716"/>
      <c r="H325" s="3716"/>
      <c r="I325" s="3716"/>
      <c r="J325" s="3716"/>
      <c r="K325" s="3716"/>
      <c r="L325" s="3716"/>
      <c r="M325" s="346"/>
      <c r="N325" s="346"/>
      <c r="O325" s="346"/>
      <c r="P325" s="346"/>
      <c r="Q325" s="346"/>
      <c r="R325" s="346"/>
      <c r="S325" s="346"/>
      <c r="T325" s="346"/>
      <c r="U325" s="346"/>
      <c r="V325" s="590">
        <f>+V315+W317+W320</f>
        <v>1492364</v>
      </c>
      <c r="W325" s="590">
        <f>+V300+W303+W309+V315+W315+W316+W318+W320</f>
        <v>5476564</v>
      </c>
      <c r="X325" s="590"/>
      <c r="Y325" s="357"/>
      <c r="Z325" s="357"/>
      <c r="AA325" s="357"/>
      <c r="AB325" s="358">
        <f>SUM(AB314:AB324)</f>
        <v>21984764</v>
      </c>
      <c r="AC325" s="358">
        <f>SUM(AC302:AC319)</f>
        <v>0</v>
      </c>
      <c r="AD325" s="358">
        <f>SUM(AD300:AD319)</f>
        <v>0</v>
      </c>
      <c r="AE325" s="358">
        <f>SUM(AE314:AE324)</f>
        <v>49060080</v>
      </c>
      <c r="AF325" s="358">
        <f>+AB325+AE325</f>
        <v>71044844</v>
      </c>
      <c r="AG325" s="358">
        <f>SUM(AG314:AG324)</f>
        <v>45426000</v>
      </c>
      <c r="AH325" s="241"/>
      <c r="AI325" s="241"/>
      <c r="AJ325" s="241"/>
      <c r="AK325" s="194"/>
      <c r="AL325" s="195"/>
      <c r="AM325" s="195"/>
    </row>
    <row r="326" spans="2:39" ht="31.2">
      <c r="B326" s="253">
        <v>1</v>
      </c>
      <c r="C326" s="244"/>
      <c r="D326" s="661" t="s">
        <v>2979</v>
      </c>
      <c r="E326" s="726">
        <v>306624226440</v>
      </c>
      <c r="F326" s="645" t="s">
        <v>2979</v>
      </c>
      <c r="G326" s="391" t="s">
        <v>2992</v>
      </c>
      <c r="H326" s="230" t="s">
        <v>210</v>
      </c>
      <c r="I326" s="230"/>
      <c r="J326" s="230">
        <v>2</v>
      </c>
      <c r="K326" s="230"/>
      <c r="L326" s="228"/>
      <c r="M326" s="257"/>
      <c r="N326" s="228" t="s">
        <v>2980</v>
      </c>
      <c r="O326" s="254" t="s">
        <v>2990</v>
      </c>
      <c r="P326" s="245" t="s">
        <v>2991</v>
      </c>
      <c r="Q326" s="2564"/>
      <c r="R326" s="228" t="s">
        <v>2966</v>
      </c>
      <c r="S326" s="2552"/>
      <c r="T326" s="2559"/>
      <c r="U326" s="2559"/>
      <c r="V326" s="248"/>
      <c r="W326" s="373">
        <f>1300000+1300000</f>
        <v>2600000</v>
      </c>
      <c r="X326" s="373">
        <v>1533600</v>
      </c>
      <c r="Y326" s="248"/>
      <c r="Z326" s="247"/>
      <c r="AA326" s="248"/>
      <c r="AB326" s="340">
        <f t="shared" ref="AB326:AB344" si="102">V326+W326+X326+Y326+Z326+AA326</f>
        <v>4133600</v>
      </c>
      <c r="AC326" s="347">
        <f>+Z326</f>
        <v>0</v>
      </c>
      <c r="AD326" s="249"/>
      <c r="AE326" s="435">
        <f t="shared" ref="AE326:AE331" si="103">+(I326*3714000+J326*(3714000+100000))*1.08+((I326+J326+K326)*150000)*1.08</f>
        <v>8562240</v>
      </c>
      <c r="AF326" s="342">
        <f>+AB326+AE326</f>
        <v>12695840</v>
      </c>
      <c r="AG326" s="251">
        <f>+AE326/1.08</f>
        <v>7927999.9999999991</v>
      </c>
      <c r="AH326" s="241"/>
      <c r="AI326" s="241"/>
      <c r="AJ326" s="241"/>
      <c r="AK326" s="194"/>
      <c r="AL326" s="195"/>
      <c r="AM326" s="195"/>
    </row>
    <row r="327" spans="2:39">
      <c r="B327" s="253">
        <v>2</v>
      </c>
      <c r="C327" s="244"/>
      <c r="D327" s="661" t="s">
        <v>2978</v>
      </c>
      <c r="E327" s="726">
        <v>306630828360</v>
      </c>
      <c r="F327" s="645" t="s">
        <v>2978</v>
      </c>
      <c r="G327" s="391" t="s">
        <v>3002</v>
      </c>
      <c r="H327" s="230" t="s">
        <v>210</v>
      </c>
      <c r="I327" s="230">
        <v>1</v>
      </c>
      <c r="J327" s="230"/>
      <c r="K327" s="230"/>
      <c r="L327" s="228"/>
      <c r="M327" s="257"/>
      <c r="N327" s="228" t="s">
        <v>2997</v>
      </c>
      <c r="O327" s="254" t="s">
        <v>2999</v>
      </c>
      <c r="P327" s="245" t="s">
        <v>3000</v>
      </c>
      <c r="Q327" s="2564"/>
      <c r="R327" s="228" t="s">
        <v>3001</v>
      </c>
      <c r="S327" s="2552"/>
      <c r="T327" s="727"/>
      <c r="U327" s="727"/>
      <c r="V327" s="256"/>
      <c r="W327" s="373">
        <v>900000</v>
      </c>
      <c r="X327" s="373">
        <v>710000</v>
      </c>
      <c r="Y327" s="248"/>
      <c r="Z327" s="247"/>
      <c r="AA327" s="248"/>
      <c r="AB327" s="340">
        <f t="shared" si="102"/>
        <v>1610000</v>
      </c>
      <c r="AC327" s="347">
        <f t="shared" ref="AC327:AC332" si="104">+Z327</f>
        <v>0</v>
      </c>
      <c r="AD327" s="249"/>
      <c r="AE327" s="435">
        <f t="shared" si="103"/>
        <v>4173120.0000000005</v>
      </c>
      <c r="AF327" s="342">
        <f t="shared" ref="AF327:AF332" si="105">+AB327+AE327</f>
        <v>5783120</v>
      </c>
      <c r="AG327" s="251">
        <f t="shared" ref="AG327:AG332" si="106">+AE327/1.08</f>
        <v>3864000</v>
      </c>
      <c r="AH327" s="241"/>
      <c r="AI327" s="241"/>
      <c r="AJ327" s="241"/>
      <c r="AK327" s="194"/>
      <c r="AL327" s="195"/>
      <c r="AM327" s="195"/>
    </row>
    <row r="328" spans="2:39" ht="31.2">
      <c r="B328" s="253">
        <v>3</v>
      </c>
      <c r="C328" s="244"/>
      <c r="D328" s="661" t="s">
        <v>3009</v>
      </c>
      <c r="E328" s="726">
        <v>306637525520</v>
      </c>
      <c r="F328" s="645" t="s">
        <v>3009</v>
      </c>
      <c r="G328" s="391" t="s">
        <v>3033</v>
      </c>
      <c r="H328" s="230" t="s">
        <v>210</v>
      </c>
      <c r="I328" s="230"/>
      <c r="J328" s="230">
        <v>2</v>
      </c>
      <c r="K328" s="230"/>
      <c r="L328" s="228"/>
      <c r="M328" s="257"/>
      <c r="N328" s="228" t="s">
        <v>3008</v>
      </c>
      <c r="O328" s="254" t="s">
        <v>3032</v>
      </c>
      <c r="P328" s="420" t="s">
        <v>3014</v>
      </c>
      <c r="Q328" s="420"/>
      <c r="R328" s="228" t="s">
        <v>3001</v>
      </c>
      <c r="S328" s="2552"/>
      <c r="T328" s="2559"/>
      <c r="U328" s="2552"/>
      <c r="V328" s="256"/>
      <c r="W328" s="373">
        <f>1160000+1160000</f>
        <v>2320000</v>
      </c>
      <c r="X328" s="373">
        <f>1160000+1160000</f>
        <v>2320000</v>
      </c>
      <c r="Y328" s="248"/>
      <c r="Z328" s="247"/>
      <c r="AA328" s="248"/>
      <c r="AB328" s="340">
        <f t="shared" si="102"/>
        <v>4640000</v>
      </c>
      <c r="AC328" s="347">
        <f t="shared" si="104"/>
        <v>0</v>
      </c>
      <c r="AD328" s="249"/>
      <c r="AE328" s="435">
        <f t="shared" si="103"/>
        <v>8562240</v>
      </c>
      <c r="AF328" s="342">
        <f t="shared" si="105"/>
        <v>13202240</v>
      </c>
      <c r="AG328" s="251">
        <f t="shared" si="106"/>
        <v>7927999.9999999991</v>
      </c>
      <c r="AH328" s="241"/>
      <c r="AI328" s="241"/>
      <c r="AJ328" s="241"/>
      <c r="AK328" s="194"/>
      <c r="AL328" s="195"/>
      <c r="AM328" s="195"/>
    </row>
    <row r="329" spans="2:39" ht="20.25" customHeight="1">
      <c r="B329" s="253">
        <v>4</v>
      </c>
      <c r="C329" s="244"/>
      <c r="D329" s="661" t="s">
        <v>3009</v>
      </c>
      <c r="E329" s="726">
        <v>306637225110</v>
      </c>
      <c r="F329" s="645" t="s">
        <v>3009</v>
      </c>
      <c r="G329" s="391" t="s">
        <v>3034</v>
      </c>
      <c r="H329" s="230" t="s">
        <v>210</v>
      </c>
      <c r="I329" s="230"/>
      <c r="J329" s="230">
        <v>1</v>
      </c>
      <c r="K329" s="230"/>
      <c r="L329" s="228"/>
      <c r="M329" s="257"/>
      <c r="N329" s="228" t="s">
        <v>3010</v>
      </c>
      <c r="O329" s="228" t="s">
        <v>3031</v>
      </c>
      <c r="P329" s="420" t="s">
        <v>3014</v>
      </c>
      <c r="Q329" s="420"/>
      <c r="R329" s="228" t="s">
        <v>2966</v>
      </c>
      <c r="S329" s="2552"/>
      <c r="T329" s="2559"/>
      <c r="U329" s="2552"/>
      <c r="V329" s="256"/>
      <c r="W329" s="373">
        <v>1450000</v>
      </c>
      <c r="X329" s="373">
        <v>766800</v>
      </c>
      <c r="Y329" s="248"/>
      <c r="Z329" s="247"/>
      <c r="AA329" s="248"/>
      <c r="AB329" s="340">
        <f t="shared" si="102"/>
        <v>2216800</v>
      </c>
      <c r="AC329" s="347">
        <f t="shared" si="104"/>
        <v>0</v>
      </c>
      <c r="AD329" s="249"/>
      <c r="AE329" s="435">
        <f t="shared" si="103"/>
        <v>4281120</v>
      </c>
      <c r="AF329" s="342">
        <f t="shared" si="105"/>
        <v>6497920</v>
      </c>
      <c r="AG329" s="251">
        <f t="shared" si="106"/>
        <v>3963999.9999999995</v>
      </c>
      <c r="AH329" s="241"/>
      <c r="AI329" s="241"/>
      <c r="AJ329" s="241"/>
      <c r="AK329" s="194"/>
      <c r="AL329" s="195"/>
      <c r="AM329" s="195"/>
    </row>
    <row r="330" spans="2:39" ht="20.25" customHeight="1">
      <c r="B330" s="253">
        <v>5</v>
      </c>
      <c r="C330" s="244"/>
      <c r="D330" s="661" t="s">
        <v>3011</v>
      </c>
      <c r="E330" s="726">
        <v>306644975030</v>
      </c>
      <c r="F330" s="645" t="s">
        <v>3011</v>
      </c>
      <c r="G330" s="391" t="s">
        <v>3042</v>
      </c>
      <c r="H330" s="230" t="s">
        <v>210</v>
      </c>
      <c r="I330" s="230"/>
      <c r="J330" s="230">
        <v>1</v>
      </c>
      <c r="K330" s="230"/>
      <c r="L330" s="228"/>
      <c r="M330" s="257"/>
      <c r="N330" s="228" t="s">
        <v>3012</v>
      </c>
      <c r="O330" s="228" t="s">
        <v>3040</v>
      </c>
      <c r="P330" s="245" t="s">
        <v>3038</v>
      </c>
      <c r="Q330" s="2564"/>
      <c r="R330" s="228" t="s">
        <v>2966</v>
      </c>
      <c r="S330" s="2552"/>
      <c r="T330" s="2559"/>
      <c r="U330" s="2552"/>
      <c r="V330" s="256"/>
      <c r="W330" s="373">
        <v>1425000</v>
      </c>
      <c r="X330" s="373">
        <v>766800</v>
      </c>
      <c r="Y330" s="248"/>
      <c r="Z330" s="247"/>
      <c r="AA330" s="248"/>
      <c r="AB330" s="340">
        <f t="shared" si="102"/>
        <v>2191800</v>
      </c>
      <c r="AC330" s="347">
        <f t="shared" si="104"/>
        <v>0</v>
      </c>
      <c r="AD330" s="249"/>
      <c r="AE330" s="435">
        <f t="shared" si="103"/>
        <v>4281120</v>
      </c>
      <c r="AF330" s="342">
        <f t="shared" si="105"/>
        <v>6472920</v>
      </c>
      <c r="AG330" s="251">
        <f t="shared" si="106"/>
        <v>3963999.9999999995</v>
      </c>
      <c r="AH330" s="241"/>
      <c r="AI330" s="241"/>
      <c r="AJ330" s="241"/>
      <c r="AK330" s="194"/>
      <c r="AL330" s="195"/>
      <c r="AM330" s="195"/>
    </row>
    <row r="331" spans="2:39" ht="20.25" customHeight="1">
      <c r="B331" s="253">
        <v>6</v>
      </c>
      <c r="C331" s="244"/>
      <c r="D331" s="661" t="s">
        <v>3011</v>
      </c>
      <c r="E331" s="726">
        <v>306643818520</v>
      </c>
      <c r="F331" s="645" t="s">
        <v>3011</v>
      </c>
      <c r="G331" s="391" t="s">
        <v>3043</v>
      </c>
      <c r="H331" s="230" t="s">
        <v>210</v>
      </c>
      <c r="I331" s="230"/>
      <c r="J331" s="230">
        <v>1</v>
      </c>
      <c r="K331" s="230"/>
      <c r="L331" s="228"/>
      <c r="M331" s="257"/>
      <c r="N331" s="228" t="s">
        <v>3013</v>
      </c>
      <c r="O331" s="228" t="s">
        <v>3039</v>
      </c>
      <c r="P331" s="245" t="s">
        <v>3015</v>
      </c>
      <c r="Q331" s="2564"/>
      <c r="R331" s="228" t="s">
        <v>2966</v>
      </c>
      <c r="S331" s="2552"/>
      <c r="T331" s="2559"/>
      <c r="U331" s="2552"/>
      <c r="V331" s="256"/>
      <c r="W331" s="373">
        <v>1160000</v>
      </c>
      <c r="X331" s="373">
        <v>766800</v>
      </c>
      <c r="Y331" s="248"/>
      <c r="Z331" s="247"/>
      <c r="AA331" s="248"/>
      <c r="AB331" s="340">
        <f t="shared" si="102"/>
        <v>1926800</v>
      </c>
      <c r="AC331" s="347">
        <f t="shared" si="104"/>
        <v>0</v>
      </c>
      <c r="AD331" s="249"/>
      <c r="AE331" s="435">
        <f t="shared" si="103"/>
        <v>4281120</v>
      </c>
      <c r="AF331" s="342">
        <f t="shared" si="105"/>
        <v>6207920</v>
      </c>
      <c r="AG331" s="251">
        <f t="shared" si="106"/>
        <v>3963999.9999999995</v>
      </c>
      <c r="AH331" s="241"/>
      <c r="AI331" s="241"/>
      <c r="AJ331" s="241"/>
      <c r="AK331" s="194"/>
      <c r="AL331" s="195"/>
      <c r="AM331" s="195"/>
    </row>
    <row r="332" spans="2:39" ht="20.25" customHeight="1">
      <c r="B332" s="253">
        <v>7</v>
      </c>
      <c r="C332" s="244"/>
      <c r="D332" s="661" t="s">
        <v>3059</v>
      </c>
      <c r="E332" s="466">
        <v>106490190000</v>
      </c>
      <c r="F332" s="645" t="s">
        <v>3049</v>
      </c>
      <c r="G332" s="391" t="s">
        <v>3064</v>
      </c>
      <c r="H332" s="230" t="s">
        <v>1300</v>
      </c>
      <c r="I332" s="230"/>
      <c r="J332" s="230"/>
      <c r="K332" s="230">
        <v>1</v>
      </c>
      <c r="L332" s="228"/>
      <c r="M332" s="257"/>
      <c r="N332" s="228" t="s">
        <v>3060</v>
      </c>
      <c r="O332" s="228"/>
      <c r="P332" s="245"/>
      <c r="Q332" s="2564"/>
      <c r="R332" s="254"/>
      <c r="S332" s="2552"/>
      <c r="T332" s="2559"/>
      <c r="U332" s="2552"/>
      <c r="V332" s="324">
        <v>250953</v>
      </c>
      <c r="W332" s="248"/>
      <c r="X332" s="248"/>
      <c r="Y332" s="248"/>
      <c r="Z332" s="247"/>
      <c r="AA332" s="248"/>
      <c r="AB332" s="340">
        <f t="shared" si="102"/>
        <v>250953</v>
      </c>
      <c r="AC332" s="347">
        <f t="shared" si="104"/>
        <v>0</v>
      </c>
      <c r="AD332" s="544" t="s">
        <v>3065</v>
      </c>
      <c r="AE332" s="607">
        <f>+(3568000*1.08+((I332+J332+K332)*150000)*1.08)</f>
        <v>4015440.0000000005</v>
      </c>
      <c r="AF332" s="342">
        <f t="shared" si="105"/>
        <v>4266393</v>
      </c>
      <c r="AG332" s="251">
        <f t="shared" si="106"/>
        <v>3718000</v>
      </c>
      <c r="AH332" s="241"/>
      <c r="AI332" s="241"/>
      <c r="AJ332" s="241"/>
      <c r="AK332" s="194"/>
      <c r="AL332" s="195"/>
      <c r="AM332" s="195"/>
    </row>
    <row r="333" spans="2:39" ht="20.25" customHeight="1">
      <c r="B333" s="253">
        <v>8</v>
      </c>
      <c r="C333" s="244"/>
      <c r="D333" s="661" t="s">
        <v>3069</v>
      </c>
      <c r="E333" s="474">
        <v>306656712521</v>
      </c>
      <c r="F333" s="645" t="s">
        <v>3069</v>
      </c>
      <c r="G333" s="391" t="s">
        <v>3088</v>
      </c>
      <c r="H333" s="230" t="s">
        <v>210</v>
      </c>
      <c r="I333" s="230"/>
      <c r="J333" s="230">
        <v>1</v>
      </c>
      <c r="K333" s="230"/>
      <c r="L333" s="544" t="s">
        <v>136</v>
      </c>
      <c r="M333" s="257"/>
      <c r="N333" s="228" t="s">
        <v>3067</v>
      </c>
      <c r="O333" s="228" t="s">
        <v>3084</v>
      </c>
      <c r="P333" s="764" t="s">
        <v>3070</v>
      </c>
      <c r="Q333" s="2566"/>
      <c r="R333" s="254" t="s">
        <v>2966</v>
      </c>
      <c r="S333" s="2552"/>
      <c r="T333" s="2559"/>
      <c r="U333" s="2552"/>
      <c r="V333" s="256"/>
      <c r="W333" s="775">
        <v>1450000</v>
      </c>
      <c r="X333" s="775">
        <v>766800</v>
      </c>
      <c r="Y333" s="248"/>
      <c r="Z333" s="247"/>
      <c r="AA333" s="248"/>
      <c r="AB333" s="340">
        <f t="shared" si="102"/>
        <v>2216800</v>
      </c>
      <c r="AC333" s="347">
        <f t="shared" ref="AC333:AC339" si="107">+Z333</f>
        <v>0</v>
      </c>
      <c r="AD333" s="249" t="s">
        <v>3091</v>
      </c>
      <c r="AE333" s="607">
        <f>+(I333*3714000+J333*(3714000+100000))*1.08+((I333+J333+K333)*150000)*1.08+((500000+545900)*1.08)</f>
        <v>5410692</v>
      </c>
      <c r="AF333" s="342">
        <f t="shared" ref="AF333:AF344" si="108">+AB333+AE333</f>
        <v>7627492</v>
      </c>
      <c r="AG333" s="251">
        <f t="shared" ref="AG333:AG338" si="109">+AE333/1.08</f>
        <v>5009900</v>
      </c>
      <c r="AH333" s="241"/>
      <c r="AI333" s="241"/>
      <c r="AJ333" s="241"/>
      <c r="AK333" s="194"/>
      <c r="AL333" s="195"/>
      <c r="AM333" s="195">
        <f>530000*1.03</f>
        <v>545900</v>
      </c>
    </row>
    <row r="334" spans="2:39" ht="33.75" customHeight="1">
      <c r="B334" s="253">
        <v>9</v>
      </c>
      <c r="C334" s="244"/>
      <c r="D334" s="661" t="s">
        <v>3069</v>
      </c>
      <c r="E334" s="474">
        <v>306660285100</v>
      </c>
      <c r="F334" s="645" t="s">
        <v>3069</v>
      </c>
      <c r="G334" s="391" t="s">
        <v>3089</v>
      </c>
      <c r="H334" s="230" t="s">
        <v>210</v>
      </c>
      <c r="I334" s="230"/>
      <c r="J334" s="230">
        <v>2</v>
      </c>
      <c r="K334" s="230"/>
      <c r="L334" s="228"/>
      <c r="M334" s="257"/>
      <c r="N334" s="228" t="s">
        <v>3068</v>
      </c>
      <c r="O334" s="254" t="s">
        <v>3083</v>
      </c>
      <c r="P334" s="245" t="s">
        <v>3071</v>
      </c>
      <c r="Q334" s="2564"/>
      <c r="R334" s="254" t="s">
        <v>2966</v>
      </c>
      <c r="S334" s="2552"/>
      <c r="T334" s="2559"/>
      <c r="U334" s="2552"/>
      <c r="V334" s="256"/>
      <c r="W334" s="775">
        <f>1300000*2</f>
        <v>2600000</v>
      </c>
      <c r="X334" s="775">
        <v>1533600</v>
      </c>
      <c r="Y334" s="248"/>
      <c r="Z334" s="247"/>
      <c r="AA334" s="248"/>
      <c r="AB334" s="340">
        <f t="shared" si="102"/>
        <v>4133600</v>
      </c>
      <c r="AC334" s="347">
        <f t="shared" si="107"/>
        <v>0</v>
      </c>
      <c r="AD334" s="249"/>
      <c r="AE334" s="435">
        <f t="shared" ref="AE334:AE339" si="110">+(I334*3714000+J334*(3714000+100000))*1.08+((I334+J334+K334)*150000)*1.08</f>
        <v>8562240</v>
      </c>
      <c r="AF334" s="342">
        <f t="shared" si="108"/>
        <v>12695840</v>
      </c>
      <c r="AG334" s="251">
        <f t="shared" si="109"/>
        <v>7927999.9999999991</v>
      </c>
      <c r="AH334" s="241"/>
      <c r="AI334" s="241"/>
      <c r="AJ334" s="241"/>
      <c r="AK334" s="194"/>
      <c r="AL334" s="195"/>
      <c r="AM334" s="195"/>
    </row>
    <row r="335" spans="2:39">
      <c r="B335" s="253">
        <v>10</v>
      </c>
      <c r="C335" s="244"/>
      <c r="D335" s="661" t="s">
        <v>3069</v>
      </c>
      <c r="E335" s="474">
        <v>306657659840</v>
      </c>
      <c r="F335" s="645" t="s">
        <v>3069</v>
      </c>
      <c r="G335" s="391" t="s">
        <v>3090</v>
      </c>
      <c r="H335" s="230" t="s">
        <v>210</v>
      </c>
      <c r="I335" s="230"/>
      <c r="J335" s="230">
        <v>1</v>
      </c>
      <c r="K335" s="230"/>
      <c r="L335" s="228"/>
      <c r="M335" s="257"/>
      <c r="N335" s="228" t="s">
        <v>3073</v>
      </c>
      <c r="O335" s="228" t="s">
        <v>3075</v>
      </c>
      <c r="P335" s="245" t="s">
        <v>3071</v>
      </c>
      <c r="Q335" s="2564"/>
      <c r="R335" s="254" t="s">
        <v>2966</v>
      </c>
      <c r="S335" s="2552"/>
      <c r="T335" s="2559"/>
      <c r="U335" s="2552"/>
      <c r="V335" s="256"/>
      <c r="W335" s="775">
        <v>1300000</v>
      </c>
      <c r="X335" s="775">
        <v>766800</v>
      </c>
      <c r="Y335" s="248"/>
      <c r="Z335" s="247"/>
      <c r="AA335" s="248"/>
      <c r="AB335" s="340">
        <f t="shared" si="102"/>
        <v>2066800</v>
      </c>
      <c r="AC335" s="347">
        <f t="shared" si="107"/>
        <v>0</v>
      </c>
      <c r="AD335" s="249"/>
      <c r="AE335" s="435">
        <f t="shared" si="110"/>
        <v>4281120</v>
      </c>
      <c r="AF335" s="342">
        <f t="shared" si="108"/>
        <v>6347920</v>
      </c>
      <c r="AG335" s="251">
        <f t="shared" si="109"/>
        <v>3963999.9999999995</v>
      </c>
      <c r="AH335" s="241"/>
      <c r="AI335" s="241"/>
      <c r="AJ335" s="241"/>
      <c r="AK335" s="194"/>
      <c r="AL335" s="195"/>
      <c r="AM335" s="195"/>
    </row>
    <row r="336" spans="2:39" ht="31.2">
      <c r="B336" s="253">
        <v>11</v>
      </c>
      <c r="C336" s="244"/>
      <c r="D336" s="661" t="s">
        <v>3092</v>
      </c>
      <c r="E336" s="767" t="s">
        <v>3094</v>
      </c>
      <c r="F336" s="645" t="s">
        <v>3059</v>
      </c>
      <c r="G336" s="391" t="s">
        <v>3096</v>
      </c>
      <c r="H336" s="230" t="s">
        <v>1300</v>
      </c>
      <c r="I336" s="230">
        <v>1</v>
      </c>
      <c r="J336" s="230"/>
      <c r="K336" s="230"/>
      <c r="L336" s="612" t="s">
        <v>418</v>
      </c>
      <c r="M336" s="257"/>
      <c r="N336" s="228" t="s">
        <v>3093</v>
      </c>
      <c r="O336" s="228" t="s">
        <v>3095</v>
      </c>
      <c r="P336" s="245"/>
      <c r="Q336" s="2564"/>
      <c r="R336" s="254" t="s">
        <v>2760</v>
      </c>
      <c r="S336" s="2552"/>
      <c r="T336" s="2559"/>
      <c r="U336" s="2560"/>
      <c r="V336"/>
      <c r="W336" s="324">
        <v>631800</v>
      </c>
      <c r="X336" s="775">
        <v>918000</v>
      </c>
      <c r="Y336" s="248"/>
      <c r="Z336" s="247"/>
      <c r="AA336" s="248"/>
      <c r="AB336" s="340">
        <f t="shared" si="102"/>
        <v>1549800</v>
      </c>
      <c r="AC336" s="347">
        <f t="shared" si="107"/>
        <v>0</v>
      </c>
      <c r="AD336" s="249"/>
      <c r="AE336" s="435">
        <f t="shared" si="110"/>
        <v>4173120.0000000005</v>
      </c>
      <c r="AF336" s="342">
        <f t="shared" si="108"/>
        <v>5722920</v>
      </c>
      <c r="AG336" s="251">
        <f t="shared" si="109"/>
        <v>3864000</v>
      </c>
      <c r="AH336" s="241"/>
      <c r="AI336" s="241"/>
      <c r="AJ336" s="241"/>
      <c r="AK336" s="194"/>
      <c r="AL336" s="195"/>
      <c r="AM336" s="195"/>
    </row>
    <row r="337" spans="2:39" ht="31.2">
      <c r="B337" s="253">
        <v>12</v>
      </c>
      <c r="C337" s="244"/>
      <c r="D337" s="661" t="s">
        <v>3098</v>
      </c>
      <c r="E337" s="726">
        <v>306672202010</v>
      </c>
      <c r="F337" s="645" t="s">
        <v>3098</v>
      </c>
      <c r="G337" s="391" t="s">
        <v>3117</v>
      </c>
      <c r="H337" s="230" t="s">
        <v>210</v>
      </c>
      <c r="I337" s="230"/>
      <c r="J337" s="230">
        <v>1</v>
      </c>
      <c r="K337" s="230"/>
      <c r="L337" s="228"/>
      <c r="M337" s="779" t="s">
        <v>3170</v>
      </c>
      <c r="N337" s="228" t="s">
        <v>3100</v>
      </c>
      <c r="O337" s="769" t="s">
        <v>3107</v>
      </c>
      <c r="P337" s="771" t="s">
        <v>3105</v>
      </c>
      <c r="Q337" s="2567"/>
      <c r="R337" s="254" t="s">
        <v>3101</v>
      </c>
      <c r="S337" s="2552"/>
      <c r="T337" s="2559"/>
      <c r="U337" s="2552"/>
      <c r="V337" s="256"/>
      <c r="W337" s="775">
        <v>1425000</v>
      </c>
      <c r="X337" s="775">
        <v>1140000</v>
      </c>
      <c r="Y337" s="248"/>
      <c r="Z337" s="247"/>
      <c r="AA337" s="248"/>
      <c r="AB337" s="340">
        <f t="shared" si="102"/>
        <v>2565000</v>
      </c>
      <c r="AC337" s="347">
        <f t="shared" si="107"/>
        <v>0</v>
      </c>
      <c r="AD337" s="249"/>
      <c r="AE337" s="435">
        <f t="shared" si="110"/>
        <v>4281120</v>
      </c>
      <c r="AF337" s="342">
        <f t="shared" si="108"/>
        <v>6846120</v>
      </c>
      <c r="AG337" s="251">
        <f t="shared" si="109"/>
        <v>3963999.9999999995</v>
      </c>
      <c r="AH337" s="241"/>
      <c r="AI337" s="241"/>
      <c r="AJ337" s="241"/>
      <c r="AK337" s="194"/>
      <c r="AL337" s="195"/>
      <c r="AM337" s="195"/>
    </row>
    <row r="338" spans="2:39" ht="31.2">
      <c r="B338" s="253">
        <v>13</v>
      </c>
      <c r="C338" s="244"/>
      <c r="D338" s="661" t="s">
        <v>3111</v>
      </c>
      <c r="E338" s="474">
        <v>306677212460</v>
      </c>
      <c r="F338" s="645" t="s">
        <v>3111</v>
      </c>
      <c r="G338" s="391" t="s">
        <v>3125</v>
      </c>
      <c r="H338" s="230" t="s">
        <v>210</v>
      </c>
      <c r="I338" s="230"/>
      <c r="J338" s="230">
        <v>2</v>
      </c>
      <c r="K338" s="230"/>
      <c r="L338" s="228"/>
      <c r="M338" s="257"/>
      <c r="N338" s="228" t="s">
        <v>3112</v>
      </c>
      <c r="O338" s="292" t="s">
        <v>3124</v>
      </c>
      <c r="P338" s="772" t="s">
        <v>3113</v>
      </c>
      <c r="Q338" s="2568"/>
      <c r="R338" s="773" t="s">
        <v>2966</v>
      </c>
      <c r="S338" s="2552"/>
      <c r="T338" s="3614"/>
      <c r="U338" s="2561"/>
      <c r="V338" s="256"/>
      <c r="W338" s="775">
        <f>1160000*2</f>
        <v>2320000</v>
      </c>
      <c r="X338" s="775">
        <v>1533600</v>
      </c>
      <c r="Y338" s="248"/>
      <c r="Z338" s="247"/>
      <c r="AA338" s="248"/>
      <c r="AB338" s="340">
        <f t="shared" si="102"/>
        <v>3853600</v>
      </c>
      <c r="AC338" s="347">
        <f t="shared" si="107"/>
        <v>0</v>
      </c>
      <c r="AD338" s="249"/>
      <c r="AE338" s="435">
        <f t="shared" si="110"/>
        <v>8562240</v>
      </c>
      <c r="AF338" s="342">
        <f t="shared" si="108"/>
        <v>12415840</v>
      </c>
      <c r="AG338" s="251">
        <f t="shared" si="109"/>
        <v>7927999.9999999991</v>
      </c>
      <c r="AH338" s="241"/>
      <c r="AI338" s="241"/>
      <c r="AJ338" s="241"/>
      <c r="AK338" s="194"/>
      <c r="AL338" s="195"/>
      <c r="AM338" s="195"/>
    </row>
    <row r="339" spans="2:39" ht="37.5" customHeight="1">
      <c r="B339" s="253">
        <v>14</v>
      </c>
      <c r="C339" s="244"/>
      <c r="D339" s="661" t="s">
        <v>3105</v>
      </c>
      <c r="E339" s="463">
        <v>106515179300</v>
      </c>
      <c r="F339" s="615" t="s">
        <v>3106</v>
      </c>
      <c r="G339" s="391" t="s">
        <v>3137</v>
      </c>
      <c r="H339" s="230" t="s">
        <v>1300</v>
      </c>
      <c r="I339" s="612">
        <v>1</v>
      </c>
      <c r="J339" s="230"/>
      <c r="K339" s="230"/>
      <c r="L339" s="228"/>
      <c r="M339" s="257"/>
      <c r="N339" s="228" t="s">
        <v>3136</v>
      </c>
      <c r="O339" s="769" t="s">
        <v>3135</v>
      </c>
      <c r="P339" s="643"/>
      <c r="Q339" s="1566"/>
      <c r="R339" s="643"/>
      <c r="S339" s="2552"/>
      <c r="T339" s="3615"/>
      <c r="U339" s="1566"/>
      <c r="V339" s="256"/>
      <c r="W339" s="324">
        <v>432000</v>
      </c>
      <c r="X339" s="775">
        <v>900000</v>
      </c>
      <c r="Y339" s="248"/>
      <c r="Z339" s="247"/>
      <c r="AA339" s="248"/>
      <c r="AB339" s="340">
        <f t="shared" si="102"/>
        <v>1332000</v>
      </c>
      <c r="AC339" s="347">
        <f t="shared" si="107"/>
        <v>0</v>
      </c>
      <c r="AD339" s="249"/>
      <c r="AE339" s="435">
        <f t="shared" si="110"/>
        <v>4173120.0000000005</v>
      </c>
      <c r="AF339" s="342">
        <f t="shared" si="108"/>
        <v>5505120</v>
      </c>
      <c r="AG339" s="251">
        <f t="shared" ref="AG339:AG344" si="111">+AE339/1.08</f>
        <v>3864000</v>
      </c>
      <c r="AH339" s="241"/>
      <c r="AI339" s="241"/>
      <c r="AJ339" s="241"/>
      <c r="AK339" s="194"/>
      <c r="AL339" s="195"/>
      <c r="AM339" s="195"/>
    </row>
    <row r="340" spans="2:39" ht="37.5" customHeight="1">
      <c r="B340" s="253">
        <v>15</v>
      </c>
      <c r="C340" s="244"/>
      <c r="D340" s="661" t="s">
        <v>3149</v>
      </c>
      <c r="E340" s="465" t="s">
        <v>3153</v>
      </c>
      <c r="F340" s="645" t="s">
        <v>3105</v>
      </c>
      <c r="G340" s="391" t="s">
        <v>3156</v>
      </c>
      <c r="H340" s="230" t="s">
        <v>1300</v>
      </c>
      <c r="I340" s="230"/>
      <c r="J340" s="230"/>
      <c r="K340" s="249">
        <v>1</v>
      </c>
      <c r="L340" s="228"/>
      <c r="M340" s="228" t="s">
        <v>3159</v>
      </c>
      <c r="N340" s="228">
        <v>78408711872</v>
      </c>
      <c r="O340" s="769"/>
      <c r="P340" s="643"/>
      <c r="Q340" s="1566"/>
      <c r="R340" s="254" t="s">
        <v>3144</v>
      </c>
      <c r="S340" s="2552"/>
      <c r="T340" s="3615"/>
      <c r="U340" s="1566"/>
      <c r="V340" s="324">
        <v>729324</v>
      </c>
      <c r="W340" s="776"/>
      <c r="X340" s="248"/>
      <c r="Y340" s="248"/>
      <c r="Z340" s="247"/>
      <c r="AA340" s="248"/>
      <c r="AB340" s="340">
        <f t="shared" si="102"/>
        <v>729324</v>
      </c>
      <c r="AC340" s="347">
        <f>+Z340</f>
        <v>0</v>
      </c>
      <c r="AD340" s="249"/>
      <c r="AE340" s="435">
        <f>(150000+1320000)*1.08</f>
        <v>1587600</v>
      </c>
      <c r="AF340" s="342">
        <f t="shared" si="108"/>
        <v>2316924</v>
      </c>
      <c r="AG340" s="251">
        <f t="shared" si="111"/>
        <v>1470000</v>
      </c>
      <c r="AH340" s="241"/>
      <c r="AI340" s="241"/>
      <c r="AJ340" s="241"/>
      <c r="AK340" s="194"/>
      <c r="AL340" s="195"/>
      <c r="AM340" s="195"/>
    </row>
    <row r="341" spans="2:39" ht="21" customHeight="1">
      <c r="B341" s="253">
        <v>19</v>
      </c>
      <c r="C341" s="244"/>
      <c r="D341" s="661" t="s">
        <v>3164</v>
      </c>
      <c r="E341" s="778" t="s">
        <v>3154</v>
      </c>
      <c r="F341" s="645" t="s">
        <v>3146</v>
      </c>
      <c r="G341" s="391" t="s">
        <v>3157</v>
      </c>
      <c r="H341" s="230" t="s">
        <v>1300</v>
      </c>
      <c r="I341" s="230"/>
      <c r="J341" s="230"/>
      <c r="K341" s="230">
        <v>1</v>
      </c>
      <c r="L341" s="612" t="s">
        <v>418</v>
      </c>
      <c r="M341" s="228" t="s">
        <v>3158</v>
      </c>
      <c r="N341" s="193" t="s">
        <v>3155</v>
      </c>
      <c r="O341" s="228"/>
      <c r="P341" s="245"/>
      <c r="Q341" s="2564"/>
      <c r="R341" s="195" t="s">
        <v>3167</v>
      </c>
      <c r="S341" s="2552"/>
      <c r="T341" s="2559"/>
      <c r="U341" s="2552"/>
      <c r="V341" s="324">
        <v>38880</v>
      </c>
      <c r="W341" s="248"/>
      <c r="X341" s="248"/>
      <c r="Y341" s="248"/>
      <c r="Z341" s="247"/>
      <c r="AA341" s="248"/>
      <c r="AB341" s="340">
        <f t="shared" si="102"/>
        <v>38880</v>
      </c>
      <c r="AC341" s="347">
        <f>+Z341</f>
        <v>0</v>
      </c>
      <c r="AD341" s="249"/>
      <c r="AE341" s="435">
        <f>(150000+1320000)*1.08</f>
        <v>1587600</v>
      </c>
      <c r="AF341" s="342">
        <f t="shared" si="108"/>
        <v>1626480</v>
      </c>
      <c r="AG341" s="251">
        <f t="shared" si="111"/>
        <v>1470000</v>
      </c>
      <c r="AH341" s="241"/>
      <c r="AI341" s="241"/>
      <c r="AJ341" s="241"/>
      <c r="AK341" s="194"/>
      <c r="AL341" s="195"/>
      <c r="AM341" s="195"/>
    </row>
    <row r="342" spans="2:39" ht="31.2">
      <c r="B342" s="253">
        <v>16</v>
      </c>
      <c r="C342" s="244"/>
      <c r="D342" s="661" t="s">
        <v>3146</v>
      </c>
      <c r="E342" s="474">
        <v>306689239900</v>
      </c>
      <c r="F342" s="645" t="s">
        <v>3146</v>
      </c>
      <c r="G342" s="391" t="s">
        <v>3169</v>
      </c>
      <c r="H342" s="230" t="s">
        <v>210</v>
      </c>
      <c r="I342" s="230"/>
      <c r="J342" s="230">
        <v>2</v>
      </c>
      <c r="K342" s="230"/>
      <c r="L342" s="228"/>
      <c r="M342" s="257"/>
      <c r="N342" s="228" t="s">
        <v>3147</v>
      </c>
      <c r="O342" s="254" t="s">
        <v>3168</v>
      </c>
      <c r="P342" s="245" t="s">
        <v>3148</v>
      </c>
      <c r="Q342" s="2564"/>
      <c r="R342" s="254" t="s">
        <v>2760</v>
      </c>
      <c r="S342" s="2552"/>
      <c r="T342" s="2559"/>
      <c r="U342" s="2552"/>
      <c r="V342" s="256"/>
      <c r="W342" s="775">
        <f>1300000*2</f>
        <v>2600000</v>
      </c>
      <c r="X342" s="775">
        <v>1533600</v>
      </c>
      <c r="Y342" s="248"/>
      <c r="Z342" s="247"/>
      <c r="AA342" s="248"/>
      <c r="AB342" s="340">
        <f t="shared" si="102"/>
        <v>4133600</v>
      </c>
      <c r="AC342" s="347">
        <f>+Z342</f>
        <v>0</v>
      </c>
      <c r="AD342" s="249"/>
      <c r="AE342" s="435">
        <f>+(I342*3714000+J342*(3714000+100000))*1.08+((I342+J342+K342)*150000)*1.08</f>
        <v>8562240</v>
      </c>
      <c r="AF342" s="342">
        <f t="shared" si="108"/>
        <v>12695840</v>
      </c>
      <c r="AG342" s="251">
        <f t="shared" si="111"/>
        <v>7927999.9999999991</v>
      </c>
      <c r="AH342" s="241"/>
      <c r="AI342" s="241"/>
      <c r="AJ342" s="241"/>
      <c r="AK342" s="194"/>
      <c r="AL342" s="195"/>
      <c r="AM342" s="195"/>
    </row>
    <row r="343" spans="2:39" ht="31.2">
      <c r="B343" s="253">
        <v>17</v>
      </c>
      <c r="C343" s="244"/>
      <c r="D343" s="661" t="s">
        <v>3149</v>
      </c>
      <c r="E343" s="529">
        <v>306692247760</v>
      </c>
      <c r="F343" s="645" t="s">
        <v>3149</v>
      </c>
      <c r="G343" s="391" t="s">
        <v>3169</v>
      </c>
      <c r="H343" s="230" t="s">
        <v>210</v>
      </c>
      <c r="I343" s="230"/>
      <c r="J343" s="230">
        <v>2</v>
      </c>
      <c r="K343" s="230"/>
      <c r="L343" s="228"/>
      <c r="M343" s="257"/>
      <c r="N343" s="228" t="s">
        <v>3150</v>
      </c>
      <c r="O343" s="254" t="s">
        <v>3173</v>
      </c>
      <c r="P343" s="245" t="s">
        <v>3148</v>
      </c>
      <c r="Q343" s="2564"/>
      <c r="R343" s="254" t="s">
        <v>2760</v>
      </c>
      <c r="S343" s="2552"/>
      <c r="T343" s="2559"/>
      <c r="U343" s="2552"/>
      <c r="V343" s="256"/>
      <c r="W343" s="775">
        <f>1300000*2</f>
        <v>2600000</v>
      </c>
      <c r="X343" s="775">
        <v>1533600</v>
      </c>
      <c r="Y343" s="248"/>
      <c r="Z343" s="247"/>
      <c r="AA343" s="248"/>
      <c r="AB343" s="340">
        <f t="shared" si="102"/>
        <v>4133600</v>
      </c>
      <c r="AC343" s="347">
        <f>+Z343</f>
        <v>0</v>
      </c>
      <c r="AD343" s="249"/>
      <c r="AE343" s="435">
        <f>+(I343*3714000+J343*(3714000+100000))*1.08+((I343+J343+K343)*150000)*1.08</f>
        <v>8562240</v>
      </c>
      <c r="AF343" s="342">
        <f t="shared" si="108"/>
        <v>12695840</v>
      </c>
      <c r="AG343" s="251">
        <f t="shared" si="111"/>
        <v>7927999.9999999991</v>
      </c>
      <c r="AH343" s="241"/>
      <c r="AI343" s="241"/>
      <c r="AJ343" s="241"/>
      <c r="AK343" s="194"/>
      <c r="AL343" s="195"/>
      <c r="AM343" s="195"/>
    </row>
    <row r="344" spans="2:39" ht="36.75" customHeight="1">
      <c r="B344" s="253">
        <v>18</v>
      </c>
      <c r="C344" s="244"/>
      <c r="D344" s="661" t="s">
        <v>3149</v>
      </c>
      <c r="E344" s="726">
        <v>306692254100</v>
      </c>
      <c r="F344" s="645" t="s">
        <v>3149</v>
      </c>
      <c r="G344" s="391" t="s">
        <v>3171</v>
      </c>
      <c r="H344" s="230" t="s">
        <v>210</v>
      </c>
      <c r="I344" s="230"/>
      <c r="J344" s="230">
        <v>1</v>
      </c>
      <c r="K344" s="230"/>
      <c r="L344" s="228"/>
      <c r="M344" s="779" t="s">
        <v>3170</v>
      </c>
      <c r="N344" s="228" t="s">
        <v>3151</v>
      </c>
      <c r="O344" s="228" t="s">
        <v>3172</v>
      </c>
      <c r="P344" s="245" t="s">
        <v>3148</v>
      </c>
      <c r="Q344" s="2564"/>
      <c r="R344" s="254" t="s">
        <v>3152</v>
      </c>
      <c r="S344" s="2552"/>
      <c r="T344" s="2559"/>
      <c r="U344" s="2552"/>
      <c r="V344" s="256"/>
      <c r="W344" s="775">
        <v>1300000</v>
      </c>
      <c r="X344" s="775">
        <v>1140000</v>
      </c>
      <c r="Y344" s="248"/>
      <c r="Z344" s="247"/>
      <c r="AA344" s="248"/>
      <c r="AB344" s="340">
        <f t="shared" si="102"/>
        <v>2440000</v>
      </c>
      <c r="AC344" s="347">
        <f>+Z344</f>
        <v>0</v>
      </c>
      <c r="AD344" s="249"/>
      <c r="AE344" s="435">
        <f>+(I344*3714000+J344*(3714000+100000))*1.08+((I344+J344+K344)*150000)*1.08</f>
        <v>4281120</v>
      </c>
      <c r="AF344" s="342">
        <f t="shared" si="108"/>
        <v>6721120</v>
      </c>
      <c r="AG344" s="251">
        <f t="shared" si="111"/>
        <v>3963999.9999999995</v>
      </c>
      <c r="AH344" s="241"/>
      <c r="AI344" s="241"/>
      <c r="AJ344" s="241"/>
      <c r="AK344" s="194"/>
      <c r="AL344" s="195"/>
      <c r="AM344" s="195"/>
    </row>
    <row r="345" spans="2:39">
      <c r="B345" s="3811" t="s">
        <v>3132</v>
      </c>
      <c r="C345" s="3716"/>
      <c r="D345" s="3716"/>
      <c r="E345" s="3716"/>
      <c r="F345" s="3716"/>
      <c r="G345" s="3716"/>
      <c r="H345" s="3716"/>
      <c r="I345" s="3716"/>
      <c r="J345" s="3716"/>
      <c r="K345" s="3716"/>
      <c r="L345" s="3716"/>
      <c r="M345" s="346"/>
      <c r="N345" s="346"/>
      <c r="O345" s="346"/>
      <c r="P345" s="346"/>
      <c r="Q345" s="346"/>
      <c r="R345" s="346"/>
      <c r="S345" s="346"/>
      <c r="T345" s="346"/>
      <c r="U345" s="346"/>
      <c r="V345" s="590"/>
      <c r="W345" s="590"/>
      <c r="X345" s="590"/>
      <c r="Y345" s="357"/>
      <c r="Z345" s="357"/>
      <c r="AA345" s="357"/>
      <c r="AB345" s="358">
        <f>SUM(AB326:AB344)</f>
        <v>46162957</v>
      </c>
      <c r="AC345" s="358"/>
      <c r="AD345" s="358"/>
      <c r="AE345" s="358">
        <f>SUM(AE326:AE344)</f>
        <v>102180852</v>
      </c>
      <c r="AF345" s="358">
        <f>SUM(AF326:AF344)</f>
        <v>148343809</v>
      </c>
      <c r="AG345" s="358">
        <f>SUM(AG326:AG344)</f>
        <v>94611900</v>
      </c>
      <c r="AH345" s="241"/>
      <c r="AI345" s="241"/>
      <c r="AJ345" s="241"/>
      <c r="AK345" s="194"/>
      <c r="AL345" s="195"/>
      <c r="AM345" s="195"/>
    </row>
    <row r="346" spans="2:39">
      <c r="B346" s="253">
        <v>1</v>
      </c>
      <c r="C346" s="244"/>
      <c r="D346" s="661" t="s">
        <v>3194</v>
      </c>
      <c r="E346" s="726">
        <v>306711832360</v>
      </c>
      <c r="F346" s="645" t="s">
        <v>3194</v>
      </c>
      <c r="G346" s="391" t="s">
        <v>3232</v>
      </c>
      <c r="H346" s="230" t="s">
        <v>210</v>
      </c>
      <c r="I346" s="230"/>
      <c r="J346" s="230">
        <v>1</v>
      </c>
      <c r="K346" s="230"/>
      <c r="L346" s="228"/>
      <c r="M346" s="257"/>
      <c r="N346" s="228" t="s">
        <v>3195</v>
      </c>
      <c r="O346" s="228" t="s">
        <v>3230</v>
      </c>
      <c r="P346" s="245" t="s">
        <v>3199</v>
      </c>
      <c r="Q346" s="2564"/>
      <c r="R346" s="254" t="s">
        <v>2966</v>
      </c>
      <c r="S346" s="2552"/>
      <c r="T346" s="228"/>
      <c r="U346" s="2552"/>
      <c r="V346" s="256"/>
      <c r="W346" s="775">
        <v>1160000</v>
      </c>
      <c r="X346" s="775">
        <v>766800</v>
      </c>
      <c r="Y346" s="248"/>
      <c r="Z346" s="247"/>
      <c r="AA346" s="248"/>
      <c r="AB346" s="340">
        <f t="shared" ref="AB346:AB357" si="112">V346+W346+X346+Y346+Z346+AA346</f>
        <v>1926800</v>
      </c>
      <c r="AC346" s="347">
        <f>+Z346</f>
        <v>0</v>
      </c>
      <c r="AD346" s="249"/>
      <c r="AE346" s="435">
        <f t="shared" ref="AE346:AE355" si="113">+(I346*3650000+J346*(3650000+100000))*1.08+((I346+J346+K346)*150000)*1.08</f>
        <v>4212000</v>
      </c>
      <c r="AF346" s="342">
        <f>+AB346+AE346</f>
        <v>6138800</v>
      </c>
      <c r="AG346" s="251">
        <f>+AE346/1.08</f>
        <v>3899999.9999999995</v>
      </c>
      <c r="AH346" s="241"/>
      <c r="AI346" s="241"/>
      <c r="AJ346" s="241"/>
      <c r="AK346" s="194"/>
      <c r="AL346" s="195"/>
      <c r="AM346" s="195"/>
    </row>
    <row r="347" spans="2:39">
      <c r="B347" s="253">
        <v>2</v>
      </c>
      <c r="C347" s="244"/>
      <c r="D347" s="661" t="s">
        <v>3194</v>
      </c>
      <c r="E347" s="726">
        <v>306710430300</v>
      </c>
      <c r="F347" s="645" t="s">
        <v>3194</v>
      </c>
      <c r="G347" s="391" t="s">
        <v>3231</v>
      </c>
      <c r="H347" s="230" t="s">
        <v>210</v>
      </c>
      <c r="I347" s="230"/>
      <c r="J347" s="230">
        <v>1</v>
      </c>
      <c r="K347" s="230"/>
      <c r="L347" s="228"/>
      <c r="M347" s="257"/>
      <c r="N347" s="228" t="s">
        <v>3197</v>
      </c>
      <c r="O347" s="228" t="s">
        <v>3229</v>
      </c>
      <c r="P347" s="245" t="s">
        <v>3198</v>
      </c>
      <c r="Q347" s="2564"/>
      <c r="R347" s="254" t="s">
        <v>2966</v>
      </c>
      <c r="S347" s="2552"/>
      <c r="T347" s="228"/>
      <c r="U347" s="2552"/>
      <c r="V347" s="256"/>
      <c r="W347" s="775">
        <v>1160000</v>
      </c>
      <c r="X347" s="775">
        <v>766800</v>
      </c>
      <c r="Y347" s="248"/>
      <c r="Z347" s="247"/>
      <c r="AA347" s="248"/>
      <c r="AB347" s="340">
        <f t="shared" si="112"/>
        <v>1926800</v>
      </c>
      <c r="AC347" s="347">
        <f>+Z347</f>
        <v>0</v>
      </c>
      <c r="AD347" s="249"/>
      <c r="AE347" s="435">
        <f t="shared" si="113"/>
        <v>4212000</v>
      </c>
      <c r="AF347" s="342">
        <f>+AB347+AE347</f>
        <v>6138800</v>
      </c>
      <c r="AG347" s="251">
        <f>+AE347/1.08</f>
        <v>3899999.9999999995</v>
      </c>
      <c r="AH347" s="241"/>
      <c r="AI347" s="241"/>
      <c r="AJ347" s="241"/>
      <c r="AK347" s="194"/>
      <c r="AL347" s="195"/>
      <c r="AM347" s="195"/>
    </row>
    <row r="348" spans="2:39">
      <c r="B348" s="253">
        <v>3</v>
      </c>
      <c r="C348" s="244"/>
      <c r="D348" s="661" t="s">
        <v>3208</v>
      </c>
      <c r="E348" s="726">
        <v>306723938860</v>
      </c>
      <c r="F348" s="645" t="s">
        <v>3208</v>
      </c>
      <c r="G348" s="391" t="s">
        <v>3233</v>
      </c>
      <c r="H348" s="230" t="s">
        <v>210</v>
      </c>
      <c r="I348" s="230"/>
      <c r="J348" s="230">
        <v>1</v>
      </c>
      <c r="K348" s="230"/>
      <c r="L348" s="228"/>
      <c r="M348" s="257"/>
      <c r="N348" s="228" t="s">
        <v>3212</v>
      </c>
      <c r="O348" s="228" t="s">
        <v>3246</v>
      </c>
      <c r="P348" s="245" t="s">
        <v>3213</v>
      </c>
      <c r="Q348" s="2564"/>
      <c r="R348" s="254" t="s">
        <v>2966</v>
      </c>
      <c r="S348" s="2552"/>
      <c r="T348" s="228"/>
      <c r="U348" s="2552"/>
      <c r="V348" s="256"/>
      <c r="W348" s="775">
        <v>1160000</v>
      </c>
      <c r="X348" s="775">
        <v>766800</v>
      </c>
      <c r="Y348" s="248"/>
      <c r="Z348" s="247"/>
      <c r="AA348" s="248"/>
      <c r="AB348" s="340">
        <f t="shared" si="112"/>
        <v>1926800</v>
      </c>
      <c r="AC348" s="347">
        <f>+Z348</f>
        <v>0</v>
      </c>
      <c r="AD348" s="249"/>
      <c r="AE348" s="435">
        <f t="shared" si="113"/>
        <v>4212000</v>
      </c>
      <c r="AF348" s="342">
        <f>+AB348+AE348</f>
        <v>6138800</v>
      </c>
      <c r="AG348" s="251">
        <f>+AE348/1.08</f>
        <v>3899999.9999999995</v>
      </c>
      <c r="AH348" s="241"/>
      <c r="AI348" s="241"/>
      <c r="AJ348" s="241"/>
      <c r="AK348" s="194"/>
      <c r="AL348" s="195"/>
      <c r="AM348" s="195"/>
    </row>
    <row r="349" spans="2:39" ht="31.2">
      <c r="B349" s="253">
        <v>4</v>
      </c>
      <c r="C349" s="244"/>
      <c r="D349" s="661" t="s">
        <v>3237</v>
      </c>
      <c r="E349" s="463" t="s">
        <v>3238</v>
      </c>
      <c r="F349" s="645" t="s">
        <v>3239</v>
      </c>
      <c r="G349" s="391" t="s">
        <v>3243</v>
      </c>
      <c r="H349" s="230" t="s">
        <v>206</v>
      </c>
      <c r="I349" s="230"/>
      <c r="J349" s="230">
        <v>1</v>
      </c>
      <c r="K349" s="230"/>
      <c r="L349" s="228"/>
      <c r="M349" s="257"/>
      <c r="N349" s="228" t="s">
        <v>3240</v>
      </c>
      <c r="O349" s="228" t="s">
        <v>3241</v>
      </c>
      <c r="P349" s="245"/>
      <c r="Q349" s="2564"/>
      <c r="R349" s="254" t="s">
        <v>2760</v>
      </c>
      <c r="S349" s="2552"/>
      <c r="T349" s="228"/>
      <c r="U349" s="2552"/>
      <c r="V349" s="256"/>
      <c r="W349" s="324">
        <v>1312200</v>
      </c>
      <c r="X349" s="775">
        <v>1450000</v>
      </c>
      <c r="Y349" s="248"/>
      <c r="Z349" s="247"/>
      <c r="AA349" s="248"/>
      <c r="AB349" s="340">
        <f t="shared" si="112"/>
        <v>2762200</v>
      </c>
      <c r="AC349" s="347">
        <f>+Z349</f>
        <v>0</v>
      </c>
      <c r="AD349" s="249"/>
      <c r="AE349" s="435">
        <f t="shared" si="113"/>
        <v>4212000</v>
      </c>
      <c r="AF349" s="342">
        <f>+AB349+AE349</f>
        <v>6974200</v>
      </c>
      <c r="AG349" s="251">
        <f>+AE349/1.08</f>
        <v>3899999.9999999995</v>
      </c>
      <c r="AH349" s="241"/>
      <c r="AI349" s="241"/>
      <c r="AJ349" s="241"/>
      <c r="AK349" s="194"/>
      <c r="AL349" s="195"/>
      <c r="AM349" s="195"/>
    </row>
    <row r="350" spans="2:39" ht="31.2">
      <c r="B350" s="253">
        <v>5</v>
      </c>
      <c r="C350" s="244"/>
      <c r="D350" s="661" t="s">
        <v>3298</v>
      </c>
      <c r="E350" s="726">
        <v>306744993500</v>
      </c>
      <c r="F350" s="645" t="s">
        <v>3298</v>
      </c>
      <c r="G350" s="391" t="s">
        <v>3311</v>
      </c>
      <c r="H350" s="230" t="s">
        <v>210</v>
      </c>
      <c r="I350" s="230"/>
      <c r="J350" s="230">
        <v>2</v>
      </c>
      <c r="K350" s="230"/>
      <c r="L350" s="228"/>
      <c r="M350" s="257"/>
      <c r="N350" s="228" t="s">
        <v>3299</v>
      </c>
      <c r="O350" s="254" t="s">
        <v>3310</v>
      </c>
      <c r="P350" s="245" t="s">
        <v>3302</v>
      </c>
      <c r="Q350" s="2564"/>
      <c r="R350" s="254" t="s">
        <v>2966</v>
      </c>
      <c r="S350" s="2552"/>
      <c r="T350" s="228"/>
      <c r="U350" s="2552"/>
      <c r="V350" s="256"/>
      <c r="W350" s="775">
        <f>1100000+1300000</f>
        <v>2400000</v>
      </c>
      <c r="X350" s="775">
        <v>1533600</v>
      </c>
      <c r="Y350" s="248"/>
      <c r="Z350" s="247"/>
      <c r="AA350" s="248"/>
      <c r="AB350" s="340">
        <f t="shared" si="112"/>
        <v>3933600</v>
      </c>
      <c r="AC350" s="347">
        <f t="shared" ref="AC350:AC355" si="114">+Z350</f>
        <v>0</v>
      </c>
      <c r="AD350" s="249"/>
      <c r="AE350" s="435">
        <f t="shared" si="113"/>
        <v>8424000</v>
      </c>
      <c r="AF350" s="342">
        <f t="shared" ref="AF350:AF355" si="115">+AB350+AE350</f>
        <v>12357600</v>
      </c>
      <c r="AG350" s="251">
        <f t="shared" ref="AG350:AG355" si="116">+AE350/1.08</f>
        <v>7799999.9999999991</v>
      </c>
      <c r="AH350" s="241"/>
      <c r="AI350" s="241"/>
      <c r="AJ350" s="241"/>
      <c r="AK350" s="194"/>
      <c r="AL350" s="195"/>
      <c r="AM350" s="195"/>
    </row>
    <row r="351" spans="2:39" ht="31.2">
      <c r="B351" s="253">
        <v>6</v>
      </c>
      <c r="C351" s="244"/>
      <c r="D351" s="661" t="s">
        <v>3298</v>
      </c>
      <c r="E351" s="726">
        <v>306746387200</v>
      </c>
      <c r="F351" s="645" t="s">
        <v>3298</v>
      </c>
      <c r="G351" s="391" t="s">
        <v>3312</v>
      </c>
      <c r="H351" s="230" t="s">
        <v>210</v>
      </c>
      <c r="I351" s="230">
        <v>1</v>
      </c>
      <c r="J351" s="230">
        <v>1</v>
      </c>
      <c r="K351" s="230"/>
      <c r="L351" s="228"/>
      <c r="M351" s="257"/>
      <c r="N351" s="228" t="s">
        <v>3301</v>
      </c>
      <c r="O351" s="254" t="s">
        <v>3313</v>
      </c>
      <c r="P351" s="245" t="s">
        <v>3300</v>
      </c>
      <c r="Q351" s="2564"/>
      <c r="R351" s="254" t="s">
        <v>2966</v>
      </c>
      <c r="S351" s="2552"/>
      <c r="T351" s="228"/>
      <c r="U351" s="2552"/>
      <c r="V351" s="256"/>
      <c r="W351" s="775">
        <f>1160000+795000</f>
        <v>1955000</v>
      </c>
      <c r="X351" s="775">
        <v>1198800</v>
      </c>
      <c r="Y351" s="248"/>
      <c r="Z351" s="247"/>
      <c r="AA351" s="248"/>
      <c r="AB351" s="340">
        <f t="shared" si="112"/>
        <v>3153800</v>
      </c>
      <c r="AC351" s="347">
        <f t="shared" si="114"/>
        <v>0</v>
      </c>
      <c r="AD351" s="249"/>
      <c r="AE351" s="435">
        <f t="shared" si="113"/>
        <v>8316000.0000000009</v>
      </c>
      <c r="AF351" s="342">
        <f t="shared" si="115"/>
        <v>11469800</v>
      </c>
      <c r="AG351" s="251">
        <f t="shared" si="116"/>
        <v>7700000</v>
      </c>
      <c r="AH351" s="241"/>
      <c r="AI351" s="241"/>
      <c r="AJ351" s="241"/>
      <c r="AK351" s="194"/>
      <c r="AL351" s="195"/>
      <c r="AM351" s="195"/>
    </row>
    <row r="352" spans="2:39">
      <c r="B352" s="253">
        <v>7</v>
      </c>
      <c r="C352" s="244"/>
      <c r="D352" s="661" t="s">
        <v>3281</v>
      </c>
      <c r="E352" s="726">
        <v>306748136500</v>
      </c>
      <c r="F352" s="645" t="s">
        <v>3281</v>
      </c>
      <c r="G352" s="391" t="s">
        <v>3327</v>
      </c>
      <c r="H352" s="230" t="s">
        <v>210</v>
      </c>
      <c r="I352" s="230"/>
      <c r="J352" s="230">
        <v>1</v>
      </c>
      <c r="K352" s="230"/>
      <c r="L352" s="228"/>
      <c r="M352" s="257"/>
      <c r="N352" s="228">
        <v>244204550</v>
      </c>
      <c r="O352" s="228" t="s">
        <v>3326</v>
      </c>
      <c r="P352" s="245" t="s">
        <v>3303</v>
      </c>
      <c r="Q352" s="2564"/>
      <c r="R352" s="254" t="s">
        <v>2966</v>
      </c>
      <c r="S352" s="2552"/>
      <c r="T352" s="228"/>
      <c r="U352" s="2552"/>
      <c r="V352" s="256"/>
      <c r="W352" s="775">
        <v>1160000</v>
      </c>
      <c r="X352" s="775">
        <v>766800</v>
      </c>
      <c r="Y352" s="248"/>
      <c r="Z352" s="247"/>
      <c r="AA352" s="248"/>
      <c r="AB352" s="340">
        <f t="shared" si="112"/>
        <v>1926800</v>
      </c>
      <c r="AC352" s="347">
        <f t="shared" si="114"/>
        <v>0</v>
      </c>
      <c r="AD352" s="249"/>
      <c r="AE352" s="435">
        <f t="shared" si="113"/>
        <v>4212000</v>
      </c>
      <c r="AF352" s="342">
        <f t="shared" si="115"/>
        <v>6138800</v>
      </c>
      <c r="AG352" s="251">
        <f t="shared" si="116"/>
        <v>3899999.9999999995</v>
      </c>
      <c r="AH352" s="241"/>
      <c r="AI352" s="241"/>
      <c r="AJ352" s="241"/>
      <c r="AK352" s="194"/>
      <c r="AL352" s="195"/>
      <c r="AM352" s="195"/>
    </row>
    <row r="353" spans="2:40">
      <c r="B353" s="253">
        <v>8</v>
      </c>
      <c r="C353" s="244"/>
      <c r="D353" s="661" t="s">
        <v>3315</v>
      </c>
      <c r="E353" s="466">
        <v>106575011101</v>
      </c>
      <c r="F353" s="645" t="s">
        <v>3279</v>
      </c>
      <c r="G353" s="391" t="s">
        <v>3328</v>
      </c>
      <c r="H353" s="230" t="s">
        <v>206</v>
      </c>
      <c r="I353" s="230">
        <v>1</v>
      </c>
      <c r="J353" s="230"/>
      <c r="K353" s="230"/>
      <c r="L353" s="544" t="s">
        <v>136</v>
      </c>
      <c r="M353" s="257"/>
      <c r="N353" s="228" t="s">
        <v>3322</v>
      </c>
      <c r="O353" s="228" t="s">
        <v>3323</v>
      </c>
      <c r="P353" s="378" t="s">
        <v>3279</v>
      </c>
      <c r="Q353" s="2569"/>
      <c r="R353" s="254" t="s">
        <v>2760</v>
      </c>
      <c r="S353" s="2552"/>
      <c r="T353" s="228"/>
      <c r="U353" s="2552"/>
      <c r="V353" s="256"/>
      <c r="W353" s="324">
        <v>432000</v>
      </c>
      <c r="X353" s="775">
        <v>890000</v>
      </c>
      <c r="Y353" s="248"/>
      <c r="Z353" s="247"/>
      <c r="AA353" s="248"/>
      <c r="AB353" s="340">
        <f t="shared" si="112"/>
        <v>1322000</v>
      </c>
      <c r="AC353" s="347">
        <f t="shared" si="114"/>
        <v>0</v>
      </c>
      <c r="AD353" s="249"/>
      <c r="AE353" s="435">
        <f t="shared" si="113"/>
        <v>4104000.0000000005</v>
      </c>
      <c r="AF353" s="342">
        <f t="shared" si="115"/>
        <v>5426000</v>
      </c>
      <c r="AG353" s="251">
        <f t="shared" si="116"/>
        <v>3800000</v>
      </c>
      <c r="AH353" s="241"/>
      <c r="AI353" s="241"/>
      <c r="AJ353" s="241"/>
      <c r="AK353" s="194"/>
      <c r="AL353" s="195"/>
      <c r="AM353" s="195"/>
    </row>
    <row r="354" spans="2:40">
      <c r="B354" s="253">
        <v>9</v>
      </c>
      <c r="C354" s="244"/>
      <c r="D354" s="661" t="s">
        <v>3345</v>
      </c>
      <c r="E354" s="726">
        <v>306759900440</v>
      </c>
      <c r="F354" s="645" t="s">
        <v>3345</v>
      </c>
      <c r="G354" s="391" t="s">
        <v>3366</v>
      </c>
      <c r="H354" s="230" t="s">
        <v>210</v>
      </c>
      <c r="I354" s="230"/>
      <c r="J354" s="230">
        <v>1</v>
      </c>
      <c r="K354" s="230"/>
      <c r="L354" s="228"/>
      <c r="M354" s="257"/>
      <c r="N354" s="228" t="s">
        <v>3346</v>
      </c>
      <c r="O354" s="228" t="s">
        <v>3367</v>
      </c>
      <c r="P354" s="245" t="s">
        <v>3368</v>
      </c>
      <c r="Q354" s="2564"/>
      <c r="R354" s="254" t="s">
        <v>2966</v>
      </c>
      <c r="S354" s="2552"/>
      <c r="T354" s="228"/>
      <c r="U354" s="2552"/>
      <c r="V354" s="256"/>
      <c r="W354" s="775">
        <v>1160000</v>
      </c>
      <c r="X354" s="775">
        <v>766800</v>
      </c>
      <c r="Y354" s="248"/>
      <c r="Z354" s="247"/>
      <c r="AA354" s="248"/>
      <c r="AB354" s="340">
        <f t="shared" si="112"/>
        <v>1926800</v>
      </c>
      <c r="AC354" s="347">
        <f t="shared" si="114"/>
        <v>0</v>
      </c>
      <c r="AD354" s="249"/>
      <c r="AE354" s="435">
        <f t="shared" si="113"/>
        <v>4212000</v>
      </c>
      <c r="AF354" s="342">
        <f t="shared" si="115"/>
        <v>6138800</v>
      </c>
      <c r="AG354" s="251">
        <f t="shared" si="116"/>
        <v>3899999.9999999995</v>
      </c>
      <c r="AH354" s="241"/>
      <c r="AI354" s="241"/>
      <c r="AJ354" s="241"/>
      <c r="AK354" s="194"/>
      <c r="AL354" s="195"/>
      <c r="AM354" s="195"/>
    </row>
    <row r="355" spans="2:40" ht="31.2">
      <c r="B355" s="253">
        <v>10</v>
      </c>
      <c r="C355" s="244"/>
      <c r="D355" s="661" t="s">
        <v>3352</v>
      </c>
      <c r="E355" s="726">
        <v>306766932200</v>
      </c>
      <c r="F355" s="645" t="s">
        <v>3352</v>
      </c>
      <c r="G355" s="391" t="s">
        <v>3379</v>
      </c>
      <c r="H355" s="230" t="s">
        <v>210</v>
      </c>
      <c r="I355" s="230">
        <v>1</v>
      </c>
      <c r="J355" s="230"/>
      <c r="K355" s="230"/>
      <c r="L355" s="228"/>
      <c r="M355" s="257"/>
      <c r="N355" s="228" t="s">
        <v>3347</v>
      </c>
      <c r="O355" s="228" t="s">
        <v>3377</v>
      </c>
      <c r="P355" s="245" t="s">
        <v>3378</v>
      </c>
      <c r="Q355" s="2564"/>
      <c r="R355" s="254" t="s">
        <v>3351</v>
      </c>
      <c r="S355" s="2552"/>
      <c r="T355" s="228"/>
      <c r="U355" s="2552"/>
      <c r="V355" s="256"/>
      <c r="W355" s="775">
        <v>900000</v>
      </c>
      <c r="X355" s="775">
        <v>700000</v>
      </c>
      <c r="Y355" s="248"/>
      <c r="Z355" s="247"/>
      <c r="AA355" s="248"/>
      <c r="AB355" s="340">
        <f t="shared" si="112"/>
        <v>1600000</v>
      </c>
      <c r="AC355" s="347">
        <f t="shared" si="114"/>
        <v>0</v>
      </c>
      <c r="AD355" s="249"/>
      <c r="AE355" s="435">
        <f t="shared" si="113"/>
        <v>4104000.0000000005</v>
      </c>
      <c r="AF355" s="342">
        <f t="shared" si="115"/>
        <v>5704000</v>
      </c>
      <c r="AG355" s="251">
        <f t="shared" si="116"/>
        <v>3800000</v>
      </c>
      <c r="AH355" s="241"/>
      <c r="AI355" s="241"/>
      <c r="AJ355" s="241"/>
      <c r="AK355" s="194"/>
      <c r="AL355" s="195"/>
      <c r="AM355" s="195"/>
    </row>
    <row r="356" spans="2:40">
      <c r="B356" s="253">
        <v>11</v>
      </c>
      <c r="C356" s="244"/>
      <c r="D356" s="1034" t="s">
        <v>3360</v>
      </c>
      <c r="E356" s="466">
        <v>106600328000</v>
      </c>
      <c r="F356" s="645" t="s">
        <v>3388</v>
      </c>
      <c r="G356" s="391" t="s">
        <v>3394</v>
      </c>
      <c r="H356" s="230" t="s">
        <v>206</v>
      </c>
      <c r="I356" s="230"/>
      <c r="J356" s="230"/>
      <c r="K356" s="230">
        <v>1</v>
      </c>
      <c r="L356" s="490" t="s">
        <v>418</v>
      </c>
      <c r="M356" s="257" t="s">
        <v>3395</v>
      </c>
      <c r="N356" s="228" t="s">
        <v>3392</v>
      </c>
      <c r="O356" s="228"/>
      <c r="P356" s="245" t="s">
        <v>3372</v>
      </c>
      <c r="Q356" s="2564"/>
      <c r="R356" s="254" t="s">
        <v>2760</v>
      </c>
      <c r="S356" s="2552"/>
      <c r="T356" s="228"/>
      <c r="U356" s="2552"/>
      <c r="V356" s="256"/>
      <c r="W356" s="248"/>
      <c r="X356" s="248"/>
      <c r="Y356" s="248"/>
      <c r="Z356" s="247"/>
      <c r="AA356" s="248"/>
      <c r="AB356" s="340">
        <f t="shared" si="112"/>
        <v>0</v>
      </c>
      <c r="AC356" s="347">
        <f>+Z356</f>
        <v>0</v>
      </c>
      <c r="AD356" s="391" t="s">
        <v>3398</v>
      </c>
      <c r="AE356" s="435">
        <f>(150000+3700000)*1.08</f>
        <v>4158000.0000000005</v>
      </c>
      <c r="AF356" s="342">
        <f>+AB356+AE356</f>
        <v>4158000.0000000005</v>
      </c>
      <c r="AG356" s="251">
        <f>+AE356/1.08</f>
        <v>3850000</v>
      </c>
      <c r="AH356" s="241"/>
      <c r="AI356" s="241"/>
      <c r="AJ356" s="241"/>
      <c r="AK356" s="194"/>
      <c r="AL356" s="195"/>
      <c r="AM356" s="195"/>
    </row>
    <row r="357" spans="2:40">
      <c r="B357" s="253">
        <v>12</v>
      </c>
      <c r="C357" s="244"/>
      <c r="D357" s="661" t="s">
        <v>3416</v>
      </c>
      <c r="E357" s="466">
        <v>106607223700</v>
      </c>
      <c r="F357" s="615" t="s">
        <v>3360</v>
      </c>
      <c r="G357" s="391" t="s">
        <v>3396</v>
      </c>
      <c r="H357" s="230" t="s">
        <v>206</v>
      </c>
      <c r="I357" s="230"/>
      <c r="J357" s="230"/>
      <c r="K357" s="230">
        <v>1</v>
      </c>
      <c r="L357" s="490" t="s">
        <v>418</v>
      </c>
      <c r="M357" s="257" t="s">
        <v>3393</v>
      </c>
      <c r="N357" s="228" t="s">
        <v>3391</v>
      </c>
      <c r="O357" s="1024"/>
      <c r="P357" s="245" t="s">
        <v>3397</v>
      </c>
      <c r="Q357" s="2564"/>
      <c r="R357" s="254" t="s">
        <v>2760</v>
      </c>
      <c r="S357" s="2552"/>
      <c r="T357" s="228"/>
      <c r="U357" s="2552"/>
      <c r="V357" s="256"/>
      <c r="W357" s="248"/>
      <c r="X357" s="248"/>
      <c r="Y357" s="248"/>
      <c r="Z357" s="247"/>
      <c r="AA357" s="248"/>
      <c r="AB357" s="340">
        <f t="shared" si="112"/>
        <v>0</v>
      </c>
      <c r="AC357" s="347">
        <f>+Z357</f>
        <v>0</v>
      </c>
      <c r="AD357" s="249"/>
      <c r="AE357" s="435">
        <f>(150000+2520000)*1.08</f>
        <v>2883600</v>
      </c>
      <c r="AF357" s="342">
        <f>+AB357+AE357</f>
        <v>2883600</v>
      </c>
      <c r="AG357" s="251">
        <f>+AE357/1.08</f>
        <v>2670000</v>
      </c>
      <c r="AH357" s="241"/>
      <c r="AI357" s="241"/>
      <c r="AJ357" s="241"/>
      <c r="AK357" s="194"/>
      <c r="AL357" s="195"/>
      <c r="AM357" s="195"/>
    </row>
    <row r="358" spans="2:40">
      <c r="B358" s="3811" t="s">
        <v>3330</v>
      </c>
      <c r="C358" s="3716"/>
      <c r="D358" s="3716"/>
      <c r="E358" s="3716"/>
      <c r="F358" s="3716"/>
      <c r="G358" s="3716"/>
      <c r="H358" s="3716"/>
      <c r="I358" s="3716"/>
      <c r="J358" s="3716"/>
      <c r="K358" s="3716"/>
      <c r="L358" s="3716"/>
      <c r="M358" s="346"/>
      <c r="N358" s="346"/>
      <c r="O358" s="346"/>
      <c r="P358" s="346"/>
      <c r="Q358" s="346"/>
      <c r="R358" s="346"/>
      <c r="S358" s="346"/>
      <c r="T358" s="346"/>
      <c r="U358" s="346"/>
      <c r="V358" s="590"/>
      <c r="W358" s="590">
        <f>+W349+W353</f>
        <v>1744200</v>
      </c>
      <c r="X358" s="590">
        <f>+W358+'CHÍNH NGUYÊN'!T162</f>
        <v>7172000</v>
      </c>
      <c r="Y358" s="357"/>
      <c r="Z358" s="357"/>
      <c r="AA358" s="357"/>
      <c r="AB358" s="358">
        <f>SUM(AB346:AB355)</f>
        <v>22405600</v>
      </c>
      <c r="AC358" s="358"/>
      <c r="AD358" s="358"/>
      <c r="AE358" s="358">
        <f>SUM(AE346:AE355)</f>
        <v>50220000</v>
      </c>
      <c r="AF358" s="358">
        <f>SUM(AF346:AF355)</f>
        <v>72625600</v>
      </c>
      <c r="AG358" s="358">
        <f>SUM(AG346:AG355)</f>
        <v>46499999.999999993</v>
      </c>
      <c r="AH358" s="241"/>
      <c r="AI358" s="241"/>
      <c r="AJ358" s="241"/>
      <c r="AK358" s="194"/>
      <c r="AL358" s="195"/>
      <c r="AM358" s="195"/>
    </row>
    <row r="359" spans="2:40">
      <c r="B359" s="253">
        <v>1</v>
      </c>
      <c r="C359" s="244"/>
      <c r="D359" s="1034" t="s">
        <v>3360</v>
      </c>
      <c r="E359" s="726">
        <v>306781152000</v>
      </c>
      <c r="F359" s="615" t="s">
        <v>3360</v>
      </c>
      <c r="G359" s="391" t="s">
        <v>3411</v>
      </c>
      <c r="H359" s="230" t="s">
        <v>210</v>
      </c>
      <c r="I359" s="230"/>
      <c r="J359" s="230">
        <v>1</v>
      </c>
      <c r="K359" s="230"/>
      <c r="L359" s="228"/>
      <c r="M359" s="257"/>
      <c r="N359" s="228" t="s">
        <v>3384</v>
      </c>
      <c r="O359" s="245" t="s">
        <v>3410</v>
      </c>
      <c r="P359" s="245" t="s">
        <v>3385</v>
      </c>
      <c r="Q359" s="2564"/>
      <c r="R359" s="2564"/>
      <c r="S359" s="254" t="s">
        <v>2966</v>
      </c>
      <c r="T359" s="228"/>
      <c r="U359" s="2552"/>
      <c r="V359" s="256"/>
      <c r="W359" s="775">
        <v>1160000</v>
      </c>
      <c r="X359" s="775">
        <v>766800</v>
      </c>
      <c r="Y359" s="248"/>
      <c r="Z359" s="247"/>
      <c r="AA359" s="248"/>
      <c r="AB359" s="340">
        <f t="shared" ref="AB359:AB374" si="117">V359+W359+X359+Y359+Z359+AA359</f>
        <v>1926800</v>
      </c>
      <c r="AC359" s="347"/>
      <c r="AD359" s="249"/>
      <c r="AE359" s="435">
        <f>+(I359*3650000+J359*(3650000+100000))*1.08+((I359+J359+K359)*150000)*1.08</f>
        <v>4212000</v>
      </c>
      <c r="AF359" s="342">
        <f>+AB359+AE359</f>
        <v>6138800</v>
      </c>
      <c r="AG359" s="251">
        <f>+AE359/1.08</f>
        <v>3899999.9999999995</v>
      </c>
      <c r="AH359" s="241"/>
      <c r="AI359" s="241"/>
      <c r="AJ359" s="241"/>
      <c r="AK359" s="194"/>
      <c r="AL359" s="195"/>
      <c r="AM359" s="195"/>
      <c r="AN359" s="1136"/>
    </row>
    <row r="360" spans="2:40" ht="31.2">
      <c r="B360" s="253">
        <v>2</v>
      </c>
      <c r="C360" s="244"/>
      <c r="D360" s="1034" t="s">
        <v>3415</v>
      </c>
      <c r="E360" s="726">
        <v>306789199750</v>
      </c>
      <c r="F360" s="615">
        <v>45332</v>
      </c>
      <c r="G360" s="1042" t="s">
        <v>3431</v>
      </c>
      <c r="H360" s="230" t="s">
        <v>210</v>
      </c>
      <c r="I360" s="230"/>
      <c r="J360" s="230">
        <v>1</v>
      </c>
      <c r="K360" s="230"/>
      <c r="L360" s="228"/>
      <c r="M360" s="1043"/>
      <c r="N360" s="228" t="s">
        <v>3418</v>
      </c>
      <c r="O360" s="228" t="s">
        <v>3430</v>
      </c>
      <c r="P360" s="245" t="s">
        <v>3419</v>
      </c>
      <c r="Q360" s="2564"/>
      <c r="R360" s="2564"/>
      <c r="S360" s="254" t="s">
        <v>3387</v>
      </c>
      <c r="T360" s="228"/>
      <c r="U360" s="2552"/>
      <c r="V360" s="256"/>
      <c r="W360" s="775">
        <v>1458000</v>
      </c>
      <c r="X360" s="775">
        <v>1140000</v>
      </c>
      <c r="Y360" s="248"/>
      <c r="Z360" s="247"/>
      <c r="AA360" s="248"/>
      <c r="AB360" s="340">
        <f t="shared" si="117"/>
        <v>2598000</v>
      </c>
      <c r="AC360" s="347">
        <f t="shared" ref="AC360:AC383" si="118">+Z360</f>
        <v>0</v>
      </c>
      <c r="AD360" s="249"/>
      <c r="AE360" s="435">
        <f>+(I360*3650000+J360*(3650000+100000))*1.08+((I360+J360+K360)*150000)*1.08</f>
        <v>4212000</v>
      </c>
      <c r="AF360" s="342">
        <f>+AB360+AE360</f>
        <v>6810000</v>
      </c>
      <c r="AG360" s="251">
        <f t="shared" ref="AG360:AG411" si="119">+AE360/1.08</f>
        <v>3899999.9999999995</v>
      </c>
      <c r="AH360" s="241"/>
      <c r="AI360" s="241"/>
      <c r="AJ360" s="241"/>
      <c r="AK360" s="194"/>
      <c r="AL360" s="195"/>
      <c r="AM360" s="195"/>
      <c r="AN360" s="1136"/>
    </row>
    <row r="361" spans="2:40" ht="31.2">
      <c r="B361" s="253">
        <v>3</v>
      </c>
      <c r="C361" s="244"/>
      <c r="D361" s="1034" t="s">
        <v>3424</v>
      </c>
      <c r="E361" s="726">
        <v>306799266930</v>
      </c>
      <c r="F361" s="645" t="s">
        <v>3424</v>
      </c>
      <c r="G361" s="1042" t="s">
        <v>3452</v>
      </c>
      <c r="H361" s="230" t="s">
        <v>210</v>
      </c>
      <c r="I361" s="230"/>
      <c r="J361" s="230">
        <v>1</v>
      </c>
      <c r="K361" s="230"/>
      <c r="L361" s="228"/>
      <c r="M361" s="1043"/>
      <c r="N361" s="228" t="s">
        <v>3386</v>
      </c>
      <c r="O361" s="228" t="s">
        <v>3453</v>
      </c>
      <c r="P361" s="245" t="s">
        <v>3442</v>
      </c>
      <c r="Q361" s="2564"/>
      <c r="R361" s="2564"/>
      <c r="S361" s="254" t="s">
        <v>3387</v>
      </c>
      <c r="T361" s="228"/>
      <c r="U361" s="2552"/>
      <c r="V361" s="256"/>
      <c r="W361" s="775">
        <v>1450000</v>
      </c>
      <c r="X361" s="775">
        <v>1140000</v>
      </c>
      <c r="Y361" s="248"/>
      <c r="Z361" s="247"/>
      <c r="AA361" s="248"/>
      <c r="AB361" s="340">
        <f t="shared" si="117"/>
        <v>2590000</v>
      </c>
      <c r="AC361" s="347">
        <f t="shared" si="118"/>
        <v>0</v>
      </c>
      <c r="AD361" s="249"/>
      <c r="AE361" s="435">
        <f>+(I361*3650000+J361*(3650000+100000))*1.08+((I361+J361+K361)*150000)*1.08</f>
        <v>4212000</v>
      </c>
      <c r="AF361" s="342">
        <f t="shared" ref="AF361:AF414" si="120">+AB361+AE361</f>
        <v>6802000</v>
      </c>
      <c r="AG361" s="251">
        <f t="shared" si="119"/>
        <v>3899999.9999999995</v>
      </c>
      <c r="AH361" s="241"/>
      <c r="AI361" s="241"/>
      <c r="AJ361" s="241"/>
      <c r="AK361" s="194"/>
      <c r="AL361" s="195"/>
      <c r="AM361" s="195"/>
      <c r="AN361" s="1136"/>
    </row>
    <row r="362" spans="2:40">
      <c r="B362" s="253">
        <v>4</v>
      </c>
      <c r="C362" s="244"/>
      <c r="D362" s="1034" t="s">
        <v>3424</v>
      </c>
      <c r="E362" s="726">
        <v>306799027640</v>
      </c>
      <c r="F362" s="645" t="s">
        <v>3424</v>
      </c>
      <c r="G362" s="391" t="s">
        <v>3454</v>
      </c>
      <c r="H362" s="230" t="s">
        <v>210</v>
      </c>
      <c r="I362" s="230"/>
      <c r="J362" s="230">
        <v>1</v>
      </c>
      <c r="K362" s="230"/>
      <c r="L362" s="228"/>
      <c r="M362" s="257"/>
      <c r="N362" s="228" t="s">
        <v>3417</v>
      </c>
      <c r="O362" s="228" t="s">
        <v>3457</v>
      </c>
      <c r="P362" s="245" t="s">
        <v>3451</v>
      </c>
      <c r="Q362" s="2564"/>
      <c r="R362" s="2564"/>
      <c r="S362" s="254" t="s">
        <v>2966</v>
      </c>
      <c r="T362" s="228"/>
      <c r="U362" s="2552"/>
      <c r="V362" s="256"/>
      <c r="W362" s="775">
        <v>1450000</v>
      </c>
      <c r="X362" s="775">
        <v>766800</v>
      </c>
      <c r="Y362" s="248"/>
      <c r="Z362" s="247"/>
      <c r="AA362" s="248"/>
      <c r="AB362" s="340">
        <f t="shared" si="117"/>
        <v>2216800</v>
      </c>
      <c r="AC362" s="347">
        <f t="shared" si="118"/>
        <v>0</v>
      </c>
      <c r="AD362" s="249"/>
      <c r="AE362" s="435">
        <f>+(I362*3650000+J362*(3650000+100000))*1.08+((I362+J362+K362)*150000)*1.08</f>
        <v>4212000</v>
      </c>
      <c r="AF362" s="342">
        <f t="shared" si="120"/>
        <v>6428800</v>
      </c>
      <c r="AG362" s="251">
        <f t="shared" si="119"/>
        <v>3899999.9999999995</v>
      </c>
      <c r="AH362" s="241"/>
      <c r="AI362" s="241"/>
      <c r="AJ362" s="241"/>
      <c r="AK362" s="194"/>
      <c r="AL362" s="195"/>
      <c r="AM362" s="195"/>
      <c r="AN362" s="1136"/>
    </row>
    <row r="363" spans="2:40">
      <c r="B363" s="253">
        <v>5</v>
      </c>
      <c r="C363" s="244"/>
      <c r="D363" s="1034" t="s">
        <v>3450</v>
      </c>
      <c r="E363" s="726">
        <v>306806039910</v>
      </c>
      <c r="F363" s="645" t="s">
        <v>3450</v>
      </c>
      <c r="G363" s="391" t="s">
        <v>3488</v>
      </c>
      <c r="H363" s="230" t="s">
        <v>210</v>
      </c>
      <c r="I363" s="230"/>
      <c r="J363" s="230">
        <v>1</v>
      </c>
      <c r="K363" s="230"/>
      <c r="L363" s="228"/>
      <c r="M363" s="257"/>
      <c r="N363" s="228" t="s">
        <v>3455</v>
      </c>
      <c r="O363" s="228" t="s">
        <v>3487</v>
      </c>
      <c r="P363" s="245" t="s">
        <v>3456</v>
      </c>
      <c r="Q363" s="2564"/>
      <c r="R363" s="2564"/>
      <c r="S363" s="254" t="s">
        <v>2966</v>
      </c>
      <c r="T363" s="228"/>
      <c r="U363" s="2552"/>
      <c r="V363" s="256"/>
      <c r="W363" s="775">
        <v>1450000</v>
      </c>
      <c r="X363" s="775">
        <v>766800</v>
      </c>
      <c r="Y363" s="248"/>
      <c r="Z363" s="247"/>
      <c r="AA363" s="248"/>
      <c r="AB363" s="340">
        <f t="shared" si="117"/>
        <v>2216800</v>
      </c>
      <c r="AC363" s="347">
        <f t="shared" si="118"/>
        <v>0</v>
      </c>
      <c r="AD363" s="249"/>
      <c r="AE363" s="435">
        <f>+(I363*3650000+J363*(3650000+100000))*1.08+((I363+J363+K363)*150000)*1.08</f>
        <v>4212000</v>
      </c>
      <c r="AF363" s="342">
        <f t="shared" si="120"/>
        <v>6428800</v>
      </c>
      <c r="AG363" s="251">
        <f t="shared" si="119"/>
        <v>3899999.9999999995</v>
      </c>
      <c r="AH363" s="241"/>
      <c r="AI363" s="241"/>
      <c r="AJ363" s="241"/>
      <c r="AK363" s="194"/>
      <c r="AL363" s="195"/>
      <c r="AM363" s="195"/>
      <c r="AN363" s="1136"/>
    </row>
    <row r="364" spans="2:40">
      <c r="B364" s="253">
        <v>6</v>
      </c>
      <c r="C364" s="244"/>
      <c r="D364" s="1034" t="s">
        <v>3477</v>
      </c>
      <c r="E364" s="466">
        <v>106630402430</v>
      </c>
      <c r="F364" s="615">
        <v>45514</v>
      </c>
      <c r="G364" s="1054" t="s">
        <v>3484</v>
      </c>
      <c r="H364" s="230" t="s">
        <v>206</v>
      </c>
      <c r="I364" s="230"/>
      <c r="J364" s="230"/>
      <c r="K364" s="230">
        <v>1</v>
      </c>
      <c r="L364" s="490" t="s">
        <v>418</v>
      </c>
      <c r="M364" s="257" t="s">
        <v>3476</v>
      </c>
      <c r="N364" s="228" t="s">
        <v>3475</v>
      </c>
      <c r="O364" s="1055"/>
      <c r="P364" s="245">
        <v>45514</v>
      </c>
      <c r="Q364" s="2564"/>
      <c r="R364" s="2564"/>
      <c r="S364" s="254" t="s">
        <v>3493</v>
      </c>
      <c r="T364" s="228"/>
      <c r="U364" s="2552"/>
      <c r="V364" s="324">
        <v>47481</v>
      </c>
      <c r="W364" s="776"/>
      <c r="X364" s="1122"/>
      <c r="Y364" s="248"/>
      <c r="Z364" s="247"/>
      <c r="AA364" s="248"/>
      <c r="AB364" s="340">
        <f t="shared" si="117"/>
        <v>47481</v>
      </c>
      <c r="AC364" s="347">
        <f t="shared" si="118"/>
        <v>0</v>
      </c>
      <c r="AD364" s="249"/>
      <c r="AE364" s="621">
        <f>(1420000+150000)*1.08</f>
        <v>1695600</v>
      </c>
      <c r="AF364" s="342">
        <f t="shared" si="120"/>
        <v>1743081</v>
      </c>
      <c r="AG364" s="251">
        <f t="shared" si="119"/>
        <v>1570000</v>
      </c>
      <c r="AH364" s="241"/>
      <c r="AI364" s="241"/>
      <c r="AJ364" s="241"/>
      <c r="AK364" s="194"/>
      <c r="AL364" s="195"/>
      <c r="AM364" s="195"/>
      <c r="AN364" s="1136"/>
    </row>
    <row r="365" spans="2:40">
      <c r="B365" s="253">
        <v>7</v>
      </c>
      <c r="C365" s="244"/>
      <c r="D365" s="661" t="s">
        <v>3489</v>
      </c>
      <c r="E365" s="726">
        <v>306812232440</v>
      </c>
      <c r="F365" s="645" t="s">
        <v>3489</v>
      </c>
      <c r="G365" s="391" t="s">
        <v>3498</v>
      </c>
      <c r="H365" s="230" t="s">
        <v>210</v>
      </c>
      <c r="I365" s="230">
        <v>1</v>
      </c>
      <c r="J365" s="230"/>
      <c r="K365" s="230"/>
      <c r="L365" s="228"/>
      <c r="M365" s="257"/>
      <c r="N365" s="228" t="s">
        <v>3436</v>
      </c>
      <c r="O365" s="228" t="s">
        <v>3499</v>
      </c>
      <c r="P365" s="245" t="s">
        <v>3495</v>
      </c>
      <c r="Q365" s="2564"/>
      <c r="R365" s="2564"/>
      <c r="S365" s="254" t="s">
        <v>2966</v>
      </c>
      <c r="T365" s="228"/>
      <c r="U365" s="2552"/>
      <c r="V365" s="256"/>
      <c r="W365" s="775">
        <v>900000</v>
      </c>
      <c r="X365" s="775">
        <v>432000</v>
      </c>
      <c r="Y365" s="248"/>
      <c r="Z365" s="247"/>
      <c r="AA365" s="248"/>
      <c r="AB365" s="340">
        <f t="shared" si="117"/>
        <v>1332000</v>
      </c>
      <c r="AC365" s="347">
        <f t="shared" si="118"/>
        <v>0</v>
      </c>
      <c r="AD365" s="249"/>
      <c r="AE365" s="435">
        <f t="shared" ref="AE365:AE372" si="121">+(I365*3650000+J365*(3650000+100000))*1.08+((I365+J365+K365)*150000)*1.08</f>
        <v>4104000.0000000005</v>
      </c>
      <c r="AF365" s="342">
        <f t="shared" si="120"/>
        <v>5436000</v>
      </c>
      <c r="AG365" s="251">
        <f t="shared" si="119"/>
        <v>3800000</v>
      </c>
      <c r="AH365" s="241"/>
      <c r="AI365" s="241"/>
      <c r="AJ365" s="241"/>
      <c r="AK365" s="194"/>
      <c r="AL365" s="195"/>
      <c r="AM365" s="195"/>
      <c r="AN365" s="1136"/>
    </row>
    <row r="366" spans="2:40" ht="31.2">
      <c r="B366" s="253">
        <v>8</v>
      </c>
      <c r="C366" s="244"/>
      <c r="D366" s="1034" t="s">
        <v>3513</v>
      </c>
      <c r="E366" s="726">
        <v>306824415240</v>
      </c>
      <c r="F366" s="645" t="s">
        <v>3513</v>
      </c>
      <c r="G366" s="391" t="s">
        <v>3522</v>
      </c>
      <c r="H366" s="230" t="s">
        <v>210</v>
      </c>
      <c r="I366" s="230"/>
      <c r="J366" s="230">
        <v>2</v>
      </c>
      <c r="K366" s="230"/>
      <c r="L366" s="228"/>
      <c r="M366" s="257"/>
      <c r="N366" s="228" t="s">
        <v>3514</v>
      </c>
      <c r="O366" s="254" t="s">
        <v>3521</v>
      </c>
      <c r="P366" s="245" t="s">
        <v>3515</v>
      </c>
      <c r="Q366" s="2564"/>
      <c r="R366" s="2564"/>
      <c r="S366" s="254" t="s">
        <v>2966</v>
      </c>
      <c r="T366" s="228"/>
      <c r="U366" s="2552"/>
      <c r="V366" s="256"/>
      <c r="W366" s="775">
        <f>1450000+1450000</f>
        <v>2900000</v>
      </c>
      <c r="X366" s="775">
        <v>1533600</v>
      </c>
      <c r="Y366" s="248"/>
      <c r="Z366" s="247"/>
      <c r="AA366" s="248"/>
      <c r="AB366" s="340">
        <f t="shared" si="117"/>
        <v>4433600</v>
      </c>
      <c r="AC366" s="347">
        <f t="shared" si="118"/>
        <v>0</v>
      </c>
      <c r="AD366" s="249"/>
      <c r="AE366" s="435">
        <f t="shared" si="121"/>
        <v>8424000</v>
      </c>
      <c r="AF366" s="342">
        <f t="shared" si="120"/>
        <v>12857600</v>
      </c>
      <c r="AG366" s="251">
        <f t="shared" si="119"/>
        <v>7799999.9999999991</v>
      </c>
      <c r="AH366" s="241"/>
      <c r="AI366" s="241"/>
      <c r="AJ366" s="241"/>
      <c r="AK366" s="194"/>
      <c r="AL366" s="195"/>
      <c r="AM366" s="195"/>
      <c r="AN366" s="1136"/>
    </row>
    <row r="367" spans="2:40">
      <c r="B367" s="253">
        <v>9</v>
      </c>
      <c r="C367" s="244"/>
      <c r="D367" s="1034" t="s">
        <v>3507</v>
      </c>
      <c r="E367" s="726">
        <v>306828977250</v>
      </c>
      <c r="F367" s="645" t="s">
        <v>3507</v>
      </c>
      <c r="G367" s="391" t="s">
        <v>704</v>
      </c>
      <c r="H367" s="230" t="s">
        <v>210</v>
      </c>
      <c r="I367" s="230"/>
      <c r="J367" s="230">
        <v>1</v>
      </c>
      <c r="K367" s="230"/>
      <c r="L367" s="228"/>
      <c r="M367" s="257"/>
      <c r="N367" s="228" t="s">
        <v>3516</v>
      </c>
      <c r="O367" s="228" t="s">
        <v>3526</v>
      </c>
      <c r="P367" s="245" t="s">
        <v>3515</v>
      </c>
      <c r="Q367" s="2564"/>
      <c r="R367" s="2564"/>
      <c r="S367" s="254" t="s">
        <v>2966</v>
      </c>
      <c r="T367" s="228"/>
      <c r="U367" s="2552"/>
      <c r="V367" s="256"/>
      <c r="W367" s="775">
        <v>1160000</v>
      </c>
      <c r="X367" s="775">
        <v>766800</v>
      </c>
      <c r="Y367" s="248"/>
      <c r="Z367" s="247"/>
      <c r="AA367" s="248"/>
      <c r="AB367" s="340">
        <f t="shared" si="117"/>
        <v>1926800</v>
      </c>
      <c r="AC367" s="347">
        <f t="shared" si="118"/>
        <v>0</v>
      </c>
      <c r="AD367" s="249"/>
      <c r="AE367" s="435">
        <f t="shared" si="121"/>
        <v>4212000</v>
      </c>
      <c r="AF367" s="342">
        <f t="shared" si="120"/>
        <v>6138800</v>
      </c>
      <c r="AG367" s="251">
        <f t="shared" si="119"/>
        <v>3899999.9999999995</v>
      </c>
      <c r="AH367" s="241"/>
      <c r="AI367" s="241"/>
      <c r="AJ367" s="241"/>
      <c r="AK367" s="194"/>
      <c r="AL367" s="195"/>
      <c r="AM367" s="195"/>
      <c r="AN367" s="1136"/>
    </row>
    <row r="368" spans="2:40">
      <c r="B368" s="253">
        <v>10</v>
      </c>
      <c r="C368" s="244"/>
      <c r="D368" s="1034" t="s">
        <v>3507</v>
      </c>
      <c r="E368" s="726">
        <v>306827371710</v>
      </c>
      <c r="F368" s="645" t="s">
        <v>3507</v>
      </c>
      <c r="G368" s="391" t="s">
        <v>3547</v>
      </c>
      <c r="H368" s="230" t="s">
        <v>210</v>
      </c>
      <c r="I368" s="230">
        <v>1</v>
      </c>
      <c r="J368" s="230"/>
      <c r="K368" s="230"/>
      <c r="L368" s="228"/>
      <c r="M368" s="257"/>
      <c r="N368" s="228">
        <v>91228290</v>
      </c>
      <c r="O368" s="228" t="s">
        <v>3527</v>
      </c>
      <c r="P368" s="245" t="s">
        <v>3517</v>
      </c>
      <c r="Q368" s="2564"/>
      <c r="R368" s="2564"/>
      <c r="S368" s="254" t="s">
        <v>2966</v>
      </c>
      <c r="T368" s="228"/>
      <c r="U368" s="2552"/>
      <c r="V368" s="256"/>
      <c r="W368" s="775">
        <v>900000</v>
      </c>
      <c r="X368" s="775">
        <v>432000</v>
      </c>
      <c r="Y368" s="248"/>
      <c r="Z368" s="247"/>
      <c r="AA368" s="248"/>
      <c r="AB368" s="340">
        <f t="shared" si="117"/>
        <v>1332000</v>
      </c>
      <c r="AC368" s="347">
        <f t="shared" si="118"/>
        <v>0</v>
      </c>
      <c r="AD368" s="249"/>
      <c r="AE368" s="435">
        <f t="shared" si="121"/>
        <v>4104000.0000000005</v>
      </c>
      <c r="AF368" s="342">
        <f t="shared" si="120"/>
        <v>5436000</v>
      </c>
      <c r="AG368" s="251">
        <f t="shared" si="119"/>
        <v>3800000</v>
      </c>
      <c r="AH368" s="241"/>
      <c r="AI368" s="241"/>
      <c r="AJ368" s="241"/>
      <c r="AK368" s="194"/>
      <c r="AL368" s="195"/>
      <c r="AM368" s="195"/>
      <c r="AN368" s="1136"/>
    </row>
    <row r="369" spans="2:40" ht="31.2">
      <c r="B369" s="253">
        <v>11</v>
      </c>
      <c r="C369" s="244"/>
      <c r="D369" s="661" t="s">
        <v>3539</v>
      </c>
      <c r="E369" s="726">
        <v>306836388410</v>
      </c>
      <c r="F369" s="661" t="s">
        <v>3539</v>
      </c>
      <c r="G369" s="391" t="s">
        <v>3570</v>
      </c>
      <c r="H369" s="230" t="s">
        <v>210</v>
      </c>
      <c r="I369" s="230"/>
      <c r="J369" s="230">
        <v>1</v>
      </c>
      <c r="K369" s="230"/>
      <c r="L369" s="228"/>
      <c r="M369" s="257"/>
      <c r="N369" s="228" t="s">
        <v>3538</v>
      </c>
      <c r="O369" s="228" t="s">
        <v>3562</v>
      </c>
      <c r="P369" s="254" t="s">
        <v>3546</v>
      </c>
      <c r="Q369" s="2570"/>
      <c r="R369" s="2570"/>
      <c r="S369" s="254" t="s">
        <v>2966</v>
      </c>
      <c r="T369" s="228"/>
      <c r="U369" s="2552"/>
      <c r="V369" s="256"/>
      <c r="W369" s="775">
        <v>1160000</v>
      </c>
      <c r="X369" s="775">
        <v>766800</v>
      </c>
      <c r="Y369" s="248"/>
      <c r="Z369" s="247"/>
      <c r="AA369" s="248"/>
      <c r="AB369" s="340">
        <f t="shared" si="117"/>
        <v>1926800</v>
      </c>
      <c r="AC369" s="347">
        <f t="shared" si="118"/>
        <v>0</v>
      </c>
      <c r="AD369" s="249"/>
      <c r="AE369" s="435">
        <f t="shared" si="121"/>
        <v>4212000</v>
      </c>
      <c r="AF369" s="342">
        <f t="shared" si="120"/>
        <v>6138800</v>
      </c>
      <c r="AG369" s="251">
        <f t="shared" si="119"/>
        <v>3899999.9999999995</v>
      </c>
      <c r="AH369" s="241"/>
      <c r="AI369" s="241"/>
      <c r="AJ369" s="241"/>
      <c r="AK369" s="194"/>
      <c r="AL369" s="195"/>
      <c r="AM369" s="195"/>
      <c r="AN369" s="1136"/>
    </row>
    <row r="370" spans="2:40" ht="31.2">
      <c r="B370" s="253">
        <v>12</v>
      </c>
      <c r="C370" s="1063"/>
      <c r="D370" s="661" t="s">
        <v>3539</v>
      </c>
      <c r="E370" s="1064">
        <v>106659252450</v>
      </c>
      <c r="F370" s="1034" t="s">
        <v>3529</v>
      </c>
      <c r="G370" s="1105" t="s">
        <v>3890</v>
      </c>
      <c r="H370" s="1065" t="s">
        <v>1300</v>
      </c>
      <c r="I370" s="1065"/>
      <c r="J370" s="1065">
        <v>2</v>
      </c>
      <c r="K370" s="1065"/>
      <c r="L370" s="1066"/>
      <c r="M370" s="1067"/>
      <c r="N370" s="1068" t="s">
        <v>3892</v>
      </c>
      <c r="O370" s="1068" t="s">
        <v>3891</v>
      </c>
      <c r="P370" s="1068" t="s">
        <v>3893</v>
      </c>
      <c r="Q370" s="2570"/>
      <c r="R370" s="2570"/>
      <c r="S370" s="254" t="s">
        <v>2760</v>
      </c>
      <c r="T370" s="1066"/>
      <c r="U370" s="2552"/>
      <c r="V370" s="1069"/>
      <c r="W370" s="1124">
        <v>2257200</v>
      </c>
      <c r="X370" s="775">
        <f>1450000*2</f>
        <v>2900000</v>
      </c>
      <c r="Y370" s="1070"/>
      <c r="Z370" s="1071"/>
      <c r="AA370" s="1070"/>
      <c r="AB370" s="1127">
        <f t="shared" si="117"/>
        <v>5157200</v>
      </c>
      <c r="AC370" s="347">
        <f t="shared" si="118"/>
        <v>0</v>
      </c>
      <c r="AD370" s="1073"/>
      <c r="AE370" s="435">
        <f t="shared" si="121"/>
        <v>8424000</v>
      </c>
      <c r="AF370" s="342">
        <f t="shared" si="120"/>
        <v>13581200</v>
      </c>
      <c r="AG370" s="251">
        <f t="shared" si="119"/>
        <v>7799999.9999999991</v>
      </c>
      <c r="AH370" s="1075"/>
      <c r="AI370" s="1075"/>
      <c r="AJ370" s="1075"/>
      <c r="AK370" s="1072"/>
      <c r="AL370" s="1076"/>
      <c r="AM370" s="195"/>
      <c r="AN370" s="1136"/>
    </row>
    <row r="371" spans="2:40" ht="31.2">
      <c r="B371" s="253">
        <v>13</v>
      </c>
      <c r="C371" s="244"/>
      <c r="D371" s="661" t="s">
        <v>3542</v>
      </c>
      <c r="E371" s="726">
        <v>306841673850</v>
      </c>
      <c r="F371" s="645" t="s">
        <v>3542</v>
      </c>
      <c r="G371" s="391" t="s">
        <v>3907</v>
      </c>
      <c r="H371" s="230" t="s">
        <v>210</v>
      </c>
      <c r="I371" s="230"/>
      <c r="J371" s="230">
        <v>1</v>
      </c>
      <c r="K371" s="230"/>
      <c r="L371" s="228"/>
      <c r="M371" s="257"/>
      <c r="N371" s="228" t="s">
        <v>3540</v>
      </c>
      <c r="O371" s="1068" t="s">
        <v>3899</v>
      </c>
      <c r="P371" s="254" t="s">
        <v>3563</v>
      </c>
      <c r="Q371" s="2570"/>
      <c r="R371" s="2570"/>
      <c r="S371" s="254" t="s">
        <v>2966</v>
      </c>
      <c r="T371" s="228"/>
      <c r="U371" s="2552"/>
      <c r="V371" s="256"/>
      <c r="W371" s="775">
        <v>1160000</v>
      </c>
      <c r="X371" s="775">
        <v>766800</v>
      </c>
      <c r="Y371" s="248"/>
      <c r="Z371" s="247"/>
      <c r="AA371" s="248"/>
      <c r="AB371" s="340">
        <f t="shared" si="117"/>
        <v>1926800</v>
      </c>
      <c r="AC371" s="347">
        <f t="shared" si="118"/>
        <v>0</v>
      </c>
      <c r="AD371" s="249"/>
      <c r="AE371" s="435">
        <f t="shared" si="121"/>
        <v>4212000</v>
      </c>
      <c r="AF371" s="342">
        <f t="shared" si="120"/>
        <v>6138800</v>
      </c>
      <c r="AG371" s="251">
        <f t="shared" si="119"/>
        <v>3899999.9999999995</v>
      </c>
      <c r="AH371" s="241"/>
      <c r="AI371" s="241"/>
      <c r="AJ371" s="241"/>
      <c r="AK371" s="194"/>
      <c r="AL371" s="195"/>
      <c r="AM371" s="195"/>
      <c r="AN371" s="1136"/>
    </row>
    <row r="372" spans="2:40" ht="31.2">
      <c r="B372" s="253">
        <v>14</v>
      </c>
      <c r="C372" s="244"/>
      <c r="D372" s="661" t="s">
        <v>3542</v>
      </c>
      <c r="E372" s="726">
        <v>306841722260</v>
      </c>
      <c r="F372" s="645" t="s">
        <v>3542</v>
      </c>
      <c r="G372" s="391" t="s">
        <v>3908</v>
      </c>
      <c r="H372" s="230" t="s">
        <v>210</v>
      </c>
      <c r="I372" s="230"/>
      <c r="J372" s="230">
        <v>1</v>
      </c>
      <c r="K372" s="230"/>
      <c r="L372" s="228"/>
      <c r="M372" s="257"/>
      <c r="N372" s="228" t="s">
        <v>3541</v>
      </c>
      <c r="O372" s="1068" t="s">
        <v>3898</v>
      </c>
      <c r="P372" s="254" t="s">
        <v>3546</v>
      </c>
      <c r="Q372" s="2570"/>
      <c r="R372" s="2570"/>
      <c r="S372" s="254" t="s">
        <v>2966</v>
      </c>
      <c r="T372" s="228"/>
      <c r="U372" s="2552"/>
      <c r="V372" s="256"/>
      <c r="W372" s="775">
        <v>1160000</v>
      </c>
      <c r="X372" s="775">
        <v>766800</v>
      </c>
      <c r="Y372" s="248"/>
      <c r="Z372" s="247"/>
      <c r="AA372" s="248"/>
      <c r="AB372" s="340">
        <f t="shared" si="117"/>
        <v>1926800</v>
      </c>
      <c r="AC372" s="347">
        <f t="shared" si="118"/>
        <v>0</v>
      </c>
      <c r="AD372" s="249"/>
      <c r="AE372" s="435">
        <f t="shared" si="121"/>
        <v>4212000</v>
      </c>
      <c r="AF372" s="342">
        <f>+AB372+AE372</f>
        <v>6138800</v>
      </c>
      <c r="AG372" s="251">
        <f t="shared" si="119"/>
        <v>3899999.9999999995</v>
      </c>
      <c r="AH372" s="241"/>
      <c r="AI372" s="241"/>
      <c r="AJ372" s="241"/>
      <c r="AK372" s="194"/>
      <c r="AL372" s="195"/>
      <c r="AM372" s="195"/>
      <c r="AN372" s="1136"/>
    </row>
    <row r="373" spans="2:40">
      <c r="B373" s="253">
        <v>15</v>
      </c>
      <c r="C373" s="244"/>
      <c r="D373" s="661" t="s">
        <v>3553</v>
      </c>
      <c r="E373" s="466">
        <v>106662218500</v>
      </c>
      <c r="F373" s="645" t="s">
        <v>3539</v>
      </c>
      <c r="G373" s="391" t="s">
        <v>3909</v>
      </c>
      <c r="H373" s="1065" t="s">
        <v>1300</v>
      </c>
      <c r="I373" s="230"/>
      <c r="J373" s="230"/>
      <c r="K373" s="230">
        <v>1</v>
      </c>
      <c r="L373" s="228"/>
      <c r="M373" s="257" t="s">
        <v>3906</v>
      </c>
      <c r="N373" s="228" t="s">
        <v>3905</v>
      </c>
      <c r="P373" s="245"/>
      <c r="Q373" s="2564"/>
      <c r="R373" s="2564"/>
      <c r="S373" s="254"/>
      <c r="T373" s="228"/>
      <c r="U373" s="2552"/>
      <c r="V373" s="256"/>
      <c r="W373" s="248"/>
      <c r="X373" s="248"/>
      <c r="Y373" s="248"/>
      <c r="Z373" s="247"/>
      <c r="AA373" s="248"/>
      <c r="AB373" s="340">
        <f t="shared" si="117"/>
        <v>0</v>
      </c>
      <c r="AC373" s="347">
        <f t="shared" si="118"/>
        <v>0</v>
      </c>
      <c r="AD373" s="249"/>
      <c r="AE373" s="621">
        <f>(1320000+150000)*1.08</f>
        <v>1587600</v>
      </c>
      <c r="AF373" s="342">
        <f t="shared" si="120"/>
        <v>1587600</v>
      </c>
      <c r="AG373" s="251">
        <f>+AE373/1.08</f>
        <v>1470000</v>
      </c>
      <c r="AH373" s="241"/>
      <c r="AI373" s="241"/>
      <c r="AJ373" s="241"/>
      <c r="AK373" s="194"/>
      <c r="AL373" s="195"/>
      <c r="AM373" s="195"/>
      <c r="AN373" s="1136"/>
    </row>
    <row r="374" spans="2:40" ht="46.8">
      <c r="B374" s="253">
        <v>16</v>
      </c>
      <c r="C374" s="244"/>
      <c r="D374" s="661" t="s">
        <v>3921</v>
      </c>
      <c r="E374" s="466">
        <v>106675493410</v>
      </c>
      <c r="F374" s="645" t="s">
        <v>3917</v>
      </c>
      <c r="G374" s="391" t="s">
        <v>3920</v>
      </c>
      <c r="H374" s="1065" t="s">
        <v>1300</v>
      </c>
      <c r="I374" s="230"/>
      <c r="J374" s="230">
        <v>3</v>
      </c>
      <c r="K374" s="230"/>
      <c r="L374" s="228"/>
      <c r="M374" s="257"/>
      <c r="N374" s="228" t="s">
        <v>3918</v>
      </c>
      <c r="O374" s="1068" t="s">
        <v>3919</v>
      </c>
      <c r="P374" s="378" t="s">
        <v>3566</v>
      </c>
      <c r="Q374" s="2569"/>
      <c r="R374" s="2569"/>
      <c r="S374" s="254" t="s">
        <v>2760</v>
      </c>
      <c r="T374" s="228"/>
      <c r="U374" s="2552"/>
      <c r="V374" s="256"/>
      <c r="W374" s="1124">
        <v>3385800</v>
      </c>
      <c r="X374" s="775">
        <f>1450000*3</f>
        <v>4350000</v>
      </c>
      <c r="Y374" s="248"/>
      <c r="Z374" s="247"/>
      <c r="AA374" s="248"/>
      <c r="AB374" s="340">
        <f t="shared" si="117"/>
        <v>7735800</v>
      </c>
      <c r="AC374" s="347">
        <f t="shared" si="118"/>
        <v>0</v>
      </c>
      <c r="AD374" s="249"/>
      <c r="AE374" s="435">
        <f>+(I374*3650000+J374*(3650000+100000))*1.08+((I374+J374+K374)*150000)*1.08</f>
        <v>12636000</v>
      </c>
      <c r="AF374" s="342">
        <f t="shared" si="120"/>
        <v>20371800</v>
      </c>
      <c r="AG374" s="251">
        <f t="shared" si="119"/>
        <v>11700000</v>
      </c>
      <c r="AH374" s="241"/>
      <c r="AI374" s="241"/>
      <c r="AJ374" s="241"/>
      <c r="AK374" s="194"/>
      <c r="AL374" s="195"/>
      <c r="AM374" s="195"/>
      <c r="AN374" s="1136"/>
    </row>
    <row r="375" spans="2:40">
      <c r="B375" s="3811" t="s">
        <v>3560</v>
      </c>
      <c r="C375" s="3716"/>
      <c r="D375" s="3716"/>
      <c r="E375" s="3716"/>
      <c r="F375" s="3716"/>
      <c r="G375" s="3716"/>
      <c r="H375" s="3716"/>
      <c r="I375" s="3716"/>
      <c r="J375" s="3716"/>
      <c r="K375" s="3716"/>
      <c r="L375" s="3716"/>
      <c r="M375" s="346"/>
      <c r="N375" s="346"/>
      <c r="O375" s="346"/>
      <c r="P375" s="346"/>
      <c r="Q375" s="346"/>
      <c r="R375" s="346"/>
      <c r="S375" s="346"/>
      <c r="T375" s="346"/>
      <c r="U375" s="346"/>
      <c r="V375" s="590"/>
      <c r="W375" s="590">
        <f>V364+W370+W374</f>
        <v>5690481</v>
      </c>
      <c r="X375" s="590">
        <f>+W375+'CHÍNH NGUYÊN'!S175</f>
        <v>8878881</v>
      </c>
      <c r="Y375" s="357"/>
      <c r="Z375" s="357"/>
      <c r="AA375" s="357"/>
      <c r="AB375" s="358">
        <f>SUM(AB359:AB374)</f>
        <v>39293681</v>
      </c>
      <c r="AC375" s="358"/>
      <c r="AD375" s="358"/>
      <c r="AE375" s="358">
        <f>SUM(AE359:AE374)</f>
        <v>78883200</v>
      </c>
      <c r="AF375" s="358">
        <f>SUM(AF359:AF374)</f>
        <v>118176881</v>
      </c>
      <c r="AG375" s="358">
        <f>SUM(AG359:AG374)</f>
        <v>73040000</v>
      </c>
      <c r="AH375" s="241"/>
      <c r="AI375" s="241"/>
      <c r="AJ375" s="241"/>
      <c r="AK375" s="194"/>
      <c r="AL375" s="195"/>
      <c r="AM375" s="195"/>
      <c r="AN375" s="1136"/>
    </row>
    <row r="376" spans="2:40" ht="31.2">
      <c r="B376" s="253">
        <v>1</v>
      </c>
      <c r="C376" s="244"/>
      <c r="D376" s="661" t="s">
        <v>3915</v>
      </c>
      <c r="E376" s="726">
        <v>306860164500</v>
      </c>
      <c r="F376" s="615" t="s">
        <v>3915</v>
      </c>
      <c r="G376" s="391" t="s">
        <v>3941</v>
      </c>
      <c r="H376" s="230" t="s">
        <v>210</v>
      </c>
      <c r="I376" s="230"/>
      <c r="J376" s="230">
        <v>1</v>
      </c>
      <c r="K376" s="230"/>
      <c r="L376" s="228"/>
      <c r="M376" s="257"/>
      <c r="N376" s="228" t="s">
        <v>3925</v>
      </c>
      <c r="O376" s="1068" t="s">
        <v>3940</v>
      </c>
      <c r="P376" s="1139" t="s">
        <v>3928</v>
      </c>
      <c r="Q376" s="2571"/>
      <c r="R376" s="2571"/>
      <c r="S376" s="254" t="s">
        <v>3927</v>
      </c>
      <c r="T376" s="228"/>
      <c r="U376" s="2552"/>
      <c r="V376" s="256"/>
      <c r="W376" s="775">
        <v>1160000</v>
      </c>
      <c r="X376" s="775">
        <v>1160000</v>
      </c>
      <c r="Y376" s="248"/>
      <c r="Z376" s="247"/>
      <c r="AA376" s="248"/>
      <c r="AB376" s="340">
        <f t="shared" ref="AB376:AB384" si="122">V376+W376+X376+Y376+Z376+AA376</f>
        <v>2320000</v>
      </c>
      <c r="AC376" s="347">
        <f t="shared" si="118"/>
        <v>0</v>
      </c>
      <c r="AD376" s="249"/>
      <c r="AE376" s="435">
        <f t="shared" ref="AE376:AE383" si="123">+(I376*3650000+J376*(3650000+100000))*1.08+((I376+J376+K376)*150000)*1.08</f>
        <v>4212000</v>
      </c>
      <c r="AF376" s="342">
        <f>+AB376+AE376</f>
        <v>6532000</v>
      </c>
      <c r="AG376" s="251">
        <f>+AE376/1.08</f>
        <v>3899999.9999999995</v>
      </c>
      <c r="AH376" s="241"/>
      <c r="AI376" s="241"/>
      <c r="AJ376" s="241"/>
      <c r="AK376" s="194"/>
      <c r="AL376" s="195"/>
      <c r="AM376" s="195"/>
    </row>
    <row r="377" spans="2:40" ht="31.2">
      <c r="B377" s="253">
        <v>2</v>
      </c>
      <c r="C377" s="244"/>
      <c r="D377" s="661" t="s">
        <v>3915</v>
      </c>
      <c r="E377" s="726">
        <v>306861671560</v>
      </c>
      <c r="F377" s="615" t="s">
        <v>3915</v>
      </c>
      <c r="G377" s="391" t="s">
        <v>3943</v>
      </c>
      <c r="H377" s="230" t="s">
        <v>210</v>
      </c>
      <c r="I377" s="230"/>
      <c r="J377" s="230">
        <v>1</v>
      </c>
      <c r="K377" s="230"/>
      <c r="L377" s="228"/>
      <c r="M377" s="257"/>
      <c r="N377" s="228" t="s">
        <v>3926</v>
      </c>
      <c r="O377" s="1068" t="s">
        <v>3942</v>
      </c>
      <c r="P377" s="1139" t="s">
        <v>3929</v>
      </c>
      <c r="Q377" s="2571"/>
      <c r="R377" s="2571"/>
      <c r="S377" s="254" t="s">
        <v>3927</v>
      </c>
      <c r="T377" s="228"/>
      <c r="U377" s="2552"/>
      <c r="V377" s="256"/>
      <c r="W377" s="775">
        <v>1160000</v>
      </c>
      <c r="X377" s="775">
        <v>1160000</v>
      </c>
      <c r="Y377" s="248"/>
      <c r="Z377" s="247"/>
      <c r="AA377" s="248"/>
      <c r="AB377" s="340">
        <f t="shared" si="122"/>
        <v>2320000</v>
      </c>
      <c r="AC377" s="347">
        <f t="shared" si="118"/>
        <v>0</v>
      </c>
      <c r="AD377" s="249"/>
      <c r="AE377" s="435">
        <f t="shared" si="123"/>
        <v>4212000</v>
      </c>
      <c r="AF377" s="342">
        <f>+AB377+AE377</f>
        <v>6532000</v>
      </c>
      <c r="AG377" s="251">
        <f>+AE377/1.08</f>
        <v>3899999.9999999995</v>
      </c>
      <c r="AH377" s="241"/>
      <c r="AI377" s="241"/>
      <c r="AJ377" s="241"/>
      <c r="AK377" s="194"/>
      <c r="AL377" s="195"/>
      <c r="AM377" s="195"/>
    </row>
    <row r="378" spans="2:40" ht="31.2">
      <c r="B378" s="253">
        <v>3</v>
      </c>
      <c r="C378" s="244"/>
      <c r="D378" s="661" t="s">
        <v>3934</v>
      </c>
      <c r="E378" s="726">
        <v>306867301440</v>
      </c>
      <c r="F378" s="615" t="s">
        <v>3934</v>
      </c>
      <c r="G378" s="391" t="s">
        <v>3958</v>
      </c>
      <c r="H378" s="230" t="s">
        <v>210</v>
      </c>
      <c r="I378" s="230"/>
      <c r="J378" s="230">
        <v>1</v>
      </c>
      <c r="K378" s="230"/>
      <c r="L378" s="228"/>
      <c r="M378" s="257"/>
      <c r="N378" s="228" t="s">
        <v>3944</v>
      </c>
      <c r="O378" s="1068" t="s">
        <v>3956</v>
      </c>
      <c r="P378" s="1139" t="s">
        <v>3946</v>
      </c>
      <c r="Q378" s="2571"/>
      <c r="R378" s="2571"/>
      <c r="S378" s="254" t="s">
        <v>2966</v>
      </c>
      <c r="T378" s="228"/>
      <c r="U378" s="2552"/>
      <c r="V378" s="256"/>
      <c r="W378" s="775">
        <v>1400000</v>
      </c>
      <c r="X378" s="775">
        <v>766800</v>
      </c>
      <c r="Y378" s="248"/>
      <c r="Z378" s="247"/>
      <c r="AA378" s="248"/>
      <c r="AB378" s="340">
        <f t="shared" si="122"/>
        <v>2166800</v>
      </c>
      <c r="AC378" s="347">
        <f t="shared" si="118"/>
        <v>0</v>
      </c>
      <c r="AD378" s="249"/>
      <c r="AE378" s="435">
        <f t="shared" si="123"/>
        <v>4212000</v>
      </c>
      <c r="AF378" s="342">
        <f t="shared" si="120"/>
        <v>6378800</v>
      </c>
      <c r="AG378" s="251">
        <f t="shared" si="119"/>
        <v>3899999.9999999995</v>
      </c>
      <c r="AH378" s="241"/>
      <c r="AI378" s="241"/>
      <c r="AJ378" s="241"/>
      <c r="AK378" s="194"/>
      <c r="AL378" s="195"/>
      <c r="AM378" s="195"/>
    </row>
    <row r="379" spans="2:40" ht="31.2">
      <c r="B379" s="253">
        <v>4</v>
      </c>
      <c r="C379" s="244"/>
      <c r="D379" s="661" t="s">
        <v>3934</v>
      </c>
      <c r="E379" s="726">
        <v>306867433520</v>
      </c>
      <c r="F379" s="615" t="s">
        <v>3934</v>
      </c>
      <c r="G379" s="391" t="s">
        <v>3959</v>
      </c>
      <c r="H379" s="230" t="s">
        <v>210</v>
      </c>
      <c r="I379" s="230"/>
      <c r="J379" s="230">
        <v>1</v>
      </c>
      <c r="K379" s="230"/>
      <c r="L379" s="228"/>
      <c r="M379" s="257"/>
      <c r="N379" s="228" t="s">
        <v>3945</v>
      </c>
      <c r="O379" s="1068" t="s">
        <v>3957</v>
      </c>
      <c r="P379" s="1139" t="s">
        <v>3947</v>
      </c>
      <c r="Q379" s="2571"/>
      <c r="R379" s="2571"/>
      <c r="S379" s="254" t="s">
        <v>2966</v>
      </c>
      <c r="T379" s="228"/>
      <c r="U379" s="2552"/>
      <c r="V379" s="256"/>
      <c r="W379" s="775">
        <v>1160000</v>
      </c>
      <c r="X379" s="775">
        <v>766800</v>
      </c>
      <c r="Y379" s="248"/>
      <c r="Z379" s="247"/>
      <c r="AA379" s="248"/>
      <c r="AB379" s="340">
        <f t="shared" si="122"/>
        <v>1926800</v>
      </c>
      <c r="AC379" s="347">
        <f t="shared" si="118"/>
        <v>0</v>
      </c>
      <c r="AD379" s="249"/>
      <c r="AE379" s="435">
        <f t="shared" si="123"/>
        <v>4212000</v>
      </c>
      <c r="AF379" s="342">
        <f t="shared" si="120"/>
        <v>6138800</v>
      </c>
      <c r="AG379" s="251">
        <f t="shared" si="119"/>
        <v>3899999.9999999995</v>
      </c>
      <c r="AH379" s="241"/>
      <c r="AI379" s="241"/>
      <c r="AJ379" s="241"/>
      <c r="AK379" s="194"/>
      <c r="AL379" s="195"/>
      <c r="AM379" s="195"/>
    </row>
    <row r="380" spans="2:40">
      <c r="B380" s="253">
        <v>5</v>
      </c>
      <c r="C380" s="244"/>
      <c r="D380" s="661" t="s">
        <v>3965</v>
      </c>
      <c r="E380" s="726">
        <v>306875719420</v>
      </c>
      <c r="F380" s="645" t="s">
        <v>3965</v>
      </c>
      <c r="G380" s="391" t="s">
        <v>3967</v>
      </c>
      <c r="H380" s="230" t="s">
        <v>210</v>
      </c>
      <c r="I380" s="230"/>
      <c r="J380" s="230">
        <v>1</v>
      </c>
      <c r="K380" s="230"/>
      <c r="L380" s="228"/>
      <c r="M380" s="257"/>
      <c r="N380" s="228">
        <v>8897767960</v>
      </c>
      <c r="O380" s="1068" t="s">
        <v>4038</v>
      </c>
      <c r="P380" s="245" t="s">
        <v>3966</v>
      </c>
      <c r="Q380" s="2564"/>
      <c r="R380" s="2564"/>
      <c r="S380" s="254" t="s">
        <v>2760</v>
      </c>
      <c r="T380" s="228"/>
      <c r="U380" s="2552"/>
      <c r="V380" s="256"/>
      <c r="W380" s="775">
        <v>1430000</v>
      </c>
      <c r="X380" s="775">
        <v>766800</v>
      </c>
      <c r="Y380" s="248"/>
      <c r="Z380" s="247"/>
      <c r="AA380" s="248"/>
      <c r="AB380" s="340">
        <f t="shared" si="122"/>
        <v>2196800</v>
      </c>
      <c r="AC380" s="347">
        <f t="shared" si="118"/>
        <v>0</v>
      </c>
      <c r="AD380" s="249"/>
      <c r="AE380" s="435">
        <f t="shared" si="123"/>
        <v>4212000</v>
      </c>
      <c r="AF380" s="342">
        <f t="shared" si="120"/>
        <v>6408800</v>
      </c>
      <c r="AG380" s="251">
        <f t="shared" si="119"/>
        <v>3899999.9999999995</v>
      </c>
      <c r="AH380" s="241"/>
      <c r="AI380" s="241"/>
      <c r="AJ380" s="241"/>
      <c r="AK380" s="194"/>
      <c r="AL380" s="195"/>
      <c r="AM380" s="195"/>
    </row>
    <row r="381" spans="2:40" ht="31.2">
      <c r="B381" s="253">
        <v>6</v>
      </c>
      <c r="C381" s="244"/>
      <c r="D381" s="661" t="s">
        <v>3963</v>
      </c>
      <c r="E381" s="726">
        <v>306882406260</v>
      </c>
      <c r="F381" s="645" t="s">
        <v>3963</v>
      </c>
      <c r="G381" s="391" t="s">
        <v>3980</v>
      </c>
      <c r="H381" s="230" t="s">
        <v>210</v>
      </c>
      <c r="I381" s="230"/>
      <c r="J381" s="230">
        <v>1</v>
      </c>
      <c r="K381" s="230"/>
      <c r="L381" s="228"/>
      <c r="M381" s="257"/>
      <c r="N381" s="228" t="s">
        <v>3973</v>
      </c>
      <c r="O381" s="1068" t="s">
        <v>3979</v>
      </c>
      <c r="P381" s="1139" t="s">
        <v>3974</v>
      </c>
      <c r="Q381" s="2571"/>
      <c r="R381" s="2571"/>
      <c r="S381" s="254" t="s">
        <v>3975</v>
      </c>
      <c r="T381" s="228"/>
      <c r="U381" s="2552"/>
      <c r="V381" s="256"/>
      <c r="W381" s="775">
        <v>1450000</v>
      </c>
      <c r="X381" s="775">
        <v>1140000</v>
      </c>
      <c r="Y381" s="248"/>
      <c r="Z381" s="247"/>
      <c r="AA381" s="248"/>
      <c r="AB381" s="340">
        <f t="shared" si="122"/>
        <v>2590000</v>
      </c>
      <c r="AC381" s="347">
        <f t="shared" si="118"/>
        <v>0</v>
      </c>
      <c r="AD381" s="249"/>
      <c r="AE381" s="435">
        <f t="shared" si="123"/>
        <v>4212000</v>
      </c>
      <c r="AF381" s="342">
        <f t="shared" si="120"/>
        <v>6802000</v>
      </c>
      <c r="AG381" s="251">
        <f t="shared" si="119"/>
        <v>3899999.9999999995</v>
      </c>
      <c r="AH381" s="241"/>
      <c r="AI381" s="241"/>
      <c r="AJ381" s="241"/>
      <c r="AK381" s="194"/>
      <c r="AL381" s="195"/>
      <c r="AM381" s="195"/>
    </row>
    <row r="382" spans="2:40" ht="31.2">
      <c r="B382" s="253">
        <v>7</v>
      </c>
      <c r="C382" s="244"/>
      <c r="D382" s="661" t="s">
        <v>3988</v>
      </c>
      <c r="E382" s="726">
        <v>306894332640</v>
      </c>
      <c r="F382" s="1221" t="s">
        <v>3988</v>
      </c>
      <c r="G382" s="391" t="s">
        <v>4000</v>
      </c>
      <c r="H382" s="230" t="s">
        <v>210</v>
      </c>
      <c r="I382" s="230"/>
      <c r="J382" s="230">
        <v>1</v>
      </c>
      <c r="K382" s="230"/>
      <c r="L382" s="228"/>
      <c r="M382" s="257"/>
      <c r="N382" s="228" t="s">
        <v>3989</v>
      </c>
      <c r="O382" s="1068" t="s">
        <v>3998</v>
      </c>
      <c r="P382" s="1139" t="s">
        <v>3990</v>
      </c>
      <c r="Q382" s="2571"/>
      <c r="R382" s="2571"/>
      <c r="S382" s="254" t="s">
        <v>3975</v>
      </c>
      <c r="T382" s="228"/>
      <c r="U382" s="2552"/>
      <c r="V382" s="256"/>
      <c r="W382" s="775">
        <v>1425000</v>
      </c>
      <c r="X382" s="775">
        <v>1140000</v>
      </c>
      <c r="Y382" s="248"/>
      <c r="Z382" s="247"/>
      <c r="AA382" s="248"/>
      <c r="AB382" s="340">
        <f t="shared" si="122"/>
        <v>2565000</v>
      </c>
      <c r="AC382" s="347">
        <f t="shared" si="118"/>
        <v>0</v>
      </c>
      <c r="AD382" s="249"/>
      <c r="AE382" s="435">
        <f t="shared" si="123"/>
        <v>4212000</v>
      </c>
      <c r="AF382" s="342">
        <f t="shared" si="120"/>
        <v>6777000</v>
      </c>
      <c r="AG382" s="251">
        <f t="shared" si="119"/>
        <v>3899999.9999999995</v>
      </c>
      <c r="AH382" s="241"/>
      <c r="AI382" s="241"/>
      <c r="AJ382" s="241"/>
      <c r="AK382" s="194"/>
      <c r="AL382" s="195"/>
      <c r="AM382" s="195"/>
    </row>
    <row r="383" spans="2:40" ht="31.2">
      <c r="B383" s="253">
        <v>8</v>
      </c>
      <c r="C383" s="244"/>
      <c r="D383" s="661" t="s">
        <v>4018</v>
      </c>
      <c r="E383" s="726">
        <v>306926955440</v>
      </c>
      <c r="F383" s="1161" t="s">
        <v>4018</v>
      </c>
      <c r="G383" s="1220" t="s">
        <v>4058</v>
      </c>
      <c r="H383" s="230" t="s">
        <v>210</v>
      </c>
      <c r="I383" s="230">
        <v>1</v>
      </c>
      <c r="J383" s="230"/>
      <c r="K383" s="230"/>
      <c r="L383" s="228"/>
      <c r="M383" s="257"/>
      <c r="N383" s="228" t="s">
        <v>4026</v>
      </c>
      <c r="O383" s="1068" t="s">
        <v>4059</v>
      </c>
      <c r="P383" s="1139" t="s">
        <v>4027</v>
      </c>
      <c r="Q383" s="2571"/>
      <c r="R383" s="2571"/>
      <c r="S383" s="254" t="s">
        <v>2760</v>
      </c>
      <c r="T383" s="228"/>
      <c r="U383" s="2552"/>
      <c r="V383" s="256"/>
      <c r="W383" s="775">
        <v>795000</v>
      </c>
      <c r="X383" s="775">
        <v>432000</v>
      </c>
      <c r="Y383" s="248"/>
      <c r="Z383" s="247"/>
      <c r="AA383" s="248"/>
      <c r="AB383" s="340">
        <f t="shared" si="122"/>
        <v>1227000</v>
      </c>
      <c r="AC383" s="347">
        <f t="shared" si="118"/>
        <v>0</v>
      </c>
      <c r="AD383" s="249"/>
      <c r="AE383" s="435">
        <f t="shared" si="123"/>
        <v>4104000.0000000005</v>
      </c>
      <c r="AF383" s="342">
        <f t="shared" si="120"/>
        <v>5331000</v>
      </c>
      <c r="AG383" s="251">
        <f t="shared" si="119"/>
        <v>3800000</v>
      </c>
      <c r="AH383" s="241"/>
      <c r="AI383" s="241"/>
      <c r="AJ383" s="241"/>
      <c r="AK383" s="194"/>
      <c r="AL383" s="195"/>
      <c r="AM383" s="195"/>
    </row>
    <row r="384" spans="2:40">
      <c r="B384" s="253">
        <v>9</v>
      </c>
      <c r="C384" s="244"/>
      <c r="D384" s="1071" t="s">
        <v>4052</v>
      </c>
      <c r="E384" s="726">
        <v>306933707050</v>
      </c>
      <c r="F384" s="1209" t="s">
        <v>4052</v>
      </c>
      <c r="G384" s="1228" t="s">
        <v>4080</v>
      </c>
      <c r="H384" s="230" t="s">
        <v>210</v>
      </c>
      <c r="I384" s="1065"/>
      <c r="J384" s="1065">
        <v>1</v>
      </c>
      <c r="K384" s="1065"/>
      <c r="L384" s="1066"/>
      <c r="M384" s="257"/>
      <c r="N384" s="254" t="s">
        <v>4088</v>
      </c>
      <c r="O384" s="1068" t="s">
        <v>4076</v>
      </c>
      <c r="P384" s="1230" t="s">
        <v>4077</v>
      </c>
      <c r="Q384" s="2572"/>
      <c r="R384" s="2572"/>
      <c r="S384" s="254" t="s">
        <v>2966</v>
      </c>
      <c r="T384" s="228"/>
      <c r="U384" s="2552"/>
      <c r="V384" s="256"/>
      <c r="W384" s="775">
        <v>1150000</v>
      </c>
      <c r="X384" s="775">
        <v>766800</v>
      </c>
      <c r="Y384" s="248"/>
      <c r="Z384" s="247"/>
      <c r="AA384" s="248"/>
      <c r="AB384" s="340">
        <f t="shared" si="122"/>
        <v>1916800</v>
      </c>
      <c r="AC384" s="347">
        <f>+Z384</f>
        <v>0</v>
      </c>
      <c r="AD384" s="391" t="s">
        <v>4089</v>
      </c>
      <c r="AE384" s="435">
        <f>+(I384*3650000+J384*(3650000+100000))*1.08+((I384+J384+K384)*150000)*1.08+(2000000*1.08)</f>
        <v>6372000</v>
      </c>
      <c r="AF384" s="342">
        <f>+AB384+AE384</f>
        <v>8288800</v>
      </c>
      <c r="AG384" s="251">
        <f>+AE384/1.08</f>
        <v>5900000</v>
      </c>
      <c r="AH384" s="241"/>
      <c r="AI384" s="241"/>
      <c r="AJ384" s="241"/>
      <c r="AK384" s="194"/>
      <c r="AL384" s="195"/>
      <c r="AM384" s="195"/>
    </row>
    <row r="385" spans="2:40" ht="21">
      <c r="B385" s="1233">
        <v>10</v>
      </c>
      <c r="C385" s="1234"/>
      <c r="D385" s="1235" t="s">
        <v>4127</v>
      </c>
      <c r="E385" s="1252">
        <v>106760962820</v>
      </c>
      <c r="F385" s="1236" t="s">
        <v>4096</v>
      </c>
      <c r="G385" s="1237" t="s">
        <v>4110</v>
      </c>
      <c r="H385" s="1238" t="s">
        <v>1300</v>
      </c>
      <c r="I385" s="1238"/>
      <c r="J385" s="1238"/>
      <c r="K385" s="1238">
        <v>1</v>
      </c>
      <c r="L385" s="1239"/>
      <c r="M385" s="1240" t="s">
        <v>4109</v>
      </c>
      <c r="N385" s="1239" t="s">
        <v>4108</v>
      </c>
      <c r="O385" s="1241"/>
      <c r="P385" s="1242"/>
      <c r="Q385" s="2571"/>
      <c r="R385" s="2571"/>
      <c r="S385" s="1241"/>
      <c r="T385" s="1239"/>
      <c r="U385" s="2552"/>
      <c r="V385" s="1124">
        <v>75993</v>
      </c>
      <c r="W385" s="1253"/>
      <c r="X385" s="1253"/>
      <c r="Y385" s="1243"/>
      <c r="Z385" s="1244"/>
      <c r="AA385" s="1243"/>
      <c r="AB385" s="1245"/>
      <c r="AC385" s="1246"/>
      <c r="AD385" s="1247"/>
      <c r="AE385" s="435">
        <f>(1320000+150000)*1.08</f>
        <v>1587600</v>
      </c>
      <c r="AF385" s="342">
        <f>+AB385+AE385</f>
        <v>1587600</v>
      </c>
      <c r="AG385" s="1248">
        <f>+AE385/1.08</f>
        <v>1470000</v>
      </c>
      <c r="AH385" s="1249"/>
      <c r="AI385" s="1249"/>
      <c r="AJ385" s="1249"/>
      <c r="AK385" s="1250"/>
      <c r="AL385" s="1251"/>
      <c r="AM385" s="1251"/>
    </row>
    <row r="386" spans="2:40">
      <c r="B386" s="3811" t="s">
        <v>4086</v>
      </c>
      <c r="C386" s="3716"/>
      <c r="D386" s="3716"/>
      <c r="E386" s="3716"/>
      <c r="F386" s="3716"/>
      <c r="G386" s="3716"/>
      <c r="H386" s="3716"/>
      <c r="I386" s="3716"/>
      <c r="J386" s="3716"/>
      <c r="K386" s="3716"/>
      <c r="L386" s="3716"/>
      <c r="M386" s="346"/>
      <c r="N386" s="346"/>
      <c r="O386" s="346"/>
      <c r="P386" s="346"/>
      <c r="Q386" s="346"/>
      <c r="R386" s="346"/>
      <c r="S386" s="346"/>
      <c r="T386" s="346"/>
      <c r="U386" s="346"/>
      <c r="V386" s="590"/>
      <c r="W386" s="590">
        <f>SUM(W376:W385)</f>
        <v>11130000</v>
      </c>
      <c r="X386" s="590">
        <f>+W386+'CHÍNH NGUYÊN'!S185</f>
        <v>11130000</v>
      </c>
      <c r="Y386" s="357"/>
      <c r="Z386" s="357"/>
      <c r="AA386" s="357"/>
      <c r="AB386" s="358">
        <f>SUM(AB369:AB385)</f>
        <v>77196281</v>
      </c>
      <c r="AC386" s="358"/>
      <c r="AD386" s="358"/>
      <c r="AE386" s="358">
        <f>SUM(AE376:AE385)</f>
        <v>41547600</v>
      </c>
      <c r="AF386" s="358">
        <f>SUM(AF376:AF385)</f>
        <v>60776800</v>
      </c>
      <c r="AG386" s="358">
        <f>SUM(AG376:AG385)</f>
        <v>38470000</v>
      </c>
      <c r="AH386" s="241"/>
      <c r="AI386" s="241"/>
      <c r="AJ386" s="241"/>
      <c r="AK386" s="194"/>
      <c r="AL386" s="195"/>
      <c r="AM386" s="195"/>
      <c r="AN386" s="1136"/>
    </row>
    <row r="387" spans="2:40" ht="31.2">
      <c r="B387" s="253">
        <v>1</v>
      </c>
      <c r="C387" s="244"/>
      <c r="D387" s="661" t="s">
        <v>4053</v>
      </c>
      <c r="E387" s="726">
        <v>306937659400</v>
      </c>
      <c r="F387" s="1125" t="s">
        <v>4053</v>
      </c>
      <c r="G387" s="1220" t="s">
        <v>4101</v>
      </c>
      <c r="H387" s="230" t="s">
        <v>210</v>
      </c>
      <c r="I387" s="230"/>
      <c r="J387" s="230">
        <v>1</v>
      </c>
      <c r="K387" s="230"/>
      <c r="L387" s="228"/>
      <c r="M387" s="1231"/>
      <c r="N387" s="228" t="s">
        <v>4070</v>
      </c>
      <c r="O387" s="1068" t="s">
        <v>4094</v>
      </c>
      <c r="P387" s="1139" t="s">
        <v>4103</v>
      </c>
      <c r="Q387" s="2571"/>
      <c r="R387" s="2571"/>
      <c r="S387" s="254" t="s">
        <v>2966</v>
      </c>
      <c r="T387" s="228"/>
      <c r="U387" s="2552"/>
      <c r="V387" s="256"/>
      <c r="W387" s="775">
        <v>1160000</v>
      </c>
      <c r="X387" s="775">
        <v>766800</v>
      </c>
      <c r="Y387" s="248"/>
      <c r="Z387" s="247"/>
      <c r="AA387" s="248"/>
      <c r="AB387" s="340">
        <f t="shared" ref="AB387:AB412" si="124">V387+W387+X387+Y387+Z387+AA387</f>
        <v>1926800</v>
      </c>
      <c r="AC387" s="347">
        <f t="shared" ref="AC387:AC442" si="125">+Z387</f>
        <v>0</v>
      </c>
      <c r="AD387" s="249"/>
      <c r="AE387" s="435">
        <f t="shared" ref="AE387:AE393" si="126">+(I387*3650000+J387*(3650000+100000))*1.08+((I387+J387+K387)*150000)*1.08</f>
        <v>4212000</v>
      </c>
      <c r="AF387" s="342">
        <f t="shared" si="120"/>
        <v>6138800</v>
      </c>
      <c r="AG387" s="251">
        <f t="shared" si="119"/>
        <v>3899999.9999999995</v>
      </c>
      <c r="AH387" s="241"/>
      <c r="AI387" s="241"/>
      <c r="AJ387" s="241"/>
      <c r="AK387" s="194"/>
      <c r="AL387" s="195"/>
      <c r="AM387" s="195"/>
    </row>
    <row r="388" spans="2:40" ht="31.2">
      <c r="B388" s="253">
        <v>2</v>
      </c>
      <c r="C388" s="244"/>
      <c r="D388" s="661" t="s">
        <v>4053</v>
      </c>
      <c r="E388" s="726">
        <v>306936493640</v>
      </c>
      <c r="F388" s="1125" t="s">
        <v>4053</v>
      </c>
      <c r="G388" s="1264" t="s">
        <v>4084</v>
      </c>
      <c r="H388" s="230" t="s">
        <v>210</v>
      </c>
      <c r="I388" s="230"/>
      <c r="J388" s="230">
        <v>2</v>
      </c>
      <c r="K388" s="230"/>
      <c r="L388" s="228"/>
      <c r="M388" s="257"/>
      <c r="N388" s="1227">
        <v>235402106552</v>
      </c>
      <c r="O388" s="1068" t="s">
        <v>4083</v>
      </c>
      <c r="P388" s="1139" t="s">
        <v>4102</v>
      </c>
      <c r="Q388" s="2571"/>
      <c r="R388" s="2571"/>
      <c r="S388" s="254" t="s">
        <v>4078</v>
      </c>
      <c r="T388" s="228"/>
      <c r="U388" s="2552"/>
      <c r="V388" s="256"/>
      <c r="W388" s="775">
        <f>1450000*2</f>
        <v>2900000</v>
      </c>
      <c r="X388" s="775">
        <f>1140000*2</f>
        <v>2280000</v>
      </c>
      <c r="Y388" s="248"/>
      <c r="Z388" s="247"/>
      <c r="AA388" s="248"/>
      <c r="AB388" s="340">
        <f t="shared" si="124"/>
        <v>5180000</v>
      </c>
      <c r="AC388" s="347">
        <f t="shared" si="125"/>
        <v>0</v>
      </c>
      <c r="AD388" s="249"/>
      <c r="AE388" s="435">
        <f t="shared" si="126"/>
        <v>8424000</v>
      </c>
      <c r="AF388" s="342">
        <f t="shared" si="120"/>
        <v>13604000</v>
      </c>
      <c r="AG388" s="251">
        <f t="shared" si="119"/>
        <v>7799999.9999999991</v>
      </c>
      <c r="AH388" s="241"/>
      <c r="AI388" s="241"/>
      <c r="AJ388" s="241"/>
      <c r="AK388" s="194"/>
      <c r="AL388" s="195"/>
      <c r="AM388" s="195"/>
    </row>
    <row r="389" spans="2:40" ht="31.2">
      <c r="B389" s="253">
        <v>3</v>
      </c>
      <c r="C389" s="244"/>
      <c r="D389" s="661" t="s">
        <v>4085</v>
      </c>
      <c r="E389" s="726">
        <v>306940090720</v>
      </c>
      <c r="F389" s="1125" t="s">
        <v>4085</v>
      </c>
      <c r="G389" s="1220" t="s">
        <v>4099</v>
      </c>
      <c r="H389" s="230" t="s">
        <v>210</v>
      </c>
      <c r="I389" s="230"/>
      <c r="J389" s="230">
        <v>1</v>
      </c>
      <c r="K389" s="230"/>
      <c r="L389" s="228"/>
      <c r="M389" s="257"/>
      <c r="N389" s="228">
        <v>11816780</v>
      </c>
      <c r="O389" s="1068" t="s">
        <v>4097</v>
      </c>
      <c r="P389" s="1139" t="s">
        <v>4092</v>
      </c>
      <c r="Q389" s="2571"/>
      <c r="R389" s="2571"/>
      <c r="S389" s="254" t="s">
        <v>4091</v>
      </c>
      <c r="T389" s="228"/>
      <c r="U389" s="2552"/>
      <c r="V389" s="256"/>
      <c r="W389" s="775">
        <v>1450000</v>
      </c>
      <c r="X389" s="775">
        <v>1140000</v>
      </c>
      <c r="Y389" s="248"/>
      <c r="Z389" s="247"/>
      <c r="AA389" s="248"/>
      <c r="AB389" s="340">
        <f t="shared" si="124"/>
        <v>2590000</v>
      </c>
      <c r="AC389" s="347">
        <f t="shared" si="125"/>
        <v>0</v>
      </c>
      <c r="AD389" s="249"/>
      <c r="AE389" s="435">
        <f t="shared" si="126"/>
        <v>4212000</v>
      </c>
      <c r="AF389" s="342">
        <f t="shared" si="120"/>
        <v>6802000</v>
      </c>
      <c r="AG389" s="251">
        <f t="shared" si="119"/>
        <v>3899999.9999999995</v>
      </c>
      <c r="AH389" s="241"/>
      <c r="AI389" s="241"/>
      <c r="AJ389" s="241"/>
      <c r="AK389" s="194"/>
      <c r="AL389" s="195"/>
      <c r="AM389" s="195"/>
    </row>
    <row r="390" spans="2:40" ht="31.2">
      <c r="B390" s="253">
        <v>4</v>
      </c>
      <c r="C390" s="244"/>
      <c r="D390" s="661" t="s">
        <v>4085</v>
      </c>
      <c r="E390" s="726">
        <v>306939657160</v>
      </c>
      <c r="F390" s="1125" t="s">
        <v>4085</v>
      </c>
      <c r="G390" s="1220" t="s">
        <v>4100</v>
      </c>
      <c r="H390" s="230" t="s">
        <v>210</v>
      </c>
      <c r="I390" s="230"/>
      <c r="J390" s="230">
        <v>1</v>
      </c>
      <c r="K390" s="230"/>
      <c r="L390" s="228"/>
      <c r="M390" s="257"/>
      <c r="N390" s="228" t="s">
        <v>4090</v>
      </c>
      <c r="O390" s="1068" t="s">
        <v>4098</v>
      </c>
      <c r="P390" s="1139" t="s">
        <v>4093</v>
      </c>
      <c r="Q390" s="2571"/>
      <c r="R390" s="2571"/>
      <c r="S390" s="254" t="s">
        <v>2966</v>
      </c>
      <c r="T390" s="228"/>
      <c r="U390" s="2552"/>
      <c r="V390" s="256"/>
      <c r="W390" s="775">
        <v>1250000</v>
      </c>
      <c r="X390" s="775">
        <v>766800</v>
      </c>
      <c r="Y390" s="248"/>
      <c r="Z390" s="247"/>
      <c r="AA390" s="248"/>
      <c r="AB390" s="340">
        <f t="shared" si="124"/>
        <v>2016800</v>
      </c>
      <c r="AC390" s="347">
        <f t="shared" si="125"/>
        <v>0</v>
      </c>
      <c r="AD390" s="391"/>
      <c r="AE390" s="607">
        <f t="shared" si="126"/>
        <v>4212000</v>
      </c>
      <c r="AF390" s="342">
        <f t="shared" si="120"/>
        <v>6228800</v>
      </c>
      <c r="AG390" s="251">
        <f t="shared" si="119"/>
        <v>3899999.9999999995</v>
      </c>
      <c r="AH390" s="241"/>
      <c r="AI390" s="241"/>
      <c r="AJ390" s="241"/>
      <c r="AK390" s="194"/>
      <c r="AL390" s="195"/>
      <c r="AM390" s="195"/>
    </row>
    <row r="391" spans="2:40" ht="31.2">
      <c r="B391" s="253">
        <v>5</v>
      </c>
      <c r="C391" s="244"/>
      <c r="D391" s="661" t="s">
        <v>4096</v>
      </c>
      <c r="E391" s="726">
        <v>306943547910</v>
      </c>
      <c r="F391" s="1125" t="s">
        <v>4096</v>
      </c>
      <c r="G391" s="1220" t="s">
        <v>4112</v>
      </c>
      <c r="H391" s="230" t="s">
        <v>210</v>
      </c>
      <c r="I391" s="230">
        <v>1</v>
      </c>
      <c r="J391" s="230"/>
      <c r="K391" s="230"/>
      <c r="L391" s="228"/>
      <c r="M391" s="257"/>
      <c r="N391" s="228" t="s">
        <v>4095</v>
      </c>
      <c r="O391" s="228" t="s">
        <v>4107</v>
      </c>
      <c r="P391" s="1139" t="s">
        <v>4186</v>
      </c>
      <c r="Q391" s="2571"/>
      <c r="R391" s="2571"/>
      <c r="S391" s="254" t="s">
        <v>2966</v>
      </c>
      <c r="T391" s="228"/>
      <c r="U391" s="2552"/>
      <c r="V391" s="256"/>
      <c r="W391" s="775">
        <v>900000</v>
      </c>
      <c r="X391" s="775">
        <v>432000</v>
      </c>
      <c r="Y391" s="248"/>
      <c r="Z391" s="247"/>
      <c r="AA391" s="248"/>
      <c r="AB391" s="340">
        <f t="shared" si="124"/>
        <v>1332000</v>
      </c>
      <c r="AC391" s="347">
        <f t="shared" si="125"/>
        <v>0</v>
      </c>
      <c r="AD391" s="249"/>
      <c r="AE391" s="435">
        <f t="shared" si="126"/>
        <v>4104000.0000000005</v>
      </c>
      <c r="AF391" s="342">
        <f t="shared" si="120"/>
        <v>5436000</v>
      </c>
      <c r="AG391" s="251">
        <f t="shared" si="119"/>
        <v>3800000</v>
      </c>
      <c r="AH391" s="241"/>
      <c r="AI391" s="241"/>
      <c r="AJ391" s="241"/>
      <c r="AK391" s="194"/>
      <c r="AL391" s="195"/>
      <c r="AM391" s="195"/>
    </row>
    <row r="392" spans="2:40" ht="31.2">
      <c r="B392" s="253">
        <v>6</v>
      </c>
      <c r="C392" s="244"/>
      <c r="D392" s="1254">
        <v>45334</v>
      </c>
      <c r="E392" s="726">
        <v>306954892550</v>
      </c>
      <c r="F392" s="645" t="s">
        <v>4130</v>
      </c>
      <c r="G392" s="391" t="s">
        <v>4133</v>
      </c>
      <c r="H392" s="230" t="s">
        <v>210</v>
      </c>
      <c r="I392" s="230">
        <v>1</v>
      </c>
      <c r="J392" s="230"/>
      <c r="K392" s="230"/>
      <c r="L392" s="228"/>
      <c r="M392" s="257"/>
      <c r="N392" s="228" t="s">
        <v>4119</v>
      </c>
      <c r="O392" s="228" t="s">
        <v>4132</v>
      </c>
      <c r="P392" s="1230" t="s">
        <v>4187</v>
      </c>
      <c r="Q392" s="2572"/>
      <c r="R392" s="2572"/>
      <c r="S392" s="254" t="s">
        <v>2947</v>
      </c>
      <c r="T392" s="228"/>
      <c r="U392" s="2552"/>
      <c r="V392" s="256"/>
      <c r="W392" s="775">
        <v>334800</v>
      </c>
      <c r="X392" s="775">
        <v>351000</v>
      </c>
      <c r="Y392" s="248"/>
      <c r="Z392" s="247"/>
      <c r="AA392" s="248"/>
      <c r="AB392" s="340">
        <f t="shared" si="124"/>
        <v>685800</v>
      </c>
      <c r="AC392" s="347">
        <f t="shared" si="125"/>
        <v>0</v>
      </c>
      <c r="AD392" s="249"/>
      <c r="AE392" s="435">
        <f t="shared" si="126"/>
        <v>4104000.0000000005</v>
      </c>
      <c r="AF392" s="342">
        <f t="shared" si="120"/>
        <v>4789800</v>
      </c>
      <c r="AG392" s="251">
        <f t="shared" si="119"/>
        <v>3800000</v>
      </c>
      <c r="AH392" s="241"/>
      <c r="AI392" s="241"/>
      <c r="AJ392" s="241"/>
      <c r="AK392" s="194"/>
      <c r="AL392" s="195"/>
      <c r="AM392" s="195"/>
    </row>
    <row r="393" spans="2:40" ht="31.2">
      <c r="B393" s="253">
        <v>7</v>
      </c>
      <c r="C393" s="244"/>
      <c r="D393" s="1254">
        <v>45363</v>
      </c>
      <c r="E393" s="726">
        <v>306956426950</v>
      </c>
      <c r="F393" s="615">
        <v>45363</v>
      </c>
      <c r="G393" s="391" t="s">
        <v>4136</v>
      </c>
      <c r="H393" s="230" t="s">
        <v>210</v>
      </c>
      <c r="I393" s="230"/>
      <c r="J393" s="230">
        <v>1</v>
      </c>
      <c r="K393" s="230"/>
      <c r="L393" s="228"/>
      <c r="M393" s="257"/>
      <c r="N393" s="1227">
        <v>235402280454</v>
      </c>
      <c r="O393" s="228" t="s">
        <v>4135</v>
      </c>
      <c r="P393" s="1139" t="s">
        <v>4188</v>
      </c>
      <c r="Q393" s="2571"/>
      <c r="R393" s="2571"/>
      <c r="S393" s="254" t="s">
        <v>2947</v>
      </c>
      <c r="T393" s="228"/>
      <c r="U393" s="2552"/>
      <c r="V393" s="256"/>
      <c r="W393" s="775">
        <v>1500000</v>
      </c>
      <c r="X393" s="775">
        <v>602640</v>
      </c>
      <c r="Y393" s="248"/>
      <c r="Z393" s="247"/>
      <c r="AA393" s="248"/>
      <c r="AB393" s="340">
        <f t="shared" si="124"/>
        <v>2102640</v>
      </c>
      <c r="AC393" s="347">
        <f t="shared" si="125"/>
        <v>0</v>
      </c>
      <c r="AD393" s="249"/>
      <c r="AE393" s="435">
        <f t="shared" si="126"/>
        <v>4212000</v>
      </c>
      <c r="AF393" s="342">
        <f t="shared" si="120"/>
        <v>6314640</v>
      </c>
      <c r="AG393" s="251">
        <f t="shared" si="119"/>
        <v>3899999.9999999995</v>
      </c>
      <c r="AH393" s="241"/>
      <c r="AI393" s="241"/>
      <c r="AJ393" s="241"/>
      <c r="AK393" s="194"/>
      <c r="AL393" s="195"/>
      <c r="AM393" s="195"/>
    </row>
    <row r="394" spans="2:40">
      <c r="B394" s="253">
        <v>8</v>
      </c>
      <c r="C394" s="244"/>
      <c r="D394" s="661" t="s">
        <v>4149</v>
      </c>
      <c r="E394" s="1266">
        <v>106775884351</v>
      </c>
      <c r="F394" s="615">
        <v>45394</v>
      </c>
      <c r="G394" s="391" t="s">
        <v>4150</v>
      </c>
      <c r="H394" s="230" t="s">
        <v>1300</v>
      </c>
      <c r="I394" s="230"/>
      <c r="J394" s="230"/>
      <c r="K394" s="230">
        <v>1</v>
      </c>
      <c r="L394" s="228"/>
      <c r="M394" s="1240" t="s">
        <v>4148</v>
      </c>
      <c r="N394" s="1227" t="s">
        <v>4147</v>
      </c>
      <c r="O394" s="1232"/>
      <c r="P394" s="245"/>
      <c r="Q394" s="2564"/>
      <c r="R394" s="2564"/>
      <c r="S394" s="254" t="s">
        <v>3493</v>
      </c>
      <c r="T394" s="228"/>
      <c r="U394" s="2552"/>
      <c r="V394" s="1124">
        <v>30869</v>
      </c>
      <c r="X394" s="248"/>
      <c r="Y394" s="248"/>
      <c r="Z394" s="247"/>
      <c r="AA394" s="248"/>
      <c r="AB394" s="340">
        <f t="shared" si="124"/>
        <v>30869</v>
      </c>
      <c r="AC394" s="347">
        <f t="shared" si="125"/>
        <v>0</v>
      </c>
      <c r="AD394" s="391" t="s">
        <v>4152</v>
      </c>
      <c r="AE394" s="607">
        <f>(2520000+150000)*1.08+(500000*1.08)</f>
        <v>3423600</v>
      </c>
      <c r="AF394" s="342">
        <f t="shared" si="120"/>
        <v>3454469</v>
      </c>
      <c r="AG394" s="251">
        <f t="shared" si="119"/>
        <v>3170000</v>
      </c>
      <c r="AH394" s="241"/>
      <c r="AI394" s="241"/>
      <c r="AJ394" s="241"/>
      <c r="AK394" s="194"/>
      <c r="AL394" s="195"/>
      <c r="AM394" s="195"/>
    </row>
    <row r="395" spans="2:40" ht="31.2">
      <c r="B395" s="253">
        <v>9</v>
      </c>
      <c r="C395" s="244"/>
      <c r="D395" s="661" t="s">
        <v>4149</v>
      </c>
      <c r="E395" s="726">
        <v>306968028530</v>
      </c>
      <c r="F395" s="645" t="s">
        <v>4149</v>
      </c>
      <c r="G395" s="391" t="s">
        <v>4165</v>
      </c>
      <c r="H395" s="230" t="s">
        <v>210</v>
      </c>
      <c r="I395" s="230"/>
      <c r="J395" s="230">
        <v>2</v>
      </c>
      <c r="K395" s="230"/>
      <c r="L395" s="228"/>
      <c r="M395" s="257"/>
      <c r="N395" s="228" t="s">
        <v>4151</v>
      </c>
      <c r="O395" s="254" t="s">
        <v>4164</v>
      </c>
      <c r="P395" s="1230" t="s">
        <v>4189</v>
      </c>
      <c r="Q395" s="2572"/>
      <c r="R395" s="2572"/>
      <c r="S395" s="254" t="s">
        <v>3927</v>
      </c>
      <c r="T395" s="228"/>
      <c r="U395" s="2552"/>
      <c r="V395" s="256"/>
      <c r="W395" s="775">
        <f>1450000*2</f>
        <v>2900000</v>
      </c>
      <c r="X395" s="775">
        <v>2320000</v>
      </c>
      <c r="Y395" s="248"/>
      <c r="Z395" s="247"/>
      <c r="AA395" s="248"/>
      <c r="AB395" s="340">
        <f t="shared" si="124"/>
        <v>5220000</v>
      </c>
      <c r="AC395" s="347">
        <f t="shared" si="125"/>
        <v>0</v>
      </c>
      <c r="AD395" s="249"/>
      <c r="AE395" s="435">
        <f>+(I395*3650000+J395*(3650000+100000))*1.08+((I395+J395+K395)*150000)*1.08</f>
        <v>8424000</v>
      </c>
      <c r="AF395" s="342">
        <f t="shared" si="120"/>
        <v>13644000</v>
      </c>
      <c r="AG395" s="251">
        <f t="shared" si="119"/>
        <v>7799999.9999999991</v>
      </c>
      <c r="AH395" s="241"/>
      <c r="AI395" s="241"/>
      <c r="AJ395" s="241"/>
      <c r="AK395" s="194"/>
      <c r="AL395" s="195"/>
      <c r="AM395" s="195"/>
    </row>
    <row r="396" spans="2:40" ht="31.2">
      <c r="B396" s="253">
        <v>10</v>
      </c>
      <c r="C396" s="1234"/>
      <c r="D396" s="1235" t="s">
        <v>4163</v>
      </c>
      <c r="E396" s="1268">
        <v>106779673600</v>
      </c>
      <c r="F396" s="1274" t="s">
        <v>4183</v>
      </c>
      <c r="G396" s="1257" t="s">
        <v>4166</v>
      </c>
      <c r="H396" s="1238" t="s">
        <v>1300</v>
      </c>
      <c r="I396" s="1238"/>
      <c r="J396" s="1238"/>
      <c r="K396" s="1238">
        <v>1</v>
      </c>
      <c r="L396" s="1239"/>
      <c r="M396" s="1240" t="s">
        <v>4160</v>
      </c>
      <c r="N396" s="228" t="s">
        <v>4161</v>
      </c>
      <c r="O396" s="1270"/>
      <c r="P396" s="245"/>
      <c r="Q396" s="2564"/>
      <c r="R396" s="2564"/>
      <c r="S396" s="254" t="s">
        <v>3167</v>
      </c>
      <c r="T396" s="1239"/>
      <c r="U396" s="2552"/>
      <c r="V396" s="1269"/>
      <c r="W396" s="1122"/>
      <c r="X396" s="1122"/>
      <c r="Y396" s="1243"/>
      <c r="Z396" s="1244"/>
      <c r="AA396" s="1243"/>
      <c r="AB396" s="340">
        <f t="shared" si="124"/>
        <v>0</v>
      </c>
      <c r="AC396" s="347">
        <f t="shared" si="125"/>
        <v>0</v>
      </c>
      <c r="AD396" s="391" t="s">
        <v>4162</v>
      </c>
      <c r="AE396" s="607">
        <f>(1420000+150000)*1.08</f>
        <v>1695600</v>
      </c>
      <c r="AF396" s="342">
        <f t="shared" si="120"/>
        <v>1695600</v>
      </c>
      <c r="AG396" s="251">
        <f t="shared" si="119"/>
        <v>1570000</v>
      </c>
      <c r="AH396" s="1249"/>
      <c r="AI396" s="1249"/>
      <c r="AJ396" s="1249"/>
      <c r="AK396" s="1250"/>
      <c r="AL396" s="1251"/>
      <c r="AM396" s="1251"/>
    </row>
    <row r="397" spans="2:40" ht="31.2">
      <c r="B397" s="253">
        <v>11</v>
      </c>
      <c r="C397" s="244"/>
      <c r="D397" s="661" t="s">
        <v>4156</v>
      </c>
      <c r="E397" s="726">
        <v>306972728700</v>
      </c>
      <c r="F397" s="645" t="s">
        <v>4156</v>
      </c>
      <c r="G397" s="391" t="s">
        <v>4192</v>
      </c>
      <c r="H397" s="230" t="s">
        <v>210</v>
      </c>
      <c r="I397" s="230">
        <v>1</v>
      </c>
      <c r="J397" s="230"/>
      <c r="K397" s="230"/>
      <c r="L397" s="228"/>
      <c r="M397" s="257"/>
      <c r="N397" s="228" t="s">
        <v>4157</v>
      </c>
      <c r="O397" s="254" t="s">
        <v>4185</v>
      </c>
      <c r="P397" s="1230" t="s">
        <v>4175</v>
      </c>
      <c r="Q397" s="2572"/>
      <c r="R397" s="2572"/>
      <c r="S397" s="254" t="s">
        <v>2966</v>
      </c>
      <c r="T397" s="228"/>
      <c r="U397" s="2552"/>
      <c r="V397" s="256"/>
      <c r="W397" s="775">
        <v>885000</v>
      </c>
      <c r="X397" s="775">
        <v>432000</v>
      </c>
      <c r="Y397" s="248"/>
      <c r="Z397" s="247"/>
      <c r="AA397" s="248"/>
      <c r="AB397" s="340">
        <f t="shared" si="124"/>
        <v>1317000</v>
      </c>
      <c r="AC397" s="347">
        <f t="shared" si="125"/>
        <v>0</v>
      </c>
      <c r="AD397" s="249"/>
      <c r="AE397" s="435">
        <f t="shared" ref="AE397:AE411" si="127">+(I397*3650000+J397*(3650000+100000))*1.08+((I397+J397+K397)*150000)*1.08</f>
        <v>4104000.0000000005</v>
      </c>
      <c r="AF397" s="342">
        <f t="shared" si="120"/>
        <v>5421000</v>
      </c>
      <c r="AG397" s="251">
        <f t="shared" si="119"/>
        <v>3800000</v>
      </c>
      <c r="AH397" s="241"/>
      <c r="AI397" s="241"/>
      <c r="AJ397" s="241"/>
      <c r="AK397" s="194"/>
      <c r="AL397" s="195"/>
      <c r="AM397" s="195"/>
    </row>
    <row r="398" spans="2:40" ht="31.2">
      <c r="B398" s="253">
        <v>12</v>
      </c>
      <c r="C398" s="244"/>
      <c r="D398" s="661" t="s">
        <v>4156</v>
      </c>
      <c r="E398" s="726">
        <v>306972636520</v>
      </c>
      <c r="F398" s="645" t="s">
        <v>4156</v>
      </c>
      <c r="G398" s="391" t="s">
        <v>4193</v>
      </c>
      <c r="H398" s="230" t="s">
        <v>210</v>
      </c>
      <c r="I398" s="230"/>
      <c r="J398" s="230">
        <v>1</v>
      </c>
      <c r="K398" s="230"/>
      <c r="L398" s="228"/>
      <c r="M398" s="257"/>
      <c r="N398" s="228" t="s">
        <v>4158</v>
      </c>
      <c r="O398" s="254" t="s">
        <v>4184</v>
      </c>
      <c r="P398" s="1230" t="s">
        <v>4175</v>
      </c>
      <c r="Q398" s="2572"/>
      <c r="R398" s="2572"/>
      <c r="S398" s="254" t="s">
        <v>2966</v>
      </c>
      <c r="T398" s="228"/>
      <c r="U398" s="2552"/>
      <c r="V398" s="256"/>
      <c r="W398" s="775">
        <v>1400000</v>
      </c>
      <c r="X398" s="775">
        <v>766800</v>
      </c>
      <c r="Y398" s="248"/>
      <c r="Z398" s="247"/>
      <c r="AA398" s="248"/>
      <c r="AB398" s="340">
        <f t="shared" si="124"/>
        <v>2166800</v>
      </c>
      <c r="AC398" s="347">
        <f t="shared" si="125"/>
        <v>0</v>
      </c>
      <c r="AD398" s="249"/>
      <c r="AE398" s="435">
        <f t="shared" si="127"/>
        <v>4212000</v>
      </c>
      <c r="AF398" s="342">
        <f t="shared" si="120"/>
        <v>6378800</v>
      </c>
      <c r="AG398" s="251">
        <f t="shared" si="119"/>
        <v>3899999.9999999995</v>
      </c>
      <c r="AH398" s="241"/>
      <c r="AI398" s="241"/>
      <c r="AJ398" s="241"/>
      <c r="AK398" s="194"/>
      <c r="AL398" s="195"/>
      <c r="AM398" s="195"/>
    </row>
    <row r="399" spans="2:40" ht="31.2">
      <c r="B399" s="253">
        <v>13</v>
      </c>
      <c r="C399" s="244"/>
      <c r="D399" s="661" t="s">
        <v>4176</v>
      </c>
      <c r="E399" s="726">
        <v>306974724030</v>
      </c>
      <c r="F399" s="645" t="s">
        <v>4176</v>
      </c>
      <c r="G399" s="391" t="s">
        <v>4196</v>
      </c>
      <c r="H399" s="230" t="s">
        <v>210</v>
      </c>
      <c r="I399" s="230">
        <v>1</v>
      </c>
      <c r="J399" s="230"/>
      <c r="K399" s="230"/>
      <c r="L399" s="228"/>
      <c r="M399" s="1251"/>
      <c r="N399" s="228" t="s">
        <v>4177</v>
      </c>
      <c r="O399" s="254" t="s">
        <v>4194</v>
      </c>
      <c r="P399" s="1280" t="s">
        <v>4238</v>
      </c>
      <c r="Q399" s="2573"/>
      <c r="R399" s="2573"/>
      <c r="S399" s="1271" t="s">
        <v>4181</v>
      </c>
      <c r="T399" s="228"/>
      <c r="U399" s="2552"/>
      <c r="V399" s="256"/>
      <c r="W399" s="775">
        <v>900000</v>
      </c>
      <c r="X399" s="775">
        <v>710000</v>
      </c>
      <c r="Y399" s="248"/>
      <c r="Z399" s="247"/>
      <c r="AA399" s="248"/>
      <c r="AB399" s="340">
        <f t="shared" si="124"/>
        <v>1610000</v>
      </c>
      <c r="AC399" s="347">
        <f t="shared" si="125"/>
        <v>0</v>
      </c>
      <c r="AD399" s="196"/>
      <c r="AE399" s="435">
        <f t="shared" si="127"/>
        <v>4104000.0000000005</v>
      </c>
      <c r="AF399" s="342">
        <f t="shared" si="120"/>
        <v>5714000</v>
      </c>
      <c r="AG399" s="251">
        <f t="shared" si="119"/>
        <v>3800000</v>
      </c>
      <c r="AH399" s="241"/>
      <c r="AI399" s="241"/>
      <c r="AJ399" s="241"/>
      <c r="AK399" s="194"/>
      <c r="AL399" s="195"/>
      <c r="AM399" s="195"/>
    </row>
    <row r="400" spans="2:40" ht="31.2">
      <c r="B400" s="253">
        <v>14</v>
      </c>
      <c r="C400" s="244"/>
      <c r="D400" s="661" t="s">
        <v>4176</v>
      </c>
      <c r="E400" s="726">
        <v>306975483530</v>
      </c>
      <c r="F400" s="645" t="s">
        <v>4176</v>
      </c>
      <c r="G400" s="391" t="s">
        <v>4197</v>
      </c>
      <c r="H400" s="230" t="s">
        <v>210</v>
      </c>
      <c r="I400" s="230">
        <v>1</v>
      </c>
      <c r="J400" s="230"/>
      <c r="K400" s="230"/>
      <c r="L400" s="228"/>
      <c r="M400" s="1275"/>
      <c r="N400" s="228" t="s">
        <v>4178</v>
      </c>
      <c r="O400" s="254" t="s">
        <v>4195</v>
      </c>
      <c r="P400" s="1273" t="s">
        <v>4237</v>
      </c>
      <c r="Q400" s="2574"/>
      <c r="R400" s="2574"/>
      <c r="S400" s="1272" t="s">
        <v>2966</v>
      </c>
      <c r="T400" s="228"/>
      <c r="U400" s="2552"/>
      <c r="V400" s="256"/>
      <c r="W400" s="775">
        <v>900000</v>
      </c>
      <c r="X400" s="775">
        <v>432000</v>
      </c>
      <c r="Y400" s="248"/>
      <c r="Z400" s="247"/>
      <c r="AA400" s="248"/>
      <c r="AB400" s="340">
        <f t="shared" si="124"/>
        <v>1332000</v>
      </c>
      <c r="AC400" s="347">
        <f t="shared" si="125"/>
        <v>0</v>
      </c>
      <c r="AD400" s="249"/>
      <c r="AE400" s="435">
        <f t="shared" si="127"/>
        <v>4104000.0000000005</v>
      </c>
      <c r="AF400" s="342">
        <f t="shared" si="120"/>
        <v>5436000</v>
      </c>
      <c r="AG400" s="251">
        <f t="shared" si="119"/>
        <v>3800000</v>
      </c>
      <c r="AH400" s="241"/>
      <c r="AI400" s="241"/>
      <c r="AJ400" s="241"/>
      <c r="AK400" s="194"/>
      <c r="AL400" s="195"/>
      <c r="AM400" s="195"/>
    </row>
    <row r="401" spans="2:40" ht="31.2">
      <c r="B401" s="253">
        <v>15</v>
      </c>
      <c r="C401" s="244"/>
      <c r="D401" s="661" t="s">
        <v>4172</v>
      </c>
      <c r="E401" s="726">
        <v>306979149910</v>
      </c>
      <c r="F401" s="645" t="s">
        <v>4172</v>
      </c>
      <c r="G401" s="391" t="s">
        <v>4206</v>
      </c>
      <c r="H401" s="230" t="s">
        <v>210</v>
      </c>
      <c r="I401" s="230"/>
      <c r="J401" s="230">
        <v>1</v>
      </c>
      <c r="K401" s="230"/>
      <c r="L401" s="228"/>
      <c r="M401" s="1275"/>
      <c r="N401" s="228" t="s">
        <v>4179</v>
      </c>
      <c r="O401" s="254" t="s">
        <v>4204</v>
      </c>
      <c r="P401" s="1273" t="s">
        <v>4182</v>
      </c>
      <c r="Q401" s="2574"/>
      <c r="R401" s="2574"/>
      <c r="S401" s="1272" t="s">
        <v>2966</v>
      </c>
      <c r="T401" s="228"/>
      <c r="U401" s="2552"/>
      <c r="V401" s="256"/>
      <c r="W401" s="775">
        <v>1500000</v>
      </c>
      <c r="X401" s="775">
        <v>766800</v>
      </c>
      <c r="Y401" s="248"/>
      <c r="Z401" s="247"/>
      <c r="AA401" s="248"/>
      <c r="AB401" s="340">
        <f t="shared" si="124"/>
        <v>2266800</v>
      </c>
      <c r="AC401" s="347">
        <f t="shared" si="125"/>
        <v>0</v>
      </c>
      <c r="AD401" s="249"/>
      <c r="AE401" s="435">
        <f t="shared" si="127"/>
        <v>4212000</v>
      </c>
      <c r="AF401" s="342">
        <f t="shared" si="120"/>
        <v>6478800</v>
      </c>
      <c r="AG401" s="251">
        <f t="shared" si="119"/>
        <v>3899999.9999999995</v>
      </c>
      <c r="AH401" s="241"/>
      <c r="AI401" s="241"/>
      <c r="AJ401" s="241"/>
      <c r="AK401" s="194"/>
      <c r="AL401" s="195"/>
      <c r="AM401" s="195"/>
    </row>
    <row r="402" spans="2:40" ht="31.2">
      <c r="B402" s="253">
        <v>16</v>
      </c>
      <c r="C402" s="244"/>
      <c r="D402" s="661" t="s">
        <v>4172</v>
      </c>
      <c r="E402" s="726">
        <v>306979219430</v>
      </c>
      <c r="F402" s="645" t="s">
        <v>4172</v>
      </c>
      <c r="G402" s="391" t="s">
        <v>4207</v>
      </c>
      <c r="H402" s="230" t="s">
        <v>210</v>
      </c>
      <c r="I402" s="230"/>
      <c r="J402" s="230">
        <v>1</v>
      </c>
      <c r="K402" s="230"/>
      <c r="L402" s="228"/>
      <c r="M402" s="257"/>
      <c r="N402" s="228" t="s">
        <v>4180</v>
      </c>
      <c r="O402" s="254" t="s">
        <v>4203</v>
      </c>
      <c r="P402" s="1273" t="s">
        <v>4236</v>
      </c>
      <c r="Q402" s="2574"/>
      <c r="R402" s="2574"/>
      <c r="S402" s="1272" t="s">
        <v>2966</v>
      </c>
      <c r="T402" s="228"/>
      <c r="U402" s="2552"/>
      <c r="V402" s="256"/>
      <c r="W402" s="775">
        <v>1160000</v>
      </c>
      <c r="X402" s="775">
        <v>766800</v>
      </c>
      <c r="Y402" s="248"/>
      <c r="Z402" s="247"/>
      <c r="AA402" s="248"/>
      <c r="AB402" s="340">
        <f t="shared" si="124"/>
        <v>1926800</v>
      </c>
      <c r="AC402" s="347">
        <f t="shared" si="125"/>
        <v>0</v>
      </c>
      <c r="AD402" s="249"/>
      <c r="AE402" s="435">
        <f t="shared" si="127"/>
        <v>4212000</v>
      </c>
      <c r="AF402" s="342">
        <f t="shared" si="120"/>
        <v>6138800</v>
      </c>
      <c r="AG402" s="251">
        <f t="shared" si="119"/>
        <v>3899999.9999999995</v>
      </c>
      <c r="AH402" s="241"/>
      <c r="AI402" s="241"/>
      <c r="AJ402" s="241"/>
      <c r="AK402" s="194"/>
      <c r="AL402" s="195"/>
      <c r="AM402" s="195"/>
    </row>
    <row r="403" spans="2:40" ht="31.2">
      <c r="B403" s="253">
        <v>17</v>
      </c>
      <c r="C403" s="244"/>
      <c r="D403" s="661" t="s">
        <v>4220</v>
      </c>
      <c r="E403" s="726">
        <v>306990214810</v>
      </c>
      <c r="F403" s="645" t="s">
        <v>4220</v>
      </c>
      <c r="G403" s="391" t="s">
        <v>4229</v>
      </c>
      <c r="H403" s="230" t="s">
        <v>210</v>
      </c>
      <c r="I403" s="230"/>
      <c r="J403" s="230">
        <v>1</v>
      </c>
      <c r="K403" s="230"/>
      <c r="L403" s="228"/>
      <c r="M403" s="257"/>
      <c r="N403" s="1239" t="s">
        <v>4223</v>
      </c>
      <c r="O403" s="254" t="s">
        <v>4228</v>
      </c>
      <c r="P403" s="1280" t="s">
        <v>4235</v>
      </c>
      <c r="Q403" s="2575"/>
      <c r="R403" s="2575"/>
      <c r="S403" s="1272" t="s">
        <v>2966</v>
      </c>
      <c r="T403" s="228"/>
      <c r="U403" s="2552"/>
      <c r="V403" s="256"/>
      <c r="W403" s="775">
        <v>1450000</v>
      </c>
      <c r="X403" s="775">
        <v>766800</v>
      </c>
      <c r="Y403" s="248"/>
      <c r="Z403" s="247"/>
      <c r="AA403" s="248"/>
      <c r="AB403" s="340">
        <f t="shared" si="124"/>
        <v>2216800</v>
      </c>
      <c r="AC403" s="347">
        <f t="shared" si="125"/>
        <v>0</v>
      </c>
      <c r="AD403" s="249"/>
      <c r="AE403" s="435">
        <f t="shared" si="127"/>
        <v>4212000</v>
      </c>
      <c r="AF403" s="342">
        <f t="shared" si="120"/>
        <v>6428800</v>
      </c>
      <c r="AG403" s="251">
        <f t="shared" si="119"/>
        <v>3899999.9999999995</v>
      </c>
      <c r="AH403" s="241"/>
      <c r="AI403" s="241"/>
      <c r="AJ403" s="241"/>
      <c r="AK403" s="194"/>
      <c r="AL403" s="195"/>
      <c r="AM403" s="195"/>
    </row>
    <row r="404" spans="2:40" ht="31.2">
      <c r="B404" s="253">
        <v>18</v>
      </c>
      <c r="C404" s="244"/>
      <c r="D404" s="661" t="s">
        <v>4222</v>
      </c>
      <c r="E404" s="726">
        <v>306995641540</v>
      </c>
      <c r="F404" s="645" t="s">
        <v>4222</v>
      </c>
      <c r="G404" s="391" t="s">
        <v>4240</v>
      </c>
      <c r="H404" s="230" t="s">
        <v>210</v>
      </c>
      <c r="I404" s="230"/>
      <c r="J404" s="230">
        <v>2</v>
      </c>
      <c r="K404" s="230"/>
      <c r="L404" s="228"/>
      <c r="M404" s="257"/>
      <c r="N404" s="1239" t="s">
        <v>4224</v>
      </c>
      <c r="O404" s="254" t="s">
        <v>4239</v>
      </c>
      <c r="P404" s="1273" t="s">
        <v>4249</v>
      </c>
      <c r="Q404" s="2574"/>
      <c r="R404" s="2574"/>
      <c r="S404" s="1272" t="s">
        <v>2966</v>
      </c>
      <c r="T404" s="228"/>
      <c r="U404" s="2552"/>
      <c r="V404" s="256"/>
      <c r="W404" s="1282">
        <f>1160000*2</f>
        <v>2320000</v>
      </c>
      <c r="X404" s="775">
        <v>1533600</v>
      </c>
      <c r="Y404" s="248"/>
      <c r="Z404" s="247"/>
      <c r="AA404" s="248"/>
      <c r="AB404" s="340">
        <f t="shared" si="124"/>
        <v>3853600</v>
      </c>
      <c r="AC404" s="347">
        <f t="shared" si="125"/>
        <v>0</v>
      </c>
      <c r="AD404" s="249"/>
      <c r="AE404" s="435">
        <f t="shared" si="127"/>
        <v>8424000</v>
      </c>
      <c r="AF404" s="342">
        <f t="shared" si="120"/>
        <v>12277600</v>
      </c>
      <c r="AG404" s="251">
        <f t="shared" si="119"/>
        <v>7799999.9999999991</v>
      </c>
      <c r="AH404" s="241"/>
      <c r="AI404" s="241"/>
      <c r="AJ404" s="241"/>
      <c r="AK404" s="194"/>
      <c r="AL404" s="195"/>
      <c r="AM404" s="195"/>
    </row>
    <row r="405" spans="2:40" ht="31.2">
      <c r="B405" s="253">
        <v>19</v>
      </c>
      <c r="C405" s="244"/>
      <c r="D405" s="661" t="s">
        <v>4221</v>
      </c>
      <c r="E405" s="726">
        <v>306997948520</v>
      </c>
      <c r="F405" s="645" t="s">
        <v>4221</v>
      </c>
      <c r="G405" s="391" t="s">
        <v>4256</v>
      </c>
      <c r="H405" s="230" t="s">
        <v>210</v>
      </c>
      <c r="I405" s="230"/>
      <c r="J405" s="230">
        <v>1</v>
      </c>
      <c r="K405" s="230"/>
      <c r="L405" s="228"/>
      <c r="M405" s="257"/>
      <c r="N405" s="1239" t="s">
        <v>4234</v>
      </c>
      <c r="O405" s="254" t="s">
        <v>4248</v>
      </c>
      <c r="P405" s="1273" t="s">
        <v>4250</v>
      </c>
      <c r="Q405" s="2574"/>
      <c r="R405" s="2574"/>
      <c r="S405" s="1272" t="s">
        <v>2966</v>
      </c>
      <c r="T405" s="228"/>
      <c r="U405" s="2552"/>
      <c r="V405" s="256"/>
      <c r="W405" s="775">
        <v>1150000</v>
      </c>
      <c r="X405" s="775">
        <v>766800</v>
      </c>
      <c r="Y405" s="248"/>
      <c r="Z405" s="247"/>
      <c r="AA405" s="248"/>
      <c r="AB405" s="340">
        <f t="shared" si="124"/>
        <v>1916800</v>
      </c>
      <c r="AC405" s="347">
        <f t="shared" si="125"/>
        <v>0</v>
      </c>
      <c r="AD405" s="249"/>
      <c r="AE405" s="435">
        <f t="shared" si="127"/>
        <v>4212000</v>
      </c>
      <c r="AF405" s="342">
        <f t="shared" si="120"/>
        <v>6128800</v>
      </c>
      <c r="AG405" s="251">
        <f t="shared" si="119"/>
        <v>3899999.9999999995</v>
      </c>
      <c r="AH405" s="241"/>
      <c r="AI405" s="241"/>
      <c r="AJ405" s="241"/>
      <c r="AK405" s="194"/>
      <c r="AL405" s="195"/>
      <c r="AM405" s="195"/>
    </row>
    <row r="406" spans="2:40" ht="46.8">
      <c r="B406" s="253">
        <v>20</v>
      </c>
      <c r="C406" s="244"/>
      <c r="D406" s="661" t="s">
        <v>4218</v>
      </c>
      <c r="E406" s="726">
        <v>307001293600</v>
      </c>
      <c r="F406" s="645" t="s">
        <v>4218</v>
      </c>
      <c r="G406" s="391" t="s">
        <v>4257</v>
      </c>
      <c r="H406" s="230" t="s">
        <v>210</v>
      </c>
      <c r="I406" s="230"/>
      <c r="J406" s="230">
        <v>1</v>
      </c>
      <c r="K406" s="230"/>
      <c r="L406" s="228"/>
      <c r="M406" s="257"/>
      <c r="N406" s="1239" t="s">
        <v>4225</v>
      </c>
      <c r="O406" s="254" t="s">
        <v>4255</v>
      </c>
      <c r="P406" s="1280" t="s">
        <v>4296</v>
      </c>
      <c r="Q406" s="2575"/>
      <c r="R406" s="2575"/>
      <c r="S406" s="1272" t="s">
        <v>2966</v>
      </c>
      <c r="T406" s="228"/>
      <c r="U406" s="2552"/>
      <c r="V406" s="256"/>
      <c r="W406" s="775">
        <v>1300000</v>
      </c>
      <c r="X406" s="775">
        <v>766800</v>
      </c>
      <c r="Y406" s="248"/>
      <c r="Z406" s="247"/>
      <c r="AA406" s="248"/>
      <c r="AB406" s="340">
        <f t="shared" si="124"/>
        <v>2066800</v>
      </c>
      <c r="AC406" s="347">
        <f t="shared" si="125"/>
        <v>0</v>
      </c>
      <c r="AD406" s="249"/>
      <c r="AE406" s="435">
        <f t="shared" si="127"/>
        <v>4212000</v>
      </c>
      <c r="AF406" s="342">
        <f t="shared" si="120"/>
        <v>6278800</v>
      </c>
      <c r="AG406" s="251">
        <f t="shared" si="119"/>
        <v>3899999.9999999995</v>
      </c>
      <c r="AH406" s="241"/>
      <c r="AI406" s="241"/>
      <c r="AJ406" s="241"/>
      <c r="AK406" s="194"/>
      <c r="AL406" s="195"/>
      <c r="AM406" s="195"/>
    </row>
    <row r="407" spans="2:40" ht="31.2">
      <c r="B407" s="253">
        <v>21</v>
      </c>
      <c r="C407" s="244"/>
      <c r="D407" s="661" t="s">
        <v>4260</v>
      </c>
      <c r="E407" s="726">
        <v>307006505540</v>
      </c>
      <c r="F407" s="645" t="s">
        <v>4260</v>
      </c>
      <c r="G407" s="391" t="s">
        <v>4271</v>
      </c>
      <c r="H407" s="230" t="s">
        <v>210</v>
      </c>
      <c r="I407" s="230"/>
      <c r="J407" s="230">
        <v>1</v>
      </c>
      <c r="K407" s="230"/>
      <c r="L407" s="228"/>
      <c r="M407" s="257"/>
      <c r="N407" s="1239">
        <v>243558002</v>
      </c>
      <c r="O407" s="254" t="s">
        <v>4270</v>
      </c>
      <c r="P407" s="1139" t="s">
        <v>4297</v>
      </c>
      <c r="Q407" s="2571"/>
      <c r="R407" s="2571"/>
      <c r="S407" s="254" t="s">
        <v>4261</v>
      </c>
      <c r="T407" s="228"/>
      <c r="U407" s="2552"/>
      <c r="V407" s="256"/>
      <c r="W407" s="775">
        <v>1450000</v>
      </c>
      <c r="X407" s="775">
        <v>766800</v>
      </c>
      <c r="Y407" s="248"/>
      <c r="Z407" s="247"/>
      <c r="AA407" s="248"/>
      <c r="AB407" s="340">
        <f t="shared" si="124"/>
        <v>2216800</v>
      </c>
      <c r="AC407" s="347">
        <f t="shared" si="125"/>
        <v>0</v>
      </c>
      <c r="AD407" s="249"/>
      <c r="AE407" s="435">
        <f t="shared" si="127"/>
        <v>4212000</v>
      </c>
      <c r="AF407" s="342">
        <f t="shared" si="120"/>
        <v>6428800</v>
      </c>
      <c r="AG407" s="251">
        <f t="shared" si="119"/>
        <v>3899999.9999999995</v>
      </c>
      <c r="AH407" s="241"/>
      <c r="AI407" s="241"/>
      <c r="AJ407" s="241"/>
      <c r="AK407" s="194"/>
      <c r="AL407" s="195"/>
      <c r="AM407" s="195"/>
    </row>
    <row r="408" spans="2:40" ht="31.2">
      <c r="B408" s="253">
        <v>22</v>
      </c>
      <c r="C408" s="244"/>
      <c r="D408" s="661" t="s">
        <v>4279</v>
      </c>
      <c r="E408" s="726">
        <v>307014614450</v>
      </c>
      <c r="F408" s="661" t="s">
        <v>4279</v>
      </c>
      <c r="G408" s="391" t="s">
        <v>4288</v>
      </c>
      <c r="H408" s="230" t="s">
        <v>210</v>
      </c>
      <c r="I408" s="230"/>
      <c r="J408" s="230">
        <v>1</v>
      </c>
      <c r="K408" s="230"/>
      <c r="L408" s="228"/>
      <c r="M408" s="257"/>
      <c r="N408" s="228" t="s">
        <v>4280</v>
      </c>
      <c r="O408" s="254" t="s">
        <v>4287</v>
      </c>
      <c r="P408" s="1139" t="s">
        <v>4298</v>
      </c>
      <c r="Q408" s="2571"/>
      <c r="R408" s="2571"/>
      <c r="S408" s="254" t="s">
        <v>2966</v>
      </c>
      <c r="T408" s="228"/>
      <c r="U408" s="2552"/>
      <c r="V408" s="256"/>
      <c r="W408" s="775">
        <v>1160000</v>
      </c>
      <c r="X408" s="775">
        <v>766800</v>
      </c>
      <c r="Y408" s="248"/>
      <c r="Z408" s="247"/>
      <c r="AA408" s="248"/>
      <c r="AB408" s="340">
        <f t="shared" si="124"/>
        <v>1926800</v>
      </c>
      <c r="AC408" s="347">
        <f t="shared" si="125"/>
        <v>0</v>
      </c>
      <c r="AD408" s="249"/>
      <c r="AE408" s="435">
        <f t="shared" si="127"/>
        <v>4212000</v>
      </c>
      <c r="AF408" s="342">
        <f t="shared" si="120"/>
        <v>6138800</v>
      </c>
      <c r="AG408" s="251">
        <f t="shared" si="119"/>
        <v>3899999.9999999995</v>
      </c>
      <c r="AH408" s="241"/>
      <c r="AI408" s="241"/>
      <c r="AJ408" s="241"/>
      <c r="AK408" s="194"/>
      <c r="AL408" s="195"/>
      <c r="AM408" s="195"/>
    </row>
    <row r="409" spans="2:40" ht="31.2">
      <c r="B409" s="253">
        <v>23</v>
      </c>
      <c r="C409" s="244"/>
      <c r="D409" s="661" t="s">
        <v>4283</v>
      </c>
      <c r="E409" s="726">
        <v>307017031000</v>
      </c>
      <c r="F409" s="615" t="s">
        <v>4283</v>
      </c>
      <c r="G409" s="391" t="s">
        <v>4292</v>
      </c>
      <c r="H409" s="230" t="s">
        <v>210</v>
      </c>
      <c r="I409" s="230"/>
      <c r="J409" s="230">
        <v>1</v>
      </c>
      <c r="K409" s="230"/>
      <c r="L409" s="228"/>
      <c r="M409" s="257"/>
      <c r="N409" s="228" t="s">
        <v>4285</v>
      </c>
      <c r="O409" s="254" t="s">
        <v>4289</v>
      </c>
      <c r="P409" s="1139" t="s">
        <v>4294</v>
      </c>
      <c r="Q409" s="2571"/>
      <c r="R409" s="2571"/>
      <c r="S409" s="254" t="s">
        <v>2966</v>
      </c>
      <c r="T409" s="228"/>
      <c r="U409" s="2552"/>
      <c r="V409" s="256"/>
      <c r="W409" s="775">
        <v>1150000</v>
      </c>
      <c r="X409" s="775">
        <v>766800</v>
      </c>
      <c r="Y409" s="248"/>
      <c r="Z409" s="247"/>
      <c r="AA409" s="248"/>
      <c r="AB409" s="340">
        <f t="shared" si="124"/>
        <v>1916800</v>
      </c>
      <c r="AC409" s="347">
        <f t="shared" si="125"/>
        <v>0</v>
      </c>
      <c r="AD409" s="249"/>
      <c r="AE409" s="435">
        <f t="shared" si="127"/>
        <v>4212000</v>
      </c>
      <c r="AF409" s="342">
        <f t="shared" si="120"/>
        <v>6128800</v>
      </c>
      <c r="AG409" s="251">
        <f t="shared" si="119"/>
        <v>3899999.9999999995</v>
      </c>
      <c r="AH409" s="241"/>
      <c r="AI409" s="241"/>
      <c r="AJ409" s="241"/>
      <c r="AK409" s="194"/>
      <c r="AL409" s="195"/>
      <c r="AM409" s="195"/>
    </row>
    <row r="410" spans="2:40" ht="31.2">
      <c r="B410" s="253">
        <v>24</v>
      </c>
      <c r="C410" s="244"/>
      <c r="D410" s="661" t="s">
        <v>4283</v>
      </c>
      <c r="E410" s="726">
        <v>307018868350</v>
      </c>
      <c r="F410" s="615" t="s">
        <v>4283</v>
      </c>
      <c r="G410" s="391" t="s">
        <v>4293</v>
      </c>
      <c r="H410" s="230" t="s">
        <v>210</v>
      </c>
      <c r="I410" s="230"/>
      <c r="J410" s="230">
        <v>1</v>
      </c>
      <c r="K410" s="230"/>
      <c r="L410" s="228"/>
      <c r="M410" s="257"/>
      <c r="N410" s="228">
        <v>22213056</v>
      </c>
      <c r="O410" s="228" t="s">
        <v>4291</v>
      </c>
      <c r="P410" s="1284" t="s">
        <v>4299</v>
      </c>
      <c r="Q410" s="2576"/>
      <c r="R410" s="2576"/>
      <c r="S410" s="254" t="s">
        <v>4181</v>
      </c>
      <c r="T410" s="228"/>
      <c r="U410" s="2552"/>
      <c r="V410" s="256"/>
      <c r="W410" s="775">
        <v>1450000</v>
      </c>
      <c r="X410" s="775">
        <v>1160000</v>
      </c>
      <c r="Y410" s="248"/>
      <c r="Z410" s="247"/>
      <c r="AA410" s="248"/>
      <c r="AB410" s="340">
        <f t="shared" si="124"/>
        <v>2610000</v>
      </c>
      <c r="AC410" s="347">
        <f t="shared" si="125"/>
        <v>0</v>
      </c>
      <c r="AD410" s="249"/>
      <c r="AE410" s="435">
        <f t="shared" si="127"/>
        <v>4212000</v>
      </c>
      <c r="AF410" s="342">
        <f t="shared" si="120"/>
        <v>6822000</v>
      </c>
      <c r="AG410" s="251">
        <f t="shared" si="119"/>
        <v>3899999.9999999995</v>
      </c>
      <c r="AH410" s="241"/>
      <c r="AI410" s="241"/>
      <c r="AJ410" s="241"/>
      <c r="AK410" s="194"/>
      <c r="AL410" s="195"/>
      <c r="AM410" s="195"/>
    </row>
    <row r="411" spans="2:40" ht="46.8">
      <c r="B411" s="253">
        <v>25</v>
      </c>
      <c r="C411" s="244"/>
      <c r="D411" s="661" t="s">
        <v>4284</v>
      </c>
      <c r="E411" s="726">
        <v>307021085030</v>
      </c>
      <c r="F411" s="615" t="s">
        <v>4284</v>
      </c>
      <c r="G411" s="391" t="s">
        <v>4301</v>
      </c>
      <c r="H411" s="230" t="s">
        <v>210</v>
      </c>
      <c r="I411" s="230">
        <v>1</v>
      </c>
      <c r="J411" s="230"/>
      <c r="K411" s="230"/>
      <c r="L411" s="228"/>
      <c r="M411" s="257"/>
      <c r="N411" s="228" t="s">
        <v>4286</v>
      </c>
      <c r="O411" s="228" t="s">
        <v>4300</v>
      </c>
      <c r="P411" s="1284" t="s">
        <v>4295</v>
      </c>
      <c r="Q411" s="2576"/>
      <c r="R411" s="2576"/>
      <c r="S411" s="254" t="s">
        <v>4091</v>
      </c>
      <c r="T411" s="228"/>
      <c r="U411" s="2552"/>
      <c r="V411" s="256"/>
      <c r="W411" s="775">
        <v>795000</v>
      </c>
      <c r="X411" s="775">
        <v>700000</v>
      </c>
      <c r="Y411" s="248"/>
      <c r="Z411" s="247"/>
      <c r="AA411" s="248"/>
      <c r="AB411" s="340">
        <f t="shared" si="124"/>
        <v>1495000</v>
      </c>
      <c r="AC411" s="347">
        <f t="shared" si="125"/>
        <v>0</v>
      </c>
      <c r="AD411" s="249"/>
      <c r="AE411" s="435">
        <f t="shared" si="127"/>
        <v>4104000.0000000005</v>
      </c>
      <c r="AF411" s="342">
        <f>+AB411+AE411</f>
        <v>5599000</v>
      </c>
      <c r="AG411" s="251">
        <f t="shared" si="119"/>
        <v>3800000</v>
      </c>
      <c r="AH411" s="241"/>
      <c r="AI411" s="241"/>
      <c r="AJ411" s="241"/>
      <c r="AK411" s="194"/>
      <c r="AL411" s="195"/>
      <c r="AM411" s="195"/>
    </row>
    <row r="412" spans="2:40">
      <c r="B412" s="253">
        <v>26</v>
      </c>
      <c r="C412" s="244"/>
      <c r="D412" s="661" t="s">
        <v>4313</v>
      </c>
      <c r="E412" s="466">
        <v>106844958840</v>
      </c>
      <c r="F412" s="615" t="s">
        <v>4282</v>
      </c>
      <c r="G412" s="391" t="s">
        <v>4319</v>
      </c>
      <c r="H412" s="230" t="s">
        <v>1300</v>
      </c>
      <c r="I412" s="230"/>
      <c r="J412" s="230"/>
      <c r="K412" s="230">
        <v>1</v>
      </c>
      <c r="L412" s="228"/>
      <c r="M412" s="257" t="s">
        <v>4318</v>
      </c>
      <c r="N412" s="228" t="s">
        <v>4317</v>
      </c>
      <c r="O412" s="228"/>
      <c r="P412" s="258"/>
      <c r="Q412" s="2577"/>
      <c r="R412" s="2577"/>
      <c r="S412" s="254"/>
      <c r="T412" s="228"/>
      <c r="U412" s="2552"/>
      <c r="V412" s="256"/>
      <c r="W412" s="248"/>
      <c r="X412" s="248"/>
      <c r="Y412" s="248"/>
      <c r="Z412" s="247"/>
      <c r="AA412" s="248"/>
      <c r="AB412" s="340">
        <f t="shared" si="124"/>
        <v>0</v>
      </c>
      <c r="AC412" s="347">
        <f t="shared" si="125"/>
        <v>0</v>
      </c>
      <c r="AD412" s="391" t="s">
        <v>4323</v>
      </c>
      <c r="AE412" s="607">
        <f>(2520000+150000)*1.08</f>
        <v>2883600</v>
      </c>
      <c r="AF412" s="342">
        <f>+AB412+AE412</f>
        <v>2883600</v>
      </c>
      <c r="AG412" s="251">
        <f>+AE412/1.08</f>
        <v>2670000</v>
      </c>
      <c r="AH412" s="241"/>
      <c r="AI412" s="241"/>
      <c r="AJ412" s="241"/>
      <c r="AK412" s="194"/>
      <c r="AL412" s="195"/>
      <c r="AM412" s="195"/>
    </row>
    <row r="413" spans="2:40">
      <c r="B413" s="3811" t="s">
        <v>4281</v>
      </c>
      <c r="C413" s="3716"/>
      <c r="D413" s="3716"/>
      <c r="E413" s="3716"/>
      <c r="F413" s="3716"/>
      <c r="G413" s="3716"/>
      <c r="H413" s="3716"/>
      <c r="I413" s="3716"/>
      <c r="J413" s="3716"/>
      <c r="K413" s="3716"/>
      <c r="L413" s="3716"/>
      <c r="M413" s="346"/>
      <c r="N413" s="346"/>
      <c r="O413" s="346"/>
      <c r="P413" s="346"/>
      <c r="Q413" s="346"/>
      <c r="R413" s="346"/>
      <c r="S413" s="346"/>
      <c r="T413" s="346"/>
      <c r="U413" s="346"/>
      <c r="V413" s="590"/>
      <c r="W413" s="590">
        <f>SUM(W387:W412)</f>
        <v>31364800</v>
      </c>
      <c r="X413" s="590">
        <f>SUM(X387:X412)</f>
        <v>20528040</v>
      </c>
      <c r="Y413" s="357"/>
      <c r="Z413" s="357"/>
      <c r="AA413" s="357"/>
      <c r="AB413" s="590">
        <f>SUM(AB387:AB412)</f>
        <v>51923709</v>
      </c>
      <c r="AC413" s="358"/>
      <c r="AD413" s="358"/>
      <c r="AE413" s="1289">
        <f>SUM(AE387:AE412)</f>
        <v>116866800</v>
      </c>
      <c r="AF413" s="590">
        <f>SUM(AF387:AF412)</f>
        <v>168790509</v>
      </c>
      <c r="AG413" s="590">
        <f>SUM(AG387:AG412)</f>
        <v>108210000</v>
      </c>
      <c r="AH413" s="241"/>
      <c r="AI413" s="241"/>
      <c r="AJ413" s="241"/>
      <c r="AK413" s="194"/>
      <c r="AL413" s="195"/>
      <c r="AM413" s="195"/>
      <c r="AN413" s="1136"/>
    </row>
    <row r="414" spans="2:40" ht="31.2">
      <c r="B414" s="253">
        <v>1</v>
      </c>
      <c r="C414" s="244"/>
      <c r="D414" s="1034" t="s">
        <v>4282</v>
      </c>
      <c r="E414" s="726">
        <v>307031596560</v>
      </c>
      <c r="F414" s="1034" t="s">
        <v>4282</v>
      </c>
      <c r="G414" s="391" t="s">
        <v>4342</v>
      </c>
      <c r="H414" s="230" t="s">
        <v>210</v>
      </c>
      <c r="I414" s="230">
        <v>1</v>
      </c>
      <c r="J414" s="230"/>
      <c r="K414" s="230"/>
      <c r="L414" s="228"/>
      <c r="M414" s="257"/>
      <c r="N414" s="228" t="s">
        <v>4308</v>
      </c>
      <c r="O414" s="1294" t="s">
        <v>4322</v>
      </c>
      <c r="P414" s="1284" t="s">
        <v>4328</v>
      </c>
      <c r="Q414" s="2576"/>
      <c r="R414" s="2576"/>
      <c r="S414" s="254" t="s">
        <v>2966</v>
      </c>
      <c r="T414" s="228"/>
      <c r="U414" s="2552"/>
      <c r="V414" s="256"/>
      <c r="W414" s="775">
        <v>1000000</v>
      </c>
      <c r="X414" s="775">
        <v>432000</v>
      </c>
      <c r="Y414" s="248"/>
      <c r="Z414" s="247"/>
      <c r="AA414" s="248"/>
      <c r="AB414" s="340">
        <f t="shared" ref="AB414:AB429" si="128">V414+W414+X414+Y414+Z414+AA414</f>
        <v>1432000</v>
      </c>
      <c r="AC414" s="347">
        <f t="shared" si="125"/>
        <v>0</v>
      </c>
      <c r="AD414" s="249"/>
      <c r="AE414" s="435">
        <f t="shared" ref="AE414:AE429" si="129">+(I414*3650000+J414*(3650000+100000))*1.08+((I414+J414+K414)*150000)*1.08</f>
        <v>4104000.0000000005</v>
      </c>
      <c r="AF414" s="342">
        <f t="shared" si="120"/>
        <v>5536000</v>
      </c>
      <c r="AG414" s="251">
        <f>+AE414/1.08</f>
        <v>3800000</v>
      </c>
      <c r="AH414" s="241"/>
      <c r="AI414" s="241"/>
      <c r="AJ414" s="241"/>
      <c r="AK414" s="194"/>
      <c r="AL414" s="195"/>
      <c r="AM414" s="195"/>
    </row>
    <row r="415" spans="2:40" ht="31.2">
      <c r="B415" s="253">
        <v>2</v>
      </c>
      <c r="C415" s="244"/>
      <c r="D415" s="1034" t="s">
        <v>4282</v>
      </c>
      <c r="E415" s="726">
        <v>307031493220</v>
      </c>
      <c r="F415" s="1034" t="s">
        <v>4282</v>
      </c>
      <c r="G415" s="391" t="s">
        <v>4343</v>
      </c>
      <c r="H415" s="230" t="s">
        <v>210</v>
      </c>
      <c r="I415" s="230"/>
      <c r="J415" s="230">
        <v>2</v>
      </c>
      <c r="K415" s="230"/>
      <c r="L415" s="228"/>
      <c r="M415" s="257"/>
      <c r="N415" s="228" t="s">
        <v>4309</v>
      </c>
      <c r="O415" s="1294" t="s">
        <v>4321</v>
      </c>
      <c r="P415" s="1284" t="s">
        <v>4329</v>
      </c>
      <c r="Q415" s="2576"/>
      <c r="R415" s="2576"/>
      <c r="S415" s="254" t="s">
        <v>2966</v>
      </c>
      <c r="T415" s="228"/>
      <c r="U415" s="2552"/>
      <c r="V415" s="256"/>
      <c r="W415" s="775">
        <v>2320000</v>
      </c>
      <c r="X415" s="775">
        <v>1533600</v>
      </c>
      <c r="Y415" s="248"/>
      <c r="Z415" s="247"/>
      <c r="AA415" s="248"/>
      <c r="AB415" s="340">
        <f t="shared" si="128"/>
        <v>3853600</v>
      </c>
      <c r="AC415" s="347">
        <f t="shared" si="125"/>
        <v>0</v>
      </c>
      <c r="AD415" s="249"/>
      <c r="AE415" s="435">
        <f t="shared" si="129"/>
        <v>8424000</v>
      </c>
      <c r="AF415" s="342">
        <f t="shared" ref="AF415:AF427" si="130">+AB415+AE415</f>
        <v>12277600</v>
      </c>
      <c r="AG415" s="251">
        <f t="shared" ref="AG415:AG427" si="131">+AE415/1.08</f>
        <v>7799999.9999999991</v>
      </c>
      <c r="AH415" s="241"/>
      <c r="AI415" s="241"/>
      <c r="AJ415" s="241"/>
      <c r="AK415" s="194"/>
      <c r="AL415" s="195"/>
      <c r="AM415" s="195"/>
    </row>
    <row r="416" spans="2:40" ht="31.2">
      <c r="B416" s="253">
        <v>3</v>
      </c>
      <c r="C416" s="244"/>
      <c r="D416" s="1034" t="s">
        <v>4282</v>
      </c>
      <c r="E416" s="726">
        <v>307032977660</v>
      </c>
      <c r="F416" s="1034" t="s">
        <v>4282</v>
      </c>
      <c r="G416" s="391" t="s">
        <v>4344</v>
      </c>
      <c r="H416" s="230" t="s">
        <v>210</v>
      </c>
      <c r="I416" s="230"/>
      <c r="J416" s="230">
        <v>2</v>
      </c>
      <c r="K416" s="230"/>
      <c r="L416" s="228"/>
      <c r="M416" s="257"/>
      <c r="N416" s="228" t="s">
        <v>4310</v>
      </c>
      <c r="O416" s="1294" t="s">
        <v>4324</v>
      </c>
      <c r="P416" s="1284" t="s">
        <v>4327</v>
      </c>
      <c r="Q416" s="2576"/>
      <c r="R416" s="2576"/>
      <c r="S416" s="254" t="s">
        <v>2966</v>
      </c>
      <c r="T416" s="228"/>
      <c r="U416" s="2552"/>
      <c r="V416" s="256"/>
      <c r="W416" s="775">
        <v>2850000</v>
      </c>
      <c r="X416" s="775">
        <v>1533600</v>
      </c>
      <c r="Y416" s="248"/>
      <c r="Z416" s="247"/>
      <c r="AA416" s="248"/>
      <c r="AB416" s="340">
        <f t="shared" si="128"/>
        <v>4383600</v>
      </c>
      <c r="AC416" s="347">
        <f t="shared" si="125"/>
        <v>0</v>
      </c>
      <c r="AD416" s="249"/>
      <c r="AE416" s="435">
        <f t="shared" si="129"/>
        <v>8424000</v>
      </c>
      <c r="AF416" s="342">
        <f t="shared" si="130"/>
        <v>12807600</v>
      </c>
      <c r="AG416" s="251">
        <f t="shared" si="131"/>
        <v>7799999.9999999991</v>
      </c>
      <c r="AH416" s="241"/>
      <c r="AI416" s="241"/>
      <c r="AJ416" s="241"/>
      <c r="AK416" s="194"/>
      <c r="AL416" s="195"/>
      <c r="AM416" s="195"/>
    </row>
    <row r="417" spans="2:40" ht="46.8">
      <c r="B417" s="253">
        <v>4</v>
      </c>
      <c r="C417" s="244"/>
      <c r="D417" s="1034" t="s">
        <v>4282</v>
      </c>
      <c r="E417" s="726">
        <v>307031645560</v>
      </c>
      <c r="F417" s="1034" t="s">
        <v>4282</v>
      </c>
      <c r="G417" s="391" t="s">
        <v>4345</v>
      </c>
      <c r="H417" s="230" t="s">
        <v>210</v>
      </c>
      <c r="I417" s="230">
        <v>1</v>
      </c>
      <c r="J417" s="230"/>
      <c r="K417" s="230"/>
      <c r="L417" s="228"/>
      <c r="M417" s="257"/>
      <c r="N417" s="228" t="s">
        <v>4311</v>
      </c>
      <c r="O417" s="1294" t="s">
        <v>4325</v>
      </c>
      <c r="P417" s="1284" t="s">
        <v>4333</v>
      </c>
      <c r="Q417" s="2576"/>
      <c r="R417" s="2576"/>
      <c r="S417" s="254" t="s">
        <v>2966</v>
      </c>
      <c r="T417" s="228"/>
      <c r="U417" s="2552"/>
      <c r="V417" s="256"/>
      <c r="W417" s="775">
        <v>890000</v>
      </c>
      <c r="X417" s="775">
        <v>432000</v>
      </c>
      <c r="Y417" s="248"/>
      <c r="Z417" s="247"/>
      <c r="AA417" s="248"/>
      <c r="AB417" s="340">
        <f t="shared" si="128"/>
        <v>1322000</v>
      </c>
      <c r="AC417" s="347">
        <f t="shared" si="125"/>
        <v>0</v>
      </c>
      <c r="AD417" s="249"/>
      <c r="AE417" s="435">
        <f t="shared" si="129"/>
        <v>4104000.0000000005</v>
      </c>
      <c r="AF417" s="342">
        <f t="shared" si="130"/>
        <v>5426000</v>
      </c>
      <c r="AG417" s="251">
        <f t="shared" si="131"/>
        <v>3800000</v>
      </c>
      <c r="AH417" s="241"/>
      <c r="AI417" s="241"/>
      <c r="AJ417" s="241"/>
      <c r="AK417" s="194"/>
      <c r="AL417" s="195"/>
      <c r="AM417" s="195"/>
    </row>
    <row r="418" spans="2:40" ht="31.2">
      <c r="B418" s="253">
        <v>5</v>
      </c>
      <c r="C418" s="244"/>
      <c r="D418" s="1034" t="s">
        <v>4282</v>
      </c>
      <c r="E418" s="726">
        <v>307032884230</v>
      </c>
      <c r="F418" s="1034" t="s">
        <v>4282</v>
      </c>
      <c r="G418" s="391" t="s">
        <v>4346</v>
      </c>
      <c r="H418" s="230" t="s">
        <v>210</v>
      </c>
      <c r="I418" s="230"/>
      <c r="J418" s="230">
        <v>1</v>
      </c>
      <c r="K418" s="230"/>
      <c r="L418" s="228"/>
      <c r="M418" s="257"/>
      <c r="N418" s="1285" t="s">
        <v>4312</v>
      </c>
      <c r="O418" s="1294" t="s">
        <v>4326</v>
      </c>
      <c r="P418" s="1284" t="s">
        <v>4315</v>
      </c>
      <c r="Q418" s="2576"/>
      <c r="R418" s="2576"/>
      <c r="S418" s="254" t="s">
        <v>2966</v>
      </c>
      <c r="T418" s="228"/>
      <c r="U418" s="2552"/>
      <c r="V418" s="256"/>
      <c r="W418" s="775">
        <v>1160000</v>
      </c>
      <c r="X418" s="775">
        <v>766800</v>
      </c>
      <c r="Y418" s="248"/>
      <c r="Z418" s="247"/>
      <c r="AA418" s="248"/>
      <c r="AB418" s="340">
        <f t="shared" si="128"/>
        <v>1926800</v>
      </c>
      <c r="AC418" s="347">
        <f t="shared" si="125"/>
        <v>0</v>
      </c>
      <c r="AD418" s="249"/>
      <c r="AE418" s="435">
        <f t="shared" si="129"/>
        <v>4212000</v>
      </c>
      <c r="AF418" s="342">
        <f t="shared" si="130"/>
        <v>6138800</v>
      </c>
      <c r="AG418" s="251">
        <f t="shared" si="131"/>
        <v>3899999.9999999995</v>
      </c>
      <c r="AH418" s="241"/>
      <c r="AI418" s="241"/>
      <c r="AJ418" s="241"/>
      <c r="AK418" s="194"/>
      <c r="AL418" s="195"/>
      <c r="AM418" s="195"/>
    </row>
    <row r="419" spans="2:40" ht="31.2">
      <c r="B419" s="253">
        <v>6</v>
      </c>
      <c r="C419" s="244"/>
      <c r="D419" s="1034" t="s">
        <v>4313</v>
      </c>
      <c r="E419" s="726">
        <v>307034612310</v>
      </c>
      <c r="F419" s="1034" t="s">
        <v>4313</v>
      </c>
      <c r="G419" s="391" t="s">
        <v>4348</v>
      </c>
      <c r="H419" s="230" t="s">
        <v>210</v>
      </c>
      <c r="I419" s="230"/>
      <c r="J419" s="230">
        <v>1</v>
      </c>
      <c r="K419" s="230"/>
      <c r="L419" s="228"/>
      <c r="M419" s="257"/>
      <c r="N419" s="228" t="s">
        <v>4314</v>
      </c>
      <c r="O419" s="1294" t="s">
        <v>4347</v>
      </c>
      <c r="P419" s="1284" t="s">
        <v>4315</v>
      </c>
      <c r="Q419" s="2576"/>
      <c r="R419" s="2576"/>
      <c r="S419" s="254" t="s">
        <v>2966</v>
      </c>
      <c r="T419" s="228"/>
      <c r="U419" s="2552"/>
      <c r="V419" s="256"/>
      <c r="W419" s="775">
        <v>1160000</v>
      </c>
      <c r="X419" s="775">
        <v>766800</v>
      </c>
      <c r="Y419" s="248"/>
      <c r="Z419" s="247"/>
      <c r="AA419" s="248"/>
      <c r="AB419" s="340">
        <f t="shared" si="128"/>
        <v>1926800</v>
      </c>
      <c r="AC419" s="347">
        <f t="shared" si="125"/>
        <v>0</v>
      </c>
      <c r="AD419" s="249"/>
      <c r="AE419" s="435">
        <f t="shared" si="129"/>
        <v>4212000</v>
      </c>
      <c r="AF419" s="342">
        <f t="shared" si="130"/>
        <v>6138800</v>
      </c>
      <c r="AG419" s="251">
        <f t="shared" si="131"/>
        <v>3899999.9999999995</v>
      </c>
      <c r="AH419" s="241"/>
      <c r="AI419" s="241"/>
      <c r="AJ419" s="241"/>
      <c r="AK419" s="194"/>
      <c r="AL419" s="195"/>
      <c r="AM419" s="195"/>
    </row>
    <row r="420" spans="2:40" ht="31.2">
      <c r="B420" s="253">
        <v>7</v>
      </c>
      <c r="C420" s="244"/>
      <c r="D420" s="661" t="s">
        <v>4336</v>
      </c>
      <c r="E420" s="726">
        <v>307039507040</v>
      </c>
      <c r="F420" s="645" t="s">
        <v>4336</v>
      </c>
      <c r="G420" s="391" t="s">
        <v>4349</v>
      </c>
      <c r="H420" s="230" t="s">
        <v>210</v>
      </c>
      <c r="I420" s="230"/>
      <c r="J420" s="230">
        <v>1</v>
      </c>
      <c r="K420" s="230"/>
      <c r="L420" s="228"/>
      <c r="M420" s="257"/>
      <c r="N420" s="228" t="s">
        <v>4337</v>
      </c>
      <c r="O420" s="1294" t="s">
        <v>4341</v>
      </c>
      <c r="P420" s="1284" t="s">
        <v>4356</v>
      </c>
      <c r="Q420" s="2576"/>
      <c r="R420" s="2576"/>
      <c r="S420" s="254" t="s">
        <v>3101</v>
      </c>
      <c r="T420" s="228"/>
      <c r="U420" s="2552"/>
      <c r="V420" s="256"/>
      <c r="W420" s="775">
        <v>1450000</v>
      </c>
      <c r="X420" s="775">
        <v>1140000</v>
      </c>
      <c r="Y420" s="248"/>
      <c r="Z420" s="247"/>
      <c r="AA420" s="248"/>
      <c r="AB420" s="340">
        <f t="shared" si="128"/>
        <v>2590000</v>
      </c>
      <c r="AC420" s="347">
        <f t="shared" si="125"/>
        <v>0</v>
      </c>
      <c r="AD420" s="249"/>
      <c r="AE420" s="435">
        <f t="shared" si="129"/>
        <v>4212000</v>
      </c>
      <c r="AF420" s="342">
        <f t="shared" si="130"/>
        <v>6802000</v>
      </c>
      <c r="AG420" s="251">
        <f t="shared" si="131"/>
        <v>3899999.9999999995</v>
      </c>
      <c r="AH420" s="241"/>
      <c r="AI420" s="241"/>
      <c r="AJ420" s="241"/>
      <c r="AK420" s="194"/>
      <c r="AL420" s="195"/>
      <c r="AM420" s="195"/>
    </row>
    <row r="421" spans="2:40" ht="31.2">
      <c r="B421" s="253">
        <v>8</v>
      </c>
      <c r="C421" s="244"/>
      <c r="D421" s="1034" t="s">
        <v>4334</v>
      </c>
      <c r="E421" s="726">
        <v>307040789920</v>
      </c>
      <c r="F421" s="1034" t="s">
        <v>4334</v>
      </c>
      <c r="G421" s="391" t="s">
        <v>4354</v>
      </c>
      <c r="H421" s="230" t="s">
        <v>210</v>
      </c>
      <c r="I421" s="230"/>
      <c r="J421" s="230">
        <v>1</v>
      </c>
      <c r="K421" s="230"/>
      <c r="L421" s="228"/>
      <c r="M421" s="257"/>
      <c r="N421" s="228" t="s">
        <v>4335</v>
      </c>
      <c r="O421" s="1294" t="s">
        <v>4355</v>
      </c>
      <c r="P421" s="1284" t="s">
        <v>4357</v>
      </c>
      <c r="Q421" s="2576"/>
      <c r="R421" s="2576"/>
      <c r="S421" s="254" t="s">
        <v>2966</v>
      </c>
      <c r="T421" s="228"/>
      <c r="U421" s="2552"/>
      <c r="V421" s="256"/>
      <c r="W421" s="775">
        <v>1500000</v>
      </c>
      <c r="X421" s="775">
        <v>766800</v>
      </c>
      <c r="Y421" s="248"/>
      <c r="Z421" s="247"/>
      <c r="AA421" s="248"/>
      <c r="AB421" s="340">
        <f t="shared" si="128"/>
        <v>2266800</v>
      </c>
      <c r="AC421" s="347">
        <f t="shared" si="125"/>
        <v>0</v>
      </c>
      <c r="AD421" s="249"/>
      <c r="AE421" s="435">
        <f t="shared" si="129"/>
        <v>4212000</v>
      </c>
      <c r="AF421" s="342">
        <f t="shared" si="130"/>
        <v>6478800</v>
      </c>
      <c r="AG421" s="251">
        <f t="shared" si="131"/>
        <v>3899999.9999999995</v>
      </c>
      <c r="AH421" s="241"/>
      <c r="AI421" s="241"/>
      <c r="AJ421" s="241"/>
      <c r="AK421" s="194"/>
      <c r="AL421" s="195"/>
      <c r="AM421" s="195"/>
    </row>
    <row r="422" spans="2:40" ht="31.2">
      <c r="B422" s="253">
        <v>9</v>
      </c>
      <c r="C422" s="244"/>
      <c r="D422" s="661" t="s">
        <v>4374</v>
      </c>
      <c r="E422" s="726">
        <v>307051107000</v>
      </c>
      <c r="F422" s="661" t="s">
        <v>4374</v>
      </c>
      <c r="G422" s="1054" t="s">
        <v>4452</v>
      </c>
      <c r="H422" s="230" t="s">
        <v>210</v>
      </c>
      <c r="I422" s="230">
        <v>1</v>
      </c>
      <c r="J422" s="230"/>
      <c r="K422" s="230"/>
      <c r="L422" s="228"/>
      <c r="M422" s="257"/>
      <c r="N422" s="228">
        <v>21829658</v>
      </c>
      <c r="O422" s="1294" t="s">
        <v>4419</v>
      </c>
      <c r="P422" s="1284" t="s">
        <v>4420</v>
      </c>
      <c r="Q422" s="2576"/>
      <c r="R422" s="2576"/>
      <c r="S422" s="254" t="s">
        <v>3101</v>
      </c>
      <c r="T422" s="228"/>
      <c r="U422" s="2552"/>
      <c r="V422" s="256"/>
      <c r="W422" s="775">
        <v>1000000</v>
      </c>
      <c r="X422" s="775">
        <v>700000</v>
      </c>
      <c r="Y422" s="248"/>
      <c r="Z422" s="247"/>
      <c r="AA422" s="248"/>
      <c r="AB422" s="340">
        <f t="shared" si="128"/>
        <v>1700000</v>
      </c>
      <c r="AC422" s="347">
        <f t="shared" si="125"/>
        <v>0</v>
      </c>
      <c r="AD422" s="249"/>
      <c r="AE422" s="435">
        <f t="shared" si="129"/>
        <v>4104000.0000000005</v>
      </c>
      <c r="AF422" s="342">
        <f t="shared" si="130"/>
        <v>5804000</v>
      </c>
      <c r="AG422" s="251">
        <f t="shared" si="131"/>
        <v>3800000</v>
      </c>
      <c r="AH422" s="241"/>
      <c r="AI422" s="241"/>
      <c r="AJ422" s="241"/>
      <c r="AK422" s="194"/>
      <c r="AL422" s="195"/>
      <c r="AM422" s="195"/>
    </row>
    <row r="423" spans="2:40" ht="31.2">
      <c r="B423" s="253">
        <v>10</v>
      </c>
      <c r="C423" s="244"/>
      <c r="D423" s="1034" t="s">
        <v>4372</v>
      </c>
      <c r="E423" s="726">
        <v>307053154720</v>
      </c>
      <c r="F423" s="1034" t="s">
        <v>4372</v>
      </c>
      <c r="G423" s="1054" t="s">
        <v>4453</v>
      </c>
      <c r="H423" s="230" t="s">
        <v>210</v>
      </c>
      <c r="I423" s="230">
        <v>1</v>
      </c>
      <c r="J423" s="230"/>
      <c r="K423" s="230"/>
      <c r="L423" s="228"/>
      <c r="M423" s="257"/>
      <c r="N423" s="228" t="s">
        <v>4403</v>
      </c>
      <c r="O423" s="1294" t="s">
        <v>4426</v>
      </c>
      <c r="P423" s="1284" t="s">
        <v>4406</v>
      </c>
      <c r="Q423" s="2576"/>
      <c r="R423" s="2576"/>
      <c r="S423" s="254" t="s">
        <v>2966</v>
      </c>
      <c r="T423" s="228"/>
      <c r="U423" s="2552"/>
      <c r="V423" s="256"/>
      <c r="W423" s="775">
        <v>880000</v>
      </c>
      <c r="X423" s="775">
        <v>432000</v>
      </c>
      <c r="Y423" s="248"/>
      <c r="Z423" s="247"/>
      <c r="AA423" s="248"/>
      <c r="AB423" s="340">
        <f t="shared" si="128"/>
        <v>1312000</v>
      </c>
      <c r="AC423" s="347">
        <f t="shared" si="125"/>
        <v>0</v>
      </c>
      <c r="AD423" s="249"/>
      <c r="AE423" s="435">
        <f t="shared" si="129"/>
        <v>4104000.0000000005</v>
      </c>
      <c r="AF423" s="342">
        <f t="shared" si="130"/>
        <v>5416000</v>
      </c>
      <c r="AG423" s="251">
        <f t="shared" si="131"/>
        <v>3800000</v>
      </c>
      <c r="AH423" s="241"/>
      <c r="AI423" s="241"/>
      <c r="AJ423" s="241"/>
      <c r="AK423" s="194"/>
      <c r="AL423" s="195"/>
      <c r="AM423" s="195"/>
    </row>
    <row r="424" spans="2:40" ht="31.2">
      <c r="B424" s="253">
        <v>11</v>
      </c>
      <c r="C424" s="244"/>
      <c r="D424" s="1034" t="s">
        <v>4372</v>
      </c>
      <c r="E424" s="726">
        <v>307054936440</v>
      </c>
      <c r="F424" s="1034" t="s">
        <v>4372</v>
      </c>
      <c r="G424" s="1054" t="s">
        <v>4454</v>
      </c>
      <c r="H424" s="230" t="s">
        <v>210</v>
      </c>
      <c r="I424" s="230"/>
      <c r="J424" s="230">
        <v>1</v>
      </c>
      <c r="K424" s="230"/>
      <c r="L424" s="228"/>
      <c r="M424" s="257"/>
      <c r="N424" s="228" t="s">
        <v>4404</v>
      </c>
      <c r="O424" s="1294" t="s">
        <v>4431</v>
      </c>
      <c r="P424" s="1284" t="s">
        <v>4406</v>
      </c>
      <c r="Q424" s="2576"/>
      <c r="R424" s="2576"/>
      <c r="S424" s="254" t="s">
        <v>2966</v>
      </c>
      <c r="T424" s="228"/>
      <c r="U424" s="2552"/>
      <c r="V424" s="256"/>
      <c r="W424" s="775">
        <v>1130000</v>
      </c>
      <c r="X424" s="775">
        <v>766800</v>
      </c>
      <c r="Y424" s="248"/>
      <c r="Z424" s="247"/>
      <c r="AA424" s="248"/>
      <c r="AB424" s="340">
        <f t="shared" si="128"/>
        <v>1896800</v>
      </c>
      <c r="AC424" s="347">
        <f t="shared" si="125"/>
        <v>0</v>
      </c>
      <c r="AD424" s="249"/>
      <c r="AE424" s="435">
        <f t="shared" si="129"/>
        <v>4212000</v>
      </c>
      <c r="AF424" s="342">
        <f t="shared" si="130"/>
        <v>6108800</v>
      </c>
      <c r="AG424" s="251">
        <f t="shared" si="131"/>
        <v>3899999.9999999995</v>
      </c>
      <c r="AH424" s="241"/>
      <c r="AI424" s="241"/>
      <c r="AJ424" s="241"/>
      <c r="AK424" s="194"/>
      <c r="AL424" s="195"/>
      <c r="AM424" s="195"/>
    </row>
    <row r="425" spans="2:40" ht="31.2">
      <c r="B425" s="253">
        <v>12</v>
      </c>
      <c r="C425" s="244"/>
      <c r="D425" s="1428" t="s">
        <v>4372</v>
      </c>
      <c r="E425" s="726">
        <v>307055803260</v>
      </c>
      <c r="F425" s="1034" t="s">
        <v>4391</v>
      </c>
      <c r="G425" s="1054" t="s">
        <v>4455</v>
      </c>
      <c r="H425" s="230" t="s">
        <v>210</v>
      </c>
      <c r="I425" s="230"/>
      <c r="J425" s="230">
        <v>1</v>
      </c>
      <c r="K425" s="230"/>
      <c r="L425" s="228"/>
      <c r="M425" s="257"/>
      <c r="N425" s="228" t="s">
        <v>4405</v>
      </c>
      <c r="O425" s="1294" t="s">
        <v>4430</v>
      </c>
      <c r="P425" s="1284" t="s">
        <v>4427</v>
      </c>
      <c r="Q425" s="2576"/>
      <c r="R425" s="2576"/>
      <c r="S425" s="254" t="s">
        <v>2966</v>
      </c>
      <c r="T425" s="228"/>
      <c r="U425" s="2552"/>
      <c r="V425" s="256"/>
      <c r="W425" s="775">
        <v>1500000</v>
      </c>
      <c r="X425" s="775">
        <v>766800</v>
      </c>
      <c r="Y425" s="248"/>
      <c r="Z425" s="247"/>
      <c r="AA425" s="248"/>
      <c r="AB425" s="340">
        <f t="shared" si="128"/>
        <v>2266800</v>
      </c>
      <c r="AC425" s="347">
        <f t="shared" si="125"/>
        <v>0</v>
      </c>
      <c r="AD425" s="249"/>
      <c r="AE425" s="435">
        <f t="shared" si="129"/>
        <v>4212000</v>
      </c>
      <c r="AF425" s="342">
        <f t="shared" si="130"/>
        <v>6478800</v>
      </c>
      <c r="AG425" s="251">
        <f t="shared" si="131"/>
        <v>3899999.9999999995</v>
      </c>
      <c r="AH425" s="241"/>
      <c r="AI425" s="241"/>
      <c r="AJ425" s="241"/>
      <c r="AK425" s="194"/>
      <c r="AL425" s="195"/>
      <c r="AM425" s="195"/>
    </row>
    <row r="426" spans="2:40" ht="31.2">
      <c r="B426" s="253">
        <v>13</v>
      </c>
      <c r="C426" s="244"/>
      <c r="D426" s="1034" t="s">
        <v>4428</v>
      </c>
      <c r="E426" s="726">
        <v>307066163260</v>
      </c>
      <c r="F426" s="1034" t="s">
        <v>4428</v>
      </c>
      <c r="G426" s="1054" t="s">
        <v>4495</v>
      </c>
      <c r="H426" s="230" t="s">
        <v>210</v>
      </c>
      <c r="I426" s="230">
        <v>1</v>
      </c>
      <c r="J426" s="230"/>
      <c r="K426" s="230"/>
      <c r="L426" s="228"/>
      <c r="M426" s="257"/>
      <c r="N426" s="228">
        <v>32510809</v>
      </c>
      <c r="O426" s="1294" t="s">
        <v>4472</v>
      </c>
      <c r="P426" s="1284" t="s">
        <v>4626</v>
      </c>
      <c r="Q426" s="2576"/>
      <c r="R426" s="2576"/>
      <c r="S426" s="254" t="s">
        <v>4458</v>
      </c>
      <c r="T426" s="228"/>
      <c r="U426" s="2552"/>
      <c r="V426" s="256"/>
      <c r="W426" s="775">
        <v>1000000</v>
      </c>
      <c r="X426" s="775">
        <v>700000</v>
      </c>
      <c r="Y426" s="248"/>
      <c r="Z426" s="247"/>
      <c r="AA426" s="248"/>
      <c r="AB426" s="340">
        <f t="shared" si="128"/>
        <v>1700000</v>
      </c>
      <c r="AC426" s="347">
        <f t="shared" si="125"/>
        <v>0</v>
      </c>
      <c r="AD426" s="249"/>
      <c r="AE426" s="435">
        <f t="shared" si="129"/>
        <v>4104000.0000000005</v>
      </c>
      <c r="AF426" s="342">
        <f t="shared" si="130"/>
        <v>5804000</v>
      </c>
      <c r="AG426" s="251">
        <f t="shared" si="131"/>
        <v>3800000</v>
      </c>
      <c r="AH426" s="241"/>
      <c r="AI426" s="241"/>
      <c r="AJ426" s="241"/>
      <c r="AK426" s="194"/>
      <c r="AL426" s="195"/>
      <c r="AM426" s="195"/>
    </row>
    <row r="427" spans="2:40" ht="31.2">
      <c r="B427" s="253">
        <v>14</v>
      </c>
      <c r="C427" s="244"/>
      <c r="D427" s="1034" t="s">
        <v>4428</v>
      </c>
      <c r="E427" s="726">
        <v>307066218120</v>
      </c>
      <c r="F427" s="1034" t="s">
        <v>4428</v>
      </c>
      <c r="G427" s="1054" t="s">
        <v>4522</v>
      </c>
      <c r="H427" s="230" t="s">
        <v>210</v>
      </c>
      <c r="I427" s="230">
        <v>1</v>
      </c>
      <c r="J427" s="230"/>
      <c r="K427" s="230"/>
      <c r="L427" s="228"/>
      <c r="M427" s="257"/>
      <c r="N427" s="228">
        <v>92139760</v>
      </c>
      <c r="O427" s="1294" t="s">
        <v>4471</v>
      </c>
      <c r="P427" s="1284" t="s">
        <v>4626</v>
      </c>
      <c r="Q427" s="2576"/>
      <c r="R427" s="2576"/>
      <c r="S427" s="254" t="s">
        <v>4458</v>
      </c>
      <c r="T427" s="228"/>
      <c r="U427" s="2552"/>
      <c r="V427" s="256"/>
      <c r="W427" s="775">
        <v>1000000</v>
      </c>
      <c r="X427" s="775">
        <v>700000</v>
      </c>
      <c r="Y427" s="248"/>
      <c r="Z427" s="247"/>
      <c r="AA427" s="248"/>
      <c r="AB427" s="340">
        <f t="shared" si="128"/>
        <v>1700000</v>
      </c>
      <c r="AC427" s="347">
        <f t="shared" si="125"/>
        <v>0</v>
      </c>
      <c r="AD427" s="249"/>
      <c r="AE427" s="435">
        <f t="shared" si="129"/>
        <v>4104000.0000000005</v>
      </c>
      <c r="AF427" s="342">
        <f t="shared" si="130"/>
        <v>5804000</v>
      </c>
      <c r="AG427" s="251">
        <f t="shared" si="131"/>
        <v>3800000</v>
      </c>
      <c r="AH427" s="241"/>
      <c r="AI427" s="241"/>
      <c r="AJ427" s="241"/>
      <c r="AK427" s="194"/>
      <c r="AL427" s="195"/>
      <c r="AM427" s="195"/>
    </row>
    <row r="428" spans="2:40" ht="31.2">
      <c r="B428" s="253">
        <v>15</v>
      </c>
      <c r="C428" s="244"/>
      <c r="D428" s="1034" t="s">
        <v>4429</v>
      </c>
      <c r="E428" s="726">
        <v>307071572750</v>
      </c>
      <c r="F428" s="615" t="s">
        <v>4429</v>
      </c>
      <c r="G428" s="1054" t="s">
        <v>4523</v>
      </c>
      <c r="H428" s="230" t="s">
        <v>210</v>
      </c>
      <c r="I428" s="230"/>
      <c r="J428" s="230">
        <v>2</v>
      </c>
      <c r="K428" s="230"/>
      <c r="L428" s="228"/>
      <c r="M428" s="257"/>
      <c r="N428" s="228" t="s">
        <v>4469</v>
      </c>
      <c r="O428" s="1294" t="s">
        <v>4493</v>
      </c>
      <c r="P428" s="1284" t="s">
        <v>4627</v>
      </c>
      <c r="Q428" s="2576"/>
      <c r="R428" s="2576"/>
      <c r="S428" s="254" t="s">
        <v>2966</v>
      </c>
      <c r="T428" s="228"/>
      <c r="U428" s="2552"/>
      <c r="V428" s="256"/>
      <c r="W428" s="775">
        <f>1280000+1280000</f>
        <v>2560000</v>
      </c>
      <c r="X428" s="775">
        <v>1533600</v>
      </c>
      <c r="Y428" s="248"/>
      <c r="Z428" s="247"/>
      <c r="AA428" s="248"/>
      <c r="AB428" s="340">
        <f t="shared" si="128"/>
        <v>4093600</v>
      </c>
      <c r="AC428" s="347">
        <f t="shared" si="125"/>
        <v>0</v>
      </c>
      <c r="AD428" s="249"/>
      <c r="AE428" s="435">
        <f t="shared" si="129"/>
        <v>8424000</v>
      </c>
      <c r="AF428" s="342">
        <f t="shared" ref="AF428:AF438" si="132">+AB428+AE428</f>
        <v>12517600</v>
      </c>
      <c r="AG428" s="251">
        <f t="shared" ref="AG428:AG438" si="133">+AE428/1.08</f>
        <v>7799999.9999999991</v>
      </c>
      <c r="AH428" s="241"/>
      <c r="AI428" s="241"/>
      <c r="AJ428" s="241"/>
      <c r="AK428" s="194"/>
      <c r="AL428" s="195"/>
      <c r="AM428" s="195"/>
    </row>
    <row r="429" spans="2:40" ht="31.2">
      <c r="B429" s="253">
        <v>16</v>
      </c>
      <c r="C429" s="244"/>
      <c r="D429" s="1457" t="s">
        <v>4467</v>
      </c>
      <c r="E429" s="726">
        <v>307075810220</v>
      </c>
      <c r="F429" s="1457" t="s">
        <v>4467</v>
      </c>
      <c r="G429" s="1054" t="s">
        <v>4524</v>
      </c>
      <c r="H429" s="230" t="s">
        <v>210</v>
      </c>
      <c r="I429" s="230"/>
      <c r="J429" s="230">
        <v>2</v>
      </c>
      <c r="K429" s="230"/>
      <c r="L429" s="228"/>
      <c r="M429" s="257"/>
      <c r="N429" s="228" t="s">
        <v>4474</v>
      </c>
      <c r="O429" s="1294" t="s">
        <v>4519</v>
      </c>
      <c r="P429" s="1284" t="s">
        <v>4475</v>
      </c>
      <c r="Q429" s="2576"/>
      <c r="R429" s="2576"/>
      <c r="S429" s="254" t="s">
        <v>4458</v>
      </c>
      <c r="T429" s="228"/>
      <c r="U429" s="2552"/>
      <c r="V429" s="256"/>
      <c r="W429" s="775">
        <f>1280000*2</f>
        <v>2560000</v>
      </c>
      <c r="X429" s="775">
        <f>1140000*2</f>
        <v>2280000</v>
      </c>
      <c r="Y429" s="248"/>
      <c r="Z429" s="247"/>
      <c r="AA429" s="248"/>
      <c r="AB429" s="340">
        <f t="shared" si="128"/>
        <v>4840000</v>
      </c>
      <c r="AC429" s="347">
        <f t="shared" si="125"/>
        <v>0</v>
      </c>
      <c r="AD429" s="249"/>
      <c r="AE429" s="435">
        <f t="shared" si="129"/>
        <v>8424000</v>
      </c>
      <c r="AF429" s="342">
        <f t="shared" si="132"/>
        <v>13264000</v>
      </c>
      <c r="AG429" s="251">
        <f t="shared" si="133"/>
        <v>7799999.9999999991</v>
      </c>
      <c r="AH429" s="241"/>
      <c r="AI429" s="241"/>
      <c r="AJ429" s="241"/>
      <c r="AK429" s="194"/>
      <c r="AL429" s="195"/>
      <c r="AM429" s="195"/>
    </row>
    <row r="430" spans="2:40">
      <c r="B430" s="3811" t="s">
        <v>4668</v>
      </c>
      <c r="C430" s="3716"/>
      <c r="D430" s="3716"/>
      <c r="E430" s="3716"/>
      <c r="F430" s="3716"/>
      <c r="G430" s="3716"/>
      <c r="H430" s="3716"/>
      <c r="I430" s="3716"/>
      <c r="J430" s="3716"/>
      <c r="K430" s="3716"/>
      <c r="L430" s="3716"/>
      <c r="M430" s="346"/>
      <c r="N430" s="346"/>
      <c r="O430" s="346"/>
      <c r="P430" s="346"/>
      <c r="Q430" s="346"/>
      <c r="R430" s="346"/>
      <c r="S430" s="346"/>
      <c r="T430" s="346"/>
      <c r="U430" s="346"/>
      <c r="V430" s="590"/>
      <c r="W430" s="590">
        <f>SUM(W404:W429)</f>
        <v>66099800</v>
      </c>
      <c r="X430" s="590">
        <f>SUM(X404:X429)</f>
        <v>43006440</v>
      </c>
      <c r="Y430" s="357"/>
      <c r="Z430" s="357"/>
      <c r="AA430" s="357"/>
      <c r="AB430" s="590">
        <f>SUM(AB404:AB429)</f>
        <v>109137109</v>
      </c>
      <c r="AC430" s="358"/>
      <c r="AD430" s="358"/>
      <c r="AE430" s="1289">
        <f>SUM(AE404:AE429)</f>
        <v>241142400</v>
      </c>
      <c r="AF430" s="590">
        <f>SUM(AF404:AF429)</f>
        <v>350279509</v>
      </c>
      <c r="AG430" s="590">
        <f>SUM(AG404:AG429)</f>
        <v>223280000</v>
      </c>
      <c r="AH430" s="241"/>
      <c r="AI430" s="241"/>
      <c r="AJ430" s="241"/>
      <c r="AK430" s="194"/>
      <c r="AL430" s="195"/>
      <c r="AM430" s="195"/>
      <c r="AN430" s="1136"/>
    </row>
    <row r="431" spans="2:40" ht="31.2">
      <c r="B431" s="253">
        <v>1</v>
      </c>
      <c r="C431" s="244"/>
      <c r="D431" s="1457" t="s">
        <v>4748</v>
      </c>
      <c r="E431" s="726">
        <v>307119819660</v>
      </c>
      <c r="F431" s="645" t="s">
        <v>4748</v>
      </c>
      <c r="G431" s="1054" t="s">
        <v>4797</v>
      </c>
      <c r="H431" s="230" t="s">
        <v>210</v>
      </c>
      <c r="I431" s="230"/>
      <c r="J431" s="230">
        <v>1</v>
      </c>
      <c r="K431" s="230"/>
      <c r="L431" s="228"/>
      <c r="M431" s="257"/>
      <c r="N431" s="228" t="s">
        <v>4753</v>
      </c>
      <c r="O431" s="1294" t="s">
        <v>4756</v>
      </c>
      <c r="P431" s="1284" t="s">
        <v>4754</v>
      </c>
      <c r="Q431" s="2576"/>
      <c r="R431" s="2576"/>
      <c r="S431" s="254" t="s">
        <v>2966</v>
      </c>
      <c r="T431" s="228"/>
      <c r="U431" s="2552"/>
      <c r="V431" s="256"/>
      <c r="W431" s="1598">
        <v>1270000</v>
      </c>
      <c r="X431" s="1598">
        <v>766800</v>
      </c>
      <c r="Y431" s="248"/>
      <c r="Z431" s="247"/>
      <c r="AA431" s="248"/>
      <c r="AB431" s="340">
        <f t="shared" ref="AB431:AB438" si="134">V431+W431+X431+Y431+Z431+AA431</f>
        <v>2036800</v>
      </c>
      <c r="AC431" s="347">
        <f t="shared" si="125"/>
        <v>0</v>
      </c>
      <c r="AD431" s="249"/>
      <c r="AE431" s="435">
        <f>+(I431*3778000+J431*(3778000+100000))*1.08+((I431+J431+K431)*150000)*1.08</f>
        <v>4350240</v>
      </c>
      <c r="AF431" s="342">
        <f t="shared" si="132"/>
        <v>6387040</v>
      </c>
      <c r="AG431" s="251">
        <f t="shared" si="133"/>
        <v>4027999.9999999995</v>
      </c>
      <c r="AH431" s="241"/>
      <c r="AI431" s="241"/>
      <c r="AJ431" s="241"/>
      <c r="AK431" s="194"/>
      <c r="AL431" s="195"/>
      <c r="AM431" s="195"/>
    </row>
    <row r="432" spans="2:40">
      <c r="B432" s="253">
        <f>+B431+1</f>
        <v>2</v>
      </c>
      <c r="C432" s="244"/>
      <c r="D432" s="1457" t="s">
        <v>4758</v>
      </c>
      <c r="E432" s="2063">
        <v>106924101210</v>
      </c>
      <c r="F432" s="645" t="s">
        <v>4759</v>
      </c>
      <c r="G432" s="1054" t="s">
        <v>4796</v>
      </c>
      <c r="H432" s="230" t="s">
        <v>1300</v>
      </c>
      <c r="I432" s="230"/>
      <c r="J432" s="230"/>
      <c r="K432" s="230">
        <v>1</v>
      </c>
      <c r="L432" s="228"/>
      <c r="M432" s="257" t="s">
        <v>4760</v>
      </c>
      <c r="N432" s="228" t="s">
        <v>4757</v>
      </c>
      <c r="O432" s="228"/>
      <c r="P432" s="258"/>
      <c r="Q432" s="2577"/>
      <c r="R432" s="2577"/>
      <c r="S432" s="254" t="s">
        <v>2760</v>
      </c>
      <c r="T432" s="228"/>
      <c r="U432" s="2552"/>
      <c r="V432" s="256"/>
      <c r="W432" s="248"/>
      <c r="X432" s="248"/>
      <c r="Y432" s="248"/>
      <c r="Z432" s="247"/>
      <c r="AA432" s="248"/>
      <c r="AB432" s="340">
        <f t="shared" si="134"/>
        <v>0</v>
      </c>
      <c r="AC432" s="347">
        <f t="shared" si="125"/>
        <v>0</v>
      </c>
      <c r="AD432" s="1627" t="s">
        <v>4671</v>
      </c>
      <c r="AE432" s="435">
        <f>(2220000+150000)*1.08</f>
        <v>2559600</v>
      </c>
      <c r="AF432" s="342">
        <f t="shared" si="132"/>
        <v>2559600</v>
      </c>
      <c r="AG432" s="251">
        <f t="shared" si="133"/>
        <v>2370000</v>
      </c>
      <c r="AH432" s="241"/>
      <c r="AI432" s="241"/>
      <c r="AJ432" s="241"/>
      <c r="AK432" s="194"/>
      <c r="AL432" s="195"/>
      <c r="AM432" s="195"/>
    </row>
    <row r="433" spans="2:40">
      <c r="B433" s="253">
        <f t="shared" ref="B433:B449" si="135">+B432+1</f>
        <v>3</v>
      </c>
      <c r="C433" s="244"/>
      <c r="D433" s="1457" t="s">
        <v>4758</v>
      </c>
      <c r="E433" s="2063">
        <v>106923091700</v>
      </c>
      <c r="F433" s="645" t="s">
        <v>4759</v>
      </c>
      <c r="G433" s="1054" t="s">
        <v>4798</v>
      </c>
      <c r="H433" s="230" t="s">
        <v>1300</v>
      </c>
      <c r="I433" s="230"/>
      <c r="J433" s="230"/>
      <c r="K433" s="230">
        <v>1</v>
      </c>
      <c r="L433" s="228"/>
      <c r="M433" s="257" t="s">
        <v>4761</v>
      </c>
      <c r="N433" s="228" t="s">
        <v>4762</v>
      </c>
      <c r="O433" s="228"/>
      <c r="P433" s="258"/>
      <c r="Q433" s="2577"/>
      <c r="R433" s="2577"/>
      <c r="S433" s="254" t="s">
        <v>2760</v>
      </c>
      <c r="T433" s="228"/>
      <c r="U433" s="2552"/>
      <c r="V433" s="256"/>
      <c r="W433" s="248"/>
      <c r="X433" s="248"/>
      <c r="Y433" s="248"/>
      <c r="Z433" s="247"/>
      <c r="AA433" s="248"/>
      <c r="AB433" s="340">
        <f t="shared" si="134"/>
        <v>0</v>
      </c>
      <c r="AC433" s="347">
        <f t="shared" si="125"/>
        <v>0</v>
      </c>
      <c r="AD433" s="1627" t="s">
        <v>4671</v>
      </c>
      <c r="AE433" s="435">
        <f>(2220000+150000)*1.08</f>
        <v>2559600</v>
      </c>
      <c r="AF433" s="342">
        <f t="shared" si="132"/>
        <v>2559600</v>
      </c>
      <c r="AG433" s="251">
        <f t="shared" si="133"/>
        <v>2370000</v>
      </c>
      <c r="AH433" s="241"/>
      <c r="AI433" s="241"/>
      <c r="AJ433" s="241"/>
      <c r="AK433" s="194"/>
      <c r="AL433" s="195"/>
      <c r="AM433" s="195"/>
    </row>
    <row r="434" spans="2:40">
      <c r="B434" s="253">
        <f t="shared" si="135"/>
        <v>4</v>
      </c>
      <c r="C434" s="244"/>
      <c r="D434" s="1615" t="s">
        <v>4782</v>
      </c>
      <c r="E434" s="726">
        <v>307133052940</v>
      </c>
      <c r="F434" s="615">
        <v>45700</v>
      </c>
      <c r="G434" s="1054" t="s">
        <v>4799</v>
      </c>
      <c r="H434" s="230" t="s">
        <v>210</v>
      </c>
      <c r="I434" s="230"/>
      <c r="J434" s="230">
        <v>1</v>
      </c>
      <c r="K434" s="230"/>
      <c r="L434" s="228"/>
      <c r="M434" s="257"/>
      <c r="N434" s="228" t="s">
        <v>4779</v>
      </c>
      <c r="O434" s="1294" t="s">
        <v>4787</v>
      </c>
      <c r="P434" s="1610" t="s">
        <v>4786</v>
      </c>
      <c r="Q434" s="2578"/>
      <c r="R434" s="2578"/>
      <c r="S434" s="254" t="s">
        <v>2966</v>
      </c>
      <c r="T434" s="228"/>
      <c r="U434" s="2552"/>
      <c r="V434" s="256"/>
      <c r="W434" s="1598">
        <v>1500000</v>
      </c>
      <c r="X434" s="1598">
        <v>766800</v>
      </c>
      <c r="Y434" s="248"/>
      <c r="Z434" s="247"/>
      <c r="AA434" s="248"/>
      <c r="AB434" s="340">
        <f t="shared" si="134"/>
        <v>2266800</v>
      </c>
      <c r="AC434" s="347">
        <f t="shared" si="125"/>
        <v>0</v>
      </c>
      <c r="AD434" s="249"/>
      <c r="AE434" s="435">
        <f>+(I434*3778000+J434*(3778000+100000))*1.08+((I434+J434+K434)*150000)*1.08</f>
        <v>4350240</v>
      </c>
      <c r="AF434" s="342">
        <f t="shared" si="132"/>
        <v>6617040</v>
      </c>
      <c r="AG434" s="251">
        <f t="shared" si="133"/>
        <v>4027999.9999999995</v>
      </c>
      <c r="AH434" s="241"/>
      <c r="AI434" s="241"/>
      <c r="AJ434" s="241"/>
      <c r="AK434" s="194"/>
      <c r="AL434" s="195"/>
      <c r="AM434" s="195"/>
    </row>
    <row r="435" spans="2:40" ht="46.8">
      <c r="B435" s="253">
        <f t="shared" si="135"/>
        <v>5</v>
      </c>
      <c r="C435" s="244"/>
      <c r="D435" s="1615" t="s">
        <v>4822</v>
      </c>
      <c r="E435" s="726">
        <v>307143682920</v>
      </c>
      <c r="F435" s="1615" t="s">
        <v>4822</v>
      </c>
      <c r="G435" s="1054" t="s">
        <v>4823</v>
      </c>
      <c r="H435" s="230" t="s">
        <v>210</v>
      </c>
      <c r="I435" s="230"/>
      <c r="J435" s="230">
        <v>1</v>
      </c>
      <c r="K435" s="230"/>
      <c r="L435" s="228"/>
      <c r="M435" s="257"/>
      <c r="N435" s="228">
        <v>250219397</v>
      </c>
      <c r="O435" s="1294" t="s">
        <v>4824</v>
      </c>
      <c r="P435" s="1284" t="s">
        <v>4815</v>
      </c>
      <c r="Q435" s="2576"/>
      <c r="R435" s="2576"/>
      <c r="S435" s="254" t="s">
        <v>3152</v>
      </c>
      <c r="T435" s="228"/>
      <c r="U435" s="2552"/>
      <c r="V435" s="256"/>
      <c r="W435" s="1598">
        <v>1450000</v>
      </c>
      <c r="X435" s="1598">
        <v>1140000</v>
      </c>
      <c r="Y435" s="248"/>
      <c r="Z435" s="247"/>
      <c r="AA435" s="248"/>
      <c r="AB435" s="340">
        <f t="shared" si="134"/>
        <v>2590000</v>
      </c>
      <c r="AC435" s="347">
        <f t="shared" si="125"/>
        <v>0</v>
      </c>
      <c r="AD435" s="249"/>
      <c r="AE435" s="435">
        <f>+(I435*3778000+J435*(3778000+100000))*1.08+((I435+J435+K435)*150000)*1.08</f>
        <v>4350240</v>
      </c>
      <c r="AF435" s="342">
        <f t="shared" si="132"/>
        <v>6940240</v>
      </c>
      <c r="AG435" s="251">
        <f t="shared" si="133"/>
        <v>4027999.9999999995</v>
      </c>
      <c r="AH435" s="241"/>
      <c r="AI435" s="241"/>
      <c r="AJ435" s="241"/>
      <c r="AK435" s="194"/>
      <c r="AL435" s="195"/>
      <c r="AM435" s="195"/>
    </row>
    <row r="436" spans="2:40" ht="50.25" customHeight="1">
      <c r="B436" s="253">
        <f t="shared" si="135"/>
        <v>6</v>
      </c>
      <c r="C436" s="244"/>
      <c r="D436" s="1615" t="s">
        <v>4888</v>
      </c>
      <c r="E436" s="726">
        <v>307162817160</v>
      </c>
      <c r="F436" s="645" t="s">
        <v>4888</v>
      </c>
      <c r="G436" s="1054" t="s">
        <v>4904</v>
      </c>
      <c r="H436" s="230" t="s">
        <v>210</v>
      </c>
      <c r="I436" s="230"/>
      <c r="J436" s="230">
        <v>1</v>
      </c>
      <c r="K436" s="230"/>
      <c r="L436" s="228"/>
      <c r="M436" s="257"/>
      <c r="N436" s="228" t="s">
        <v>4849</v>
      </c>
      <c r="O436" s="1294" t="s">
        <v>4898</v>
      </c>
      <c r="P436" s="1284" t="s">
        <v>4851</v>
      </c>
      <c r="Q436" s="2576"/>
      <c r="R436" s="2576"/>
      <c r="S436" s="1294" t="s">
        <v>2966</v>
      </c>
      <c r="T436" s="228"/>
      <c r="U436" s="2552"/>
      <c r="V436" s="256"/>
      <c r="W436" s="1598">
        <v>1500000</v>
      </c>
      <c r="X436" s="1598">
        <v>766800</v>
      </c>
      <c r="Y436" s="248"/>
      <c r="Z436" s="247"/>
      <c r="AA436" s="248"/>
      <c r="AB436" s="340">
        <f t="shared" si="134"/>
        <v>2266800</v>
      </c>
      <c r="AC436" s="347">
        <f t="shared" si="125"/>
        <v>0</v>
      </c>
      <c r="AD436" s="249"/>
      <c r="AE436" s="435">
        <f>+(I436*3778000+J436*(3778000+100000))*1.08+((I436+J436+K436)*150000)*1.08</f>
        <v>4350240</v>
      </c>
      <c r="AF436" s="342">
        <f t="shared" si="132"/>
        <v>6617040</v>
      </c>
      <c r="AG436" s="251">
        <f t="shared" si="133"/>
        <v>4027999.9999999995</v>
      </c>
      <c r="AH436" s="241"/>
      <c r="AI436" s="241"/>
      <c r="AJ436" s="241"/>
      <c r="AK436" s="194"/>
      <c r="AL436" s="195"/>
      <c r="AM436" s="195"/>
    </row>
    <row r="437" spans="2:40" ht="42.75" customHeight="1">
      <c r="B437" s="253">
        <f t="shared" si="135"/>
        <v>7</v>
      </c>
      <c r="C437" s="244"/>
      <c r="D437" s="1615" t="s">
        <v>4888</v>
      </c>
      <c r="E437" s="726">
        <v>307162910740</v>
      </c>
      <c r="F437" s="645" t="s">
        <v>4888</v>
      </c>
      <c r="G437" s="1054" t="s">
        <v>4905</v>
      </c>
      <c r="H437" s="230" t="s">
        <v>210</v>
      </c>
      <c r="I437" s="1579"/>
      <c r="J437" s="230">
        <v>1</v>
      </c>
      <c r="K437" s="1579"/>
      <c r="L437" s="1579"/>
      <c r="M437" s="257"/>
      <c r="N437" s="228" t="s">
        <v>4850</v>
      </c>
      <c r="O437" s="1294" t="s">
        <v>4892</v>
      </c>
      <c r="P437" s="1284" t="s">
        <v>4852</v>
      </c>
      <c r="Q437" s="2576"/>
      <c r="R437" s="2576"/>
      <c r="S437" s="1294" t="s">
        <v>2966</v>
      </c>
      <c r="T437" s="1579"/>
      <c r="U437" s="1579"/>
      <c r="V437" s="1579"/>
      <c r="W437" s="1658">
        <v>1280000</v>
      </c>
      <c r="X437" s="324">
        <v>766800</v>
      </c>
      <c r="Y437" s="1579"/>
      <c r="Z437" s="1579"/>
      <c r="AA437" s="1579"/>
      <c r="AB437" s="340">
        <f t="shared" si="134"/>
        <v>2046800</v>
      </c>
      <c r="AC437" s="347">
        <f t="shared" si="125"/>
        <v>0</v>
      </c>
      <c r="AD437" s="249"/>
      <c r="AE437" s="435">
        <f>+(I437*3778000+J437*(3778000+100000))*1.08+((I437+J437+K437)*150000)*1.08</f>
        <v>4350240</v>
      </c>
      <c r="AF437" s="342">
        <f t="shared" si="132"/>
        <v>6397040</v>
      </c>
      <c r="AG437" s="251">
        <f t="shared" si="133"/>
        <v>4027999.9999999995</v>
      </c>
      <c r="AH437" s="241"/>
      <c r="AI437" s="241"/>
      <c r="AJ437" s="241"/>
      <c r="AK437" s="194"/>
      <c r="AL437" s="195"/>
      <c r="AM437" s="195"/>
    </row>
    <row r="438" spans="2:40" ht="31.2">
      <c r="B438" s="253">
        <f t="shared" si="135"/>
        <v>8</v>
      </c>
      <c r="C438" s="244"/>
      <c r="D438" s="661" t="s">
        <v>4840</v>
      </c>
      <c r="E438" s="726">
        <v>307166228960</v>
      </c>
      <c r="F438" s="1666" t="s">
        <v>4840</v>
      </c>
      <c r="G438" s="1054" t="s">
        <v>4925</v>
      </c>
      <c r="H438" s="230" t="s">
        <v>210</v>
      </c>
      <c r="I438" s="1579"/>
      <c r="J438" s="230" t="s">
        <v>4899</v>
      </c>
      <c r="K438" s="1579"/>
      <c r="L438" s="1579"/>
      <c r="M438" s="257"/>
      <c r="N438" s="228" t="s">
        <v>4900</v>
      </c>
      <c r="O438" s="1294" t="s">
        <v>4915</v>
      </c>
      <c r="P438" s="1284" t="s">
        <v>4901</v>
      </c>
      <c r="Q438" s="2576"/>
      <c r="R438" s="2576"/>
      <c r="S438" s="1294" t="s">
        <v>2966</v>
      </c>
      <c r="T438" s="1579"/>
      <c r="U438" s="1579"/>
      <c r="V438" s="1579"/>
      <c r="W438" s="1658">
        <f>1280000*2</f>
        <v>2560000</v>
      </c>
      <c r="X438" s="324">
        <v>1533600</v>
      </c>
      <c r="Y438" s="1579"/>
      <c r="Z438" s="1579"/>
      <c r="AA438" s="1579"/>
      <c r="AB438" s="340">
        <f t="shared" si="134"/>
        <v>4093600</v>
      </c>
      <c r="AC438" s="347">
        <f t="shared" si="125"/>
        <v>0</v>
      </c>
      <c r="AD438" s="249"/>
      <c r="AE438" s="435">
        <f>+(I438*3778000+J438*(3778000+100000))*1.08+((I438+J438+K438)*150000)*1.08</f>
        <v>8700480</v>
      </c>
      <c r="AF438" s="342">
        <f t="shared" si="132"/>
        <v>12794080</v>
      </c>
      <c r="AG438" s="251">
        <f t="shared" si="133"/>
        <v>8055999.9999999991</v>
      </c>
      <c r="AH438" s="241"/>
      <c r="AI438" s="241"/>
      <c r="AJ438" s="241"/>
      <c r="AK438" s="194"/>
      <c r="AL438" s="195"/>
      <c r="AM438" s="195"/>
    </row>
    <row r="439" spans="2:40">
      <c r="B439" s="3811" t="s">
        <v>5271</v>
      </c>
      <c r="C439" s="3716"/>
      <c r="D439" s="3716"/>
      <c r="E439" s="3716"/>
      <c r="F439" s="3716"/>
      <c r="G439" s="3716"/>
      <c r="H439" s="3716"/>
      <c r="I439" s="3716"/>
      <c r="J439" s="3716"/>
      <c r="K439" s="3716"/>
      <c r="L439" s="3716"/>
      <c r="M439" s="346"/>
      <c r="N439" s="346"/>
      <c r="O439" s="346"/>
      <c r="P439" s="346"/>
      <c r="Q439" s="346"/>
      <c r="R439" s="346"/>
      <c r="S439" s="346"/>
      <c r="T439" s="346"/>
      <c r="U439" s="346"/>
      <c r="V439" s="590"/>
      <c r="W439" s="2165"/>
      <c r="X439" s="590"/>
      <c r="Y439" s="357"/>
      <c r="Z439" s="357"/>
      <c r="AA439" s="357"/>
      <c r="AB439" s="590">
        <f>SUM(AB413:AB438)</f>
        <v>215572418</v>
      </c>
      <c r="AC439" s="358"/>
      <c r="AD439" s="358"/>
      <c r="AE439" s="1289">
        <f>SUM(AE413:AE438)</f>
        <v>477172080</v>
      </c>
      <c r="AF439" s="590">
        <f>SUM(AF413:AF438)</f>
        <v>692744498</v>
      </c>
      <c r="AG439" s="590">
        <f>SUM(AG413:AG438)</f>
        <v>441826000</v>
      </c>
      <c r="AH439" s="241"/>
      <c r="AI439" s="241"/>
      <c r="AJ439" s="241"/>
      <c r="AK439" s="194"/>
      <c r="AL439" s="195"/>
      <c r="AM439" s="195"/>
      <c r="AN439" s="1136"/>
    </row>
    <row r="440" spans="2:40" ht="31.2">
      <c r="B440" s="253">
        <v>1</v>
      </c>
      <c r="C440" s="244"/>
      <c r="D440" s="661" t="s">
        <v>5265</v>
      </c>
      <c r="E440" s="726">
        <v>307277079450</v>
      </c>
      <c r="F440" s="661" t="s">
        <v>5265</v>
      </c>
      <c r="G440" s="391" t="s">
        <v>5276</v>
      </c>
      <c r="H440" s="230" t="s">
        <v>210</v>
      </c>
      <c r="I440" s="230"/>
      <c r="J440" s="230">
        <v>1</v>
      </c>
      <c r="K440" s="230"/>
      <c r="L440" s="228"/>
      <c r="M440" s="1275"/>
      <c r="N440" s="1608" t="s">
        <v>5264</v>
      </c>
      <c r="O440" s="228" t="s">
        <v>5270</v>
      </c>
      <c r="P440" s="1284" t="s">
        <v>5269</v>
      </c>
      <c r="Q440" s="2576"/>
      <c r="R440" s="2576"/>
      <c r="S440" s="1294" t="s">
        <v>2966</v>
      </c>
      <c r="T440" s="228"/>
      <c r="U440" s="2552"/>
      <c r="V440" s="256"/>
      <c r="W440" s="1658">
        <v>1280000</v>
      </c>
      <c r="X440" s="324">
        <v>882000</v>
      </c>
      <c r="Y440" s="248"/>
      <c r="Z440" s="247"/>
      <c r="AA440" s="248"/>
      <c r="AB440" s="340">
        <f t="shared" ref="AB440:AB449" si="136">V440+W440+X440+Y440+Z440+AA440</f>
        <v>2162000</v>
      </c>
      <c r="AC440" s="347">
        <f t="shared" si="125"/>
        <v>0</v>
      </c>
      <c r="AD440" s="249"/>
      <c r="AE440" s="621">
        <f t="shared" ref="AE440:AE449" si="137">+(I440*3832500+J440*(3832500+100000))*1.08+((I440+J440+K440)*150000)*1.08</f>
        <v>4409100</v>
      </c>
      <c r="AF440" s="342">
        <f>+AB440+AE440</f>
        <v>6571100</v>
      </c>
      <c r="AG440" s="251">
        <f>+AE440/1.08</f>
        <v>4082499.9999999995</v>
      </c>
      <c r="AH440" s="241"/>
      <c r="AI440" s="241"/>
      <c r="AJ440" s="241"/>
      <c r="AK440" s="194"/>
      <c r="AL440" s="195"/>
      <c r="AM440" s="195"/>
    </row>
    <row r="441" spans="2:40" ht="46.8">
      <c r="B441" s="253">
        <f t="shared" si="135"/>
        <v>2</v>
      </c>
      <c r="C441" s="244"/>
      <c r="D441" s="661" t="s">
        <v>5310</v>
      </c>
      <c r="E441" s="726">
        <v>307294991860</v>
      </c>
      <c r="F441" s="645" t="s">
        <v>5310</v>
      </c>
      <c r="G441" s="391" t="s">
        <v>5336</v>
      </c>
      <c r="H441" s="230" t="s">
        <v>210</v>
      </c>
      <c r="I441" s="230">
        <v>1</v>
      </c>
      <c r="J441" s="230"/>
      <c r="K441" s="230"/>
      <c r="L441" s="228"/>
      <c r="M441" s="1275"/>
      <c r="N441" s="228">
        <v>69009959</v>
      </c>
      <c r="O441" s="228" t="s">
        <v>5330</v>
      </c>
      <c r="P441" s="1284" t="s">
        <v>5315</v>
      </c>
      <c r="Q441" s="2576"/>
      <c r="R441" s="2576"/>
      <c r="S441" s="1294" t="s">
        <v>2966</v>
      </c>
      <c r="T441" s="228"/>
      <c r="U441" s="2552"/>
      <c r="V441" s="256"/>
      <c r="W441" s="1658">
        <v>1000000</v>
      </c>
      <c r="X441" s="324">
        <v>497000</v>
      </c>
      <c r="Y441" s="248"/>
      <c r="Z441" s="247"/>
      <c r="AA441" s="248"/>
      <c r="AB441" s="340">
        <f t="shared" si="136"/>
        <v>1497000</v>
      </c>
      <c r="AC441" s="347">
        <f t="shared" si="125"/>
        <v>0</v>
      </c>
      <c r="AD441" s="249"/>
      <c r="AE441" s="621">
        <f t="shared" si="137"/>
        <v>4301100</v>
      </c>
      <c r="AF441" s="342">
        <f t="shared" ref="AF441:AF449" si="138">+AB441+AE441</f>
        <v>5798100</v>
      </c>
      <c r="AG441" s="251">
        <f t="shared" ref="AG441:AG454" si="139">+AE441/1.08</f>
        <v>3982499.9999999995</v>
      </c>
      <c r="AH441" s="241"/>
      <c r="AI441" s="241"/>
      <c r="AJ441" s="241"/>
      <c r="AK441" s="194"/>
      <c r="AL441" s="195"/>
      <c r="AM441" s="195"/>
    </row>
    <row r="442" spans="2:40" ht="46.8">
      <c r="B442" s="253">
        <f t="shared" si="135"/>
        <v>3</v>
      </c>
      <c r="C442" s="244"/>
      <c r="D442" s="1615" t="s">
        <v>5337</v>
      </c>
      <c r="E442" s="726">
        <v>307299671620</v>
      </c>
      <c r="F442" s="645" t="s">
        <v>5337</v>
      </c>
      <c r="G442" s="391" t="s">
        <v>5355</v>
      </c>
      <c r="H442" s="230" t="s">
        <v>210</v>
      </c>
      <c r="I442" s="230">
        <v>1</v>
      </c>
      <c r="J442" s="230"/>
      <c r="K442" s="230"/>
      <c r="L442" s="228"/>
      <c r="M442" s="1275"/>
      <c r="N442" s="1608" t="s">
        <v>5312</v>
      </c>
      <c r="O442" s="228" t="s">
        <v>5347</v>
      </c>
      <c r="P442" s="1284" t="s">
        <v>5316</v>
      </c>
      <c r="Q442" s="2576"/>
      <c r="R442" s="2576"/>
      <c r="S442" s="1294" t="s">
        <v>2966</v>
      </c>
      <c r="T442" s="228"/>
      <c r="U442" s="2552"/>
      <c r="V442" s="256"/>
      <c r="W442" s="1658">
        <v>1000000</v>
      </c>
      <c r="X442" s="324">
        <v>497000</v>
      </c>
      <c r="Y442" s="248"/>
      <c r="Z442" s="247"/>
      <c r="AA442" s="248"/>
      <c r="AB442" s="340">
        <f t="shared" si="136"/>
        <v>1497000</v>
      </c>
      <c r="AC442" s="347">
        <f t="shared" si="125"/>
        <v>0</v>
      </c>
      <c r="AD442" s="249"/>
      <c r="AE442" s="621">
        <f t="shared" si="137"/>
        <v>4301100</v>
      </c>
      <c r="AF442" s="342">
        <f t="shared" si="138"/>
        <v>5798100</v>
      </c>
      <c r="AG442" s="251">
        <f t="shared" si="139"/>
        <v>3982499.9999999995</v>
      </c>
      <c r="AH442" s="241"/>
      <c r="AI442" s="241"/>
      <c r="AJ442" s="241"/>
      <c r="AK442" s="194"/>
      <c r="AL442" s="195"/>
      <c r="AM442" s="195"/>
    </row>
    <row r="443" spans="2:40" ht="27.75" customHeight="1">
      <c r="B443" s="253">
        <f t="shared" si="135"/>
        <v>4</v>
      </c>
      <c r="C443" s="244"/>
      <c r="D443" s="1615" t="s">
        <v>5335</v>
      </c>
      <c r="E443" s="726">
        <v>307318993610</v>
      </c>
      <c r="F443" s="1615" t="s">
        <v>5335</v>
      </c>
      <c r="G443" s="391" t="s">
        <v>5414</v>
      </c>
      <c r="H443" s="230" t="s">
        <v>210</v>
      </c>
      <c r="I443" s="230"/>
      <c r="J443" s="230">
        <v>1</v>
      </c>
      <c r="K443" s="230"/>
      <c r="L443" s="228"/>
      <c r="M443" s="257"/>
      <c r="N443" s="228" t="s">
        <v>5386</v>
      </c>
      <c r="O443" s="228" t="s">
        <v>5405</v>
      </c>
      <c r="P443" s="1610" t="s">
        <v>5404</v>
      </c>
      <c r="Q443" s="2578"/>
      <c r="R443" s="2578"/>
      <c r="S443" s="1294" t="s">
        <v>2966</v>
      </c>
      <c r="T443" s="228"/>
      <c r="U443" s="2552"/>
      <c r="V443" s="256"/>
      <c r="W443" s="1658">
        <v>1280000</v>
      </c>
      <c r="X443" s="324">
        <v>882000</v>
      </c>
      <c r="Y443" s="248"/>
      <c r="Z443" s="247"/>
      <c r="AA443" s="248"/>
      <c r="AB443" s="340">
        <f t="shared" si="136"/>
        <v>2162000</v>
      </c>
      <c r="AC443" s="347">
        <f t="shared" ref="AC443:AC449" si="140">+Z443</f>
        <v>0</v>
      </c>
      <c r="AD443" s="249"/>
      <c r="AE443" s="621">
        <f t="shared" si="137"/>
        <v>4409100</v>
      </c>
      <c r="AF443" s="342">
        <f t="shared" si="138"/>
        <v>6571100</v>
      </c>
      <c r="AG443" s="251">
        <f t="shared" si="139"/>
        <v>4082499.9999999995</v>
      </c>
      <c r="AH443" s="241"/>
      <c r="AI443" s="241"/>
      <c r="AJ443" s="241"/>
      <c r="AK443" s="194"/>
      <c r="AL443" s="195"/>
      <c r="AM443" s="195"/>
    </row>
    <row r="444" spans="2:40" ht="39.75" customHeight="1">
      <c r="B444" s="253">
        <f t="shared" si="135"/>
        <v>5</v>
      </c>
      <c r="C444" s="244"/>
      <c r="D444" s="1615" t="s">
        <v>5393</v>
      </c>
      <c r="E444" s="726">
        <v>307325899110</v>
      </c>
      <c r="F444" s="1615" t="s">
        <v>5393</v>
      </c>
      <c r="G444" s="391" t="s">
        <v>5441</v>
      </c>
      <c r="H444" s="230" t="s">
        <v>210</v>
      </c>
      <c r="I444" s="230"/>
      <c r="J444" s="230">
        <v>1</v>
      </c>
      <c r="K444" s="230"/>
      <c r="L444" s="228"/>
      <c r="M444" s="257"/>
      <c r="N444" s="289" t="s">
        <v>5398</v>
      </c>
      <c r="O444" s="228" t="s">
        <v>5436</v>
      </c>
      <c r="P444" s="1284" t="s">
        <v>5406</v>
      </c>
      <c r="Q444" s="2576"/>
      <c r="R444" s="2576"/>
      <c r="S444" s="1294" t="s">
        <v>2966</v>
      </c>
      <c r="T444" s="228"/>
      <c r="U444" s="2552"/>
      <c r="V444" s="256"/>
      <c r="W444" s="1658">
        <v>1500000</v>
      </c>
      <c r="X444" s="324">
        <v>882000</v>
      </c>
      <c r="Y444" s="248"/>
      <c r="Z444" s="247"/>
      <c r="AA444" s="248"/>
      <c r="AB444" s="340">
        <f t="shared" si="136"/>
        <v>2382000</v>
      </c>
      <c r="AC444" s="347">
        <f t="shared" si="140"/>
        <v>0</v>
      </c>
      <c r="AD444" s="249"/>
      <c r="AE444" s="621">
        <f t="shared" si="137"/>
        <v>4409100</v>
      </c>
      <c r="AF444" s="342">
        <f t="shared" si="138"/>
        <v>6791100</v>
      </c>
      <c r="AG444" s="251">
        <f t="shared" si="139"/>
        <v>4082499.9999999995</v>
      </c>
      <c r="AH444" s="241"/>
      <c r="AI444" s="241"/>
      <c r="AJ444" s="241"/>
      <c r="AK444" s="194"/>
      <c r="AL444" s="195"/>
      <c r="AM444" s="195"/>
    </row>
    <row r="445" spans="2:40" ht="31.2">
      <c r="B445" s="253">
        <f t="shared" si="135"/>
        <v>6</v>
      </c>
      <c r="C445" s="244"/>
      <c r="D445" s="1615" t="s">
        <v>5393</v>
      </c>
      <c r="E445" s="2149" t="s">
        <v>5437</v>
      </c>
      <c r="F445" s="1615" t="s">
        <v>5393</v>
      </c>
      <c r="G445" s="1607" t="s">
        <v>5513</v>
      </c>
      <c r="H445" s="230" t="s">
        <v>210</v>
      </c>
      <c r="I445" s="230"/>
      <c r="J445" s="230">
        <v>2</v>
      </c>
      <c r="K445" s="230"/>
      <c r="L445" s="228"/>
      <c r="M445" s="257"/>
      <c r="N445" s="228" t="s">
        <v>5397</v>
      </c>
      <c r="O445" s="254" t="s">
        <v>5438</v>
      </c>
      <c r="P445" s="1284" t="s">
        <v>5406</v>
      </c>
      <c r="Q445" s="2576"/>
      <c r="R445" s="2576"/>
      <c r="S445" s="1294" t="s">
        <v>2966</v>
      </c>
      <c r="T445" s="228"/>
      <c r="U445" s="2552"/>
      <c r="V445" s="256"/>
      <c r="W445" s="1658">
        <f>1500000*2</f>
        <v>3000000</v>
      </c>
      <c r="X445" s="324">
        <v>1764000</v>
      </c>
      <c r="Y445" s="248"/>
      <c r="Z445" s="247"/>
      <c r="AA445" s="248"/>
      <c r="AB445" s="340">
        <f t="shared" si="136"/>
        <v>4764000</v>
      </c>
      <c r="AC445" s="347">
        <f t="shared" si="140"/>
        <v>0</v>
      </c>
      <c r="AD445" s="249"/>
      <c r="AE445" s="621">
        <f t="shared" si="137"/>
        <v>8818200</v>
      </c>
      <c r="AF445" s="342">
        <f t="shared" si="138"/>
        <v>13582200</v>
      </c>
      <c r="AG445" s="251">
        <f t="shared" si="139"/>
        <v>8164999.9999999991</v>
      </c>
      <c r="AH445" s="241"/>
      <c r="AI445" s="241"/>
      <c r="AJ445" s="241"/>
      <c r="AK445" s="194"/>
      <c r="AL445" s="195"/>
      <c r="AM445" s="195"/>
    </row>
    <row r="446" spans="2:40" ht="31.2">
      <c r="B446" s="253">
        <f t="shared" si="135"/>
        <v>7</v>
      </c>
      <c r="C446" s="244"/>
      <c r="D446" s="1615" t="s">
        <v>5431</v>
      </c>
      <c r="E446" s="726">
        <v>307329712450</v>
      </c>
      <c r="F446" s="1615" t="s">
        <v>5431</v>
      </c>
      <c r="G446" s="391" t="s">
        <v>5452</v>
      </c>
      <c r="H446" s="230" t="s">
        <v>210</v>
      </c>
      <c r="I446" s="230"/>
      <c r="J446" s="230">
        <v>1</v>
      </c>
      <c r="K446" s="230"/>
      <c r="L446" s="228"/>
      <c r="M446" s="257"/>
      <c r="N446" s="228" t="s">
        <v>5434</v>
      </c>
      <c r="O446" s="254" t="s">
        <v>5453</v>
      </c>
      <c r="P446" s="1284" t="s">
        <v>5435</v>
      </c>
      <c r="Q446" s="2576"/>
      <c r="R446" s="2576"/>
      <c r="S446" s="254" t="s">
        <v>287</v>
      </c>
      <c r="T446" s="228"/>
      <c r="U446" s="2552"/>
      <c r="V446" s="256"/>
      <c r="W446" s="1658">
        <v>1450000</v>
      </c>
      <c r="X446" s="324">
        <v>882000</v>
      </c>
      <c r="Y446" s="248"/>
      <c r="Z446" s="247"/>
      <c r="AA446" s="248"/>
      <c r="AB446" s="340">
        <f t="shared" si="136"/>
        <v>2332000</v>
      </c>
      <c r="AC446" s="347">
        <f t="shared" si="140"/>
        <v>0</v>
      </c>
      <c r="AD446" s="249"/>
      <c r="AE446" s="621">
        <f t="shared" si="137"/>
        <v>4409100</v>
      </c>
      <c r="AF446" s="342">
        <f t="shared" si="138"/>
        <v>6741100</v>
      </c>
      <c r="AG446" s="251">
        <f t="shared" si="139"/>
        <v>4082499.9999999995</v>
      </c>
      <c r="AH446" s="241"/>
      <c r="AI446" s="241"/>
      <c r="AJ446" s="241"/>
      <c r="AK446" s="194"/>
      <c r="AL446" s="195"/>
      <c r="AM446" s="195"/>
    </row>
    <row r="447" spans="2:40" ht="31.2">
      <c r="B447" s="253">
        <f t="shared" si="135"/>
        <v>8</v>
      </c>
      <c r="C447" s="244"/>
      <c r="D447" s="1034" t="s">
        <v>5448</v>
      </c>
      <c r="E447" s="726">
        <v>307333252460</v>
      </c>
      <c r="F447" s="1034" t="s">
        <v>5448</v>
      </c>
      <c r="G447" s="391" t="s">
        <v>5466</v>
      </c>
      <c r="H447" s="230" t="s">
        <v>210</v>
      </c>
      <c r="I447" s="230"/>
      <c r="J447" s="230">
        <v>1</v>
      </c>
      <c r="K447" s="230"/>
      <c r="L447" s="228"/>
      <c r="M447" s="257"/>
      <c r="N447" s="289" t="s">
        <v>5455</v>
      </c>
      <c r="O447" s="254" t="s">
        <v>5464</v>
      </c>
      <c r="P447" s="1284" t="s">
        <v>5457</v>
      </c>
      <c r="Q447" s="2576"/>
      <c r="R447" s="2576"/>
      <c r="S447" s="254" t="s">
        <v>287</v>
      </c>
      <c r="T447" s="228"/>
      <c r="U447" s="2552"/>
      <c r="V447" s="256"/>
      <c r="W447" s="1658">
        <v>1500000</v>
      </c>
      <c r="X447" s="324">
        <v>882000</v>
      </c>
      <c r="Y447" s="248"/>
      <c r="Z447" s="247"/>
      <c r="AA447" s="248"/>
      <c r="AB447" s="340">
        <f t="shared" si="136"/>
        <v>2382000</v>
      </c>
      <c r="AC447" s="347">
        <f t="shared" si="140"/>
        <v>0</v>
      </c>
      <c r="AD447" s="249"/>
      <c r="AE447" s="621">
        <f t="shared" si="137"/>
        <v>4409100</v>
      </c>
      <c r="AF447" s="342">
        <f t="shared" si="138"/>
        <v>6791100</v>
      </c>
      <c r="AG447" s="251">
        <f t="shared" si="139"/>
        <v>4082499.9999999995</v>
      </c>
      <c r="AH447" s="241"/>
      <c r="AI447" s="241"/>
      <c r="AJ447" s="241"/>
      <c r="AK447" s="194"/>
      <c r="AL447" s="195"/>
      <c r="AM447" s="195"/>
    </row>
    <row r="448" spans="2:40" ht="31.2">
      <c r="B448" s="253">
        <f t="shared" si="135"/>
        <v>9</v>
      </c>
      <c r="C448" s="244"/>
      <c r="D448" s="1615" t="s">
        <v>5460</v>
      </c>
      <c r="E448" s="726">
        <v>307339633550</v>
      </c>
      <c r="F448" s="1615" t="s">
        <v>5460</v>
      </c>
      <c r="G448" s="391" t="s">
        <v>5482</v>
      </c>
      <c r="H448" s="230" t="s">
        <v>210</v>
      </c>
      <c r="I448" s="230">
        <v>1</v>
      </c>
      <c r="J448" s="230"/>
      <c r="K448" s="230"/>
      <c r="L448" s="228"/>
      <c r="M448" s="257"/>
      <c r="N448" s="228" t="s">
        <v>5454</v>
      </c>
      <c r="O448" s="254" t="s">
        <v>5479</v>
      </c>
      <c r="P448" s="1284" t="s">
        <v>5458</v>
      </c>
      <c r="Q448" s="2576"/>
      <c r="R448" s="2576"/>
      <c r="S448" s="254" t="s">
        <v>287</v>
      </c>
      <c r="T448" s="228"/>
      <c r="U448" s="2552"/>
      <c r="V448" s="256"/>
      <c r="W448" s="1658">
        <v>870000</v>
      </c>
      <c r="X448" s="324">
        <v>497000</v>
      </c>
      <c r="Y448" s="248"/>
      <c r="Z448" s="247"/>
      <c r="AA448" s="248"/>
      <c r="AB448" s="340">
        <f t="shared" si="136"/>
        <v>1367000</v>
      </c>
      <c r="AC448" s="347">
        <f t="shared" si="140"/>
        <v>0</v>
      </c>
      <c r="AD448" s="249"/>
      <c r="AE448" s="621">
        <f t="shared" si="137"/>
        <v>4301100</v>
      </c>
      <c r="AF448" s="342">
        <f t="shared" si="138"/>
        <v>5668100</v>
      </c>
      <c r="AG448" s="251">
        <f t="shared" si="139"/>
        <v>3982499.9999999995</v>
      </c>
      <c r="AH448" s="241"/>
      <c r="AI448" s="241"/>
      <c r="AJ448" s="241"/>
      <c r="AK448" s="194"/>
      <c r="AL448" s="195"/>
      <c r="AM448" s="195"/>
    </row>
    <row r="449" spans="2:40" ht="46.8">
      <c r="B449" s="253">
        <f t="shared" si="135"/>
        <v>10</v>
      </c>
      <c r="C449" s="244"/>
      <c r="D449" s="1615" t="s">
        <v>5468</v>
      </c>
      <c r="E449" s="726">
        <v>307345817720</v>
      </c>
      <c r="F449" s="1615" t="s">
        <v>5468</v>
      </c>
      <c r="G449" s="391" t="s">
        <v>5497</v>
      </c>
      <c r="H449" s="230" t="s">
        <v>210</v>
      </c>
      <c r="I449" s="230">
        <v>1</v>
      </c>
      <c r="J449" s="230"/>
      <c r="K449" s="230"/>
      <c r="L449" s="228"/>
      <c r="M449" s="257"/>
      <c r="N449" s="228" t="s">
        <v>5456</v>
      </c>
      <c r="O449" s="254" t="s">
        <v>5496</v>
      </c>
      <c r="P449" s="1284" t="s">
        <v>5459</v>
      </c>
      <c r="Q449" s="2576"/>
      <c r="R449" s="2576"/>
      <c r="S449" s="1294" t="s">
        <v>2966</v>
      </c>
      <c r="T449" s="228"/>
      <c r="U449" s="2552"/>
      <c r="V449" s="256"/>
      <c r="W449" s="1658">
        <v>870000</v>
      </c>
      <c r="X449" s="324">
        <v>497000</v>
      </c>
      <c r="Y449" s="248"/>
      <c r="Z449" s="247"/>
      <c r="AA449" s="248"/>
      <c r="AB449" s="340">
        <f t="shared" si="136"/>
        <v>1367000</v>
      </c>
      <c r="AC449" s="347">
        <f t="shared" si="140"/>
        <v>0</v>
      </c>
      <c r="AD449" s="249"/>
      <c r="AE449" s="621">
        <f t="shared" si="137"/>
        <v>4301100</v>
      </c>
      <c r="AF449" s="342">
        <f t="shared" si="138"/>
        <v>5668100</v>
      </c>
      <c r="AG449" s="251">
        <f t="shared" si="139"/>
        <v>3982499.9999999995</v>
      </c>
      <c r="AH449" s="241"/>
      <c r="AI449" s="241"/>
      <c r="AJ449" s="241"/>
      <c r="AK449" s="194"/>
      <c r="AL449" s="195"/>
      <c r="AM449" s="195"/>
    </row>
    <row r="450" spans="2:40">
      <c r="B450" s="3811" t="s">
        <v>5503</v>
      </c>
      <c r="C450" s="3716"/>
      <c r="D450" s="3716"/>
      <c r="E450" s="3716"/>
      <c r="F450" s="3716"/>
      <c r="G450" s="3716"/>
      <c r="H450" s="3716"/>
      <c r="I450" s="3716"/>
      <c r="J450" s="3716"/>
      <c r="K450" s="3716"/>
      <c r="L450" s="3716"/>
      <c r="M450" s="346"/>
      <c r="N450" s="346"/>
      <c r="O450" s="346"/>
      <c r="P450" s="346"/>
      <c r="Q450" s="346"/>
      <c r="R450" s="346"/>
      <c r="S450" s="346"/>
      <c r="T450" s="346"/>
      <c r="U450" s="346"/>
      <c r="V450" s="590"/>
      <c r="W450" s="2165"/>
      <c r="X450" s="590"/>
      <c r="Y450" s="357"/>
      <c r="Z450" s="357"/>
      <c r="AA450" s="357"/>
      <c r="AB450" s="590">
        <f>SUM(AB424:AB449)</f>
        <v>378419527</v>
      </c>
      <c r="AC450" s="358"/>
      <c r="AD450" s="358"/>
      <c r="AE450" s="1289">
        <f>SUM(AE424:AE449)</f>
        <v>835433460</v>
      </c>
      <c r="AF450" s="590">
        <f>SUM(AF424:AF449)</f>
        <v>1213852987</v>
      </c>
      <c r="AG450" s="590">
        <f>SUM(AG424:AG449)</f>
        <v>773549500</v>
      </c>
      <c r="AH450" s="241"/>
      <c r="AI450" s="241"/>
      <c r="AJ450" s="241"/>
      <c r="AK450" s="194"/>
      <c r="AL450" s="195"/>
      <c r="AM450" s="195"/>
      <c r="AN450" s="1136"/>
    </row>
    <row r="451" spans="2:40" ht="31.2">
      <c r="B451" s="253">
        <v>1</v>
      </c>
      <c r="C451" s="244"/>
      <c r="D451" s="1615" t="s">
        <v>5574</v>
      </c>
      <c r="E451" s="726">
        <v>307373000820</v>
      </c>
      <c r="F451" s="1615" t="s">
        <v>5574</v>
      </c>
      <c r="G451" s="391" t="s">
        <v>5612</v>
      </c>
      <c r="H451" s="230" t="s">
        <v>210</v>
      </c>
      <c r="I451" s="230"/>
      <c r="J451" s="230">
        <v>1</v>
      </c>
      <c r="K451" s="230"/>
      <c r="L451" s="228"/>
      <c r="M451" s="257"/>
      <c r="N451" s="289" t="s">
        <v>5527</v>
      </c>
      <c r="O451" s="254" t="s">
        <v>5577</v>
      </c>
      <c r="P451" s="1284" t="s">
        <v>5528</v>
      </c>
      <c r="Q451" s="2576" t="s">
        <v>5942</v>
      </c>
      <c r="R451" s="2576"/>
      <c r="S451" s="254" t="s">
        <v>2947</v>
      </c>
      <c r="T451" s="228"/>
      <c r="U451" s="2552"/>
      <c r="V451" s="256"/>
      <c r="W451" s="1658">
        <v>1500000</v>
      </c>
      <c r="X451" s="324">
        <v>702720</v>
      </c>
      <c r="Y451" s="248"/>
      <c r="Z451" s="247"/>
      <c r="AA451" s="248"/>
      <c r="AB451" s="340">
        <f>V451+W451+X451+Y451+Z451+AA451</f>
        <v>2202720</v>
      </c>
      <c r="AC451" s="347">
        <f>+Z451</f>
        <v>0</v>
      </c>
      <c r="AD451" s="387"/>
      <c r="AE451" s="621">
        <f>+(I451*3765300+J451*(3765300+100000))*1.08+((I451+J451+K451)*150000)*1.08</f>
        <v>4336524</v>
      </c>
      <c r="AF451" s="342">
        <f>+AB451+AE451</f>
        <v>6539244</v>
      </c>
      <c r="AG451" s="251">
        <f t="shared" si="139"/>
        <v>4015299.9999999995</v>
      </c>
      <c r="AH451" s="241"/>
      <c r="AI451" s="241"/>
      <c r="AJ451" s="241"/>
      <c r="AK451" s="194"/>
      <c r="AL451" s="195"/>
      <c r="AM451" s="195"/>
    </row>
    <row r="452" spans="2:40" ht="31.2">
      <c r="B452" s="253">
        <v>1</v>
      </c>
      <c r="C452" s="244"/>
      <c r="D452" s="2447" t="s">
        <v>5802</v>
      </c>
      <c r="E452" s="726">
        <v>307433821940</v>
      </c>
      <c r="F452" s="2447" t="s">
        <v>5802</v>
      </c>
      <c r="G452" s="391" t="s">
        <v>5818</v>
      </c>
      <c r="H452" s="230" t="s">
        <v>210</v>
      </c>
      <c r="I452" s="230"/>
      <c r="J452" s="230">
        <v>1</v>
      </c>
      <c r="K452" s="230"/>
      <c r="L452" s="228"/>
      <c r="M452" s="257"/>
      <c r="N452" s="228">
        <v>10769640</v>
      </c>
      <c r="O452" s="228" t="s">
        <v>5814</v>
      </c>
      <c r="P452" s="1284" t="s">
        <v>5792</v>
      </c>
      <c r="Q452" s="2579" t="s">
        <v>5943</v>
      </c>
      <c r="R452" s="2579"/>
      <c r="S452" s="254" t="s">
        <v>2966</v>
      </c>
      <c r="T452" s="228"/>
      <c r="U452" s="2552"/>
      <c r="V452" s="256"/>
      <c r="W452" s="1658">
        <v>1280000</v>
      </c>
      <c r="X452" s="324">
        <v>882000</v>
      </c>
      <c r="Y452" s="248"/>
      <c r="Z452" s="247"/>
      <c r="AA452" s="248"/>
      <c r="AB452" s="340">
        <f>V452+W452+X452+Y452+Z452+AA452</f>
        <v>2162000</v>
      </c>
      <c r="AC452" s="347">
        <f t="shared" ref="AC452:AC476" si="141">+Z452</f>
        <v>0</v>
      </c>
      <c r="AD452" s="249"/>
      <c r="AE452" s="621">
        <f>+(I452*3765300+J452*(3765300+100000))*1.08+((I452+J452+K452)*150000)*1.08</f>
        <v>4336524</v>
      </c>
      <c r="AF452" s="342">
        <f>+AB452+AE452</f>
        <v>6498524</v>
      </c>
      <c r="AG452" s="251">
        <f t="shared" si="139"/>
        <v>4015299.9999999995</v>
      </c>
      <c r="AH452" s="241"/>
      <c r="AI452" s="241"/>
      <c r="AJ452" s="241"/>
      <c r="AK452" s="194"/>
      <c r="AL452" s="195"/>
      <c r="AM452" s="195"/>
    </row>
    <row r="453" spans="2:40">
      <c r="B453" s="3811" t="s">
        <v>5847</v>
      </c>
      <c r="C453" s="3716"/>
      <c r="D453" s="3716"/>
      <c r="E453" s="3716"/>
      <c r="F453" s="3716"/>
      <c r="G453" s="3716"/>
      <c r="H453" s="3716"/>
      <c r="I453" s="3716"/>
      <c r="J453" s="3716"/>
      <c r="K453" s="3716"/>
      <c r="L453" s="3716"/>
      <c r="M453" s="346"/>
      <c r="N453" s="346"/>
      <c r="O453" s="346"/>
      <c r="P453" s="346"/>
      <c r="Q453" s="346"/>
      <c r="R453" s="346"/>
      <c r="S453" s="346"/>
      <c r="T453" s="346"/>
      <c r="U453" s="346"/>
      <c r="V453" s="590"/>
      <c r="W453" s="2165"/>
      <c r="X453" s="590"/>
      <c r="Y453" s="357"/>
      <c r="Z453" s="357"/>
      <c r="AA453" s="357"/>
      <c r="AB453" s="590">
        <f>SUM(AB427:AB452)</f>
        <v>755340174</v>
      </c>
      <c r="AC453" s="358"/>
      <c r="AD453" s="358"/>
      <c r="AE453" s="1289">
        <f>SUM(AE451:AE452)</f>
        <v>8673048</v>
      </c>
      <c r="AF453" s="1289">
        <f>SUM(AF451:AF452)</f>
        <v>13037768</v>
      </c>
      <c r="AG453" s="1289">
        <f>SUM(AG451:AG452)</f>
        <v>8030599.9999999991</v>
      </c>
      <c r="AH453" s="241"/>
      <c r="AI453" s="241"/>
      <c r="AJ453" s="241"/>
      <c r="AK453" s="194"/>
      <c r="AL453" s="195"/>
      <c r="AM453" s="195"/>
      <c r="AN453" s="1136"/>
    </row>
    <row r="454" spans="2:40" ht="31.2">
      <c r="B454" s="253">
        <v>1</v>
      </c>
      <c r="C454" s="244"/>
      <c r="D454" s="661" t="s">
        <v>5864</v>
      </c>
      <c r="E454" s="726">
        <v>307452803620</v>
      </c>
      <c r="F454" s="645" t="s">
        <v>5864</v>
      </c>
      <c r="G454" s="391" t="s">
        <v>5890</v>
      </c>
      <c r="H454" s="230" t="s">
        <v>210</v>
      </c>
      <c r="I454" s="230"/>
      <c r="J454" s="230">
        <v>2</v>
      </c>
      <c r="K454" s="230"/>
      <c r="L454" s="228"/>
      <c r="M454" s="257"/>
      <c r="N454" s="228" t="s">
        <v>5859</v>
      </c>
      <c r="O454" s="254" t="s">
        <v>5889</v>
      </c>
      <c r="P454" s="1284" t="s">
        <v>5861</v>
      </c>
      <c r="Q454" s="2576" t="s">
        <v>5949</v>
      </c>
      <c r="R454" s="254" t="s">
        <v>2966</v>
      </c>
      <c r="S454" s="2552"/>
      <c r="T454" s="228"/>
      <c r="U454" s="2552"/>
      <c r="V454" s="256"/>
      <c r="W454" s="1658">
        <v>3000000</v>
      </c>
      <c r="X454" s="324">
        <v>1764000</v>
      </c>
      <c r="Y454" s="248"/>
      <c r="Z454" s="247"/>
      <c r="AA454" s="248"/>
      <c r="AB454" s="340">
        <f t="shared" ref="AB454:AB476" si="142">V454+W454+X454+Y454+Z454+AA454</f>
        <v>4764000</v>
      </c>
      <c r="AC454" s="347">
        <f t="shared" si="141"/>
        <v>0</v>
      </c>
      <c r="AD454" s="391" t="s">
        <v>6054</v>
      </c>
      <c r="AE454" s="621">
        <f>+(I454*3765300+J454*(3765300+100000))*1.08+((I454+J454+K454)*150000)*1.08</f>
        <v>8673048</v>
      </c>
      <c r="AF454" s="342">
        <f>+AB454+AE454</f>
        <v>13437048</v>
      </c>
      <c r="AG454" s="251">
        <f t="shared" si="139"/>
        <v>8030599.9999999991</v>
      </c>
      <c r="AH454" s="241"/>
      <c r="AI454" s="241"/>
      <c r="AJ454" s="241"/>
      <c r="AK454" s="194"/>
      <c r="AL454" s="195"/>
      <c r="AM454" s="195"/>
    </row>
    <row r="455" spans="2:40" ht="31.2">
      <c r="B455" s="253">
        <f t="shared" ref="B455:B514" si="143">+B454+1</f>
        <v>2</v>
      </c>
      <c r="C455" s="244"/>
      <c r="D455" s="1615" t="s">
        <v>5734</v>
      </c>
      <c r="E455" s="726">
        <v>307457373550</v>
      </c>
      <c r="F455" s="645" t="s">
        <v>5734</v>
      </c>
      <c r="G455" s="391" t="s">
        <v>5892</v>
      </c>
      <c r="H455" s="230" t="s">
        <v>210</v>
      </c>
      <c r="I455" s="230"/>
      <c r="J455" s="230">
        <v>1</v>
      </c>
      <c r="K455" s="230"/>
      <c r="L455" s="228"/>
      <c r="M455" s="257"/>
      <c r="N455" s="228" t="s">
        <v>5860</v>
      </c>
      <c r="O455" s="228" t="s">
        <v>5882</v>
      </c>
      <c r="P455" s="1284" t="s">
        <v>5870</v>
      </c>
      <c r="Q455" s="2576" t="s">
        <v>5956</v>
      </c>
      <c r="R455" s="254" t="s">
        <v>5862</v>
      </c>
      <c r="S455" s="2552"/>
      <c r="T455" s="228"/>
      <c r="U455" s="2552"/>
      <c r="V455" s="256"/>
      <c r="W455" s="1658">
        <v>1280000</v>
      </c>
      <c r="X455" s="1658">
        <v>1140000</v>
      </c>
      <c r="Y455" s="248"/>
      <c r="Z455" s="247"/>
      <c r="AA455" s="248"/>
      <c r="AB455" s="340">
        <f t="shared" si="142"/>
        <v>2420000</v>
      </c>
      <c r="AC455" s="347">
        <f t="shared" si="141"/>
        <v>0</v>
      </c>
      <c r="AD455" s="391" t="s">
        <v>6054</v>
      </c>
      <c r="AE455" s="621">
        <f>+(I455*3765300+J455*(3765300+100000))*1.08+((I455+J455+K455)*150000)*1.08</f>
        <v>4336524</v>
      </c>
      <c r="AF455" s="342">
        <f>+AB455+AE455</f>
        <v>6756524</v>
      </c>
      <c r="AG455" s="251">
        <f>+AE455/1.08</f>
        <v>4015299.9999999995</v>
      </c>
      <c r="AH455" s="241"/>
      <c r="AI455" s="241"/>
      <c r="AJ455" s="241"/>
      <c r="AK455" s="194"/>
      <c r="AL455" s="195"/>
      <c r="AM455" s="195"/>
    </row>
    <row r="456" spans="2:40" ht="31.2">
      <c r="B456" s="253">
        <f t="shared" si="143"/>
        <v>3</v>
      </c>
      <c r="C456" s="244"/>
      <c r="D456" s="2447" t="s">
        <v>6019</v>
      </c>
      <c r="E456" s="726">
        <v>307489744830</v>
      </c>
      <c r="F456" s="645" t="s">
        <v>6019</v>
      </c>
      <c r="G456" s="391" t="s">
        <v>6026</v>
      </c>
      <c r="H456" s="230" t="s">
        <v>210</v>
      </c>
      <c r="I456" s="230"/>
      <c r="J456" s="230">
        <v>2</v>
      </c>
      <c r="K456" s="230"/>
      <c r="L456" s="228"/>
      <c r="M456" s="257"/>
      <c r="N456" s="228" t="s">
        <v>6008</v>
      </c>
      <c r="O456" s="254" t="s">
        <v>6025</v>
      </c>
      <c r="P456" s="1284" t="s">
        <v>6009</v>
      </c>
      <c r="Q456" s="2576" t="s">
        <v>6024</v>
      </c>
      <c r="R456" s="254" t="s">
        <v>4458</v>
      </c>
      <c r="S456" s="2552"/>
      <c r="T456" s="228"/>
      <c r="U456" s="2552"/>
      <c r="V456" s="256"/>
      <c r="W456" s="1658">
        <f>1500000+1280000</f>
        <v>2780000</v>
      </c>
      <c r="X456" s="1658">
        <f>1140000*2</f>
        <v>2280000</v>
      </c>
      <c r="Y456" s="248"/>
      <c r="Z456" s="247"/>
      <c r="AA456" s="248"/>
      <c r="AB456" s="340">
        <f t="shared" si="142"/>
        <v>5060000</v>
      </c>
      <c r="AC456" s="347">
        <f t="shared" si="141"/>
        <v>0</v>
      </c>
      <c r="AD456" s="249"/>
      <c r="AE456" s="621">
        <f>+(I456*3765300+J456*(3765300+100000))*1.08+((I456+J456+K456)*150000)*1.08</f>
        <v>8673048</v>
      </c>
      <c r="AF456" s="342">
        <f>+AB456+AE456</f>
        <v>13733048</v>
      </c>
      <c r="AG456" s="251">
        <f>+AE456/1.08</f>
        <v>8030599.9999999991</v>
      </c>
      <c r="AH456" s="241"/>
      <c r="AI456" s="241"/>
      <c r="AJ456" s="241"/>
      <c r="AK456" s="194"/>
      <c r="AL456" s="195"/>
      <c r="AM456" s="195"/>
    </row>
    <row r="457" spans="2:40" ht="31.2">
      <c r="B457" s="253">
        <f t="shared" si="143"/>
        <v>4</v>
      </c>
      <c r="C457" s="244"/>
      <c r="D457" s="2447" t="s">
        <v>6020</v>
      </c>
      <c r="E457" s="726">
        <v>307491837350</v>
      </c>
      <c r="F457" s="645" t="s">
        <v>6020</v>
      </c>
      <c r="G457" s="391" t="s">
        <v>6036</v>
      </c>
      <c r="H457" s="230" t="s">
        <v>210</v>
      </c>
      <c r="I457" s="230"/>
      <c r="J457" s="230">
        <v>1</v>
      </c>
      <c r="K457" s="230"/>
      <c r="L457" s="228"/>
      <c r="M457" s="257"/>
      <c r="N457" s="228" t="s">
        <v>6001</v>
      </c>
      <c r="O457" s="254" t="s">
        <v>6031</v>
      </c>
      <c r="P457" s="1284" t="s">
        <v>6010</v>
      </c>
      <c r="Q457" s="2578" t="s">
        <v>6030</v>
      </c>
      <c r="R457" s="254" t="s">
        <v>6002</v>
      </c>
      <c r="S457" s="2552"/>
      <c r="T457" s="228"/>
      <c r="U457" s="2552"/>
      <c r="V457" s="256"/>
      <c r="W457" s="1658">
        <v>1500000</v>
      </c>
      <c r="X457" s="1658">
        <v>1140000</v>
      </c>
      <c r="Y457" s="248"/>
      <c r="Z457" s="247"/>
      <c r="AA457" s="248"/>
      <c r="AB457" s="340">
        <f t="shared" si="142"/>
        <v>2640000</v>
      </c>
      <c r="AC457" s="347">
        <f t="shared" si="141"/>
        <v>0</v>
      </c>
      <c r="AD457" s="249"/>
      <c r="AE457" s="621">
        <f>+(I457*3765300+J457*(3765300+100000))*1.08+((I457+J457+K457)*150000)*1.08</f>
        <v>4336524</v>
      </c>
      <c r="AF457" s="342">
        <f>+AB457+AE457</f>
        <v>6976524</v>
      </c>
      <c r="AG457" s="251">
        <f>+AE457/1.08</f>
        <v>4015299.9999999995</v>
      </c>
      <c r="AH457" s="241"/>
      <c r="AI457" s="241"/>
      <c r="AJ457" s="241"/>
      <c r="AK457" s="194"/>
      <c r="AL457" s="195"/>
      <c r="AM457" s="195"/>
    </row>
    <row r="458" spans="2:40" ht="31.2">
      <c r="B458" s="253">
        <f t="shared" si="143"/>
        <v>5</v>
      </c>
      <c r="C458" s="244"/>
      <c r="D458" s="615" t="s">
        <v>5994</v>
      </c>
      <c r="E458" s="726">
        <v>307500478260</v>
      </c>
      <c r="F458" s="615" t="s">
        <v>5994</v>
      </c>
      <c r="G458" s="391" t="s">
        <v>6068</v>
      </c>
      <c r="H458" s="230" t="s">
        <v>210</v>
      </c>
      <c r="I458" s="230"/>
      <c r="J458" s="230">
        <v>2</v>
      </c>
      <c r="K458" s="230"/>
      <c r="L458" s="228"/>
      <c r="M458" s="257"/>
      <c r="N458" s="228" t="s">
        <v>6047</v>
      </c>
      <c r="O458" s="254" t="s">
        <v>6066</v>
      </c>
      <c r="P458" s="1284" t="s">
        <v>6067</v>
      </c>
      <c r="Q458" s="2576" t="s">
        <v>6064</v>
      </c>
      <c r="R458" s="254" t="s">
        <v>2966</v>
      </c>
      <c r="S458" s="2552"/>
      <c r="T458" s="228"/>
      <c r="U458" s="2552"/>
      <c r="V458" s="256"/>
      <c r="W458" s="1658">
        <f>1450000*2</f>
        <v>2900000</v>
      </c>
      <c r="X458" s="324">
        <v>1764000</v>
      </c>
      <c r="Y458" s="248"/>
      <c r="Z458" s="247"/>
      <c r="AA458" s="248"/>
      <c r="AB458" s="340">
        <f t="shared" si="142"/>
        <v>4664000</v>
      </c>
      <c r="AC458" s="347">
        <f t="shared" si="141"/>
        <v>0</v>
      </c>
      <c r="AD458" s="249"/>
      <c r="AE458" s="621">
        <f t="shared" ref="AE458:AE459" si="144">+(I458*3765300+J458*(3765300+100000))*1.08+((I458+J458+K458)*150000)*1.08</f>
        <v>8673048</v>
      </c>
      <c r="AF458" s="342">
        <f t="shared" ref="AF458:AF472" si="145">+AB458+AE458</f>
        <v>13337048</v>
      </c>
      <c r="AG458" s="251">
        <f t="shared" ref="AG458:AG472" si="146">+AE458/1.08</f>
        <v>8030599.9999999991</v>
      </c>
      <c r="AH458" s="241"/>
      <c r="AI458" s="241"/>
      <c r="AJ458" s="241"/>
      <c r="AK458" s="194"/>
      <c r="AL458" s="195"/>
      <c r="AM458" s="195"/>
    </row>
    <row r="459" spans="2:40" ht="31.2">
      <c r="B459" s="253">
        <f t="shared" si="143"/>
        <v>6</v>
      </c>
      <c r="C459" s="244"/>
      <c r="D459" s="2447" t="s">
        <v>6124</v>
      </c>
      <c r="E459" s="726">
        <v>307520383720</v>
      </c>
      <c r="F459" s="645" t="s">
        <v>6124</v>
      </c>
      <c r="G459" s="391" t="s">
        <v>6145</v>
      </c>
      <c r="H459" s="230" t="s">
        <v>210</v>
      </c>
      <c r="I459" s="230"/>
      <c r="J459" s="230">
        <v>1</v>
      </c>
      <c r="K459" s="230"/>
      <c r="L459" s="228"/>
      <c r="M459" s="257"/>
      <c r="N459" s="228" t="s">
        <v>6097</v>
      </c>
      <c r="O459" s="254" t="s">
        <v>6144</v>
      </c>
      <c r="P459" s="2815" t="s">
        <v>6119</v>
      </c>
      <c r="Q459" s="2576" t="s">
        <v>5958</v>
      </c>
      <c r="R459" s="254" t="s">
        <v>6002</v>
      </c>
      <c r="S459" s="2552"/>
      <c r="T459" s="1566"/>
      <c r="U459" s="1566"/>
      <c r="V459" s="256"/>
      <c r="W459" s="1658">
        <v>1500000</v>
      </c>
      <c r="X459" s="1658">
        <v>1140000</v>
      </c>
      <c r="Y459" s="248"/>
      <c r="Z459" s="247"/>
      <c r="AA459" s="248"/>
      <c r="AB459" s="340">
        <f t="shared" si="142"/>
        <v>2640000</v>
      </c>
      <c r="AC459" s="347">
        <f t="shared" si="141"/>
        <v>0</v>
      </c>
      <c r="AD459" s="249"/>
      <c r="AE459" s="621">
        <f t="shared" si="144"/>
        <v>4336524</v>
      </c>
      <c r="AF459" s="342">
        <f t="shared" si="145"/>
        <v>6976524</v>
      </c>
      <c r="AG459" s="251">
        <f t="shared" si="146"/>
        <v>4015299.9999999995</v>
      </c>
      <c r="AH459" s="241"/>
      <c r="AI459" s="241"/>
      <c r="AJ459" s="241"/>
      <c r="AK459" s="194"/>
      <c r="AL459" s="195"/>
      <c r="AM459" s="195"/>
    </row>
    <row r="460" spans="2:40">
      <c r="B460" s="3811" t="s">
        <v>6101</v>
      </c>
      <c r="C460" s="3716"/>
      <c r="D460" s="3716"/>
      <c r="E460" s="3716"/>
      <c r="F460" s="3716"/>
      <c r="G460" s="3716"/>
      <c r="H460" s="3716"/>
      <c r="I460" s="3716"/>
      <c r="J460" s="3716"/>
      <c r="K460" s="3716"/>
      <c r="L460" s="3716"/>
      <c r="M460" s="346"/>
      <c r="N460" s="346"/>
      <c r="O460" s="346"/>
      <c r="P460" s="346"/>
      <c r="Q460" s="346"/>
      <c r="R460" s="346"/>
      <c r="S460" s="346"/>
      <c r="T460" s="346"/>
      <c r="U460" s="346"/>
      <c r="V460" s="590"/>
      <c r="W460" s="2165"/>
      <c r="X460" s="590"/>
      <c r="Y460" s="357"/>
      <c r="Z460" s="357"/>
      <c r="AA460" s="357"/>
      <c r="AB460" s="590">
        <f>SUM(AB434:AB459)</f>
        <v>1411060839</v>
      </c>
      <c r="AC460" s="358"/>
      <c r="AD460" s="358"/>
      <c r="AE460" s="1289">
        <f>SUM(AE458:AE459)</f>
        <v>13009572</v>
      </c>
      <c r="AF460" s="1289">
        <f>SUM(AF458:AF459)</f>
        <v>20313572</v>
      </c>
      <c r="AG460" s="1289">
        <f>SUM(AG458:AG459)</f>
        <v>12045899.999999998</v>
      </c>
      <c r="AH460" s="241"/>
      <c r="AI460" s="241"/>
      <c r="AJ460" s="241"/>
      <c r="AK460" s="194"/>
      <c r="AL460" s="195"/>
      <c r="AM460" s="195"/>
      <c r="AN460" s="1136"/>
    </row>
    <row r="461" spans="2:40" ht="31.2">
      <c r="B461" s="253">
        <v>1</v>
      </c>
      <c r="C461" s="244"/>
      <c r="D461" s="2447" t="s">
        <v>6170</v>
      </c>
      <c r="E461" s="726">
        <v>307531823600</v>
      </c>
      <c r="F461" s="2447" t="s">
        <v>6170</v>
      </c>
      <c r="G461" s="391" t="s">
        <v>6178</v>
      </c>
      <c r="H461" s="230" t="s">
        <v>210</v>
      </c>
      <c r="I461" s="230"/>
      <c r="J461" s="230">
        <v>1</v>
      </c>
      <c r="K461" s="230"/>
      <c r="L461" s="228"/>
      <c r="M461" s="257"/>
      <c r="N461" s="289" t="s">
        <v>6098</v>
      </c>
      <c r="O461" s="254" t="s">
        <v>6171</v>
      </c>
      <c r="P461" s="1284" t="s">
        <v>6099</v>
      </c>
      <c r="Q461" s="2578" t="s">
        <v>5958</v>
      </c>
      <c r="R461" s="254" t="s">
        <v>2966</v>
      </c>
      <c r="S461" s="2552"/>
      <c r="T461" s="228"/>
      <c r="U461" s="2552"/>
      <c r="V461" s="256"/>
      <c r="W461" s="1658">
        <v>1500000</v>
      </c>
      <c r="X461" s="324">
        <v>882000</v>
      </c>
      <c r="Y461" s="248"/>
      <c r="Z461" s="247"/>
      <c r="AA461" s="248"/>
      <c r="AB461" s="340">
        <f t="shared" si="142"/>
        <v>2382000</v>
      </c>
      <c r="AC461" s="347">
        <f t="shared" si="141"/>
        <v>0</v>
      </c>
      <c r="AD461" s="208"/>
      <c r="AE461" s="621">
        <f>+(I461*3899700+J461*(3899700+100000))*1.08+((I461+J461+K461)*150000)*1.08+1500000*1.08</f>
        <v>6101676</v>
      </c>
      <c r="AF461" s="342">
        <f t="shared" si="145"/>
        <v>8483676</v>
      </c>
      <c r="AG461" s="251">
        <f t="shared" si="146"/>
        <v>5649700</v>
      </c>
      <c r="AH461" s="241"/>
      <c r="AI461" s="241"/>
      <c r="AJ461" s="241"/>
      <c r="AK461" s="194"/>
      <c r="AL461" s="195"/>
      <c r="AM461" s="195"/>
    </row>
    <row r="462" spans="2:40" ht="46.8">
      <c r="B462" s="253">
        <f t="shared" si="143"/>
        <v>2</v>
      </c>
      <c r="C462" s="244"/>
      <c r="D462" s="2447" t="s">
        <v>6208</v>
      </c>
      <c r="E462" s="726">
        <v>307552649850</v>
      </c>
      <c r="F462" s="2447" t="s">
        <v>6208</v>
      </c>
      <c r="G462" s="2881" t="s">
        <v>6298</v>
      </c>
      <c r="H462" s="230" t="s">
        <v>210</v>
      </c>
      <c r="I462" s="230"/>
      <c r="J462" s="230">
        <v>1</v>
      </c>
      <c r="K462" s="230"/>
      <c r="L462" s="228"/>
      <c r="M462" s="257"/>
      <c r="N462" s="289" t="s">
        <v>6241</v>
      </c>
      <c r="O462" s="254" t="s">
        <v>6274</v>
      </c>
      <c r="P462" s="1284" t="s">
        <v>6243</v>
      </c>
      <c r="Q462" s="2578" t="s">
        <v>6275</v>
      </c>
      <c r="R462" s="254" t="s">
        <v>6265</v>
      </c>
      <c r="S462" s="2552"/>
      <c r="T462" s="228"/>
      <c r="U462" s="2552"/>
      <c r="V462" s="256"/>
      <c r="W462" s="1658">
        <v>1280000</v>
      </c>
      <c r="X462" s="324">
        <v>1160000</v>
      </c>
      <c r="Y462" s="248"/>
      <c r="Z462" s="247"/>
      <c r="AA462" s="248"/>
      <c r="AB462" s="340">
        <f t="shared" si="142"/>
        <v>2440000</v>
      </c>
      <c r="AC462" s="347">
        <f t="shared" si="141"/>
        <v>0</v>
      </c>
      <c r="AD462" s="249" t="s">
        <v>6514</v>
      </c>
      <c r="AE462" s="621">
        <f>+(I462*3899700+J462*(3899700+100000))*1.08+((I462+J462+K462)*150000)*1.08+500000*1.08</f>
        <v>5021676</v>
      </c>
      <c r="AF462" s="342">
        <f t="shared" si="145"/>
        <v>7461676</v>
      </c>
      <c r="AG462" s="251">
        <f t="shared" si="146"/>
        <v>4649700</v>
      </c>
      <c r="AH462" s="241"/>
      <c r="AI462" s="241"/>
      <c r="AJ462" s="241"/>
      <c r="AK462" s="194"/>
      <c r="AL462" s="195"/>
      <c r="AM462" s="195"/>
    </row>
    <row r="463" spans="2:40" ht="46.8">
      <c r="B463" s="253">
        <f t="shared" si="143"/>
        <v>3</v>
      </c>
      <c r="C463" s="244"/>
      <c r="D463" s="2447" t="s">
        <v>6158</v>
      </c>
      <c r="E463" s="2149" t="s">
        <v>6296</v>
      </c>
      <c r="F463" s="645" t="s">
        <v>6158</v>
      </c>
      <c r="G463" s="391" t="s">
        <v>6299</v>
      </c>
      <c r="H463" s="230" t="s">
        <v>210</v>
      </c>
      <c r="I463" s="230"/>
      <c r="J463" s="230">
        <v>1</v>
      </c>
      <c r="K463" s="230"/>
      <c r="L463" s="228"/>
      <c r="M463" s="257"/>
      <c r="N463" s="228" t="s">
        <v>6242</v>
      </c>
      <c r="O463" s="228" t="s">
        <v>6295</v>
      </c>
      <c r="P463" s="1284" t="s">
        <v>6329</v>
      </c>
      <c r="Q463" s="2578" t="s">
        <v>6297</v>
      </c>
      <c r="R463" s="254" t="s">
        <v>2966</v>
      </c>
      <c r="S463" s="2552"/>
      <c r="T463" s="228"/>
      <c r="U463" s="2552"/>
      <c r="V463" s="256"/>
      <c r="W463" s="1658">
        <v>1500000</v>
      </c>
      <c r="X463" s="324">
        <v>1160000</v>
      </c>
      <c r="Y463" s="248"/>
      <c r="Z463" s="247"/>
      <c r="AA463" s="248"/>
      <c r="AB463" s="340">
        <f t="shared" si="142"/>
        <v>2660000</v>
      </c>
      <c r="AC463" s="347">
        <f t="shared" si="141"/>
        <v>0</v>
      </c>
      <c r="AD463" s="249" t="s">
        <v>6514</v>
      </c>
      <c r="AE463" s="621">
        <f>+(I463*3899700+J463*(3899700+100000))*1.08+((I463+J463+K463)*150000)*1.08+500000*1.08</f>
        <v>5021676</v>
      </c>
      <c r="AF463" s="342">
        <f t="shared" si="145"/>
        <v>7681676</v>
      </c>
      <c r="AG463" s="251">
        <f t="shared" si="146"/>
        <v>4649700</v>
      </c>
      <c r="AH463" s="241"/>
      <c r="AI463" s="241"/>
      <c r="AJ463" s="241"/>
      <c r="AK463" s="194"/>
      <c r="AL463" s="195"/>
      <c r="AM463" s="195"/>
    </row>
    <row r="464" spans="2:40" ht="31.2">
      <c r="B464" s="253">
        <f t="shared" si="143"/>
        <v>4</v>
      </c>
      <c r="C464" s="244"/>
      <c r="D464" s="1034" t="s">
        <v>6324</v>
      </c>
      <c r="E464" s="2149">
        <v>307569610740</v>
      </c>
      <c r="F464" s="645" t="s">
        <v>6324</v>
      </c>
      <c r="G464" s="391" t="s">
        <v>6377</v>
      </c>
      <c r="H464" s="230" t="s">
        <v>210</v>
      </c>
      <c r="I464" s="230"/>
      <c r="J464" s="230">
        <v>1</v>
      </c>
      <c r="K464" s="230"/>
      <c r="L464" s="228"/>
      <c r="M464" s="257"/>
      <c r="N464" s="228" t="s">
        <v>6334</v>
      </c>
      <c r="O464" s="228" t="s">
        <v>6360</v>
      </c>
      <c r="P464" s="1284" t="s">
        <v>6335</v>
      </c>
      <c r="Q464" s="2578" t="s">
        <v>6359</v>
      </c>
      <c r="R464" s="254" t="s">
        <v>2966</v>
      </c>
      <c r="S464" s="2552"/>
      <c r="T464" s="228"/>
      <c r="U464" s="2552"/>
      <c r="V464" s="256"/>
      <c r="W464" s="1658">
        <v>1512000</v>
      </c>
      <c r="X464" s="324">
        <v>882000</v>
      </c>
      <c r="Y464" s="248"/>
      <c r="Z464" s="247"/>
      <c r="AA464" s="248"/>
      <c r="AB464" s="340">
        <f t="shared" si="142"/>
        <v>2394000</v>
      </c>
      <c r="AC464" s="347">
        <f t="shared" si="141"/>
        <v>0</v>
      </c>
      <c r="AD464" s="249"/>
      <c r="AE464" s="621">
        <f t="shared" ref="AE464:AE466" si="147">+(I464*3899700+J464*(3899700+100000))*1.08+((I464+J464+K464)*150000)*1.08</f>
        <v>4481676</v>
      </c>
      <c r="AF464" s="342">
        <f t="shared" si="145"/>
        <v>6875676</v>
      </c>
      <c r="AG464" s="251">
        <f t="shared" si="146"/>
        <v>4149699.9999999995</v>
      </c>
      <c r="AH464" s="241"/>
      <c r="AI464" s="241"/>
      <c r="AJ464" s="241"/>
      <c r="AK464" s="194"/>
      <c r="AL464" s="195"/>
      <c r="AM464" s="195"/>
    </row>
    <row r="465" spans="2:40" ht="31.2">
      <c r="B465" s="253">
        <f t="shared" si="143"/>
        <v>5</v>
      </c>
      <c r="C465" s="244"/>
      <c r="D465" s="2447" t="s">
        <v>6342</v>
      </c>
      <c r="E465" s="2149" t="s">
        <v>6366</v>
      </c>
      <c r="F465" s="2447" t="s">
        <v>6342</v>
      </c>
      <c r="G465" s="391" t="s">
        <v>6378</v>
      </c>
      <c r="H465" s="230" t="s">
        <v>210</v>
      </c>
      <c r="I465" s="230"/>
      <c r="J465" s="230">
        <v>1</v>
      </c>
      <c r="K465" s="230"/>
      <c r="L465" s="228"/>
      <c r="M465" s="257"/>
      <c r="N465" s="289" t="s">
        <v>6336</v>
      </c>
      <c r="O465" s="228" t="s">
        <v>6367</v>
      </c>
      <c r="P465" s="1284" t="s">
        <v>6337</v>
      </c>
      <c r="Q465" s="2578" t="s">
        <v>5958</v>
      </c>
      <c r="R465" s="254" t="s">
        <v>6340</v>
      </c>
      <c r="S465" s="2552"/>
      <c r="T465" s="228"/>
      <c r="U465" s="2552"/>
      <c r="V465" s="256"/>
      <c r="W465" s="1658">
        <v>1500000</v>
      </c>
      <c r="X465" s="1658">
        <v>1230000</v>
      </c>
      <c r="Y465" s="248"/>
      <c r="Z465" s="247"/>
      <c r="AA465" s="248"/>
      <c r="AB465" s="340">
        <f t="shared" si="142"/>
        <v>2730000</v>
      </c>
      <c r="AC465" s="347">
        <f t="shared" si="141"/>
        <v>0</v>
      </c>
      <c r="AD465" s="249" t="s">
        <v>6341</v>
      </c>
      <c r="AE465" s="621">
        <f>+(I465*3899700+J465*(3899700+100000))*1.08+((I465+J465+K465)*150000)*1.08+500000*1.08</f>
        <v>5021676</v>
      </c>
      <c r="AF465" s="342">
        <f t="shared" si="145"/>
        <v>7751676</v>
      </c>
      <c r="AG465" s="251">
        <f t="shared" si="146"/>
        <v>4649700</v>
      </c>
      <c r="AH465" s="241"/>
      <c r="AI465" s="241"/>
      <c r="AJ465" s="241"/>
      <c r="AK465" s="194"/>
      <c r="AL465" s="195"/>
      <c r="AM465" s="195"/>
    </row>
    <row r="466" spans="2:40" ht="31.2">
      <c r="B466" s="253">
        <f t="shared" si="143"/>
        <v>6</v>
      </c>
      <c r="C466" s="244"/>
      <c r="D466" s="2447" t="s">
        <v>6441</v>
      </c>
      <c r="E466" s="2149">
        <v>307603494130</v>
      </c>
      <c r="F466" s="2447" t="s">
        <v>6441</v>
      </c>
      <c r="G466" s="391" t="s">
        <v>6482</v>
      </c>
      <c r="H466" s="230" t="s">
        <v>210</v>
      </c>
      <c r="I466" s="230">
        <v>1</v>
      </c>
      <c r="J466" s="230"/>
      <c r="K466" s="230"/>
      <c r="L466" s="228"/>
      <c r="M466" s="257"/>
      <c r="N466" s="228">
        <v>92960357</v>
      </c>
      <c r="O466" s="228" t="s">
        <v>6465</v>
      </c>
      <c r="P466" s="2815" t="s">
        <v>6447</v>
      </c>
      <c r="Q466" s="2578" t="s">
        <v>6468</v>
      </c>
      <c r="R466" s="254" t="s">
        <v>287</v>
      </c>
      <c r="S466" s="2552"/>
      <c r="T466" s="228"/>
      <c r="U466" s="2552"/>
      <c r="V466" s="256"/>
      <c r="W466" s="1658">
        <v>1000000</v>
      </c>
      <c r="X466" s="324">
        <v>497000</v>
      </c>
      <c r="Y466" s="248"/>
      <c r="Z466" s="247"/>
      <c r="AA466" s="248"/>
      <c r="AB466" s="340">
        <f t="shared" si="142"/>
        <v>1497000</v>
      </c>
      <c r="AC466" s="347">
        <f t="shared" si="141"/>
        <v>0</v>
      </c>
      <c r="AD466" s="249"/>
      <c r="AE466" s="621">
        <f t="shared" si="147"/>
        <v>4373676</v>
      </c>
      <c r="AF466" s="342">
        <f t="shared" si="145"/>
        <v>5870676</v>
      </c>
      <c r="AG466" s="251">
        <f t="shared" si="146"/>
        <v>4049699.9999999995</v>
      </c>
      <c r="AH466" s="241"/>
      <c r="AI466" s="241"/>
      <c r="AJ466" s="241"/>
      <c r="AK466" s="194"/>
      <c r="AL466" s="195"/>
      <c r="AM466" s="195"/>
    </row>
    <row r="467" spans="2:40" ht="31.2">
      <c r="B467" s="253">
        <v>7</v>
      </c>
      <c r="C467" s="244"/>
      <c r="D467" s="2447" t="s">
        <v>6484</v>
      </c>
      <c r="E467" s="2149">
        <v>307614742060</v>
      </c>
      <c r="F467" s="2447" t="s">
        <v>6484</v>
      </c>
      <c r="G467" s="391" t="s">
        <v>6494</v>
      </c>
      <c r="H467" s="230" t="s">
        <v>210</v>
      </c>
      <c r="I467" s="230"/>
      <c r="J467" s="230">
        <v>1</v>
      </c>
      <c r="K467" s="230"/>
      <c r="L467" s="228"/>
      <c r="M467" s="257"/>
      <c r="N467" s="228">
        <v>256799173</v>
      </c>
      <c r="O467" s="228" t="s">
        <v>6486</v>
      </c>
      <c r="P467" s="1284" t="s">
        <v>6448</v>
      </c>
      <c r="Q467" s="2578" t="s">
        <v>5942</v>
      </c>
      <c r="R467" s="254" t="s">
        <v>287</v>
      </c>
      <c r="S467" s="2552"/>
      <c r="T467" s="228"/>
      <c r="U467" s="2552"/>
      <c r="V467" s="256"/>
      <c r="W467" s="1658">
        <v>1500000</v>
      </c>
      <c r="X467" s="324">
        <v>882000</v>
      </c>
      <c r="Y467" s="248"/>
      <c r="Z467" s="247"/>
      <c r="AA467" s="248"/>
      <c r="AB467" s="340">
        <f t="shared" si="142"/>
        <v>2382000</v>
      </c>
      <c r="AC467" s="347">
        <f t="shared" si="141"/>
        <v>0</v>
      </c>
      <c r="AD467" s="249" t="s">
        <v>6514</v>
      </c>
      <c r="AE467" s="621">
        <f>+(I467*3899700+J467*(3899700+100000))*1.08+((I467+J467+K467)*150000)*1.08+500000*1.08</f>
        <v>5021676</v>
      </c>
      <c r="AF467" s="342">
        <f t="shared" si="145"/>
        <v>7403676</v>
      </c>
      <c r="AG467" s="251">
        <f t="shared" si="146"/>
        <v>4649700</v>
      </c>
      <c r="AH467" s="241"/>
      <c r="AI467" s="241"/>
      <c r="AJ467" s="241"/>
      <c r="AK467" s="194"/>
      <c r="AL467" s="195"/>
      <c r="AM467" s="195"/>
    </row>
    <row r="468" spans="2:40">
      <c r="B468" s="3811" t="s">
        <v>6483</v>
      </c>
      <c r="C468" s="3716"/>
      <c r="D468" s="3716"/>
      <c r="E468" s="3716"/>
      <c r="F468" s="3716"/>
      <c r="G468" s="3716"/>
      <c r="H468" s="3716"/>
      <c r="I468" s="3716"/>
      <c r="J468" s="3716"/>
      <c r="K468" s="3716"/>
      <c r="L468" s="3716"/>
      <c r="M468" s="346"/>
      <c r="N468" s="346"/>
      <c r="O468" s="346"/>
      <c r="P468" s="346"/>
      <c r="Q468" s="346"/>
      <c r="R468" s="346"/>
      <c r="S468" s="346"/>
      <c r="T468" s="346"/>
      <c r="U468" s="346"/>
      <c r="V468" s="590"/>
      <c r="W468" s="2165"/>
      <c r="X468" s="590"/>
      <c r="Y468" s="357"/>
      <c r="Z468" s="357"/>
      <c r="AA468" s="357"/>
      <c r="AB468" s="590">
        <f>SUM(AB441:AB466)</f>
        <v>2605226260</v>
      </c>
      <c r="AC468" s="358"/>
      <c r="AD468" s="358"/>
      <c r="AE468" s="1289">
        <f>SUM(AE461:AE467)</f>
        <v>35043732</v>
      </c>
      <c r="AF468" s="1289">
        <f>SUM(AF461:AF467)</f>
        <v>51528732</v>
      </c>
      <c r="AG468" s="1289">
        <f>SUM(AG461:AG467)</f>
        <v>32447900</v>
      </c>
      <c r="AH468" s="241"/>
      <c r="AI468" s="241"/>
      <c r="AJ468" s="241"/>
      <c r="AK468" s="194"/>
      <c r="AL468" s="195"/>
      <c r="AM468" s="195"/>
      <c r="AN468" s="1136"/>
    </row>
    <row r="469" spans="2:40" ht="31.2">
      <c r="B469" s="253">
        <v>1</v>
      </c>
      <c r="C469" s="244"/>
      <c r="D469" s="661" t="s">
        <v>6493</v>
      </c>
      <c r="E469" s="2149">
        <v>307619264100</v>
      </c>
      <c r="F469" s="645" t="s">
        <v>6493</v>
      </c>
      <c r="G469" s="391" t="s">
        <v>6550</v>
      </c>
      <c r="H469" s="230" t="s">
        <v>210</v>
      </c>
      <c r="I469" s="230">
        <v>1</v>
      </c>
      <c r="J469" s="230"/>
      <c r="K469" s="230"/>
      <c r="L469" s="228"/>
      <c r="M469" s="257"/>
      <c r="N469" s="289" t="s">
        <v>6496</v>
      </c>
      <c r="O469" s="228" t="s">
        <v>6507</v>
      </c>
      <c r="P469" s="1284" t="s">
        <v>6497</v>
      </c>
      <c r="Q469" s="2578" t="s">
        <v>5942</v>
      </c>
      <c r="R469" s="254" t="s">
        <v>5774</v>
      </c>
      <c r="S469" s="2552"/>
      <c r="T469" s="228"/>
      <c r="U469" s="2552"/>
      <c r="V469" s="256"/>
      <c r="W469" s="1658">
        <v>870000</v>
      </c>
      <c r="X469" s="324">
        <v>416000</v>
      </c>
      <c r="Y469" s="248"/>
      <c r="Z469" s="247"/>
      <c r="AA469" s="248"/>
      <c r="AB469" s="340">
        <f t="shared" si="142"/>
        <v>1286000</v>
      </c>
      <c r="AC469" s="3046"/>
      <c r="AD469" s="249" t="s">
        <v>6506</v>
      </c>
      <c r="AE469" s="621">
        <f>+(I469*3899700+J469*(3899700+100000))*1.08+((I469+J469+K469)*150000)*1.08+(220000*1.08)</f>
        <v>4611276</v>
      </c>
      <c r="AF469" s="342">
        <f t="shared" si="145"/>
        <v>5897276</v>
      </c>
      <c r="AG469" s="251">
        <f t="shared" si="146"/>
        <v>4269700</v>
      </c>
      <c r="AH469" s="241"/>
      <c r="AI469" s="241"/>
      <c r="AJ469" s="241"/>
      <c r="AK469" s="194"/>
      <c r="AL469" s="195"/>
      <c r="AM469" s="195"/>
    </row>
    <row r="470" spans="2:40" ht="31.2">
      <c r="B470" s="253">
        <f t="shared" si="143"/>
        <v>2</v>
      </c>
      <c r="C470" s="244"/>
      <c r="D470" s="661" t="s">
        <v>6565</v>
      </c>
      <c r="E470" s="2149">
        <v>307639178620</v>
      </c>
      <c r="F470" s="1615" t="s">
        <v>6565</v>
      </c>
      <c r="G470" s="391" t="s">
        <v>6581</v>
      </c>
      <c r="H470" s="230" t="s">
        <v>210</v>
      </c>
      <c r="I470" s="230"/>
      <c r="J470" s="230">
        <v>1</v>
      </c>
      <c r="K470" s="230"/>
      <c r="L470" s="228"/>
      <c r="M470" s="257"/>
      <c r="N470" s="228" t="s">
        <v>6541</v>
      </c>
      <c r="O470" s="228" t="s">
        <v>6705</v>
      </c>
      <c r="P470" s="1284" t="s">
        <v>6542</v>
      </c>
      <c r="Q470" s="2578" t="s">
        <v>6056</v>
      </c>
      <c r="R470" s="254" t="s">
        <v>4458</v>
      </c>
      <c r="S470" s="2552"/>
      <c r="T470" s="228"/>
      <c r="U470" s="2552"/>
      <c r="V470" s="256"/>
      <c r="W470" s="1658">
        <v>1280000</v>
      </c>
      <c r="X470" s="1658">
        <v>1140000</v>
      </c>
      <c r="Y470" s="248"/>
      <c r="Z470" s="247"/>
      <c r="AA470" s="248"/>
      <c r="AB470" s="340">
        <f t="shared" si="142"/>
        <v>2420000</v>
      </c>
      <c r="AC470" s="3046"/>
      <c r="AD470" s="249"/>
      <c r="AE470" s="621">
        <f t="shared" ref="AE470:AE472" si="148">+(I470*3899700+J470*(3899700+100000))*1.08+((I470+J470+K470)*150000)*1.08</f>
        <v>4481676</v>
      </c>
      <c r="AF470" s="342">
        <f t="shared" si="145"/>
        <v>6901676</v>
      </c>
      <c r="AG470" s="251">
        <f t="shared" si="146"/>
        <v>4149699.9999999995</v>
      </c>
      <c r="AH470" s="241"/>
      <c r="AI470" s="241"/>
      <c r="AJ470" s="241"/>
      <c r="AK470" s="194"/>
      <c r="AL470" s="195"/>
      <c r="AM470" s="195"/>
    </row>
    <row r="471" spans="2:40" ht="31.2">
      <c r="B471" s="253">
        <f t="shared" si="143"/>
        <v>3</v>
      </c>
      <c r="C471" s="244"/>
      <c r="D471" s="2447" t="s">
        <v>6678</v>
      </c>
      <c r="E471" s="2149">
        <v>307668701230</v>
      </c>
      <c r="F471" s="2447" t="s">
        <v>6678</v>
      </c>
      <c r="G471" s="391" t="s">
        <v>6689</v>
      </c>
      <c r="H471" s="230" t="s">
        <v>210</v>
      </c>
      <c r="I471" s="230"/>
      <c r="J471" s="230">
        <v>1</v>
      </c>
      <c r="K471" s="230"/>
      <c r="L471" s="228"/>
      <c r="M471" s="257"/>
      <c r="N471" s="228">
        <v>10855808</v>
      </c>
      <c r="O471" s="228" t="s">
        <v>6688</v>
      </c>
      <c r="P471" s="1284" t="s">
        <v>6657</v>
      </c>
      <c r="Q471" s="2578" t="s">
        <v>6684</v>
      </c>
      <c r="R471" s="254" t="s">
        <v>287</v>
      </c>
      <c r="S471" s="2552"/>
      <c r="T471" s="228"/>
      <c r="U471" s="2552"/>
      <c r="V471" s="256"/>
      <c r="W471" s="1658">
        <v>1500000</v>
      </c>
      <c r="X471" s="324">
        <v>882000</v>
      </c>
      <c r="Y471" s="248"/>
      <c r="Z471" s="247"/>
      <c r="AA471" s="248"/>
      <c r="AB471" s="340">
        <f t="shared" si="142"/>
        <v>2382000</v>
      </c>
      <c r="AC471" s="3046"/>
      <c r="AD471" s="249"/>
      <c r="AE471" s="621">
        <f t="shared" si="148"/>
        <v>4481676</v>
      </c>
      <c r="AF471" s="342">
        <f t="shared" si="145"/>
        <v>6863676</v>
      </c>
      <c r="AG471" s="251">
        <f t="shared" si="146"/>
        <v>4149699.9999999995</v>
      </c>
      <c r="AH471" s="241"/>
      <c r="AI471" s="241"/>
      <c r="AJ471" s="241"/>
      <c r="AK471" s="194"/>
      <c r="AL471" s="195"/>
      <c r="AM471" s="195"/>
    </row>
    <row r="472" spans="2:40" ht="31.2">
      <c r="B472" s="253">
        <f t="shared" si="143"/>
        <v>4</v>
      </c>
      <c r="C472" s="244"/>
      <c r="D472" s="1615" t="s">
        <v>6663</v>
      </c>
      <c r="E472" s="2149" t="s">
        <v>6785</v>
      </c>
      <c r="F472" s="1615" t="s">
        <v>6663</v>
      </c>
      <c r="G472" s="391" t="s">
        <v>6805</v>
      </c>
      <c r="H472" s="230" t="s">
        <v>210</v>
      </c>
      <c r="I472" s="230"/>
      <c r="J472" s="230">
        <v>1</v>
      </c>
      <c r="K472" s="230"/>
      <c r="L472" s="228"/>
      <c r="M472" s="257"/>
      <c r="N472" s="228">
        <v>22957071</v>
      </c>
      <c r="O472" s="228" t="s">
        <v>6786</v>
      </c>
      <c r="P472" s="1284" t="s">
        <v>6758</v>
      </c>
      <c r="Q472" s="2578" t="s">
        <v>6779</v>
      </c>
      <c r="R472" s="254" t="s">
        <v>2966</v>
      </c>
      <c r="S472" s="2552"/>
      <c r="T472" s="228"/>
      <c r="U472" s="2552"/>
      <c r="V472" s="256"/>
      <c r="W472" s="1658">
        <v>1500000</v>
      </c>
      <c r="X472" s="324">
        <v>882000</v>
      </c>
      <c r="Y472" s="248"/>
      <c r="Z472" s="247"/>
      <c r="AA472" s="248"/>
      <c r="AB472" s="340">
        <f t="shared" si="142"/>
        <v>2382000</v>
      </c>
      <c r="AC472" s="347">
        <f t="shared" si="141"/>
        <v>0</v>
      </c>
      <c r="AD472" s="249"/>
      <c r="AE472" s="621">
        <f t="shared" si="148"/>
        <v>4481676</v>
      </c>
      <c r="AF472" s="342">
        <f t="shared" si="145"/>
        <v>6863676</v>
      </c>
      <c r="AG472" s="251">
        <f t="shared" si="146"/>
        <v>4149699.9999999995</v>
      </c>
      <c r="AH472" s="241"/>
      <c r="AI472" s="241"/>
      <c r="AJ472" s="241"/>
      <c r="AK472" s="194"/>
      <c r="AL472" s="195"/>
      <c r="AM472" s="195"/>
    </row>
    <row r="473" spans="2:40">
      <c r="B473" s="3811" t="s">
        <v>6858</v>
      </c>
      <c r="C473" s="3716"/>
      <c r="D473" s="3716"/>
      <c r="E473" s="3716"/>
      <c r="F473" s="3716"/>
      <c r="G473" s="3716"/>
      <c r="H473" s="3716"/>
      <c r="I473" s="3716"/>
      <c r="J473" s="3716"/>
      <c r="K473" s="3716"/>
      <c r="L473" s="3716"/>
      <c r="M473" s="346"/>
      <c r="N473" s="346"/>
      <c r="O473" s="346"/>
      <c r="P473" s="346"/>
      <c r="Q473" s="346"/>
      <c r="R473" s="346"/>
      <c r="S473" s="346"/>
      <c r="T473" s="346"/>
      <c r="U473" s="346"/>
      <c r="V473" s="590"/>
      <c r="W473" s="2165"/>
      <c r="X473" s="590"/>
      <c r="Y473" s="357"/>
      <c r="Z473" s="357"/>
      <c r="AA473" s="357"/>
      <c r="AB473" s="590">
        <f>SUM(AB446:AB471)</f>
        <v>5206620520</v>
      </c>
      <c r="AC473" s="358"/>
      <c r="AD473" s="358"/>
      <c r="AE473" s="1289">
        <f>SUM(AE469:AE472)</f>
        <v>18056304</v>
      </c>
      <c r="AF473" s="1289">
        <f>SUM(AF466:AF472)</f>
        <v>91329388</v>
      </c>
      <c r="AG473" s="1289">
        <f>SUM(AG466:AG472)</f>
        <v>57866100</v>
      </c>
      <c r="AH473" s="241"/>
      <c r="AI473" s="241"/>
      <c r="AJ473" s="241"/>
      <c r="AK473" s="194"/>
      <c r="AL473" s="195"/>
      <c r="AM473" s="195"/>
      <c r="AN473" s="1136"/>
    </row>
    <row r="474" spans="2:40" ht="31.2">
      <c r="B474" s="253">
        <v>1</v>
      </c>
      <c r="C474" s="244"/>
      <c r="D474" s="1034" t="s">
        <v>6825</v>
      </c>
      <c r="E474" s="2149">
        <v>307715400110</v>
      </c>
      <c r="F474" s="1034" t="s">
        <v>6825</v>
      </c>
      <c r="G474" s="391" t="s">
        <v>6878</v>
      </c>
      <c r="H474" s="230" t="s">
        <v>210</v>
      </c>
      <c r="I474" s="230"/>
      <c r="J474" s="230">
        <v>1</v>
      </c>
      <c r="K474" s="230"/>
      <c r="L474" s="228"/>
      <c r="M474" s="257"/>
      <c r="N474" s="228" t="s">
        <v>6839</v>
      </c>
      <c r="O474" s="228" t="s">
        <v>6868</v>
      </c>
      <c r="P474" s="1284" t="s">
        <v>6841</v>
      </c>
      <c r="Q474" s="2578" t="s">
        <v>5942</v>
      </c>
      <c r="R474" s="254" t="s">
        <v>2966</v>
      </c>
      <c r="S474" s="254"/>
      <c r="T474" s="228"/>
      <c r="U474" s="2552"/>
      <c r="V474" s="256"/>
      <c r="W474" s="1658">
        <v>1532000</v>
      </c>
      <c r="X474" s="324">
        <v>882000</v>
      </c>
      <c r="Y474" s="248"/>
      <c r="Z474" s="247"/>
      <c r="AA474" s="248"/>
      <c r="AB474" s="340">
        <f t="shared" si="142"/>
        <v>2414000</v>
      </c>
      <c r="AC474" s="347">
        <f t="shared" si="141"/>
        <v>0</v>
      </c>
      <c r="AD474" s="249"/>
      <c r="AE474" s="621">
        <f>+(I474*3832500+J474*(3832500+100000))*1.08+((I474+J474+K474)*150000)*1.08</f>
        <v>4409100</v>
      </c>
      <c r="AF474" s="342">
        <f t="shared" ref="AF474" si="149">+AB474+AE474</f>
        <v>6823100</v>
      </c>
      <c r="AG474" s="251">
        <f t="shared" ref="AG474" si="150">+AE474/1.08</f>
        <v>4082499.9999999995</v>
      </c>
      <c r="AH474" s="241"/>
      <c r="AI474" s="241"/>
      <c r="AJ474" s="241"/>
      <c r="AK474" s="194"/>
      <c r="AL474" s="195"/>
      <c r="AM474" s="3251"/>
    </row>
    <row r="475" spans="2:40" ht="31.2">
      <c r="B475" s="253">
        <f t="shared" si="143"/>
        <v>2</v>
      </c>
      <c r="C475" s="244"/>
      <c r="D475" s="1034" t="s">
        <v>6825</v>
      </c>
      <c r="E475" s="2149">
        <v>307715465060</v>
      </c>
      <c r="F475" s="1034" t="s">
        <v>6825</v>
      </c>
      <c r="G475" s="391" t="s">
        <v>6879</v>
      </c>
      <c r="H475" s="230" t="s">
        <v>210</v>
      </c>
      <c r="I475" s="230"/>
      <c r="J475" s="230">
        <v>1</v>
      </c>
      <c r="K475" s="230"/>
      <c r="L475" s="228"/>
      <c r="M475" s="257"/>
      <c r="N475" s="228" t="s">
        <v>6840</v>
      </c>
      <c r="O475" s="228" t="s">
        <v>6869</v>
      </c>
      <c r="P475" s="1284" t="s">
        <v>6842</v>
      </c>
      <c r="Q475" s="2578" t="s">
        <v>7176</v>
      </c>
      <c r="R475" s="254" t="s">
        <v>2966</v>
      </c>
      <c r="S475" s="254"/>
      <c r="T475" s="228"/>
      <c r="U475" s="2552"/>
      <c r="V475" s="256"/>
      <c r="W475" s="1658">
        <v>1532000</v>
      </c>
      <c r="X475" s="324">
        <v>882000</v>
      </c>
      <c r="Y475" s="248"/>
      <c r="Z475" s="247"/>
      <c r="AA475" s="248"/>
      <c r="AB475" s="340">
        <f t="shared" si="142"/>
        <v>2414000</v>
      </c>
      <c r="AC475" s="347">
        <f t="shared" si="141"/>
        <v>0</v>
      </c>
      <c r="AD475" s="249"/>
      <c r="AE475" s="621">
        <f t="shared" ref="AE475:AE479" si="151">+(I475*3832500+J475*(3832500+100000))*1.08+((I475+J475+K475)*150000)*1.08</f>
        <v>4409100</v>
      </c>
      <c r="AF475" s="342">
        <f t="shared" ref="AF475:AF477" si="152">+AB475+AE475</f>
        <v>6823100</v>
      </c>
      <c r="AG475" s="251">
        <f t="shared" ref="AG475:AG477" si="153">+AE475/1.08</f>
        <v>4082499.9999999995</v>
      </c>
      <c r="AH475" s="241"/>
      <c r="AI475" s="241"/>
      <c r="AJ475" s="241"/>
      <c r="AK475" s="194"/>
      <c r="AL475" s="195"/>
      <c r="AM475" s="3251"/>
    </row>
    <row r="476" spans="2:40" ht="31.2">
      <c r="B476" s="253">
        <f t="shared" si="143"/>
        <v>3</v>
      </c>
      <c r="C476" s="244"/>
      <c r="D476" s="1034" t="s">
        <v>6937</v>
      </c>
      <c r="E476" s="2149">
        <v>307744898550</v>
      </c>
      <c r="F476" s="645" t="s">
        <v>6937</v>
      </c>
      <c r="G476" s="391" t="s">
        <v>6965</v>
      </c>
      <c r="H476" s="230" t="s">
        <v>210</v>
      </c>
      <c r="I476" s="230">
        <v>1</v>
      </c>
      <c r="J476" s="230"/>
      <c r="K476" s="230"/>
      <c r="L476" s="228"/>
      <c r="M476" s="257"/>
      <c r="N476" s="228" t="s">
        <v>6935</v>
      </c>
      <c r="O476" s="228" t="s">
        <v>6956</v>
      </c>
      <c r="P476" s="1284" t="s">
        <v>6936</v>
      </c>
      <c r="Q476" s="2578" t="s">
        <v>5944</v>
      </c>
      <c r="R476" s="254" t="s">
        <v>4181</v>
      </c>
      <c r="S476" s="254"/>
      <c r="T476" s="1566"/>
      <c r="U476" s="1566"/>
      <c r="V476" s="256"/>
      <c r="W476" s="1658">
        <v>870000</v>
      </c>
      <c r="X476" s="324">
        <v>781000</v>
      </c>
      <c r="Y476" s="248"/>
      <c r="Z476" s="247"/>
      <c r="AA476" s="248"/>
      <c r="AB476" s="340">
        <f t="shared" si="142"/>
        <v>1651000</v>
      </c>
      <c r="AC476" s="347">
        <f t="shared" si="141"/>
        <v>0</v>
      </c>
      <c r="AD476" s="249"/>
      <c r="AE476" s="621">
        <f t="shared" si="151"/>
        <v>4301100</v>
      </c>
      <c r="AF476" s="342">
        <f t="shared" si="152"/>
        <v>5952100</v>
      </c>
      <c r="AG476" s="251">
        <f t="shared" si="153"/>
        <v>3982499.9999999995</v>
      </c>
      <c r="AH476" s="241"/>
      <c r="AI476" s="241"/>
      <c r="AJ476" s="241"/>
      <c r="AK476" s="194"/>
      <c r="AL476" s="195"/>
      <c r="AM476" s="3251"/>
    </row>
    <row r="477" spans="2:40" ht="31.2">
      <c r="B477" s="253">
        <f t="shared" si="143"/>
        <v>4</v>
      </c>
      <c r="C477" s="244"/>
      <c r="D477" s="661" t="s">
        <v>6988</v>
      </c>
      <c r="E477" s="2149">
        <v>307764461450</v>
      </c>
      <c r="F477" s="645" t="s">
        <v>6988</v>
      </c>
      <c r="G477" s="391" t="s">
        <v>7048</v>
      </c>
      <c r="H477" s="230" t="s">
        <v>210</v>
      </c>
      <c r="I477" s="230"/>
      <c r="J477" s="230">
        <v>1</v>
      </c>
      <c r="K477" s="230"/>
      <c r="L477" s="228"/>
      <c r="M477" s="257"/>
      <c r="N477" s="228">
        <v>36076343</v>
      </c>
      <c r="O477" s="228" t="s">
        <v>7036</v>
      </c>
      <c r="P477" s="1284" t="s">
        <v>6989</v>
      </c>
      <c r="Q477" s="2578" t="s">
        <v>5942</v>
      </c>
      <c r="R477" s="254" t="s">
        <v>6990</v>
      </c>
      <c r="S477" s="254"/>
      <c r="T477" s="228"/>
      <c r="U477" s="2552"/>
      <c r="V477" s="256"/>
      <c r="W477" s="1658">
        <v>1500000</v>
      </c>
      <c r="X477" s="1658">
        <v>1230000</v>
      </c>
      <c r="Y477" s="248"/>
      <c r="Z477" s="247"/>
      <c r="AA477" s="248"/>
      <c r="AB477" s="340">
        <f t="shared" ref="AB477" si="154">V477+W477+X477+Y477+Z477+AA477</f>
        <v>2730000</v>
      </c>
      <c r="AC477" s="347">
        <f t="shared" ref="AC477" si="155">+Z477</f>
        <v>0</v>
      </c>
      <c r="AD477" s="249" t="s">
        <v>6341</v>
      </c>
      <c r="AE477" s="621">
        <f>+(I477*3832500+J477*(3832500+100000))*1.08+((I477+J477+K477)*150000)*1.08+(500000*1.08)</f>
        <v>4949100</v>
      </c>
      <c r="AF477" s="342">
        <f t="shared" si="152"/>
        <v>7679100</v>
      </c>
      <c r="AG477" s="251">
        <f t="shared" si="153"/>
        <v>4582500</v>
      </c>
      <c r="AH477" s="241"/>
      <c r="AI477" s="241"/>
      <c r="AJ477" s="241"/>
      <c r="AK477" s="194"/>
      <c r="AL477" s="195"/>
      <c r="AM477" s="3252"/>
    </row>
    <row r="478" spans="2:40" ht="31.2">
      <c r="B478" s="253">
        <f t="shared" si="143"/>
        <v>5</v>
      </c>
      <c r="C478" s="244"/>
      <c r="D478" s="2447" t="s">
        <v>7054</v>
      </c>
      <c r="E478" s="2149">
        <v>307786737000</v>
      </c>
      <c r="F478" s="2447" t="s">
        <v>7054</v>
      </c>
      <c r="G478" s="391" t="s">
        <v>7098</v>
      </c>
      <c r="H478" s="230" t="s">
        <v>210</v>
      </c>
      <c r="I478" s="230"/>
      <c r="J478" s="230">
        <v>1</v>
      </c>
      <c r="K478" s="230"/>
      <c r="L478" s="228"/>
      <c r="M478" s="257"/>
      <c r="N478" s="289" t="s">
        <v>7066</v>
      </c>
      <c r="O478" s="228" t="s">
        <v>7089</v>
      </c>
      <c r="P478" s="1284" t="s">
        <v>7087</v>
      </c>
      <c r="Q478" s="2578" t="s">
        <v>5942</v>
      </c>
      <c r="R478" s="254" t="s">
        <v>2966</v>
      </c>
      <c r="S478" s="254"/>
      <c r="T478" s="228"/>
      <c r="U478" s="2552"/>
      <c r="V478" s="256"/>
      <c r="W478" s="1658">
        <v>1450000</v>
      </c>
      <c r="X478" s="324">
        <v>882000</v>
      </c>
      <c r="Y478" s="248"/>
      <c r="Z478" s="247"/>
      <c r="AA478" s="248"/>
      <c r="AB478" s="340">
        <f t="shared" ref="AB478:AB484" si="156">V478+W478+X478+Y478+Z478+AA478</f>
        <v>2332000</v>
      </c>
      <c r="AC478" s="347">
        <f t="shared" ref="AC478:AC484" si="157">+Z478</f>
        <v>0</v>
      </c>
      <c r="AD478" s="249"/>
      <c r="AE478" s="621">
        <f t="shared" si="151"/>
        <v>4409100</v>
      </c>
      <c r="AF478" s="342">
        <f t="shared" ref="AF478:AF479" si="158">+AB478+AE478</f>
        <v>6741100</v>
      </c>
      <c r="AG478" s="251">
        <f t="shared" ref="AG478:AG479" si="159">+AE478/1.08</f>
        <v>4082499.9999999995</v>
      </c>
      <c r="AH478" s="241"/>
      <c r="AI478" s="241"/>
      <c r="AJ478" s="241"/>
      <c r="AK478" s="194"/>
      <c r="AL478" s="195"/>
      <c r="AM478" s="3252"/>
    </row>
    <row r="479" spans="2:40" ht="31.2">
      <c r="B479" s="253">
        <f t="shared" si="143"/>
        <v>6</v>
      </c>
      <c r="C479" s="244"/>
      <c r="D479" s="2447" t="s">
        <v>7108</v>
      </c>
      <c r="E479" s="2149">
        <v>307798283350</v>
      </c>
      <c r="F479" s="2447" t="s">
        <v>7108</v>
      </c>
      <c r="G479" s="391" t="s">
        <v>7125</v>
      </c>
      <c r="H479" s="230" t="s">
        <v>210</v>
      </c>
      <c r="I479" s="230">
        <v>1</v>
      </c>
      <c r="J479" s="230"/>
      <c r="K479" s="230"/>
      <c r="L479" s="228"/>
      <c r="M479" s="257"/>
      <c r="N479" s="228" t="s">
        <v>7067</v>
      </c>
      <c r="O479" s="228" t="s">
        <v>7123</v>
      </c>
      <c r="P479" s="1284" t="s">
        <v>7068</v>
      </c>
      <c r="Q479" s="2578" t="s">
        <v>7124</v>
      </c>
      <c r="R479" s="254" t="s">
        <v>2966</v>
      </c>
      <c r="S479" s="254"/>
      <c r="T479" s="228"/>
      <c r="U479" s="2552"/>
      <c r="V479" s="256"/>
      <c r="W479" s="1658">
        <v>870000</v>
      </c>
      <c r="X479" s="324">
        <v>497000</v>
      </c>
      <c r="Y479" s="248"/>
      <c r="Z479" s="247"/>
      <c r="AA479" s="248"/>
      <c r="AB479" s="340">
        <f t="shared" si="156"/>
        <v>1367000</v>
      </c>
      <c r="AC479" s="347">
        <f t="shared" si="157"/>
        <v>0</v>
      </c>
      <c r="AD479" s="249"/>
      <c r="AE479" s="621">
        <f t="shared" si="151"/>
        <v>4301100</v>
      </c>
      <c r="AF479" s="342">
        <f t="shared" si="158"/>
        <v>5668100</v>
      </c>
      <c r="AG479" s="251">
        <f t="shared" si="159"/>
        <v>3982499.9999999995</v>
      </c>
      <c r="AH479" s="241"/>
      <c r="AI479" s="241"/>
      <c r="AJ479" s="241"/>
      <c r="AK479" s="194"/>
      <c r="AL479" s="195"/>
      <c r="AM479" s="3252"/>
    </row>
    <row r="480" spans="2:40">
      <c r="B480" s="3811" t="s">
        <v>7126</v>
      </c>
      <c r="C480" s="3716"/>
      <c r="D480" s="3716"/>
      <c r="E480" s="3716"/>
      <c r="F480" s="3716"/>
      <c r="G480" s="3716"/>
      <c r="H480" s="3716"/>
      <c r="I480" s="3716"/>
      <c r="J480" s="3716"/>
      <c r="K480" s="3716"/>
      <c r="L480" s="3716"/>
      <c r="M480" s="346"/>
      <c r="N480" s="346"/>
      <c r="O480" s="346"/>
      <c r="P480" s="346"/>
      <c r="Q480" s="346"/>
      <c r="R480" s="346"/>
      <c r="S480" s="346"/>
      <c r="T480" s="346"/>
      <c r="U480" s="346"/>
      <c r="V480" s="590"/>
      <c r="W480" s="2165"/>
      <c r="X480" s="590"/>
      <c r="Y480" s="357"/>
      <c r="Z480" s="357"/>
      <c r="AA480" s="357"/>
      <c r="AB480" s="590">
        <f>SUM(AB453:AB478)</f>
        <v>10036931793</v>
      </c>
      <c r="AC480" s="358"/>
      <c r="AD480" s="358"/>
      <c r="AE480" s="1289">
        <f>SUM(AE476:AE479)</f>
        <v>17960400</v>
      </c>
      <c r="AF480" s="1289">
        <f>SUM(AF473:AF479)</f>
        <v>131015988</v>
      </c>
      <c r="AG480" s="1289">
        <f>SUM(AG473:AG479)</f>
        <v>82661100</v>
      </c>
      <c r="AH480" s="241"/>
      <c r="AI480" s="241"/>
      <c r="AJ480" s="241"/>
      <c r="AK480" s="194"/>
      <c r="AL480" s="195"/>
      <c r="AM480" s="195"/>
      <c r="AN480" s="1136"/>
    </row>
    <row r="481" spans="2:40" ht="31.2">
      <c r="B481" s="253">
        <v>1</v>
      </c>
      <c r="C481" s="244"/>
      <c r="D481" s="1457" t="s">
        <v>7139</v>
      </c>
      <c r="E481" s="2149">
        <v>307810625750</v>
      </c>
      <c r="F481" s="615" t="s">
        <v>7139</v>
      </c>
      <c r="G481" s="391" t="s">
        <v>7190</v>
      </c>
      <c r="H481" s="230" t="s">
        <v>210</v>
      </c>
      <c r="I481" s="230"/>
      <c r="J481" s="230">
        <v>1</v>
      </c>
      <c r="K481" s="230"/>
      <c r="L481" s="228"/>
      <c r="M481" s="257"/>
      <c r="N481" s="228" t="s">
        <v>7138</v>
      </c>
      <c r="O481" s="228" t="s">
        <v>7172</v>
      </c>
      <c r="P481" s="1284" t="s">
        <v>7140</v>
      </c>
      <c r="Q481" s="2578" t="s">
        <v>5972</v>
      </c>
      <c r="R481" s="254" t="s">
        <v>2966</v>
      </c>
      <c r="S481" s="2552"/>
      <c r="T481" s="228"/>
      <c r="U481" s="2552"/>
      <c r="V481" s="256"/>
      <c r="W481" s="3276">
        <v>1280000</v>
      </c>
      <c r="X481" s="1598">
        <v>882000</v>
      </c>
      <c r="Y481" s="248"/>
      <c r="Z481" s="247"/>
      <c r="AA481" s="248"/>
      <c r="AB481" s="340">
        <f t="shared" si="156"/>
        <v>2162000</v>
      </c>
      <c r="AC481" s="347">
        <f t="shared" si="157"/>
        <v>0</v>
      </c>
      <c r="AD481" s="249"/>
      <c r="AE481" s="621">
        <f t="shared" ref="AE481:AE486" si="160">+(I481*3832500+J481*(3832500+100000))*1.08+((I481+J481+K481)*150000)*1.08</f>
        <v>4409100</v>
      </c>
      <c r="AF481" s="342">
        <f t="shared" ref="AF481:AF486" si="161">+AB481+AE481</f>
        <v>6571100</v>
      </c>
      <c r="AG481" s="251">
        <f t="shared" ref="AG481:AG486" si="162">+AE481/1.08</f>
        <v>4082499.9999999995</v>
      </c>
      <c r="AH481" s="241"/>
      <c r="AI481" s="241"/>
      <c r="AJ481" s="241"/>
      <c r="AK481" s="194"/>
      <c r="AL481" s="195"/>
      <c r="AM481" s="242" t="s">
        <v>7023</v>
      </c>
    </row>
    <row r="482" spans="2:40" ht="31.2">
      <c r="B482" s="253">
        <f t="shared" si="143"/>
        <v>2</v>
      </c>
      <c r="C482" s="244"/>
      <c r="D482" s="1457" t="s">
        <v>7224</v>
      </c>
      <c r="E482" s="2149">
        <v>307826136830</v>
      </c>
      <c r="F482" s="1457" t="s">
        <v>7224</v>
      </c>
      <c r="G482" s="391" t="s">
        <v>7254</v>
      </c>
      <c r="H482" s="230" t="s">
        <v>210</v>
      </c>
      <c r="I482" s="230"/>
      <c r="J482" s="230">
        <v>1</v>
      </c>
      <c r="K482" s="230"/>
      <c r="L482" s="228"/>
      <c r="M482" s="257"/>
      <c r="N482" s="228" t="s">
        <v>7228</v>
      </c>
      <c r="O482" s="228" t="s">
        <v>7241</v>
      </c>
      <c r="P482" s="2815" t="s">
        <v>7236</v>
      </c>
      <c r="Q482" s="2578" t="s">
        <v>6709</v>
      </c>
      <c r="R482" s="254" t="s">
        <v>2966</v>
      </c>
      <c r="S482" s="2552"/>
      <c r="T482" s="228"/>
      <c r="U482" s="2552"/>
      <c r="V482" s="256"/>
      <c r="W482" s="3276">
        <v>1500000</v>
      </c>
      <c r="X482" s="1598">
        <v>882000</v>
      </c>
      <c r="Y482" s="248"/>
      <c r="Z482" s="247"/>
      <c r="AA482" s="248"/>
      <c r="AB482" s="340">
        <f t="shared" si="156"/>
        <v>2382000</v>
      </c>
      <c r="AC482" s="347">
        <f t="shared" si="157"/>
        <v>0</v>
      </c>
      <c r="AD482" s="249"/>
      <c r="AE482" s="621">
        <f t="shared" si="160"/>
        <v>4409100</v>
      </c>
      <c r="AF482" s="342">
        <f t="shared" si="161"/>
        <v>6791100</v>
      </c>
      <c r="AG482" s="251">
        <f t="shared" si="162"/>
        <v>4082499.9999999995</v>
      </c>
      <c r="AH482" s="241"/>
      <c r="AI482" s="241"/>
      <c r="AJ482" s="241"/>
      <c r="AK482" s="194"/>
      <c r="AL482" s="195"/>
      <c r="AM482" s="195"/>
    </row>
    <row r="483" spans="2:40" ht="31.2">
      <c r="B483" s="253">
        <f t="shared" si="143"/>
        <v>3</v>
      </c>
      <c r="C483" s="244"/>
      <c r="D483" s="3266" t="s">
        <v>7257</v>
      </c>
      <c r="E483" s="2149">
        <v>307835785300</v>
      </c>
      <c r="F483" s="3266" t="s">
        <v>7257</v>
      </c>
      <c r="G483" s="391" t="s">
        <v>7288</v>
      </c>
      <c r="H483" s="230" t="s">
        <v>210</v>
      </c>
      <c r="I483" s="230">
        <v>1</v>
      </c>
      <c r="J483" s="230"/>
      <c r="K483" s="230"/>
      <c r="L483" s="228"/>
      <c r="M483" s="257"/>
      <c r="N483" s="228" t="s">
        <v>7229</v>
      </c>
      <c r="O483" s="228" t="s">
        <v>7290</v>
      </c>
      <c r="P483" s="2576" t="s">
        <v>7234</v>
      </c>
      <c r="Q483" s="2578" t="s">
        <v>7284</v>
      </c>
      <c r="R483" s="254" t="s">
        <v>2966</v>
      </c>
      <c r="S483" s="2552"/>
      <c r="T483" s="2552"/>
      <c r="U483" s="2552"/>
      <c r="V483" s="3205"/>
      <c r="W483" s="3276">
        <v>900000</v>
      </c>
      <c r="X483" s="1598">
        <v>497000</v>
      </c>
      <c r="Y483" s="1603"/>
      <c r="Z483" s="1604"/>
      <c r="AA483" s="1603"/>
      <c r="AB483" s="340">
        <f t="shared" si="156"/>
        <v>1397000</v>
      </c>
      <c r="AC483" s="347">
        <f t="shared" si="157"/>
        <v>0</v>
      </c>
      <c r="AD483" s="249"/>
      <c r="AE483" s="621">
        <f t="shared" si="160"/>
        <v>4301100</v>
      </c>
      <c r="AF483" s="342">
        <f t="shared" si="161"/>
        <v>5698100</v>
      </c>
      <c r="AG483" s="251">
        <f t="shared" si="162"/>
        <v>3982499.9999999995</v>
      </c>
      <c r="AH483" s="241"/>
      <c r="AI483" s="241"/>
      <c r="AJ483" s="241"/>
      <c r="AK483" s="194"/>
      <c r="AL483" s="195"/>
      <c r="AM483" s="195"/>
    </row>
    <row r="484" spans="2:40" ht="31.2">
      <c r="B484" s="253">
        <f t="shared" si="143"/>
        <v>4</v>
      </c>
      <c r="C484" s="244"/>
      <c r="D484" s="3266" t="s">
        <v>7257</v>
      </c>
      <c r="E484" s="2149">
        <v>307837350130</v>
      </c>
      <c r="F484" s="3266" t="s">
        <v>7257</v>
      </c>
      <c r="G484" s="391" t="s">
        <v>7289</v>
      </c>
      <c r="H484" s="230" t="s">
        <v>210</v>
      </c>
      <c r="I484" s="230">
        <v>1</v>
      </c>
      <c r="J484" s="230"/>
      <c r="K484" s="230"/>
      <c r="L484" s="228"/>
      <c r="M484" s="257"/>
      <c r="N484" s="228" t="s">
        <v>7230</v>
      </c>
      <c r="O484" s="228" t="s">
        <v>7283</v>
      </c>
      <c r="P484" s="1284" t="s">
        <v>7235</v>
      </c>
      <c r="Q484" s="2578" t="s">
        <v>7284</v>
      </c>
      <c r="R484" s="254" t="s">
        <v>2947</v>
      </c>
      <c r="S484" s="2552"/>
      <c r="T484" s="228"/>
      <c r="U484" s="2552"/>
      <c r="V484" s="256"/>
      <c r="W484" s="3276">
        <v>999000</v>
      </c>
      <c r="X484" s="1598">
        <v>401000</v>
      </c>
      <c r="Y484" s="248"/>
      <c r="Z484" s="247"/>
      <c r="AA484" s="248"/>
      <c r="AB484" s="340">
        <f t="shared" si="156"/>
        <v>1400000</v>
      </c>
      <c r="AC484" s="347">
        <f t="shared" si="157"/>
        <v>0</v>
      </c>
      <c r="AD484" s="249" t="s">
        <v>7389</v>
      </c>
      <c r="AE484" s="621">
        <f>+(I484*3832500+J484*(3832500+100000))*1.08+((I484+J484+K484)*150000)*1.08+260000</f>
        <v>4561100</v>
      </c>
      <c r="AF484" s="342">
        <f t="shared" si="161"/>
        <v>5961100</v>
      </c>
      <c r="AG484" s="251">
        <f t="shared" si="162"/>
        <v>4223240.7407407407</v>
      </c>
      <c r="AH484" s="241"/>
      <c r="AI484" s="241"/>
      <c r="AJ484" s="241"/>
      <c r="AK484" s="194"/>
      <c r="AL484" s="195"/>
      <c r="AM484" s="195"/>
    </row>
    <row r="485" spans="2:40" ht="31.2">
      <c r="B485" s="253">
        <f t="shared" si="143"/>
        <v>5</v>
      </c>
      <c r="C485" s="244"/>
      <c r="D485" s="3263" t="s">
        <v>7263</v>
      </c>
      <c r="E485" s="2149">
        <v>307857557730</v>
      </c>
      <c r="F485" s="3291" t="s">
        <v>7263</v>
      </c>
      <c r="G485" s="3292" t="s">
        <v>7353</v>
      </c>
      <c r="H485" s="230" t="s">
        <v>210</v>
      </c>
      <c r="I485" s="230">
        <v>1</v>
      </c>
      <c r="J485" s="230"/>
      <c r="K485" s="230"/>
      <c r="L485" s="228"/>
      <c r="M485" s="257"/>
      <c r="N485" s="228" t="s">
        <v>7318</v>
      </c>
      <c r="O485" s="228" t="s">
        <v>7348</v>
      </c>
      <c r="P485" s="1284" t="s">
        <v>7319</v>
      </c>
      <c r="Q485" s="2578" t="s">
        <v>7343</v>
      </c>
      <c r="R485" s="254" t="s">
        <v>2966</v>
      </c>
      <c r="S485" s="2552"/>
      <c r="T485" s="228"/>
      <c r="U485" s="2552"/>
      <c r="V485" s="256"/>
      <c r="W485" s="3276">
        <v>850000</v>
      </c>
      <c r="X485" s="1598">
        <v>497000</v>
      </c>
      <c r="Y485" s="248"/>
      <c r="Z485" s="247"/>
      <c r="AA485" s="248"/>
      <c r="AB485" s="340">
        <f t="shared" ref="AB485" si="163">V485+W485+X485+Y485+Z485+AA485</f>
        <v>1347000</v>
      </c>
      <c r="AC485" s="347">
        <f t="shared" ref="AC485" si="164">+Z485</f>
        <v>0</v>
      </c>
      <c r="AD485" s="249"/>
      <c r="AE485" s="621">
        <f t="shared" si="160"/>
        <v>4301100</v>
      </c>
      <c r="AF485" s="342">
        <f t="shared" si="161"/>
        <v>5648100</v>
      </c>
      <c r="AG485" s="251">
        <f t="shared" si="162"/>
        <v>3982499.9999999995</v>
      </c>
      <c r="AH485" s="241"/>
      <c r="AI485" s="241"/>
      <c r="AJ485" s="241"/>
      <c r="AK485" s="194"/>
      <c r="AL485" s="195"/>
      <c r="AM485" s="195"/>
    </row>
    <row r="486" spans="2:40" ht="31.2">
      <c r="B486" s="253">
        <f t="shared" si="143"/>
        <v>6</v>
      </c>
      <c r="C486" s="244"/>
      <c r="D486" s="3263" t="s">
        <v>7456</v>
      </c>
      <c r="E486" s="2149">
        <v>307889331320</v>
      </c>
      <c r="F486" s="645" t="s">
        <v>7456</v>
      </c>
      <c r="G486" s="391" t="s">
        <v>7484</v>
      </c>
      <c r="H486" s="230" t="s">
        <v>210</v>
      </c>
      <c r="I486" s="230">
        <v>1</v>
      </c>
      <c r="J486" s="230"/>
      <c r="K486" s="230"/>
      <c r="L486" s="228"/>
      <c r="M486" s="257"/>
      <c r="N486" s="228">
        <v>10733362</v>
      </c>
      <c r="O486" s="228" t="s">
        <v>7476</v>
      </c>
      <c r="P486" s="1284" t="s">
        <v>7455</v>
      </c>
      <c r="Q486" s="2578" t="s">
        <v>6056</v>
      </c>
      <c r="R486" s="254" t="s">
        <v>287</v>
      </c>
      <c r="S486" s="2552"/>
      <c r="T486" s="228"/>
      <c r="U486" s="2552"/>
      <c r="V486" s="256"/>
      <c r="W486" s="3276">
        <v>1000000</v>
      </c>
      <c r="X486" s="3276">
        <v>497000</v>
      </c>
      <c r="Y486" s="248"/>
      <c r="Z486" s="247"/>
      <c r="AA486" s="248"/>
      <c r="AB486" s="340">
        <f t="shared" ref="AB486:AB494" si="165">V486+W486+X486+Y486+Z486+AA486</f>
        <v>1497000</v>
      </c>
      <c r="AC486" s="347">
        <f t="shared" ref="AC486:AC494" si="166">+Z486</f>
        <v>0</v>
      </c>
      <c r="AD486" s="249"/>
      <c r="AE486" s="621">
        <f t="shared" si="160"/>
        <v>4301100</v>
      </c>
      <c r="AF486" s="342">
        <f t="shared" si="161"/>
        <v>5798100</v>
      </c>
      <c r="AG486" s="251">
        <f t="shared" si="162"/>
        <v>3982499.9999999995</v>
      </c>
      <c r="AH486" s="241"/>
      <c r="AI486" s="241"/>
      <c r="AJ486" s="241"/>
      <c r="AK486" s="194"/>
      <c r="AL486" s="195"/>
      <c r="AM486" s="195"/>
    </row>
    <row r="487" spans="2:40" ht="31.2">
      <c r="B487" s="253">
        <f t="shared" si="143"/>
        <v>7</v>
      </c>
      <c r="C487" s="244"/>
      <c r="D487" s="3263" t="s">
        <v>7504</v>
      </c>
      <c r="E487" s="2149">
        <v>307897829320</v>
      </c>
      <c r="F487" s="615" t="s">
        <v>7504</v>
      </c>
      <c r="G487" s="391" t="s">
        <v>7529</v>
      </c>
      <c r="H487" s="230" t="s">
        <v>210</v>
      </c>
      <c r="I487" s="230"/>
      <c r="J487" s="230">
        <v>2</v>
      </c>
      <c r="K487" s="230"/>
      <c r="L487" s="228"/>
      <c r="M487" s="257"/>
      <c r="N487" s="228" t="s">
        <v>7488</v>
      </c>
      <c r="O487" s="254" t="s">
        <v>7527</v>
      </c>
      <c r="P487" s="1284" t="s">
        <v>7490</v>
      </c>
      <c r="Q487" s="2576" t="s">
        <v>7511</v>
      </c>
      <c r="R487" s="254" t="s">
        <v>2966</v>
      </c>
      <c r="S487" s="2552"/>
      <c r="T487" s="228"/>
      <c r="U487" s="2552"/>
      <c r="V487" s="256"/>
      <c r="W487" s="3276">
        <f>1450000*2</f>
        <v>2900000</v>
      </c>
      <c r="X487" s="3276">
        <v>1764000</v>
      </c>
      <c r="Y487" s="248"/>
      <c r="Z487" s="247"/>
      <c r="AA487" s="248"/>
      <c r="AB487" s="340">
        <f t="shared" si="165"/>
        <v>4664000</v>
      </c>
      <c r="AC487" s="347">
        <f t="shared" si="166"/>
        <v>0</v>
      </c>
      <c r="AD487" s="249"/>
      <c r="AE487" s="621">
        <f>+(I487*3832500+J487*(3832500+100000))*1.08+((I487+J487+K487)*150000)*1.08</f>
        <v>8818200</v>
      </c>
      <c r="AF487" s="342">
        <f t="shared" ref="AF487:AF490" si="167">+AB487+AE487</f>
        <v>13482200</v>
      </c>
      <c r="AG487" s="251">
        <f t="shared" ref="AG487:AG490" si="168">+AE487/1.08</f>
        <v>8164999.9999999991</v>
      </c>
      <c r="AH487" s="241"/>
      <c r="AI487" s="241"/>
      <c r="AJ487" s="241"/>
      <c r="AK487" s="194"/>
      <c r="AL487" s="195"/>
      <c r="AM487" s="195"/>
    </row>
    <row r="488" spans="2:40" ht="31.2">
      <c r="B488" s="253">
        <f t="shared" si="143"/>
        <v>8</v>
      </c>
      <c r="C488" s="244"/>
      <c r="D488" s="3263" t="s">
        <v>7504</v>
      </c>
      <c r="E488" s="2149">
        <v>307900756940</v>
      </c>
      <c r="F488" s="615" t="s">
        <v>7504</v>
      </c>
      <c r="G488" s="391" t="s">
        <v>7541</v>
      </c>
      <c r="H488" s="230" t="s">
        <v>210</v>
      </c>
      <c r="I488" s="230">
        <v>1</v>
      </c>
      <c r="J488" s="230"/>
      <c r="K488" s="230"/>
      <c r="L488" s="228"/>
      <c r="M488" s="257"/>
      <c r="N488" s="228" t="s">
        <v>7489</v>
      </c>
      <c r="O488" s="254" t="s">
        <v>7539</v>
      </c>
      <c r="P488" s="1284" t="s">
        <v>7540</v>
      </c>
      <c r="Q488" s="2578" t="s">
        <v>7176</v>
      </c>
      <c r="R488" s="254" t="s">
        <v>4458</v>
      </c>
      <c r="S488" s="2552"/>
      <c r="T488" s="228"/>
      <c r="U488" s="2552"/>
      <c r="V488" s="256"/>
      <c r="W488" s="3276">
        <v>870000</v>
      </c>
      <c r="X488" s="3276">
        <v>770000</v>
      </c>
      <c r="Y488" s="248"/>
      <c r="Z488" s="247"/>
      <c r="AA488" s="248"/>
      <c r="AB488" s="340">
        <f t="shared" si="165"/>
        <v>1640000</v>
      </c>
      <c r="AC488" s="347">
        <f t="shared" si="166"/>
        <v>0</v>
      </c>
      <c r="AD488" s="249"/>
      <c r="AE488" s="621">
        <f t="shared" ref="AE488" si="169">+(I488*3832500+J488*(3832500+100000))*1.08+((I488+J488+K488)*150000)*1.08</f>
        <v>4301100</v>
      </c>
      <c r="AF488" s="342">
        <f t="shared" si="167"/>
        <v>5941100</v>
      </c>
      <c r="AG488" s="251">
        <f t="shared" si="168"/>
        <v>3982499.9999999995</v>
      </c>
      <c r="AH488" s="241"/>
      <c r="AI488" s="241"/>
      <c r="AJ488" s="241"/>
      <c r="AK488" s="194"/>
      <c r="AL488" s="195"/>
      <c r="AM488" s="195"/>
    </row>
    <row r="489" spans="2:40">
      <c r="B489" s="3811" t="s">
        <v>7528</v>
      </c>
      <c r="C489" s="3716"/>
      <c r="D489" s="3716"/>
      <c r="E489" s="3716"/>
      <c r="F489" s="3716"/>
      <c r="G489" s="3716"/>
      <c r="H489" s="3716"/>
      <c r="I489" s="3716"/>
      <c r="J489" s="3716"/>
      <c r="K489" s="3716"/>
      <c r="L489" s="3716"/>
      <c r="M489" s="346"/>
      <c r="N489" s="346"/>
      <c r="O489" s="346"/>
      <c r="P489" s="346"/>
      <c r="Q489" s="346"/>
      <c r="R489" s="346"/>
      <c r="S489" s="346"/>
      <c r="T489" s="346"/>
      <c r="U489" s="346"/>
      <c r="V489" s="590"/>
      <c r="W489" s="2165"/>
      <c r="X489" s="2165"/>
      <c r="Y489" s="357"/>
      <c r="Z489" s="357"/>
      <c r="AA489" s="357"/>
      <c r="AB489" s="590">
        <f>SUM(AB462:AB487)</f>
        <v>17899108573</v>
      </c>
      <c r="AC489" s="358"/>
      <c r="AD489" s="358"/>
      <c r="AE489" s="1289">
        <f>SUM(AE485:AE488)</f>
        <v>21721500</v>
      </c>
      <c r="AF489" s="1289">
        <f>SUM(AF482:AF488)</f>
        <v>49319800</v>
      </c>
      <c r="AG489" s="1289">
        <f>SUM(AG482:AG488)</f>
        <v>32400740.740740739</v>
      </c>
      <c r="AH489" s="241"/>
      <c r="AI489" s="241"/>
      <c r="AJ489" s="241"/>
      <c r="AK489" s="194"/>
      <c r="AL489" s="195"/>
      <c r="AM489" s="195"/>
      <c r="AN489" s="1136"/>
    </row>
    <row r="490" spans="2:40" ht="31.2">
      <c r="B490" s="253">
        <v>1</v>
      </c>
      <c r="C490" s="244"/>
      <c r="D490" s="3263" t="s">
        <v>7449</v>
      </c>
      <c r="E490" s="2149">
        <v>307921496210</v>
      </c>
      <c r="F490" s="645" t="s">
        <v>7449</v>
      </c>
      <c r="G490" s="391" t="s">
        <v>7658</v>
      </c>
      <c r="H490" s="230" t="s">
        <v>210</v>
      </c>
      <c r="I490" s="230"/>
      <c r="J490" s="230">
        <v>2</v>
      </c>
      <c r="K490" s="230"/>
      <c r="L490" s="228"/>
      <c r="M490" s="257"/>
      <c r="N490" s="228" t="s">
        <v>7622</v>
      </c>
      <c r="O490" s="254" t="s">
        <v>7649</v>
      </c>
      <c r="P490" s="1284" t="s">
        <v>7623</v>
      </c>
      <c r="Q490" s="2576" t="s">
        <v>7650</v>
      </c>
      <c r="R490" s="254" t="s">
        <v>4181</v>
      </c>
      <c r="S490" s="2552"/>
      <c r="T490" s="228"/>
      <c r="U490" s="2552"/>
      <c r="V490" s="256"/>
      <c r="W490" s="3276">
        <f>1280000*2</f>
        <v>2560000</v>
      </c>
      <c r="X490" s="3276">
        <v>2552000</v>
      </c>
      <c r="Y490" s="248"/>
      <c r="Z490" s="247"/>
      <c r="AA490" s="248"/>
      <c r="AB490" s="340">
        <f t="shared" si="165"/>
        <v>5112000</v>
      </c>
      <c r="AC490" s="347">
        <f t="shared" si="166"/>
        <v>0</v>
      </c>
      <c r="AD490" s="249"/>
      <c r="AE490" s="621">
        <f>+(I490*3899700+J490*(3899700+100000))*1.08+((I490+J490+K490)*150000)*1.08</f>
        <v>8963352</v>
      </c>
      <c r="AF490" s="342">
        <f t="shared" si="167"/>
        <v>14075352</v>
      </c>
      <c r="AG490" s="251">
        <f t="shared" si="168"/>
        <v>8299399.9999999991</v>
      </c>
      <c r="AH490" s="241"/>
      <c r="AI490" s="241"/>
      <c r="AJ490" s="241"/>
      <c r="AK490" s="194"/>
      <c r="AL490" s="195"/>
      <c r="AM490" s="195"/>
    </row>
    <row r="491" spans="2:40" ht="31.2">
      <c r="B491" s="253">
        <f t="shared" si="143"/>
        <v>2</v>
      </c>
      <c r="C491" s="244"/>
      <c r="D491" s="3266" t="s">
        <v>7758</v>
      </c>
      <c r="E491" s="2149">
        <v>307952384850</v>
      </c>
      <c r="F491" s="615">
        <v>46002</v>
      </c>
      <c r="G491" s="391" t="s">
        <v>7889</v>
      </c>
      <c r="H491" s="230" t="s">
        <v>210</v>
      </c>
      <c r="I491" s="230">
        <v>1</v>
      </c>
      <c r="J491" s="230"/>
      <c r="K491" s="230"/>
      <c r="L491" s="228"/>
      <c r="M491" s="257"/>
      <c r="N491" s="228" t="s">
        <v>7754</v>
      </c>
      <c r="O491" s="254" t="s">
        <v>7782</v>
      </c>
      <c r="P491" s="1284" t="s">
        <v>7755</v>
      </c>
      <c r="Q491" s="2578" t="s">
        <v>7343</v>
      </c>
      <c r="R491" s="254" t="s">
        <v>2966</v>
      </c>
      <c r="S491" s="2552"/>
      <c r="T491" s="228"/>
      <c r="U491" s="2552"/>
      <c r="V491" s="256"/>
      <c r="W491" s="3276">
        <v>900000</v>
      </c>
      <c r="X491" s="3276">
        <v>497000</v>
      </c>
      <c r="Y491" s="248"/>
      <c r="Z491" s="247"/>
      <c r="AA491" s="248"/>
      <c r="AB491" s="340">
        <f t="shared" si="165"/>
        <v>1397000</v>
      </c>
      <c r="AC491" s="347">
        <f t="shared" si="166"/>
        <v>0</v>
      </c>
      <c r="AD491" s="249"/>
      <c r="AE491" s="621">
        <f t="shared" ref="AE491" si="170">+(I491*3899700+J491*(3899700+100000))*1.08+((I491+J491+K491)*150000)*1.08</f>
        <v>4373676</v>
      </c>
      <c r="AF491" s="342">
        <f t="shared" ref="AF491:AF494" si="171">+AB491+AE491</f>
        <v>5770676</v>
      </c>
      <c r="AG491" s="251">
        <f t="shared" ref="AG491:AG496" si="172">+AE491/1.08</f>
        <v>4049699.9999999995</v>
      </c>
      <c r="AH491" s="241"/>
      <c r="AI491" s="241"/>
      <c r="AJ491" s="241"/>
      <c r="AK491" s="194"/>
      <c r="AL491" s="195"/>
      <c r="AM491" s="195"/>
    </row>
    <row r="492" spans="2:40" ht="31.2">
      <c r="B492" s="253">
        <f t="shared" si="143"/>
        <v>3</v>
      </c>
      <c r="C492" s="244"/>
      <c r="D492" s="3266" t="s">
        <v>7813</v>
      </c>
      <c r="E492" s="2149">
        <v>307966019560</v>
      </c>
      <c r="F492" s="3266" t="s">
        <v>7813</v>
      </c>
      <c r="G492" s="391" t="s">
        <v>7890</v>
      </c>
      <c r="H492" s="230" t="s">
        <v>210</v>
      </c>
      <c r="I492" s="230"/>
      <c r="J492" s="230">
        <v>1</v>
      </c>
      <c r="K492" s="230"/>
      <c r="L492" s="228"/>
      <c r="M492" s="257"/>
      <c r="N492" s="228">
        <v>5044537</v>
      </c>
      <c r="O492" s="254" t="s">
        <v>7831</v>
      </c>
      <c r="P492" s="1284" t="s">
        <v>7795</v>
      </c>
      <c r="Q492" s="2578" t="s">
        <v>6255</v>
      </c>
      <c r="R492" s="254" t="s">
        <v>7794</v>
      </c>
      <c r="S492" s="2552"/>
      <c r="T492" s="228"/>
      <c r="U492" s="2552"/>
      <c r="V492" s="256"/>
      <c r="W492" s="3276">
        <v>500000</v>
      </c>
      <c r="X492" s="248"/>
      <c r="Y492" s="248"/>
      <c r="Z492" s="247"/>
      <c r="AA492" s="248"/>
      <c r="AB492" s="340">
        <f t="shared" si="165"/>
        <v>500000</v>
      </c>
      <c r="AC492" s="347">
        <f t="shared" si="166"/>
        <v>0</v>
      </c>
      <c r="AD492" s="249"/>
      <c r="AE492" s="621">
        <f>+(I492*3899700+J492*(3899700+100000))*1.08+((I492+J492+K492)*150000)*1.08+(1500000*1.08)</f>
        <v>6101676</v>
      </c>
      <c r="AF492" s="342">
        <f t="shared" si="171"/>
        <v>6601676</v>
      </c>
      <c r="AG492" s="251">
        <f t="shared" si="172"/>
        <v>5649700</v>
      </c>
      <c r="AH492" s="241"/>
      <c r="AI492" s="241"/>
      <c r="AJ492" s="241"/>
      <c r="AK492" s="194"/>
      <c r="AL492" s="195"/>
      <c r="AM492" s="195"/>
    </row>
    <row r="493" spans="2:40">
      <c r="B493" s="3811" t="s">
        <v>7960</v>
      </c>
      <c r="C493" s="3716"/>
      <c r="D493" s="3716"/>
      <c r="E493" s="3716"/>
      <c r="F493" s="3716"/>
      <c r="G493" s="3716"/>
      <c r="H493" s="3716"/>
      <c r="I493" s="3716"/>
      <c r="J493" s="3716"/>
      <c r="K493" s="3716"/>
      <c r="L493" s="3716"/>
      <c r="M493" s="346"/>
      <c r="N493" s="346"/>
      <c r="O493" s="346"/>
      <c r="P493" s="346"/>
      <c r="Q493" s="346"/>
      <c r="R493" s="346"/>
      <c r="S493" s="346"/>
      <c r="T493" s="346"/>
      <c r="U493" s="346"/>
      <c r="V493" s="590"/>
      <c r="W493" s="2165"/>
      <c r="X493" s="2165"/>
      <c r="Y493" s="357"/>
      <c r="Z493" s="357"/>
      <c r="AA493" s="357"/>
      <c r="AB493" s="590">
        <f>SUM(AB466:AB491)</f>
        <v>35796142146</v>
      </c>
      <c r="AC493" s="358"/>
      <c r="AD493" s="358"/>
      <c r="AE493" s="1289">
        <f>SUM(AE489:AE492)</f>
        <v>41160204</v>
      </c>
      <c r="AF493" s="1289">
        <f>SUM(AF486:AF492)</f>
        <v>100988904</v>
      </c>
      <c r="AG493" s="1289">
        <f>SUM(AG486:AG492)</f>
        <v>66529540.740740739</v>
      </c>
      <c r="AH493" s="241"/>
      <c r="AI493" s="241"/>
      <c r="AJ493" s="241"/>
      <c r="AK493" s="194"/>
      <c r="AL493" s="195"/>
      <c r="AM493" s="195"/>
      <c r="AN493" s="1136"/>
    </row>
    <row r="494" spans="2:40" ht="31.2">
      <c r="B494" s="253">
        <v>1</v>
      </c>
      <c r="C494" s="244"/>
      <c r="D494" s="3266" t="s">
        <v>7955</v>
      </c>
      <c r="E494" s="2149">
        <v>308005650100</v>
      </c>
      <c r="F494" s="3266" t="s">
        <v>7955</v>
      </c>
      <c r="G494" s="391" t="s">
        <v>8075</v>
      </c>
      <c r="H494" s="230" t="s">
        <v>210</v>
      </c>
      <c r="I494" s="230"/>
      <c r="J494" s="230">
        <v>1</v>
      </c>
      <c r="K494" s="230"/>
      <c r="L494" s="228"/>
      <c r="M494" s="257"/>
      <c r="N494" s="228" t="s">
        <v>7903</v>
      </c>
      <c r="O494" s="228" t="s">
        <v>8015</v>
      </c>
      <c r="P494" s="1284" t="s">
        <v>7984</v>
      </c>
      <c r="Q494" s="2578" t="s">
        <v>6056</v>
      </c>
      <c r="R494" s="254" t="s">
        <v>2966</v>
      </c>
      <c r="S494" s="2552"/>
      <c r="T494" s="228"/>
      <c r="U494" s="2552"/>
      <c r="V494" s="256"/>
      <c r="W494" s="3276">
        <v>2250000</v>
      </c>
      <c r="X494" s="3276">
        <v>1031000</v>
      </c>
      <c r="Y494" s="248"/>
      <c r="Z494" s="247"/>
      <c r="AA494" s="248"/>
      <c r="AB494" s="340">
        <f t="shared" si="165"/>
        <v>3281000</v>
      </c>
      <c r="AC494" s="347">
        <f t="shared" si="166"/>
        <v>0</v>
      </c>
      <c r="AD494" s="1691" t="s">
        <v>8074</v>
      </c>
      <c r="AE494" s="621">
        <f>+(I494*3832500+J494*(3832500+100000))*1.08+((I494+J494+K494)*150000)*1.08+(500000*1.08)</f>
        <v>4949100</v>
      </c>
      <c r="AF494" s="342">
        <f t="shared" si="171"/>
        <v>8230100</v>
      </c>
      <c r="AG494" s="251">
        <f t="shared" si="172"/>
        <v>4582500</v>
      </c>
      <c r="AH494" s="241"/>
      <c r="AI494" s="241"/>
      <c r="AJ494" s="241"/>
      <c r="AK494" s="194"/>
      <c r="AL494" s="195"/>
      <c r="AM494" s="195"/>
    </row>
    <row r="495" spans="2:40" ht="31.2">
      <c r="B495" s="253">
        <f t="shared" si="143"/>
        <v>2</v>
      </c>
      <c r="C495" s="244"/>
      <c r="D495" s="3266" t="s">
        <v>7955</v>
      </c>
      <c r="E495" s="2149">
        <v>308005547050</v>
      </c>
      <c r="F495" s="3266" t="s">
        <v>7955</v>
      </c>
      <c r="G495" s="391" t="s">
        <v>8076</v>
      </c>
      <c r="H495" s="230" t="s">
        <v>210</v>
      </c>
      <c r="I495" s="230"/>
      <c r="J495" s="230">
        <v>1</v>
      </c>
      <c r="K495" s="230"/>
      <c r="L495" s="228"/>
      <c r="M495" s="257"/>
      <c r="N495" s="228">
        <v>28630696</v>
      </c>
      <c r="O495" s="228" t="s">
        <v>8016</v>
      </c>
      <c r="P495" s="1284" t="s">
        <v>7982</v>
      </c>
      <c r="Q495" s="2578" t="s">
        <v>8051</v>
      </c>
      <c r="R495" s="254" t="s">
        <v>287</v>
      </c>
      <c r="S495" s="2552"/>
      <c r="T495" s="228"/>
      <c r="U495" s="2552"/>
      <c r="V495" s="256"/>
      <c r="W495" s="3276">
        <v>1500000</v>
      </c>
      <c r="X495" s="3276">
        <v>882000</v>
      </c>
      <c r="Y495" s="248"/>
      <c r="Z495" s="247"/>
      <c r="AA495" s="248"/>
      <c r="AB495" s="340">
        <f t="shared" ref="AB495:AB498" si="173">V495+W495+X495+Y495+Z495+AA495</f>
        <v>2382000</v>
      </c>
      <c r="AC495" s="347">
        <f t="shared" ref="AC495:AC498" si="174">+Z495</f>
        <v>0</v>
      </c>
      <c r="AD495" s="249"/>
      <c r="AE495" s="621">
        <f t="shared" ref="AE495:AE500" si="175">+(I495*3832500+J495*(3832500+100000))*1.08+((I495+J495+K495)*150000)*1.08</f>
        <v>4409100</v>
      </c>
      <c r="AF495" s="342">
        <f t="shared" ref="AF495:AF496" si="176">+AB495+AE495</f>
        <v>6791100</v>
      </c>
      <c r="AG495" s="251">
        <f t="shared" si="172"/>
        <v>4082499.9999999995</v>
      </c>
      <c r="AH495" s="241"/>
      <c r="AI495" s="241"/>
      <c r="AJ495" s="241"/>
      <c r="AK495" s="194"/>
      <c r="AL495" s="195"/>
      <c r="AM495" s="195"/>
    </row>
    <row r="496" spans="2:40" ht="31.2">
      <c r="B496" s="253">
        <f t="shared" si="143"/>
        <v>3</v>
      </c>
      <c r="C496" s="244"/>
      <c r="D496" s="3266" t="s">
        <v>7955</v>
      </c>
      <c r="E496" s="2149">
        <v>308006086900</v>
      </c>
      <c r="F496" s="3266" t="s">
        <v>7955</v>
      </c>
      <c r="G496" s="391" t="s">
        <v>8077</v>
      </c>
      <c r="H496" s="230" t="s">
        <v>210</v>
      </c>
      <c r="I496" s="230"/>
      <c r="J496" s="230">
        <v>1</v>
      </c>
      <c r="K496" s="230"/>
      <c r="L496" s="228"/>
      <c r="M496" s="257"/>
      <c r="N496" s="228" t="s">
        <v>7981</v>
      </c>
      <c r="O496" s="228" t="s">
        <v>8017</v>
      </c>
      <c r="P496" s="1284" t="s">
        <v>7983</v>
      </c>
      <c r="Q496" s="2578" t="s">
        <v>6255</v>
      </c>
      <c r="R496" s="254" t="s">
        <v>7991</v>
      </c>
      <c r="S496" s="2552"/>
      <c r="T496" s="228"/>
      <c r="U496" s="2552"/>
      <c r="V496" s="256"/>
      <c r="W496" s="3276">
        <v>1500000</v>
      </c>
      <c r="X496" s="3276">
        <v>1250000</v>
      </c>
      <c r="Y496" s="248"/>
      <c r="Z496" s="247"/>
      <c r="AA496" s="248"/>
      <c r="AB496" s="340">
        <f t="shared" si="173"/>
        <v>2750000</v>
      </c>
      <c r="AC496" s="347">
        <f t="shared" si="174"/>
        <v>0</v>
      </c>
      <c r="AD496" s="249"/>
      <c r="AE496" s="621">
        <f t="shared" si="175"/>
        <v>4409100</v>
      </c>
      <c r="AF496" s="342">
        <f t="shared" si="176"/>
        <v>7159100</v>
      </c>
      <c r="AG496" s="251">
        <f t="shared" si="172"/>
        <v>4082499.9999999995</v>
      </c>
      <c r="AH496" s="241"/>
      <c r="AI496" s="241"/>
      <c r="AJ496" s="241"/>
      <c r="AK496" s="194"/>
      <c r="AL496" s="195"/>
      <c r="AM496" s="195"/>
    </row>
    <row r="497" spans="2:39" ht="31.2">
      <c r="B497" s="253">
        <f t="shared" si="143"/>
        <v>4</v>
      </c>
      <c r="C497" s="244"/>
      <c r="D497" s="3266" t="s">
        <v>7985</v>
      </c>
      <c r="E497" s="2149">
        <v>308015086430</v>
      </c>
      <c r="F497" s="3266" t="s">
        <v>7985</v>
      </c>
      <c r="G497" s="391" t="s">
        <v>8086</v>
      </c>
      <c r="H497" s="230" t="s">
        <v>210</v>
      </c>
      <c r="I497" s="230">
        <v>1</v>
      </c>
      <c r="J497" s="230"/>
      <c r="K497" s="230"/>
      <c r="L497" s="228"/>
      <c r="M497" s="257"/>
      <c r="N497" s="228" t="s">
        <v>8030</v>
      </c>
      <c r="O497" s="228" t="s">
        <v>8056</v>
      </c>
      <c r="P497" s="1610" t="s">
        <v>8055</v>
      </c>
      <c r="Q497" s="2578" t="s">
        <v>6056</v>
      </c>
      <c r="R497" s="254" t="s">
        <v>8032</v>
      </c>
      <c r="S497" s="2552"/>
      <c r="T497" s="228"/>
      <c r="U497" s="2552"/>
      <c r="V497" s="256"/>
      <c r="W497" s="324">
        <v>1000000</v>
      </c>
      <c r="X497" s="3276">
        <v>781000</v>
      </c>
      <c r="Y497" s="248"/>
      <c r="Z497" s="247"/>
      <c r="AA497" s="248"/>
      <c r="AB497" s="340">
        <f t="shared" si="173"/>
        <v>1781000</v>
      </c>
      <c r="AC497" s="347">
        <f t="shared" si="174"/>
        <v>0</v>
      </c>
      <c r="AD497" s="249"/>
      <c r="AE497" s="621">
        <f t="shared" si="175"/>
        <v>4301100</v>
      </c>
      <c r="AF497" s="342">
        <f t="shared" ref="AF497:AF500" si="177">+AB497+AE497</f>
        <v>6082100</v>
      </c>
      <c r="AG497" s="251">
        <f t="shared" ref="AG497:AG500" si="178">+AE497/1.08</f>
        <v>3982499.9999999995</v>
      </c>
      <c r="AH497" s="241"/>
      <c r="AI497" s="241"/>
      <c r="AJ497" s="241"/>
      <c r="AK497" s="194"/>
      <c r="AL497" s="195"/>
      <c r="AM497" s="195"/>
    </row>
    <row r="498" spans="2:39">
      <c r="B498" s="253">
        <f t="shared" si="143"/>
        <v>5</v>
      </c>
      <c r="C498" s="244"/>
      <c r="D498" s="3266" t="s">
        <v>7985</v>
      </c>
      <c r="E498" s="2149">
        <v>308015047230</v>
      </c>
      <c r="F498" s="3266" t="s">
        <v>7985</v>
      </c>
      <c r="G498" s="391" t="s">
        <v>8087</v>
      </c>
      <c r="H498" s="230" t="s">
        <v>210</v>
      </c>
      <c r="I498" s="230">
        <v>1</v>
      </c>
      <c r="J498" s="230"/>
      <c r="K498" s="230"/>
      <c r="L498" s="228"/>
      <c r="M498" s="257"/>
      <c r="N498" s="228" t="s">
        <v>8031</v>
      </c>
      <c r="O498" s="228" t="s">
        <v>8057</v>
      </c>
      <c r="P498" s="1610" t="s">
        <v>8065</v>
      </c>
      <c r="Q498" s="2578" t="s">
        <v>5944</v>
      </c>
      <c r="R498" s="254" t="s">
        <v>2966</v>
      </c>
      <c r="S498" s="2552"/>
      <c r="T498" s="228"/>
      <c r="U498" s="2552"/>
      <c r="V498" s="256"/>
      <c r="W498" s="324">
        <v>1000000</v>
      </c>
      <c r="X498" s="3276">
        <v>497000</v>
      </c>
      <c r="Y498" s="248"/>
      <c r="Z498" s="247"/>
      <c r="AA498" s="248"/>
      <c r="AB498" s="340">
        <f t="shared" si="173"/>
        <v>1497000</v>
      </c>
      <c r="AC498" s="347">
        <f t="shared" si="174"/>
        <v>0</v>
      </c>
      <c r="AD498" s="249"/>
      <c r="AE498" s="621">
        <f t="shared" si="175"/>
        <v>4301100</v>
      </c>
      <c r="AF498" s="342">
        <f t="shared" si="177"/>
        <v>5798100</v>
      </c>
      <c r="AG498" s="251">
        <f t="shared" si="178"/>
        <v>3982499.9999999995</v>
      </c>
      <c r="AH498" s="241"/>
      <c r="AI498" s="241"/>
      <c r="AJ498" s="241"/>
      <c r="AK498" s="194"/>
      <c r="AL498" s="195"/>
      <c r="AM498" s="195"/>
    </row>
    <row r="499" spans="2:39" ht="46.8">
      <c r="B499" s="253">
        <f t="shared" si="143"/>
        <v>6</v>
      </c>
      <c r="C499" s="244"/>
      <c r="D499" s="1034" t="s">
        <v>8113</v>
      </c>
      <c r="E499" s="2149">
        <v>308036500500</v>
      </c>
      <c r="F499" s="645" t="s">
        <v>8113</v>
      </c>
      <c r="G499" s="391" t="s">
        <v>8210</v>
      </c>
      <c r="H499" s="230" t="s">
        <v>210</v>
      </c>
      <c r="I499" s="230">
        <v>1</v>
      </c>
      <c r="J499" s="230"/>
      <c r="K499" s="230"/>
      <c r="L499" s="228"/>
      <c r="M499" s="257"/>
      <c r="N499" s="254" t="s">
        <v>8115</v>
      </c>
      <c r="O499" s="228" t="s">
        <v>8141</v>
      </c>
      <c r="P499" s="1284" t="s">
        <v>8116</v>
      </c>
      <c r="Q499" s="2578" t="s">
        <v>5942</v>
      </c>
      <c r="R499" s="254" t="s">
        <v>2966</v>
      </c>
      <c r="S499" s="2570"/>
      <c r="T499" s="228"/>
      <c r="U499" s="2552"/>
      <c r="V499" s="256"/>
      <c r="W499" s="324">
        <v>1080000</v>
      </c>
      <c r="X499" s="3276">
        <v>497000</v>
      </c>
      <c r="Y499" s="248"/>
      <c r="Z499" s="247"/>
      <c r="AA499" s="248"/>
      <c r="AB499" s="340">
        <f t="shared" ref="AB499:AB500" si="179">V499+W499+X499+Y499+Z499+AA499</f>
        <v>1577000</v>
      </c>
      <c r="AC499" s="347">
        <f t="shared" ref="AC499:AC500" si="180">+Z499</f>
        <v>0</v>
      </c>
      <c r="AD499" s="249"/>
      <c r="AE499" s="621">
        <f t="shared" si="175"/>
        <v>4301100</v>
      </c>
      <c r="AF499" s="342">
        <f t="shared" si="177"/>
        <v>5878100</v>
      </c>
      <c r="AG499" s="251">
        <f t="shared" si="178"/>
        <v>3982499.9999999995</v>
      </c>
      <c r="AH499" s="241"/>
      <c r="AI499" s="241"/>
      <c r="AJ499" s="241"/>
      <c r="AK499" s="194"/>
      <c r="AL499" s="195"/>
      <c r="AM499" s="195"/>
    </row>
    <row r="500" spans="2:39" ht="31.2">
      <c r="B500" s="253">
        <f t="shared" si="143"/>
        <v>7</v>
      </c>
      <c r="C500" s="244"/>
      <c r="D500" s="1034" t="s">
        <v>8113</v>
      </c>
      <c r="E500" s="2149">
        <v>308034390220</v>
      </c>
      <c r="F500" s="645" t="s">
        <v>8113</v>
      </c>
      <c r="G500" s="391" t="s">
        <v>8211</v>
      </c>
      <c r="H500" s="230" t="s">
        <v>210</v>
      </c>
      <c r="I500" s="230">
        <v>1</v>
      </c>
      <c r="J500" s="230"/>
      <c r="K500" s="230"/>
      <c r="L500" s="228"/>
      <c r="M500" s="257"/>
      <c r="N500" s="228" t="s">
        <v>8121</v>
      </c>
      <c r="O500" s="228" t="s">
        <v>8136</v>
      </c>
      <c r="P500" s="1284" t="s">
        <v>8122</v>
      </c>
      <c r="Q500" s="2578" t="s">
        <v>7176</v>
      </c>
      <c r="R500" s="254" t="s">
        <v>2966</v>
      </c>
      <c r="S500" s="2570"/>
      <c r="T500" s="228"/>
      <c r="U500" s="2552"/>
      <c r="V500" s="256"/>
      <c r="W500" s="324">
        <v>1000000</v>
      </c>
      <c r="X500" s="3276">
        <v>497000</v>
      </c>
      <c r="Y500" s="248"/>
      <c r="Z500" s="247"/>
      <c r="AA500" s="248"/>
      <c r="AB500" s="340">
        <f t="shared" si="179"/>
        <v>1497000</v>
      </c>
      <c r="AC500" s="347">
        <f t="shared" si="180"/>
        <v>0</v>
      </c>
      <c r="AD500" s="249"/>
      <c r="AE500" s="621">
        <f t="shared" si="175"/>
        <v>4301100</v>
      </c>
      <c r="AF500" s="342">
        <f t="shared" si="177"/>
        <v>5798100</v>
      </c>
      <c r="AG500" s="251">
        <f t="shared" si="178"/>
        <v>3982499.9999999995</v>
      </c>
      <c r="AH500" s="241"/>
      <c r="AI500" s="241"/>
      <c r="AJ500" s="241"/>
      <c r="AK500" s="194"/>
      <c r="AL500" s="195"/>
      <c r="AM500" s="195"/>
    </row>
    <row r="501" spans="2:39" ht="16.2">
      <c r="B501" s="253">
        <f t="shared" si="143"/>
        <v>8</v>
      </c>
      <c r="C501" s="244"/>
      <c r="D501" s="661"/>
      <c r="E501" s="466"/>
      <c r="F501" s="3461"/>
      <c r="G501" s="3461"/>
      <c r="H501" s="3461"/>
      <c r="I501" s="3461"/>
      <c r="J501" s="3461"/>
      <c r="K501" s="3461"/>
      <c r="L501" s="228"/>
      <c r="M501" s="257"/>
      <c r="N501" s="228"/>
      <c r="O501" s="228"/>
      <c r="P501" s="258"/>
      <c r="Q501" s="2577"/>
      <c r="R501" s="2577"/>
      <c r="S501" s="2570"/>
      <c r="T501" s="228"/>
      <c r="U501" s="2552"/>
      <c r="V501" s="256"/>
      <c r="W501" s="248"/>
      <c r="X501" s="3661"/>
      <c r="Y501" s="248"/>
      <c r="Z501" s="247"/>
      <c r="AA501" s="248"/>
      <c r="AB501" s="248"/>
      <c r="AC501" s="194"/>
      <c r="AD501" s="249"/>
      <c r="AE501" s="250"/>
      <c r="AF501" s="546"/>
      <c r="AG501" s="546"/>
      <c r="AH501" s="241"/>
      <c r="AI501" s="241"/>
      <c r="AJ501" s="241"/>
      <c r="AK501" s="194"/>
      <c r="AL501" s="195"/>
      <c r="AM501" s="195"/>
    </row>
    <row r="502" spans="2:39">
      <c r="B502" s="253">
        <f t="shared" si="143"/>
        <v>9</v>
      </c>
      <c r="C502" s="244"/>
      <c r="D502" s="661"/>
      <c r="E502" s="466"/>
      <c r="F502" s="615"/>
      <c r="G502" s="230"/>
      <c r="H502" s="230"/>
      <c r="I502" s="230"/>
      <c r="J502" s="230"/>
      <c r="K502" s="230"/>
      <c r="L502" s="228"/>
      <c r="M502" s="257"/>
      <c r="N502" s="228"/>
      <c r="O502" s="228"/>
      <c r="P502" s="258"/>
      <c r="Q502" s="2577"/>
      <c r="R502" s="2577"/>
      <c r="S502" s="254"/>
      <c r="T502" s="228"/>
      <c r="U502" s="2552"/>
      <c r="V502" s="256"/>
      <c r="W502" s="248"/>
      <c r="X502" s="248"/>
      <c r="Y502" s="248"/>
      <c r="Z502" s="247"/>
      <c r="AB502" s="248"/>
      <c r="AC502" s="194"/>
      <c r="AD502" s="249"/>
      <c r="AE502" s="250"/>
      <c r="AF502" s="251"/>
      <c r="AG502" s="252"/>
      <c r="AH502" s="241"/>
      <c r="AI502" s="241"/>
      <c r="AJ502" s="241"/>
      <c r="AK502" s="194"/>
      <c r="AL502" s="195"/>
      <c r="AM502" s="195"/>
    </row>
    <row r="503" spans="2:39">
      <c r="B503" s="253">
        <f t="shared" si="143"/>
        <v>10</v>
      </c>
      <c r="C503" s="244"/>
      <c r="D503" s="661"/>
      <c r="E503" s="466"/>
      <c r="F503" s="615"/>
      <c r="G503" s="230"/>
      <c r="H503" s="230"/>
      <c r="I503" s="230"/>
      <c r="J503" s="230"/>
      <c r="K503" s="230"/>
      <c r="L503" s="228"/>
      <c r="M503" s="257"/>
      <c r="N503" s="228"/>
      <c r="O503" s="228"/>
      <c r="P503" s="258"/>
      <c r="Q503" s="2577"/>
      <c r="R503" s="2577"/>
      <c r="S503" s="254"/>
      <c r="T503" s="228"/>
      <c r="U503" s="2552"/>
      <c r="V503" s="256"/>
      <c r="W503" s="248"/>
      <c r="X503" s="248"/>
      <c r="Y503" s="248"/>
      <c r="Z503" s="247"/>
      <c r="AA503" s="248"/>
      <c r="AB503" s="248"/>
      <c r="AC503" s="194"/>
      <c r="AD503" s="249"/>
      <c r="AE503" s="250"/>
      <c r="AF503" s="251"/>
      <c r="AG503" s="252"/>
      <c r="AH503" s="241"/>
      <c r="AI503" s="241"/>
      <c r="AJ503" s="241"/>
      <c r="AK503" s="194"/>
      <c r="AL503" s="195"/>
      <c r="AM503" s="195"/>
    </row>
    <row r="504" spans="2:39">
      <c r="B504" s="253">
        <f t="shared" si="143"/>
        <v>11</v>
      </c>
      <c r="C504" s="244"/>
      <c r="D504" s="661"/>
      <c r="E504" s="466"/>
      <c r="F504" s="615"/>
      <c r="G504" s="230"/>
      <c r="H504" s="230"/>
      <c r="I504" s="230"/>
      <c r="J504" s="230"/>
      <c r="K504" s="230"/>
      <c r="L504" s="228"/>
      <c r="M504" s="257"/>
      <c r="N504" s="228"/>
      <c r="O504" s="228"/>
      <c r="P504" s="258"/>
      <c r="Q504" s="2577"/>
      <c r="R504" s="2577"/>
      <c r="S504" s="254"/>
      <c r="T504" s="228"/>
      <c r="U504" s="2552"/>
      <c r="V504" s="256"/>
      <c r="W504" s="248"/>
      <c r="X504" s="248"/>
      <c r="Y504" s="248"/>
      <c r="Z504" s="247"/>
      <c r="AA504" s="248"/>
      <c r="AB504" s="248"/>
      <c r="AC504" s="194"/>
      <c r="AD504" s="249"/>
      <c r="AE504" s="250"/>
      <c r="AF504" s="251"/>
      <c r="AG504" s="252"/>
      <c r="AH504" s="241"/>
      <c r="AI504" s="241"/>
      <c r="AJ504" s="241"/>
      <c r="AK504" s="194"/>
      <c r="AL504" s="195"/>
      <c r="AM504" s="195"/>
    </row>
    <row r="505" spans="2:39">
      <c r="B505" s="253">
        <f t="shared" si="143"/>
        <v>12</v>
      </c>
      <c r="C505" s="244"/>
      <c r="D505" s="661"/>
      <c r="E505" s="466"/>
      <c r="F505" s="615"/>
      <c r="G505" s="230"/>
      <c r="H505" s="230"/>
      <c r="I505" s="230"/>
      <c r="J505" s="230"/>
      <c r="K505" s="230"/>
      <c r="L505" s="228"/>
      <c r="M505" s="257"/>
      <c r="N505" s="228"/>
      <c r="O505" s="228"/>
      <c r="P505" s="258"/>
      <c r="Q505" s="2577"/>
      <c r="R505" s="2577"/>
      <c r="S505" s="254"/>
      <c r="T505" s="228"/>
      <c r="U505" s="2552"/>
      <c r="V505" s="256"/>
      <c r="W505" s="248"/>
      <c r="X505" s="248"/>
      <c r="Y505" s="248"/>
      <c r="Z505" s="247"/>
      <c r="AA505" s="248"/>
      <c r="AB505" s="248"/>
      <c r="AC505" s="194"/>
      <c r="AD505" s="249"/>
      <c r="AE505" s="250"/>
      <c r="AF505" s="251"/>
      <c r="AG505" s="252"/>
      <c r="AH505" s="241"/>
      <c r="AI505" s="241"/>
      <c r="AJ505" s="241"/>
      <c r="AK505" s="194"/>
      <c r="AL505" s="195"/>
      <c r="AM505" s="195"/>
    </row>
    <row r="506" spans="2:39">
      <c r="B506" s="253">
        <f t="shared" si="143"/>
        <v>13</v>
      </c>
      <c r="C506" s="244"/>
      <c r="D506" s="661"/>
      <c r="E506" s="466"/>
      <c r="F506" s="615"/>
      <c r="G506" s="230"/>
      <c r="H506" s="230"/>
      <c r="I506" s="230"/>
      <c r="J506" s="230"/>
      <c r="K506" s="230"/>
      <c r="L506" s="228"/>
      <c r="M506" s="257"/>
      <c r="N506" s="228"/>
      <c r="O506" s="228"/>
      <c r="P506" s="258"/>
      <c r="Q506" s="2577"/>
      <c r="R506" s="2577"/>
      <c r="S506" s="254"/>
      <c r="T506" s="228"/>
      <c r="U506" s="2552"/>
      <c r="V506" s="256"/>
      <c r="W506" s="248"/>
      <c r="X506" s="248"/>
      <c r="Y506" s="248"/>
      <c r="Z506" s="247"/>
      <c r="AA506" s="248"/>
      <c r="AB506" s="248"/>
      <c r="AC506" s="194"/>
      <c r="AD506" s="249"/>
      <c r="AE506" s="250"/>
      <c r="AF506" s="251"/>
      <c r="AG506" s="252"/>
      <c r="AH506" s="241"/>
      <c r="AI506" s="241"/>
      <c r="AJ506" s="241"/>
      <c r="AK506" s="194"/>
      <c r="AL506" s="195"/>
      <c r="AM506" s="195"/>
    </row>
    <row r="507" spans="2:39">
      <c r="B507" s="253">
        <f t="shared" si="143"/>
        <v>14</v>
      </c>
      <c r="C507" s="244"/>
      <c r="D507" s="661"/>
      <c r="E507" s="466"/>
      <c r="F507" s="615"/>
      <c r="G507" s="230"/>
      <c r="H507" s="230"/>
      <c r="I507" s="230"/>
      <c r="J507" s="230"/>
      <c r="K507" s="230"/>
      <c r="L507" s="228"/>
      <c r="M507" s="257"/>
      <c r="N507" s="228"/>
      <c r="O507" s="228"/>
      <c r="P507" s="258"/>
      <c r="Q507" s="2577"/>
      <c r="R507" s="2577"/>
      <c r="S507" s="254"/>
      <c r="T507" s="228"/>
      <c r="U507" s="2552"/>
      <c r="V507" s="256"/>
      <c r="W507" s="248"/>
      <c r="X507" s="248"/>
      <c r="Y507" s="248"/>
      <c r="Z507" s="247"/>
      <c r="AA507" s="248"/>
      <c r="AB507" s="248"/>
      <c r="AC507" s="194"/>
      <c r="AD507" s="249"/>
      <c r="AE507" s="250"/>
      <c r="AF507" s="251"/>
      <c r="AG507" s="252"/>
      <c r="AH507" s="241"/>
      <c r="AI507" s="241"/>
      <c r="AJ507" s="241"/>
      <c r="AK507" s="194"/>
      <c r="AL507" s="195"/>
      <c r="AM507" s="195"/>
    </row>
    <row r="508" spans="2:39">
      <c r="B508" s="253">
        <f t="shared" si="143"/>
        <v>15</v>
      </c>
      <c r="C508" s="244"/>
      <c r="D508" s="661"/>
      <c r="E508" s="466"/>
      <c r="F508" s="615"/>
      <c r="G508" s="230"/>
      <c r="H508" s="230"/>
      <c r="I508" s="230"/>
      <c r="J508" s="230"/>
      <c r="K508" s="230"/>
      <c r="L508" s="228"/>
      <c r="M508" s="257"/>
      <c r="N508" s="228"/>
      <c r="O508" s="228"/>
      <c r="P508" s="258"/>
      <c r="Q508" s="2577"/>
      <c r="R508" s="2577"/>
      <c r="S508" s="254"/>
      <c r="T508" s="228"/>
      <c r="U508" s="2552"/>
      <c r="V508" s="256"/>
      <c r="W508" s="248"/>
      <c r="X508" s="248"/>
      <c r="Y508" s="248"/>
      <c r="Z508" s="247"/>
      <c r="AA508" s="248"/>
      <c r="AB508" s="248"/>
      <c r="AC508" s="194"/>
      <c r="AD508" s="249"/>
      <c r="AE508" s="250"/>
      <c r="AF508" s="251"/>
      <c r="AG508" s="252"/>
      <c r="AH508" s="241"/>
      <c r="AI508" s="241"/>
      <c r="AJ508" s="241"/>
      <c r="AK508" s="194"/>
      <c r="AL508" s="195"/>
      <c r="AM508" s="195"/>
    </row>
    <row r="509" spans="2:39">
      <c r="B509" s="253">
        <f t="shared" si="143"/>
        <v>16</v>
      </c>
      <c r="C509" s="244"/>
      <c r="D509" s="661"/>
      <c r="E509" s="466"/>
      <c r="F509" s="615"/>
      <c r="G509" s="230"/>
      <c r="H509" s="230"/>
      <c r="I509" s="230"/>
      <c r="J509" s="230"/>
      <c r="K509" s="230"/>
      <c r="L509" s="228"/>
      <c r="M509" s="257"/>
      <c r="N509" s="228"/>
      <c r="O509" s="228"/>
      <c r="P509" s="258"/>
      <c r="Q509" s="2577"/>
      <c r="R509" s="2577"/>
      <c r="S509" s="254"/>
      <c r="T509" s="228"/>
      <c r="U509" s="2552"/>
      <c r="V509" s="256"/>
      <c r="W509" s="248"/>
      <c r="X509" s="248"/>
      <c r="Y509" s="248"/>
      <c r="Z509" s="247"/>
      <c r="AA509" s="248"/>
      <c r="AB509" s="248"/>
      <c r="AC509" s="194"/>
      <c r="AD509" s="249"/>
      <c r="AE509" s="250"/>
      <c r="AF509" s="251"/>
      <c r="AG509" s="252"/>
      <c r="AH509" s="241"/>
      <c r="AI509" s="241"/>
      <c r="AJ509" s="241"/>
      <c r="AK509" s="194"/>
      <c r="AL509" s="195"/>
      <c r="AM509" s="195"/>
    </row>
    <row r="510" spans="2:39">
      <c r="B510" s="253">
        <f t="shared" si="143"/>
        <v>17</v>
      </c>
      <c r="C510" s="244"/>
      <c r="D510" s="661"/>
      <c r="E510" s="466"/>
      <c r="F510" s="615"/>
      <c r="G510" s="230"/>
      <c r="H510" s="230"/>
      <c r="I510" s="230"/>
      <c r="J510" s="230"/>
      <c r="K510" s="230"/>
      <c r="L510" s="228"/>
      <c r="M510" s="257"/>
      <c r="N510" s="228"/>
      <c r="O510" s="228"/>
      <c r="P510" s="258"/>
      <c r="Q510" s="2577"/>
      <c r="R510" s="2577"/>
      <c r="S510" s="254"/>
      <c r="T510" s="228"/>
      <c r="U510" s="2552"/>
      <c r="V510" s="256"/>
      <c r="W510" s="248"/>
      <c r="X510" s="248"/>
      <c r="Y510" s="248"/>
      <c r="Z510" s="247"/>
      <c r="AA510" s="248"/>
      <c r="AB510" s="248"/>
      <c r="AC510" s="194"/>
      <c r="AD510" s="249"/>
      <c r="AE510" s="250"/>
      <c r="AF510" s="251"/>
      <c r="AG510" s="252"/>
      <c r="AH510" s="241"/>
      <c r="AI510" s="241"/>
      <c r="AJ510" s="241"/>
      <c r="AK510" s="194"/>
      <c r="AL510" s="195"/>
      <c r="AM510" s="195"/>
    </row>
    <row r="511" spans="2:39">
      <c r="B511" s="253">
        <f t="shared" si="143"/>
        <v>18</v>
      </c>
      <c r="C511" s="244"/>
      <c r="D511" s="661"/>
      <c r="E511" s="466"/>
      <c r="F511" s="615"/>
      <c r="G511" s="230"/>
      <c r="H511" s="230"/>
      <c r="I511" s="230"/>
      <c r="J511" s="230"/>
      <c r="K511" s="230"/>
      <c r="L511" s="228"/>
      <c r="M511" s="257"/>
      <c r="N511" s="228"/>
      <c r="O511" s="228"/>
      <c r="P511" s="258"/>
      <c r="Q511" s="2577"/>
      <c r="R511" s="2577"/>
      <c r="S511" s="254"/>
      <c r="T511" s="228"/>
      <c r="U511" s="2552"/>
      <c r="V511" s="256"/>
      <c r="W511" s="248"/>
      <c r="X511" s="248"/>
      <c r="Y511" s="248"/>
      <c r="Z511" s="247"/>
      <c r="AA511" s="248"/>
      <c r="AB511" s="248"/>
      <c r="AC511" s="194"/>
      <c r="AD511" s="249"/>
      <c r="AE511" s="250"/>
      <c r="AF511" s="251"/>
      <c r="AG511" s="252"/>
      <c r="AH511" s="241"/>
      <c r="AI511" s="241"/>
      <c r="AJ511" s="241"/>
      <c r="AK511" s="194"/>
      <c r="AL511" s="195"/>
      <c r="AM511" s="195"/>
    </row>
    <row r="512" spans="2:39">
      <c r="B512" s="253">
        <f t="shared" si="143"/>
        <v>19</v>
      </c>
      <c r="C512" s="244"/>
      <c r="D512" s="661"/>
      <c r="E512" s="466"/>
      <c r="F512" s="615"/>
      <c r="G512" s="230"/>
      <c r="H512" s="230"/>
      <c r="I512" s="230"/>
      <c r="J512" s="230"/>
      <c r="K512" s="230"/>
      <c r="L512" s="228"/>
      <c r="M512" s="257"/>
      <c r="N512" s="228"/>
      <c r="O512" s="228"/>
      <c r="P512" s="258"/>
      <c r="Q512" s="2577"/>
      <c r="R512" s="2577"/>
      <c r="S512" s="254"/>
      <c r="T512" s="228"/>
      <c r="U512" s="2552"/>
      <c r="V512" s="256"/>
      <c r="W512" s="248"/>
      <c r="X512" s="248"/>
      <c r="Y512" s="248"/>
      <c r="Z512" s="247"/>
      <c r="AA512" s="248"/>
      <c r="AB512" s="248"/>
      <c r="AC512" s="194"/>
      <c r="AD512" s="249"/>
      <c r="AE512" s="250"/>
      <c r="AF512" s="251"/>
      <c r="AG512" s="252"/>
      <c r="AH512" s="241"/>
      <c r="AI512" s="241"/>
      <c r="AJ512" s="241"/>
      <c r="AK512" s="194"/>
      <c r="AL512" s="195"/>
      <c r="AM512" s="195"/>
    </row>
    <row r="513" spans="2:39">
      <c r="B513" s="253">
        <f t="shared" si="143"/>
        <v>20</v>
      </c>
      <c r="C513" s="244"/>
      <c r="D513" s="661"/>
      <c r="E513" s="466"/>
      <c r="F513" s="615"/>
      <c r="G513" s="230"/>
      <c r="H513" s="230"/>
      <c r="I513" s="230"/>
      <c r="J513" s="230"/>
      <c r="K513" s="230"/>
      <c r="L513" s="228"/>
      <c r="M513" s="257"/>
      <c r="N513" s="228"/>
      <c r="O513" s="228"/>
      <c r="P513" s="258"/>
      <c r="Q513" s="2577"/>
      <c r="R513" s="2577"/>
      <c r="S513" s="254"/>
      <c r="T513" s="228"/>
      <c r="U513" s="2552"/>
      <c r="V513" s="256"/>
      <c r="W513" s="248"/>
      <c r="X513" s="248"/>
      <c r="Y513" s="248"/>
      <c r="Z513" s="247"/>
      <c r="AA513" s="248"/>
      <c r="AB513" s="248"/>
      <c r="AC513" s="194"/>
      <c r="AD513" s="249"/>
      <c r="AE513" s="250"/>
      <c r="AF513" s="251"/>
      <c r="AG513" s="252"/>
      <c r="AH513" s="241"/>
      <c r="AI513" s="241"/>
      <c r="AJ513" s="241"/>
      <c r="AK513" s="194"/>
      <c r="AL513" s="195"/>
      <c r="AM513" s="195"/>
    </row>
    <row r="514" spans="2:39">
      <c r="B514" s="253">
        <f t="shared" si="143"/>
        <v>21</v>
      </c>
      <c r="C514" s="244"/>
      <c r="D514" s="661"/>
      <c r="E514" s="466"/>
      <c r="F514" s="615"/>
      <c r="G514" s="230"/>
      <c r="H514" s="230"/>
      <c r="I514" s="230"/>
      <c r="J514" s="230"/>
      <c r="K514" s="230"/>
      <c r="L514" s="228"/>
      <c r="M514" s="257"/>
      <c r="N514" s="228"/>
      <c r="O514" s="228"/>
      <c r="P514" s="258"/>
      <c r="Q514" s="2577"/>
      <c r="R514" s="2577"/>
      <c r="S514" s="254"/>
      <c r="T514" s="228"/>
      <c r="U514" s="2552"/>
      <c r="V514" s="256"/>
      <c r="W514" s="248"/>
      <c r="X514" s="248"/>
      <c r="Y514" s="248"/>
      <c r="Z514" s="247"/>
      <c r="AA514" s="248"/>
      <c r="AB514" s="248"/>
      <c r="AC514" s="194"/>
      <c r="AD514" s="249"/>
      <c r="AE514" s="250"/>
      <c r="AF514" s="251"/>
      <c r="AG514" s="252"/>
      <c r="AH514" s="241"/>
      <c r="AI514" s="241"/>
      <c r="AJ514" s="241"/>
      <c r="AK514" s="194"/>
      <c r="AL514" s="195"/>
      <c r="AM514" s="195"/>
    </row>
    <row r="515" spans="2:39">
      <c r="B515" s="253">
        <f t="shared" ref="B515:B578" si="181">+B514+1</f>
        <v>22</v>
      </c>
      <c r="C515" s="244"/>
      <c r="D515" s="661"/>
      <c r="E515" s="466"/>
      <c r="F515" s="615"/>
      <c r="G515" s="230"/>
      <c r="H515" s="230"/>
      <c r="I515" s="230"/>
      <c r="J515" s="230"/>
      <c r="K515" s="230"/>
      <c r="L515" s="228"/>
      <c r="M515" s="257"/>
      <c r="N515" s="228"/>
      <c r="O515" s="228"/>
      <c r="P515" s="258"/>
      <c r="Q515" s="2577"/>
      <c r="R515" s="2577"/>
      <c r="S515" s="254"/>
      <c r="T515" s="228"/>
      <c r="U515" s="2552"/>
      <c r="V515" s="256"/>
      <c r="W515" s="248"/>
      <c r="X515" s="248"/>
      <c r="Y515" s="248"/>
      <c r="Z515" s="247"/>
      <c r="AA515" s="248"/>
      <c r="AB515" s="248"/>
      <c r="AC515" s="194"/>
      <c r="AD515" s="249"/>
      <c r="AE515" s="250"/>
      <c r="AF515" s="251"/>
      <c r="AG515" s="252"/>
      <c r="AH515" s="241"/>
      <c r="AI515" s="241"/>
      <c r="AJ515" s="241"/>
      <c r="AK515" s="194"/>
      <c r="AL515" s="195"/>
      <c r="AM515" s="195"/>
    </row>
    <row r="516" spans="2:39">
      <c r="B516" s="253">
        <f t="shared" si="181"/>
        <v>23</v>
      </c>
      <c r="C516" s="244"/>
      <c r="D516" s="661"/>
      <c r="E516" s="466"/>
      <c r="F516" s="615"/>
      <c r="G516" s="230"/>
      <c r="H516" s="230"/>
      <c r="I516" s="230"/>
      <c r="J516" s="230"/>
      <c r="K516" s="230"/>
      <c r="L516" s="228"/>
      <c r="M516" s="257"/>
      <c r="N516" s="228"/>
      <c r="O516" s="228"/>
      <c r="P516" s="258"/>
      <c r="Q516" s="2577"/>
      <c r="R516" s="2577"/>
      <c r="S516" s="254"/>
      <c r="T516" s="228"/>
      <c r="U516" s="2552"/>
      <c r="V516" s="256"/>
      <c r="W516" s="248"/>
      <c r="X516" s="248"/>
      <c r="Y516" s="248"/>
      <c r="Z516" s="247"/>
      <c r="AA516" s="248"/>
      <c r="AB516" s="248"/>
      <c r="AC516" s="194"/>
      <c r="AD516" s="249"/>
      <c r="AE516" s="250"/>
      <c r="AF516" s="251"/>
      <c r="AG516" s="252"/>
      <c r="AH516" s="241"/>
      <c r="AI516" s="241"/>
      <c r="AJ516" s="241"/>
      <c r="AK516" s="194"/>
      <c r="AL516" s="195"/>
      <c r="AM516" s="195"/>
    </row>
    <row r="517" spans="2:39">
      <c r="B517" s="253">
        <f t="shared" si="181"/>
        <v>24</v>
      </c>
      <c r="C517" s="244"/>
      <c r="D517" s="661"/>
      <c r="E517" s="466"/>
      <c r="F517" s="615"/>
      <c r="G517" s="230"/>
      <c r="H517" s="230"/>
      <c r="I517" s="230"/>
      <c r="J517" s="230"/>
      <c r="K517" s="230"/>
      <c r="L517" s="228"/>
      <c r="M517" s="257"/>
      <c r="N517" s="228"/>
      <c r="O517" s="228"/>
      <c r="P517" s="258"/>
      <c r="Q517" s="2577"/>
      <c r="R517" s="2577"/>
      <c r="S517" s="254"/>
      <c r="T517" s="228"/>
      <c r="U517" s="2552"/>
      <c r="V517" s="256"/>
      <c r="W517" s="248"/>
      <c r="X517" s="248"/>
      <c r="Y517" s="248"/>
      <c r="Z517" s="247"/>
      <c r="AA517" s="248"/>
      <c r="AB517" s="248"/>
      <c r="AC517" s="194"/>
      <c r="AD517" s="249"/>
      <c r="AE517" s="250"/>
      <c r="AF517" s="251"/>
      <c r="AG517" s="252"/>
      <c r="AH517" s="241"/>
      <c r="AI517" s="241"/>
      <c r="AJ517" s="241"/>
      <c r="AK517" s="194"/>
      <c r="AL517" s="195"/>
      <c r="AM517" s="195"/>
    </row>
    <row r="518" spans="2:39">
      <c r="B518" s="253">
        <f t="shared" si="181"/>
        <v>25</v>
      </c>
      <c r="C518" s="244"/>
      <c r="D518" s="661"/>
      <c r="E518" s="466"/>
      <c r="F518" s="615"/>
      <c r="G518" s="230"/>
      <c r="H518" s="230"/>
      <c r="I518" s="230"/>
      <c r="J518" s="230"/>
      <c r="K518" s="230"/>
      <c r="L518" s="228"/>
      <c r="M518" s="257"/>
      <c r="N518" s="228"/>
      <c r="O518" s="228"/>
      <c r="P518" s="258"/>
      <c r="Q518" s="2577"/>
      <c r="R518" s="2577"/>
      <c r="S518" s="254"/>
      <c r="T518" s="228"/>
      <c r="U518" s="2552"/>
      <c r="V518" s="256"/>
      <c r="W518" s="248"/>
      <c r="X518" s="248"/>
      <c r="Y518" s="248"/>
      <c r="Z518" s="247"/>
      <c r="AA518" s="248"/>
      <c r="AB518" s="248"/>
      <c r="AC518" s="194"/>
      <c r="AD518" s="249"/>
      <c r="AE518" s="250"/>
      <c r="AF518" s="251"/>
      <c r="AG518" s="252"/>
      <c r="AH518" s="241"/>
      <c r="AI518" s="241"/>
      <c r="AJ518" s="241"/>
      <c r="AK518" s="194"/>
      <c r="AL518" s="195"/>
      <c r="AM518" s="195"/>
    </row>
    <row r="519" spans="2:39">
      <c r="B519" s="253">
        <f t="shared" si="181"/>
        <v>26</v>
      </c>
      <c r="C519" s="244"/>
      <c r="D519" s="661"/>
      <c r="E519" s="466"/>
      <c r="F519" s="615"/>
      <c r="G519" s="230"/>
      <c r="H519" s="230"/>
      <c r="I519" s="230"/>
      <c r="J519" s="230"/>
      <c r="K519" s="230"/>
      <c r="L519" s="228"/>
      <c r="M519" s="257"/>
      <c r="N519" s="228"/>
      <c r="O519" s="228"/>
      <c r="P519" s="258"/>
      <c r="Q519" s="2577"/>
      <c r="R519" s="2577"/>
      <c r="S519" s="254"/>
      <c r="T519" s="228"/>
      <c r="U519" s="2552"/>
      <c r="V519" s="256"/>
      <c r="W519" s="248"/>
      <c r="X519" s="248"/>
      <c r="Y519" s="248"/>
      <c r="Z519" s="247"/>
      <c r="AA519" s="248"/>
      <c r="AB519" s="248"/>
      <c r="AC519" s="194"/>
      <c r="AD519" s="249"/>
      <c r="AE519" s="250"/>
      <c r="AF519" s="251"/>
      <c r="AG519" s="252"/>
      <c r="AH519" s="241"/>
      <c r="AI519" s="241"/>
      <c r="AJ519" s="241"/>
      <c r="AK519" s="194"/>
      <c r="AL519" s="195"/>
      <c r="AM519" s="195"/>
    </row>
    <row r="520" spans="2:39">
      <c r="B520" s="253">
        <f t="shared" si="181"/>
        <v>27</v>
      </c>
      <c r="C520" s="244"/>
      <c r="D520" s="661"/>
      <c r="E520" s="466"/>
      <c r="F520" s="615"/>
      <c r="G520" s="230"/>
      <c r="H520" s="230"/>
      <c r="I520" s="230"/>
      <c r="J520" s="230"/>
      <c r="K520" s="230"/>
      <c r="L520" s="228"/>
      <c r="M520" s="257"/>
      <c r="N520" s="228"/>
      <c r="O520" s="228"/>
      <c r="P520" s="258"/>
      <c r="Q520" s="2577"/>
      <c r="R520" s="2577"/>
      <c r="S520" s="254"/>
      <c r="T520" s="228"/>
      <c r="U520" s="2552"/>
      <c r="V520" s="256"/>
      <c r="W520" s="248"/>
      <c r="X520" s="248"/>
      <c r="Y520" s="248"/>
      <c r="Z520" s="247"/>
      <c r="AA520" s="248"/>
      <c r="AB520" s="248"/>
      <c r="AC520" s="194"/>
      <c r="AD520" s="249"/>
      <c r="AE520" s="250"/>
      <c r="AF520" s="251"/>
      <c r="AG520" s="252"/>
      <c r="AH520" s="241"/>
      <c r="AI520" s="241"/>
      <c r="AJ520" s="241"/>
      <c r="AK520" s="194"/>
      <c r="AL520" s="195"/>
      <c r="AM520" s="195"/>
    </row>
    <row r="521" spans="2:39">
      <c r="B521" s="253">
        <f t="shared" si="181"/>
        <v>28</v>
      </c>
      <c r="C521" s="244"/>
      <c r="D521" s="661"/>
      <c r="E521" s="466"/>
      <c r="F521" s="615"/>
      <c r="G521" s="230"/>
      <c r="H521" s="230"/>
      <c r="I521" s="230"/>
      <c r="J521" s="230"/>
      <c r="K521" s="230"/>
      <c r="L521" s="228"/>
      <c r="M521" s="257"/>
      <c r="N521" s="228"/>
      <c r="O521" s="228"/>
      <c r="P521" s="258"/>
      <c r="Q521" s="2577"/>
      <c r="R521" s="2577"/>
      <c r="S521" s="254"/>
      <c r="T521" s="228"/>
      <c r="U521" s="2552"/>
      <c r="V521" s="256"/>
      <c r="W521" s="248"/>
      <c r="X521" s="248"/>
      <c r="Y521" s="248"/>
      <c r="Z521" s="247"/>
      <c r="AA521" s="248"/>
      <c r="AB521" s="248"/>
      <c r="AC521" s="194"/>
      <c r="AD521" s="249"/>
      <c r="AE521" s="250"/>
      <c r="AF521" s="251"/>
      <c r="AG521" s="252"/>
      <c r="AH521" s="241"/>
      <c r="AI521" s="241"/>
      <c r="AJ521" s="241"/>
      <c r="AK521" s="194"/>
      <c r="AL521" s="195"/>
      <c r="AM521" s="195"/>
    </row>
    <row r="522" spans="2:39">
      <c r="B522" s="253">
        <f t="shared" si="181"/>
        <v>29</v>
      </c>
      <c r="C522" s="244"/>
      <c r="D522" s="661"/>
      <c r="E522" s="466"/>
      <c r="F522" s="615"/>
      <c r="G522" s="230"/>
      <c r="H522" s="230"/>
      <c r="I522" s="230"/>
      <c r="J522" s="230"/>
      <c r="K522" s="230"/>
      <c r="L522" s="228"/>
      <c r="M522" s="257"/>
      <c r="N522" s="228"/>
      <c r="O522" s="228"/>
      <c r="P522" s="258"/>
      <c r="Q522" s="2577"/>
      <c r="R522" s="2577"/>
      <c r="S522" s="254"/>
      <c r="T522" s="228"/>
      <c r="U522" s="2552"/>
      <c r="V522" s="256"/>
      <c r="W522" s="248"/>
      <c r="X522" s="248"/>
      <c r="Y522" s="248"/>
      <c r="Z522" s="247"/>
      <c r="AA522" s="248"/>
      <c r="AB522" s="248"/>
      <c r="AC522" s="194"/>
      <c r="AD522" s="249"/>
      <c r="AE522" s="250"/>
      <c r="AF522" s="251"/>
      <c r="AG522" s="252"/>
      <c r="AH522" s="241"/>
      <c r="AI522" s="241"/>
      <c r="AJ522" s="241"/>
      <c r="AK522" s="194"/>
      <c r="AL522" s="195"/>
      <c r="AM522" s="195"/>
    </row>
    <row r="523" spans="2:39">
      <c r="B523" s="253">
        <f t="shared" si="181"/>
        <v>30</v>
      </c>
      <c r="C523" s="244"/>
      <c r="D523" s="661"/>
      <c r="E523" s="466"/>
      <c r="F523" s="615"/>
      <c r="G523" s="230"/>
      <c r="H523" s="230"/>
      <c r="I523" s="230"/>
      <c r="J523" s="230"/>
      <c r="K523" s="230"/>
      <c r="L523" s="228"/>
      <c r="M523" s="257"/>
      <c r="N523" s="228"/>
      <c r="O523" s="228"/>
      <c r="P523" s="258"/>
      <c r="Q523" s="2577"/>
      <c r="R523" s="2577"/>
      <c r="S523" s="254"/>
      <c r="T523" s="228"/>
      <c r="U523" s="2552"/>
      <c r="V523" s="256"/>
      <c r="W523" s="248"/>
      <c r="X523" s="248"/>
      <c r="Y523" s="248"/>
      <c r="Z523" s="247"/>
      <c r="AA523" s="248"/>
      <c r="AB523" s="248"/>
      <c r="AC523" s="194"/>
      <c r="AD523" s="249"/>
      <c r="AE523" s="250"/>
      <c r="AF523" s="251"/>
      <c r="AG523" s="252"/>
      <c r="AH523" s="241"/>
      <c r="AI523" s="241"/>
      <c r="AJ523" s="241"/>
      <c r="AK523" s="194"/>
      <c r="AL523" s="195"/>
      <c r="AM523" s="195"/>
    </row>
    <row r="524" spans="2:39">
      <c r="B524" s="253">
        <f t="shared" si="181"/>
        <v>31</v>
      </c>
      <c r="C524" s="244"/>
      <c r="D524" s="661"/>
      <c r="E524" s="466"/>
      <c r="F524" s="615"/>
      <c r="G524" s="230"/>
      <c r="H524" s="230"/>
      <c r="I524" s="230"/>
      <c r="J524" s="230"/>
      <c r="K524" s="230"/>
      <c r="L524" s="228"/>
      <c r="M524" s="257"/>
      <c r="N524" s="228"/>
      <c r="O524" s="228"/>
      <c r="P524" s="258"/>
      <c r="Q524" s="2577"/>
      <c r="R524" s="2577"/>
      <c r="S524" s="254"/>
      <c r="T524" s="228"/>
      <c r="U524" s="2552"/>
      <c r="V524" s="256"/>
      <c r="W524" s="248"/>
      <c r="X524" s="248"/>
      <c r="Y524" s="248"/>
      <c r="Z524" s="247"/>
      <c r="AA524" s="248"/>
      <c r="AB524" s="248"/>
      <c r="AC524" s="194"/>
      <c r="AD524" s="249"/>
      <c r="AE524" s="250"/>
      <c r="AF524" s="251"/>
      <c r="AG524" s="252"/>
      <c r="AH524" s="241"/>
      <c r="AI524" s="241"/>
      <c r="AJ524" s="241"/>
      <c r="AK524" s="194"/>
      <c r="AL524" s="195"/>
      <c r="AM524" s="195"/>
    </row>
    <row r="525" spans="2:39">
      <c r="B525" s="253">
        <f t="shared" si="181"/>
        <v>32</v>
      </c>
      <c r="C525" s="244"/>
      <c r="D525" s="661"/>
      <c r="E525" s="466"/>
      <c r="F525" s="615"/>
      <c r="G525" s="230"/>
      <c r="H525" s="230"/>
      <c r="I525" s="230"/>
      <c r="J525" s="230"/>
      <c r="K525" s="230"/>
      <c r="L525" s="228"/>
      <c r="M525" s="257"/>
      <c r="N525" s="228"/>
      <c r="O525" s="228"/>
      <c r="P525" s="258"/>
      <c r="Q525" s="2577"/>
      <c r="R525" s="2577"/>
      <c r="S525" s="254"/>
      <c r="T525" s="228"/>
      <c r="U525" s="2552"/>
      <c r="V525" s="256"/>
      <c r="W525" s="248"/>
      <c r="X525" s="248"/>
      <c r="Y525" s="248"/>
      <c r="Z525" s="247"/>
      <c r="AA525" s="248"/>
      <c r="AB525" s="248"/>
      <c r="AC525" s="194"/>
      <c r="AD525" s="249"/>
      <c r="AE525" s="250"/>
      <c r="AF525" s="251"/>
      <c r="AG525" s="252"/>
      <c r="AH525" s="241"/>
      <c r="AI525" s="241"/>
      <c r="AJ525" s="241"/>
      <c r="AK525" s="194"/>
      <c r="AL525" s="195"/>
      <c r="AM525" s="195"/>
    </row>
    <row r="526" spans="2:39">
      <c r="B526" s="253">
        <f t="shared" si="181"/>
        <v>33</v>
      </c>
      <c r="C526" s="244"/>
      <c r="D526" s="661"/>
      <c r="E526" s="466"/>
      <c r="F526" s="615"/>
      <c r="G526" s="230"/>
      <c r="H526" s="230"/>
      <c r="I526" s="230"/>
      <c r="J526" s="230"/>
      <c r="K526" s="230"/>
      <c r="L526" s="228"/>
      <c r="M526" s="257"/>
      <c r="N526" s="228"/>
      <c r="O526" s="228"/>
      <c r="P526" s="258"/>
      <c r="Q526" s="2577"/>
      <c r="R526" s="2577"/>
      <c r="S526" s="254"/>
      <c r="T526" s="228"/>
      <c r="U526" s="2552"/>
      <c r="V526" s="256"/>
      <c r="W526" s="248"/>
      <c r="X526" s="248"/>
      <c r="Y526" s="248"/>
      <c r="Z526" s="247"/>
      <c r="AA526" s="248"/>
      <c r="AB526" s="248"/>
      <c r="AC526" s="194"/>
      <c r="AD526" s="249"/>
      <c r="AE526" s="250"/>
      <c r="AF526" s="251"/>
      <c r="AG526" s="252"/>
      <c r="AH526" s="241"/>
      <c r="AI526" s="241"/>
      <c r="AJ526" s="241"/>
      <c r="AK526" s="194"/>
      <c r="AL526" s="195"/>
      <c r="AM526" s="195"/>
    </row>
    <row r="527" spans="2:39">
      <c r="B527" s="253">
        <f t="shared" si="181"/>
        <v>34</v>
      </c>
      <c r="C527" s="244"/>
      <c r="D527" s="661"/>
      <c r="E527" s="466"/>
      <c r="F527" s="615"/>
      <c r="G527" s="230"/>
      <c r="H527" s="230"/>
      <c r="I527" s="230"/>
      <c r="J527" s="230"/>
      <c r="K527" s="230"/>
      <c r="L527" s="228"/>
      <c r="M527" s="257"/>
      <c r="N527" s="228"/>
      <c r="O527" s="228"/>
      <c r="P527" s="258"/>
      <c r="Q527" s="2577"/>
      <c r="R527" s="2577"/>
      <c r="S527" s="254"/>
      <c r="T527" s="228"/>
      <c r="U527" s="2552"/>
      <c r="V527" s="256"/>
      <c r="W527" s="248"/>
      <c r="X527" s="248"/>
      <c r="Y527" s="248"/>
      <c r="Z527" s="247"/>
      <c r="AA527" s="248"/>
      <c r="AB527" s="248"/>
      <c r="AC527" s="194"/>
      <c r="AD527" s="249"/>
      <c r="AE527" s="250"/>
      <c r="AF527" s="251"/>
      <c r="AG527" s="252"/>
      <c r="AH527" s="241"/>
      <c r="AI527" s="241"/>
      <c r="AJ527" s="241"/>
      <c r="AK527" s="194"/>
      <c r="AL527" s="195"/>
      <c r="AM527" s="195"/>
    </row>
    <row r="528" spans="2:39">
      <c r="B528" s="253">
        <f t="shared" si="181"/>
        <v>35</v>
      </c>
      <c r="C528" s="244"/>
      <c r="D528" s="661"/>
      <c r="E528" s="466"/>
      <c r="F528" s="615"/>
      <c r="G528" s="230"/>
      <c r="H528" s="230"/>
      <c r="I528" s="230"/>
      <c r="J528" s="230"/>
      <c r="K528" s="230"/>
      <c r="L528" s="228"/>
      <c r="M528" s="257"/>
      <c r="N528" s="228"/>
      <c r="O528" s="228"/>
      <c r="P528" s="258"/>
      <c r="Q528" s="2577"/>
      <c r="R528" s="2577"/>
      <c r="S528" s="254"/>
      <c r="T528" s="228"/>
      <c r="U528" s="2552"/>
      <c r="V528" s="256"/>
      <c r="W528" s="248"/>
      <c r="X528" s="248"/>
      <c r="Y528" s="248"/>
      <c r="Z528" s="247"/>
      <c r="AA528" s="248"/>
      <c r="AB528" s="248"/>
      <c r="AC528" s="194"/>
      <c r="AD528" s="249"/>
      <c r="AE528" s="250"/>
      <c r="AF528" s="251"/>
      <c r="AG528" s="252"/>
      <c r="AH528" s="241"/>
      <c r="AI528" s="241"/>
      <c r="AJ528" s="241"/>
      <c r="AK528" s="194"/>
      <c r="AL528" s="195"/>
      <c r="AM528" s="195"/>
    </row>
    <row r="529" spans="2:39">
      <c r="B529" s="253">
        <f t="shared" si="181"/>
        <v>36</v>
      </c>
      <c r="C529" s="244"/>
      <c r="D529" s="661"/>
      <c r="E529" s="466"/>
      <c r="F529" s="615"/>
      <c r="G529" s="230"/>
      <c r="H529" s="230"/>
      <c r="I529" s="230"/>
      <c r="J529" s="230"/>
      <c r="K529" s="230"/>
      <c r="L529" s="228"/>
      <c r="M529" s="257"/>
      <c r="N529" s="228"/>
      <c r="O529" s="228"/>
      <c r="P529" s="258"/>
      <c r="Q529" s="2577"/>
      <c r="R529" s="2577"/>
      <c r="S529" s="254"/>
      <c r="T529" s="228"/>
      <c r="U529" s="2552"/>
      <c r="V529" s="256"/>
      <c r="W529" s="248"/>
      <c r="X529" s="248"/>
      <c r="Y529" s="248"/>
      <c r="Z529" s="247"/>
      <c r="AA529" s="248"/>
      <c r="AB529" s="248"/>
      <c r="AC529" s="194"/>
      <c r="AD529" s="249"/>
      <c r="AE529" s="250"/>
      <c r="AF529" s="251"/>
      <c r="AG529" s="252"/>
      <c r="AH529" s="241"/>
      <c r="AI529" s="241"/>
      <c r="AJ529" s="241"/>
      <c r="AK529" s="194"/>
      <c r="AL529" s="195"/>
      <c r="AM529" s="195"/>
    </row>
    <row r="530" spans="2:39">
      <c r="B530" s="253">
        <f t="shared" si="181"/>
        <v>37</v>
      </c>
      <c r="C530" s="244"/>
      <c r="D530" s="661"/>
      <c r="E530" s="466"/>
      <c r="F530" s="615"/>
      <c r="G530" s="230"/>
      <c r="H530" s="230"/>
      <c r="I530" s="230"/>
      <c r="J530" s="230"/>
      <c r="K530" s="230"/>
      <c r="L530" s="228"/>
      <c r="M530" s="257"/>
      <c r="N530" s="228"/>
      <c r="O530" s="228"/>
      <c r="P530" s="258"/>
      <c r="Q530" s="2577"/>
      <c r="R530" s="2577"/>
      <c r="S530" s="254"/>
      <c r="T530" s="228"/>
      <c r="U530" s="2552"/>
      <c r="V530" s="256"/>
      <c r="W530" s="248"/>
      <c r="X530" s="248"/>
      <c r="Y530" s="248"/>
      <c r="Z530" s="247"/>
      <c r="AA530" s="248"/>
      <c r="AB530" s="248"/>
      <c r="AC530" s="194"/>
      <c r="AD530" s="249"/>
      <c r="AE530" s="250"/>
      <c r="AF530" s="251"/>
      <c r="AG530" s="252"/>
      <c r="AH530" s="241"/>
      <c r="AI530" s="241"/>
      <c r="AJ530" s="241"/>
      <c r="AK530" s="194"/>
      <c r="AL530" s="195"/>
      <c r="AM530" s="195"/>
    </row>
    <row r="531" spans="2:39">
      <c r="B531" s="253">
        <f t="shared" si="181"/>
        <v>38</v>
      </c>
      <c r="C531" s="244"/>
      <c r="D531" s="661"/>
      <c r="E531" s="466"/>
      <c r="F531" s="615"/>
      <c r="G531" s="230"/>
      <c r="H531" s="230"/>
      <c r="I531" s="230"/>
      <c r="J531" s="230"/>
      <c r="K531" s="230"/>
      <c r="L531" s="228"/>
      <c r="M531" s="257"/>
      <c r="N531" s="228"/>
      <c r="O531" s="228"/>
      <c r="P531" s="258"/>
      <c r="Q531" s="2577"/>
      <c r="R531" s="2577"/>
      <c r="S531" s="254"/>
      <c r="T531" s="228"/>
      <c r="U531" s="2552"/>
      <c r="V531" s="256"/>
      <c r="W531" s="248"/>
      <c r="X531" s="248"/>
      <c r="Y531" s="248"/>
      <c r="Z531" s="247"/>
      <c r="AA531" s="248"/>
      <c r="AB531" s="248"/>
      <c r="AC531" s="194"/>
      <c r="AD531" s="249"/>
      <c r="AE531" s="250"/>
      <c r="AF531" s="251"/>
      <c r="AG531" s="252"/>
      <c r="AH531" s="241"/>
      <c r="AI531" s="241"/>
      <c r="AJ531" s="241"/>
      <c r="AK531" s="194"/>
      <c r="AL531" s="195"/>
      <c r="AM531" s="195"/>
    </row>
    <row r="532" spans="2:39">
      <c r="B532" s="253">
        <f t="shared" si="181"/>
        <v>39</v>
      </c>
      <c r="C532" s="244"/>
      <c r="D532" s="661"/>
      <c r="E532" s="466"/>
      <c r="F532" s="615"/>
      <c r="G532" s="230"/>
      <c r="H532" s="230"/>
      <c r="I532" s="230"/>
      <c r="J532" s="230"/>
      <c r="K532" s="230"/>
      <c r="L532" s="228"/>
      <c r="M532" s="257"/>
      <c r="N532" s="228"/>
      <c r="O532" s="228"/>
      <c r="P532" s="258"/>
      <c r="Q532" s="2577"/>
      <c r="R532" s="2577"/>
      <c r="S532" s="254"/>
      <c r="T532" s="228"/>
      <c r="U532" s="2552"/>
      <c r="V532" s="256"/>
      <c r="W532" s="248"/>
      <c r="X532" s="248"/>
      <c r="Y532" s="248"/>
      <c r="Z532" s="247"/>
      <c r="AA532" s="248"/>
      <c r="AB532" s="248"/>
      <c r="AC532" s="194"/>
      <c r="AD532" s="249"/>
      <c r="AE532" s="250"/>
      <c r="AF532" s="251"/>
      <c r="AG532" s="252"/>
      <c r="AH532" s="241"/>
      <c r="AI532" s="241"/>
      <c r="AJ532" s="241"/>
      <c r="AK532" s="194"/>
      <c r="AL532" s="195"/>
      <c r="AM532" s="195"/>
    </row>
    <row r="533" spans="2:39">
      <c r="B533" s="253">
        <f t="shared" si="181"/>
        <v>40</v>
      </c>
      <c r="C533" s="244"/>
      <c r="D533" s="661"/>
      <c r="E533" s="466"/>
      <c r="F533" s="615"/>
      <c r="G533" s="230"/>
      <c r="H533" s="230"/>
      <c r="I533" s="230"/>
      <c r="J533" s="230"/>
      <c r="K533" s="230"/>
      <c r="L533" s="228"/>
      <c r="M533" s="257"/>
      <c r="N533" s="228"/>
      <c r="O533" s="228"/>
      <c r="P533" s="258"/>
      <c r="Q533" s="2577"/>
      <c r="R533" s="2577"/>
      <c r="S533" s="254"/>
      <c r="T533" s="228"/>
      <c r="U533" s="2552"/>
      <c r="V533" s="256"/>
      <c r="W533" s="248"/>
      <c r="X533" s="248"/>
      <c r="Y533" s="248"/>
      <c r="Z533" s="247"/>
      <c r="AA533" s="248"/>
      <c r="AB533" s="248"/>
      <c r="AC533" s="194"/>
      <c r="AD533" s="249"/>
      <c r="AE533" s="250"/>
      <c r="AF533" s="251"/>
      <c r="AG533" s="252"/>
      <c r="AH533" s="241"/>
      <c r="AI533" s="241"/>
      <c r="AJ533" s="241"/>
      <c r="AK533" s="194"/>
      <c r="AL533" s="195"/>
      <c r="AM533" s="195"/>
    </row>
    <row r="534" spans="2:39">
      <c r="B534" s="253">
        <f t="shared" si="181"/>
        <v>41</v>
      </c>
      <c r="C534" s="244"/>
      <c r="D534" s="661"/>
      <c r="E534" s="466"/>
      <c r="F534" s="615"/>
      <c r="G534" s="230"/>
      <c r="H534" s="230"/>
      <c r="I534" s="230"/>
      <c r="J534" s="230"/>
      <c r="K534" s="230"/>
      <c r="L534" s="228"/>
      <c r="M534" s="257"/>
      <c r="N534" s="228"/>
      <c r="O534" s="228"/>
      <c r="P534" s="258"/>
      <c r="Q534" s="2577"/>
      <c r="R534" s="2577"/>
      <c r="S534" s="254"/>
      <c r="T534" s="228"/>
      <c r="U534" s="2552"/>
      <c r="V534" s="256"/>
      <c r="W534" s="248"/>
      <c r="X534" s="248"/>
      <c r="Y534" s="248"/>
      <c r="Z534" s="247"/>
      <c r="AA534" s="248"/>
      <c r="AB534" s="248"/>
      <c r="AC534" s="194"/>
      <c r="AD534" s="249"/>
      <c r="AE534" s="250"/>
      <c r="AF534" s="251"/>
      <c r="AG534" s="252"/>
      <c r="AH534" s="241"/>
      <c r="AI534" s="241"/>
      <c r="AJ534" s="241"/>
      <c r="AK534" s="194"/>
      <c r="AL534" s="195"/>
      <c r="AM534" s="195"/>
    </row>
    <row r="535" spans="2:39">
      <c r="B535" s="253">
        <f t="shared" si="181"/>
        <v>42</v>
      </c>
      <c r="C535" s="244"/>
      <c r="D535" s="661"/>
      <c r="E535" s="466"/>
      <c r="F535" s="615"/>
      <c r="G535" s="230"/>
      <c r="H535" s="230"/>
      <c r="I535" s="230"/>
      <c r="J535" s="230"/>
      <c r="K535" s="230"/>
      <c r="L535" s="228"/>
      <c r="M535" s="257"/>
      <c r="N535" s="228"/>
      <c r="O535" s="228"/>
      <c r="P535" s="258"/>
      <c r="Q535" s="2577"/>
      <c r="R535" s="2577"/>
      <c r="S535" s="254"/>
      <c r="T535" s="228"/>
      <c r="U535" s="2552"/>
      <c r="V535" s="256"/>
      <c r="W535" s="248"/>
      <c r="X535" s="248"/>
      <c r="Y535" s="248"/>
      <c r="Z535" s="247"/>
      <c r="AA535" s="248"/>
      <c r="AB535" s="248"/>
      <c r="AC535" s="194"/>
      <c r="AD535" s="249"/>
      <c r="AE535" s="250"/>
      <c r="AF535" s="251"/>
      <c r="AG535" s="252"/>
      <c r="AH535" s="241"/>
      <c r="AI535" s="241"/>
      <c r="AJ535" s="241"/>
      <c r="AK535" s="194"/>
      <c r="AL535" s="195"/>
      <c r="AM535" s="195"/>
    </row>
    <row r="536" spans="2:39">
      <c r="B536" s="253">
        <f t="shared" si="181"/>
        <v>43</v>
      </c>
      <c r="C536" s="244"/>
      <c r="D536" s="661"/>
      <c r="E536" s="466"/>
      <c r="F536" s="615"/>
      <c r="G536" s="230"/>
      <c r="H536" s="230"/>
      <c r="I536" s="230"/>
      <c r="J536" s="230"/>
      <c r="K536" s="230"/>
      <c r="L536" s="228"/>
      <c r="M536" s="257"/>
      <c r="N536" s="228"/>
      <c r="O536" s="228"/>
      <c r="P536" s="258"/>
      <c r="Q536" s="2577"/>
      <c r="R536" s="2577"/>
      <c r="S536" s="254"/>
      <c r="T536" s="228"/>
      <c r="U536" s="2552"/>
      <c r="V536" s="256"/>
      <c r="W536" s="248"/>
      <c r="X536" s="248"/>
      <c r="Y536" s="248"/>
      <c r="Z536" s="247"/>
      <c r="AA536" s="248"/>
      <c r="AB536" s="248"/>
      <c r="AC536" s="194"/>
      <c r="AD536" s="249"/>
      <c r="AE536" s="250"/>
      <c r="AF536" s="251"/>
      <c r="AG536" s="252"/>
      <c r="AH536" s="241"/>
      <c r="AI536" s="241"/>
      <c r="AJ536" s="241"/>
      <c r="AK536" s="194"/>
      <c r="AL536" s="195"/>
      <c r="AM536" s="195"/>
    </row>
    <row r="537" spans="2:39">
      <c r="B537" s="253">
        <f t="shared" si="181"/>
        <v>44</v>
      </c>
      <c r="C537" s="244"/>
      <c r="D537" s="661"/>
      <c r="E537" s="466"/>
      <c r="F537" s="615"/>
      <c r="G537" s="230"/>
      <c r="H537" s="230"/>
      <c r="I537" s="230"/>
      <c r="J537" s="230"/>
      <c r="K537" s="230"/>
      <c r="L537" s="228"/>
      <c r="M537" s="257"/>
      <c r="N537" s="228"/>
      <c r="O537" s="228"/>
      <c r="P537" s="258"/>
      <c r="Q537" s="2577"/>
      <c r="R537" s="2577"/>
      <c r="S537" s="254"/>
      <c r="T537" s="228"/>
      <c r="U537" s="2552"/>
      <c r="V537" s="256"/>
      <c r="W537" s="248"/>
      <c r="X537" s="248"/>
      <c r="Y537" s="248"/>
      <c r="Z537" s="247"/>
      <c r="AA537" s="248"/>
      <c r="AB537" s="248"/>
      <c r="AC537" s="194"/>
      <c r="AD537" s="249"/>
      <c r="AE537" s="250"/>
      <c r="AF537" s="251"/>
      <c r="AG537" s="252"/>
      <c r="AH537" s="241"/>
      <c r="AI537" s="241"/>
      <c r="AJ537" s="241"/>
      <c r="AK537" s="194"/>
      <c r="AL537" s="195"/>
      <c r="AM537" s="195"/>
    </row>
    <row r="538" spans="2:39">
      <c r="B538" s="253">
        <f t="shared" si="181"/>
        <v>45</v>
      </c>
      <c r="C538" s="244"/>
      <c r="D538" s="661"/>
      <c r="E538" s="466"/>
      <c r="F538" s="615"/>
      <c r="G538" s="230"/>
      <c r="H538" s="230"/>
      <c r="I538" s="230"/>
      <c r="J538" s="230"/>
      <c r="K538" s="230"/>
      <c r="L538" s="228"/>
      <c r="M538" s="257"/>
      <c r="N538" s="228"/>
      <c r="O538" s="228"/>
      <c r="P538" s="258"/>
      <c r="Q538" s="2577"/>
      <c r="R538" s="2577"/>
      <c r="S538" s="254"/>
      <c r="T538" s="228"/>
      <c r="U538" s="2552"/>
      <c r="V538" s="256"/>
      <c r="W538" s="248"/>
      <c r="X538" s="248"/>
      <c r="Y538" s="248"/>
      <c r="Z538" s="247"/>
      <c r="AA538" s="248"/>
      <c r="AB538" s="248"/>
      <c r="AC538" s="194"/>
      <c r="AD538" s="249"/>
      <c r="AE538" s="250"/>
      <c r="AF538" s="251"/>
      <c r="AG538" s="252"/>
      <c r="AH538" s="241"/>
      <c r="AI538" s="241"/>
      <c r="AJ538" s="241"/>
      <c r="AK538" s="194"/>
      <c r="AL538" s="195"/>
      <c r="AM538" s="195"/>
    </row>
    <row r="539" spans="2:39">
      <c r="B539" s="253">
        <f t="shared" si="181"/>
        <v>46</v>
      </c>
      <c r="C539" s="244"/>
      <c r="D539" s="661"/>
      <c r="E539" s="466"/>
      <c r="F539" s="615"/>
      <c r="G539" s="230"/>
      <c r="H539" s="230"/>
      <c r="I539" s="230"/>
      <c r="J539" s="230"/>
      <c r="K539" s="230"/>
      <c r="L539" s="228"/>
      <c r="M539" s="257"/>
      <c r="N539" s="228"/>
      <c r="O539" s="228"/>
      <c r="P539" s="258"/>
      <c r="Q539" s="2577"/>
      <c r="R539" s="2577"/>
      <c r="S539" s="254"/>
      <c r="T539" s="228"/>
      <c r="U539" s="2552"/>
      <c r="V539" s="256"/>
      <c r="W539" s="248"/>
      <c r="X539" s="248"/>
      <c r="Y539" s="248"/>
      <c r="Z539" s="247"/>
      <c r="AA539" s="248"/>
      <c r="AB539" s="248"/>
      <c r="AC539" s="194"/>
      <c r="AD539" s="249"/>
      <c r="AE539" s="250"/>
      <c r="AF539" s="251"/>
      <c r="AG539" s="252"/>
      <c r="AH539" s="241"/>
      <c r="AI539" s="241"/>
      <c r="AJ539" s="241"/>
      <c r="AK539" s="194"/>
      <c r="AL539" s="195"/>
      <c r="AM539" s="195"/>
    </row>
    <row r="540" spans="2:39">
      <c r="B540" s="253">
        <f t="shared" si="181"/>
        <v>47</v>
      </c>
      <c r="C540" s="244"/>
      <c r="D540" s="661"/>
      <c r="E540" s="466"/>
      <c r="F540" s="615"/>
      <c r="G540" s="230"/>
      <c r="H540" s="230"/>
      <c r="I540" s="230"/>
      <c r="J540" s="230"/>
      <c r="K540" s="230"/>
      <c r="L540" s="228"/>
      <c r="M540" s="257"/>
      <c r="N540" s="228"/>
      <c r="O540" s="228"/>
      <c r="P540" s="258"/>
      <c r="Q540" s="2577"/>
      <c r="R540" s="2577"/>
      <c r="S540" s="254"/>
      <c r="T540" s="228"/>
      <c r="U540" s="2552"/>
      <c r="V540" s="256"/>
      <c r="W540" s="248"/>
      <c r="X540" s="248"/>
      <c r="Y540" s="248"/>
      <c r="Z540" s="247"/>
      <c r="AA540" s="248"/>
      <c r="AB540" s="248"/>
      <c r="AC540" s="194"/>
      <c r="AD540" s="249"/>
      <c r="AE540" s="250"/>
      <c r="AF540" s="251"/>
      <c r="AG540" s="252"/>
      <c r="AH540" s="241"/>
      <c r="AI540" s="241"/>
      <c r="AJ540" s="241"/>
      <c r="AK540" s="194"/>
      <c r="AL540" s="195"/>
      <c r="AM540" s="195"/>
    </row>
    <row r="541" spans="2:39">
      <c r="B541" s="253">
        <f t="shared" si="181"/>
        <v>48</v>
      </c>
      <c r="C541" s="244"/>
      <c r="D541" s="661"/>
      <c r="E541" s="466"/>
      <c r="F541" s="615"/>
      <c r="G541" s="230"/>
      <c r="H541" s="230"/>
      <c r="I541" s="230"/>
      <c r="J541" s="230"/>
      <c r="K541" s="230"/>
      <c r="L541" s="228"/>
      <c r="M541" s="257"/>
      <c r="N541" s="228"/>
      <c r="O541" s="228"/>
      <c r="P541" s="258"/>
      <c r="Q541" s="2577"/>
      <c r="R541" s="2577"/>
      <c r="S541" s="254"/>
      <c r="T541" s="228"/>
      <c r="U541" s="2552"/>
      <c r="V541" s="256"/>
      <c r="W541" s="248"/>
      <c r="X541" s="248"/>
      <c r="Y541" s="248"/>
      <c r="Z541" s="247"/>
      <c r="AA541" s="248"/>
      <c r="AB541" s="248"/>
      <c r="AC541" s="194"/>
      <c r="AD541" s="249"/>
      <c r="AE541" s="250"/>
      <c r="AF541" s="251"/>
      <c r="AG541" s="252"/>
      <c r="AH541" s="241"/>
      <c r="AI541" s="241"/>
      <c r="AJ541" s="241"/>
      <c r="AK541" s="194"/>
      <c r="AL541" s="195"/>
      <c r="AM541" s="195"/>
    </row>
    <row r="542" spans="2:39">
      <c r="B542" s="253">
        <f t="shared" si="181"/>
        <v>49</v>
      </c>
      <c r="C542" s="244"/>
      <c r="D542" s="661"/>
      <c r="E542" s="466"/>
      <c r="F542" s="615"/>
      <c r="G542" s="230"/>
      <c r="H542" s="230"/>
      <c r="I542" s="230"/>
      <c r="J542" s="230"/>
      <c r="K542" s="230"/>
      <c r="L542" s="228"/>
      <c r="M542" s="257"/>
      <c r="N542" s="228"/>
      <c r="O542" s="228"/>
      <c r="P542" s="258"/>
      <c r="Q542" s="2577"/>
      <c r="R542" s="2577"/>
      <c r="S542" s="254"/>
      <c r="T542" s="228"/>
      <c r="U542" s="2552"/>
      <c r="V542" s="256"/>
      <c r="W542" s="248"/>
      <c r="X542" s="248"/>
      <c r="Y542" s="248"/>
      <c r="Z542" s="247"/>
      <c r="AA542" s="248"/>
      <c r="AB542" s="248"/>
      <c r="AC542" s="194"/>
      <c r="AD542" s="249"/>
      <c r="AE542" s="250"/>
      <c r="AF542" s="251"/>
      <c r="AG542" s="252"/>
      <c r="AH542" s="241"/>
      <c r="AI542" s="241"/>
      <c r="AJ542" s="241"/>
      <c r="AK542" s="194"/>
      <c r="AL542" s="195"/>
      <c r="AM542" s="195"/>
    </row>
    <row r="543" spans="2:39">
      <c r="B543" s="253">
        <f t="shared" si="181"/>
        <v>50</v>
      </c>
      <c r="C543" s="244"/>
      <c r="D543" s="661"/>
      <c r="E543" s="466"/>
      <c r="F543" s="615"/>
      <c r="G543" s="230"/>
      <c r="H543" s="230"/>
      <c r="I543" s="230"/>
      <c r="J543" s="230"/>
      <c r="K543" s="230"/>
      <c r="L543" s="228"/>
      <c r="M543" s="257"/>
      <c r="N543" s="228"/>
      <c r="O543" s="228"/>
      <c r="P543" s="258"/>
      <c r="Q543" s="2577"/>
      <c r="R543" s="2577"/>
      <c r="S543" s="254"/>
      <c r="T543" s="228"/>
      <c r="U543" s="2552"/>
      <c r="V543" s="256"/>
      <c r="W543" s="248"/>
      <c r="X543" s="248"/>
      <c r="Y543" s="248"/>
      <c r="Z543" s="247"/>
      <c r="AA543" s="248"/>
      <c r="AB543" s="248"/>
      <c r="AC543" s="194"/>
      <c r="AD543" s="249"/>
      <c r="AE543" s="250"/>
      <c r="AF543" s="251"/>
      <c r="AG543" s="252"/>
      <c r="AH543" s="241"/>
      <c r="AI543" s="241"/>
      <c r="AJ543" s="241"/>
      <c r="AK543" s="194"/>
      <c r="AL543" s="195"/>
      <c r="AM543" s="195"/>
    </row>
    <row r="544" spans="2:39">
      <c r="B544" s="253">
        <f t="shared" si="181"/>
        <v>51</v>
      </c>
      <c r="C544" s="244"/>
      <c r="D544" s="661"/>
      <c r="E544" s="466"/>
      <c r="F544" s="615"/>
      <c r="G544" s="230"/>
      <c r="H544" s="230"/>
      <c r="I544" s="230"/>
      <c r="J544" s="230"/>
      <c r="K544" s="230"/>
      <c r="L544" s="228"/>
      <c r="M544" s="257"/>
      <c r="N544" s="228"/>
      <c r="O544" s="228"/>
      <c r="P544" s="258"/>
      <c r="Q544" s="2577"/>
      <c r="R544" s="2577"/>
      <c r="S544" s="254"/>
      <c r="T544" s="228"/>
      <c r="U544" s="2552"/>
      <c r="V544" s="256"/>
      <c r="W544" s="248"/>
      <c r="X544" s="248"/>
      <c r="Y544" s="248"/>
      <c r="Z544" s="247"/>
      <c r="AA544" s="248"/>
      <c r="AB544" s="248"/>
      <c r="AC544" s="194"/>
      <c r="AD544" s="249"/>
      <c r="AE544" s="250"/>
      <c r="AF544" s="251"/>
      <c r="AG544" s="252"/>
      <c r="AH544" s="241"/>
      <c r="AI544" s="241"/>
      <c r="AJ544" s="241"/>
      <c r="AK544" s="194"/>
      <c r="AL544" s="195"/>
      <c r="AM544" s="195"/>
    </row>
    <row r="545" spans="2:39">
      <c r="B545" s="253">
        <f t="shared" si="181"/>
        <v>52</v>
      </c>
      <c r="C545" s="244"/>
      <c r="D545" s="661"/>
      <c r="E545" s="466"/>
      <c r="F545" s="615"/>
      <c r="G545" s="230"/>
      <c r="H545" s="230"/>
      <c r="I545" s="230"/>
      <c r="J545" s="230"/>
      <c r="K545" s="230"/>
      <c r="L545" s="228"/>
      <c r="M545" s="257"/>
      <c r="N545" s="228"/>
      <c r="O545" s="228"/>
      <c r="P545" s="258"/>
      <c r="Q545" s="2577"/>
      <c r="R545" s="2577"/>
      <c r="S545" s="254"/>
      <c r="T545" s="228"/>
      <c r="U545" s="2552"/>
      <c r="V545" s="256"/>
      <c r="W545" s="248"/>
      <c r="X545" s="248"/>
      <c r="Y545" s="248"/>
      <c r="Z545" s="247"/>
      <c r="AA545" s="248"/>
      <c r="AB545" s="248"/>
      <c r="AC545" s="194"/>
      <c r="AD545" s="249"/>
      <c r="AE545" s="250"/>
      <c r="AF545" s="251"/>
      <c r="AG545" s="252"/>
      <c r="AH545" s="241"/>
      <c r="AI545" s="241"/>
      <c r="AJ545" s="241"/>
      <c r="AK545" s="194"/>
      <c r="AL545" s="195"/>
      <c r="AM545" s="195"/>
    </row>
    <row r="546" spans="2:39">
      <c r="B546" s="253">
        <f t="shared" si="181"/>
        <v>53</v>
      </c>
      <c r="C546" s="244"/>
      <c r="D546" s="661"/>
      <c r="E546" s="466"/>
      <c r="F546" s="615"/>
      <c r="G546" s="230"/>
      <c r="H546" s="230"/>
      <c r="I546" s="230"/>
      <c r="J546" s="230"/>
      <c r="K546" s="230"/>
      <c r="L546" s="228"/>
      <c r="M546" s="257"/>
      <c r="N546" s="228"/>
      <c r="O546" s="228"/>
      <c r="P546" s="258"/>
      <c r="Q546" s="2577"/>
      <c r="R546" s="2577"/>
      <c r="S546" s="254"/>
      <c r="T546" s="228"/>
      <c r="U546" s="2552"/>
      <c r="V546" s="256"/>
      <c r="W546" s="248"/>
      <c r="X546" s="248"/>
      <c r="Y546" s="248"/>
      <c r="Z546" s="247"/>
      <c r="AA546" s="248"/>
      <c r="AB546" s="248"/>
      <c r="AC546" s="194"/>
      <c r="AD546" s="249"/>
      <c r="AE546" s="250"/>
      <c r="AF546" s="251"/>
      <c r="AG546" s="252"/>
      <c r="AH546" s="241"/>
      <c r="AI546" s="241"/>
      <c r="AJ546" s="241"/>
      <c r="AK546" s="194"/>
      <c r="AL546" s="195"/>
      <c r="AM546" s="195"/>
    </row>
    <row r="547" spans="2:39">
      <c r="B547" s="253">
        <f t="shared" si="181"/>
        <v>54</v>
      </c>
      <c r="C547" s="244"/>
      <c r="D547" s="661"/>
      <c r="E547" s="466"/>
      <c r="F547" s="615"/>
      <c r="G547" s="230"/>
      <c r="H547" s="230"/>
      <c r="I547" s="230"/>
      <c r="J547" s="230"/>
      <c r="K547" s="230"/>
      <c r="L547" s="228"/>
      <c r="M547" s="257"/>
      <c r="N547" s="228"/>
      <c r="O547" s="228"/>
      <c r="P547" s="258"/>
      <c r="Q547" s="2577"/>
      <c r="R547" s="2577"/>
      <c r="S547" s="254"/>
      <c r="T547" s="228"/>
      <c r="U547" s="2552"/>
      <c r="V547" s="256"/>
      <c r="W547" s="248"/>
      <c r="X547" s="248"/>
      <c r="Y547" s="248"/>
      <c r="Z547" s="247"/>
      <c r="AA547" s="248"/>
      <c r="AB547" s="248"/>
      <c r="AC547" s="194"/>
      <c r="AD547" s="249"/>
      <c r="AE547" s="250"/>
      <c r="AF547" s="251"/>
      <c r="AG547" s="252"/>
      <c r="AH547" s="241"/>
      <c r="AI547" s="241"/>
      <c r="AJ547" s="241"/>
      <c r="AK547" s="194"/>
      <c r="AL547" s="195"/>
      <c r="AM547" s="195"/>
    </row>
    <row r="548" spans="2:39">
      <c r="B548" s="253">
        <f t="shared" si="181"/>
        <v>55</v>
      </c>
      <c r="C548" s="244"/>
      <c r="D548" s="661"/>
      <c r="E548" s="466"/>
      <c r="F548" s="615"/>
      <c r="G548" s="230"/>
      <c r="H548" s="230"/>
      <c r="I548" s="230"/>
      <c r="J548" s="230"/>
      <c r="K548" s="230"/>
      <c r="L548" s="228"/>
      <c r="M548" s="257"/>
      <c r="N548" s="228"/>
      <c r="O548" s="228"/>
      <c r="P548" s="258"/>
      <c r="Q548" s="2577"/>
      <c r="R548" s="2577"/>
      <c r="S548" s="254"/>
      <c r="T548" s="228"/>
      <c r="U548" s="2552"/>
      <c r="V548" s="256"/>
      <c r="W548" s="248"/>
      <c r="X548" s="248"/>
      <c r="Y548" s="248"/>
      <c r="Z548" s="247"/>
      <c r="AA548" s="248"/>
      <c r="AB548" s="248"/>
      <c r="AC548" s="194"/>
      <c r="AD548" s="249"/>
      <c r="AE548" s="250"/>
      <c r="AF548" s="251"/>
      <c r="AG548" s="252"/>
      <c r="AH548" s="241"/>
      <c r="AI548" s="241"/>
      <c r="AJ548" s="241"/>
      <c r="AK548" s="194"/>
      <c r="AL548" s="195"/>
      <c r="AM548" s="195"/>
    </row>
    <row r="549" spans="2:39">
      <c r="B549" s="253">
        <f t="shared" si="181"/>
        <v>56</v>
      </c>
      <c r="C549" s="244"/>
      <c r="D549" s="661"/>
      <c r="E549" s="466"/>
      <c r="F549" s="615"/>
      <c r="G549" s="230"/>
      <c r="H549" s="230"/>
      <c r="I549" s="230"/>
      <c r="J549" s="230"/>
      <c r="K549" s="230"/>
      <c r="L549" s="228"/>
      <c r="M549" s="257"/>
      <c r="N549" s="228"/>
      <c r="O549" s="228"/>
      <c r="P549" s="258"/>
      <c r="Q549" s="2577"/>
      <c r="R549" s="2577"/>
      <c r="S549" s="254"/>
      <c r="T549" s="228"/>
      <c r="U549" s="2552"/>
      <c r="V549" s="256"/>
      <c r="W549" s="248"/>
      <c r="X549" s="248"/>
      <c r="Y549" s="248"/>
      <c r="Z549" s="247"/>
      <c r="AA549" s="248"/>
      <c r="AB549" s="248"/>
      <c r="AC549" s="194"/>
      <c r="AD549" s="249"/>
      <c r="AE549" s="250"/>
      <c r="AF549" s="251"/>
      <c r="AG549" s="252"/>
      <c r="AH549" s="241"/>
      <c r="AI549" s="241"/>
      <c r="AJ549" s="241"/>
      <c r="AK549" s="194"/>
      <c r="AL549" s="195"/>
      <c r="AM549" s="195"/>
    </row>
    <row r="550" spans="2:39">
      <c r="B550" s="253">
        <f t="shared" si="181"/>
        <v>57</v>
      </c>
      <c r="C550" s="244"/>
      <c r="D550" s="661"/>
      <c r="E550" s="466"/>
      <c r="F550" s="615"/>
      <c r="G550" s="230"/>
      <c r="H550" s="230"/>
      <c r="I550" s="230"/>
      <c r="J550" s="230"/>
      <c r="K550" s="230"/>
      <c r="L550" s="228"/>
      <c r="M550" s="257"/>
      <c r="N550" s="228"/>
      <c r="O550" s="228"/>
      <c r="P550" s="258"/>
      <c r="Q550" s="2577"/>
      <c r="R550" s="2577"/>
      <c r="S550" s="254"/>
      <c r="T550" s="228"/>
      <c r="U550" s="2552"/>
      <c r="V550" s="256"/>
      <c r="W550" s="248"/>
      <c r="X550" s="248"/>
      <c r="Y550" s="248"/>
      <c r="Z550" s="247"/>
      <c r="AA550" s="248"/>
      <c r="AB550" s="248"/>
      <c r="AC550" s="194"/>
      <c r="AD550" s="249"/>
      <c r="AE550" s="250"/>
      <c r="AF550" s="251"/>
      <c r="AG550" s="252"/>
      <c r="AH550" s="241"/>
      <c r="AI550" s="241"/>
      <c r="AJ550" s="241"/>
      <c r="AK550" s="194"/>
      <c r="AL550" s="195"/>
      <c r="AM550" s="195"/>
    </row>
    <row r="551" spans="2:39">
      <c r="B551" s="253">
        <f t="shared" si="181"/>
        <v>58</v>
      </c>
      <c r="C551" s="244"/>
      <c r="D551" s="661"/>
      <c r="E551" s="466"/>
      <c r="F551" s="615"/>
      <c r="G551" s="230"/>
      <c r="H551" s="230"/>
      <c r="I551" s="230"/>
      <c r="J551" s="230"/>
      <c r="K551" s="230"/>
      <c r="L551" s="228"/>
      <c r="M551" s="257"/>
      <c r="N551" s="228"/>
      <c r="O551" s="228"/>
      <c r="P551" s="258"/>
      <c r="Q551" s="2577"/>
      <c r="R551" s="2577"/>
      <c r="S551" s="254"/>
      <c r="T551" s="228"/>
      <c r="U551" s="2552"/>
      <c r="V551" s="256"/>
      <c r="W551" s="248"/>
      <c r="X551" s="248"/>
      <c r="Y551" s="248"/>
      <c r="Z551" s="247"/>
      <c r="AA551" s="248"/>
      <c r="AB551" s="248"/>
      <c r="AC551" s="194"/>
      <c r="AD551" s="249"/>
      <c r="AE551" s="250"/>
      <c r="AF551" s="251"/>
      <c r="AG551" s="252"/>
      <c r="AH551" s="241"/>
      <c r="AI551" s="241"/>
      <c r="AJ551" s="241"/>
      <c r="AK551" s="194"/>
      <c r="AL551" s="195"/>
      <c r="AM551" s="195"/>
    </row>
    <row r="552" spans="2:39">
      <c r="B552" s="253">
        <f t="shared" si="181"/>
        <v>59</v>
      </c>
      <c r="C552" s="244"/>
      <c r="D552" s="661"/>
      <c r="E552" s="466"/>
      <c r="F552" s="615"/>
      <c r="G552" s="230"/>
      <c r="H552" s="230"/>
      <c r="I552" s="230"/>
      <c r="J552" s="230"/>
      <c r="K552" s="230"/>
      <c r="L552" s="228"/>
      <c r="M552" s="257"/>
      <c r="N552" s="228"/>
      <c r="O552" s="228"/>
      <c r="P552" s="258"/>
      <c r="Q552" s="2577"/>
      <c r="R552" s="2577"/>
      <c r="S552" s="254"/>
      <c r="T552" s="228"/>
      <c r="U552" s="2552"/>
      <c r="V552" s="256"/>
      <c r="W552" s="248"/>
      <c r="X552" s="248"/>
      <c r="Y552" s="248"/>
      <c r="Z552" s="247"/>
      <c r="AA552" s="248"/>
      <c r="AB552" s="248"/>
      <c r="AC552" s="194"/>
      <c r="AD552" s="249"/>
      <c r="AE552" s="250"/>
      <c r="AF552" s="251"/>
      <c r="AG552" s="252"/>
      <c r="AH552" s="241"/>
      <c r="AI552" s="241"/>
      <c r="AJ552" s="241"/>
      <c r="AK552" s="194"/>
      <c r="AL552" s="195"/>
      <c r="AM552" s="195"/>
    </row>
    <row r="553" spans="2:39">
      <c r="B553" s="253">
        <f t="shared" si="181"/>
        <v>60</v>
      </c>
      <c r="C553" s="244"/>
      <c r="D553" s="661"/>
      <c r="E553" s="466"/>
      <c r="F553" s="615"/>
      <c r="G553" s="230"/>
      <c r="H553" s="230"/>
      <c r="I553" s="230"/>
      <c r="J553" s="230"/>
      <c r="K553" s="230"/>
      <c r="L553" s="228"/>
      <c r="M553" s="257"/>
      <c r="N553" s="228"/>
      <c r="O553" s="228"/>
      <c r="P553" s="258"/>
      <c r="Q553" s="2577"/>
      <c r="R553" s="2577"/>
      <c r="S553" s="254"/>
      <c r="T553" s="228"/>
      <c r="U553" s="2552"/>
      <c r="V553" s="256"/>
      <c r="W553" s="248"/>
      <c r="X553" s="248"/>
      <c r="Y553" s="248"/>
      <c r="Z553" s="247"/>
      <c r="AA553" s="248"/>
      <c r="AB553" s="248"/>
      <c r="AC553" s="194"/>
      <c r="AD553" s="249"/>
      <c r="AE553" s="250"/>
      <c r="AF553" s="251"/>
      <c r="AG553" s="252"/>
      <c r="AH553" s="241"/>
      <c r="AI553" s="241"/>
      <c r="AJ553" s="241"/>
      <c r="AK553" s="194"/>
      <c r="AL553" s="195"/>
      <c r="AM553" s="195"/>
    </row>
    <row r="554" spans="2:39">
      <c r="B554" s="253">
        <f t="shared" si="181"/>
        <v>61</v>
      </c>
      <c r="C554" s="244"/>
      <c r="D554" s="661"/>
      <c r="E554" s="466"/>
      <c r="F554" s="615"/>
      <c r="G554" s="230"/>
      <c r="H554" s="230"/>
      <c r="I554" s="230"/>
      <c r="J554" s="230"/>
      <c r="K554" s="230"/>
      <c r="L554" s="228"/>
      <c r="M554" s="257"/>
      <c r="N554" s="228"/>
      <c r="O554" s="228"/>
      <c r="P554" s="258"/>
      <c r="Q554" s="2577"/>
      <c r="R554" s="2577"/>
      <c r="S554" s="254"/>
      <c r="T554" s="228"/>
      <c r="U554" s="2552"/>
      <c r="V554" s="256"/>
      <c r="W554" s="248"/>
      <c r="X554" s="248"/>
      <c r="Y554" s="248"/>
      <c r="Z554" s="247"/>
      <c r="AA554" s="248"/>
      <c r="AB554" s="248"/>
      <c r="AC554" s="194"/>
      <c r="AD554" s="249"/>
      <c r="AE554" s="250"/>
      <c r="AF554" s="251"/>
      <c r="AG554" s="252"/>
      <c r="AH554" s="241"/>
      <c r="AI554" s="241"/>
      <c r="AJ554" s="241"/>
      <c r="AK554" s="194"/>
      <c r="AL554" s="195"/>
      <c r="AM554" s="195"/>
    </row>
    <row r="555" spans="2:39">
      <c r="B555" s="253">
        <f t="shared" si="181"/>
        <v>62</v>
      </c>
      <c r="C555" s="244"/>
      <c r="D555" s="661"/>
      <c r="E555" s="466"/>
      <c r="F555" s="615"/>
      <c r="G555" s="230"/>
      <c r="H555" s="230"/>
      <c r="I555" s="230"/>
      <c r="J555" s="230"/>
      <c r="K555" s="230"/>
      <c r="L555" s="228"/>
      <c r="M555" s="257"/>
      <c r="N555" s="228"/>
      <c r="O555" s="228"/>
      <c r="P555" s="258"/>
      <c r="Q555" s="2577"/>
      <c r="R555" s="2577"/>
      <c r="S555" s="254"/>
      <c r="T555" s="228"/>
      <c r="U555" s="2552"/>
      <c r="V555" s="256"/>
      <c r="W555" s="248"/>
      <c r="X555" s="248"/>
      <c r="Y555" s="248"/>
      <c r="Z555" s="247"/>
      <c r="AA555" s="248"/>
      <c r="AB555" s="248"/>
      <c r="AC555" s="194"/>
      <c r="AD555" s="249"/>
      <c r="AE555" s="250"/>
      <c r="AF555" s="251"/>
      <c r="AG555" s="252"/>
      <c r="AH555" s="241"/>
      <c r="AI555" s="241"/>
      <c r="AJ555" s="241"/>
      <c r="AK555" s="194"/>
      <c r="AL555" s="195"/>
      <c r="AM555" s="195"/>
    </row>
    <row r="556" spans="2:39">
      <c r="B556" s="253">
        <f t="shared" si="181"/>
        <v>63</v>
      </c>
      <c r="C556" s="244"/>
      <c r="D556" s="661"/>
      <c r="E556" s="466"/>
      <c r="F556" s="615"/>
      <c r="G556" s="230"/>
      <c r="H556" s="230"/>
      <c r="I556" s="230"/>
      <c r="J556" s="230"/>
      <c r="K556" s="230"/>
      <c r="L556" s="228"/>
      <c r="M556" s="257"/>
      <c r="N556" s="228"/>
      <c r="O556" s="228"/>
      <c r="P556" s="258"/>
      <c r="Q556" s="2577"/>
      <c r="R556" s="2577"/>
      <c r="S556" s="254"/>
      <c r="T556" s="228"/>
      <c r="U556" s="2552"/>
      <c r="V556" s="256"/>
      <c r="W556" s="248"/>
      <c r="X556" s="248"/>
      <c r="Y556" s="248"/>
      <c r="Z556" s="247"/>
      <c r="AA556" s="248"/>
      <c r="AB556" s="248"/>
      <c r="AC556" s="194"/>
      <c r="AD556" s="249"/>
      <c r="AE556" s="250"/>
      <c r="AF556" s="251"/>
      <c r="AG556" s="252"/>
      <c r="AH556" s="241"/>
      <c r="AI556" s="241"/>
      <c r="AJ556" s="241"/>
      <c r="AK556" s="194"/>
      <c r="AL556" s="195"/>
      <c r="AM556" s="195"/>
    </row>
    <row r="557" spans="2:39">
      <c r="B557" s="253">
        <f t="shared" si="181"/>
        <v>64</v>
      </c>
      <c r="C557" s="244"/>
      <c r="D557" s="661"/>
      <c r="E557" s="466"/>
      <c r="F557" s="615"/>
      <c r="G557" s="230"/>
      <c r="H557" s="230"/>
      <c r="I557" s="230"/>
      <c r="J557" s="230"/>
      <c r="K557" s="230"/>
      <c r="L557" s="228"/>
      <c r="M557" s="257"/>
      <c r="N557" s="228"/>
      <c r="O557" s="228"/>
      <c r="P557" s="258"/>
      <c r="Q557" s="2577"/>
      <c r="R557" s="2577"/>
      <c r="S557" s="254"/>
      <c r="T557" s="228"/>
      <c r="U557" s="2552"/>
      <c r="V557" s="256"/>
      <c r="W557" s="248"/>
      <c r="X557" s="248"/>
      <c r="Y557" s="248"/>
      <c r="Z557" s="247"/>
      <c r="AA557" s="248"/>
      <c r="AB557" s="248"/>
      <c r="AC557" s="194"/>
      <c r="AD557" s="249"/>
      <c r="AE557" s="250"/>
      <c r="AF557" s="251"/>
      <c r="AG557" s="252"/>
      <c r="AH557" s="241"/>
      <c r="AI557" s="241"/>
      <c r="AJ557" s="241"/>
      <c r="AK557" s="194"/>
      <c r="AL557" s="195"/>
      <c r="AM557" s="195"/>
    </row>
    <row r="558" spans="2:39">
      <c r="B558" s="253">
        <f t="shared" si="181"/>
        <v>65</v>
      </c>
      <c r="C558" s="244"/>
      <c r="D558" s="661"/>
      <c r="E558" s="466"/>
      <c r="F558" s="615"/>
      <c r="G558" s="230"/>
      <c r="H558" s="230"/>
      <c r="I558" s="230"/>
      <c r="J558" s="230"/>
      <c r="K558" s="230"/>
      <c r="L558" s="228"/>
      <c r="M558" s="257"/>
      <c r="N558" s="228"/>
      <c r="O558" s="228"/>
      <c r="P558" s="258"/>
      <c r="Q558" s="2577"/>
      <c r="R558" s="2577"/>
      <c r="S558" s="254"/>
      <c r="T558" s="228"/>
      <c r="U558" s="2552"/>
      <c r="V558" s="256"/>
      <c r="W558" s="248"/>
      <c r="X558" s="248"/>
      <c r="Y558" s="248"/>
      <c r="Z558" s="247"/>
      <c r="AA558" s="248"/>
      <c r="AB558" s="248"/>
      <c r="AC558" s="194"/>
      <c r="AD558" s="249"/>
      <c r="AE558" s="250"/>
      <c r="AF558" s="251"/>
      <c r="AG558" s="252"/>
      <c r="AH558" s="241"/>
      <c r="AI558" s="241"/>
      <c r="AJ558" s="241"/>
      <c r="AK558" s="194"/>
      <c r="AL558" s="195"/>
      <c r="AM558" s="195"/>
    </row>
    <row r="559" spans="2:39">
      <c r="B559" s="253">
        <f t="shared" si="181"/>
        <v>66</v>
      </c>
      <c r="C559" s="244"/>
      <c r="D559" s="661"/>
      <c r="E559" s="466"/>
      <c r="F559" s="615"/>
      <c r="G559" s="230"/>
      <c r="H559" s="230"/>
      <c r="I559" s="230"/>
      <c r="J559" s="230"/>
      <c r="K559" s="230"/>
      <c r="L559" s="228"/>
      <c r="M559" s="257"/>
      <c r="N559" s="228"/>
      <c r="O559" s="228"/>
      <c r="P559" s="258"/>
      <c r="Q559" s="2577"/>
      <c r="R559" s="2577"/>
      <c r="S559" s="254"/>
      <c r="T559" s="228"/>
      <c r="U559" s="2552"/>
      <c r="V559" s="256"/>
      <c r="W559" s="248"/>
      <c r="X559" s="248"/>
      <c r="Y559" s="248"/>
      <c r="Z559" s="247"/>
      <c r="AA559" s="248"/>
      <c r="AB559" s="248"/>
      <c r="AC559" s="194"/>
      <c r="AD559" s="249"/>
      <c r="AE559" s="250"/>
      <c r="AF559" s="251"/>
      <c r="AG559" s="252"/>
      <c r="AH559" s="241"/>
      <c r="AI559" s="241"/>
      <c r="AJ559" s="241"/>
      <c r="AK559" s="194"/>
      <c r="AL559" s="195"/>
      <c r="AM559" s="195"/>
    </row>
    <row r="560" spans="2:39">
      <c r="B560" s="253">
        <f t="shared" si="181"/>
        <v>67</v>
      </c>
      <c r="C560" s="244"/>
      <c r="D560" s="661"/>
      <c r="E560" s="466"/>
      <c r="F560" s="615"/>
      <c r="G560" s="230"/>
      <c r="H560" s="230"/>
      <c r="I560" s="230"/>
      <c r="J560" s="230"/>
      <c r="K560" s="230"/>
      <c r="L560" s="228"/>
      <c r="M560" s="257"/>
      <c r="N560" s="228"/>
      <c r="O560" s="228"/>
      <c r="P560" s="258"/>
      <c r="Q560" s="2577"/>
      <c r="R560" s="2577"/>
      <c r="S560" s="254"/>
      <c r="T560" s="228"/>
      <c r="U560" s="2552"/>
      <c r="V560" s="256"/>
      <c r="W560" s="248"/>
      <c r="X560" s="248"/>
      <c r="Y560" s="248"/>
      <c r="Z560" s="247"/>
      <c r="AA560" s="248"/>
      <c r="AB560" s="248"/>
      <c r="AC560" s="194"/>
      <c r="AD560" s="249"/>
      <c r="AE560" s="250"/>
      <c r="AF560" s="251"/>
      <c r="AG560" s="252"/>
      <c r="AH560" s="241"/>
      <c r="AI560" s="241"/>
      <c r="AJ560" s="241"/>
      <c r="AK560" s="194"/>
      <c r="AL560" s="195"/>
      <c r="AM560" s="195"/>
    </row>
    <row r="561" spans="2:39">
      <c r="B561" s="253">
        <f t="shared" si="181"/>
        <v>68</v>
      </c>
      <c r="C561" s="244"/>
      <c r="D561" s="661"/>
      <c r="E561" s="466"/>
      <c r="F561" s="615"/>
      <c r="G561" s="230"/>
      <c r="H561" s="230"/>
      <c r="I561" s="230"/>
      <c r="J561" s="230"/>
      <c r="K561" s="230"/>
      <c r="L561" s="228"/>
      <c r="M561" s="257"/>
      <c r="N561" s="228"/>
      <c r="O561" s="228"/>
      <c r="P561" s="258"/>
      <c r="Q561" s="2577"/>
      <c r="R561" s="2577"/>
      <c r="S561" s="254"/>
      <c r="T561" s="228"/>
      <c r="U561" s="2552"/>
      <c r="V561" s="256"/>
      <c r="W561" s="248"/>
      <c r="X561" s="248"/>
      <c r="Y561" s="248"/>
      <c r="Z561" s="247"/>
      <c r="AA561" s="248"/>
      <c r="AB561" s="248"/>
      <c r="AC561" s="194"/>
      <c r="AD561" s="249"/>
      <c r="AE561" s="250"/>
      <c r="AF561" s="251"/>
      <c r="AG561" s="252"/>
      <c r="AH561" s="241"/>
      <c r="AI561" s="241"/>
      <c r="AJ561" s="241"/>
      <c r="AK561" s="194"/>
      <c r="AL561" s="195"/>
      <c r="AM561" s="195"/>
    </row>
    <row r="562" spans="2:39">
      <c r="B562" s="253">
        <f t="shared" si="181"/>
        <v>69</v>
      </c>
      <c r="C562" s="244"/>
      <c r="D562" s="661"/>
      <c r="E562" s="466"/>
      <c r="F562" s="615"/>
      <c r="G562" s="230"/>
      <c r="H562" s="230"/>
      <c r="I562" s="230"/>
      <c r="J562" s="230"/>
      <c r="K562" s="230"/>
      <c r="L562" s="228"/>
      <c r="M562" s="257"/>
      <c r="N562" s="228"/>
      <c r="O562" s="228"/>
      <c r="P562" s="258"/>
      <c r="Q562" s="2577"/>
      <c r="R562" s="2577"/>
      <c r="S562" s="254"/>
      <c r="T562" s="228"/>
      <c r="U562" s="2552"/>
      <c r="V562" s="256"/>
      <c r="W562" s="248"/>
      <c r="X562" s="248"/>
      <c r="Y562" s="248"/>
      <c r="Z562" s="247"/>
      <c r="AA562" s="248"/>
      <c r="AB562" s="248"/>
      <c r="AC562" s="194"/>
      <c r="AD562" s="249"/>
      <c r="AE562" s="250"/>
      <c r="AF562" s="251"/>
      <c r="AG562" s="252"/>
      <c r="AH562" s="241"/>
      <c r="AI562" s="241"/>
      <c r="AJ562" s="241"/>
      <c r="AK562" s="194"/>
      <c r="AL562" s="195"/>
      <c r="AM562" s="195"/>
    </row>
    <row r="563" spans="2:39">
      <c r="B563" s="253">
        <f t="shared" si="181"/>
        <v>70</v>
      </c>
      <c r="C563" s="244"/>
      <c r="D563" s="661"/>
      <c r="E563" s="466"/>
      <c r="F563" s="615"/>
      <c r="G563" s="230"/>
      <c r="H563" s="230"/>
      <c r="I563" s="230"/>
      <c r="J563" s="230"/>
      <c r="K563" s="230"/>
      <c r="L563" s="228"/>
      <c r="M563" s="257"/>
      <c r="N563" s="228"/>
      <c r="O563" s="228"/>
      <c r="P563" s="258"/>
      <c r="Q563" s="2577"/>
      <c r="R563" s="2577"/>
      <c r="S563" s="254"/>
      <c r="T563" s="228"/>
      <c r="U563" s="2552"/>
      <c r="V563" s="256"/>
      <c r="W563" s="248"/>
      <c r="X563" s="248"/>
      <c r="Y563" s="248"/>
      <c r="Z563" s="247"/>
      <c r="AA563" s="248"/>
      <c r="AB563" s="248"/>
      <c r="AC563" s="194"/>
      <c r="AD563" s="249"/>
      <c r="AE563" s="250"/>
      <c r="AF563" s="251"/>
      <c r="AG563" s="252"/>
      <c r="AH563" s="241"/>
      <c r="AI563" s="241"/>
      <c r="AJ563" s="241"/>
      <c r="AK563" s="194"/>
      <c r="AL563" s="195"/>
      <c r="AM563" s="195"/>
    </row>
    <row r="564" spans="2:39">
      <c r="B564" s="253">
        <f t="shared" si="181"/>
        <v>71</v>
      </c>
      <c r="C564" s="244"/>
      <c r="D564" s="661"/>
      <c r="E564" s="466"/>
      <c r="F564" s="615"/>
      <c r="G564" s="230"/>
      <c r="H564" s="230"/>
      <c r="I564" s="230"/>
      <c r="J564" s="230"/>
      <c r="K564" s="230"/>
      <c r="L564" s="228"/>
      <c r="M564" s="257"/>
      <c r="N564" s="228"/>
      <c r="O564" s="228"/>
      <c r="P564" s="258"/>
      <c r="Q564" s="2577"/>
      <c r="R564" s="2577"/>
      <c r="S564" s="254"/>
      <c r="T564" s="228"/>
      <c r="U564" s="2552"/>
      <c r="V564" s="256"/>
      <c r="W564" s="248"/>
      <c r="X564" s="248"/>
      <c r="Y564" s="248"/>
      <c r="Z564" s="247"/>
      <c r="AA564" s="248"/>
      <c r="AB564" s="248"/>
      <c r="AC564" s="194"/>
      <c r="AD564" s="249"/>
      <c r="AE564" s="250"/>
      <c r="AF564" s="251"/>
      <c r="AG564" s="252"/>
      <c r="AH564" s="241"/>
      <c r="AI564" s="241"/>
      <c r="AJ564" s="241"/>
      <c r="AK564" s="194"/>
      <c r="AL564" s="195"/>
      <c r="AM564" s="195"/>
    </row>
    <row r="565" spans="2:39">
      <c r="B565" s="253">
        <f t="shared" si="181"/>
        <v>72</v>
      </c>
      <c r="C565" s="244"/>
      <c r="D565" s="661"/>
      <c r="E565" s="466"/>
      <c r="F565" s="615"/>
      <c r="G565" s="230"/>
      <c r="H565" s="230"/>
      <c r="I565" s="230"/>
      <c r="J565" s="230"/>
      <c r="K565" s="230"/>
      <c r="L565" s="228"/>
      <c r="M565" s="257"/>
      <c r="N565" s="228"/>
      <c r="O565" s="228"/>
      <c r="P565" s="258"/>
      <c r="Q565" s="2577"/>
      <c r="R565" s="2577"/>
      <c r="S565" s="254"/>
      <c r="T565" s="228"/>
      <c r="U565" s="2552"/>
      <c r="V565" s="256"/>
      <c r="W565" s="248"/>
      <c r="X565" s="248"/>
      <c r="Y565" s="248"/>
      <c r="Z565" s="247"/>
      <c r="AA565" s="248"/>
      <c r="AB565" s="248"/>
      <c r="AC565" s="194"/>
      <c r="AD565" s="249"/>
      <c r="AE565" s="250"/>
      <c r="AF565" s="251"/>
      <c r="AG565" s="252"/>
      <c r="AH565" s="241"/>
      <c r="AI565" s="241"/>
      <c r="AJ565" s="241"/>
      <c r="AK565" s="194"/>
      <c r="AL565" s="195"/>
      <c r="AM565" s="195"/>
    </row>
    <row r="566" spans="2:39">
      <c r="B566" s="253">
        <f t="shared" si="181"/>
        <v>73</v>
      </c>
      <c r="C566" s="244"/>
      <c r="D566" s="661"/>
      <c r="E566" s="466"/>
      <c r="F566" s="615"/>
      <c r="G566" s="230"/>
      <c r="H566" s="230"/>
      <c r="I566" s="230"/>
      <c r="J566" s="230"/>
      <c r="K566" s="230"/>
      <c r="L566" s="228"/>
      <c r="M566" s="257"/>
      <c r="N566" s="228"/>
      <c r="O566" s="228"/>
      <c r="P566" s="258"/>
      <c r="Q566" s="2577"/>
      <c r="R566" s="2577"/>
      <c r="S566" s="254"/>
      <c r="T566" s="228"/>
      <c r="U566" s="2552"/>
      <c r="V566" s="256"/>
      <c r="W566" s="248"/>
      <c r="X566" s="248"/>
      <c r="Y566" s="248"/>
      <c r="Z566" s="247"/>
      <c r="AA566" s="248"/>
      <c r="AB566" s="248"/>
      <c r="AC566" s="194"/>
      <c r="AD566" s="249"/>
      <c r="AE566" s="250"/>
      <c r="AF566" s="251"/>
      <c r="AG566" s="252"/>
      <c r="AH566" s="241"/>
      <c r="AI566" s="241"/>
      <c r="AJ566" s="241"/>
      <c r="AK566" s="194"/>
      <c r="AL566" s="195"/>
      <c r="AM566" s="195"/>
    </row>
    <row r="567" spans="2:39">
      <c r="B567" s="253">
        <f t="shared" si="181"/>
        <v>74</v>
      </c>
      <c r="C567" s="244"/>
      <c r="D567" s="661"/>
      <c r="E567" s="466"/>
      <c r="F567" s="615"/>
      <c r="G567" s="230"/>
      <c r="H567" s="230"/>
      <c r="I567" s="230"/>
      <c r="J567" s="230"/>
      <c r="K567" s="230"/>
      <c r="L567" s="228"/>
      <c r="M567" s="257"/>
      <c r="N567" s="228"/>
      <c r="O567" s="228"/>
      <c r="P567" s="258"/>
      <c r="Q567" s="2577"/>
      <c r="R567" s="2577"/>
      <c r="S567" s="254"/>
      <c r="T567" s="228"/>
      <c r="U567" s="2552"/>
      <c r="V567" s="256"/>
      <c r="W567" s="248"/>
      <c r="X567" s="248"/>
      <c r="Y567" s="248"/>
      <c r="Z567" s="247"/>
      <c r="AA567" s="248"/>
      <c r="AB567" s="248"/>
      <c r="AC567" s="194"/>
      <c r="AD567" s="249"/>
      <c r="AE567" s="250"/>
      <c r="AF567" s="251"/>
      <c r="AG567" s="252"/>
      <c r="AH567" s="241"/>
      <c r="AI567" s="241"/>
      <c r="AJ567" s="241"/>
      <c r="AK567" s="194"/>
      <c r="AL567" s="195"/>
      <c r="AM567" s="195"/>
    </row>
    <row r="568" spans="2:39">
      <c r="B568" s="253">
        <f t="shared" si="181"/>
        <v>75</v>
      </c>
      <c r="C568" s="244"/>
      <c r="D568" s="661"/>
      <c r="E568" s="466"/>
      <c r="F568" s="615"/>
      <c r="G568" s="230"/>
      <c r="H568" s="230"/>
      <c r="I568" s="230"/>
      <c r="J568" s="230"/>
      <c r="K568" s="230"/>
      <c r="L568" s="228"/>
      <c r="M568" s="257"/>
      <c r="N568" s="228"/>
      <c r="O568" s="228"/>
      <c r="P568" s="258"/>
      <c r="Q568" s="2577"/>
      <c r="R568" s="2577"/>
      <c r="S568" s="254"/>
      <c r="T568" s="228"/>
      <c r="U568" s="2552"/>
      <c r="V568" s="256"/>
      <c r="W568" s="248"/>
      <c r="X568" s="248"/>
      <c r="Y568" s="248"/>
      <c r="Z568" s="247"/>
      <c r="AA568" s="248"/>
      <c r="AB568" s="248"/>
      <c r="AC568" s="194"/>
      <c r="AD568" s="249"/>
      <c r="AE568" s="250"/>
      <c r="AF568" s="251"/>
      <c r="AG568" s="252"/>
      <c r="AH568" s="241"/>
      <c r="AI568" s="241"/>
      <c r="AJ568" s="241"/>
      <c r="AK568" s="194"/>
      <c r="AL568" s="195"/>
      <c r="AM568" s="195"/>
    </row>
    <row r="569" spans="2:39">
      <c r="B569" s="253">
        <f t="shared" si="181"/>
        <v>76</v>
      </c>
      <c r="C569" s="244"/>
      <c r="D569" s="661"/>
      <c r="E569" s="466"/>
      <c r="F569" s="615"/>
      <c r="G569" s="230"/>
      <c r="H569" s="230"/>
      <c r="I569" s="230"/>
      <c r="J569" s="230"/>
      <c r="K569" s="230"/>
      <c r="L569" s="228"/>
      <c r="M569" s="257"/>
      <c r="N569" s="228"/>
      <c r="O569" s="228"/>
      <c r="P569" s="258"/>
      <c r="Q569" s="2577"/>
      <c r="R569" s="2577"/>
      <c r="S569" s="254"/>
      <c r="T569" s="228"/>
      <c r="U569" s="2552"/>
      <c r="V569" s="256"/>
      <c r="W569" s="248"/>
      <c r="X569" s="248"/>
      <c r="Y569" s="248"/>
      <c r="Z569" s="247"/>
      <c r="AA569" s="248"/>
      <c r="AB569" s="248"/>
      <c r="AC569" s="194"/>
      <c r="AD569" s="249"/>
      <c r="AE569" s="250"/>
      <c r="AF569" s="251"/>
      <c r="AG569" s="252"/>
      <c r="AH569" s="241"/>
      <c r="AI569" s="241"/>
      <c r="AJ569" s="241"/>
      <c r="AK569" s="194"/>
      <c r="AL569" s="195"/>
      <c r="AM569" s="195"/>
    </row>
    <row r="570" spans="2:39">
      <c r="B570" s="253">
        <f t="shared" si="181"/>
        <v>77</v>
      </c>
      <c r="C570" s="244"/>
      <c r="D570" s="661"/>
      <c r="E570" s="466"/>
      <c r="F570" s="615"/>
      <c r="G570" s="230"/>
      <c r="H570" s="230"/>
      <c r="I570" s="230"/>
      <c r="J570" s="230"/>
      <c r="K570" s="230"/>
      <c r="L570" s="228"/>
      <c r="M570" s="257"/>
      <c r="N570" s="228"/>
      <c r="O570" s="228"/>
      <c r="P570" s="258"/>
      <c r="Q570" s="2577"/>
      <c r="R570" s="2577"/>
      <c r="S570" s="254"/>
      <c r="T570" s="228"/>
      <c r="U570" s="2552"/>
      <c r="V570" s="256"/>
      <c r="W570" s="248"/>
      <c r="X570" s="248"/>
      <c r="Y570" s="248"/>
      <c r="Z570" s="247"/>
      <c r="AA570" s="248"/>
      <c r="AB570" s="248"/>
      <c r="AC570" s="194"/>
      <c r="AD570" s="249"/>
      <c r="AE570" s="250"/>
      <c r="AF570" s="251"/>
      <c r="AG570" s="252"/>
      <c r="AH570" s="241"/>
      <c r="AI570" s="241"/>
      <c r="AJ570" s="241"/>
      <c r="AK570" s="194"/>
      <c r="AL570" s="195"/>
      <c r="AM570" s="195"/>
    </row>
    <row r="571" spans="2:39">
      <c r="B571" s="253">
        <f t="shared" si="181"/>
        <v>78</v>
      </c>
      <c r="C571" s="244"/>
      <c r="D571" s="661"/>
      <c r="E571" s="466"/>
      <c r="F571" s="615"/>
      <c r="G571" s="230"/>
      <c r="H571" s="230"/>
      <c r="I571" s="230"/>
      <c r="J571" s="230"/>
      <c r="K571" s="230"/>
      <c r="L571" s="228"/>
      <c r="M571" s="257"/>
      <c r="N571" s="228"/>
      <c r="O571" s="228"/>
      <c r="P571" s="258"/>
      <c r="Q571" s="2577"/>
      <c r="R571" s="2577"/>
      <c r="S571" s="254"/>
      <c r="T571" s="228"/>
      <c r="U571" s="2552"/>
      <c r="V571" s="256"/>
      <c r="W571" s="248"/>
      <c r="X571" s="248"/>
      <c r="Y571" s="248"/>
      <c r="Z571" s="247"/>
      <c r="AA571" s="248"/>
      <c r="AB571" s="248"/>
      <c r="AC571" s="194"/>
      <c r="AD571" s="249"/>
      <c r="AE571" s="250"/>
      <c r="AF571" s="251"/>
      <c r="AG571" s="252"/>
      <c r="AH571" s="241"/>
      <c r="AI571" s="241"/>
      <c r="AJ571" s="241"/>
      <c r="AK571" s="194"/>
      <c r="AL571" s="195"/>
      <c r="AM571" s="195"/>
    </row>
    <row r="572" spans="2:39">
      <c r="B572" s="253">
        <f t="shared" si="181"/>
        <v>79</v>
      </c>
      <c r="C572" s="244"/>
      <c r="D572" s="661"/>
      <c r="E572" s="466"/>
      <c r="F572" s="615"/>
      <c r="G572" s="230"/>
      <c r="H572" s="230"/>
      <c r="I572" s="230"/>
      <c r="J572" s="230"/>
      <c r="K572" s="230"/>
      <c r="L572" s="228"/>
      <c r="M572" s="257"/>
      <c r="N572" s="228"/>
      <c r="O572" s="228"/>
      <c r="P572" s="258"/>
      <c r="Q572" s="2577"/>
      <c r="R572" s="2577"/>
      <c r="S572" s="254"/>
      <c r="T572" s="228"/>
      <c r="U572" s="2552"/>
      <c r="V572" s="256"/>
      <c r="W572" s="248"/>
      <c r="X572" s="248"/>
      <c r="Y572" s="248"/>
      <c r="Z572" s="247"/>
      <c r="AA572" s="248"/>
      <c r="AB572" s="248"/>
      <c r="AC572" s="194"/>
      <c r="AD572" s="249"/>
      <c r="AE572" s="250"/>
      <c r="AF572" s="251"/>
      <c r="AG572" s="252"/>
      <c r="AH572" s="241"/>
      <c r="AI572" s="241"/>
      <c r="AJ572" s="241"/>
      <c r="AK572" s="194"/>
      <c r="AL572" s="195"/>
      <c r="AM572" s="195"/>
    </row>
    <row r="573" spans="2:39">
      <c r="B573" s="253">
        <f t="shared" si="181"/>
        <v>80</v>
      </c>
      <c r="C573" s="244"/>
      <c r="D573" s="661"/>
      <c r="E573" s="466"/>
      <c r="F573" s="615"/>
      <c r="G573" s="230"/>
      <c r="H573" s="230"/>
      <c r="I573" s="230"/>
      <c r="J573" s="230"/>
      <c r="K573" s="230"/>
      <c r="L573" s="228"/>
      <c r="M573" s="257"/>
      <c r="N573" s="228"/>
      <c r="O573" s="228"/>
      <c r="P573" s="258"/>
      <c r="Q573" s="2577"/>
      <c r="R573" s="2577"/>
      <c r="S573" s="254"/>
      <c r="T573" s="228"/>
      <c r="U573" s="2552"/>
      <c r="V573" s="256"/>
      <c r="W573" s="248"/>
      <c r="X573" s="248"/>
      <c r="Y573" s="248"/>
      <c r="Z573" s="247"/>
      <c r="AA573" s="248"/>
      <c r="AB573" s="248"/>
      <c r="AC573" s="194"/>
      <c r="AD573" s="249"/>
      <c r="AE573" s="250"/>
      <c r="AF573" s="251"/>
      <c r="AG573" s="252"/>
      <c r="AH573" s="241"/>
      <c r="AI573" s="241"/>
      <c r="AJ573" s="241"/>
      <c r="AK573" s="194"/>
      <c r="AL573" s="195"/>
      <c r="AM573" s="195"/>
    </row>
    <row r="574" spans="2:39">
      <c r="B574" s="253">
        <f t="shared" si="181"/>
        <v>81</v>
      </c>
      <c r="C574" s="244"/>
      <c r="D574" s="661"/>
      <c r="E574" s="466"/>
      <c r="F574" s="615"/>
      <c r="G574" s="230"/>
      <c r="H574" s="230"/>
      <c r="I574" s="230"/>
      <c r="J574" s="230"/>
      <c r="K574" s="230"/>
      <c r="L574" s="228"/>
      <c r="M574" s="257"/>
      <c r="N574" s="228"/>
      <c r="O574" s="228"/>
      <c r="P574" s="258"/>
      <c r="Q574" s="2577"/>
      <c r="R574" s="2577"/>
      <c r="S574" s="254"/>
      <c r="T574" s="228"/>
      <c r="U574" s="2552"/>
      <c r="V574" s="256"/>
      <c r="W574" s="248"/>
      <c r="X574" s="248"/>
      <c r="Y574" s="248"/>
      <c r="Z574" s="247"/>
      <c r="AA574" s="248"/>
      <c r="AB574" s="248"/>
      <c r="AC574" s="194"/>
      <c r="AD574" s="249"/>
      <c r="AE574" s="250"/>
      <c r="AF574" s="251"/>
      <c r="AG574" s="252"/>
      <c r="AH574" s="241"/>
      <c r="AI574" s="241"/>
      <c r="AJ574" s="241"/>
      <c r="AK574" s="194"/>
      <c r="AL574" s="195"/>
      <c r="AM574" s="195"/>
    </row>
    <row r="575" spans="2:39">
      <c r="B575" s="253">
        <f t="shared" si="181"/>
        <v>82</v>
      </c>
      <c r="C575" s="244"/>
      <c r="D575" s="661"/>
      <c r="E575" s="466"/>
      <c r="F575" s="615"/>
      <c r="G575" s="230"/>
      <c r="H575" s="230"/>
      <c r="I575" s="230"/>
      <c r="J575" s="230"/>
      <c r="K575" s="230"/>
      <c r="L575" s="228"/>
      <c r="M575" s="257"/>
      <c r="N575" s="228"/>
      <c r="O575" s="228"/>
      <c r="P575" s="258"/>
      <c r="Q575" s="2577"/>
      <c r="R575" s="2577"/>
      <c r="S575" s="254"/>
      <c r="T575" s="228"/>
      <c r="U575" s="2552"/>
      <c r="V575" s="256"/>
      <c r="W575" s="248"/>
      <c r="X575" s="248"/>
      <c r="Y575" s="248"/>
      <c r="Z575" s="247"/>
      <c r="AA575" s="248"/>
      <c r="AB575" s="248"/>
      <c r="AC575" s="194"/>
      <c r="AD575" s="249"/>
      <c r="AE575" s="250"/>
      <c r="AF575" s="251"/>
      <c r="AG575" s="252"/>
      <c r="AH575" s="241"/>
      <c r="AI575" s="241"/>
      <c r="AJ575" s="241"/>
      <c r="AK575" s="194"/>
      <c r="AL575" s="195"/>
      <c r="AM575" s="195"/>
    </row>
    <row r="576" spans="2:39">
      <c r="B576" s="253">
        <f t="shared" si="181"/>
        <v>83</v>
      </c>
      <c r="C576" s="244"/>
      <c r="D576" s="661"/>
      <c r="E576" s="466"/>
      <c r="F576" s="615"/>
      <c r="G576" s="230"/>
      <c r="H576" s="230"/>
      <c r="I576" s="230"/>
      <c r="J576" s="230"/>
      <c r="K576" s="230"/>
      <c r="L576" s="228"/>
      <c r="M576" s="257"/>
      <c r="N576" s="228"/>
      <c r="O576" s="228"/>
      <c r="P576" s="258"/>
      <c r="Q576" s="2577"/>
      <c r="R576" s="2577"/>
      <c r="S576" s="254"/>
      <c r="T576" s="228"/>
      <c r="U576" s="2552"/>
      <c r="V576" s="256"/>
      <c r="W576" s="248"/>
      <c r="X576" s="248"/>
      <c r="Y576" s="248"/>
      <c r="Z576" s="247"/>
      <c r="AA576" s="248"/>
      <c r="AB576" s="248"/>
      <c r="AC576" s="194"/>
      <c r="AD576" s="249"/>
      <c r="AE576" s="250"/>
      <c r="AF576" s="251"/>
      <c r="AG576" s="252"/>
      <c r="AH576" s="241"/>
      <c r="AI576" s="241"/>
      <c r="AJ576" s="241"/>
      <c r="AK576" s="194"/>
      <c r="AL576" s="195"/>
      <c r="AM576" s="195"/>
    </row>
    <row r="577" spans="2:39">
      <c r="B577" s="253">
        <f t="shared" si="181"/>
        <v>84</v>
      </c>
      <c r="C577" s="244"/>
      <c r="D577" s="661"/>
      <c r="E577" s="466"/>
      <c r="F577" s="615"/>
      <c r="G577" s="230"/>
      <c r="H577" s="230"/>
      <c r="I577" s="230"/>
      <c r="J577" s="230"/>
      <c r="K577" s="230"/>
      <c r="L577" s="228"/>
      <c r="M577" s="257"/>
      <c r="N577" s="228"/>
      <c r="O577" s="228"/>
      <c r="P577" s="258"/>
      <c r="Q577" s="2577"/>
      <c r="R577" s="2577"/>
      <c r="S577" s="254"/>
      <c r="T577" s="228"/>
      <c r="U577" s="2552"/>
      <c r="V577" s="256"/>
      <c r="W577" s="248"/>
      <c r="X577" s="248"/>
      <c r="Y577" s="248"/>
      <c r="Z577" s="247"/>
      <c r="AA577" s="248"/>
      <c r="AB577" s="248"/>
      <c r="AC577" s="194"/>
      <c r="AD577" s="249"/>
      <c r="AE577" s="250"/>
      <c r="AF577" s="251"/>
      <c r="AG577" s="252"/>
      <c r="AH577" s="241"/>
      <c r="AI577" s="241"/>
      <c r="AJ577" s="241"/>
      <c r="AK577" s="194"/>
      <c r="AL577" s="195"/>
      <c r="AM577" s="195"/>
    </row>
    <row r="578" spans="2:39">
      <c r="B578" s="253">
        <f t="shared" si="181"/>
        <v>85</v>
      </c>
      <c r="C578" s="244"/>
      <c r="D578" s="661"/>
      <c r="E578" s="466"/>
      <c r="F578" s="615"/>
      <c r="G578" s="230"/>
      <c r="H578" s="230"/>
      <c r="I578" s="230"/>
      <c r="J578" s="230"/>
      <c r="K578" s="230"/>
      <c r="L578" s="228"/>
      <c r="M578" s="257"/>
      <c r="N578" s="228"/>
      <c r="O578" s="228"/>
      <c r="P578" s="258"/>
      <c r="Q578" s="2577"/>
      <c r="R578" s="2577"/>
      <c r="S578" s="254"/>
      <c r="T578" s="228"/>
      <c r="U578" s="2552"/>
      <c r="V578" s="256"/>
      <c r="W578" s="248"/>
      <c r="X578" s="248"/>
      <c r="Y578" s="248"/>
      <c r="Z578" s="247"/>
      <c r="AA578" s="248"/>
      <c r="AB578" s="248"/>
      <c r="AC578" s="194"/>
      <c r="AD578" s="249"/>
      <c r="AE578" s="250"/>
      <c r="AF578" s="251"/>
      <c r="AG578" s="252"/>
      <c r="AH578" s="241"/>
      <c r="AI578" s="241"/>
      <c r="AJ578" s="241"/>
      <c r="AK578" s="194"/>
      <c r="AL578" s="195"/>
      <c r="AM578" s="195"/>
    </row>
    <row r="579" spans="2:39">
      <c r="B579" s="253">
        <f t="shared" ref="B579:B642" si="182">+B578+1</f>
        <v>86</v>
      </c>
      <c r="C579" s="244"/>
      <c r="D579" s="661"/>
      <c r="E579" s="466"/>
      <c r="F579" s="615"/>
      <c r="G579" s="230"/>
      <c r="H579" s="230"/>
      <c r="I579" s="230"/>
      <c r="J579" s="230"/>
      <c r="K579" s="230"/>
      <c r="L579" s="228"/>
      <c r="M579" s="257"/>
      <c r="N579" s="228"/>
      <c r="O579" s="228"/>
      <c r="P579" s="258"/>
      <c r="Q579" s="2577"/>
      <c r="R579" s="2577"/>
      <c r="S579" s="254"/>
      <c r="T579" s="228"/>
      <c r="U579" s="2552"/>
      <c r="V579" s="256"/>
      <c r="W579" s="248"/>
      <c r="X579" s="248"/>
      <c r="Y579" s="248"/>
      <c r="Z579" s="247"/>
      <c r="AA579" s="248"/>
      <c r="AB579" s="248"/>
      <c r="AC579" s="194"/>
      <c r="AD579" s="249"/>
      <c r="AE579" s="250"/>
      <c r="AF579" s="251"/>
      <c r="AG579" s="252"/>
      <c r="AH579" s="241"/>
      <c r="AI579" s="241"/>
      <c r="AJ579" s="241"/>
      <c r="AK579" s="194"/>
      <c r="AL579" s="195"/>
      <c r="AM579" s="195"/>
    </row>
    <row r="580" spans="2:39">
      <c r="B580" s="253">
        <f t="shared" si="182"/>
        <v>87</v>
      </c>
      <c r="C580" s="244"/>
      <c r="D580" s="661"/>
      <c r="E580" s="466"/>
      <c r="F580" s="615"/>
      <c r="G580" s="230"/>
      <c r="H580" s="230"/>
      <c r="I580" s="230"/>
      <c r="J580" s="230"/>
      <c r="K580" s="230"/>
      <c r="L580" s="228"/>
      <c r="M580" s="257"/>
      <c r="N580" s="228"/>
      <c r="O580" s="228"/>
      <c r="P580" s="258"/>
      <c r="Q580" s="2577"/>
      <c r="R580" s="2577"/>
      <c r="S580" s="254"/>
      <c r="T580" s="228"/>
      <c r="U580" s="2552"/>
      <c r="V580" s="256"/>
      <c r="W580" s="248"/>
      <c r="X580" s="248"/>
      <c r="Y580" s="248"/>
      <c r="Z580" s="247"/>
      <c r="AA580" s="248"/>
      <c r="AB580" s="248"/>
      <c r="AC580" s="194"/>
      <c r="AD580" s="249"/>
      <c r="AE580" s="250"/>
      <c r="AF580" s="251"/>
      <c r="AG580" s="252"/>
      <c r="AH580" s="241"/>
      <c r="AI580" s="241"/>
      <c r="AJ580" s="241"/>
      <c r="AK580" s="194"/>
      <c r="AL580" s="195"/>
      <c r="AM580" s="195"/>
    </row>
    <row r="581" spans="2:39">
      <c r="B581" s="253">
        <f t="shared" si="182"/>
        <v>88</v>
      </c>
      <c r="C581" s="244"/>
      <c r="D581" s="661"/>
      <c r="E581" s="466"/>
      <c r="F581" s="615"/>
      <c r="G581" s="230"/>
      <c r="H581" s="230"/>
      <c r="I581" s="230"/>
      <c r="J581" s="230"/>
      <c r="K581" s="230"/>
      <c r="L581" s="228"/>
      <c r="M581" s="257"/>
      <c r="N581" s="228"/>
      <c r="O581" s="228"/>
      <c r="P581" s="258"/>
      <c r="Q581" s="2577"/>
      <c r="R581" s="2577"/>
      <c r="S581" s="254"/>
      <c r="T581" s="228"/>
      <c r="U581" s="2552"/>
      <c r="V581" s="256"/>
      <c r="W581" s="248"/>
      <c r="X581" s="248"/>
      <c r="Y581" s="248"/>
      <c r="Z581" s="247"/>
      <c r="AA581" s="248"/>
      <c r="AB581" s="248"/>
      <c r="AC581" s="194"/>
      <c r="AD581" s="249"/>
      <c r="AE581" s="250"/>
      <c r="AF581" s="251"/>
      <c r="AG581" s="252"/>
      <c r="AH581" s="241"/>
      <c r="AI581" s="241"/>
      <c r="AJ581" s="241"/>
      <c r="AK581" s="194"/>
      <c r="AL581" s="195"/>
      <c r="AM581" s="195"/>
    </row>
    <row r="582" spans="2:39">
      <c r="B582" s="253">
        <f t="shared" si="182"/>
        <v>89</v>
      </c>
      <c r="C582" s="244"/>
      <c r="D582" s="661"/>
      <c r="E582" s="466"/>
      <c r="F582" s="615"/>
      <c r="G582" s="230"/>
      <c r="H582" s="230"/>
      <c r="I582" s="230"/>
      <c r="J582" s="230"/>
      <c r="K582" s="230"/>
      <c r="L582" s="228"/>
      <c r="M582" s="257"/>
      <c r="N582" s="228"/>
      <c r="O582" s="228"/>
      <c r="P582" s="258"/>
      <c r="Q582" s="2577"/>
      <c r="R582" s="2577"/>
      <c r="S582" s="254"/>
      <c r="T582" s="228"/>
      <c r="U582" s="2552"/>
      <c r="V582" s="256"/>
      <c r="W582" s="248"/>
      <c r="X582" s="248"/>
      <c r="Y582" s="248"/>
      <c r="Z582" s="247"/>
      <c r="AA582" s="248"/>
      <c r="AB582" s="248"/>
      <c r="AC582" s="194"/>
      <c r="AD582" s="249"/>
      <c r="AE582" s="250"/>
      <c r="AF582" s="251"/>
      <c r="AG582" s="252"/>
      <c r="AH582" s="241"/>
      <c r="AI582" s="241"/>
      <c r="AJ582" s="241"/>
      <c r="AK582" s="194"/>
      <c r="AL582" s="195"/>
      <c r="AM582" s="195"/>
    </row>
    <row r="583" spans="2:39">
      <c r="B583" s="253">
        <f t="shared" si="182"/>
        <v>90</v>
      </c>
      <c r="C583" s="244"/>
      <c r="D583" s="661"/>
      <c r="E583" s="466"/>
      <c r="F583" s="615"/>
      <c r="G583" s="230"/>
      <c r="H583" s="230"/>
      <c r="I583" s="230"/>
      <c r="J583" s="230"/>
      <c r="K583" s="230"/>
      <c r="L583" s="228"/>
      <c r="M583" s="257"/>
      <c r="N583" s="228"/>
      <c r="O583" s="228"/>
      <c r="P583" s="258"/>
      <c r="Q583" s="2577"/>
      <c r="R583" s="2577"/>
      <c r="S583" s="254"/>
      <c r="T583" s="228"/>
      <c r="U583" s="2552"/>
      <c r="V583" s="256"/>
      <c r="W583" s="248"/>
      <c r="X583" s="248"/>
      <c r="Y583" s="248"/>
      <c r="Z583" s="247"/>
      <c r="AA583" s="248"/>
      <c r="AB583" s="248"/>
      <c r="AC583" s="194"/>
      <c r="AD583" s="249"/>
      <c r="AE583" s="250"/>
      <c r="AF583" s="251"/>
      <c r="AG583" s="252"/>
      <c r="AH583" s="241"/>
      <c r="AI583" s="241"/>
      <c r="AJ583" s="241"/>
      <c r="AK583" s="194"/>
      <c r="AL583" s="195"/>
      <c r="AM583" s="195"/>
    </row>
    <row r="584" spans="2:39">
      <c r="B584" s="253">
        <f t="shared" si="182"/>
        <v>91</v>
      </c>
      <c r="C584" s="244"/>
      <c r="D584" s="661"/>
      <c r="E584" s="466"/>
      <c r="F584" s="615"/>
      <c r="G584" s="230"/>
      <c r="H584" s="230"/>
      <c r="I584" s="230"/>
      <c r="J584" s="230"/>
      <c r="K584" s="230"/>
      <c r="L584" s="228"/>
      <c r="M584" s="257"/>
      <c r="N584" s="228"/>
      <c r="O584" s="228"/>
      <c r="P584" s="258"/>
      <c r="Q584" s="2577"/>
      <c r="R584" s="2577"/>
      <c r="S584" s="254"/>
      <c r="T584" s="228"/>
      <c r="U584" s="2552"/>
      <c r="V584" s="256"/>
      <c r="W584" s="248"/>
      <c r="X584" s="248"/>
      <c r="Y584" s="248"/>
      <c r="Z584" s="247"/>
      <c r="AA584" s="248"/>
      <c r="AB584" s="248"/>
      <c r="AC584" s="194"/>
      <c r="AD584" s="249"/>
      <c r="AE584" s="250"/>
      <c r="AF584" s="251"/>
      <c r="AG584" s="252"/>
      <c r="AH584" s="241"/>
      <c r="AI584" s="241"/>
      <c r="AJ584" s="241"/>
      <c r="AK584" s="194"/>
      <c r="AL584" s="195"/>
      <c r="AM584" s="195"/>
    </row>
    <row r="585" spans="2:39">
      <c r="B585" s="253">
        <f t="shared" si="182"/>
        <v>92</v>
      </c>
      <c r="C585" s="244"/>
      <c r="D585" s="661"/>
      <c r="E585" s="466"/>
      <c r="F585" s="615"/>
      <c r="G585" s="230"/>
      <c r="H585" s="230"/>
      <c r="I585" s="230"/>
      <c r="J585" s="230"/>
      <c r="K585" s="230"/>
      <c r="L585" s="228"/>
      <c r="M585" s="257"/>
      <c r="N585" s="228"/>
      <c r="O585" s="228"/>
      <c r="P585" s="258"/>
      <c r="Q585" s="2577"/>
      <c r="R585" s="2577"/>
      <c r="S585" s="254"/>
      <c r="T585" s="228"/>
      <c r="U585" s="2552"/>
      <c r="V585" s="256"/>
      <c r="W585" s="248"/>
      <c r="X585" s="248"/>
      <c r="Y585" s="248"/>
      <c r="Z585" s="247"/>
      <c r="AA585" s="248"/>
      <c r="AB585" s="248"/>
      <c r="AC585" s="194"/>
      <c r="AD585" s="249"/>
      <c r="AE585" s="250"/>
      <c r="AF585" s="251"/>
      <c r="AG585" s="252"/>
      <c r="AH585" s="241"/>
      <c r="AI585" s="241"/>
      <c r="AJ585" s="241"/>
      <c r="AK585" s="194"/>
      <c r="AL585" s="195"/>
      <c r="AM585" s="195"/>
    </row>
    <row r="586" spans="2:39">
      <c r="B586" s="253">
        <f t="shared" si="182"/>
        <v>93</v>
      </c>
      <c r="C586" s="244"/>
      <c r="D586" s="661"/>
      <c r="E586" s="466"/>
      <c r="F586" s="615"/>
      <c r="G586" s="230"/>
      <c r="H586" s="230"/>
      <c r="I586" s="230"/>
      <c r="J586" s="230"/>
      <c r="K586" s="230"/>
      <c r="L586" s="228"/>
      <c r="M586" s="257"/>
      <c r="N586" s="228"/>
      <c r="O586" s="228"/>
      <c r="P586" s="258"/>
      <c r="Q586" s="2577"/>
      <c r="R586" s="2577"/>
      <c r="S586" s="254"/>
      <c r="T586" s="228"/>
      <c r="U586" s="2552"/>
      <c r="V586" s="256"/>
      <c r="W586" s="248"/>
      <c r="X586" s="248"/>
      <c r="Y586" s="248"/>
      <c r="Z586" s="247"/>
      <c r="AA586" s="248"/>
      <c r="AB586" s="248"/>
      <c r="AC586" s="194"/>
      <c r="AD586" s="249"/>
      <c r="AE586" s="250"/>
      <c r="AF586" s="251"/>
      <c r="AG586" s="252"/>
      <c r="AH586" s="241"/>
      <c r="AI586" s="241"/>
      <c r="AJ586" s="241"/>
      <c r="AK586" s="194"/>
      <c r="AL586" s="195"/>
      <c r="AM586" s="195"/>
    </row>
    <row r="587" spans="2:39">
      <c r="B587" s="253">
        <f t="shared" si="182"/>
        <v>94</v>
      </c>
      <c r="C587" s="244"/>
      <c r="D587" s="661"/>
      <c r="E587" s="466"/>
      <c r="F587" s="615"/>
      <c r="G587" s="230"/>
      <c r="H587" s="230"/>
      <c r="I587" s="230"/>
      <c r="J587" s="230"/>
      <c r="K587" s="230"/>
      <c r="L587" s="228"/>
      <c r="M587" s="257"/>
      <c r="N587" s="228"/>
      <c r="O587" s="228"/>
      <c r="P587" s="258"/>
      <c r="Q587" s="2577"/>
      <c r="R587" s="2577"/>
      <c r="S587" s="254"/>
      <c r="T587" s="228"/>
      <c r="U587" s="2552"/>
      <c r="V587" s="256"/>
      <c r="W587" s="248"/>
      <c r="X587" s="248"/>
      <c r="Y587" s="248"/>
      <c r="Z587" s="247"/>
      <c r="AA587" s="248"/>
      <c r="AB587" s="248"/>
      <c r="AC587" s="194"/>
      <c r="AD587" s="249"/>
      <c r="AE587" s="250"/>
      <c r="AF587" s="251"/>
      <c r="AG587" s="252"/>
      <c r="AH587" s="241"/>
      <c r="AI587" s="241"/>
      <c r="AJ587" s="241"/>
      <c r="AK587" s="194"/>
      <c r="AL587" s="195"/>
      <c r="AM587" s="195"/>
    </row>
    <row r="588" spans="2:39">
      <c r="B588" s="253">
        <f t="shared" si="182"/>
        <v>95</v>
      </c>
      <c r="C588" s="244"/>
      <c r="D588" s="661"/>
      <c r="E588" s="466"/>
      <c r="F588" s="615"/>
      <c r="G588" s="230"/>
      <c r="H588" s="230"/>
      <c r="I588" s="230"/>
      <c r="J588" s="230"/>
      <c r="K588" s="230"/>
      <c r="L588" s="228"/>
      <c r="M588" s="257"/>
      <c r="N588" s="228"/>
      <c r="O588" s="228"/>
      <c r="P588" s="258"/>
      <c r="Q588" s="2577"/>
      <c r="R588" s="2577"/>
      <c r="S588" s="254"/>
      <c r="T588" s="228"/>
      <c r="U588" s="2552"/>
      <c r="V588" s="256"/>
      <c r="W588" s="248"/>
      <c r="X588" s="248"/>
      <c r="Y588" s="248"/>
      <c r="Z588" s="247"/>
      <c r="AA588" s="248"/>
      <c r="AB588" s="248"/>
      <c r="AC588" s="194"/>
      <c r="AD588" s="249"/>
      <c r="AE588" s="250"/>
      <c r="AF588" s="251"/>
      <c r="AG588" s="252"/>
      <c r="AH588" s="241"/>
      <c r="AI588" s="241"/>
      <c r="AJ588" s="241"/>
      <c r="AK588" s="194"/>
      <c r="AL588" s="195"/>
      <c r="AM588" s="195"/>
    </row>
    <row r="589" spans="2:39">
      <c r="B589" s="253">
        <f t="shared" si="182"/>
        <v>96</v>
      </c>
      <c r="C589" s="244"/>
      <c r="D589" s="661"/>
      <c r="E589" s="466"/>
      <c r="F589" s="615"/>
      <c r="G589" s="230"/>
      <c r="H589" s="230"/>
      <c r="I589" s="230"/>
      <c r="J589" s="230"/>
      <c r="K589" s="230"/>
      <c r="L589" s="228"/>
      <c r="M589" s="257"/>
      <c r="N589" s="228"/>
      <c r="O589" s="228"/>
      <c r="P589" s="258"/>
      <c r="Q589" s="2577"/>
      <c r="R589" s="2577"/>
      <c r="S589" s="254"/>
      <c r="T589" s="228"/>
      <c r="U589" s="2552"/>
      <c r="V589" s="256"/>
      <c r="W589" s="248"/>
      <c r="X589" s="248"/>
      <c r="Y589" s="248"/>
      <c r="Z589" s="247"/>
      <c r="AA589" s="248"/>
      <c r="AB589" s="248"/>
      <c r="AC589" s="194"/>
      <c r="AD589" s="249"/>
      <c r="AE589" s="250"/>
      <c r="AF589" s="251"/>
      <c r="AG589" s="252"/>
      <c r="AH589" s="241"/>
      <c r="AI589" s="241"/>
      <c r="AJ589" s="241"/>
      <c r="AK589" s="194"/>
      <c r="AL589" s="195"/>
      <c r="AM589" s="195"/>
    </row>
    <row r="590" spans="2:39">
      <c r="B590" s="253">
        <f t="shared" si="182"/>
        <v>97</v>
      </c>
      <c r="C590" s="244"/>
      <c r="D590" s="661"/>
      <c r="E590" s="466"/>
      <c r="F590" s="615"/>
      <c r="G590" s="230"/>
      <c r="H590" s="230"/>
      <c r="I590" s="230"/>
      <c r="J590" s="230"/>
      <c r="K590" s="230"/>
      <c r="L590" s="228"/>
      <c r="M590" s="257"/>
      <c r="N590" s="228"/>
      <c r="O590" s="228"/>
      <c r="P590" s="258"/>
      <c r="Q590" s="2577"/>
      <c r="R590" s="2577"/>
      <c r="S590" s="254"/>
      <c r="T590" s="228"/>
      <c r="U590" s="2552"/>
      <c r="V590" s="256"/>
      <c r="W590" s="248"/>
      <c r="X590" s="248"/>
      <c r="Y590" s="248"/>
      <c r="Z590" s="247"/>
      <c r="AA590" s="248"/>
      <c r="AB590" s="248"/>
      <c r="AC590" s="194"/>
      <c r="AD590" s="249"/>
      <c r="AE590" s="250"/>
      <c r="AF590" s="251"/>
      <c r="AG590" s="252"/>
      <c r="AH590" s="241"/>
      <c r="AI590" s="241"/>
      <c r="AJ590" s="241"/>
      <c r="AK590" s="194"/>
      <c r="AL590" s="195"/>
      <c r="AM590" s="195"/>
    </row>
    <row r="591" spans="2:39">
      <c r="B591" s="253">
        <f t="shared" si="182"/>
        <v>98</v>
      </c>
      <c r="C591" s="244"/>
      <c r="D591" s="661"/>
      <c r="E591" s="466"/>
      <c r="F591" s="615"/>
      <c r="G591" s="230"/>
      <c r="H591" s="230"/>
      <c r="I591" s="230"/>
      <c r="J591" s="230"/>
      <c r="K591" s="230"/>
      <c r="L591" s="228"/>
      <c r="M591" s="257"/>
      <c r="N591" s="228"/>
      <c r="O591" s="228"/>
      <c r="P591" s="258"/>
      <c r="Q591" s="2577"/>
      <c r="R591" s="2577"/>
      <c r="S591" s="254"/>
      <c r="T591" s="228"/>
      <c r="U591" s="2552"/>
      <c r="V591" s="256"/>
      <c r="W591" s="248"/>
      <c r="X591" s="248"/>
      <c r="Y591" s="248"/>
      <c r="Z591" s="247"/>
      <c r="AA591" s="248"/>
      <c r="AB591" s="248"/>
      <c r="AC591" s="194"/>
      <c r="AD591" s="249"/>
      <c r="AE591" s="250"/>
      <c r="AF591" s="251"/>
      <c r="AG591" s="252"/>
      <c r="AH591" s="241"/>
      <c r="AI591" s="241"/>
      <c r="AJ591" s="241"/>
      <c r="AK591" s="194"/>
      <c r="AL591" s="195"/>
      <c r="AM591" s="195"/>
    </row>
    <row r="592" spans="2:39">
      <c r="B592" s="253">
        <f t="shared" si="182"/>
        <v>99</v>
      </c>
      <c r="C592" s="244"/>
      <c r="D592" s="661"/>
      <c r="E592" s="466"/>
      <c r="F592" s="615"/>
      <c r="G592" s="230"/>
      <c r="H592" s="230"/>
      <c r="I592" s="230"/>
      <c r="J592" s="230"/>
      <c r="K592" s="230"/>
      <c r="L592" s="228"/>
      <c r="M592" s="257"/>
      <c r="N592" s="228"/>
      <c r="O592" s="228"/>
      <c r="P592" s="258"/>
      <c r="Q592" s="2577"/>
      <c r="R592" s="2577"/>
      <c r="S592" s="254"/>
      <c r="T592" s="228"/>
      <c r="U592" s="2552"/>
      <c r="V592" s="256"/>
      <c r="W592" s="248"/>
      <c r="X592" s="248"/>
      <c r="Y592" s="248"/>
      <c r="Z592" s="247"/>
      <c r="AA592" s="248"/>
      <c r="AB592" s="248"/>
      <c r="AC592" s="194"/>
      <c r="AD592" s="249"/>
      <c r="AE592" s="250"/>
      <c r="AF592" s="251"/>
      <c r="AG592" s="252"/>
      <c r="AH592" s="241"/>
      <c r="AI592" s="241"/>
      <c r="AJ592" s="241"/>
      <c r="AK592" s="194"/>
      <c r="AL592" s="195"/>
      <c r="AM592" s="195"/>
    </row>
    <row r="593" spans="2:39">
      <c r="B593" s="253">
        <f t="shared" si="182"/>
        <v>100</v>
      </c>
      <c r="C593" s="244"/>
      <c r="D593" s="661"/>
      <c r="E593" s="466"/>
      <c r="F593" s="615"/>
      <c r="G593" s="230"/>
      <c r="H593" s="230"/>
      <c r="I593" s="230"/>
      <c r="J593" s="230"/>
      <c r="K593" s="230"/>
      <c r="L593" s="228"/>
      <c r="M593" s="257"/>
      <c r="N593" s="228"/>
      <c r="O593" s="228"/>
      <c r="P593" s="258"/>
      <c r="Q593" s="2577"/>
      <c r="R593" s="2577"/>
      <c r="S593" s="254"/>
      <c r="T593" s="228"/>
      <c r="U593" s="2552"/>
      <c r="V593" s="256"/>
      <c r="W593" s="248"/>
      <c r="X593" s="248"/>
      <c r="Y593" s="248"/>
      <c r="Z593" s="247"/>
      <c r="AA593" s="248"/>
      <c r="AB593" s="248"/>
      <c r="AC593" s="194"/>
      <c r="AD593" s="249"/>
      <c r="AE593" s="250"/>
      <c r="AF593" s="251"/>
      <c r="AG593" s="252"/>
      <c r="AH593" s="241"/>
      <c r="AI593" s="241"/>
      <c r="AJ593" s="241"/>
      <c r="AK593" s="194"/>
      <c r="AL593" s="195"/>
      <c r="AM593" s="195"/>
    </row>
    <row r="594" spans="2:39">
      <c r="B594" s="253">
        <f t="shared" si="182"/>
        <v>101</v>
      </c>
      <c r="C594" s="244"/>
      <c r="D594" s="661"/>
      <c r="E594" s="466"/>
      <c r="F594" s="615"/>
      <c r="G594" s="230"/>
      <c r="H594" s="230"/>
      <c r="I594" s="230"/>
      <c r="J594" s="230"/>
      <c r="K594" s="230"/>
      <c r="L594" s="228"/>
      <c r="M594" s="257"/>
      <c r="N594" s="228"/>
      <c r="O594" s="228"/>
      <c r="P594" s="258"/>
      <c r="Q594" s="2577"/>
      <c r="R594" s="2577"/>
      <c r="S594" s="254"/>
      <c r="T594" s="228"/>
      <c r="U594" s="2552"/>
      <c r="V594" s="256"/>
      <c r="W594" s="248"/>
      <c r="X594" s="248"/>
      <c r="Y594" s="248"/>
      <c r="Z594" s="247"/>
      <c r="AA594" s="248"/>
      <c r="AB594" s="248"/>
      <c r="AC594" s="194"/>
      <c r="AD594" s="249"/>
      <c r="AE594" s="250"/>
      <c r="AF594" s="251"/>
      <c r="AG594" s="252"/>
      <c r="AH594" s="241"/>
      <c r="AI594" s="241"/>
      <c r="AJ594" s="241"/>
      <c r="AK594" s="194"/>
      <c r="AL594" s="195"/>
      <c r="AM594" s="195"/>
    </row>
    <row r="595" spans="2:39">
      <c r="B595" s="253">
        <f t="shared" si="182"/>
        <v>102</v>
      </c>
      <c r="C595" s="244"/>
      <c r="D595" s="661"/>
      <c r="E595" s="466"/>
      <c r="F595" s="615"/>
      <c r="G595" s="230"/>
      <c r="H595" s="230"/>
      <c r="I595" s="230"/>
      <c r="J595" s="230"/>
      <c r="K595" s="230"/>
      <c r="L595" s="228"/>
      <c r="M595" s="257"/>
      <c r="N595" s="228"/>
      <c r="O595" s="228"/>
      <c r="P595" s="258"/>
      <c r="Q595" s="2577"/>
      <c r="R595" s="2577"/>
      <c r="S595" s="254"/>
      <c r="T595" s="228"/>
      <c r="U595" s="2552"/>
      <c r="V595" s="256"/>
      <c r="W595" s="248"/>
      <c r="X595" s="248"/>
      <c r="Y595" s="248"/>
      <c r="Z595" s="247"/>
      <c r="AA595" s="248"/>
      <c r="AB595" s="248"/>
      <c r="AC595" s="194"/>
      <c r="AD595" s="249"/>
      <c r="AE595" s="250"/>
      <c r="AF595" s="251"/>
      <c r="AG595" s="252"/>
      <c r="AH595" s="241"/>
      <c r="AI595" s="241"/>
      <c r="AJ595" s="241"/>
      <c r="AK595" s="194"/>
      <c r="AL595" s="195"/>
      <c r="AM595" s="195"/>
    </row>
    <row r="596" spans="2:39">
      <c r="B596" s="253">
        <f t="shared" si="182"/>
        <v>103</v>
      </c>
      <c r="C596" s="244"/>
      <c r="D596" s="661"/>
      <c r="E596" s="466"/>
      <c r="F596" s="615"/>
      <c r="G596" s="230"/>
      <c r="H596" s="230"/>
      <c r="I596" s="230"/>
      <c r="J596" s="230"/>
      <c r="K596" s="230"/>
      <c r="L596" s="228"/>
      <c r="M596" s="257"/>
      <c r="N596" s="228"/>
      <c r="O596" s="228"/>
      <c r="P596" s="258"/>
      <c r="Q596" s="2577"/>
      <c r="R596" s="2577"/>
      <c r="S596" s="254"/>
      <c r="T596" s="228"/>
      <c r="U596" s="2552"/>
      <c r="V596" s="256"/>
      <c r="W596" s="248"/>
      <c r="X596" s="248"/>
      <c r="Y596" s="248"/>
      <c r="Z596" s="247"/>
      <c r="AA596" s="248"/>
      <c r="AB596" s="248"/>
      <c r="AC596" s="194"/>
      <c r="AD596" s="249"/>
      <c r="AE596" s="250"/>
      <c r="AF596" s="251"/>
      <c r="AG596" s="252"/>
      <c r="AH596" s="241"/>
      <c r="AI596" s="241"/>
      <c r="AJ596" s="241"/>
      <c r="AK596" s="194"/>
      <c r="AL596" s="195"/>
      <c r="AM596" s="195"/>
    </row>
    <row r="597" spans="2:39">
      <c r="B597" s="253">
        <f t="shared" si="182"/>
        <v>104</v>
      </c>
      <c r="C597" s="244"/>
      <c r="D597" s="661"/>
      <c r="E597" s="466"/>
      <c r="F597" s="615"/>
      <c r="G597" s="230"/>
      <c r="H597" s="230"/>
      <c r="I597" s="230"/>
      <c r="J597" s="230"/>
      <c r="K597" s="230"/>
      <c r="L597" s="228"/>
      <c r="M597" s="257"/>
      <c r="N597" s="228"/>
      <c r="O597" s="228"/>
      <c r="P597" s="258"/>
      <c r="Q597" s="2577"/>
      <c r="R597" s="2577"/>
      <c r="S597" s="254"/>
      <c r="T597" s="228"/>
      <c r="U597" s="2552"/>
      <c r="V597" s="256"/>
      <c r="W597" s="248"/>
      <c r="X597" s="248"/>
      <c r="Y597" s="248"/>
      <c r="Z597" s="247"/>
      <c r="AA597" s="248"/>
      <c r="AB597" s="248"/>
      <c r="AC597" s="194"/>
      <c r="AD597" s="249"/>
      <c r="AE597" s="250"/>
      <c r="AF597" s="251"/>
      <c r="AG597" s="252"/>
      <c r="AH597" s="241"/>
      <c r="AI597" s="241"/>
      <c r="AJ597" s="241"/>
      <c r="AK597" s="194"/>
      <c r="AL597" s="195"/>
      <c r="AM597" s="195"/>
    </row>
    <row r="598" spans="2:39">
      <c r="B598" s="253">
        <f t="shared" si="182"/>
        <v>105</v>
      </c>
      <c r="C598" s="244"/>
      <c r="D598" s="661"/>
      <c r="E598" s="466"/>
      <c r="F598" s="615"/>
      <c r="G598" s="230"/>
      <c r="H598" s="230"/>
      <c r="I598" s="230"/>
      <c r="J598" s="230"/>
      <c r="K598" s="230"/>
      <c r="L598" s="228"/>
      <c r="M598" s="257"/>
      <c r="N598" s="228"/>
      <c r="O598" s="228"/>
      <c r="P598" s="258"/>
      <c r="Q598" s="2577"/>
      <c r="R598" s="2577"/>
      <c r="S598" s="254"/>
      <c r="T598" s="228"/>
      <c r="U598" s="2552"/>
      <c r="V598" s="256"/>
      <c r="W598" s="248"/>
      <c r="X598" s="248"/>
      <c r="Y598" s="248"/>
      <c r="Z598" s="247"/>
      <c r="AA598" s="248"/>
      <c r="AB598" s="248"/>
      <c r="AC598" s="194"/>
      <c r="AD598" s="249"/>
      <c r="AE598" s="250"/>
      <c r="AF598" s="251"/>
      <c r="AG598" s="252"/>
      <c r="AH598" s="241"/>
      <c r="AI598" s="241"/>
      <c r="AJ598" s="241"/>
      <c r="AK598" s="194"/>
      <c r="AL598" s="195"/>
      <c r="AM598" s="195"/>
    </row>
    <row r="599" spans="2:39">
      <c r="B599" s="253">
        <f t="shared" si="182"/>
        <v>106</v>
      </c>
      <c r="C599" s="244"/>
      <c r="D599" s="661"/>
      <c r="E599" s="466"/>
      <c r="F599" s="615"/>
      <c r="G599" s="230"/>
      <c r="H599" s="230"/>
      <c r="I599" s="230"/>
      <c r="J599" s="230"/>
      <c r="K599" s="230"/>
      <c r="L599" s="228"/>
      <c r="M599" s="257"/>
      <c r="N599" s="228"/>
      <c r="O599" s="228"/>
      <c r="P599" s="258"/>
      <c r="Q599" s="2577"/>
      <c r="R599" s="2577"/>
      <c r="S599" s="254"/>
      <c r="T599" s="228"/>
      <c r="U599" s="2552"/>
      <c r="V599" s="256"/>
      <c r="W599" s="248"/>
      <c r="X599" s="248"/>
      <c r="Y599" s="248"/>
      <c r="Z599" s="247"/>
      <c r="AA599" s="248"/>
      <c r="AB599" s="248"/>
      <c r="AC599" s="194"/>
      <c r="AD599" s="249"/>
      <c r="AE599" s="250"/>
      <c r="AF599" s="251"/>
      <c r="AG599" s="252"/>
      <c r="AH599" s="241"/>
      <c r="AI599" s="241"/>
      <c r="AJ599" s="241"/>
      <c r="AK599" s="194"/>
      <c r="AL599" s="195"/>
      <c r="AM599" s="195"/>
    </row>
    <row r="600" spans="2:39">
      <c r="B600" s="253">
        <f t="shared" si="182"/>
        <v>107</v>
      </c>
      <c r="C600" s="244"/>
      <c r="D600" s="661"/>
      <c r="E600" s="466"/>
      <c r="F600" s="615"/>
      <c r="G600" s="230"/>
      <c r="H600" s="230"/>
      <c r="I600" s="230"/>
      <c r="J600" s="230"/>
      <c r="K600" s="230"/>
      <c r="L600" s="228"/>
      <c r="M600" s="257"/>
      <c r="N600" s="228"/>
      <c r="O600" s="228"/>
      <c r="P600" s="258"/>
      <c r="Q600" s="2577"/>
      <c r="R600" s="2577"/>
      <c r="S600" s="254"/>
      <c r="T600" s="228"/>
      <c r="U600" s="2552"/>
      <c r="V600" s="256"/>
      <c r="W600" s="248"/>
      <c r="X600" s="248"/>
      <c r="Y600" s="248"/>
      <c r="Z600" s="247"/>
      <c r="AA600" s="248"/>
      <c r="AB600" s="248"/>
      <c r="AC600" s="194"/>
      <c r="AD600" s="249"/>
      <c r="AE600" s="250"/>
      <c r="AF600" s="251"/>
      <c r="AG600" s="252"/>
      <c r="AH600" s="241"/>
      <c r="AI600" s="241"/>
      <c r="AJ600" s="241"/>
      <c r="AK600" s="194"/>
      <c r="AL600" s="195"/>
      <c r="AM600" s="195"/>
    </row>
    <row r="601" spans="2:39">
      <c r="B601" s="253">
        <f t="shared" si="182"/>
        <v>108</v>
      </c>
      <c r="C601" s="244"/>
      <c r="D601" s="661"/>
      <c r="E601" s="466"/>
      <c r="F601" s="615"/>
      <c r="G601" s="230"/>
      <c r="H601" s="230"/>
      <c r="I601" s="230"/>
      <c r="J601" s="230"/>
      <c r="K601" s="230"/>
      <c r="L601" s="228"/>
      <c r="M601" s="257"/>
      <c r="N601" s="228"/>
      <c r="O601" s="228"/>
      <c r="P601" s="258"/>
      <c r="Q601" s="2577"/>
      <c r="R601" s="2577"/>
      <c r="S601" s="254"/>
      <c r="T601" s="228"/>
      <c r="U601" s="2552"/>
      <c r="V601" s="256"/>
      <c r="W601" s="248"/>
      <c r="X601" s="248"/>
      <c r="Y601" s="248"/>
      <c r="Z601" s="247"/>
      <c r="AA601" s="248"/>
      <c r="AB601" s="248"/>
      <c r="AC601" s="194"/>
      <c r="AD601" s="249"/>
      <c r="AE601" s="250"/>
      <c r="AF601" s="251"/>
      <c r="AG601" s="252"/>
      <c r="AH601" s="241"/>
      <c r="AI601" s="241"/>
      <c r="AJ601" s="241"/>
      <c r="AK601" s="194"/>
      <c r="AL601" s="195"/>
      <c r="AM601" s="195"/>
    </row>
    <row r="602" spans="2:39">
      <c r="B602" s="253">
        <f t="shared" si="182"/>
        <v>109</v>
      </c>
      <c r="C602" s="244"/>
      <c r="D602" s="661"/>
      <c r="E602" s="466"/>
      <c r="F602" s="615"/>
      <c r="G602" s="230"/>
      <c r="H602" s="230"/>
      <c r="I602" s="230"/>
      <c r="J602" s="230"/>
      <c r="K602" s="230"/>
      <c r="L602" s="228"/>
      <c r="M602" s="257"/>
      <c r="N602" s="228"/>
      <c r="O602" s="228"/>
      <c r="P602" s="258"/>
      <c r="Q602" s="2577"/>
      <c r="R602" s="2577"/>
      <c r="S602" s="254"/>
      <c r="T602" s="228"/>
      <c r="U602" s="2552"/>
      <c r="V602" s="256"/>
      <c r="W602" s="248"/>
      <c r="X602" s="248"/>
      <c r="Y602" s="248"/>
      <c r="Z602" s="247"/>
      <c r="AA602" s="248"/>
      <c r="AB602" s="248"/>
      <c r="AC602" s="194"/>
      <c r="AD602" s="249"/>
      <c r="AE602" s="250"/>
      <c r="AF602" s="251"/>
      <c r="AG602" s="252"/>
      <c r="AH602" s="241"/>
      <c r="AI602" s="241"/>
      <c r="AJ602" s="241"/>
      <c r="AK602" s="194"/>
      <c r="AL602" s="195"/>
      <c r="AM602" s="195"/>
    </row>
    <row r="603" spans="2:39">
      <c r="B603" s="253">
        <f t="shared" si="182"/>
        <v>110</v>
      </c>
      <c r="C603" s="244"/>
      <c r="D603" s="661"/>
      <c r="E603" s="466"/>
      <c r="F603" s="615"/>
      <c r="G603" s="230"/>
      <c r="H603" s="230"/>
      <c r="I603" s="230"/>
      <c r="J603" s="230"/>
      <c r="K603" s="230"/>
      <c r="L603" s="228"/>
      <c r="M603" s="257"/>
      <c r="N603" s="228"/>
      <c r="O603" s="228"/>
      <c r="P603" s="258"/>
      <c r="Q603" s="2577"/>
      <c r="R603" s="2577"/>
      <c r="S603" s="254"/>
      <c r="T603" s="228"/>
      <c r="U603" s="2552"/>
      <c r="V603" s="256"/>
      <c r="W603" s="248"/>
      <c r="X603" s="248"/>
      <c r="Y603" s="248"/>
      <c r="Z603" s="247"/>
      <c r="AA603" s="248"/>
      <c r="AB603" s="248"/>
      <c r="AC603" s="194"/>
      <c r="AD603" s="249"/>
      <c r="AE603" s="250"/>
      <c r="AF603" s="251"/>
      <c r="AG603" s="252"/>
      <c r="AH603" s="241"/>
      <c r="AI603" s="241"/>
      <c r="AJ603" s="241"/>
      <c r="AK603" s="194"/>
      <c r="AL603" s="195"/>
      <c r="AM603" s="195"/>
    </row>
    <row r="604" spans="2:39">
      <c r="B604" s="253">
        <f t="shared" si="182"/>
        <v>111</v>
      </c>
      <c r="C604" s="244"/>
      <c r="D604" s="661"/>
      <c r="E604" s="466"/>
      <c r="F604" s="615"/>
      <c r="G604" s="230"/>
      <c r="H604" s="230"/>
      <c r="I604" s="230"/>
      <c r="J604" s="230"/>
      <c r="K604" s="230"/>
      <c r="L604" s="228"/>
      <c r="M604" s="257"/>
      <c r="N604" s="228"/>
      <c r="O604" s="228"/>
      <c r="P604" s="258"/>
      <c r="Q604" s="2577"/>
      <c r="R604" s="2577"/>
      <c r="S604" s="254"/>
      <c r="T604" s="228"/>
      <c r="U604" s="2552"/>
      <c r="V604" s="256"/>
      <c r="W604" s="248"/>
      <c r="X604" s="248"/>
      <c r="Y604" s="248"/>
      <c r="Z604" s="247"/>
      <c r="AA604" s="248"/>
      <c r="AB604" s="248"/>
      <c r="AC604" s="194"/>
      <c r="AD604" s="249"/>
      <c r="AE604" s="250"/>
      <c r="AF604" s="251"/>
      <c r="AG604" s="252"/>
      <c r="AH604" s="241"/>
      <c r="AI604" s="241"/>
      <c r="AJ604" s="241"/>
      <c r="AK604" s="194"/>
      <c r="AL604" s="195"/>
      <c r="AM604" s="195"/>
    </row>
    <row r="605" spans="2:39">
      <c r="B605" s="253">
        <f t="shared" si="182"/>
        <v>112</v>
      </c>
      <c r="C605" s="244"/>
      <c r="D605" s="661"/>
      <c r="E605" s="466"/>
      <c r="F605" s="615"/>
      <c r="G605" s="230"/>
      <c r="H605" s="230"/>
      <c r="I605" s="230"/>
      <c r="J605" s="230"/>
      <c r="K605" s="230"/>
      <c r="L605" s="228"/>
      <c r="M605" s="257"/>
      <c r="N605" s="228"/>
      <c r="O605" s="228"/>
      <c r="P605" s="258"/>
      <c r="Q605" s="2577"/>
      <c r="R605" s="2577"/>
      <c r="S605" s="254"/>
      <c r="T605" s="228"/>
      <c r="U605" s="2552"/>
      <c r="V605" s="256"/>
      <c r="W605" s="248"/>
      <c r="X605" s="248"/>
      <c r="Y605" s="248"/>
      <c r="Z605" s="247"/>
      <c r="AA605" s="248"/>
      <c r="AB605" s="248"/>
      <c r="AC605" s="194"/>
      <c r="AD605" s="249"/>
      <c r="AE605" s="250"/>
      <c r="AF605" s="251"/>
      <c r="AG605" s="252"/>
      <c r="AH605" s="241"/>
      <c r="AI605" s="241"/>
      <c r="AJ605" s="241"/>
      <c r="AK605" s="194"/>
      <c r="AL605" s="195"/>
      <c r="AM605" s="195"/>
    </row>
    <row r="606" spans="2:39">
      <c r="B606" s="253">
        <f t="shared" si="182"/>
        <v>113</v>
      </c>
      <c r="C606" s="244"/>
      <c r="D606" s="661"/>
      <c r="E606" s="466"/>
      <c r="F606" s="615"/>
      <c r="G606" s="230"/>
      <c r="H606" s="230"/>
      <c r="I606" s="230"/>
      <c r="J606" s="230"/>
      <c r="K606" s="230"/>
      <c r="L606" s="228"/>
      <c r="M606" s="257"/>
      <c r="N606" s="228"/>
      <c r="O606" s="228"/>
      <c r="P606" s="258"/>
      <c r="Q606" s="2577"/>
      <c r="R606" s="2577"/>
      <c r="S606" s="254"/>
      <c r="T606" s="228"/>
      <c r="U606" s="2552"/>
      <c r="V606" s="256"/>
      <c r="W606" s="248"/>
      <c r="X606" s="248"/>
      <c r="Y606" s="248"/>
      <c r="Z606" s="247"/>
      <c r="AA606" s="248"/>
      <c r="AB606" s="248"/>
      <c r="AC606" s="194"/>
      <c r="AD606" s="249"/>
      <c r="AE606" s="250"/>
      <c r="AF606" s="251"/>
      <c r="AG606" s="252"/>
      <c r="AH606" s="241"/>
      <c r="AI606" s="241"/>
      <c r="AJ606" s="241"/>
      <c r="AK606" s="194"/>
      <c r="AL606" s="195"/>
      <c r="AM606" s="195"/>
    </row>
    <row r="607" spans="2:39">
      <c r="B607" s="253">
        <f t="shared" si="182"/>
        <v>114</v>
      </c>
      <c r="C607" s="244"/>
      <c r="D607" s="661"/>
      <c r="E607" s="466"/>
      <c r="F607" s="615"/>
      <c r="G607" s="230"/>
      <c r="H607" s="230"/>
      <c r="I607" s="230"/>
      <c r="J607" s="230"/>
      <c r="K607" s="230"/>
      <c r="L607" s="228"/>
      <c r="M607" s="257"/>
      <c r="N607" s="228"/>
      <c r="O607" s="228"/>
      <c r="P607" s="258"/>
      <c r="Q607" s="2577"/>
      <c r="R607" s="2577"/>
      <c r="S607" s="254"/>
      <c r="T607" s="228"/>
      <c r="U607" s="2552"/>
      <c r="V607" s="256"/>
      <c r="W607" s="248"/>
      <c r="X607" s="248"/>
      <c r="Y607" s="248"/>
      <c r="Z607" s="247"/>
      <c r="AA607" s="248"/>
      <c r="AB607" s="248"/>
      <c r="AC607" s="194"/>
      <c r="AD607" s="249"/>
      <c r="AE607" s="250"/>
      <c r="AF607" s="251"/>
      <c r="AG607" s="252"/>
      <c r="AH607" s="241"/>
      <c r="AI607" s="241"/>
      <c r="AJ607" s="241"/>
      <c r="AK607" s="194"/>
      <c r="AL607" s="195"/>
      <c r="AM607" s="195"/>
    </row>
    <row r="608" spans="2:39">
      <c r="B608" s="253">
        <f t="shared" si="182"/>
        <v>115</v>
      </c>
      <c r="C608" s="244"/>
      <c r="D608" s="661"/>
      <c r="E608" s="466"/>
      <c r="F608" s="615"/>
      <c r="G608" s="230"/>
      <c r="H608" s="230"/>
      <c r="I608" s="230"/>
      <c r="J608" s="230"/>
      <c r="K608" s="230"/>
      <c r="L608" s="228"/>
      <c r="M608" s="257"/>
      <c r="N608" s="228"/>
      <c r="O608" s="228"/>
      <c r="P608" s="258"/>
      <c r="Q608" s="2577"/>
      <c r="R608" s="2577"/>
      <c r="S608" s="254"/>
      <c r="T608" s="228"/>
      <c r="U608" s="2552"/>
      <c r="V608" s="256"/>
      <c r="W608" s="248"/>
      <c r="X608" s="248"/>
      <c r="Y608" s="248"/>
      <c r="Z608" s="247"/>
      <c r="AA608" s="248"/>
      <c r="AB608" s="248"/>
      <c r="AC608" s="194"/>
      <c r="AD608" s="249"/>
      <c r="AE608" s="250"/>
      <c r="AF608" s="251"/>
      <c r="AG608" s="252"/>
      <c r="AH608" s="241"/>
      <c r="AI608" s="241"/>
      <c r="AJ608" s="241"/>
      <c r="AK608" s="194"/>
      <c r="AL608" s="195"/>
      <c r="AM608" s="195"/>
    </row>
    <row r="609" spans="2:39">
      <c r="B609" s="253">
        <f t="shared" si="182"/>
        <v>116</v>
      </c>
      <c r="C609" s="244"/>
      <c r="D609" s="661"/>
      <c r="E609" s="466"/>
      <c r="F609" s="615"/>
      <c r="G609" s="230"/>
      <c r="H609" s="230"/>
      <c r="I609" s="230"/>
      <c r="J609" s="230"/>
      <c r="K609" s="230"/>
      <c r="L609" s="228"/>
      <c r="M609" s="257"/>
      <c r="N609" s="228"/>
      <c r="O609" s="228"/>
      <c r="P609" s="258"/>
      <c r="Q609" s="2577"/>
      <c r="R609" s="2577"/>
      <c r="S609" s="254"/>
      <c r="T609" s="228"/>
      <c r="U609" s="2552"/>
      <c r="V609" s="256"/>
      <c r="W609" s="248"/>
      <c r="X609" s="248"/>
      <c r="Y609" s="248"/>
      <c r="Z609" s="247"/>
      <c r="AA609" s="248"/>
      <c r="AB609" s="248"/>
      <c r="AC609" s="194"/>
      <c r="AD609" s="249"/>
      <c r="AE609" s="250"/>
      <c r="AF609" s="251"/>
      <c r="AG609" s="252"/>
      <c r="AH609" s="241"/>
      <c r="AI609" s="241"/>
      <c r="AJ609" s="241"/>
      <c r="AK609" s="194"/>
      <c r="AL609" s="195"/>
      <c r="AM609" s="195"/>
    </row>
    <row r="610" spans="2:39">
      <c r="B610" s="253">
        <f t="shared" si="182"/>
        <v>117</v>
      </c>
      <c r="C610" s="244"/>
      <c r="D610" s="661"/>
      <c r="E610" s="466"/>
      <c r="F610" s="615"/>
      <c r="G610" s="230"/>
      <c r="H610" s="230"/>
      <c r="I610" s="230"/>
      <c r="J610" s="230"/>
      <c r="K610" s="230"/>
      <c r="L610" s="228"/>
      <c r="M610" s="257"/>
      <c r="N610" s="228"/>
      <c r="O610" s="228"/>
      <c r="P610" s="258"/>
      <c r="Q610" s="2577"/>
      <c r="R610" s="2577"/>
      <c r="S610" s="254"/>
      <c r="T610" s="228"/>
      <c r="U610" s="2552"/>
      <c r="V610" s="256"/>
      <c r="W610" s="248"/>
      <c r="X610" s="248"/>
      <c r="Y610" s="248"/>
      <c r="Z610" s="247"/>
      <c r="AA610" s="248"/>
      <c r="AB610" s="248"/>
      <c r="AC610" s="194"/>
      <c r="AD610" s="249"/>
      <c r="AE610" s="250"/>
      <c r="AF610" s="251"/>
      <c r="AG610" s="252"/>
      <c r="AH610" s="241"/>
      <c r="AI610" s="241"/>
      <c r="AJ610" s="241"/>
      <c r="AK610" s="194"/>
      <c r="AL610" s="195"/>
      <c r="AM610" s="195"/>
    </row>
    <row r="611" spans="2:39">
      <c r="B611" s="253">
        <f t="shared" si="182"/>
        <v>118</v>
      </c>
      <c r="C611" s="244"/>
      <c r="D611" s="661"/>
      <c r="E611" s="466"/>
      <c r="F611" s="615"/>
      <c r="G611" s="230"/>
      <c r="H611" s="230"/>
      <c r="I611" s="230"/>
      <c r="J611" s="230"/>
      <c r="K611" s="230"/>
      <c r="L611" s="228"/>
      <c r="M611" s="257"/>
      <c r="N611" s="228"/>
      <c r="O611" s="228"/>
      <c r="P611" s="258"/>
      <c r="Q611" s="2577"/>
      <c r="R611" s="2577"/>
      <c r="S611" s="254"/>
      <c r="T611" s="228"/>
      <c r="U611" s="2552"/>
      <c r="V611" s="256"/>
      <c r="W611" s="248"/>
      <c r="X611" s="248"/>
      <c r="Y611" s="248"/>
      <c r="Z611" s="247"/>
      <c r="AA611" s="248"/>
      <c r="AB611" s="248"/>
      <c r="AC611" s="194"/>
      <c r="AD611" s="249"/>
      <c r="AE611" s="250"/>
      <c r="AF611" s="251"/>
      <c r="AG611" s="252"/>
      <c r="AH611" s="241"/>
      <c r="AI611" s="241"/>
      <c r="AJ611" s="241"/>
      <c r="AK611" s="194"/>
      <c r="AL611" s="195"/>
      <c r="AM611" s="195"/>
    </row>
    <row r="612" spans="2:39">
      <c r="B612" s="253">
        <f t="shared" si="182"/>
        <v>119</v>
      </c>
      <c r="C612" s="244"/>
      <c r="D612" s="661"/>
      <c r="E612" s="466"/>
      <c r="F612" s="615"/>
      <c r="G612" s="230"/>
      <c r="H612" s="230"/>
      <c r="I612" s="230"/>
      <c r="J612" s="230"/>
      <c r="K612" s="230"/>
      <c r="L612" s="228"/>
      <c r="M612" s="257"/>
      <c r="N612" s="228"/>
      <c r="O612" s="228"/>
      <c r="P612" s="258"/>
      <c r="Q612" s="2577"/>
      <c r="R612" s="2577"/>
      <c r="S612" s="254"/>
      <c r="T612" s="228"/>
      <c r="U612" s="2552"/>
      <c r="V612" s="256"/>
      <c r="W612" s="248"/>
      <c r="X612" s="248"/>
      <c r="Y612" s="248"/>
      <c r="Z612" s="247"/>
      <c r="AA612" s="248"/>
      <c r="AB612" s="248"/>
      <c r="AC612" s="194"/>
      <c r="AD612" s="249"/>
      <c r="AE612" s="250"/>
      <c r="AF612" s="251"/>
      <c r="AG612" s="252"/>
      <c r="AH612" s="241"/>
      <c r="AI612" s="241"/>
      <c r="AJ612" s="241"/>
      <c r="AK612" s="194"/>
      <c r="AL612" s="195"/>
      <c r="AM612" s="195"/>
    </row>
    <row r="613" spans="2:39">
      <c r="B613" s="253">
        <f t="shared" si="182"/>
        <v>120</v>
      </c>
      <c r="C613" s="244"/>
      <c r="D613" s="661"/>
      <c r="E613" s="466"/>
      <c r="F613" s="615"/>
      <c r="G613" s="230"/>
      <c r="H613" s="230"/>
      <c r="I613" s="230"/>
      <c r="J613" s="230"/>
      <c r="K613" s="230"/>
      <c r="L613" s="228"/>
      <c r="M613" s="257"/>
      <c r="N613" s="228"/>
      <c r="O613" s="228"/>
      <c r="P613" s="258"/>
      <c r="Q613" s="2577"/>
      <c r="R613" s="2577"/>
      <c r="S613" s="254"/>
      <c r="T613" s="228"/>
      <c r="U613" s="2552"/>
      <c r="V613" s="256"/>
      <c r="W613" s="248"/>
      <c r="X613" s="248"/>
      <c r="Y613" s="248"/>
      <c r="Z613" s="247"/>
      <c r="AA613" s="248"/>
      <c r="AB613" s="248"/>
      <c r="AC613" s="194"/>
      <c r="AD613" s="249"/>
      <c r="AE613" s="250"/>
      <c r="AF613" s="251"/>
      <c r="AG613" s="252"/>
      <c r="AH613" s="241"/>
      <c r="AI613" s="241"/>
      <c r="AJ613" s="241"/>
      <c r="AK613" s="194"/>
      <c r="AL613" s="195"/>
      <c r="AM613" s="195"/>
    </row>
    <row r="614" spans="2:39">
      <c r="B614" s="253">
        <f t="shared" si="182"/>
        <v>121</v>
      </c>
      <c r="C614" s="244"/>
      <c r="D614" s="661"/>
      <c r="E614" s="466"/>
      <c r="F614" s="615"/>
      <c r="G614" s="230"/>
      <c r="H614" s="230"/>
      <c r="I614" s="230"/>
      <c r="J614" s="230"/>
      <c r="K614" s="230"/>
      <c r="L614" s="228"/>
      <c r="M614" s="257"/>
      <c r="N614" s="228"/>
      <c r="O614" s="228"/>
      <c r="P614" s="258"/>
      <c r="Q614" s="2577"/>
      <c r="R614" s="2577"/>
      <c r="S614" s="254"/>
      <c r="T614" s="228"/>
      <c r="U614" s="2552"/>
      <c r="V614" s="256"/>
      <c r="W614" s="248"/>
      <c r="X614" s="248"/>
      <c r="Y614" s="248"/>
      <c r="Z614" s="247"/>
      <c r="AA614" s="248"/>
      <c r="AB614" s="248"/>
      <c r="AC614" s="194"/>
      <c r="AD614" s="249"/>
      <c r="AE614" s="250"/>
      <c r="AF614" s="251"/>
      <c r="AG614" s="252"/>
      <c r="AH614" s="241"/>
      <c r="AI614" s="241"/>
      <c r="AJ614" s="241"/>
      <c r="AK614" s="194"/>
      <c r="AL614" s="195"/>
      <c r="AM614" s="195"/>
    </row>
    <row r="615" spans="2:39">
      <c r="B615" s="253">
        <f t="shared" si="182"/>
        <v>122</v>
      </c>
      <c r="C615" s="244"/>
      <c r="D615" s="661"/>
      <c r="E615" s="466"/>
      <c r="F615" s="615"/>
      <c r="G615" s="230"/>
      <c r="H615" s="230"/>
      <c r="I615" s="230"/>
      <c r="J615" s="230"/>
      <c r="K615" s="230"/>
      <c r="L615" s="228"/>
      <c r="M615" s="257"/>
      <c r="N615" s="228"/>
      <c r="O615" s="228"/>
      <c r="P615" s="258"/>
      <c r="Q615" s="2577"/>
      <c r="R615" s="2577"/>
      <c r="S615" s="254"/>
      <c r="T615" s="228"/>
      <c r="U615" s="2552"/>
      <c r="V615" s="256"/>
      <c r="W615" s="248"/>
      <c r="X615" s="248"/>
      <c r="Y615" s="248"/>
      <c r="Z615" s="247"/>
      <c r="AA615" s="248"/>
      <c r="AB615" s="248"/>
      <c r="AC615" s="194"/>
      <c r="AD615" s="249"/>
      <c r="AE615" s="250"/>
      <c r="AF615" s="251"/>
      <c r="AG615" s="252"/>
      <c r="AH615" s="241"/>
      <c r="AI615" s="241"/>
      <c r="AJ615" s="241"/>
      <c r="AK615" s="194"/>
      <c r="AL615" s="195"/>
      <c r="AM615" s="195"/>
    </row>
    <row r="616" spans="2:39">
      <c r="B616" s="253">
        <f t="shared" si="182"/>
        <v>123</v>
      </c>
      <c r="C616" s="244"/>
      <c r="D616" s="661"/>
      <c r="E616" s="466"/>
      <c r="F616" s="615"/>
      <c r="G616" s="230"/>
      <c r="H616" s="230"/>
      <c r="I616" s="230"/>
      <c r="J616" s="230"/>
      <c r="K616" s="230"/>
      <c r="L616" s="228"/>
      <c r="M616" s="257"/>
      <c r="N616" s="228"/>
      <c r="O616" s="228"/>
      <c r="P616" s="258"/>
      <c r="Q616" s="2577"/>
      <c r="R616" s="2577"/>
      <c r="S616" s="254"/>
      <c r="T616" s="228"/>
      <c r="U616" s="2552"/>
      <c r="V616" s="256"/>
      <c r="W616" s="248"/>
      <c r="X616" s="248"/>
      <c r="Y616" s="248"/>
      <c r="Z616" s="247"/>
      <c r="AA616" s="248"/>
      <c r="AB616" s="248"/>
      <c r="AC616" s="194"/>
      <c r="AD616" s="249"/>
      <c r="AE616" s="250"/>
      <c r="AF616" s="251"/>
      <c r="AG616" s="252"/>
      <c r="AH616" s="241"/>
      <c r="AI616" s="241"/>
      <c r="AJ616" s="241"/>
      <c r="AK616" s="194"/>
      <c r="AL616" s="195"/>
      <c r="AM616" s="195"/>
    </row>
    <row r="617" spans="2:39">
      <c r="B617" s="253">
        <f t="shared" si="182"/>
        <v>124</v>
      </c>
      <c r="C617" s="244"/>
      <c r="D617" s="661"/>
      <c r="E617" s="466"/>
      <c r="F617" s="615"/>
      <c r="G617" s="230"/>
      <c r="H617" s="230"/>
      <c r="I617" s="230"/>
      <c r="J617" s="230"/>
      <c r="K617" s="230"/>
      <c r="L617" s="228"/>
      <c r="M617" s="257"/>
      <c r="N617" s="228"/>
      <c r="O617" s="228"/>
      <c r="P617" s="258"/>
      <c r="Q617" s="2577"/>
      <c r="R617" s="2577"/>
      <c r="S617" s="254"/>
      <c r="T617" s="228"/>
      <c r="U617" s="2552"/>
      <c r="V617" s="256"/>
      <c r="W617" s="248"/>
      <c r="X617" s="248"/>
      <c r="Y617" s="248"/>
      <c r="Z617" s="247"/>
      <c r="AA617" s="248"/>
      <c r="AB617" s="248"/>
      <c r="AC617" s="194"/>
      <c r="AD617" s="249"/>
      <c r="AE617" s="250"/>
      <c r="AF617" s="251"/>
      <c r="AG617" s="252"/>
      <c r="AH617" s="241"/>
      <c r="AI617" s="241"/>
      <c r="AJ617" s="241"/>
      <c r="AK617" s="194"/>
      <c r="AL617" s="195"/>
      <c r="AM617" s="195"/>
    </row>
    <row r="618" spans="2:39">
      <c r="B618" s="253">
        <f t="shared" si="182"/>
        <v>125</v>
      </c>
      <c r="C618" s="244"/>
      <c r="D618" s="661"/>
      <c r="E618" s="466"/>
      <c r="F618" s="615"/>
      <c r="G618" s="230"/>
      <c r="H618" s="230"/>
      <c r="I618" s="230"/>
      <c r="J618" s="230"/>
      <c r="K618" s="230"/>
      <c r="L618" s="228"/>
      <c r="M618" s="257"/>
      <c r="N618" s="228"/>
      <c r="O618" s="228"/>
      <c r="P618" s="258"/>
      <c r="Q618" s="2577"/>
      <c r="R618" s="2577"/>
      <c r="S618" s="254"/>
      <c r="T618" s="228"/>
      <c r="U618" s="2552"/>
      <c r="V618" s="256"/>
      <c r="W618" s="248"/>
      <c r="X618" s="248"/>
      <c r="Y618" s="248"/>
      <c r="Z618" s="247"/>
      <c r="AA618" s="248"/>
      <c r="AB618" s="248"/>
      <c r="AC618" s="194"/>
      <c r="AD618" s="249"/>
      <c r="AE618" s="250"/>
      <c r="AF618" s="251"/>
      <c r="AG618" s="252"/>
      <c r="AH618" s="241"/>
      <c r="AI618" s="241"/>
      <c r="AJ618" s="241"/>
      <c r="AK618" s="194"/>
      <c r="AL618" s="195"/>
      <c r="AM618" s="195"/>
    </row>
    <row r="619" spans="2:39">
      <c r="B619" s="253">
        <f t="shared" si="182"/>
        <v>126</v>
      </c>
      <c r="C619" s="244"/>
      <c r="D619" s="661"/>
      <c r="E619" s="466"/>
      <c r="F619" s="615"/>
      <c r="G619" s="230"/>
      <c r="H619" s="230"/>
      <c r="I619" s="230"/>
      <c r="J619" s="230"/>
      <c r="K619" s="230"/>
      <c r="L619" s="228"/>
      <c r="M619" s="257"/>
      <c r="N619" s="228"/>
      <c r="O619" s="228"/>
      <c r="P619" s="258"/>
      <c r="Q619" s="2577"/>
      <c r="R619" s="2577"/>
      <c r="S619" s="254"/>
      <c r="T619" s="228"/>
      <c r="U619" s="2552"/>
      <c r="V619" s="256"/>
      <c r="W619" s="248"/>
      <c r="X619" s="248"/>
      <c r="Y619" s="248"/>
      <c r="Z619" s="247"/>
      <c r="AA619" s="248"/>
      <c r="AB619" s="248"/>
      <c r="AC619" s="194"/>
      <c r="AD619" s="249"/>
      <c r="AE619" s="250"/>
      <c r="AF619" s="251"/>
      <c r="AG619" s="252"/>
      <c r="AH619" s="241"/>
      <c r="AI619" s="241"/>
      <c r="AJ619" s="241"/>
      <c r="AK619" s="194"/>
      <c r="AL619" s="195"/>
      <c r="AM619" s="195"/>
    </row>
    <row r="620" spans="2:39">
      <c r="B620" s="253">
        <f t="shared" si="182"/>
        <v>127</v>
      </c>
      <c r="C620" s="244"/>
      <c r="D620" s="661"/>
      <c r="E620" s="466"/>
      <c r="F620" s="615"/>
      <c r="G620" s="230"/>
      <c r="H620" s="230"/>
      <c r="I620" s="230"/>
      <c r="J620" s="230"/>
      <c r="K620" s="230"/>
      <c r="L620" s="228"/>
      <c r="M620" s="257"/>
      <c r="N620" s="228"/>
      <c r="O620" s="228"/>
      <c r="P620" s="258"/>
      <c r="Q620" s="2577"/>
      <c r="R620" s="2577"/>
      <c r="S620" s="254"/>
      <c r="T620" s="228"/>
      <c r="U620" s="2552"/>
      <c r="V620" s="256"/>
      <c r="W620" s="248"/>
      <c r="X620" s="248"/>
      <c r="Y620" s="248"/>
      <c r="Z620" s="247"/>
      <c r="AA620" s="248"/>
      <c r="AB620" s="248"/>
      <c r="AC620" s="194"/>
      <c r="AD620" s="249"/>
      <c r="AE620" s="250"/>
      <c r="AF620" s="251"/>
      <c r="AG620" s="252"/>
      <c r="AH620" s="241"/>
      <c r="AI620" s="241"/>
      <c r="AJ620" s="241"/>
      <c r="AK620" s="194"/>
      <c r="AL620" s="195"/>
      <c r="AM620" s="195"/>
    </row>
    <row r="621" spans="2:39">
      <c r="B621" s="253">
        <f t="shared" si="182"/>
        <v>128</v>
      </c>
      <c r="C621" s="244"/>
      <c r="D621" s="661"/>
      <c r="E621" s="466"/>
      <c r="F621" s="615"/>
      <c r="G621" s="230"/>
      <c r="H621" s="230"/>
      <c r="I621" s="230"/>
      <c r="J621" s="230"/>
      <c r="K621" s="230"/>
      <c r="L621" s="228"/>
      <c r="M621" s="257"/>
      <c r="N621" s="228"/>
      <c r="O621" s="228"/>
      <c r="P621" s="258"/>
      <c r="Q621" s="2577"/>
      <c r="R621" s="2577"/>
      <c r="S621" s="254"/>
      <c r="T621" s="228"/>
      <c r="U621" s="2552"/>
      <c r="V621" s="256"/>
      <c r="W621" s="248"/>
      <c r="X621" s="248"/>
      <c r="Y621" s="248"/>
      <c r="Z621" s="247"/>
      <c r="AA621" s="248"/>
      <c r="AB621" s="248"/>
      <c r="AC621" s="194"/>
      <c r="AD621" s="249"/>
      <c r="AE621" s="250"/>
      <c r="AF621" s="251"/>
      <c r="AG621" s="252"/>
      <c r="AH621" s="241"/>
      <c r="AI621" s="241"/>
      <c r="AJ621" s="241"/>
      <c r="AK621" s="194"/>
      <c r="AL621" s="195"/>
      <c r="AM621" s="195"/>
    </row>
    <row r="622" spans="2:39">
      <c r="B622" s="253">
        <f t="shared" si="182"/>
        <v>129</v>
      </c>
      <c r="C622" s="244"/>
      <c r="D622" s="661"/>
      <c r="E622" s="466"/>
      <c r="F622" s="615"/>
      <c r="G622" s="230"/>
      <c r="H622" s="230"/>
      <c r="I622" s="230"/>
      <c r="J622" s="230"/>
      <c r="K622" s="230"/>
      <c r="L622" s="228"/>
      <c r="M622" s="257"/>
      <c r="N622" s="228"/>
      <c r="O622" s="228"/>
      <c r="P622" s="258"/>
      <c r="Q622" s="2577"/>
      <c r="R622" s="2577"/>
      <c r="S622" s="254"/>
      <c r="T622" s="228"/>
      <c r="U622" s="2552"/>
      <c r="V622" s="256"/>
      <c r="W622" s="248"/>
      <c r="X622" s="248"/>
      <c r="Y622" s="248"/>
      <c r="Z622" s="247"/>
      <c r="AA622" s="248"/>
      <c r="AB622" s="248"/>
      <c r="AC622" s="194"/>
      <c r="AD622" s="249"/>
      <c r="AE622" s="250"/>
      <c r="AF622" s="251"/>
      <c r="AG622" s="252"/>
      <c r="AH622" s="241"/>
      <c r="AI622" s="241"/>
      <c r="AJ622" s="241"/>
      <c r="AK622" s="194"/>
      <c r="AL622" s="195"/>
      <c r="AM622" s="195"/>
    </row>
    <row r="623" spans="2:39">
      <c r="B623" s="253">
        <f t="shared" si="182"/>
        <v>130</v>
      </c>
      <c r="C623" s="244"/>
      <c r="D623" s="661"/>
      <c r="E623" s="466"/>
      <c r="F623" s="615"/>
      <c r="G623" s="230"/>
      <c r="H623" s="230"/>
      <c r="I623" s="230"/>
      <c r="J623" s="230"/>
      <c r="K623" s="230"/>
      <c r="L623" s="228"/>
      <c r="M623" s="257"/>
      <c r="N623" s="228"/>
      <c r="O623" s="228"/>
      <c r="P623" s="258"/>
      <c r="Q623" s="2577"/>
      <c r="R623" s="2577"/>
      <c r="S623" s="254"/>
      <c r="T623" s="228"/>
      <c r="U623" s="2552"/>
      <c r="V623" s="256"/>
      <c r="W623" s="248"/>
      <c r="X623" s="248"/>
      <c r="Y623" s="248"/>
      <c r="Z623" s="247"/>
      <c r="AA623" s="248"/>
      <c r="AB623" s="248"/>
      <c r="AC623" s="194"/>
      <c r="AD623" s="249"/>
      <c r="AE623" s="250"/>
      <c r="AF623" s="251"/>
      <c r="AG623" s="252"/>
      <c r="AH623" s="241"/>
      <c r="AI623" s="241"/>
      <c r="AJ623" s="241"/>
      <c r="AK623" s="194"/>
      <c r="AL623" s="195"/>
      <c r="AM623" s="195"/>
    </row>
    <row r="624" spans="2:39">
      <c r="B624" s="253">
        <f t="shared" si="182"/>
        <v>131</v>
      </c>
      <c r="C624" s="244"/>
      <c r="D624" s="661"/>
      <c r="E624" s="466"/>
      <c r="F624" s="615"/>
      <c r="G624" s="230"/>
      <c r="H624" s="230"/>
      <c r="I624" s="230"/>
      <c r="J624" s="230"/>
      <c r="K624" s="230"/>
      <c r="L624" s="228"/>
      <c r="M624" s="257"/>
      <c r="N624" s="228"/>
      <c r="O624" s="228"/>
      <c r="P624" s="258"/>
      <c r="Q624" s="2577"/>
      <c r="R624" s="2577"/>
      <c r="S624" s="254"/>
      <c r="T624" s="228"/>
      <c r="U624" s="2552"/>
      <c r="V624" s="256"/>
      <c r="W624" s="248"/>
      <c r="X624" s="248"/>
      <c r="Y624" s="248"/>
      <c r="Z624" s="247"/>
      <c r="AA624" s="248"/>
      <c r="AB624" s="248"/>
      <c r="AC624" s="194"/>
      <c r="AD624" s="249"/>
      <c r="AE624" s="250"/>
      <c r="AF624" s="251"/>
      <c r="AG624" s="252"/>
      <c r="AH624" s="241"/>
      <c r="AI624" s="241"/>
      <c r="AJ624" s="241"/>
      <c r="AK624" s="194"/>
      <c r="AL624" s="195"/>
      <c r="AM624" s="195"/>
    </row>
    <row r="625" spans="2:39">
      <c r="B625" s="253">
        <f t="shared" si="182"/>
        <v>132</v>
      </c>
      <c r="C625" s="244"/>
      <c r="D625" s="661"/>
      <c r="E625" s="466"/>
      <c r="F625" s="615"/>
      <c r="G625" s="230"/>
      <c r="H625" s="230"/>
      <c r="I625" s="230"/>
      <c r="J625" s="230"/>
      <c r="K625" s="230"/>
      <c r="L625" s="228"/>
      <c r="M625" s="257"/>
      <c r="N625" s="228"/>
      <c r="O625" s="228"/>
      <c r="P625" s="258"/>
      <c r="Q625" s="2577"/>
      <c r="R625" s="2577"/>
      <c r="S625" s="254"/>
      <c r="T625" s="228"/>
      <c r="U625" s="2552"/>
      <c r="V625" s="256"/>
      <c r="W625" s="248"/>
      <c r="X625" s="248"/>
      <c r="Y625" s="248"/>
      <c r="Z625" s="247"/>
      <c r="AA625" s="248"/>
      <c r="AB625" s="248"/>
      <c r="AC625" s="194"/>
      <c r="AD625" s="249"/>
      <c r="AE625" s="250"/>
      <c r="AF625" s="251"/>
      <c r="AG625" s="252"/>
      <c r="AH625" s="241"/>
      <c r="AI625" s="241"/>
      <c r="AJ625" s="241"/>
      <c r="AK625" s="194"/>
      <c r="AL625" s="195"/>
      <c r="AM625" s="195"/>
    </row>
    <row r="626" spans="2:39">
      <c r="B626" s="253">
        <f t="shared" si="182"/>
        <v>133</v>
      </c>
      <c r="C626" s="244"/>
      <c r="D626" s="661"/>
      <c r="E626" s="466"/>
      <c r="F626" s="615"/>
      <c r="G626" s="230"/>
      <c r="H626" s="230"/>
      <c r="I626" s="230"/>
      <c r="J626" s="230"/>
      <c r="K626" s="230"/>
      <c r="L626" s="228"/>
      <c r="M626" s="257"/>
      <c r="N626" s="228"/>
      <c r="O626" s="228"/>
      <c r="P626" s="258"/>
      <c r="Q626" s="2577"/>
      <c r="R626" s="2577"/>
      <c r="S626" s="254"/>
      <c r="T626" s="228"/>
      <c r="U626" s="2552"/>
      <c r="V626" s="256"/>
      <c r="W626" s="248"/>
      <c r="X626" s="248"/>
      <c r="Y626" s="248"/>
      <c r="Z626" s="247"/>
      <c r="AA626" s="248"/>
      <c r="AB626" s="248"/>
      <c r="AC626" s="194"/>
      <c r="AD626" s="249"/>
      <c r="AE626" s="250"/>
      <c r="AF626" s="251"/>
      <c r="AG626" s="252"/>
      <c r="AH626" s="241"/>
      <c r="AI626" s="241"/>
      <c r="AJ626" s="241"/>
      <c r="AK626" s="194"/>
      <c r="AL626" s="195"/>
      <c r="AM626" s="195"/>
    </row>
    <row r="627" spans="2:39">
      <c r="B627" s="253">
        <f t="shared" si="182"/>
        <v>134</v>
      </c>
      <c r="C627" s="244"/>
      <c r="D627" s="661"/>
      <c r="E627" s="466"/>
      <c r="F627" s="615"/>
      <c r="G627" s="230"/>
      <c r="H627" s="230"/>
      <c r="I627" s="230"/>
      <c r="J627" s="230"/>
      <c r="K627" s="230"/>
      <c r="L627" s="228"/>
      <c r="M627" s="257"/>
      <c r="N627" s="228"/>
      <c r="O627" s="228"/>
      <c r="P627" s="258"/>
      <c r="Q627" s="2577"/>
      <c r="R627" s="2577"/>
      <c r="S627" s="254"/>
      <c r="T627" s="228"/>
      <c r="U627" s="2552"/>
      <c r="V627" s="256"/>
      <c r="W627" s="248"/>
      <c r="X627" s="248"/>
      <c r="Y627" s="248"/>
      <c r="Z627" s="247"/>
      <c r="AA627" s="248"/>
      <c r="AB627" s="248"/>
      <c r="AC627" s="194"/>
      <c r="AD627" s="249"/>
      <c r="AE627" s="250"/>
      <c r="AF627" s="251"/>
      <c r="AG627" s="252"/>
      <c r="AH627" s="241"/>
      <c r="AI627" s="241"/>
      <c r="AJ627" s="241"/>
      <c r="AK627" s="194"/>
      <c r="AL627" s="195"/>
      <c r="AM627" s="195"/>
    </row>
    <row r="628" spans="2:39">
      <c r="B628" s="253">
        <f t="shared" si="182"/>
        <v>135</v>
      </c>
      <c r="C628" s="244"/>
      <c r="D628" s="661"/>
      <c r="E628" s="466"/>
      <c r="F628" s="615"/>
      <c r="G628" s="230"/>
      <c r="H628" s="230"/>
      <c r="I628" s="230"/>
      <c r="J628" s="230"/>
      <c r="K628" s="230"/>
      <c r="L628" s="228"/>
      <c r="M628" s="257"/>
      <c r="N628" s="228"/>
      <c r="O628" s="228"/>
      <c r="P628" s="258"/>
      <c r="Q628" s="2577"/>
      <c r="R628" s="2577"/>
      <c r="S628" s="254"/>
      <c r="T628" s="228"/>
      <c r="U628" s="2552"/>
      <c r="V628" s="256"/>
      <c r="W628" s="248"/>
      <c r="X628" s="248"/>
      <c r="Y628" s="248"/>
      <c r="Z628" s="247"/>
      <c r="AA628" s="248"/>
      <c r="AB628" s="248"/>
      <c r="AC628" s="194"/>
      <c r="AD628" s="249"/>
      <c r="AE628" s="250"/>
      <c r="AF628" s="251"/>
      <c r="AG628" s="252"/>
      <c r="AH628" s="241"/>
      <c r="AI628" s="241"/>
      <c r="AJ628" s="241"/>
      <c r="AK628" s="194"/>
      <c r="AL628" s="195"/>
      <c r="AM628" s="195"/>
    </row>
    <row r="629" spans="2:39">
      <c r="B629" s="253">
        <f t="shared" si="182"/>
        <v>136</v>
      </c>
      <c r="C629" s="244"/>
      <c r="D629" s="661"/>
      <c r="E629" s="466"/>
      <c r="F629" s="615"/>
      <c r="G629" s="230"/>
      <c r="H629" s="230"/>
      <c r="I629" s="230"/>
      <c r="J629" s="230"/>
      <c r="K629" s="230"/>
      <c r="L629" s="228"/>
      <c r="M629" s="257"/>
      <c r="N629" s="228"/>
      <c r="O629" s="228"/>
      <c r="P629" s="258"/>
      <c r="Q629" s="2577"/>
      <c r="R629" s="2577"/>
      <c r="S629" s="254"/>
      <c r="T629" s="228"/>
      <c r="U629" s="2552"/>
      <c r="V629" s="256"/>
      <c r="W629" s="248"/>
      <c r="X629" s="248"/>
      <c r="Y629" s="248"/>
      <c r="Z629" s="247"/>
      <c r="AA629" s="248"/>
      <c r="AB629" s="248"/>
      <c r="AC629" s="194"/>
      <c r="AD629" s="249"/>
      <c r="AE629" s="250"/>
      <c r="AF629" s="251"/>
      <c r="AG629" s="252"/>
      <c r="AH629" s="241"/>
      <c r="AI629" s="241"/>
      <c r="AJ629" s="241"/>
      <c r="AK629" s="194"/>
      <c r="AL629" s="195"/>
      <c r="AM629" s="195"/>
    </row>
    <row r="630" spans="2:39">
      <c r="B630" s="253">
        <f t="shared" si="182"/>
        <v>137</v>
      </c>
      <c r="C630" s="244"/>
      <c r="D630" s="661"/>
      <c r="E630" s="466"/>
      <c r="F630" s="615"/>
      <c r="G630" s="230"/>
      <c r="H630" s="230"/>
      <c r="I630" s="230"/>
      <c r="J630" s="230"/>
      <c r="K630" s="230"/>
      <c r="L630" s="228"/>
      <c r="M630" s="257"/>
      <c r="N630" s="228"/>
      <c r="O630" s="228"/>
      <c r="P630" s="258"/>
      <c r="Q630" s="2577"/>
      <c r="R630" s="2577"/>
      <c r="S630" s="254"/>
      <c r="T630" s="228"/>
      <c r="U630" s="2552"/>
      <c r="V630" s="256"/>
      <c r="W630" s="248"/>
      <c r="X630" s="248"/>
      <c r="Y630" s="248"/>
      <c r="Z630" s="247"/>
      <c r="AA630" s="248"/>
      <c r="AB630" s="248"/>
      <c r="AC630" s="194"/>
      <c r="AD630" s="249"/>
      <c r="AE630" s="250"/>
      <c r="AF630" s="251"/>
      <c r="AG630" s="252"/>
      <c r="AH630" s="241"/>
      <c r="AI630" s="241"/>
      <c r="AJ630" s="241"/>
      <c r="AK630" s="194"/>
      <c r="AL630" s="195"/>
      <c r="AM630" s="195"/>
    </row>
    <row r="631" spans="2:39">
      <c r="B631" s="253">
        <f t="shared" si="182"/>
        <v>138</v>
      </c>
      <c r="C631" s="244"/>
      <c r="D631" s="661"/>
      <c r="E631" s="466"/>
      <c r="F631" s="615"/>
      <c r="G631" s="230"/>
      <c r="H631" s="230"/>
      <c r="I631" s="230"/>
      <c r="J631" s="230"/>
      <c r="K631" s="230"/>
      <c r="L631" s="228"/>
      <c r="M631" s="257"/>
      <c r="N631" s="228"/>
      <c r="O631" s="228"/>
      <c r="P631" s="258"/>
      <c r="Q631" s="2577"/>
      <c r="R631" s="2577"/>
      <c r="S631" s="254"/>
      <c r="T631" s="228"/>
      <c r="U631" s="2552"/>
      <c r="V631" s="256"/>
      <c r="W631" s="248"/>
      <c r="X631" s="248"/>
      <c r="Y631" s="248"/>
      <c r="Z631" s="247"/>
      <c r="AA631" s="248"/>
      <c r="AB631" s="248"/>
      <c r="AC631" s="194"/>
      <c r="AD631" s="249"/>
      <c r="AE631" s="250"/>
      <c r="AF631" s="251"/>
      <c r="AG631" s="252"/>
      <c r="AH631" s="241"/>
      <c r="AI631" s="241"/>
      <c r="AJ631" s="241"/>
      <c r="AK631" s="194"/>
      <c r="AL631" s="195"/>
      <c r="AM631" s="195"/>
    </row>
    <row r="632" spans="2:39">
      <c r="B632" s="253">
        <f t="shared" si="182"/>
        <v>139</v>
      </c>
      <c r="C632" s="244"/>
      <c r="D632" s="661"/>
      <c r="E632" s="466"/>
      <c r="F632" s="615"/>
      <c r="G632" s="230"/>
      <c r="H632" s="230"/>
      <c r="I632" s="230"/>
      <c r="J632" s="230"/>
      <c r="K632" s="230"/>
      <c r="L632" s="228"/>
      <c r="M632" s="257"/>
      <c r="N632" s="228"/>
      <c r="O632" s="228"/>
      <c r="P632" s="258"/>
      <c r="Q632" s="2577"/>
      <c r="R632" s="2577"/>
      <c r="S632" s="254"/>
      <c r="T632" s="228"/>
      <c r="U632" s="2552"/>
      <c r="V632" s="256"/>
      <c r="W632" s="248"/>
      <c r="X632" s="248"/>
      <c r="Y632" s="248"/>
      <c r="Z632" s="247"/>
      <c r="AA632" s="248"/>
      <c r="AB632" s="248"/>
      <c r="AC632" s="194"/>
      <c r="AD632" s="249"/>
      <c r="AE632" s="250"/>
      <c r="AF632" s="251"/>
      <c r="AG632" s="252"/>
      <c r="AH632" s="241"/>
      <c r="AI632" s="241"/>
      <c r="AJ632" s="241"/>
      <c r="AK632" s="194"/>
      <c r="AL632" s="195"/>
      <c r="AM632" s="195"/>
    </row>
    <row r="633" spans="2:39">
      <c r="B633" s="253">
        <f t="shared" si="182"/>
        <v>140</v>
      </c>
      <c r="C633" s="244"/>
      <c r="D633" s="661"/>
      <c r="E633" s="466"/>
      <c r="F633" s="615"/>
      <c r="G633" s="230"/>
      <c r="H633" s="230"/>
      <c r="I633" s="230"/>
      <c r="J633" s="230"/>
      <c r="K633" s="230"/>
      <c r="L633" s="228"/>
      <c r="M633" s="257"/>
      <c r="N633" s="228"/>
      <c r="O633" s="228"/>
      <c r="P633" s="258"/>
      <c r="Q633" s="2577"/>
      <c r="R633" s="2577"/>
      <c r="S633" s="254"/>
      <c r="T633" s="228"/>
      <c r="U633" s="2552"/>
      <c r="V633" s="256"/>
      <c r="W633" s="248"/>
      <c r="X633" s="248"/>
      <c r="Y633" s="248"/>
      <c r="Z633" s="247"/>
      <c r="AA633" s="248"/>
      <c r="AB633" s="248"/>
      <c r="AC633" s="194"/>
      <c r="AD633" s="249"/>
      <c r="AE633" s="250"/>
      <c r="AF633" s="251"/>
      <c r="AG633" s="252"/>
      <c r="AH633" s="241"/>
      <c r="AI633" s="241"/>
      <c r="AJ633" s="241"/>
      <c r="AK633" s="194"/>
      <c r="AL633" s="195"/>
      <c r="AM633" s="195"/>
    </row>
    <row r="634" spans="2:39">
      <c r="B634" s="253">
        <f t="shared" si="182"/>
        <v>141</v>
      </c>
      <c r="C634" s="244"/>
      <c r="D634" s="661"/>
      <c r="E634" s="466"/>
      <c r="F634" s="615"/>
      <c r="G634" s="230"/>
      <c r="H634" s="230"/>
      <c r="I634" s="230"/>
      <c r="J634" s="230"/>
      <c r="K634" s="230"/>
      <c r="L634" s="228"/>
      <c r="M634" s="257"/>
      <c r="N634" s="228"/>
      <c r="O634" s="228"/>
      <c r="P634" s="258"/>
      <c r="Q634" s="2577"/>
      <c r="R634" s="2577"/>
      <c r="S634" s="254"/>
      <c r="T634" s="228"/>
      <c r="U634" s="2552"/>
      <c r="V634" s="256"/>
      <c r="W634" s="248"/>
      <c r="X634" s="248"/>
      <c r="Y634" s="248"/>
      <c r="Z634" s="247"/>
      <c r="AA634" s="248"/>
      <c r="AB634" s="248"/>
      <c r="AC634" s="194"/>
      <c r="AD634" s="249"/>
      <c r="AE634" s="250"/>
      <c r="AF634" s="251"/>
      <c r="AG634" s="252"/>
      <c r="AH634" s="241"/>
      <c r="AI634" s="241"/>
      <c r="AJ634" s="241"/>
      <c r="AK634" s="194"/>
      <c r="AL634" s="195"/>
      <c r="AM634" s="195"/>
    </row>
    <row r="635" spans="2:39">
      <c r="B635" s="253">
        <f t="shared" si="182"/>
        <v>142</v>
      </c>
      <c r="C635" s="244"/>
      <c r="D635" s="661"/>
      <c r="E635" s="466"/>
      <c r="F635" s="615"/>
      <c r="G635" s="230"/>
      <c r="H635" s="230"/>
      <c r="I635" s="230"/>
      <c r="J635" s="230"/>
      <c r="K635" s="230"/>
      <c r="L635" s="228"/>
      <c r="M635" s="257"/>
      <c r="N635" s="228"/>
      <c r="O635" s="228"/>
      <c r="P635" s="258"/>
      <c r="Q635" s="2577"/>
      <c r="R635" s="2577"/>
      <c r="S635" s="254"/>
      <c r="T635" s="228"/>
      <c r="U635" s="2552"/>
      <c r="V635" s="256"/>
      <c r="W635" s="248"/>
      <c r="X635" s="248"/>
      <c r="Y635" s="248"/>
      <c r="Z635" s="247"/>
      <c r="AA635" s="248"/>
      <c r="AB635" s="248"/>
      <c r="AC635" s="194"/>
      <c r="AD635" s="249"/>
      <c r="AE635" s="250"/>
      <c r="AF635" s="251"/>
      <c r="AG635" s="252"/>
      <c r="AH635" s="241"/>
      <c r="AI635" s="241"/>
      <c r="AJ635" s="241"/>
      <c r="AK635" s="194"/>
      <c r="AL635" s="195"/>
      <c r="AM635" s="195"/>
    </row>
    <row r="636" spans="2:39">
      <c r="B636" s="253">
        <f t="shared" si="182"/>
        <v>143</v>
      </c>
      <c r="C636" s="244"/>
      <c r="D636" s="661"/>
      <c r="E636" s="466"/>
      <c r="F636" s="615"/>
      <c r="G636" s="230"/>
      <c r="H636" s="230"/>
      <c r="I636" s="230"/>
      <c r="J636" s="230"/>
      <c r="K636" s="230"/>
      <c r="L636" s="228"/>
      <c r="M636" s="257"/>
      <c r="N636" s="228"/>
      <c r="O636" s="228"/>
      <c r="P636" s="258"/>
      <c r="Q636" s="2577"/>
      <c r="R636" s="2577"/>
      <c r="S636" s="254"/>
      <c r="T636" s="228"/>
      <c r="U636" s="2552"/>
      <c r="V636" s="256"/>
      <c r="W636" s="248"/>
      <c r="X636" s="248"/>
      <c r="Y636" s="248"/>
      <c r="Z636" s="247"/>
      <c r="AA636" s="248"/>
      <c r="AB636" s="248"/>
      <c r="AC636" s="194"/>
      <c r="AD636" s="249"/>
      <c r="AE636" s="250"/>
      <c r="AF636" s="251"/>
      <c r="AG636" s="252"/>
      <c r="AH636" s="241"/>
      <c r="AI636" s="241"/>
      <c r="AJ636" s="241"/>
      <c r="AK636" s="194"/>
      <c r="AL636" s="195"/>
      <c r="AM636" s="195"/>
    </row>
    <row r="637" spans="2:39">
      <c r="B637" s="253">
        <f t="shared" si="182"/>
        <v>144</v>
      </c>
      <c r="C637" s="244"/>
      <c r="D637" s="661"/>
      <c r="E637" s="466"/>
      <c r="F637" s="615"/>
      <c r="G637" s="230"/>
      <c r="H637" s="230"/>
      <c r="I637" s="230"/>
      <c r="J637" s="230"/>
      <c r="K637" s="230"/>
      <c r="L637" s="228"/>
      <c r="M637" s="257"/>
      <c r="N637" s="228"/>
      <c r="O637" s="228"/>
      <c r="P637" s="258"/>
      <c r="Q637" s="2577"/>
      <c r="R637" s="2577"/>
      <c r="S637" s="254"/>
      <c r="T637" s="228"/>
      <c r="U637" s="2552"/>
      <c r="V637" s="256"/>
      <c r="W637" s="248"/>
      <c r="X637" s="248"/>
      <c r="Y637" s="248"/>
      <c r="Z637" s="247"/>
      <c r="AA637" s="248"/>
      <c r="AB637" s="248"/>
      <c r="AC637" s="194"/>
      <c r="AD637" s="249"/>
      <c r="AE637" s="250"/>
      <c r="AF637" s="251"/>
      <c r="AG637" s="252"/>
      <c r="AH637" s="241"/>
      <c r="AI637" s="241"/>
      <c r="AJ637" s="241"/>
      <c r="AK637" s="194"/>
      <c r="AL637" s="195"/>
      <c r="AM637" s="195"/>
    </row>
    <row r="638" spans="2:39">
      <c r="B638" s="253">
        <f t="shared" si="182"/>
        <v>145</v>
      </c>
      <c r="C638" s="244"/>
      <c r="D638" s="661"/>
      <c r="E638" s="466"/>
      <c r="F638" s="615"/>
      <c r="G638" s="230"/>
      <c r="H638" s="230"/>
      <c r="I638" s="230"/>
      <c r="J638" s="230"/>
      <c r="K638" s="230"/>
      <c r="L638" s="228"/>
      <c r="M638" s="257"/>
      <c r="N638" s="228"/>
      <c r="O638" s="228"/>
      <c r="P638" s="258"/>
      <c r="Q638" s="2577"/>
      <c r="R638" s="2577"/>
      <c r="S638" s="254"/>
      <c r="T638" s="228"/>
      <c r="U638" s="2552"/>
      <c r="V638" s="256"/>
      <c r="W638" s="248"/>
      <c r="X638" s="248"/>
      <c r="Y638" s="248"/>
      <c r="Z638" s="247"/>
      <c r="AA638" s="248"/>
      <c r="AB638" s="248"/>
      <c r="AC638" s="194"/>
      <c r="AD638" s="249"/>
      <c r="AE638" s="250"/>
      <c r="AF638" s="251"/>
      <c r="AG638" s="252"/>
      <c r="AH638" s="241"/>
      <c r="AI638" s="241"/>
      <c r="AJ638" s="241"/>
      <c r="AK638" s="194"/>
      <c r="AL638" s="195"/>
      <c r="AM638" s="195"/>
    </row>
    <row r="639" spans="2:39">
      <c r="B639" s="253">
        <f t="shared" si="182"/>
        <v>146</v>
      </c>
      <c r="C639" s="244"/>
      <c r="D639" s="661"/>
      <c r="E639" s="466"/>
      <c r="F639" s="615"/>
      <c r="G639" s="230"/>
      <c r="H639" s="230"/>
      <c r="I639" s="230"/>
      <c r="J639" s="230"/>
      <c r="K639" s="230"/>
      <c r="L639" s="228"/>
      <c r="M639" s="257"/>
      <c r="N639" s="228"/>
      <c r="O639" s="228"/>
      <c r="P639" s="258"/>
      <c r="Q639" s="2577"/>
      <c r="R639" s="2577"/>
      <c r="S639" s="254"/>
      <c r="T639" s="228"/>
      <c r="U639" s="2552"/>
      <c r="V639" s="256"/>
      <c r="W639" s="248"/>
      <c r="X639" s="248"/>
      <c r="Y639" s="248"/>
      <c r="Z639" s="247"/>
      <c r="AA639" s="248"/>
      <c r="AB639" s="248"/>
      <c r="AC639" s="194"/>
      <c r="AD639" s="249"/>
      <c r="AE639" s="250"/>
      <c r="AF639" s="251"/>
      <c r="AG639" s="252"/>
      <c r="AH639" s="241"/>
      <c r="AI639" s="241"/>
      <c r="AJ639" s="241"/>
      <c r="AK639" s="194"/>
      <c r="AL639" s="195"/>
      <c r="AM639" s="195"/>
    </row>
    <row r="640" spans="2:39">
      <c r="B640" s="253">
        <f t="shared" si="182"/>
        <v>147</v>
      </c>
      <c r="C640" s="244"/>
      <c r="D640" s="661"/>
      <c r="E640" s="466"/>
      <c r="F640" s="615"/>
      <c r="G640" s="230"/>
      <c r="H640" s="230"/>
      <c r="I640" s="230"/>
      <c r="J640" s="230"/>
      <c r="K640" s="230"/>
      <c r="L640" s="228"/>
      <c r="M640" s="257"/>
      <c r="N640" s="228"/>
      <c r="O640" s="228"/>
      <c r="P640" s="258"/>
      <c r="Q640" s="2577"/>
      <c r="R640" s="2577"/>
      <c r="S640" s="254"/>
      <c r="T640" s="228"/>
      <c r="U640" s="2552"/>
      <c r="V640" s="256"/>
      <c r="W640" s="248"/>
      <c r="X640" s="248"/>
      <c r="Y640" s="248"/>
      <c r="Z640" s="247"/>
      <c r="AA640" s="248"/>
      <c r="AB640" s="248"/>
      <c r="AC640" s="194"/>
      <c r="AD640" s="249"/>
      <c r="AE640" s="250"/>
      <c r="AF640" s="251"/>
      <c r="AG640" s="252"/>
      <c r="AH640" s="241"/>
      <c r="AI640" s="241"/>
      <c r="AJ640" s="241"/>
      <c r="AK640" s="194"/>
      <c r="AL640" s="195"/>
      <c r="AM640" s="195"/>
    </row>
    <row r="641" spans="2:39">
      <c r="B641" s="253">
        <f t="shared" si="182"/>
        <v>148</v>
      </c>
      <c r="C641" s="244"/>
      <c r="D641" s="661"/>
      <c r="E641" s="466"/>
      <c r="F641" s="615"/>
      <c r="G641" s="230"/>
      <c r="H641" s="230"/>
      <c r="I641" s="230"/>
      <c r="J641" s="230"/>
      <c r="K641" s="230"/>
      <c r="L641" s="228"/>
      <c r="M641" s="257"/>
      <c r="N641" s="228"/>
      <c r="O641" s="228"/>
      <c r="P641" s="258"/>
      <c r="Q641" s="2577"/>
      <c r="R641" s="2577"/>
      <c r="S641" s="254"/>
      <c r="T641" s="228"/>
      <c r="U641" s="2552"/>
      <c r="V641" s="256"/>
      <c r="W641" s="248"/>
      <c r="X641" s="248"/>
      <c r="Y641" s="248"/>
      <c r="Z641" s="247"/>
      <c r="AA641" s="248"/>
      <c r="AB641" s="248"/>
      <c r="AC641" s="194"/>
      <c r="AD641" s="249"/>
      <c r="AE641" s="250"/>
      <c r="AF641" s="251"/>
      <c r="AG641" s="252"/>
      <c r="AH641" s="241"/>
      <c r="AI641" s="241"/>
      <c r="AJ641" s="241"/>
      <c r="AK641" s="194"/>
      <c r="AL641" s="195"/>
      <c r="AM641" s="195"/>
    </row>
    <row r="642" spans="2:39">
      <c r="B642" s="253">
        <f t="shared" si="182"/>
        <v>149</v>
      </c>
      <c r="C642" s="244"/>
      <c r="D642" s="661"/>
      <c r="E642" s="466"/>
      <c r="F642" s="615"/>
      <c r="G642" s="230"/>
      <c r="H642" s="230"/>
      <c r="I642" s="230"/>
      <c r="J642" s="230"/>
      <c r="K642" s="230"/>
      <c r="L642" s="228"/>
      <c r="M642" s="257"/>
      <c r="N642" s="228"/>
      <c r="O642" s="228"/>
      <c r="P642" s="258"/>
      <c r="Q642" s="2577"/>
      <c r="R642" s="2577"/>
      <c r="S642" s="254"/>
      <c r="T642" s="228"/>
      <c r="U642" s="2552"/>
      <c r="V642" s="256"/>
      <c r="W642" s="248"/>
      <c r="X642" s="248"/>
      <c r="Y642" s="248"/>
      <c r="Z642" s="247"/>
      <c r="AA642" s="248"/>
      <c r="AB642" s="248"/>
      <c r="AC642" s="194"/>
      <c r="AD642" s="249"/>
      <c r="AE642" s="250"/>
      <c r="AF642" s="251"/>
      <c r="AG642" s="252"/>
      <c r="AH642" s="241"/>
      <c r="AI642" s="241"/>
      <c r="AJ642" s="241"/>
      <c r="AK642" s="194"/>
      <c r="AL642" s="195"/>
      <c r="AM642" s="195"/>
    </row>
    <row r="643" spans="2:39">
      <c r="B643" s="253">
        <f t="shared" ref="B643:B706" si="183">+B642+1</f>
        <v>150</v>
      </c>
      <c r="C643" s="244"/>
      <c r="D643" s="661"/>
      <c r="E643" s="466"/>
      <c r="F643" s="615"/>
      <c r="G643" s="230"/>
      <c r="H643" s="230"/>
      <c r="I643" s="230"/>
      <c r="J643" s="230"/>
      <c r="K643" s="230"/>
      <c r="L643" s="228"/>
      <c r="M643" s="257"/>
      <c r="N643" s="228"/>
      <c r="O643" s="228"/>
      <c r="P643" s="258"/>
      <c r="Q643" s="2577"/>
      <c r="R643" s="2577"/>
      <c r="S643" s="254"/>
      <c r="T643" s="228"/>
      <c r="U643" s="2552"/>
      <c r="V643" s="256"/>
      <c r="W643" s="248"/>
      <c r="X643" s="248"/>
      <c r="Y643" s="248"/>
      <c r="Z643" s="247"/>
      <c r="AA643" s="248"/>
      <c r="AB643" s="248"/>
      <c r="AC643" s="194"/>
      <c r="AD643" s="249"/>
      <c r="AE643" s="250"/>
      <c r="AF643" s="251"/>
      <c r="AG643" s="252"/>
      <c r="AH643" s="241"/>
      <c r="AI643" s="241"/>
      <c r="AJ643" s="241"/>
      <c r="AK643" s="194"/>
      <c r="AL643" s="195"/>
      <c r="AM643" s="195"/>
    </row>
    <row r="644" spans="2:39">
      <c r="B644" s="253">
        <f t="shared" si="183"/>
        <v>151</v>
      </c>
      <c r="C644" s="244"/>
      <c r="D644" s="661"/>
      <c r="E644" s="466"/>
      <c r="F644" s="615"/>
      <c r="G644" s="230"/>
      <c r="H644" s="230"/>
      <c r="I644" s="230"/>
      <c r="J644" s="230"/>
      <c r="K644" s="230"/>
      <c r="L644" s="228"/>
      <c r="M644" s="257"/>
      <c r="N644" s="228"/>
      <c r="O644" s="228"/>
      <c r="P644" s="258"/>
      <c r="Q644" s="2577"/>
      <c r="R644" s="2577"/>
      <c r="S644" s="254"/>
      <c r="T644" s="228"/>
      <c r="U644" s="2552"/>
      <c r="V644" s="256"/>
      <c r="W644" s="248"/>
      <c r="X644" s="248"/>
      <c r="Y644" s="248"/>
      <c r="Z644" s="247"/>
      <c r="AA644" s="248"/>
      <c r="AB644" s="248"/>
      <c r="AC644" s="194"/>
      <c r="AD644" s="249"/>
      <c r="AE644" s="250"/>
      <c r="AF644" s="251"/>
      <c r="AG644" s="252"/>
      <c r="AH644" s="241"/>
      <c r="AI644" s="241"/>
      <c r="AJ644" s="241"/>
      <c r="AK644" s="194"/>
      <c r="AL644" s="195"/>
      <c r="AM644" s="195"/>
    </row>
    <row r="645" spans="2:39">
      <c r="B645" s="253">
        <f t="shared" si="183"/>
        <v>152</v>
      </c>
      <c r="C645" s="244"/>
      <c r="D645" s="661"/>
      <c r="E645" s="466"/>
      <c r="F645" s="615"/>
      <c r="G645" s="230"/>
      <c r="H645" s="230"/>
      <c r="I645" s="230"/>
      <c r="J645" s="230"/>
      <c r="K645" s="230"/>
      <c r="L645" s="228"/>
      <c r="M645" s="257"/>
      <c r="N645" s="228"/>
      <c r="O645" s="228"/>
      <c r="P645" s="258"/>
      <c r="Q645" s="2577"/>
      <c r="R645" s="2577"/>
      <c r="S645" s="254"/>
      <c r="T645" s="228"/>
      <c r="U645" s="2552"/>
      <c r="V645" s="256"/>
      <c r="W645" s="248"/>
      <c r="X645" s="248"/>
      <c r="Y645" s="248"/>
      <c r="Z645" s="247"/>
      <c r="AA645" s="248"/>
      <c r="AB645" s="248"/>
      <c r="AC645" s="194"/>
      <c r="AD645" s="249"/>
      <c r="AE645" s="250"/>
      <c r="AF645" s="251"/>
      <c r="AG645" s="252"/>
      <c r="AH645" s="241"/>
      <c r="AI645" s="241"/>
      <c r="AJ645" s="241"/>
      <c r="AK645" s="194"/>
      <c r="AL645" s="195"/>
      <c r="AM645" s="195"/>
    </row>
    <row r="646" spans="2:39">
      <c r="B646" s="253">
        <f t="shared" si="183"/>
        <v>153</v>
      </c>
      <c r="C646" s="244"/>
      <c r="D646" s="661"/>
      <c r="E646" s="466"/>
      <c r="F646" s="615"/>
      <c r="G646" s="230"/>
      <c r="H646" s="230"/>
      <c r="I646" s="230"/>
      <c r="J646" s="230"/>
      <c r="K646" s="230"/>
      <c r="L646" s="228"/>
      <c r="M646" s="257"/>
      <c r="N646" s="228"/>
      <c r="O646" s="228"/>
      <c r="P646" s="258"/>
      <c r="Q646" s="2577"/>
      <c r="R646" s="2577"/>
      <c r="S646" s="254"/>
      <c r="T646" s="228"/>
      <c r="U646" s="2552"/>
      <c r="V646" s="256"/>
      <c r="W646" s="248"/>
      <c r="X646" s="248"/>
      <c r="Y646" s="248"/>
      <c r="Z646" s="247"/>
      <c r="AA646" s="248"/>
      <c r="AB646" s="248"/>
      <c r="AC646" s="194"/>
      <c r="AD646" s="249"/>
      <c r="AE646" s="250"/>
      <c r="AF646" s="251"/>
      <c r="AG646" s="252"/>
      <c r="AH646" s="241"/>
      <c r="AI646" s="241"/>
      <c r="AJ646" s="241"/>
      <c r="AK646" s="194"/>
      <c r="AL646" s="195"/>
      <c r="AM646" s="195"/>
    </row>
    <row r="647" spans="2:39">
      <c r="B647" s="253">
        <f t="shared" si="183"/>
        <v>154</v>
      </c>
      <c r="C647" s="244"/>
      <c r="D647" s="661"/>
      <c r="E647" s="466"/>
      <c r="F647" s="615"/>
      <c r="G647" s="230"/>
      <c r="H647" s="230"/>
      <c r="I647" s="230"/>
      <c r="J647" s="230"/>
      <c r="K647" s="230"/>
      <c r="L647" s="228"/>
      <c r="M647" s="257"/>
      <c r="N647" s="228"/>
      <c r="O647" s="228"/>
      <c r="P647" s="258"/>
      <c r="Q647" s="2577"/>
      <c r="R647" s="2577"/>
      <c r="S647" s="254"/>
      <c r="T647" s="228"/>
      <c r="U647" s="2552"/>
      <c r="V647" s="256"/>
      <c r="W647" s="248"/>
      <c r="X647" s="248"/>
      <c r="Y647" s="248"/>
      <c r="Z647" s="247"/>
      <c r="AA647" s="248"/>
      <c r="AB647" s="248"/>
      <c r="AC647" s="194"/>
      <c r="AD647" s="249"/>
      <c r="AE647" s="250"/>
      <c r="AF647" s="251"/>
      <c r="AG647" s="252"/>
      <c r="AH647" s="241"/>
      <c r="AI647" s="241"/>
      <c r="AJ647" s="241"/>
      <c r="AK647" s="194"/>
      <c r="AL647" s="195"/>
      <c r="AM647" s="195"/>
    </row>
    <row r="648" spans="2:39">
      <c r="B648" s="253">
        <f t="shared" si="183"/>
        <v>155</v>
      </c>
      <c r="C648" s="244"/>
      <c r="D648" s="661"/>
      <c r="E648" s="466"/>
      <c r="F648" s="615"/>
      <c r="G648" s="230"/>
      <c r="H648" s="230"/>
      <c r="I648" s="230"/>
      <c r="J648" s="230"/>
      <c r="K648" s="230"/>
      <c r="L648" s="228"/>
      <c r="M648" s="257"/>
      <c r="N648" s="228"/>
      <c r="O648" s="228"/>
      <c r="P648" s="258"/>
      <c r="Q648" s="2577"/>
      <c r="R648" s="2577"/>
      <c r="S648" s="254"/>
      <c r="T648" s="228"/>
      <c r="U648" s="2552"/>
      <c r="V648" s="256"/>
      <c r="W648" s="248"/>
      <c r="X648" s="248"/>
      <c r="Y648" s="248"/>
      <c r="Z648" s="247"/>
      <c r="AA648" s="248"/>
      <c r="AB648" s="248"/>
      <c r="AC648" s="194"/>
      <c r="AD648" s="249"/>
      <c r="AE648" s="250"/>
      <c r="AF648" s="251"/>
      <c r="AG648" s="252"/>
      <c r="AH648" s="241"/>
      <c r="AI648" s="241"/>
      <c r="AJ648" s="241"/>
      <c r="AK648" s="194"/>
      <c r="AL648" s="195"/>
      <c r="AM648" s="195"/>
    </row>
    <row r="649" spans="2:39">
      <c r="B649" s="253">
        <f t="shared" si="183"/>
        <v>156</v>
      </c>
      <c r="C649" s="244"/>
      <c r="D649" s="661"/>
      <c r="E649" s="466"/>
      <c r="F649" s="615"/>
      <c r="G649" s="230"/>
      <c r="H649" s="230"/>
      <c r="I649" s="230"/>
      <c r="J649" s="230"/>
      <c r="K649" s="230"/>
      <c r="L649" s="228"/>
      <c r="M649" s="257"/>
      <c r="N649" s="228"/>
      <c r="O649" s="228"/>
      <c r="P649" s="258"/>
      <c r="Q649" s="2577"/>
      <c r="R649" s="2577"/>
      <c r="S649" s="254"/>
      <c r="T649" s="228"/>
      <c r="U649" s="2552"/>
      <c r="V649" s="256"/>
      <c r="W649" s="248"/>
      <c r="X649" s="248"/>
      <c r="Y649" s="248"/>
      <c r="Z649" s="247"/>
      <c r="AA649" s="248"/>
      <c r="AB649" s="248"/>
      <c r="AC649" s="194"/>
      <c r="AD649" s="249"/>
      <c r="AE649" s="250"/>
      <c r="AF649" s="251"/>
      <c r="AG649" s="252"/>
      <c r="AH649" s="241"/>
      <c r="AI649" s="241"/>
      <c r="AJ649" s="241"/>
      <c r="AK649" s="194"/>
      <c r="AL649" s="195"/>
      <c r="AM649" s="195"/>
    </row>
    <row r="650" spans="2:39">
      <c r="B650" s="253">
        <f t="shared" si="183"/>
        <v>157</v>
      </c>
      <c r="C650" s="244"/>
      <c r="D650" s="661"/>
      <c r="E650" s="466"/>
      <c r="F650" s="615"/>
      <c r="G650" s="230"/>
      <c r="H650" s="230"/>
      <c r="I650" s="230"/>
      <c r="J650" s="230"/>
      <c r="K650" s="230"/>
      <c r="L650" s="228"/>
      <c r="M650" s="257"/>
      <c r="N650" s="228"/>
      <c r="O650" s="228"/>
      <c r="P650" s="258"/>
      <c r="Q650" s="2577"/>
      <c r="R650" s="2577"/>
      <c r="S650" s="254"/>
      <c r="T650" s="228"/>
      <c r="U650" s="2552"/>
      <c r="V650" s="256"/>
      <c r="W650" s="248"/>
      <c r="X650" s="248"/>
      <c r="Y650" s="248"/>
      <c r="Z650" s="247"/>
      <c r="AA650" s="248"/>
      <c r="AB650" s="248"/>
      <c r="AC650" s="194"/>
      <c r="AD650" s="249"/>
      <c r="AE650" s="250"/>
      <c r="AF650" s="251"/>
      <c r="AG650" s="252"/>
      <c r="AH650" s="241"/>
      <c r="AI650" s="241"/>
      <c r="AJ650" s="241"/>
      <c r="AK650" s="194"/>
      <c r="AL650" s="195"/>
      <c r="AM650" s="195"/>
    </row>
    <row r="651" spans="2:39">
      <c r="B651" s="253">
        <f t="shared" si="183"/>
        <v>158</v>
      </c>
      <c r="C651" s="244"/>
      <c r="D651" s="661"/>
      <c r="E651" s="466"/>
      <c r="F651" s="615"/>
      <c r="G651" s="230"/>
      <c r="H651" s="230"/>
      <c r="I651" s="230"/>
      <c r="J651" s="230"/>
      <c r="K651" s="230"/>
      <c r="L651" s="228"/>
      <c r="M651" s="257"/>
      <c r="N651" s="228"/>
      <c r="O651" s="228"/>
      <c r="P651" s="258"/>
      <c r="Q651" s="2577"/>
      <c r="R651" s="2577"/>
      <c r="S651" s="254"/>
      <c r="T651" s="228"/>
      <c r="U651" s="2552"/>
      <c r="V651" s="256"/>
      <c r="W651" s="248"/>
      <c r="X651" s="248"/>
      <c r="Y651" s="248"/>
      <c r="Z651" s="247"/>
      <c r="AA651" s="248"/>
      <c r="AB651" s="248"/>
      <c r="AC651" s="194"/>
      <c r="AD651" s="249"/>
      <c r="AE651" s="250"/>
      <c r="AF651" s="251"/>
      <c r="AG651" s="252"/>
      <c r="AH651" s="241"/>
      <c r="AI651" s="241"/>
      <c r="AJ651" s="241"/>
      <c r="AK651" s="194"/>
      <c r="AL651" s="195"/>
      <c r="AM651" s="195"/>
    </row>
    <row r="652" spans="2:39">
      <c r="B652" s="253">
        <f t="shared" si="183"/>
        <v>159</v>
      </c>
      <c r="C652" s="244"/>
      <c r="D652" s="661"/>
      <c r="E652" s="466"/>
      <c r="F652" s="615"/>
      <c r="G652" s="230"/>
      <c r="H652" s="230"/>
      <c r="I652" s="230"/>
      <c r="J652" s="230"/>
      <c r="K652" s="230"/>
      <c r="L652" s="228"/>
      <c r="M652" s="257"/>
      <c r="N652" s="228"/>
      <c r="O652" s="228"/>
      <c r="P652" s="258"/>
      <c r="Q652" s="2577"/>
      <c r="R652" s="2577"/>
      <c r="S652" s="254"/>
      <c r="T652" s="228"/>
      <c r="U652" s="2552"/>
      <c r="V652" s="256"/>
      <c r="W652" s="248"/>
      <c r="X652" s="248"/>
      <c r="Y652" s="248"/>
      <c r="Z652" s="247"/>
      <c r="AA652" s="248"/>
      <c r="AB652" s="248"/>
      <c r="AC652" s="194"/>
      <c r="AD652" s="249"/>
      <c r="AE652" s="250"/>
      <c r="AF652" s="251"/>
      <c r="AG652" s="252"/>
      <c r="AH652" s="241"/>
      <c r="AI652" s="241"/>
      <c r="AJ652" s="241"/>
      <c r="AK652" s="194"/>
      <c r="AL652" s="195"/>
      <c r="AM652" s="195"/>
    </row>
    <row r="653" spans="2:39">
      <c r="B653" s="253">
        <f t="shared" si="183"/>
        <v>160</v>
      </c>
      <c r="C653" s="244"/>
      <c r="D653" s="661"/>
      <c r="E653" s="466"/>
      <c r="F653" s="615"/>
      <c r="G653" s="230"/>
      <c r="H653" s="230"/>
      <c r="I653" s="230"/>
      <c r="J653" s="230"/>
      <c r="K653" s="230"/>
      <c r="L653" s="228"/>
      <c r="M653" s="257"/>
      <c r="N653" s="228"/>
      <c r="O653" s="228"/>
      <c r="P653" s="258"/>
      <c r="Q653" s="2577"/>
      <c r="R653" s="2577"/>
      <c r="S653" s="254"/>
      <c r="T653" s="228"/>
      <c r="U653" s="2552"/>
      <c r="V653" s="256"/>
      <c r="W653" s="248"/>
      <c r="X653" s="248"/>
      <c r="Y653" s="248"/>
      <c r="Z653" s="247"/>
      <c r="AA653" s="248"/>
      <c r="AB653" s="248"/>
      <c r="AC653" s="194"/>
      <c r="AD653" s="249"/>
      <c r="AE653" s="250"/>
      <c r="AF653" s="251"/>
      <c r="AG653" s="252"/>
      <c r="AH653" s="241"/>
      <c r="AI653" s="241"/>
      <c r="AJ653" s="241"/>
      <c r="AK653" s="194"/>
      <c r="AL653" s="195"/>
      <c r="AM653" s="195"/>
    </row>
    <row r="654" spans="2:39">
      <c r="B654" s="253">
        <f t="shared" si="183"/>
        <v>161</v>
      </c>
      <c r="C654" s="244"/>
      <c r="D654" s="661"/>
      <c r="E654" s="466"/>
      <c r="F654" s="615"/>
      <c r="G654" s="230"/>
      <c r="H654" s="230"/>
      <c r="I654" s="230"/>
      <c r="J654" s="230"/>
      <c r="K654" s="230"/>
      <c r="L654" s="228"/>
      <c r="M654" s="257"/>
      <c r="N654" s="228"/>
      <c r="O654" s="228"/>
      <c r="P654" s="258"/>
      <c r="Q654" s="2577"/>
      <c r="R654" s="2577"/>
      <c r="S654" s="254"/>
      <c r="T654" s="228"/>
      <c r="U654" s="2552"/>
      <c r="V654" s="256"/>
      <c r="W654" s="248"/>
      <c r="X654" s="248"/>
      <c r="Y654" s="248"/>
      <c r="Z654" s="247"/>
      <c r="AA654" s="248"/>
      <c r="AB654" s="248"/>
      <c r="AC654" s="194"/>
      <c r="AD654" s="249"/>
      <c r="AE654" s="250"/>
      <c r="AF654" s="251"/>
      <c r="AG654" s="252"/>
      <c r="AH654" s="241"/>
      <c r="AI654" s="241"/>
      <c r="AJ654" s="241"/>
      <c r="AK654" s="194"/>
      <c r="AL654" s="195"/>
      <c r="AM654" s="195"/>
    </row>
    <row r="655" spans="2:39">
      <c r="B655" s="253">
        <f t="shared" si="183"/>
        <v>162</v>
      </c>
      <c r="C655" s="244"/>
      <c r="D655" s="661"/>
      <c r="E655" s="466"/>
      <c r="F655" s="615"/>
      <c r="G655" s="230"/>
      <c r="H655" s="230"/>
      <c r="I655" s="230"/>
      <c r="J655" s="230"/>
      <c r="K655" s="230"/>
      <c r="L655" s="228"/>
      <c r="M655" s="257"/>
      <c r="N655" s="228"/>
      <c r="O655" s="228"/>
      <c r="P655" s="258"/>
      <c r="Q655" s="2577"/>
      <c r="R655" s="2577"/>
      <c r="S655" s="254"/>
      <c r="T655" s="228"/>
      <c r="U655" s="2552"/>
      <c r="V655" s="256"/>
      <c r="W655" s="248"/>
      <c r="X655" s="248"/>
      <c r="Y655" s="248"/>
      <c r="Z655" s="247"/>
      <c r="AA655" s="248"/>
      <c r="AB655" s="248"/>
      <c r="AC655" s="194"/>
      <c r="AD655" s="249"/>
      <c r="AE655" s="250"/>
      <c r="AF655" s="251"/>
      <c r="AG655" s="252"/>
      <c r="AH655" s="241"/>
      <c r="AI655" s="241"/>
      <c r="AJ655" s="241"/>
      <c r="AK655" s="194"/>
      <c r="AL655" s="195"/>
      <c r="AM655" s="195"/>
    </row>
    <row r="656" spans="2:39">
      <c r="B656" s="253">
        <f t="shared" si="183"/>
        <v>163</v>
      </c>
      <c r="C656" s="244"/>
      <c r="D656" s="661"/>
      <c r="E656" s="466"/>
      <c r="F656" s="615"/>
      <c r="G656" s="230"/>
      <c r="H656" s="230"/>
      <c r="I656" s="230"/>
      <c r="J656" s="230"/>
      <c r="K656" s="230"/>
      <c r="L656" s="228"/>
      <c r="M656" s="257"/>
      <c r="N656" s="228"/>
      <c r="O656" s="228"/>
      <c r="P656" s="258"/>
      <c r="Q656" s="2577"/>
      <c r="R656" s="2577"/>
      <c r="S656" s="254"/>
      <c r="T656" s="228"/>
      <c r="U656" s="2552"/>
      <c r="V656" s="256"/>
      <c r="W656" s="248"/>
      <c r="X656" s="248"/>
      <c r="Y656" s="248"/>
      <c r="Z656" s="247"/>
      <c r="AA656" s="248"/>
      <c r="AB656" s="248"/>
      <c r="AC656" s="194"/>
      <c r="AD656" s="249"/>
      <c r="AE656" s="250"/>
      <c r="AF656" s="251"/>
      <c r="AG656" s="252"/>
      <c r="AH656" s="241"/>
      <c r="AI656" s="241"/>
      <c r="AJ656" s="241"/>
      <c r="AK656" s="194"/>
      <c r="AL656" s="195"/>
      <c r="AM656" s="195"/>
    </row>
    <row r="657" spans="2:39">
      <c r="B657" s="253">
        <f t="shared" si="183"/>
        <v>164</v>
      </c>
      <c r="C657" s="244"/>
      <c r="D657" s="661"/>
      <c r="E657" s="466"/>
      <c r="F657" s="615"/>
      <c r="G657" s="230"/>
      <c r="H657" s="230"/>
      <c r="I657" s="230"/>
      <c r="J657" s="230"/>
      <c r="K657" s="230"/>
      <c r="L657" s="228"/>
      <c r="M657" s="257"/>
      <c r="N657" s="228"/>
      <c r="O657" s="228"/>
      <c r="P657" s="258"/>
      <c r="Q657" s="2577"/>
      <c r="R657" s="2577"/>
      <c r="S657" s="254"/>
      <c r="T657" s="228"/>
      <c r="U657" s="2552"/>
      <c r="V657" s="256"/>
      <c r="W657" s="248"/>
      <c r="X657" s="248"/>
      <c r="Y657" s="248"/>
      <c r="Z657" s="247"/>
      <c r="AA657" s="248"/>
      <c r="AB657" s="248"/>
      <c r="AC657" s="194"/>
      <c r="AD657" s="249"/>
      <c r="AE657" s="250"/>
      <c r="AF657" s="251"/>
      <c r="AG657" s="252"/>
      <c r="AH657" s="241"/>
      <c r="AI657" s="241"/>
      <c r="AJ657" s="241"/>
      <c r="AK657" s="194"/>
      <c r="AL657" s="195"/>
      <c r="AM657" s="195"/>
    </row>
    <row r="658" spans="2:39">
      <c r="B658" s="253">
        <f t="shared" si="183"/>
        <v>165</v>
      </c>
      <c r="C658" s="244"/>
      <c r="D658" s="661"/>
      <c r="E658" s="466"/>
      <c r="F658" s="615"/>
      <c r="G658" s="230"/>
      <c r="H658" s="230"/>
      <c r="I658" s="230"/>
      <c r="J658" s="230"/>
      <c r="K658" s="230"/>
      <c r="L658" s="228"/>
      <c r="M658" s="257"/>
      <c r="N658" s="228"/>
      <c r="O658" s="228"/>
      <c r="P658" s="258"/>
      <c r="Q658" s="2577"/>
      <c r="R658" s="2577"/>
      <c r="S658" s="254"/>
      <c r="T658" s="228"/>
      <c r="U658" s="2552"/>
      <c r="V658" s="256"/>
      <c r="W658" s="248"/>
      <c r="X658" s="248"/>
      <c r="Y658" s="248"/>
      <c r="Z658" s="247"/>
      <c r="AA658" s="248"/>
      <c r="AB658" s="248"/>
      <c r="AC658" s="194"/>
      <c r="AD658" s="249"/>
      <c r="AE658" s="250"/>
      <c r="AF658" s="251"/>
      <c r="AG658" s="252"/>
      <c r="AH658" s="241"/>
      <c r="AI658" s="241"/>
      <c r="AJ658" s="241"/>
      <c r="AK658" s="194"/>
      <c r="AL658" s="195"/>
      <c r="AM658" s="195"/>
    </row>
    <row r="659" spans="2:39">
      <c r="B659" s="253">
        <f t="shared" si="183"/>
        <v>166</v>
      </c>
      <c r="C659" s="244"/>
      <c r="D659" s="661"/>
      <c r="E659" s="466"/>
      <c r="F659" s="615"/>
      <c r="G659" s="230"/>
      <c r="H659" s="230"/>
      <c r="I659" s="230"/>
      <c r="J659" s="230"/>
      <c r="K659" s="230"/>
      <c r="L659" s="228"/>
      <c r="M659" s="257"/>
      <c r="N659" s="228"/>
      <c r="O659" s="228"/>
      <c r="P659" s="258"/>
      <c r="Q659" s="2577"/>
      <c r="R659" s="2577"/>
      <c r="S659" s="254"/>
      <c r="T659" s="228"/>
      <c r="U659" s="2552"/>
      <c r="V659" s="256"/>
      <c r="W659" s="248"/>
      <c r="X659" s="248"/>
      <c r="Y659" s="248"/>
      <c r="Z659" s="247"/>
      <c r="AA659" s="248"/>
      <c r="AB659" s="248"/>
      <c r="AC659" s="194"/>
      <c r="AD659" s="249"/>
      <c r="AE659" s="250"/>
      <c r="AF659" s="251"/>
      <c r="AG659" s="252"/>
      <c r="AH659" s="241"/>
      <c r="AI659" s="241"/>
      <c r="AJ659" s="241"/>
      <c r="AK659" s="194"/>
      <c r="AL659" s="195"/>
      <c r="AM659" s="195"/>
    </row>
    <row r="660" spans="2:39">
      <c r="B660" s="253">
        <f t="shared" si="183"/>
        <v>167</v>
      </c>
      <c r="C660" s="244"/>
      <c r="D660" s="661"/>
      <c r="E660" s="466"/>
      <c r="F660" s="615"/>
      <c r="G660" s="230"/>
      <c r="H660" s="230"/>
      <c r="I660" s="230"/>
      <c r="J660" s="230"/>
      <c r="K660" s="230"/>
      <c r="L660" s="228"/>
      <c r="M660" s="257"/>
      <c r="N660" s="228"/>
      <c r="O660" s="228"/>
      <c r="P660" s="258"/>
      <c r="Q660" s="2577"/>
      <c r="R660" s="2577"/>
      <c r="S660" s="254"/>
      <c r="T660" s="228"/>
      <c r="U660" s="2552"/>
      <c r="V660" s="256"/>
      <c r="W660" s="248"/>
      <c r="X660" s="248"/>
      <c r="Y660" s="248"/>
      <c r="Z660" s="247"/>
      <c r="AA660" s="248"/>
      <c r="AB660" s="248"/>
      <c r="AC660" s="194"/>
      <c r="AD660" s="249"/>
      <c r="AE660" s="250"/>
      <c r="AF660" s="251"/>
      <c r="AG660" s="252"/>
      <c r="AH660" s="241"/>
      <c r="AI660" s="241"/>
      <c r="AJ660" s="241"/>
      <c r="AK660" s="194"/>
      <c r="AL660" s="195"/>
      <c r="AM660" s="195"/>
    </row>
    <row r="661" spans="2:39">
      <c r="B661" s="253">
        <f t="shared" si="183"/>
        <v>168</v>
      </c>
      <c r="C661" s="244"/>
      <c r="D661" s="661"/>
      <c r="E661" s="466"/>
      <c r="F661" s="615"/>
      <c r="G661" s="230"/>
      <c r="H661" s="230"/>
      <c r="I661" s="230"/>
      <c r="J661" s="230"/>
      <c r="K661" s="230"/>
      <c r="L661" s="228"/>
      <c r="M661" s="257"/>
      <c r="N661" s="228"/>
      <c r="O661" s="228"/>
      <c r="P661" s="258"/>
      <c r="Q661" s="2577"/>
      <c r="R661" s="2577"/>
      <c r="S661" s="254"/>
      <c r="T661" s="228"/>
      <c r="U661" s="2552"/>
      <c r="V661" s="256"/>
      <c r="W661" s="248"/>
      <c r="X661" s="248"/>
      <c r="Y661" s="248"/>
      <c r="Z661" s="247"/>
      <c r="AA661" s="248"/>
      <c r="AB661" s="248"/>
      <c r="AC661" s="194"/>
      <c r="AD661" s="249"/>
      <c r="AE661" s="250"/>
      <c r="AF661" s="251"/>
      <c r="AG661" s="252"/>
      <c r="AH661" s="241"/>
      <c r="AI661" s="241"/>
      <c r="AJ661" s="241"/>
      <c r="AK661" s="194"/>
      <c r="AL661" s="195"/>
      <c r="AM661" s="195"/>
    </row>
    <row r="662" spans="2:39">
      <c r="B662" s="253">
        <f t="shared" si="183"/>
        <v>169</v>
      </c>
      <c r="C662" s="244"/>
      <c r="D662" s="661"/>
      <c r="E662" s="466"/>
      <c r="F662" s="615"/>
      <c r="G662" s="230"/>
      <c r="H662" s="230"/>
      <c r="I662" s="230"/>
      <c r="J662" s="230"/>
      <c r="K662" s="230"/>
      <c r="L662" s="228"/>
      <c r="M662" s="257"/>
      <c r="N662" s="228"/>
      <c r="O662" s="228"/>
      <c r="P662" s="258"/>
      <c r="Q662" s="2577"/>
      <c r="R662" s="2577"/>
      <c r="S662" s="254"/>
      <c r="T662" s="228"/>
      <c r="U662" s="2552"/>
      <c r="V662" s="256"/>
      <c r="W662" s="248"/>
      <c r="X662" s="248"/>
      <c r="Y662" s="248"/>
      <c r="Z662" s="247"/>
      <c r="AA662" s="248"/>
      <c r="AB662" s="248"/>
      <c r="AC662" s="194"/>
      <c r="AD662" s="249"/>
      <c r="AE662" s="250"/>
      <c r="AF662" s="251"/>
      <c r="AG662" s="252"/>
      <c r="AH662" s="241"/>
      <c r="AI662" s="241"/>
      <c r="AJ662" s="241"/>
      <c r="AK662" s="194"/>
      <c r="AL662" s="195"/>
      <c r="AM662" s="195"/>
    </row>
    <row r="663" spans="2:39">
      <c r="B663" s="253">
        <f t="shared" si="183"/>
        <v>170</v>
      </c>
      <c r="C663" s="244"/>
      <c r="D663" s="661"/>
      <c r="E663" s="466"/>
      <c r="F663" s="615"/>
      <c r="G663" s="230"/>
      <c r="H663" s="230"/>
      <c r="I663" s="230"/>
      <c r="J663" s="230"/>
      <c r="K663" s="230"/>
      <c r="L663" s="228"/>
      <c r="M663" s="257"/>
      <c r="N663" s="228"/>
      <c r="O663" s="228"/>
      <c r="P663" s="258"/>
      <c r="Q663" s="2577"/>
      <c r="R663" s="2577"/>
      <c r="S663" s="254"/>
      <c r="T663" s="228"/>
      <c r="U663" s="2552"/>
      <c r="V663" s="256"/>
      <c r="W663" s="248"/>
      <c r="X663" s="248"/>
      <c r="Y663" s="248"/>
      <c r="Z663" s="247"/>
      <c r="AA663" s="248"/>
      <c r="AB663" s="248"/>
      <c r="AC663" s="194"/>
      <c r="AD663" s="249"/>
      <c r="AE663" s="250"/>
      <c r="AF663" s="251"/>
      <c r="AG663" s="252"/>
      <c r="AH663" s="241"/>
      <c r="AI663" s="241"/>
      <c r="AJ663" s="241"/>
      <c r="AK663" s="194"/>
      <c r="AL663" s="195"/>
      <c r="AM663" s="195"/>
    </row>
    <row r="664" spans="2:39">
      <c r="B664" s="253">
        <f t="shared" si="183"/>
        <v>171</v>
      </c>
      <c r="C664" s="244"/>
      <c r="D664" s="661"/>
      <c r="E664" s="466"/>
      <c r="F664" s="615"/>
      <c r="G664" s="230"/>
      <c r="H664" s="230"/>
      <c r="I664" s="230"/>
      <c r="J664" s="230"/>
      <c r="K664" s="230"/>
      <c r="L664" s="228"/>
      <c r="M664" s="257"/>
      <c r="N664" s="228"/>
      <c r="O664" s="228"/>
      <c r="P664" s="258"/>
      <c r="Q664" s="2577"/>
      <c r="R664" s="2577"/>
      <c r="S664" s="254"/>
      <c r="T664" s="228"/>
      <c r="U664" s="2552"/>
      <c r="V664" s="256"/>
      <c r="W664" s="248"/>
      <c r="X664" s="248"/>
      <c r="Y664" s="248"/>
      <c r="Z664" s="247"/>
      <c r="AA664" s="248"/>
      <c r="AB664" s="248"/>
      <c r="AC664" s="194"/>
      <c r="AD664" s="249"/>
      <c r="AE664" s="250"/>
      <c r="AF664" s="251"/>
      <c r="AG664" s="252"/>
      <c r="AH664" s="241"/>
      <c r="AI664" s="241"/>
      <c r="AJ664" s="241"/>
      <c r="AK664" s="194"/>
      <c r="AL664" s="195"/>
      <c r="AM664" s="195"/>
    </row>
    <row r="665" spans="2:39">
      <c r="B665" s="253">
        <f t="shared" si="183"/>
        <v>172</v>
      </c>
      <c r="C665" s="244"/>
      <c r="D665" s="661"/>
      <c r="E665" s="466"/>
      <c r="F665" s="615"/>
      <c r="G665" s="230"/>
      <c r="H665" s="230"/>
      <c r="I665" s="230"/>
      <c r="J665" s="230"/>
      <c r="K665" s="230"/>
      <c r="L665" s="228"/>
      <c r="M665" s="257"/>
      <c r="N665" s="228"/>
      <c r="O665" s="228"/>
      <c r="P665" s="258"/>
      <c r="Q665" s="2577"/>
      <c r="R665" s="2577"/>
      <c r="S665" s="254"/>
      <c r="T665" s="228"/>
      <c r="U665" s="2552"/>
      <c r="V665" s="256"/>
      <c r="W665" s="248"/>
      <c r="X665" s="248"/>
      <c r="Y665" s="248"/>
      <c r="Z665" s="247"/>
      <c r="AA665" s="248"/>
      <c r="AB665" s="248"/>
      <c r="AC665" s="194"/>
      <c r="AD665" s="249"/>
      <c r="AE665" s="250"/>
      <c r="AF665" s="251"/>
      <c r="AG665" s="252"/>
      <c r="AH665" s="241"/>
      <c r="AI665" s="241"/>
      <c r="AJ665" s="241"/>
      <c r="AK665" s="194"/>
      <c r="AL665" s="195"/>
      <c r="AM665" s="195"/>
    </row>
    <row r="666" spans="2:39">
      <c r="B666" s="253">
        <f t="shared" si="183"/>
        <v>173</v>
      </c>
      <c r="C666" s="244"/>
      <c r="D666" s="661"/>
      <c r="E666" s="466"/>
      <c r="F666" s="615"/>
      <c r="G666" s="230"/>
      <c r="H666" s="230"/>
      <c r="I666" s="230"/>
      <c r="J666" s="230"/>
      <c r="K666" s="230"/>
      <c r="L666" s="228"/>
      <c r="M666" s="257"/>
      <c r="N666" s="228"/>
      <c r="O666" s="228"/>
      <c r="P666" s="258"/>
      <c r="Q666" s="2577"/>
      <c r="R666" s="2577"/>
      <c r="S666" s="254"/>
      <c r="T666" s="228"/>
      <c r="U666" s="2552"/>
      <c r="V666" s="256"/>
      <c r="W666" s="248"/>
      <c r="X666" s="248"/>
      <c r="Y666" s="248"/>
      <c r="Z666" s="247"/>
      <c r="AA666" s="248"/>
      <c r="AB666" s="248"/>
      <c r="AC666" s="194"/>
      <c r="AD666" s="249"/>
      <c r="AE666" s="250"/>
      <c r="AF666" s="251"/>
      <c r="AG666" s="252"/>
      <c r="AH666" s="241"/>
      <c r="AI666" s="241"/>
      <c r="AJ666" s="241"/>
      <c r="AK666" s="194"/>
      <c r="AL666" s="195"/>
      <c r="AM666" s="195"/>
    </row>
    <row r="667" spans="2:39">
      <c r="B667" s="253">
        <f t="shared" si="183"/>
        <v>174</v>
      </c>
      <c r="C667" s="244"/>
      <c r="D667" s="661"/>
      <c r="E667" s="466"/>
      <c r="F667" s="615"/>
      <c r="G667" s="230"/>
      <c r="H667" s="230"/>
      <c r="I667" s="230"/>
      <c r="J667" s="230"/>
      <c r="K667" s="230"/>
      <c r="L667" s="228"/>
      <c r="M667" s="257"/>
      <c r="N667" s="228"/>
      <c r="O667" s="228"/>
      <c r="P667" s="258"/>
      <c r="Q667" s="2577"/>
      <c r="R667" s="2577"/>
      <c r="S667" s="254"/>
      <c r="T667" s="228"/>
      <c r="U667" s="2552"/>
      <c r="V667" s="256"/>
      <c r="W667" s="248"/>
      <c r="X667" s="248"/>
      <c r="Y667" s="248"/>
      <c r="Z667" s="247"/>
      <c r="AA667" s="248"/>
      <c r="AB667" s="248"/>
      <c r="AC667" s="194"/>
      <c r="AD667" s="249"/>
      <c r="AE667" s="250"/>
      <c r="AF667" s="251"/>
      <c r="AG667" s="252"/>
      <c r="AH667" s="241"/>
      <c r="AI667" s="241"/>
      <c r="AJ667" s="241"/>
      <c r="AK667" s="194"/>
      <c r="AL667" s="195"/>
      <c r="AM667" s="195"/>
    </row>
    <row r="668" spans="2:39">
      <c r="B668" s="253">
        <f t="shared" si="183"/>
        <v>175</v>
      </c>
      <c r="C668" s="244"/>
      <c r="D668" s="661"/>
      <c r="E668" s="466"/>
      <c r="F668" s="615"/>
      <c r="G668" s="230"/>
      <c r="H668" s="230"/>
      <c r="I668" s="230"/>
      <c r="J668" s="230"/>
      <c r="K668" s="230"/>
      <c r="L668" s="228"/>
      <c r="M668" s="257"/>
      <c r="N668" s="228"/>
      <c r="O668" s="228"/>
      <c r="P668" s="258"/>
      <c r="Q668" s="2577"/>
      <c r="R668" s="2577"/>
      <c r="S668" s="254"/>
      <c r="T668" s="228"/>
      <c r="U668" s="2552"/>
      <c r="V668" s="256"/>
      <c r="W668" s="248"/>
      <c r="X668" s="248"/>
      <c r="Y668" s="248"/>
      <c r="Z668" s="247"/>
      <c r="AA668" s="248"/>
      <c r="AB668" s="248"/>
      <c r="AC668" s="194"/>
      <c r="AD668" s="249"/>
      <c r="AE668" s="250"/>
      <c r="AF668" s="251"/>
      <c r="AG668" s="252"/>
      <c r="AH668" s="241"/>
      <c r="AI668" s="241"/>
      <c r="AJ668" s="241"/>
      <c r="AK668" s="194"/>
      <c r="AL668" s="195"/>
      <c r="AM668" s="195"/>
    </row>
    <row r="669" spans="2:39">
      <c r="B669" s="253">
        <f t="shared" si="183"/>
        <v>176</v>
      </c>
      <c r="C669" s="244"/>
      <c r="D669" s="661"/>
      <c r="E669" s="466"/>
      <c r="F669" s="615"/>
      <c r="G669" s="230"/>
      <c r="H669" s="230"/>
      <c r="I669" s="230"/>
      <c r="J669" s="230"/>
      <c r="K669" s="230"/>
      <c r="L669" s="228"/>
      <c r="M669" s="257"/>
      <c r="N669" s="228"/>
      <c r="O669" s="228"/>
      <c r="P669" s="258"/>
      <c r="Q669" s="2577"/>
      <c r="R669" s="2577"/>
      <c r="S669" s="254"/>
      <c r="T669" s="228"/>
      <c r="U669" s="2552"/>
      <c r="V669" s="256"/>
      <c r="W669" s="248"/>
      <c r="X669" s="248"/>
      <c r="Y669" s="248"/>
      <c r="Z669" s="247"/>
      <c r="AA669" s="248"/>
      <c r="AB669" s="248"/>
      <c r="AC669" s="194"/>
      <c r="AD669" s="249"/>
      <c r="AE669" s="250"/>
      <c r="AF669" s="251"/>
      <c r="AG669" s="252"/>
      <c r="AH669" s="241"/>
      <c r="AI669" s="241"/>
      <c r="AJ669" s="241"/>
      <c r="AK669" s="194"/>
      <c r="AL669" s="195"/>
      <c r="AM669" s="195"/>
    </row>
    <row r="670" spans="2:39">
      <c r="B670" s="253">
        <f t="shared" si="183"/>
        <v>177</v>
      </c>
      <c r="C670" s="244"/>
      <c r="D670" s="661"/>
      <c r="E670" s="466"/>
      <c r="F670" s="615"/>
      <c r="G670" s="230"/>
      <c r="H670" s="230"/>
      <c r="I670" s="230"/>
      <c r="J670" s="230"/>
      <c r="K670" s="230"/>
      <c r="L670" s="228"/>
      <c r="M670" s="257"/>
      <c r="N670" s="228"/>
      <c r="O670" s="228"/>
      <c r="P670" s="258"/>
      <c r="Q670" s="2577"/>
      <c r="R670" s="2577"/>
      <c r="S670" s="254"/>
      <c r="T670" s="228"/>
      <c r="U670" s="2552"/>
      <c r="V670" s="256"/>
      <c r="W670" s="248"/>
      <c r="X670" s="248"/>
      <c r="Y670" s="248"/>
      <c r="Z670" s="247"/>
      <c r="AA670" s="248"/>
      <c r="AB670" s="248"/>
      <c r="AC670" s="194"/>
      <c r="AD670" s="249"/>
      <c r="AE670" s="250"/>
      <c r="AF670" s="251"/>
      <c r="AG670" s="252"/>
      <c r="AH670" s="241"/>
      <c r="AI670" s="241"/>
      <c r="AJ670" s="241"/>
      <c r="AK670" s="194"/>
      <c r="AL670" s="195"/>
      <c r="AM670" s="195"/>
    </row>
    <row r="671" spans="2:39">
      <c r="B671" s="253">
        <f t="shared" si="183"/>
        <v>178</v>
      </c>
      <c r="C671" s="244"/>
      <c r="D671" s="661"/>
      <c r="E671" s="466"/>
      <c r="F671" s="615"/>
      <c r="G671" s="230"/>
      <c r="H671" s="230"/>
      <c r="I671" s="230"/>
      <c r="J671" s="230"/>
      <c r="K671" s="230"/>
      <c r="L671" s="228"/>
      <c r="M671" s="257"/>
      <c r="N671" s="228"/>
      <c r="O671" s="228"/>
      <c r="P671" s="258"/>
      <c r="Q671" s="2577"/>
      <c r="R671" s="2577"/>
      <c r="S671" s="254"/>
      <c r="T671" s="228"/>
      <c r="U671" s="2552"/>
      <c r="V671" s="256"/>
      <c r="W671" s="248"/>
      <c r="X671" s="248"/>
      <c r="Y671" s="248"/>
      <c r="Z671" s="247"/>
      <c r="AA671" s="248"/>
      <c r="AB671" s="248"/>
      <c r="AC671" s="194"/>
      <c r="AD671" s="249"/>
      <c r="AE671" s="250"/>
      <c r="AF671" s="251"/>
      <c r="AG671" s="252"/>
      <c r="AH671" s="241"/>
      <c r="AI671" s="241"/>
      <c r="AJ671" s="241"/>
      <c r="AK671" s="194"/>
      <c r="AL671" s="195"/>
      <c r="AM671" s="195"/>
    </row>
    <row r="672" spans="2:39">
      <c r="B672" s="253">
        <f t="shared" si="183"/>
        <v>179</v>
      </c>
      <c r="C672" s="244"/>
      <c r="D672" s="661"/>
      <c r="E672" s="466"/>
      <c r="F672" s="615"/>
      <c r="G672" s="230"/>
      <c r="H672" s="230"/>
      <c r="I672" s="230"/>
      <c r="J672" s="230"/>
      <c r="K672" s="230"/>
      <c r="L672" s="228"/>
      <c r="M672" s="257"/>
      <c r="N672" s="228"/>
      <c r="O672" s="228"/>
      <c r="P672" s="258"/>
      <c r="Q672" s="2577"/>
      <c r="R672" s="2577"/>
      <c r="S672" s="254"/>
      <c r="T672" s="228"/>
      <c r="U672" s="2552"/>
      <c r="V672" s="256"/>
      <c r="W672" s="248"/>
      <c r="X672" s="248"/>
      <c r="Y672" s="248"/>
      <c r="Z672" s="247"/>
      <c r="AA672" s="248"/>
      <c r="AB672" s="248"/>
      <c r="AC672" s="194"/>
      <c r="AD672" s="249"/>
      <c r="AE672" s="250"/>
      <c r="AF672" s="251"/>
      <c r="AG672" s="252"/>
      <c r="AH672" s="241"/>
      <c r="AI672" s="241"/>
      <c r="AJ672" s="241"/>
      <c r="AK672" s="194"/>
      <c r="AL672" s="195"/>
      <c r="AM672" s="195"/>
    </row>
    <row r="673" spans="2:39">
      <c r="B673" s="253">
        <f t="shared" si="183"/>
        <v>180</v>
      </c>
      <c r="C673" s="244"/>
      <c r="D673" s="661"/>
      <c r="E673" s="466"/>
      <c r="F673" s="615"/>
      <c r="G673" s="230"/>
      <c r="H673" s="230"/>
      <c r="I673" s="230"/>
      <c r="J673" s="230"/>
      <c r="K673" s="230"/>
      <c r="L673" s="228"/>
      <c r="M673" s="257"/>
      <c r="N673" s="228"/>
      <c r="O673" s="228"/>
      <c r="P673" s="258"/>
      <c r="Q673" s="2577"/>
      <c r="R673" s="2577"/>
      <c r="S673" s="254"/>
      <c r="T673" s="228"/>
      <c r="U673" s="2552"/>
      <c r="V673" s="256"/>
      <c r="W673" s="248"/>
      <c r="X673" s="248"/>
      <c r="Y673" s="248"/>
      <c r="Z673" s="247"/>
      <c r="AA673" s="248"/>
      <c r="AB673" s="248"/>
      <c r="AC673" s="194"/>
      <c r="AD673" s="249"/>
      <c r="AE673" s="250"/>
      <c r="AF673" s="251"/>
      <c r="AG673" s="252"/>
      <c r="AH673" s="241"/>
      <c r="AI673" s="241"/>
      <c r="AJ673" s="241"/>
      <c r="AK673" s="194"/>
      <c r="AL673" s="195"/>
      <c r="AM673" s="195"/>
    </row>
    <row r="674" spans="2:39">
      <c r="B674" s="253">
        <f t="shared" si="183"/>
        <v>181</v>
      </c>
      <c r="C674" s="244"/>
      <c r="D674" s="661"/>
      <c r="E674" s="466"/>
      <c r="F674" s="615"/>
      <c r="G674" s="230"/>
      <c r="H674" s="230"/>
      <c r="I674" s="230"/>
      <c r="J674" s="230"/>
      <c r="K674" s="230"/>
      <c r="L674" s="228"/>
      <c r="M674" s="257"/>
      <c r="N674" s="228"/>
      <c r="O674" s="228"/>
      <c r="P674" s="258"/>
      <c r="Q674" s="2577"/>
      <c r="R674" s="2577"/>
      <c r="S674" s="254"/>
      <c r="T674" s="228"/>
      <c r="U674" s="2552"/>
      <c r="V674" s="256"/>
      <c r="W674" s="248"/>
      <c r="X674" s="248"/>
      <c r="Y674" s="248"/>
      <c r="Z674" s="247"/>
      <c r="AA674" s="248"/>
      <c r="AB674" s="248"/>
      <c r="AC674" s="194"/>
      <c r="AD674" s="249"/>
      <c r="AE674" s="250"/>
      <c r="AF674" s="251"/>
      <c r="AG674" s="252"/>
      <c r="AH674" s="241"/>
      <c r="AI674" s="241"/>
      <c r="AJ674" s="241"/>
      <c r="AK674" s="194"/>
      <c r="AL674" s="195"/>
      <c r="AM674" s="195"/>
    </row>
    <row r="675" spans="2:39">
      <c r="B675" s="253">
        <f t="shared" si="183"/>
        <v>182</v>
      </c>
      <c r="C675" s="244"/>
      <c r="D675" s="661"/>
      <c r="E675" s="466"/>
      <c r="F675" s="615"/>
      <c r="G675" s="230"/>
      <c r="H675" s="230"/>
      <c r="I675" s="230"/>
      <c r="J675" s="230"/>
      <c r="K675" s="230"/>
      <c r="L675" s="228"/>
      <c r="M675" s="257"/>
      <c r="N675" s="228"/>
      <c r="O675" s="228"/>
      <c r="P675" s="258"/>
      <c r="Q675" s="2577"/>
      <c r="R675" s="2577"/>
      <c r="S675" s="254"/>
      <c r="T675" s="228"/>
      <c r="U675" s="2552"/>
      <c r="V675" s="256"/>
      <c r="W675" s="248"/>
      <c r="X675" s="248"/>
      <c r="Y675" s="248"/>
      <c r="Z675" s="247"/>
      <c r="AA675" s="248"/>
      <c r="AB675" s="248"/>
      <c r="AC675" s="194"/>
      <c r="AD675" s="249"/>
      <c r="AE675" s="250"/>
      <c r="AF675" s="251"/>
      <c r="AG675" s="252"/>
      <c r="AH675" s="241"/>
      <c r="AI675" s="241"/>
      <c r="AJ675" s="241"/>
      <c r="AK675" s="194"/>
      <c r="AL675" s="195"/>
      <c r="AM675" s="195"/>
    </row>
    <row r="676" spans="2:39">
      <c r="B676" s="253">
        <f t="shared" si="183"/>
        <v>183</v>
      </c>
      <c r="C676" s="244"/>
      <c r="D676" s="661"/>
      <c r="E676" s="466"/>
      <c r="F676" s="615"/>
      <c r="G676" s="230"/>
      <c r="H676" s="230"/>
      <c r="I676" s="230"/>
      <c r="J676" s="230"/>
      <c r="K676" s="230"/>
      <c r="L676" s="228"/>
      <c r="M676" s="257"/>
      <c r="N676" s="228"/>
      <c r="O676" s="228"/>
      <c r="P676" s="258"/>
      <c r="Q676" s="2577"/>
      <c r="R676" s="2577"/>
      <c r="S676" s="254"/>
      <c r="T676" s="228"/>
      <c r="U676" s="2552"/>
      <c r="V676" s="256"/>
      <c r="W676" s="248"/>
      <c r="X676" s="248"/>
      <c r="Y676" s="248"/>
      <c r="Z676" s="247"/>
      <c r="AA676" s="248"/>
      <c r="AB676" s="248"/>
      <c r="AC676" s="194"/>
      <c r="AD676" s="249"/>
      <c r="AE676" s="250"/>
      <c r="AF676" s="251"/>
      <c r="AG676" s="252"/>
      <c r="AH676" s="241"/>
      <c r="AI676" s="241"/>
      <c r="AJ676" s="241"/>
      <c r="AK676" s="194"/>
      <c r="AL676" s="195"/>
      <c r="AM676" s="195"/>
    </row>
    <row r="677" spans="2:39">
      <c r="B677" s="253">
        <f t="shared" si="183"/>
        <v>184</v>
      </c>
      <c r="C677" s="244"/>
      <c r="D677" s="661"/>
      <c r="E677" s="466"/>
      <c r="F677" s="615"/>
      <c r="G677" s="230"/>
      <c r="H677" s="230"/>
      <c r="I677" s="230"/>
      <c r="J677" s="230"/>
      <c r="K677" s="230"/>
      <c r="L677" s="228"/>
      <c r="M677" s="257"/>
      <c r="N677" s="228"/>
      <c r="O677" s="228"/>
      <c r="P677" s="258"/>
      <c r="Q677" s="2577"/>
      <c r="R677" s="2577"/>
      <c r="S677" s="254"/>
      <c r="T677" s="228"/>
      <c r="U677" s="2552"/>
      <c r="V677" s="256"/>
      <c r="W677" s="248"/>
      <c r="X677" s="248"/>
      <c r="Y677" s="248"/>
      <c r="Z677" s="247"/>
      <c r="AA677" s="248"/>
      <c r="AB677" s="248"/>
      <c r="AC677" s="194"/>
      <c r="AD677" s="249"/>
      <c r="AE677" s="250"/>
      <c r="AF677" s="251"/>
      <c r="AG677" s="252"/>
      <c r="AH677" s="241"/>
      <c r="AI677" s="241"/>
      <c r="AJ677" s="241"/>
      <c r="AK677" s="194"/>
      <c r="AL677" s="195"/>
      <c r="AM677" s="195"/>
    </row>
    <row r="678" spans="2:39">
      <c r="B678" s="253">
        <f t="shared" si="183"/>
        <v>185</v>
      </c>
      <c r="C678" s="244"/>
      <c r="D678" s="661"/>
      <c r="E678" s="466"/>
      <c r="F678" s="615"/>
      <c r="G678" s="230"/>
      <c r="H678" s="230"/>
      <c r="I678" s="230"/>
      <c r="J678" s="230"/>
      <c r="K678" s="230"/>
      <c r="L678" s="228"/>
      <c r="M678" s="257"/>
      <c r="N678" s="228"/>
      <c r="O678" s="228"/>
      <c r="P678" s="258"/>
      <c r="Q678" s="2577"/>
      <c r="R678" s="2577"/>
      <c r="S678" s="254"/>
      <c r="T678" s="228"/>
      <c r="U678" s="2552"/>
      <c r="V678" s="256"/>
      <c r="W678" s="248"/>
      <c r="X678" s="248"/>
      <c r="Y678" s="248"/>
      <c r="Z678" s="247"/>
      <c r="AA678" s="248"/>
      <c r="AB678" s="248"/>
      <c r="AC678" s="194"/>
      <c r="AD678" s="249"/>
      <c r="AE678" s="250"/>
      <c r="AF678" s="251"/>
      <c r="AG678" s="252"/>
      <c r="AH678" s="241"/>
      <c r="AI678" s="241"/>
      <c r="AJ678" s="241"/>
      <c r="AK678" s="194"/>
      <c r="AL678" s="195"/>
      <c r="AM678" s="195"/>
    </row>
    <row r="679" spans="2:39">
      <c r="B679" s="253">
        <f t="shared" si="183"/>
        <v>186</v>
      </c>
      <c r="C679" s="244"/>
      <c r="D679" s="661"/>
      <c r="E679" s="466"/>
      <c r="F679" s="615"/>
      <c r="G679" s="230"/>
      <c r="H679" s="230"/>
      <c r="I679" s="230"/>
      <c r="J679" s="230"/>
      <c r="K679" s="230"/>
      <c r="L679" s="228"/>
      <c r="M679" s="257"/>
      <c r="N679" s="228"/>
      <c r="O679" s="228"/>
      <c r="P679" s="258"/>
      <c r="Q679" s="2577"/>
      <c r="R679" s="2577"/>
      <c r="S679" s="254"/>
      <c r="T679" s="228"/>
      <c r="U679" s="2552"/>
      <c r="V679" s="256"/>
      <c r="W679" s="248"/>
      <c r="X679" s="248"/>
      <c r="Y679" s="248"/>
      <c r="Z679" s="247"/>
      <c r="AA679" s="248"/>
      <c r="AB679" s="248"/>
      <c r="AC679" s="194"/>
      <c r="AD679" s="249"/>
      <c r="AE679" s="250"/>
      <c r="AF679" s="251"/>
      <c r="AG679" s="252"/>
      <c r="AH679" s="241"/>
      <c r="AI679" s="241"/>
      <c r="AJ679" s="241"/>
      <c r="AK679" s="194"/>
      <c r="AL679" s="195"/>
      <c r="AM679" s="195"/>
    </row>
    <row r="680" spans="2:39">
      <c r="B680" s="253">
        <f t="shared" si="183"/>
        <v>187</v>
      </c>
      <c r="C680" s="244"/>
      <c r="D680" s="661"/>
      <c r="E680" s="466"/>
      <c r="F680" s="615"/>
      <c r="G680" s="230"/>
      <c r="H680" s="230"/>
      <c r="I680" s="230"/>
      <c r="J680" s="230"/>
      <c r="K680" s="230"/>
      <c r="L680" s="228"/>
      <c r="M680" s="257"/>
      <c r="N680" s="228"/>
      <c r="O680" s="228"/>
      <c r="P680" s="258"/>
      <c r="Q680" s="2577"/>
      <c r="R680" s="2577"/>
      <c r="S680" s="254"/>
      <c r="T680" s="228"/>
      <c r="U680" s="2552"/>
      <c r="V680" s="256"/>
      <c r="W680" s="248"/>
      <c r="X680" s="248"/>
      <c r="Y680" s="248"/>
      <c r="Z680" s="247"/>
      <c r="AA680" s="248"/>
      <c r="AB680" s="248"/>
      <c r="AC680" s="194"/>
      <c r="AD680" s="249"/>
      <c r="AE680" s="250"/>
      <c r="AF680" s="251"/>
      <c r="AG680" s="252"/>
      <c r="AH680" s="241"/>
      <c r="AI680" s="241"/>
      <c r="AJ680" s="241"/>
      <c r="AK680" s="194"/>
      <c r="AL680" s="195"/>
      <c r="AM680" s="195"/>
    </row>
    <row r="681" spans="2:39">
      <c r="B681" s="253">
        <f t="shared" si="183"/>
        <v>188</v>
      </c>
      <c r="C681" s="244"/>
      <c r="D681" s="661"/>
      <c r="E681" s="466"/>
      <c r="F681" s="615"/>
      <c r="G681" s="230"/>
      <c r="H681" s="230"/>
      <c r="I681" s="230"/>
      <c r="J681" s="230"/>
      <c r="K681" s="230"/>
      <c r="L681" s="228"/>
      <c r="M681" s="257"/>
      <c r="N681" s="228"/>
      <c r="O681" s="228"/>
      <c r="P681" s="258"/>
      <c r="Q681" s="2577"/>
      <c r="R681" s="2577"/>
      <c r="S681" s="254"/>
      <c r="T681" s="228"/>
      <c r="U681" s="2552"/>
      <c r="V681" s="256"/>
      <c r="W681" s="248"/>
      <c r="X681" s="248"/>
      <c r="Y681" s="248"/>
      <c r="Z681" s="247"/>
      <c r="AA681" s="248"/>
      <c r="AB681" s="248"/>
      <c r="AC681" s="194"/>
      <c r="AD681" s="249"/>
      <c r="AE681" s="250"/>
      <c r="AF681" s="251"/>
      <c r="AG681" s="252"/>
      <c r="AH681" s="241"/>
      <c r="AI681" s="241"/>
      <c r="AJ681" s="241"/>
      <c r="AK681" s="194"/>
      <c r="AL681" s="195"/>
      <c r="AM681" s="195"/>
    </row>
    <row r="682" spans="2:39">
      <c r="B682" s="253">
        <f t="shared" si="183"/>
        <v>189</v>
      </c>
      <c r="C682" s="244"/>
      <c r="D682" s="661"/>
      <c r="E682" s="466"/>
      <c r="F682" s="615"/>
      <c r="G682" s="230"/>
      <c r="H682" s="230"/>
      <c r="I682" s="230"/>
      <c r="J682" s="230"/>
      <c r="K682" s="230"/>
      <c r="L682" s="228"/>
      <c r="M682" s="257"/>
      <c r="N682" s="228"/>
      <c r="O682" s="228"/>
      <c r="P682" s="258"/>
      <c r="Q682" s="2577"/>
      <c r="R682" s="2577"/>
      <c r="S682" s="254"/>
      <c r="T682" s="228"/>
      <c r="U682" s="2552"/>
      <c r="V682" s="256"/>
      <c r="W682" s="248"/>
      <c r="X682" s="248"/>
      <c r="Y682" s="248"/>
      <c r="Z682" s="247"/>
      <c r="AA682" s="248"/>
      <c r="AB682" s="248"/>
      <c r="AC682" s="194"/>
      <c r="AD682" s="249"/>
      <c r="AE682" s="250"/>
      <c r="AF682" s="251"/>
      <c r="AG682" s="252"/>
      <c r="AH682" s="241"/>
      <c r="AI682" s="241"/>
      <c r="AJ682" s="241"/>
      <c r="AK682" s="194"/>
      <c r="AL682" s="195"/>
      <c r="AM682" s="195"/>
    </row>
    <row r="683" spans="2:39">
      <c r="B683" s="253">
        <f t="shared" si="183"/>
        <v>190</v>
      </c>
      <c r="C683" s="244"/>
      <c r="D683" s="661"/>
      <c r="E683" s="466"/>
      <c r="F683" s="615"/>
      <c r="G683" s="230"/>
      <c r="H683" s="230"/>
      <c r="I683" s="230"/>
      <c r="J683" s="230"/>
      <c r="K683" s="230"/>
      <c r="L683" s="228"/>
      <c r="M683" s="257"/>
      <c r="N683" s="228"/>
      <c r="O683" s="228"/>
      <c r="P683" s="258"/>
      <c r="Q683" s="2577"/>
      <c r="R683" s="2577"/>
      <c r="S683" s="254"/>
      <c r="T683" s="228"/>
      <c r="U683" s="2552"/>
      <c r="V683" s="256"/>
      <c r="W683" s="248"/>
      <c r="X683" s="248"/>
      <c r="Y683" s="248"/>
      <c r="Z683" s="247"/>
      <c r="AA683" s="248"/>
      <c r="AB683" s="248"/>
      <c r="AC683" s="194"/>
      <c r="AD683" s="249"/>
      <c r="AE683" s="250"/>
      <c r="AF683" s="251"/>
      <c r="AG683" s="252"/>
      <c r="AH683" s="241"/>
      <c r="AI683" s="241"/>
      <c r="AJ683" s="241"/>
      <c r="AK683" s="194"/>
      <c r="AL683" s="195"/>
      <c r="AM683" s="195"/>
    </row>
    <row r="684" spans="2:39">
      <c r="B684" s="253">
        <f t="shared" si="183"/>
        <v>191</v>
      </c>
      <c r="C684" s="244"/>
      <c r="D684" s="661"/>
      <c r="E684" s="466"/>
      <c r="F684" s="615"/>
      <c r="G684" s="230"/>
      <c r="H684" s="230"/>
      <c r="I684" s="230"/>
      <c r="J684" s="230"/>
      <c r="K684" s="230"/>
      <c r="L684" s="228"/>
      <c r="M684" s="257"/>
      <c r="N684" s="228"/>
      <c r="O684" s="228"/>
      <c r="P684" s="258"/>
      <c r="Q684" s="2577"/>
      <c r="R684" s="2577"/>
      <c r="S684" s="254"/>
      <c r="T684" s="228"/>
      <c r="U684" s="2552"/>
      <c r="V684" s="256"/>
      <c r="W684" s="248"/>
      <c r="X684" s="248"/>
      <c r="Y684" s="248"/>
      <c r="Z684" s="247"/>
      <c r="AA684" s="248"/>
      <c r="AB684" s="248"/>
      <c r="AC684" s="194"/>
      <c r="AD684" s="249"/>
      <c r="AE684" s="250"/>
      <c r="AF684" s="251"/>
      <c r="AG684" s="252"/>
      <c r="AH684" s="241"/>
      <c r="AI684" s="241"/>
      <c r="AJ684" s="241"/>
      <c r="AK684" s="194"/>
      <c r="AL684" s="195"/>
      <c r="AM684" s="195"/>
    </row>
    <row r="685" spans="2:39">
      <c r="B685" s="253">
        <f t="shared" si="183"/>
        <v>192</v>
      </c>
      <c r="C685" s="244"/>
      <c r="D685" s="661"/>
      <c r="E685" s="466"/>
      <c r="F685" s="615"/>
      <c r="G685" s="230"/>
      <c r="H685" s="230"/>
      <c r="I685" s="230"/>
      <c r="J685" s="230"/>
      <c r="K685" s="230"/>
      <c r="L685" s="228"/>
      <c r="M685" s="257"/>
      <c r="N685" s="228"/>
      <c r="O685" s="228"/>
      <c r="P685" s="258"/>
      <c r="Q685" s="2577"/>
      <c r="R685" s="2577"/>
      <c r="S685" s="254"/>
      <c r="T685" s="228"/>
      <c r="U685" s="2552"/>
      <c r="V685" s="256"/>
      <c r="W685" s="248"/>
      <c r="X685" s="248"/>
      <c r="Y685" s="248"/>
      <c r="Z685" s="247"/>
      <c r="AA685" s="248"/>
      <c r="AB685" s="248"/>
      <c r="AC685" s="194"/>
      <c r="AD685" s="249"/>
      <c r="AE685" s="250"/>
      <c r="AF685" s="251"/>
      <c r="AG685" s="252"/>
      <c r="AH685" s="241"/>
      <c r="AI685" s="241"/>
      <c r="AJ685" s="241"/>
      <c r="AK685" s="194"/>
      <c r="AL685" s="195"/>
      <c r="AM685" s="195"/>
    </row>
    <row r="686" spans="2:39">
      <c r="B686" s="253">
        <f t="shared" si="183"/>
        <v>193</v>
      </c>
      <c r="C686" s="244"/>
      <c r="D686" s="661"/>
      <c r="E686" s="466"/>
      <c r="F686" s="615"/>
      <c r="G686" s="230"/>
      <c r="H686" s="230"/>
      <c r="I686" s="230"/>
      <c r="J686" s="230"/>
      <c r="K686" s="230"/>
      <c r="L686" s="228"/>
      <c r="M686" s="257"/>
      <c r="N686" s="228"/>
      <c r="O686" s="228"/>
      <c r="P686" s="258"/>
      <c r="Q686" s="2577"/>
      <c r="R686" s="2577"/>
      <c r="S686" s="254"/>
      <c r="T686" s="228"/>
      <c r="U686" s="2552"/>
      <c r="V686" s="256"/>
      <c r="W686" s="248"/>
      <c r="X686" s="248"/>
      <c r="Y686" s="248"/>
      <c r="Z686" s="247"/>
      <c r="AA686" s="248"/>
      <c r="AB686" s="248"/>
      <c r="AC686" s="194"/>
      <c r="AD686" s="249"/>
      <c r="AE686" s="250"/>
      <c r="AF686" s="251"/>
      <c r="AG686" s="252"/>
      <c r="AH686" s="241"/>
      <c r="AI686" s="241"/>
      <c r="AJ686" s="241"/>
      <c r="AK686" s="194"/>
      <c r="AL686" s="195"/>
      <c r="AM686" s="195"/>
    </row>
    <row r="687" spans="2:39">
      <c r="B687" s="253">
        <f t="shared" si="183"/>
        <v>194</v>
      </c>
      <c r="C687" s="244"/>
      <c r="D687" s="661"/>
      <c r="E687" s="466"/>
      <c r="F687" s="615"/>
      <c r="G687" s="230"/>
      <c r="H687" s="230"/>
      <c r="I687" s="230"/>
      <c r="J687" s="230"/>
      <c r="K687" s="230"/>
      <c r="L687" s="228"/>
      <c r="M687" s="257"/>
      <c r="N687" s="228"/>
      <c r="O687" s="228"/>
      <c r="P687" s="258"/>
      <c r="Q687" s="2577"/>
      <c r="R687" s="2577"/>
      <c r="S687" s="254"/>
      <c r="T687" s="228"/>
      <c r="U687" s="2552"/>
      <c r="V687" s="256"/>
      <c r="W687" s="248"/>
      <c r="X687" s="248"/>
      <c r="Y687" s="248"/>
      <c r="Z687" s="247"/>
      <c r="AA687" s="248"/>
      <c r="AB687" s="248"/>
      <c r="AC687" s="194"/>
      <c r="AD687" s="249"/>
      <c r="AE687" s="250"/>
      <c r="AF687" s="251"/>
      <c r="AG687" s="252"/>
      <c r="AH687" s="241"/>
      <c r="AI687" s="241"/>
      <c r="AJ687" s="241"/>
      <c r="AK687" s="194"/>
      <c r="AL687" s="195"/>
      <c r="AM687" s="195"/>
    </row>
    <row r="688" spans="2:39">
      <c r="B688" s="253">
        <f t="shared" si="183"/>
        <v>195</v>
      </c>
      <c r="C688" s="244"/>
      <c r="D688" s="661"/>
      <c r="E688" s="466"/>
      <c r="F688" s="615"/>
      <c r="G688" s="230"/>
      <c r="H688" s="230"/>
      <c r="I688" s="230"/>
      <c r="J688" s="230"/>
      <c r="K688" s="230"/>
      <c r="L688" s="228"/>
      <c r="M688" s="257"/>
      <c r="N688" s="228"/>
      <c r="O688" s="228"/>
      <c r="P688" s="258"/>
      <c r="Q688" s="2577"/>
      <c r="R688" s="2577"/>
      <c r="S688" s="254"/>
      <c r="T688" s="228"/>
      <c r="U688" s="2552"/>
      <c r="V688" s="256"/>
      <c r="W688" s="248"/>
      <c r="X688" s="248"/>
      <c r="Y688" s="248"/>
      <c r="Z688" s="247"/>
      <c r="AA688" s="248"/>
      <c r="AB688" s="248"/>
      <c r="AC688" s="194"/>
      <c r="AD688" s="249"/>
      <c r="AE688" s="250"/>
      <c r="AF688" s="251"/>
      <c r="AG688" s="252"/>
      <c r="AH688" s="241"/>
      <c r="AI688" s="241"/>
      <c r="AJ688" s="241"/>
      <c r="AK688" s="194"/>
      <c r="AL688" s="195"/>
      <c r="AM688" s="195"/>
    </row>
    <row r="689" spans="2:39">
      <c r="B689" s="253">
        <f t="shared" si="183"/>
        <v>196</v>
      </c>
      <c r="C689" s="244"/>
      <c r="D689" s="661"/>
      <c r="E689" s="466"/>
      <c r="F689" s="615"/>
      <c r="G689" s="230"/>
      <c r="H689" s="230"/>
      <c r="I689" s="230"/>
      <c r="J689" s="230"/>
      <c r="K689" s="230"/>
      <c r="L689" s="228"/>
      <c r="M689" s="257"/>
      <c r="N689" s="228"/>
      <c r="O689" s="228"/>
      <c r="P689" s="258"/>
      <c r="Q689" s="2577"/>
      <c r="R689" s="2577"/>
      <c r="S689" s="254"/>
      <c r="T689" s="228"/>
      <c r="U689" s="2552"/>
      <c r="V689" s="256"/>
      <c r="W689" s="248"/>
      <c r="X689" s="248"/>
      <c r="Y689" s="248"/>
      <c r="Z689" s="247"/>
      <c r="AA689" s="248"/>
      <c r="AB689" s="248"/>
      <c r="AC689" s="194"/>
      <c r="AD689" s="249"/>
      <c r="AE689" s="250"/>
      <c r="AF689" s="251"/>
      <c r="AG689" s="252"/>
      <c r="AH689" s="241"/>
      <c r="AI689" s="241"/>
      <c r="AJ689" s="241"/>
      <c r="AK689" s="194"/>
      <c r="AL689" s="195"/>
      <c r="AM689" s="195"/>
    </row>
    <row r="690" spans="2:39">
      <c r="B690" s="253">
        <f t="shared" si="183"/>
        <v>197</v>
      </c>
      <c r="C690" s="244"/>
      <c r="D690" s="661"/>
      <c r="E690" s="466"/>
      <c r="F690" s="615"/>
      <c r="G690" s="230"/>
      <c r="H690" s="230"/>
      <c r="I690" s="230"/>
      <c r="J690" s="230"/>
      <c r="K690" s="230"/>
      <c r="L690" s="228"/>
      <c r="M690" s="257"/>
      <c r="N690" s="228"/>
      <c r="O690" s="228"/>
      <c r="P690" s="258"/>
      <c r="Q690" s="2577"/>
      <c r="R690" s="2577"/>
      <c r="S690" s="254"/>
      <c r="T690" s="228"/>
      <c r="U690" s="2552"/>
      <c r="V690" s="256"/>
      <c r="W690" s="248"/>
      <c r="X690" s="248"/>
      <c r="Y690" s="248"/>
      <c r="Z690" s="247"/>
      <c r="AA690" s="248"/>
      <c r="AB690" s="248"/>
      <c r="AC690" s="194"/>
      <c r="AD690" s="249"/>
      <c r="AE690" s="250"/>
      <c r="AF690" s="251"/>
      <c r="AG690" s="252"/>
      <c r="AH690" s="241"/>
      <c r="AI690" s="241"/>
      <c r="AJ690" s="241"/>
      <c r="AK690" s="194"/>
      <c r="AL690" s="195"/>
      <c r="AM690" s="195"/>
    </row>
    <row r="691" spans="2:39">
      <c r="B691" s="253">
        <f t="shared" si="183"/>
        <v>198</v>
      </c>
      <c r="C691" s="244"/>
      <c r="D691" s="661"/>
      <c r="E691" s="466"/>
      <c r="F691" s="615"/>
      <c r="G691" s="230"/>
      <c r="H691" s="230"/>
      <c r="I691" s="230"/>
      <c r="J691" s="230"/>
      <c r="K691" s="230"/>
      <c r="L691" s="228"/>
      <c r="M691" s="257"/>
      <c r="N691" s="228"/>
      <c r="O691" s="228"/>
      <c r="P691" s="258"/>
      <c r="Q691" s="2577"/>
      <c r="R691" s="2577"/>
      <c r="S691" s="254"/>
      <c r="T691" s="228"/>
      <c r="U691" s="2552"/>
      <c r="V691" s="256"/>
      <c r="W691" s="248"/>
      <c r="X691" s="248"/>
      <c r="Y691" s="248"/>
      <c r="Z691" s="247"/>
      <c r="AA691" s="248"/>
      <c r="AB691" s="248"/>
      <c r="AC691" s="194"/>
      <c r="AD691" s="249"/>
      <c r="AE691" s="250"/>
      <c r="AF691" s="251"/>
      <c r="AG691" s="252"/>
      <c r="AH691" s="241"/>
      <c r="AI691" s="241"/>
      <c r="AJ691" s="241"/>
      <c r="AK691" s="194"/>
      <c r="AL691" s="195"/>
      <c r="AM691" s="195"/>
    </row>
    <row r="692" spans="2:39">
      <c r="B692" s="253">
        <f t="shared" si="183"/>
        <v>199</v>
      </c>
      <c r="C692" s="244"/>
      <c r="D692" s="661"/>
      <c r="E692" s="466"/>
      <c r="F692" s="615"/>
      <c r="G692" s="230"/>
      <c r="H692" s="230"/>
      <c r="I692" s="230"/>
      <c r="J692" s="230"/>
      <c r="K692" s="230"/>
      <c r="L692" s="228"/>
      <c r="M692" s="257"/>
      <c r="N692" s="228"/>
      <c r="O692" s="228"/>
      <c r="P692" s="258"/>
      <c r="Q692" s="2577"/>
      <c r="R692" s="2577"/>
      <c r="S692" s="254"/>
      <c r="T692" s="228"/>
      <c r="U692" s="2552"/>
      <c r="V692" s="256"/>
      <c r="W692" s="248"/>
      <c r="X692" s="248"/>
      <c r="Y692" s="248"/>
      <c r="Z692" s="247"/>
      <c r="AA692" s="248"/>
      <c r="AB692" s="248"/>
      <c r="AC692" s="194"/>
      <c r="AD692" s="249"/>
      <c r="AE692" s="250"/>
      <c r="AF692" s="251"/>
      <c r="AG692" s="252"/>
      <c r="AH692" s="241"/>
      <c r="AI692" s="241"/>
      <c r="AJ692" s="241"/>
      <c r="AK692" s="194"/>
      <c r="AL692" s="195"/>
      <c r="AM692" s="195"/>
    </row>
    <row r="693" spans="2:39">
      <c r="B693" s="253">
        <f t="shared" si="183"/>
        <v>200</v>
      </c>
      <c r="C693" s="244"/>
      <c r="D693" s="661"/>
      <c r="E693" s="466"/>
      <c r="F693" s="615"/>
      <c r="G693" s="230"/>
      <c r="H693" s="230"/>
      <c r="I693" s="230"/>
      <c r="J693" s="230"/>
      <c r="K693" s="230"/>
      <c r="L693" s="228"/>
      <c r="M693" s="257"/>
      <c r="N693" s="228"/>
      <c r="O693" s="228"/>
      <c r="P693" s="258"/>
      <c r="Q693" s="2577"/>
      <c r="R693" s="2577"/>
      <c r="S693" s="254"/>
      <c r="T693" s="228"/>
      <c r="U693" s="2552"/>
      <c r="V693" s="256"/>
      <c r="W693" s="248"/>
      <c r="X693" s="248"/>
      <c r="Y693" s="248"/>
      <c r="Z693" s="247"/>
      <c r="AA693" s="248"/>
      <c r="AB693" s="248"/>
      <c r="AC693" s="194"/>
      <c r="AD693" s="249"/>
      <c r="AE693" s="250"/>
      <c r="AF693" s="251"/>
      <c r="AG693" s="252"/>
      <c r="AH693" s="241"/>
      <c r="AI693" s="241"/>
      <c r="AJ693" s="241"/>
      <c r="AK693" s="194"/>
      <c r="AL693" s="195"/>
      <c r="AM693" s="195"/>
    </row>
    <row r="694" spans="2:39">
      <c r="B694" s="253">
        <f t="shared" si="183"/>
        <v>201</v>
      </c>
      <c r="C694" s="244"/>
      <c r="D694" s="661"/>
      <c r="E694" s="466"/>
      <c r="F694" s="615"/>
      <c r="G694" s="230"/>
      <c r="H694" s="230"/>
      <c r="I694" s="230"/>
      <c r="J694" s="230"/>
      <c r="K694" s="230"/>
      <c r="L694" s="228"/>
      <c r="M694" s="257"/>
      <c r="N694" s="228"/>
      <c r="O694" s="228"/>
      <c r="P694" s="258"/>
      <c r="Q694" s="2577"/>
      <c r="R694" s="2577"/>
      <c r="S694" s="254"/>
      <c r="T694" s="228"/>
      <c r="U694" s="2552"/>
      <c r="V694" s="256"/>
      <c r="W694" s="248"/>
      <c r="X694" s="248"/>
      <c r="Y694" s="248"/>
      <c r="Z694" s="247"/>
      <c r="AA694" s="248"/>
      <c r="AB694" s="248"/>
      <c r="AC694" s="194"/>
      <c r="AD694" s="249"/>
      <c r="AE694" s="250"/>
      <c r="AF694" s="251"/>
      <c r="AG694" s="252"/>
      <c r="AH694" s="241"/>
      <c r="AI694" s="241"/>
      <c r="AJ694" s="241"/>
      <c r="AK694" s="194"/>
      <c r="AL694" s="195"/>
      <c r="AM694" s="195"/>
    </row>
    <row r="695" spans="2:39">
      <c r="B695" s="253">
        <f t="shared" si="183"/>
        <v>202</v>
      </c>
      <c r="C695" s="244"/>
      <c r="D695" s="661"/>
      <c r="E695" s="466"/>
      <c r="F695" s="615"/>
      <c r="G695" s="230"/>
      <c r="H695" s="230"/>
      <c r="I695" s="230"/>
      <c r="J695" s="230"/>
      <c r="K695" s="230"/>
      <c r="L695" s="228"/>
      <c r="M695" s="257"/>
      <c r="N695" s="228"/>
      <c r="O695" s="228"/>
      <c r="P695" s="258"/>
      <c r="Q695" s="2577"/>
      <c r="R695" s="2577"/>
      <c r="S695" s="254"/>
      <c r="T695" s="228"/>
      <c r="U695" s="2552"/>
      <c r="V695" s="256"/>
      <c r="W695" s="248"/>
      <c r="X695" s="248"/>
      <c r="Y695" s="248"/>
      <c r="Z695" s="247"/>
      <c r="AA695" s="248"/>
      <c r="AB695" s="248"/>
      <c r="AC695" s="194"/>
      <c r="AD695" s="249"/>
      <c r="AE695" s="250"/>
      <c r="AF695" s="251"/>
      <c r="AG695" s="252"/>
      <c r="AH695" s="241"/>
      <c r="AI695" s="241"/>
      <c r="AJ695" s="241"/>
      <c r="AK695" s="194"/>
      <c r="AL695" s="195"/>
      <c r="AM695" s="195"/>
    </row>
    <row r="696" spans="2:39">
      <c r="B696" s="253">
        <f t="shared" si="183"/>
        <v>203</v>
      </c>
      <c r="C696" s="244"/>
      <c r="D696" s="661"/>
      <c r="E696" s="466"/>
      <c r="F696" s="615"/>
      <c r="G696" s="230"/>
      <c r="H696" s="230"/>
      <c r="I696" s="230"/>
      <c r="J696" s="230"/>
      <c r="K696" s="230"/>
      <c r="L696" s="228"/>
      <c r="M696" s="257"/>
      <c r="N696" s="228"/>
      <c r="O696" s="228"/>
      <c r="P696" s="258"/>
      <c r="Q696" s="2577"/>
      <c r="R696" s="2577"/>
      <c r="S696" s="254"/>
      <c r="T696" s="228"/>
      <c r="U696" s="2552"/>
      <c r="V696" s="256"/>
      <c r="W696" s="248"/>
      <c r="X696" s="248"/>
      <c r="Y696" s="248"/>
      <c r="Z696" s="247"/>
      <c r="AA696" s="248"/>
      <c r="AB696" s="248"/>
      <c r="AC696" s="194"/>
      <c r="AD696" s="249"/>
      <c r="AE696" s="250"/>
      <c r="AF696" s="251"/>
      <c r="AG696" s="252"/>
      <c r="AH696" s="241"/>
      <c r="AI696" s="241"/>
      <c r="AJ696" s="241"/>
      <c r="AK696" s="194"/>
      <c r="AL696" s="195"/>
      <c r="AM696" s="195"/>
    </row>
    <row r="697" spans="2:39">
      <c r="B697" s="253">
        <f t="shared" si="183"/>
        <v>204</v>
      </c>
      <c r="C697" s="244"/>
      <c r="D697" s="661"/>
      <c r="E697" s="466"/>
      <c r="F697" s="615"/>
      <c r="G697" s="230"/>
      <c r="H697" s="230"/>
      <c r="I697" s="230"/>
      <c r="J697" s="230"/>
      <c r="K697" s="230"/>
      <c r="L697" s="228"/>
      <c r="M697" s="257"/>
      <c r="N697" s="228"/>
      <c r="O697" s="228"/>
      <c r="P697" s="258"/>
      <c r="Q697" s="2577"/>
      <c r="R697" s="2577"/>
      <c r="S697" s="254"/>
      <c r="T697" s="228"/>
      <c r="U697" s="2552"/>
      <c r="V697" s="256"/>
      <c r="W697" s="248"/>
      <c r="X697" s="248"/>
      <c r="Y697" s="248"/>
      <c r="Z697" s="247"/>
      <c r="AA697" s="248"/>
      <c r="AB697" s="248"/>
      <c r="AC697" s="194"/>
      <c r="AD697" s="249"/>
      <c r="AE697" s="250"/>
      <c r="AF697" s="251"/>
      <c r="AG697" s="252"/>
      <c r="AH697" s="241"/>
      <c r="AI697" s="241"/>
      <c r="AJ697" s="241"/>
      <c r="AK697" s="194"/>
      <c r="AL697" s="195"/>
      <c r="AM697" s="195"/>
    </row>
    <row r="698" spans="2:39">
      <c r="B698" s="253">
        <f t="shared" si="183"/>
        <v>205</v>
      </c>
      <c r="C698" s="244"/>
      <c r="D698" s="661"/>
      <c r="E698" s="466"/>
      <c r="F698" s="615"/>
      <c r="G698" s="230"/>
      <c r="H698" s="230"/>
      <c r="I698" s="230"/>
      <c r="J698" s="230"/>
      <c r="K698" s="230"/>
      <c r="L698" s="228"/>
      <c r="M698" s="257"/>
      <c r="N698" s="228"/>
      <c r="O698" s="228"/>
      <c r="P698" s="258"/>
      <c r="Q698" s="2577"/>
      <c r="R698" s="2577"/>
      <c r="S698" s="254"/>
      <c r="T698" s="228"/>
      <c r="U698" s="2552"/>
      <c r="V698" s="256"/>
      <c r="W698" s="248"/>
      <c r="X698" s="248"/>
      <c r="Y698" s="248"/>
      <c r="Z698" s="247"/>
      <c r="AA698" s="248"/>
      <c r="AB698" s="248"/>
      <c r="AC698" s="194"/>
      <c r="AD698" s="249"/>
      <c r="AE698" s="250"/>
      <c r="AF698" s="251"/>
      <c r="AG698" s="252"/>
      <c r="AH698" s="241"/>
      <c r="AI698" s="241"/>
      <c r="AJ698" s="241"/>
      <c r="AK698" s="194"/>
      <c r="AL698" s="195"/>
      <c r="AM698" s="195"/>
    </row>
    <row r="699" spans="2:39">
      <c r="B699" s="253">
        <f t="shared" si="183"/>
        <v>206</v>
      </c>
      <c r="C699" s="244"/>
      <c r="D699" s="661"/>
      <c r="E699" s="466"/>
      <c r="F699" s="615"/>
      <c r="G699" s="230"/>
      <c r="H699" s="230"/>
      <c r="I699" s="230"/>
      <c r="J699" s="230"/>
      <c r="K699" s="230"/>
      <c r="L699" s="228"/>
      <c r="M699" s="257"/>
      <c r="N699" s="228"/>
      <c r="O699" s="228"/>
      <c r="P699" s="258"/>
      <c r="Q699" s="2577"/>
      <c r="R699" s="2577"/>
      <c r="S699" s="254"/>
      <c r="T699" s="228"/>
      <c r="U699" s="2552"/>
      <c r="V699" s="256"/>
      <c r="W699" s="248"/>
      <c r="X699" s="248"/>
      <c r="Y699" s="248"/>
      <c r="Z699" s="247"/>
      <c r="AA699" s="248"/>
      <c r="AB699" s="248"/>
      <c r="AC699" s="194"/>
      <c r="AD699" s="249"/>
      <c r="AE699" s="250"/>
      <c r="AF699" s="251"/>
      <c r="AG699" s="252"/>
      <c r="AH699" s="241"/>
      <c r="AI699" s="241"/>
      <c r="AJ699" s="241"/>
      <c r="AK699" s="194"/>
      <c r="AL699" s="195"/>
      <c r="AM699" s="195"/>
    </row>
    <row r="700" spans="2:39">
      <c r="B700" s="253">
        <f t="shared" si="183"/>
        <v>207</v>
      </c>
      <c r="C700" s="244"/>
      <c r="D700" s="661"/>
      <c r="E700" s="466"/>
      <c r="F700" s="615"/>
      <c r="G700" s="230"/>
      <c r="H700" s="230"/>
      <c r="I700" s="230"/>
      <c r="J700" s="230"/>
      <c r="K700" s="230"/>
      <c r="L700" s="228"/>
      <c r="M700" s="257"/>
      <c r="N700" s="228"/>
      <c r="O700" s="228"/>
      <c r="P700" s="258"/>
      <c r="Q700" s="2577"/>
      <c r="R700" s="2577"/>
      <c r="S700" s="254"/>
      <c r="T700" s="228"/>
      <c r="U700" s="2552"/>
      <c r="V700" s="256"/>
      <c r="W700" s="248"/>
      <c r="X700" s="248"/>
      <c r="Y700" s="248"/>
      <c r="Z700" s="247"/>
      <c r="AA700" s="248"/>
      <c r="AB700" s="248"/>
      <c r="AC700" s="194"/>
      <c r="AD700" s="249"/>
      <c r="AE700" s="250"/>
      <c r="AF700" s="251"/>
      <c r="AG700" s="252"/>
      <c r="AH700" s="241"/>
      <c r="AI700" s="241"/>
      <c r="AJ700" s="241"/>
      <c r="AK700" s="194"/>
      <c r="AL700" s="195"/>
      <c r="AM700" s="195"/>
    </row>
    <row r="701" spans="2:39">
      <c r="B701" s="253">
        <f t="shared" si="183"/>
        <v>208</v>
      </c>
      <c r="C701" s="244"/>
      <c r="D701" s="661"/>
      <c r="E701" s="466"/>
      <c r="F701" s="615"/>
      <c r="G701" s="230"/>
      <c r="H701" s="230"/>
      <c r="I701" s="230"/>
      <c r="J701" s="230"/>
      <c r="K701" s="230"/>
      <c r="L701" s="228"/>
      <c r="M701" s="257"/>
      <c r="N701" s="228"/>
      <c r="O701" s="228"/>
      <c r="P701" s="258"/>
      <c r="Q701" s="2577"/>
      <c r="R701" s="2577"/>
      <c r="S701" s="254"/>
      <c r="T701" s="228"/>
      <c r="U701" s="2552"/>
      <c r="V701" s="256"/>
      <c r="W701" s="248"/>
      <c r="X701" s="248"/>
      <c r="Y701" s="248"/>
      <c r="Z701" s="247"/>
      <c r="AA701" s="248"/>
      <c r="AB701" s="248"/>
      <c r="AC701" s="194"/>
      <c r="AD701" s="249"/>
      <c r="AE701" s="250"/>
      <c r="AF701" s="251"/>
      <c r="AG701" s="252"/>
      <c r="AH701" s="241"/>
      <c r="AI701" s="241"/>
      <c r="AJ701" s="241"/>
      <c r="AK701" s="194"/>
      <c r="AL701" s="195"/>
      <c r="AM701" s="195"/>
    </row>
    <row r="702" spans="2:39">
      <c r="B702" s="253">
        <f t="shared" si="183"/>
        <v>209</v>
      </c>
      <c r="C702" s="244"/>
      <c r="D702" s="661"/>
      <c r="E702" s="466"/>
      <c r="F702" s="615"/>
      <c r="G702" s="230"/>
      <c r="H702" s="230"/>
      <c r="I702" s="230"/>
      <c r="J702" s="230"/>
      <c r="K702" s="230"/>
      <c r="L702" s="228"/>
      <c r="M702" s="257"/>
      <c r="N702" s="228"/>
      <c r="O702" s="228"/>
      <c r="P702" s="258"/>
      <c r="Q702" s="2577"/>
      <c r="R702" s="2577"/>
      <c r="S702" s="254"/>
      <c r="T702" s="228"/>
      <c r="U702" s="2552"/>
      <c r="V702" s="256"/>
      <c r="W702" s="248"/>
      <c r="X702" s="248"/>
      <c r="Y702" s="248"/>
      <c r="Z702" s="247"/>
      <c r="AA702" s="248"/>
      <c r="AB702" s="248"/>
      <c r="AC702" s="194"/>
      <c r="AD702" s="249"/>
      <c r="AE702" s="250"/>
      <c r="AF702" s="251"/>
      <c r="AG702" s="252"/>
      <c r="AH702" s="241"/>
      <c r="AI702" s="241"/>
      <c r="AJ702" s="241"/>
      <c r="AK702" s="194"/>
      <c r="AL702" s="195"/>
      <c r="AM702" s="195"/>
    </row>
    <row r="703" spans="2:39">
      <c r="B703" s="253">
        <f t="shared" si="183"/>
        <v>210</v>
      </c>
      <c r="C703" s="244"/>
      <c r="D703" s="661"/>
      <c r="E703" s="466"/>
      <c r="F703" s="615"/>
      <c r="G703" s="230"/>
      <c r="H703" s="230"/>
      <c r="I703" s="230"/>
      <c r="J703" s="230"/>
      <c r="K703" s="230"/>
      <c r="L703" s="228"/>
      <c r="M703" s="257"/>
      <c r="N703" s="228"/>
      <c r="O703" s="228"/>
      <c r="P703" s="258"/>
      <c r="Q703" s="2577"/>
      <c r="R703" s="2577"/>
      <c r="S703" s="254"/>
      <c r="T703" s="228"/>
      <c r="U703" s="2552"/>
      <c r="V703" s="256"/>
      <c r="W703" s="248"/>
      <c r="X703" s="248"/>
      <c r="Y703" s="248"/>
      <c r="Z703" s="247"/>
      <c r="AA703" s="248"/>
      <c r="AB703" s="248"/>
      <c r="AC703" s="194"/>
      <c r="AD703" s="249"/>
      <c r="AE703" s="250"/>
      <c r="AF703" s="251"/>
      <c r="AG703" s="252"/>
      <c r="AH703" s="241"/>
      <c r="AI703" s="241"/>
      <c r="AJ703" s="241"/>
      <c r="AK703" s="194"/>
      <c r="AL703" s="195"/>
      <c r="AM703" s="195"/>
    </row>
    <row r="704" spans="2:39">
      <c r="B704" s="253">
        <f t="shared" si="183"/>
        <v>211</v>
      </c>
      <c r="C704" s="244"/>
      <c r="D704" s="661"/>
      <c r="E704" s="466"/>
      <c r="F704" s="615"/>
      <c r="G704" s="230"/>
      <c r="H704" s="230"/>
      <c r="I704" s="230"/>
      <c r="J704" s="230"/>
      <c r="K704" s="230"/>
      <c r="L704" s="228"/>
      <c r="M704" s="257"/>
      <c r="N704" s="228"/>
      <c r="O704" s="228"/>
      <c r="P704" s="258"/>
      <c r="Q704" s="2577"/>
      <c r="R704" s="2577"/>
      <c r="S704" s="254"/>
      <c r="T704" s="228"/>
      <c r="U704" s="2552"/>
      <c r="V704" s="256"/>
      <c r="W704" s="248"/>
      <c r="X704" s="248"/>
      <c r="Y704" s="248"/>
      <c r="Z704" s="247"/>
      <c r="AA704" s="248"/>
      <c r="AB704" s="248"/>
      <c r="AC704" s="194"/>
      <c r="AD704" s="249"/>
      <c r="AE704" s="250"/>
      <c r="AF704" s="251"/>
      <c r="AG704" s="252"/>
      <c r="AH704" s="241"/>
      <c r="AI704" s="241"/>
      <c r="AJ704" s="241"/>
      <c r="AK704" s="194"/>
      <c r="AL704" s="195"/>
      <c r="AM704" s="195"/>
    </row>
    <row r="705" spans="2:39">
      <c r="B705" s="253">
        <f t="shared" si="183"/>
        <v>212</v>
      </c>
      <c r="C705" s="244"/>
      <c r="D705" s="661"/>
      <c r="E705" s="466"/>
      <c r="F705" s="615"/>
      <c r="G705" s="230"/>
      <c r="H705" s="230"/>
      <c r="I705" s="230"/>
      <c r="J705" s="230"/>
      <c r="K705" s="230"/>
      <c r="L705" s="228"/>
      <c r="M705" s="257"/>
      <c r="N705" s="228"/>
      <c r="O705" s="228"/>
      <c r="P705" s="258"/>
      <c r="Q705" s="2577"/>
      <c r="R705" s="2577"/>
      <c r="S705" s="254"/>
      <c r="T705" s="228"/>
      <c r="U705" s="2552"/>
      <c r="V705" s="256"/>
      <c r="W705" s="248"/>
      <c r="X705" s="248"/>
      <c r="Y705" s="248"/>
      <c r="Z705" s="247"/>
      <c r="AA705" s="248"/>
      <c r="AB705" s="248"/>
      <c r="AC705" s="194"/>
      <c r="AD705" s="249"/>
      <c r="AE705" s="250"/>
      <c r="AF705" s="251"/>
      <c r="AG705" s="252"/>
      <c r="AH705" s="241"/>
      <c r="AI705" s="241"/>
      <c r="AJ705" s="241"/>
      <c r="AK705" s="194"/>
      <c r="AL705" s="195"/>
      <c r="AM705" s="195"/>
    </row>
    <row r="706" spans="2:39">
      <c r="B706" s="253">
        <f t="shared" si="183"/>
        <v>213</v>
      </c>
      <c r="C706" s="244"/>
      <c r="D706" s="661"/>
      <c r="E706" s="466"/>
      <c r="F706" s="615"/>
      <c r="G706" s="230"/>
      <c r="H706" s="230"/>
      <c r="I706" s="230"/>
      <c r="J706" s="230"/>
      <c r="K706" s="230"/>
      <c r="L706" s="228"/>
      <c r="M706" s="257"/>
      <c r="N706" s="228"/>
      <c r="O706" s="228"/>
      <c r="P706" s="258"/>
      <c r="Q706" s="2577"/>
      <c r="R706" s="2577"/>
      <c r="S706" s="254"/>
      <c r="T706" s="228"/>
      <c r="U706" s="2552"/>
      <c r="V706" s="256"/>
      <c r="W706" s="248"/>
      <c r="X706" s="248"/>
      <c r="Y706" s="248"/>
      <c r="Z706" s="247"/>
      <c r="AA706" s="248"/>
      <c r="AB706" s="248"/>
      <c r="AC706" s="194"/>
      <c r="AD706" s="249"/>
      <c r="AE706" s="250"/>
      <c r="AF706" s="251"/>
      <c r="AG706" s="252"/>
      <c r="AH706" s="241"/>
      <c r="AI706" s="241"/>
      <c r="AJ706" s="241"/>
      <c r="AK706" s="194"/>
      <c r="AL706" s="195"/>
      <c r="AM706" s="195"/>
    </row>
    <row r="707" spans="2:39">
      <c r="B707" s="253">
        <f t="shared" ref="B707:B747" si="184">+B706+1</f>
        <v>214</v>
      </c>
      <c r="C707" s="244"/>
      <c r="D707" s="661"/>
      <c r="E707" s="466"/>
      <c r="F707" s="615"/>
      <c r="G707" s="230"/>
      <c r="H707" s="230"/>
      <c r="I707" s="230"/>
      <c r="J707" s="230"/>
      <c r="K707" s="230"/>
      <c r="L707" s="228"/>
      <c r="M707" s="257"/>
      <c r="N707" s="228"/>
      <c r="O707" s="228"/>
      <c r="P707" s="258"/>
      <c r="Q707" s="2577"/>
      <c r="R707" s="2577"/>
      <c r="S707" s="254"/>
      <c r="T707" s="228"/>
      <c r="U707" s="2552"/>
      <c r="V707" s="256"/>
      <c r="W707" s="248"/>
      <c r="X707" s="248"/>
      <c r="Y707" s="248"/>
      <c r="Z707" s="247"/>
      <c r="AA707" s="248"/>
      <c r="AB707" s="248"/>
      <c r="AC707" s="194"/>
      <c r="AD707" s="249"/>
      <c r="AE707" s="250"/>
      <c r="AF707" s="251"/>
      <c r="AG707" s="252"/>
      <c r="AH707" s="241"/>
      <c r="AI707" s="241"/>
      <c r="AJ707" s="241"/>
      <c r="AK707" s="194"/>
      <c r="AL707" s="195"/>
      <c r="AM707" s="195"/>
    </row>
    <row r="708" spans="2:39">
      <c r="B708" s="253">
        <f t="shared" si="184"/>
        <v>215</v>
      </c>
      <c r="C708" s="244"/>
      <c r="D708" s="661"/>
      <c r="E708" s="466"/>
      <c r="F708" s="615"/>
      <c r="G708" s="230"/>
      <c r="H708" s="230"/>
      <c r="I708" s="230"/>
      <c r="J708" s="230"/>
      <c r="K708" s="230"/>
      <c r="L708" s="228"/>
      <c r="M708" s="257"/>
      <c r="N708" s="228"/>
      <c r="O708" s="228"/>
      <c r="P708" s="258"/>
      <c r="Q708" s="2577"/>
      <c r="R708" s="2577"/>
      <c r="S708" s="254"/>
      <c r="T708" s="228"/>
      <c r="U708" s="2552"/>
      <c r="V708" s="256"/>
      <c r="W708" s="248"/>
      <c r="X708" s="248"/>
      <c r="Y708" s="248"/>
      <c r="Z708" s="247"/>
      <c r="AA708" s="248"/>
      <c r="AB708" s="248"/>
      <c r="AC708" s="194"/>
      <c r="AD708" s="249"/>
      <c r="AE708" s="250"/>
      <c r="AF708" s="251"/>
      <c r="AG708" s="252"/>
      <c r="AH708" s="241"/>
      <c r="AI708" s="241"/>
      <c r="AJ708" s="241"/>
      <c r="AK708" s="194"/>
      <c r="AL708" s="195"/>
      <c r="AM708" s="195"/>
    </row>
    <row r="709" spans="2:39">
      <c r="B709" s="253">
        <f t="shared" si="184"/>
        <v>216</v>
      </c>
      <c r="C709" s="244"/>
      <c r="D709" s="661"/>
      <c r="E709" s="466"/>
      <c r="F709" s="615"/>
      <c r="G709" s="230"/>
      <c r="H709" s="230"/>
      <c r="I709" s="230"/>
      <c r="J709" s="230"/>
      <c r="K709" s="230"/>
      <c r="L709" s="228"/>
      <c r="M709" s="257"/>
      <c r="N709" s="228"/>
      <c r="O709" s="228"/>
      <c r="P709" s="258"/>
      <c r="Q709" s="2577"/>
      <c r="R709" s="2577"/>
      <c r="S709" s="254"/>
      <c r="T709" s="228"/>
      <c r="U709" s="2552"/>
      <c r="V709" s="256"/>
      <c r="W709" s="248"/>
      <c r="X709" s="248"/>
      <c r="Y709" s="248"/>
      <c r="Z709" s="247"/>
      <c r="AA709" s="248"/>
      <c r="AB709" s="248"/>
      <c r="AC709" s="194"/>
      <c r="AD709" s="249"/>
      <c r="AE709" s="250"/>
      <c r="AF709" s="251"/>
      <c r="AG709" s="252"/>
      <c r="AH709" s="241"/>
      <c r="AI709" s="241"/>
      <c r="AJ709" s="241"/>
      <c r="AK709" s="194"/>
      <c r="AL709" s="195"/>
      <c r="AM709" s="195"/>
    </row>
    <row r="710" spans="2:39">
      <c r="B710" s="253">
        <f t="shared" si="184"/>
        <v>217</v>
      </c>
      <c r="C710" s="244"/>
      <c r="D710" s="661"/>
      <c r="E710" s="466"/>
      <c r="F710" s="615"/>
      <c r="G710" s="230"/>
      <c r="H710" s="230"/>
      <c r="I710" s="230"/>
      <c r="J710" s="230"/>
      <c r="K710" s="230"/>
      <c r="L710" s="228"/>
      <c r="M710" s="257"/>
      <c r="N710" s="228"/>
      <c r="O710" s="228"/>
      <c r="P710" s="258"/>
      <c r="Q710" s="2577"/>
      <c r="R710" s="2577"/>
      <c r="S710" s="254"/>
      <c r="T710" s="228"/>
      <c r="U710" s="2552"/>
      <c r="V710" s="256"/>
      <c r="W710" s="248"/>
      <c r="X710" s="248"/>
      <c r="Y710" s="248"/>
      <c r="Z710" s="247"/>
      <c r="AA710" s="248"/>
      <c r="AB710" s="248"/>
      <c r="AC710" s="194"/>
      <c r="AD710" s="249"/>
      <c r="AE710" s="250"/>
      <c r="AF710" s="251"/>
      <c r="AG710" s="252"/>
      <c r="AH710" s="241"/>
      <c r="AI710" s="241"/>
      <c r="AJ710" s="241"/>
      <c r="AK710" s="194"/>
      <c r="AL710" s="195"/>
      <c r="AM710" s="195"/>
    </row>
    <row r="711" spans="2:39">
      <c r="B711" s="253">
        <f t="shared" si="184"/>
        <v>218</v>
      </c>
      <c r="C711" s="244"/>
      <c r="D711" s="661"/>
      <c r="E711" s="466"/>
      <c r="F711" s="615"/>
      <c r="G711" s="230"/>
      <c r="H711" s="230"/>
      <c r="I711" s="230"/>
      <c r="J711" s="230"/>
      <c r="K711" s="230"/>
      <c r="L711" s="228"/>
      <c r="M711" s="257"/>
      <c r="N711" s="228"/>
      <c r="O711" s="228"/>
      <c r="P711" s="258"/>
      <c r="Q711" s="2577"/>
      <c r="R711" s="2577"/>
      <c r="S711" s="254"/>
      <c r="T711" s="228"/>
      <c r="U711" s="2552"/>
      <c r="V711" s="256"/>
      <c r="W711" s="248"/>
      <c r="X711" s="248"/>
      <c r="Y711" s="248"/>
      <c r="Z711" s="247"/>
      <c r="AA711" s="248"/>
      <c r="AB711" s="248"/>
      <c r="AC711" s="194"/>
      <c r="AD711" s="249"/>
      <c r="AE711" s="250"/>
      <c r="AF711" s="251"/>
      <c r="AG711" s="252"/>
      <c r="AH711" s="241"/>
      <c r="AI711" s="241"/>
      <c r="AJ711" s="241"/>
      <c r="AK711" s="194"/>
      <c r="AL711" s="195"/>
      <c r="AM711" s="195"/>
    </row>
    <row r="712" spans="2:39">
      <c r="B712" s="253">
        <f t="shared" si="184"/>
        <v>219</v>
      </c>
      <c r="C712" s="244"/>
      <c r="D712" s="661"/>
      <c r="E712" s="466"/>
      <c r="F712" s="615"/>
      <c r="G712" s="230"/>
      <c r="H712" s="230"/>
      <c r="I712" s="230"/>
      <c r="J712" s="230"/>
      <c r="K712" s="230"/>
      <c r="L712" s="228"/>
      <c r="M712" s="257"/>
      <c r="N712" s="228"/>
      <c r="O712" s="228"/>
      <c r="P712" s="258"/>
      <c r="Q712" s="2577"/>
      <c r="R712" s="2577"/>
      <c r="S712" s="254"/>
      <c r="T712" s="228"/>
      <c r="U712" s="2552"/>
      <c r="V712" s="256"/>
      <c r="W712" s="248"/>
      <c r="X712" s="248"/>
      <c r="Y712" s="248"/>
      <c r="Z712" s="247"/>
      <c r="AA712" s="248"/>
      <c r="AB712" s="248"/>
      <c r="AC712" s="194"/>
      <c r="AD712" s="249"/>
      <c r="AE712" s="250"/>
      <c r="AF712" s="251"/>
      <c r="AG712" s="252"/>
      <c r="AH712" s="241"/>
      <c r="AI712" s="241"/>
      <c r="AJ712" s="241"/>
      <c r="AK712" s="194"/>
      <c r="AL712" s="195"/>
      <c r="AM712" s="195"/>
    </row>
    <row r="713" spans="2:39">
      <c r="B713" s="253">
        <f t="shared" si="184"/>
        <v>220</v>
      </c>
      <c r="C713" s="244"/>
      <c r="D713" s="661"/>
      <c r="E713" s="466"/>
      <c r="F713" s="615"/>
      <c r="G713" s="230"/>
      <c r="H713" s="230"/>
      <c r="I713" s="230"/>
      <c r="J713" s="230"/>
      <c r="K713" s="230"/>
      <c r="L713" s="228"/>
      <c r="M713" s="257"/>
      <c r="N713" s="228"/>
      <c r="O713" s="228"/>
      <c r="P713" s="258"/>
      <c r="Q713" s="2577"/>
      <c r="R713" s="2577"/>
      <c r="S713" s="254"/>
      <c r="T713" s="228"/>
      <c r="U713" s="2552"/>
      <c r="V713" s="256"/>
      <c r="W713" s="248"/>
      <c r="X713" s="248"/>
      <c r="Y713" s="248"/>
      <c r="Z713" s="247"/>
      <c r="AA713" s="248"/>
      <c r="AB713" s="248"/>
      <c r="AC713" s="194"/>
      <c r="AD713" s="249"/>
      <c r="AE713" s="250"/>
      <c r="AF713" s="251"/>
      <c r="AG713" s="252"/>
      <c r="AH713" s="241"/>
      <c r="AI713" s="241"/>
      <c r="AJ713" s="241"/>
      <c r="AK713" s="194"/>
      <c r="AL713" s="195"/>
      <c r="AM713" s="195"/>
    </row>
    <row r="714" spans="2:39">
      <c r="B714" s="253">
        <f t="shared" si="184"/>
        <v>221</v>
      </c>
      <c r="C714" s="244"/>
      <c r="D714" s="661"/>
      <c r="E714" s="466"/>
      <c r="F714" s="615"/>
      <c r="G714" s="230"/>
      <c r="H714" s="230"/>
      <c r="I714" s="230"/>
      <c r="J714" s="230"/>
      <c r="K714" s="230"/>
      <c r="L714" s="228"/>
      <c r="M714" s="257"/>
      <c r="N714" s="228"/>
      <c r="O714" s="228"/>
      <c r="P714" s="258"/>
      <c r="Q714" s="2577"/>
      <c r="R714" s="2577"/>
      <c r="S714" s="254"/>
      <c r="T714" s="228"/>
      <c r="U714" s="2552"/>
      <c r="V714" s="256"/>
      <c r="W714" s="248"/>
      <c r="X714" s="248"/>
      <c r="Y714" s="248"/>
      <c r="Z714" s="247"/>
      <c r="AA714" s="248"/>
      <c r="AB714" s="248"/>
      <c r="AC714" s="194"/>
      <c r="AD714" s="249"/>
      <c r="AE714" s="250"/>
      <c r="AF714" s="251"/>
      <c r="AG714" s="252"/>
      <c r="AH714" s="241"/>
      <c r="AI714" s="241"/>
      <c r="AJ714" s="241"/>
      <c r="AK714" s="194"/>
      <c r="AL714" s="195"/>
      <c r="AM714" s="195"/>
    </row>
    <row r="715" spans="2:39">
      <c r="B715" s="253">
        <f t="shared" si="184"/>
        <v>222</v>
      </c>
      <c r="C715" s="244"/>
      <c r="D715" s="661"/>
      <c r="E715" s="466"/>
      <c r="F715" s="615"/>
      <c r="G715" s="230"/>
      <c r="H715" s="230"/>
      <c r="I715" s="230"/>
      <c r="J715" s="230"/>
      <c r="K715" s="230"/>
      <c r="L715" s="228"/>
      <c r="M715" s="257"/>
      <c r="N715" s="228"/>
      <c r="O715" s="228"/>
      <c r="P715" s="258"/>
      <c r="Q715" s="2577"/>
      <c r="R715" s="2577"/>
      <c r="S715" s="254"/>
      <c r="T715" s="228"/>
      <c r="U715" s="2552"/>
      <c r="V715" s="256"/>
      <c r="W715" s="248"/>
      <c r="X715" s="248"/>
      <c r="Y715" s="248"/>
      <c r="Z715" s="247"/>
      <c r="AA715" s="248"/>
      <c r="AB715" s="248"/>
      <c r="AC715" s="194"/>
      <c r="AD715" s="249"/>
      <c r="AE715" s="250"/>
      <c r="AF715" s="251"/>
      <c r="AG715" s="252"/>
      <c r="AH715" s="241"/>
      <c r="AI715" s="241"/>
      <c r="AJ715" s="241"/>
      <c r="AK715" s="194"/>
      <c r="AL715" s="195"/>
      <c r="AM715" s="195"/>
    </row>
    <row r="716" spans="2:39">
      <c r="B716" s="253">
        <f t="shared" si="184"/>
        <v>223</v>
      </c>
      <c r="C716" s="244"/>
      <c r="D716" s="661"/>
      <c r="E716" s="466"/>
      <c r="F716" s="615"/>
      <c r="G716" s="230"/>
      <c r="H716" s="230"/>
      <c r="I716" s="230"/>
      <c r="J716" s="230"/>
      <c r="K716" s="230"/>
      <c r="L716" s="228"/>
      <c r="M716" s="257"/>
      <c r="N716" s="228"/>
      <c r="O716" s="228"/>
      <c r="P716" s="258"/>
      <c r="Q716" s="2577"/>
      <c r="R716" s="2577"/>
      <c r="S716" s="254"/>
      <c r="T716" s="228"/>
      <c r="U716" s="2552"/>
      <c r="V716" s="256"/>
      <c r="W716" s="248"/>
      <c r="X716" s="248"/>
      <c r="Y716" s="248"/>
      <c r="Z716" s="247"/>
      <c r="AA716" s="248"/>
      <c r="AB716" s="248"/>
      <c r="AC716" s="194"/>
      <c r="AD716" s="249"/>
      <c r="AE716" s="250"/>
      <c r="AF716" s="251"/>
      <c r="AG716" s="252"/>
      <c r="AH716" s="241"/>
      <c r="AI716" s="241"/>
      <c r="AJ716" s="241"/>
      <c r="AK716" s="194"/>
      <c r="AL716" s="195"/>
      <c r="AM716" s="195"/>
    </row>
    <row r="717" spans="2:39">
      <c r="B717" s="253">
        <f t="shared" si="184"/>
        <v>224</v>
      </c>
      <c r="C717" s="244"/>
      <c r="D717" s="661"/>
      <c r="E717" s="466"/>
      <c r="F717" s="615"/>
      <c r="G717" s="230"/>
      <c r="H717" s="230"/>
      <c r="I717" s="230"/>
      <c r="J717" s="230"/>
      <c r="K717" s="230"/>
      <c r="L717" s="228"/>
      <c r="M717" s="257"/>
      <c r="N717" s="228"/>
      <c r="O717" s="228"/>
      <c r="P717" s="258"/>
      <c r="Q717" s="2577"/>
      <c r="R717" s="2577"/>
      <c r="S717" s="254"/>
      <c r="T717" s="228"/>
      <c r="U717" s="2552"/>
      <c r="V717" s="256"/>
      <c r="W717" s="248"/>
      <c r="X717" s="248"/>
      <c r="Y717" s="248"/>
      <c r="Z717" s="247"/>
      <c r="AA717" s="248"/>
      <c r="AB717" s="248"/>
      <c r="AC717" s="194"/>
      <c r="AD717" s="249"/>
      <c r="AE717" s="250"/>
      <c r="AF717" s="251"/>
      <c r="AG717" s="252"/>
      <c r="AH717" s="241"/>
      <c r="AI717" s="241"/>
      <c r="AJ717" s="241"/>
      <c r="AK717" s="194"/>
      <c r="AL717" s="195"/>
      <c r="AM717" s="195"/>
    </row>
    <row r="718" spans="2:39">
      <c r="B718" s="253">
        <f t="shared" si="184"/>
        <v>225</v>
      </c>
      <c r="C718" s="244"/>
      <c r="D718" s="661"/>
      <c r="E718" s="466"/>
      <c r="F718" s="615"/>
      <c r="G718" s="230"/>
      <c r="H718" s="230"/>
      <c r="I718" s="230"/>
      <c r="J718" s="230"/>
      <c r="K718" s="230"/>
      <c r="L718" s="228"/>
      <c r="M718" s="257"/>
      <c r="N718" s="228"/>
      <c r="O718" s="228"/>
      <c r="P718" s="258"/>
      <c r="Q718" s="2577"/>
      <c r="R718" s="2577"/>
      <c r="S718" s="254"/>
      <c r="T718" s="228"/>
      <c r="U718" s="2552"/>
      <c r="V718" s="256"/>
      <c r="W718" s="248"/>
      <c r="X718" s="248"/>
      <c r="Y718" s="248"/>
      <c r="Z718" s="247"/>
      <c r="AA718" s="248"/>
      <c r="AB718" s="248"/>
      <c r="AC718" s="194"/>
      <c r="AD718" s="249"/>
      <c r="AE718" s="250"/>
      <c r="AF718" s="251"/>
      <c r="AG718" s="252"/>
      <c r="AH718" s="241"/>
      <c r="AI718" s="241"/>
      <c r="AJ718" s="241"/>
      <c r="AK718" s="194"/>
      <c r="AL718" s="195"/>
      <c r="AM718" s="195"/>
    </row>
    <row r="719" spans="2:39">
      <c r="B719" s="253">
        <f t="shared" si="184"/>
        <v>226</v>
      </c>
      <c r="C719" s="244"/>
      <c r="D719" s="661"/>
      <c r="E719" s="466"/>
      <c r="F719" s="615"/>
      <c r="G719" s="230"/>
      <c r="H719" s="230"/>
      <c r="I719" s="230"/>
      <c r="J719" s="230"/>
      <c r="K719" s="230"/>
      <c r="L719" s="228"/>
      <c r="M719" s="257"/>
      <c r="N719" s="228"/>
      <c r="O719" s="228"/>
      <c r="P719" s="258"/>
      <c r="Q719" s="2577"/>
      <c r="R719" s="2577"/>
      <c r="S719" s="254"/>
      <c r="T719" s="228"/>
      <c r="U719" s="2552"/>
      <c r="V719" s="256"/>
      <c r="W719" s="248"/>
      <c r="X719" s="248"/>
      <c r="Y719" s="248"/>
      <c r="Z719" s="247"/>
      <c r="AA719" s="248"/>
      <c r="AB719" s="248"/>
      <c r="AC719" s="194"/>
      <c r="AD719" s="249"/>
      <c r="AE719" s="250"/>
      <c r="AF719" s="251"/>
      <c r="AG719" s="252"/>
      <c r="AH719" s="241"/>
      <c r="AI719" s="241"/>
      <c r="AJ719" s="241"/>
      <c r="AK719" s="194"/>
      <c r="AL719" s="195"/>
      <c r="AM719" s="195"/>
    </row>
    <row r="720" spans="2:39">
      <c r="B720" s="253">
        <f t="shared" si="184"/>
        <v>227</v>
      </c>
      <c r="C720" s="244"/>
      <c r="D720" s="661"/>
      <c r="E720" s="466"/>
      <c r="F720" s="615"/>
      <c r="G720" s="230"/>
      <c r="H720" s="230"/>
      <c r="I720" s="230"/>
      <c r="J720" s="230"/>
      <c r="K720" s="230"/>
      <c r="L720" s="228"/>
      <c r="M720" s="257"/>
      <c r="N720" s="228"/>
      <c r="O720" s="228"/>
      <c r="P720" s="258"/>
      <c r="Q720" s="2577"/>
      <c r="R720" s="2577"/>
      <c r="S720" s="254"/>
      <c r="T720" s="228"/>
      <c r="U720" s="2552"/>
      <c r="V720" s="256"/>
      <c r="W720" s="248"/>
      <c r="X720" s="248"/>
      <c r="Y720" s="248"/>
      <c r="Z720" s="247"/>
      <c r="AA720" s="248"/>
      <c r="AB720" s="248"/>
      <c r="AC720" s="194"/>
      <c r="AD720" s="249"/>
      <c r="AE720" s="250"/>
      <c r="AF720" s="251"/>
      <c r="AG720" s="252"/>
      <c r="AH720" s="241"/>
      <c r="AI720" s="241"/>
      <c r="AJ720" s="241"/>
      <c r="AK720" s="194"/>
      <c r="AL720" s="195"/>
      <c r="AM720" s="195"/>
    </row>
    <row r="721" spans="2:39">
      <c r="B721" s="253">
        <f t="shared" si="184"/>
        <v>228</v>
      </c>
      <c r="C721" s="244"/>
      <c r="D721" s="661"/>
      <c r="E721" s="466"/>
      <c r="F721" s="615"/>
      <c r="G721" s="230"/>
      <c r="H721" s="230"/>
      <c r="I721" s="230"/>
      <c r="J721" s="230"/>
      <c r="K721" s="230"/>
      <c r="L721" s="228"/>
      <c r="M721" s="257"/>
      <c r="N721" s="228"/>
      <c r="O721" s="228"/>
      <c r="P721" s="258"/>
      <c r="Q721" s="2577"/>
      <c r="R721" s="2577"/>
      <c r="S721" s="254"/>
      <c r="T721" s="228"/>
      <c r="U721" s="2552"/>
      <c r="V721" s="256"/>
      <c r="W721" s="248"/>
      <c r="X721" s="248"/>
      <c r="Y721" s="248"/>
      <c r="Z721" s="247"/>
      <c r="AA721" s="248"/>
      <c r="AB721" s="248"/>
      <c r="AC721" s="194"/>
      <c r="AD721" s="249"/>
      <c r="AE721" s="250"/>
      <c r="AF721" s="251"/>
      <c r="AG721" s="252"/>
      <c r="AH721" s="241"/>
      <c r="AI721" s="241"/>
      <c r="AJ721" s="241"/>
      <c r="AK721" s="194"/>
      <c r="AL721" s="195"/>
      <c r="AM721" s="195"/>
    </row>
    <row r="722" spans="2:39">
      <c r="B722" s="253">
        <f t="shared" si="184"/>
        <v>229</v>
      </c>
      <c r="C722" s="244"/>
      <c r="D722" s="661"/>
      <c r="E722" s="466"/>
      <c r="F722" s="615"/>
      <c r="G722" s="230"/>
      <c r="H722" s="230"/>
      <c r="I722" s="230"/>
      <c r="J722" s="230"/>
      <c r="K722" s="230"/>
      <c r="L722" s="228"/>
      <c r="M722" s="257"/>
      <c r="N722" s="228"/>
      <c r="O722" s="228"/>
      <c r="P722" s="258"/>
      <c r="Q722" s="2577"/>
      <c r="R722" s="2577"/>
      <c r="S722" s="254"/>
      <c r="T722" s="228"/>
      <c r="U722" s="2552"/>
      <c r="V722" s="256"/>
      <c r="W722" s="248"/>
      <c r="X722" s="248"/>
      <c r="Y722" s="248"/>
      <c r="Z722" s="247"/>
      <c r="AA722" s="248"/>
      <c r="AB722" s="248"/>
      <c r="AC722" s="194"/>
      <c r="AD722" s="249"/>
      <c r="AE722" s="250"/>
      <c r="AF722" s="251"/>
      <c r="AG722" s="252"/>
      <c r="AH722" s="241"/>
      <c r="AI722" s="241"/>
      <c r="AJ722" s="241"/>
      <c r="AK722" s="194"/>
      <c r="AL722" s="195"/>
      <c r="AM722" s="195"/>
    </row>
    <row r="723" spans="2:39">
      <c r="B723" s="253">
        <f t="shared" si="184"/>
        <v>230</v>
      </c>
      <c r="C723" s="244"/>
      <c r="D723" s="661"/>
      <c r="E723" s="466"/>
      <c r="F723" s="615"/>
      <c r="G723" s="230"/>
      <c r="H723" s="230"/>
      <c r="I723" s="230"/>
      <c r="J723" s="230"/>
      <c r="K723" s="230"/>
      <c r="L723" s="228"/>
      <c r="M723" s="257"/>
      <c r="N723" s="228"/>
      <c r="O723" s="228"/>
      <c r="P723" s="258"/>
      <c r="Q723" s="2577"/>
      <c r="R723" s="2577"/>
      <c r="S723" s="254"/>
      <c r="T723" s="228"/>
      <c r="U723" s="2552"/>
      <c r="V723" s="256"/>
      <c r="W723" s="248"/>
      <c r="X723" s="248"/>
      <c r="Y723" s="248"/>
      <c r="Z723" s="247"/>
      <c r="AA723" s="248"/>
      <c r="AB723" s="248"/>
      <c r="AC723" s="194"/>
      <c r="AD723" s="249"/>
      <c r="AE723" s="250"/>
      <c r="AF723" s="251"/>
      <c r="AG723" s="252"/>
      <c r="AH723" s="241"/>
      <c r="AI723" s="241"/>
      <c r="AJ723" s="241"/>
      <c r="AK723" s="194"/>
      <c r="AL723" s="195"/>
      <c r="AM723" s="195"/>
    </row>
    <row r="724" spans="2:39">
      <c r="B724" s="253">
        <f t="shared" si="184"/>
        <v>231</v>
      </c>
      <c r="C724" s="244"/>
      <c r="D724" s="661"/>
      <c r="E724" s="466"/>
      <c r="F724" s="615"/>
      <c r="G724" s="230"/>
      <c r="H724" s="230"/>
      <c r="I724" s="230"/>
      <c r="J724" s="230"/>
      <c r="K724" s="230"/>
      <c r="L724" s="228"/>
      <c r="M724" s="257"/>
      <c r="N724" s="228"/>
      <c r="O724" s="228"/>
      <c r="P724" s="258"/>
      <c r="Q724" s="2577"/>
      <c r="R724" s="2577"/>
      <c r="S724" s="254"/>
      <c r="T724" s="228"/>
      <c r="U724" s="2552"/>
      <c r="V724" s="256"/>
      <c r="W724" s="248"/>
      <c r="X724" s="248"/>
      <c r="Y724" s="248"/>
      <c r="Z724" s="247"/>
      <c r="AA724" s="248"/>
      <c r="AB724" s="248"/>
      <c r="AC724" s="194"/>
      <c r="AD724" s="249"/>
      <c r="AE724" s="250"/>
      <c r="AF724" s="251"/>
      <c r="AG724" s="252"/>
      <c r="AH724" s="241"/>
      <c r="AI724" s="241"/>
      <c r="AJ724" s="241"/>
      <c r="AK724" s="194"/>
      <c r="AL724" s="195"/>
      <c r="AM724" s="195"/>
    </row>
    <row r="725" spans="2:39">
      <c r="B725" s="253">
        <f t="shared" si="184"/>
        <v>232</v>
      </c>
      <c r="C725" s="244"/>
      <c r="D725" s="661"/>
      <c r="E725" s="466"/>
      <c r="F725" s="615"/>
      <c r="G725" s="230"/>
      <c r="H725" s="230"/>
      <c r="I725" s="230"/>
      <c r="J725" s="230"/>
      <c r="K725" s="230"/>
      <c r="L725" s="228"/>
      <c r="M725" s="257"/>
      <c r="N725" s="228"/>
      <c r="O725" s="228"/>
      <c r="P725" s="258"/>
      <c r="Q725" s="2577"/>
      <c r="R725" s="2577"/>
      <c r="S725" s="254"/>
      <c r="T725" s="228"/>
      <c r="U725" s="2552"/>
      <c r="V725" s="256"/>
      <c r="W725" s="248"/>
      <c r="X725" s="248"/>
      <c r="Y725" s="248"/>
      <c r="Z725" s="247"/>
      <c r="AA725" s="248"/>
      <c r="AB725" s="248"/>
      <c r="AC725" s="194"/>
      <c r="AD725" s="249"/>
      <c r="AE725" s="250"/>
      <c r="AF725" s="251"/>
      <c r="AG725" s="252"/>
      <c r="AH725" s="241"/>
      <c r="AI725" s="241"/>
      <c r="AJ725" s="241"/>
      <c r="AK725" s="194"/>
      <c r="AL725" s="195"/>
      <c r="AM725" s="195"/>
    </row>
    <row r="726" spans="2:39">
      <c r="B726" s="253">
        <f t="shared" si="184"/>
        <v>233</v>
      </c>
      <c r="C726" s="244"/>
      <c r="D726" s="661"/>
      <c r="E726" s="466"/>
      <c r="F726" s="615"/>
      <c r="G726" s="230"/>
      <c r="H726" s="230"/>
      <c r="I726" s="230"/>
      <c r="J726" s="230"/>
      <c r="K726" s="230"/>
      <c r="L726" s="228"/>
      <c r="M726" s="257"/>
      <c r="N726" s="228"/>
      <c r="O726" s="228"/>
      <c r="P726" s="258"/>
      <c r="Q726" s="2577"/>
      <c r="R726" s="2577"/>
      <c r="S726" s="254"/>
      <c r="T726" s="228"/>
      <c r="U726" s="2552"/>
      <c r="V726" s="256"/>
      <c r="W726" s="248"/>
      <c r="X726" s="248"/>
      <c r="Y726" s="248"/>
      <c r="Z726" s="247"/>
      <c r="AA726" s="248"/>
      <c r="AB726" s="248"/>
      <c r="AC726" s="194"/>
      <c r="AD726" s="249"/>
      <c r="AE726" s="250"/>
      <c r="AF726" s="251"/>
      <c r="AG726" s="252"/>
      <c r="AH726" s="241"/>
      <c r="AI726" s="241"/>
      <c r="AJ726" s="241"/>
      <c r="AK726" s="194"/>
      <c r="AL726" s="195"/>
      <c r="AM726" s="195"/>
    </row>
    <row r="727" spans="2:39">
      <c r="B727" s="253">
        <f t="shared" si="184"/>
        <v>234</v>
      </c>
      <c r="C727" s="244"/>
      <c r="D727" s="661"/>
      <c r="E727" s="466"/>
      <c r="F727" s="615"/>
      <c r="G727" s="230"/>
      <c r="H727" s="230"/>
      <c r="I727" s="230"/>
      <c r="J727" s="230"/>
      <c r="K727" s="230"/>
      <c r="L727" s="228"/>
      <c r="M727" s="257"/>
      <c r="N727" s="228"/>
      <c r="O727" s="228"/>
      <c r="P727" s="258"/>
      <c r="Q727" s="2577"/>
      <c r="R727" s="2577"/>
      <c r="S727" s="254"/>
      <c r="T727" s="228"/>
      <c r="U727" s="2552"/>
      <c r="V727" s="256"/>
      <c r="W727" s="248"/>
      <c r="X727" s="248"/>
      <c r="Y727" s="248"/>
      <c r="Z727" s="247"/>
      <c r="AA727" s="248"/>
      <c r="AB727" s="248"/>
      <c r="AC727" s="194"/>
      <c r="AD727" s="249"/>
      <c r="AE727" s="250"/>
      <c r="AF727" s="251"/>
      <c r="AG727" s="252"/>
      <c r="AH727" s="241"/>
      <c r="AI727" s="241"/>
      <c r="AJ727" s="241"/>
      <c r="AK727" s="194"/>
      <c r="AL727" s="195"/>
      <c r="AM727" s="195"/>
    </row>
    <row r="728" spans="2:39">
      <c r="B728" s="253">
        <f t="shared" si="184"/>
        <v>235</v>
      </c>
      <c r="C728" s="244"/>
      <c r="D728" s="661"/>
      <c r="E728" s="466"/>
      <c r="F728" s="615"/>
      <c r="G728" s="230"/>
      <c r="H728" s="230"/>
      <c r="I728" s="230"/>
      <c r="J728" s="230"/>
      <c r="K728" s="230"/>
      <c r="L728" s="228"/>
      <c r="M728" s="257"/>
      <c r="N728" s="228"/>
      <c r="O728" s="228"/>
      <c r="P728" s="258"/>
      <c r="Q728" s="2577"/>
      <c r="R728" s="2577"/>
      <c r="S728" s="254"/>
      <c r="T728" s="228"/>
      <c r="U728" s="2552"/>
      <c r="V728" s="256"/>
      <c r="W728" s="248"/>
      <c r="X728" s="248"/>
      <c r="Y728" s="248"/>
      <c r="Z728" s="247"/>
      <c r="AA728" s="248"/>
      <c r="AB728" s="248"/>
      <c r="AC728" s="194"/>
      <c r="AD728" s="249"/>
      <c r="AE728" s="250"/>
      <c r="AF728" s="251"/>
      <c r="AG728" s="252"/>
      <c r="AH728" s="241"/>
      <c r="AI728" s="241"/>
      <c r="AJ728" s="241"/>
      <c r="AK728" s="194"/>
      <c r="AL728" s="195"/>
      <c r="AM728" s="195"/>
    </row>
    <row r="729" spans="2:39">
      <c r="B729" s="253">
        <f t="shared" si="184"/>
        <v>236</v>
      </c>
      <c r="C729" s="244"/>
      <c r="D729" s="661"/>
      <c r="E729" s="466"/>
      <c r="F729" s="615"/>
      <c r="G729" s="230"/>
      <c r="H729" s="230"/>
      <c r="I729" s="230"/>
      <c r="J729" s="230"/>
      <c r="K729" s="230"/>
      <c r="L729" s="228"/>
      <c r="M729" s="257"/>
      <c r="N729" s="228"/>
      <c r="O729" s="228"/>
      <c r="P729" s="258"/>
      <c r="Q729" s="2577"/>
      <c r="R729" s="2577"/>
      <c r="S729" s="254"/>
      <c r="T729" s="228"/>
      <c r="U729" s="2552"/>
      <c r="V729" s="256"/>
      <c r="W729" s="248"/>
      <c r="X729" s="248"/>
      <c r="Y729" s="248"/>
      <c r="Z729" s="247"/>
      <c r="AA729" s="248"/>
      <c r="AB729" s="248"/>
      <c r="AC729" s="194"/>
      <c r="AD729" s="249"/>
      <c r="AE729" s="250"/>
      <c r="AF729" s="251"/>
      <c r="AG729" s="252"/>
      <c r="AH729" s="241"/>
      <c r="AI729" s="241"/>
      <c r="AJ729" s="241"/>
      <c r="AK729" s="194"/>
      <c r="AL729" s="195"/>
      <c r="AM729" s="195"/>
    </row>
    <row r="730" spans="2:39">
      <c r="B730" s="253">
        <f t="shared" si="184"/>
        <v>237</v>
      </c>
      <c r="C730" s="244"/>
      <c r="D730" s="661"/>
      <c r="E730" s="466"/>
      <c r="F730" s="615"/>
      <c r="G730" s="230"/>
      <c r="H730" s="230"/>
      <c r="I730" s="230"/>
      <c r="J730" s="230"/>
      <c r="K730" s="230"/>
      <c r="L730" s="228"/>
      <c r="M730" s="257"/>
      <c r="N730" s="228"/>
      <c r="O730" s="228"/>
      <c r="P730" s="258"/>
      <c r="Q730" s="2577"/>
      <c r="R730" s="2577"/>
      <c r="S730" s="254"/>
      <c r="T730" s="228"/>
      <c r="U730" s="2552"/>
      <c r="V730" s="256"/>
      <c r="W730" s="248"/>
      <c r="X730" s="248"/>
      <c r="Y730" s="248"/>
      <c r="Z730" s="247"/>
      <c r="AA730" s="248"/>
      <c r="AB730" s="248"/>
      <c r="AC730" s="194"/>
      <c r="AD730" s="249"/>
      <c r="AE730" s="250"/>
      <c r="AF730" s="251"/>
      <c r="AG730" s="252"/>
      <c r="AH730" s="241"/>
      <c r="AI730" s="241"/>
      <c r="AJ730" s="241"/>
      <c r="AK730" s="194"/>
      <c r="AL730" s="195"/>
      <c r="AM730" s="195"/>
    </row>
    <row r="731" spans="2:39">
      <c r="B731" s="253">
        <f t="shared" si="184"/>
        <v>238</v>
      </c>
      <c r="C731" s="244"/>
      <c r="D731" s="661"/>
      <c r="E731" s="466"/>
      <c r="F731" s="615"/>
      <c r="G731" s="230"/>
      <c r="H731" s="230"/>
      <c r="I731" s="230"/>
      <c r="J731" s="230"/>
      <c r="K731" s="230"/>
      <c r="L731" s="228"/>
      <c r="M731" s="257"/>
      <c r="N731" s="228"/>
      <c r="O731" s="228"/>
      <c r="P731" s="258"/>
      <c r="Q731" s="2577"/>
      <c r="R731" s="2577"/>
      <c r="S731" s="254"/>
      <c r="T731" s="228"/>
      <c r="U731" s="2552"/>
      <c r="V731" s="256"/>
      <c r="W731" s="248"/>
      <c r="X731" s="248"/>
      <c r="Y731" s="248"/>
      <c r="Z731" s="247"/>
      <c r="AA731" s="248"/>
      <c r="AB731" s="248"/>
      <c r="AC731" s="194"/>
      <c r="AD731" s="249"/>
      <c r="AE731" s="250"/>
      <c r="AF731" s="251"/>
      <c r="AG731" s="252"/>
      <c r="AH731" s="241"/>
      <c r="AI731" s="241"/>
      <c r="AJ731" s="241"/>
      <c r="AK731" s="194"/>
      <c r="AL731" s="195"/>
      <c r="AM731" s="195"/>
    </row>
    <row r="732" spans="2:39">
      <c r="B732" s="253">
        <f t="shared" si="184"/>
        <v>239</v>
      </c>
      <c r="C732" s="244"/>
      <c r="D732" s="661"/>
      <c r="E732" s="466"/>
      <c r="F732" s="615"/>
      <c r="G732" s="230"/>
      <c r="H732" s="230"/>
      <c r="I732" s="230"/>
      <c r="J732" s="230"/>
      <c r="K732" s="230"/>
      <c r="L732" s="228"/>
      <c r="M732" s="257"/>
      <c r="N732" s="228"/>
      <c r="O732" s="228"/>
      <c r="P732" s="258"/>
      <c r="Q732" s="2577"/>
      <c r="R732" s="2577"/>
      <c r="S732" s="254"/>
      <c r="T732" s="228"/>
      <c r="U732" s="2552"/>
      <c r="V732" s="256"/>
      <c r="W732" s="248"/>
      <c r="X732" s="248"/>
      <c r="Y732" s="248"/>
      <c r="Z732" s="247"/>
      <c r="AA732" s="248"/>
      <c r="AB732" s="248"/>
      <c r="AC732" s="194"/>
      <c r="AD732" s="249"/>
      <c r="AE732" s="250"/>
      <c r="AF732" s="251"/>
      <c r="AG732" s="252"/>
      <c r="AH732" s="241"/>
      <c r="AI732" s="241"/>
      <c r="AJ732" s="241"/>
      <c r="AK732" s="194"/>
      <c r="AL732" s="195"/>
      <c r="AM732" s="195"/>
    </row>
    <row r="733" spans="2:39">
      <c r="B733" s="253">
        <f t="shared" si="184"/>
        <v>240</v>
      </c>
      <c r="C733" s="244"/>
      <c r="D733" s="661"/>
      <c r="E733" s="466"/>
      <c r="F733" s="615"/>
      <c r="G733" s="230"/>
      <c r="H733" s="230"/>
      <c r="I733" s="230"/>
      <c r="J733" s="230"/>
      <c r="K733" s="230"/>
      <c r="L733" s="228"/>
      <c r="M733" s="257"/>
      <c r="N733" s="228"/>
      <c r="O733" s="228"/>
      <c r="P733" s="258"/>
      <c r="Q733" s="2577"/>
      <c r="R733" s="2577"/>
      <c r="S733" s="254"/>
      <c r="T733" s="228"/>
      <c r="U733" s="2552"/>
      <c r="V733" s="256"/>
      <c r="W733" s="248"/>
      <c r="X733" s="248"/>
      <c r="Y733" s="248"/>
      <c r="Z733" s="247"/>
      <c r="AA733" s="248"/>
      <c r="AB733" s="248"/>
      <c r="AC733" s="194"/>
      <c r="AD733" s="249"/>
      <c r="AE733" s="250"/>
      <c r="AF733" s="251"/>
      <c r="AG733" s="252"/>
      <c r="AH733" s="241"/>
      <c r="AI733" s="241"/>
      <c r="AJ733" s="241"/>
      <c r="AK733" s="194"/>
      <c r="AL733" s="195"/>
      <c r="AM733" s="195"/>
    </row>
    <row r="734" spans="2:39">
      <c r="B734" s="253">
        <f t="shared" si="184"/>
        <v>241</v>
      </c>
      <c r="C734" s="244"/>
      <c r="D734" s="661"/>
      <c r="E734" s="466"/>
      <c r="F734" s="615"/>
      <c r="G734" s="230"/>
      <c r="H734" s="230"/>
      <c r="I734" s="230"/>
      <c r="J734" s="230"/>
      <c r="K734" s="230"/>
      <c r="L734" s="228"/>
      <c r="M734" s="257"/>
      <c r="N734" s="228"/>
      <c r="O734" s="228"/>
      <c r="P734" s="258"/>
      <c r="Q734" s="2577"/>
      <c r="R734" s="2577"/>
      <c r="S734" s="254"/>
      <c r="T734" s="228"/>
      <c r="U734" s="2552"/>
      <c r="V734" s="256"/>
      <c r="W734" s="248"/>
      <c r="X734" s="248"/>
      <c r="Y734" s="248"/>
      <c r="Z734" s="247"/>
      <c r="AA734" s="248"/>
      <c r="AB734" s="248"/>
      <c r="AC734" s="194"/>
      <c r="AD734" s="249"/>
      <c r="AE734" s="250"/>
      <c r="AF734" s="251"/>
      <c r="AG734" s="252"/>
      <c r="AH734" s="241"/>
      <c r="AI734" s="241"/>
      <c r="AJ734" s="241"/>
      <c r="AK734" s="194"/>
      <c r="AL734" s="195"/>
      <c r="AM734" s="195"/>
    </row>
    <row r="735" spans="2:39">
      <c r="B735" s="253">
        <f t="shared" si="184"/>
        <v>242</v>
      </c>
      <c r="C735" s="244"/>
      <c r="D735" s="661"/>
      <c r="E735" s="466"/>
      <c r="F735" s="615"/>
      <c r="G735" s="230"/>
      <c r="H735" s="230"/>
      <c r="I735" s="230"/>
      <c r="J735" s="230"/>
      <c r="K735" s="230"/>
      <c r="L735" s="228"/>
      <c r="M735" s="257"/>
      <c r="N735" s="228"/>
      <c r="O735" s="228"/>
      <c r="P735" s="258"/>
      <c r="Q735" s="2577"/>
      <c r="R735" s="2577"/>
      <c r="S735" s="254"/>
      <c r="T735" s="228"/>
      <c r="U735" s="2552"/>
      <c r="V735" s="256"/>
      <c r="W735" s="248"/>
      <c r="X735" s="248"/>
      <c r="Y735" s="248"/>
      <c r="Z735" s="247"/>
      <c r="AA735" s="248"/>
      <c r="AB735" s="248"/>
      <c r="AC735" s="194"/>
      <c r="AD735" s="249"/>
      <c r="AE735" s="250"/>
      <c r="AF735" s="251"/>
      <c r="AG735" s="252"/>
      <c r="AH735" s="241"/>
      <c r="AI735" s="241"/>
      <c r="AJ735" s="241"/>
      <c r="AK735" s="194"/>
      <c r="AL735" s="195"/>
      <c r="AM735" s="195"/>
    </row>
    <row r="736" spans="2:39">
      <c r="B736" s="253">
        <f t="shared" si="184"/>
        <v>243</v>
      </c>
      <c r="C736" s="244"/>
      <c r="D736" s="661"/>
      <c r="E736" s="466"/>
      <c r="F736" s="615"/>
      <c r="G736" s="230"/>
      <c r="H736" s="230"/>
      <c r="I736" s="230"/>
      <c r="J736" s="230"/>
      <c r="K736" s="230"/>
      <c r="L736" s="228"/>
      <c r="M736" s="257"/>
      <c r="N736" s="228"/>
      <c r="O736" s="228"/>
      <c r="P736" s="258"/>
      <c r="Q736" s="2577"/>
      <c r="R736" s="2577"/>
      <c r="S736" s="254"/>
      <c r="T736" s="228"/>
      <c r="U736" s="2552"/>
      <c r="V736" s="256"/>
      <c r="W736" s="248"/>
      <c r="X736" s="248"/>
      <c r="Y736" s="248"/>
      <c r="Z736" s="247"/>
      <c r="AA736" s="248"/>
      <c r="AB736" s="248"/>
      <c r="AC736" s="194"/>
      <c r="AD736" s="249"/>
      <c r="AE736" s="250"/>
      <c r="AF736" s="251"/>
      <c r="AG736" s="252"/>
      <c r="AH736" s="241"/>
      <c r="AI736" s="241"/>
      <c r="AJ736" s="241"/>
      <c r="AK736" s="194"/>
      <c r="AL736" s="195"/>
      <c r="AM736" s="195"/>
    </row>
    <row r="737" spans="2:39">
      <c r="B737" s="253">
        <f t="shared" si="184"/>
        <v>244</v>
      </c>
      <c r="C737" s="244"/>
      <c r="D737" s="661"/>
      <c r="E737" s="466"/>
      <c r="F737" s="615"/>
      <c r="G737" s="230"/>
      <c r="H737" s="230"/>
      <c r="I737" s="230"/>
      <c r="J737" s="230"/>
      <c r="K737" s="230"/>
      <c r="L737" s="228"/>
      <c r="M737" s="257"/>
      <c r="N737" s="228"/>
      <c r="O737" s="228"/>
      <c r="P737" s="258"/>
      <c r="Q737" s="2577"/>
      <c r="R737" s="2577"/>
      <c r="S737" s="254"/>
      <c r="T737" s="228"/>
      <c r="U737" s="2552"/>
      <c r="V737" s="256"/>
      <c r="W737" s="248"/>
      <c r="X737" s="248"/>
      <c r="Y737" s="248"/>
      <c r="Z737" s="247"/>
      <c r="AA737" s="248"/>
      <c r="AB737" s="248"/>
      <c r="AC737" s="194"/>
      <c r="AD737" s="249"/>
      <c r="AE737" s="250"/>
      <c r="AF737" s="251"/>
      <c r="AG737" s="252"/>
      <c r="AH737" s="241"/>
      <c r="AI737" s="241"/>
      <c r="AJ737" s="241"/>
      <c r="AK737" s="194"/>
      <c r="AL737" s="195"/>
      <c r="AM737" s="195"/>
    </row>
    <row r="738" spans="2:39">
      <c r="B738" s="253">
        <f t="shared" si="184"/>
        <v>245</v>
      </c>
      <c r="C738" s="244"/>
      <c r="D738" s="661"/>
      <c r="E738" s="466"/>
      <c r="F738" s="615"/>
      <c r="G738" s="230"/>
      <c r="H738" s="230"/>
      <c r="I738" s="230"/>
      <c r="J738" s="230"/>
      <c r="K738" s="230"/>
      <c r="L738" s="228"/>
      <c r="M738" s="257"/>
      <c r="N738" s="228"/>
      <c r="O738" s="228"/>
      <c r="P738" s="258"/>
      <c r="Q738" s="2577"/>
      <c r="R738" s="2577"/>
      <c r="S738" s="254"/>
      <c r="T738" s="228"/>
      <c r="U738" s="2552"/>
      <c r="V738" s="256"/>
      <c r="W738" s="248"/>
      <c r="X738" s="248"/>
      <c r="Y738" s="248"/>
      <c r="Z738" s="247"/>
      <c r="AA738" s="248"/>
      <c r="AB738" s="248"/>
      <c r="AC738" s="194"/>
      <c r="AD738" s="249"/>
      <c r="AE738" s="250"/>
      <c r="AF738" s="251"/>
      <c r="AG738" s="252"/>
      <c r="AH738" s="241"/>
      <c r="AI738" s="241"/>
      <c r="AJ738" s="241"/>
      <c r="AK738" s="194"/>
      <c r="AL738" s="195"/>
      <c r="AM738" s="195"/>
    </row>
    <row r="739" spans="2:39">
      <c r="B739" s="253">
        <f t="shared" si="184"/>
        <v>246</v>
      </c>
      <c r="C739" s="244"/>
      <c r="D739" s="661"/>
      <c r="E739" s="466"/>
      <c r="F739" s="615"/>
      <c r="G739" s="230"/>
      <c r="H739" s="230"/>
      <c r="I739" s="230"/>
      <c r="J739" s="230"/>
      <c r="K739" s="230"/>
      <c r="L739" s="228"/>
      <c r="M739" s="257"/>
      <c r="N739" s="228"/>
      <c r="O739" s="228"/>
      <c r="P739" s="258"/>
      <c r="Q739" s="2577"/>
      <c r="R739" s="2577"/>
      <c r="S739" s="254"/>
      <c r="T739" s="228"/>
      <c r="U739" s="2552"/>
      <c r="V739" s="256"/>
      <c r="W739" s="248"/>
      <c r="X739" s="248"/>
      <c r="Y739" s="248"/>
      <c r="Z739" s="247"/>
      <c r="AA739" s="248"/>
      <c r="AB739" s="248"/>
      <c r="AC739" s="194"/>
      <c r="AD739" s="249"/>
      <c r="AE739" s="250"/>
      <c r="AF739" s="251"/>
      <c r="AG739" s="252"/>
      <c r="AH739" s="241"/>
      <c r="AI739" s="241"/>
      <c r="AJ739" s="241"/>
      <c r="AK739" s="194"/>
      <c r="AL739" s="195"/>
      <c r="AM739" s="195"/>
    </row>
    <row r="740" spans="2:39">
      <c r="B740" s="253">
        <f t="shared" si="184"/>
        <v>247</v>
      </c>
      <c r="C740" s="244"/>
      <c r="D740" s="661"/>
      <c r="E740" s="466"/>
      <c r="F740" s="615"/>
      <c r="G740" s="230"/>
      <c r="H740" s="230"/>
      <c r="I740" s="230"/>
      <c r="J740" s="230"/>
      <c r="K740" s="230"/>
      <c r="L740" s="228"/>
      <c r="M740" s="257"/>
      <c r="N740" s="228"/>
      <c r="O740" s="228"/>
      <c r="P740" s="258"/>
      <c r="Q740" s="2577"/>
      <c r="R740" s="2577"/>
      <c r="S740" s="254"/>
      <c r="T740" s="228"/>
      <c r="U740" s="2552"/>
      <c r="V740" s="256"/>
      <c r="W740" s="248"/>
      <c r="X740" s="248"/>
      <c r="Y740" s="248"/>
      <c r="Z740" s="247"/>
      <c r="AA740" s="248"/>
      <c r="AB740" s="248"/>
      <c r="AC740" s="194"/>
      <c r="AD740" s="249"/>
      <c r="AE740" s="250"/>
      <c r="AF740" s="251"/>
      <c r="AG740" s="252"/>
      <c r="AH740" s="241"/>
      <c r="AI740" s="241"/>
      <c r="AJ740" s="241"/>
      <c r="AK740" s="194"/>
      <c r="AL740" s="195"/>
      <c r="AM740" s="195"/>
    </row>
    <row r="741" spans="2:39">
      <c r="B741" s="253">
        <f t="shared" si="184"/>
        <v>248</v>
      </c>
      <c r="C741" s="244"/>
      <c r="D741" s="661"/>
      <c r="E741" s="466"/>
      <c r="F741" s="615"/>
      <c r="G741" s="230"/>
      <c r="H741" s="230"/>
      <c r="I741" s="230"/>
      <c r="J741" s="230"/>
      <c r="K741" s="230"/>
      <c r="L741" s="228"/>
      <c r="M741" s="257"/>
      <c r="N741" s="228"/>
      <c r="O741" s="228"/>
      <c r="P741" s="258"/>
      <c r="Q741" s="2577"/>
      <c r="R741" s="2577"/>
      <c r="S741" s="254"/>
      <c r="T741" s="228"/>
      <c r="U741" s="2552"/>
      <c r="V741" s="256"/>
      <c r="W741" s="248"/>
      <c r="X741" s="248"/>
      <c r="Y741" s="248"/>
      <c r="Z741" s="247"/>
      <c r="AA741" s="248"/>
      <c r="AB741" s="248"/>
      <c r="AC741" s="194"/>
      <c r="AD741" s="249"/>
      <c r="AE741" s="250"/>
      <c r="AF741" s="251"/>
      <c r="AG741" s="252"/>
      <c r="AH741" s="241"/>
      <c r="AI741" s="241"/>
      <c r="AJ741" s="241"/>
      <c r="AK741" s="194"/>
      <c r="AL741" s="195"/>
      <c r="AM741" s="195"/>
    </row>
    <row r="742" spans="2:39">
      <c r="B742" s="253">
        <f t="shared" si="184"/>
        <v>249</v>
      </c>
      <c r="C742" s="244"/>
      <c r="D742" s="661"/>
      <c r="E742" s="466"/>
      <c r="F742" s="615"/>
      <c r="G742" s="230"/>
      <c r="H742" s="230"/>
      <c r="I742" s="230"/>
      <c r="J742" s="230"/>
      <c r="K742" s="230"/>
      <c r="L742" s="228"/>
      <c r="M742" s="257"/>
      <c r="N742" s="228"/>
      <c r="O742" s="228"/>
      <c r="P742" s="258"/>
      <c r="Q742" s="2577"/>
      <c r="R742" s="2577"/>
      <c r="S742" s="254"/>
      <c r="T742" s="228"/>
      <c r="U742" s="2552"/>
      <c r="V742" s="256"/>
      <c r="W742" s="248"/>
      <c r="X742" s="248"/>
      <c r="Y742" s="248"/>
      <c r="Z742" s="247"/>
      <c r="AA742" s="248"/>
      <c r="AB742" s="248"/>
      <c r="AC742" s="194"/>
      <c r="AD742" s="249"/>
      <c r="AE742" s="250"/>
      <c r="AF742" s="251"/>
      <c r="AG742" s="252"/>
      <c r="AH742" s="241"/>
      <c r="AI742" s="241"/>
      <c r="AJ742" s="241"/>
      <c r="AK742" s="194"/>
      <c r="AL742" s="195"/>
      <c r="AM742" s="195"/>
    </row>
    <row r="743" spans="2:39">
      <c r="B743" s="253">
        <f t="shared" si="184"/>
        <v>250</v>
      </c>
      <c r="C743" s="244"/>
      <c r="D743" s="661"/>
      <c r="E743" s="466"/>
      <c r="F743" s="615"/>
      <c r="G743" s="230"/>
      <c r="H743" s="230"/>
      <c r="I743" s="230"/>
      <c r="J743" s="230"/>
      <c r="K743" s="230"/>
      <c r="L743" s="228"/>
      <c r="M743" s="257"/>
      <c r="N743" s="228"/>
      <c r="O743" s="228"/>
      <c r="P743" s="258"/>
      <c r="Q743" s="2577"/>
      <c r="R743" s="2577"/>
      <c r="S743" s="254"/>
      <c r="T743" s="228"/>
      <c r="U743" s="2552"/>
      <c r="V743" s="256"/>
      <c r="W743" s="248"/>
      <c r="X743" s="248"/>
      <c r="Y743" s="248"/>
      <c r="Z743" s="247"/>
      <c r="AA743" s="248"/>
      <c r="AB743" s="248"/>
      <c r="AC743" s="194"/>
      <c r="AD743" s="249"/>
      <c r="AE743" s="250"/>
      <c r="AF743" s="251"/>
      <c r="AG743" s="252"/>
      <c r="AH743" s="241"/>
      <c r="AI743" s="241"/>
      <c r="AJ743" s="241"/>
      <c r="AK743" s="194"/>
      <c r="AL743" s="195"/>
      <c r="AM743" s="195"/>
    </row>
    <row r="744" spans="2:39">
      <c r="B744" s="253">
        <f t="shared" si="184"/>
        <v>251</v>
      </c>
      <c r="C744" s="244"/>
      <c r="D744" s="661"/>
      <c r="E744" s="466"/>
      <c r="F744" s="615"/>
      <c r="G744" s="230"/>
      <c r="H744" s="230"/>
      <c r="I744" s="230"/>
      <c r="J744" s="230"/>
      <c r="K744" s="230"/>
      <c r="L744" s="228"/>
      <c r="M744" s="257"/>
      <c r="N744" s="228"/>
      <c r="O744" s="228"/>
      <c r="P744" s="258"/>
      <c r="Q744" s="2577"/>
      <c r="R744" s="2577"/>
      <c r="S744" s="254"/>
      <c r="T744" s="228"/>
      <c r="U744" s="2552"/>
      <c r="V744" s="256"/>
      <c r="W744" s="248"/>
      <c r="X744" s="248"/>
      <c r="Y744" s="248"/>
      <c r="Z744" s="247"/>
      <c r="AA744" s="248"/>
      <c r="AB744" s="248"/>
      <c r="AC744" s="194"/>
      <c r="AD744" s="249"/>
      <c r="AE744" s="250"/>
      <c r="AF744" s="251"/>
      <c r="AG744" s="252"/>
      <c r="AH744" s="241"/>
      <c r="AI744" s="241"/>
      <c r="AJ744" s="241"/>
      <c r="AK744" s="194"/>
      <c r="AL744" s="195"/>
      <c r="AM744" s="195"/>
    </row>
    <row r="745" spans="2:39">
      <c r="B745" s="253">
        <f t="shared" si="184"/>
        <v>252</v>
      </c>
      <c r="C745" s="244"/>
      <c r="D745" s="661"/>
      <c r="E745" s="466"/>
      <c r="F745" s="615"/>
      <c r="G745" s="230"/>
      <c r="H745" s="230"/>
      <c r="I745" s="230"/>
      <c r="J745" s="230"/>
      <c r="K745" s="230"/>
      <c r="L745" s="228"/>
      <c r="M745" s="257"/>
      <c r="N745" s="228"/>
      <c r="O745" s="228"/>
      <c r="P745" s="258"/>
      <c r="Q745" s="2577"/>
      <c r="R745" s="2577"/>
      <c r="S745" s="254"/>
      <c r="T745" s="228"/>
      <c r="U745" s="2552"/>
      <c r="V745" s="256"/>
      <c r="W745" s="248"/>
      <c r="X745" s="248"/>
      <c r="Y745" s="248"/>
      <c r="Z745" s="247"/>
      <c r="AA745" s="248"/>
      <c r="AB745" s="248"/>
      <c r="AC745" s="194"/>
      <c r="AD745" s="249"/>
      <c r="AE745" s="250"/>
      <c r="AF745" s="251"/>
      <c r="AG745" s="252"/>
      <c r="AH745" s="241"/>
      <c r="AI745" s="241"/>
      <c r="AJ745" s="241"/>
      <c r="AK745" s="194"/>
      <c r="AL745" s="195"/>
      <c r="AM745" s="195"/>
    </row>
    <row r="746" spans="2:39">
      <c r="B746" s="253">
        <f t="shared" si="184"/>
        <v>253</v>
      </c>
      <c r="C746" s="244"/>
      <c r="D746" s="661"/>
      <c r="E746" s="466"/>
      <c r="F746" s="615"/>
      <c r="G746" s="230"/>
      <c r="H746" s="230"/>
      <c r="I746" s="230"/>
      <c r="J746" s="230"/>
      <c r="K746" s="230"/>
      <c r="L746" s="228"/>
      <c r="M746" s="257"/>
      <c r="N746" s="228"/>
      <c r="O746" s="228"/>
      <c r="P746" s="258"/>
      <c r="Q746" s="2577"/>
      <c r="R746" s="2577"/>
      <c r="S746" s="254"/>
      <c r="T746" s="228"/>
      <c r="U746" s="2552"/>
      <c r="V746" s="256"/>
      <c r="W746" s="248"/>
      <c r="X746" s="248"/>
      <c r="Y746" s="248"/>
      <c r="Z746" s="247"/>
      <c r="AA746" s="248"/>
      <c r="AB746" s="248"/>
      <c r="AC746" s="194"/>
      <c r="AD746" s="249"/>
      <c r="AE746" s="250"/>
      <c r="AF746" s="251"/>
      <c r="AG746" s="252"/>
      <c r="AH746" s="241"/>
      <c r="AI746" s="241"/>
      <c r="AJ746" s="241"/>
      <c r="AK746" s="194"/>
      <c r="AL746" s="195"/>
      <c r="AM746" s="195"/>
    </row>
    <row r="747" spans="2:39">
      <c r="B747" s="253">
        <f t="shared" si="184"/>
        <v>254</v>
      </c>
      <c r="C747" s="244"/>
      <c r="D747" s="661"/>
      <c r="E747" s="466"/>
      <c r="F747" s="615"/>
      <c r="G747" s="230"/>
      <c r="H747" s="230"/>
      <c r="I747" s="230"/>
      <c r="J747" s="230"/>
      <c r="K747" s="230"/>
      <c r="L747" s="228"/>
      <c r="M747" s="257"/>
      <c r="N747" s="228"/>
      <c r="O747" s="228"/>
      <c r="P747" s="258"/>
      <c r="Q747" s="2577"/>
      <c r="R747" s="2577"/>
      <c r="S747" s="254"/>
      <c r="T747" s="228"/>
      <c r="U747" s="2552"/>
      <c r="V747" s="256"/>
      <c r="W747" s="248"/>
      <c r="X747" s="248"/>
      <c r="Y747" s="248"/>
      <c r="Z747" s="247"/>
      <c r="AA747" s="248"/>
      <c r="AB747" s="248"/>
      <c r="AC747" s="194"/>
      <c r="AD747" s="249"/>
      <c r="AE747" s="250"/>
      <c r="AF747" s="251"/>
      <c r="AG747" s="252"/>
      <c r="AH747" s="241"/>
      <c r="AI747" s="241"/>
      <c r="AJ747" s="241"/>
      <c r="AK747" s="194"/>
      <c r="AL747" s="195"/>
      <c r="AM747" s="195"/>
    </row>
  </sheetData>
  <autoFilter ref="A3:AN301"/>
  <mergeCells count="27">
    <mergeCell ref="B493:L493"/>
    <mergeCell ref="B468:L468"/>
    <mergeCell ref="B1:S1"/>
    <mergeCell ref="AM150:AM160"/>
    <mergeCell ref="AE15:AE16"/>
    <mergeCell ref="AF15:AF16"/>
    <mergeCell ref="AM115:AM133"/>
    <mergeCell ref="AM55:AM75"/>
    <mergeCell ref="AH15:AH16"/>
    <mergeCell ref="AD15:AD16"/>
    <mergeCell ref="O15:O16"/>
    <mergeCell ref="B489:L489"/>
    <mergeCell ref="B284:L284"/>
    <mergeCell ref="B460:L460"/>
    <mergeCell ref="B386:L386"/>
    <mergeCell ref="B375:L375"/>
    <mergeCell ref="B358:L358"/>
    <mergeCell ref="B480:L480"/>
    <mergeCell ref="B345:L345"/>
    <mergeCell ref="B313:L313"/>
    <mergeCell ref="B325:L325"/>
    <mergeCell ref="B453:L453"/>
    <mergeCell ref="B450:L450"/>
    <mergeCell ref="B439:L439"/>
    <mergeCell ref="B430:L430"/>
    <mergeCell ref="B413:L413"/>
    <mergeCell ref="B473:L473"/>
  </mergeCells>
  <phoneticPr fontId="49" type="noConversion"/>
  <conditionalFormatting sqref="O244">
    <cfRule type="duplicateValues" dxfId="210" priority="258"/>
  </conditionalFormatting>
  <conditionalFormatting sqref="O266">
    <cfRule type="duplicateValues" dxfId="209" priority="241"/>
  </conditionalFormatting>
  <conditionalFormatting sqref="E280:E282">
    <cfRule type="duplicateValues" dxfId="208" priority="239"/>
  </conditionalFormatting>
  <conditionalFormatting sqref="E283">
    <cfRule type="duplicateValues" dxfId="207" priority="237"/>
  </conditionalFormatting>
  <conditionalFormatting sqref="O284">
    <cfRule type="duplicateValues" dxfId="206" priority="236"/>
  </conditionalFormatting>
  <conditionalFormatting sqref="E285:E287">
    <cfRule type="duplicateValues" dxfId="205" priority="234"/>
  </conditionalFormatting>
  <conditionalFormatting sqref="E290">
    <cfRule type="duplicateValues" dxfId="204" priority="232"/>
  </conditionalFormatting>
  <conditionalFormatting sqref="E298 E292:E296">
    <cfRule type="duplicateValues" dxfId="203" priority="324"/>
  </conditionalFormatting>
  <conditionalFormatting sqref="O248">
    <cfRule type="duplicateValues" dxfId="202" priority="325"/>
  </conditionalFormatting>
  <conditionalFormatting sqref="O292">
    <cfRule type="duplicateValues" dxfId="201" priority="327"/>
  </conditionalFormatting>
  <conditionalFormatting sqref="O290">
    <cfRule type="duplicateValues" dxfId="200" priority="329"/>
  </conditionalFormatting>
  <conditionalFormatting sqref="E299">
    <cfRule type="duplicateValues" dxfId="199" priority="225"/>
  </conditionalFormatting>
  <conditionalFormatting sqref="E300:E302">
    <cfRule type="duplicateValues" dxfId="198" priority="224"/>
  </conditionalFormatting>
  <conditionalFormatting sqref="E305">
    <cfRule type="duplicateValues" dxfId="197" priority="223"/>
  </conditionalFormatting>
  <conditionalFormatting sqref="E307">
    <cfRule type="duplicateValues" dxfId="196" priority="222"/>
  </conditionalFormatting>
  <conditionalFormatting sqref="E309">
    <cfRule type="duplicateValues" dxfId="195" priority="221"/>
  </conditionalFormatting>
  <conditionalFormatting sqref="E310:E312">
    <cfRule type="duplicateValues" dxfId="194" priority="220"/>
  </conditionalFormatting>
  <conditionalFormatting sqref="O313">
    <cfRule type="duplicateValues" dxfId="193" priority="219"/>
  </conditionalFormatting>
  <conditionalFormatting sqref="E314">
    <cfRule type="duplicateValues" dxfId="192" priority="218"/>
  </conditionalFormatting>
  <conditionalFormatting sqref="E316">
    <cfRule type="duplicateValues" dxfId="191" priority="217"/>
  </conditionalFormatting>
  <conditionalFormatting sqref="O320">
    <cfRule type="duplicateValues" dxfId="190" priority="213"/>
  </conditionalFormatting>
  <conditionalFormatting sqref="O320">
    <cfRule type="duplicateValues" dxfId="189" priority="214"/>
  </conditionalFormatting>
  <conditionalFormatting sqref="E303:E304 E291 E231:E265 E267:E279 E288:E289 E297 E306 E308 E315 E317:E324 E326:E328">
    <cfRule type="duplicateValues" dxfId="188" priority="359"/>
  </conditionalFormatting>
  <conditionalFormatting sqref="O315">
    <cfRule type="duplicateValues" dxfId="187" priority="211"/>
  </conditionalFormatting>
  <conditionalFormatting sqref="O315">
    <cfRule type="duplicateValues" dxfId="186" priority="212"/>
  </conditionalFormatting>
  <conditionalFormatting sqref="G322">
    <cfRule type="duplicateValues" dxfId="185" priority="205"/>
  </conditionalFormatting>
  <conditionalFormatting sqref="R323 O323">
    <cfRule type="duplicateValues" dxfId="184" priority="203"/>
  </conditionalFormatting>
  <conditionalFormatting sqref="R323:R324 O323">
    <cfRule type="duplicateValues" dxfId="183" priority="204"/>
  </conditionalFormatting>
  <conditionalFormatting sqref="O325">
    <cfRule type="duplicateValues" dxfId="182" priority="202"/>
  </conditionalFormatting>
  <conditionalFormatting sqref="E329">
    <cfRule type="duplicateValues" dxfId="181" priority="201"/>
  </conditionalFormatting>
  <conditionalFormatting sqref="E331">
    <cfRule type="duplicateValues" dxfId="180" priority="200"/>
  </conditionalFormatting>
  <conditionalFormatting sqref="E330">
    <cfRule type="duplicateValues" dxfId="179" priority="199"/>
  </conditionalFormatting>
  <conditionalFormatting sqref="E335">
    <cfRule type="duplicateValues" dxfId="178" priority="198"/>
  </conditionalFormatting>
  <conditionalFormatting sqref="E334">
    <cfRule type="duplicateValues" dxfId="177" priority="197"/>
  </conditionalFormatting>
  <conditionalFormatting sqref="E333">
    <cfRule type="duplicateValues" dxfId="176" priority="196"/>
  </conditionalFormatting>
  <conditionalFormatting sqref="E337">
    <cfRule type="duplicateValues" dxfId="175" priority="195"/>
  </conditionalFormatting>
  <conditionalFormatting sqref="E338">
    <cfRule type="duplicateValues" dxfId="174" priority="194"/>
  </conditionalFormatting>
  <conditionalFormatting sqref="O339:O340">
    <cfRule type="duplicateValues" dxfId="173" priority="192"/>
  </conditionalFormatting>
  <conditionalFormatting sqref="O345">
    <cfRule type="duplicateValues" dxfId="172" priority="191"/>
  </conditionalFormatting>
  <conditionalFormatting sqref="E342:E344">
    <cfRule type="duplicateValues" dxfId="171" priority="420"/>
  </conditionalFormatting>
  <conditionalFormatting sqref="E346:E348">
    <cfRule type="duplicateValues" dxfId="170" priority="189"/>
  </conditionalFormatting>
  <conditionalFormatting sqref="E350:E352">
    <cfRule type="duplicateValues" dxfId="169" priority="188"/>
  </conditionalFormatting>
  <conditionalFormatting sqref="O358">
    <cfRule type="duplicateValues" dxfId="168" priority="187"/>
  </conditionalFormatting>
  <conditionalFormatting sqref="E354">
    <cfRule type="duplicateValues" dxfId="167" priority="186"/>
  </conditionalFormatting>
  <conditionalFormatting sqref="E355">
    <cfRule type="duplicateValues" dxfId="166" priority="185"/>
  </conditionalFormatting>
  <conditionalFormatting sqref="E359:E360">
    <cfRule type="duplicateValues" dxfId="165" priority="181"/>
  </conditionalFormatting>
  <conditionalFormatting sqref="E361">
    <cfRule type="duplicateValues" dxfId="164" priority="180"/>
  </conditionalFormatting>
  <conditionalFormatting sqref="E362">
    <cfRule type="duplicateValues" dxfId="163" priority="179"/>
  </conditionalFormatting>
  <conditionalFormatting sqref="E363">
    <cfRule type="duplicateValues" dxfId="162" priority="178"/>
  </conditionalFormatting>
  <conditionalFormatting sqref="E365">
    <cfRule type="duplicateValues" dxfId="161" priority="177"/>
  </conditionalFormatting>
  <conditionalFormatting sqref="O365">
    <cfRule type="duplicateValues" dxfId="160" priority="175"/>
  </conditionalFormatting>
  <conditionalFormatting sqref="O365">
    <cfRule type="duplicateValues" dxfId="159" priority="176"/>
  </conditionalFormatting>
  <conditionalFormatting sqref="E366">
    <cfRule type="duplicateValues" dxfId="158" priority="174"/>
  </conditionalFormatting>
  <conditionalFormatting sqref="E367:E368">
    <cfRule type="duplicateValues" dxfId="157" priority="173"/>
  </conditionalFormatting>
  <conditionalFormatting sqref="O369:O370">
    <cfRule type="duplicateValues" dxfId="156" priority="171"/>
  </conditionalFormatting>
  <conditionalFormatting sqref="O369:O370">
    <cfRule type="duplicateValues" dxfId="155" priority="172"/>
  </conditionalFormatting>
  <conditionalFormatting sqref="E369">
    <cfRule type="duplicateValues" dxfId="154" priority="170"/>
  </conditionalFormatting>
  <conditionalFormatting sqref="O375">
    <cfRule type="duplicateValues" dxfId="153" priority="169"/>
  </conditionalFormatting>
  <conditionalFormatting sqref="E371:E372">
    <cfRule type="duplicateValues" dxfId="152" priority="168"/>
  </conditionalFormatting>
  <conditionalFormatting sqref="O371:O372">
    <cfRule type="duplicateValues" dxfId="151" priority="166"/>
  </conditionalFormatting>
  <conditionalFormatting sqref="O371:O372">
    <cfRule type="duplicateValues" dxfId="150" priority="167"/>
  </conditionalFormatting>
  <conditionalFormatting sqref="O374">
    <cfRule type="duplicateValues" dxfId="149" priority="164"/>
  </conditionalFormatting>
  <conditionalFormatting sqref="O377">
    <cfRule type="duplicateValues" dxfId="148" priority="157"/>
  </conditionalFormatting>
  <conditionalFormatting sqref="O376">
    <cfRule type="duplicateValues" dxfId="147" priority="156"/>
  </conditionalFormatting>
  <conditionalFormatting sqref="E376:E377">
    <cfRule type="duplicateValues" dxfId="146" priority="154"/>
  </conditionalFormatting>
  <conditionalFormatting sqref="E378">
    <cfRule type="duplicateValues" dxfId="145" priority="149"/>
  </conditionalFormatting>
  <conditionalFormatting sqref="E379">
    <cfRule type="duplicateValues" dxfId="144" priority="147"/>
  </conditionalFormatting>
  <conditionalFormatting sqref="O378:O379">
    <cfRule type="duplicateValues" dxfId="143" priority="145"/>
  </conditionalFormatting>
  <conditionalFormatting sqref="O380">
    <cfRule type="duplicateValues" dxfId="142" priority="140"/>
  </conditionalFormatting>
  <conditionalFormatting sqref="E380">
    <cfRule type="duplicateValues" dxfId="141" priority="139"/>
  </conditionalFormatting>
  <conditionalFormatting sqref="E381">
    <cfRule type="duplicateValues" dxfId="140" priority="137"/>
  </conditionalFormatting>
  <conditionalFormatting sqref="O381">
    <cfRule type="duplicateValues" dxfId="139" priority="135"/>
  </conditionalFormatting>
  <conditionalFormatting sqref="E382">
    <cfRule type="duplicateValues" dxfId="138" priority="134"/>
  </conditionalFormatting>
  <conditionalFormatting sqref="O382">
    <cfRule type="duplicateValues" dxfId="137" priority="132"/>
  </conditionalFormatting>
  <conditionalFormatting sqref="E383 E385">
    <cfRule type="duplicateValues" dxfId="136" priority="131"/>
  </conditionalFormatting>
  <conditionalFormatting sqref="O383 O385">
    <cfRule type="duplicateValues" dxfId="135" priority="130"/>
  </conditionalFormatting>
  <conditionalFormatting sqref="O386">
    <cfRule type="duplicateValues" dxfId="134" priority="129"/>
  </conditionalFormatting>
  <conditionalFormatting sqref="O384">
    <cfRule type="duplicateValues" dxfId="133" priority="128"/>
  </conditionalFormatting>
  <conditionalFormatting sqref="E384">
    <cfRule type="duplicateValues" dxfId="132" priority="127"/>
  </conditionalFormatting>
  <conditionalFormatting sqref="O388">
    <cfRule type="duplicateValues" dxfId="131" priority="126"/>
  </conditionalFormatting>
  <conditionalFormatting sqref="E388">
    <cfRule type="duplicateValues" dxfId="130" priority="125"/>
  </conditionalFormatting>
  <conditionalFormatting sqref="E387">
    <cfRule type="duplicateValues" dxfId="129" priority="124"/>
  </conditionalFormatting>
  <conditionalFormatting sqref="O387">
    <cfRule type="duplicateValues" dxfId="128" priority="123"/>
  </conditionalFormatting>
  <conditionalFormatting sqref="E389:E390">
    <cfRule type="duplicateValues" dxfId="127" priority="122"/>
  </conditionalFormatting>
  <conditionalFormatting sqref="O389">
    <cfRule type="duplicateValues" dxfId="126" priority="121"/>
  </conditionalFormatting>
  <conditionalFormatting sqref="O390">
    <cfRule type="duplicateValues" dxfId="125" priority="120"/>
  </conditionalFormatting>
  <conditionalFormatting sqref="E391">
    <cfRule type="duplicateValues" dxfId="124" priority="119"/>
  </conditionalFormatting>
  <conditionalFormatting sqref="E392">
    <cfRule type="duplicateValues" dxfId="123" priority="116"/>
  </conditionalFormatting>
  <conditionalFormatting sqref="E393">
    <cfRule type="duplicateValues" dxfId="122" priority="115"/>
  </conditionalFormatting>
  <conditionalFormatting sqref="E394">
    <cfRule type="duplicateValues" dxfId="121" priority="112"/>
  </conditionalFormatting>
  <conditionalFormatting sqref="E395">
    <cfRule type="duplicateValues" dxfId="120" priority="111"/>
  </conditionalFormatting>
  <conditionalFormatting sqref="E397:E398">
    <cfRule type="duplicateValues" dxfId="119" priority="110"/>
  </conditionalFormatting>
  <conditionalFormatting sqref="E399:E402">
    <cfRule type="duplicateValues" dxfId="118" priority="109"/>
  </conditionalFormatting>
  <conditionalFormatting sqref="O399:O400">
    <cfRule type="duplicateValues" dxfId="117" priority="107"/>
  </conditionalFormatting>
  <conditionalFormatting sqref="O399:O400">
    <cfRule type="duplicateValues" dxfId="116" priority="108"/>
  </conditionalFormatting>
  <conditionalFormatting sqref="O401:O402">
    <cfRule type="duplicateValues" dxfId="115" priority="105"/>
  </conditionalFormatting>
  <conditionalFormatting sqref="O401:O402">
    <cfRule type="duplicateValues" dxfId="114" priority="106"/>
  </conditionalFormatting>
  <conditionalFormatting sqref="E403">
    <cfRule type="duplicateValues" dxfId="113" priority="104"/>
  </conditionalFormatting>
  <conditionalFormatting sqref="O403">
    <cfRule type="duplicateValues" dxfId="112" priority="102"/>
  </conditionalFormatting>
  <conditionalFormatting sqref="O403">
    <cfRule type="duplicateValues" dxfId="111" priority="103"/>
  </conditionalFormatting>
  <conditionalFormatting sqref="E404">
    <cfRule type="duplicateValues" dxfId="110" priority="101"/>
  </conditionalFormatting>
  <conditionalFormatting sqref="O404">
    <cfRule type="duplicateValues" dxfId="109" priority="99"/>
  </conditionalFormatting>
  <conditionalFormatting sqref="O404">
    <cfRule type="duplicateValues" dxfId="108" priority="100"/>
  </conditionalFormatting>
  <conditionalFormatting sqref="O405">
    <cfRule type="duplicateValues" dxfId="107" priority="97"/>
  </conditionalFormatting>
  <conditionalFormatting sqref="O405">
    <cfRule type="duplicateValues" dxfId="106" priority="98"/>
  </conditionalFormatting>
  <conditionalFormatting sqref="E405">
    <cfRule type="duplicateValues" dxfId="105" priority="96"/>
  </conditionalFormatting>
  <conditionalFormatting sqref="O406">
    <cfRule type="duplicateValues" dxfId="104" priority="94"/>
  </conditionalFormatting>
  <conditionalFormatting sqref="O406">
    <cfRule type="duplicateValues" dxfId="103" priority="95"/>
  </conditionalFormatting>
  <conditionalFormatting sqref="E406">
    <cfRule type="duplicateValues" dxfId="102" priority="93"/>
  </conditionalFormatting>
  <conditionalFormatting sqref="O407">
    <cfRule type="duplicateValues" dxfId="101" priority="91"/>
  </conditionalFormatting>
  <conditionalFormatting sqref="O407">
    <cfRule type="duplicateValues" dxfId="100" priority="92"/>
  </conditionalFormatting>
  <conditionalFormatting sqref="E407">
    <cfRule type="duplicateValues" dxfId="99" priority="90"/>
  </conditionalFormatting>
  <conditionalFormatting sqref="O413">
    <cfRule type="duplicateValues" dxfId="98" priority="605"/>
  </conditionalFormatting>
  <conditionalFormatting sqref="O408">
    <cfRule type="duplicateValues" dxfId="97" priority="87"/>
  </conditionalFormatting>
  <conditionalFormatting sqref="O408">
    <cfRule type="duplicateValues" dxfId="96" priority="88"/>
  </conditionalFormatting>
  <conditionalFormatting sqref="E408">
    <cfRule type="duplicateValues" dxfId="95" priority="86"/>
  </conditionalFormatting>
  <conditionalFormatting sqref="E409">
    <cfRule type="duplicateValues" dxfId="94" priority="85"/>
  </conditionalFormatting>
  <conditionalFormatting sqref="O409">
    <cfRule type="duplicateValues" dxfId="93" priority="83"/>
  </conditionalFormatting>
  <conditionalFormatting sqref="O409">
    <cfRule type="duplicateValues" dxfId="92" priority="84"/>
  </conditionalFormatting>
  <conditionalFormatting sqref="E410">
    <cfRule type="duplicateValues" dxfId="91" priority="82"/>
  </conditionalFormatting>
  <conditionalFormatting sqref="E411">
    <cfRule type="duplicateValues" dxfId="90" priority="81"/>
  </conditionalFormatting>
  <conditionalFormatting sqref="E414">
    <cfRule type="duplicateValues" dxfId="89" priority="80"/>
  </conditionalFormatting>
  <conditionalFormatting sqref="E415">
    <cfRule type="duplicateValues" dxfId="88" priority="79"/>
  </conditionalFormatting>
  <conditionalFormatting sqref="E416:E419">
    <cfRule type="duplicateValues" dxfId="87" priority="77"/>
  </conditionalFormatting>
  <conditionalFormatting sqref="E420">
    <cfRule type="duplicateValues" dxfId="86" priority="76"/>
  </conditionalFormatting>
  <conditionalFormatting sqref="E421">
    <cfRule type="duplicateValues" dxfId="85" priority="75"/>
  </conditionalFormatting>
  <conditionalFormatting sqref="E422">
    <cfRule type="duplicateValues" dxfId="84" priority="74"/>
  </conditionalFormatting>
  <conditionalFormatting sqref="E423">
    <cfRule type="duplicateValues" dxfId="83" priority="73"/>
  </conditionalFormatting>
  <conditionalFormatting sqref="E425">
    <cfRule type="duplicateValues" dxfId="82" priority="72"/>
  </conditionalFormatting>
  <conditionalFormatting sqref="E424">
    <cfRule type="duplicateValues" dxfId="81" priority="71"/>
  </conditionalFormatting>
  <conditionalFormatting sqref="E426">
    <cfRule type="duplicateValues" dxfId="80" priority="70"/>
  </conditionalFormatting>
  <conditionalFormatting sqref="E427">
    <cfRule type="duplicateValues" dxfId="79" priority="69"/>
  </conditionalFormatting>
  <conditionalFormatting sqref="E428">
    <cfRule type="duplicateValues" dxfId="78" priority="68"/>
  </conditionalFormatting>
  <conditionalFormatting sqref="E429">
    <cfRule type="duplicateValues" dxfId="77" priority="67"/>
  </conditionalFormatting>
  <conditionalFormatting sqref="O430">
    <cfRule type="duplicateValues" dxfId="76" priority="66"/>
  </conditionalFormatting>
  <conditionalFormatting sqref="E431">
    <cfRule type="duplicateValues" dxfId="75" priority="65"/>
  </conditionalFormatting>
  <conditionalFormatting sqref="E434">
    <cfRule type="duplicateValues" dxfId="74" priority="64"/>
  </conditionalFormatting>
  <conditionalFormatting sqref="E435">
    <cfRule type="duplicateValues" dxfId="73" priority="63"/>
  </conditionalFormatting>
  <conditionalFormatting sqref="E436:E437">
    <cfRule type="duplicateValues" dxfId="72" priority="62"/>
  </conditionalFormatting>
  <conditionalFormatting sqref="E438:F438">
    <cfRule type="duplicateValues" dxfId="71" priority="61"/>
  </conditionalFormatting>
  <conditionalFormatting sqref="O439">
    <cfRule type="duplicateValues" dxfId="70" priority="60"/>
  </conditionalFormatting>
  <conditionalFormatting sqref="E440">
    <cfRule type="duplicateValues" dxfId="69" priority="59"/>
  </conditionalFormatting>
  <conditionalFormatting sqref="E441">
    <cfRule type="duplicateValues" dxfId="68" priority="58"/>
  </conditionalFormatting>
  <conditionalFormatting sqref="E442">
    <cfRule type="duplicateValues" dxfId="67" priority="57"/>
  </conditionalFormatting>
  <conditionalFormatting sqref="E443">
    <cfRule type="duplicateValues" dxfId="66" priority="54"/>
  </conditionalFormatting>
  <conditionalFormatting sqref="E444:E446">
    <cfRule type="duplicateValues" dxfId="65" priority="53"/>
  </conditionalFormatting>
  <conditionalFormatting sqref="E447">
    <cfRule type="duplicateValues" dxfId="64" priority="52"/>
  </conditionalFormatting>
  <conditionalFormatting sqref="E448">
    <cfRule type="duplicateValues" dxfId="63" priority="51"/>
  </conditionalFormatting>
  <conditionalFormatting sqref="E449">
    <cfRule type="duplicateValues" dxfId="62" priority="50"/>
  </conditionalFormatting>
  <conditionalFormatting sqref="O450">
    <cfRule type="duplicateValues" dxfId="61" priority="49"/>
  </conditionalFormatting>
  <conditionalFormatting sqref="E451">
    <cfRule type="duplicateValues" dxfId="60" priority="48"/>
  </conditionalFormatting>
  <conditionalFormatting sqref="E452">
    <cfRule type="duplicateValues" dxfId="59" priority="46"/>
  </conditionalFormatting>
  <conditionalFormatting sqref="O453">
    <cfRule type="duplicateValues" dxfId="58" priority="45"/>
  </conditionalFormatting>
  <conditionalFormatting sqref="E454">
    <cfRule type="duplicateValues" dxfId="57" priority="44"/>
  </conditionalFormatting>
  <conditionalFormatting sqref="E455">
    <cfRule type="duplicateValues" dxfId="56" priority="43"/>
  </conditionalFormatting>
  <conditionalFormatting sqref="E456">
    <cfRule type="duplicateValues" dxfId="55" priority="42"/>
  </conditionalFormatting>
  <conditionalFormatting sqref="E457">
    <cfRule type="duplicateValues" dxfId="54" priority="41"/>
  </conditionalFormatting>
  <conditionalFormatting sqref="E458">
    <cfRule type="duplicateValues" dxfId="53" priority="40"/>
  </conditionalFormatting>
  <conditionalFormatting sqref="O460">
    <cfRule type="duplicateValues" dxfId="52" priority="39"/>
  </conditionalFormatting>
  <conditionalFormatting sqref="E459">
    <cfRule type="duplicateValues" dxfId="51" priority="38"/>
  </conditionalFormatting>
  <conditionalFormatting sqref="E461">
    <cfRule type="duplicateValues" dxfId="50" priority="37"/>
  </conditionalFormatting>
  <conditionalFormatting sqref="E462">
    <cfRule type="duplicateValues" dxfId="49" priority="36"/>
  </conditionalFormatting>
  <conditionalFormatting sqref="E463">
    <cfRule type="duplicateValues" dxfId="48" priority="35"/>
  </conditionalFormatting>
  <conditionalFormatting sqref="E464">
    <cfRule type="duplicateValues" dxfId="47" priority="34"/>
  </conditionalFormatting>
  <conditionalFormatting sqref="E465">
    <cfRule type="duplicateValues" dxfId="46" priority="33"/>
  </conditionalFormatting>
  <conditionalFormatting sqref="E466">
    <cfRule type="duplicateValues" dxfId="45" priority="32"/>
  </conditionalFormatting>
  <conditionalFormatting sqref="O468">
    <cfRule type="duplicateValues" dxfId="44" priority="31"/>
  </conditionalFormatting>
  <conditionalFormatting sqref="E467">
    <cfRule type="duplicateValues" dxfId="43" priority="30"/>
  </conditionalFormatting>
  <conditionalFormatting sqref="E469">
    <cfRule type="duplicateValues" dxfId="42" priority="29"/>
  </conditionalFormatting>
  <conditionalFormatting sqref="E470">
    <cfRule type="duplicateValues" dxfId="41" priority="28"/>
  </conditionalFormatting>
  <conditionalFormatting sqref="O471">
    <cfRule type="duplicateValues" dxfId="40" priority="26"/>
  </conditionalFormatting>
  <conditionalFormatting sqref="O471">
    <cfRule type="duplicateValues" dxfId="39" priority="27"/>
  </conditionalFormatting>
  <conditionalFormatting sqref="E471">
    <cfRule type="duplicateValues" dxfId="38" priority="25"/>
  </conditionalFormatting>
  <conditionalFormatting sqref="E472">
    <cfRule type="duplicateValues" dxfId="37" priority="24"/>
  </conditionalFormatting>
  <conditionalFormatting sqref="O473">
    <cfRule type="duplicateValues" dxfId="36" priority="23"/>
  </conditionalFormatting>
  <conditionalFormatting sqref="E474">
    <cfRule type="duplicateValues" dxfId="35" priority="22"/>
  </conditionalFormatting>
  <conditionalFormatting sqref="O366:O368 G364 O341:O344 O321:O322 O245:O247 O231:O243 O249:O265 O267:O283 O285:O289 O293:O312 O291 O314 O316:O319 O324 O329:O337 O346:O357 O360:O363 O391:O398 O410:O412 O414:O429 O431:O438 O440:O449 O451:O452 O454:O459 O461:O467 O469:O470 O472 O474:O479 O481:O488 O490:O492 O494:O747">
    <cfRule type="duplicateValues" dxfId="34" priority="692"/>
  </conditionalFormatting>
  <conditionalFormatting sqref="O366:O368 G364 O341:O344 O321:O322 O245:O247 O203:O243 O249:O265 O267:O283 O285:O289 O293:O312 O291 O314 O316:O319 O324 O329:O337 O346:O357 O360:O363 O391:O398 O410:O412 O414:O429 O431:O438 O440:O449 O451:O452 O454:O459 O461:O467 O469:O470 O472 O474:O479 O481:O488 O490:O492 O494:O747">
    <cfRule type="duplicateValues" dxfId="33" priority="721"/>
  </conditionalFormatting>
  <conditionalFormatting sqref="E396 E303:E304 E291 E233:E265 E267:E279 E288:E289 E297 E306 E308 E315 E317:E324 E326:E340 E342:E344 E346:E357 E359:E374 E412 E432:E433 E501:E747">
    <cfRule type="duplicateValues" dxfId="32" priority="750"/>
  </conditionalFormatting>
  <conditionalFormatting sqref="E475">
    <cfRule type="duplicateValues" dxfId="31" priority="21"/>
  </conditionalFormatting>
  <conditionalFormatting sqref="E476">
    <cfRule type="duplicateValues" dxfId="30" priority="20"/>
  </conditionalFormatting>
  <conditionalFormatting sqref="E477">
    <cfRule type="duplicateValues" dxfId="29" priority="19"/>
  </conditionalFormatting>
  <conditionalFormatting sqref="E478">
    <cfRule type="duplicateValues" dxfId="28" priority="18"/>
  </conditionalFormatting>
  <conditionalFormatting sqref="E479">
    <cfRule type="duplicateValues" dxfId="27" priority="17"/>
  </conditionalFormatting>
  <conditionalFormatting sqref="O480">
    <cfRule type="duplicateValues" dxfId="26" priority="16"/>
  </conditionalFormatting>
  <conditionalFormatting sqref="E481">
    <cfRule type="duplicateValues" dxfId="25" priority="15"/>
  </conditionalFormatting>
  <conditionalFormatting sqref="E482:E484">
    <cfRule type="duplicateValues" dxfId="24" priority="13"/>
  </conditionalFormatting>
  <conditionalFormatting sqref="E485">
    <cfRule type="duplicateValues" dxfId="23" priority="12"/>
  </conditionalFormatting>
  <conditionalFormatting sqref="E486">
    <cfRule type="duplicateValues" dxfId="22" priority="11"/>
  </conditionalFormatting>
  <conditionalFormatting sqref="E487:E488">
    <cfRule type="duplicateValues" dxfId="21" priority="10"/>
  </conditionalFormatting>
  <conditionalFormatting sqref="O489">
    <cfRule type="duplicateValues" dxfId="20" priority="9"/>
  </conditionalFormatting>
  <conditionalFormatting sqref="E490">
    <cfRule type="duplicateValues" dxfId="19" priority="8"/>
  </conditionalFormatting>
  <conditionalFormatting sqref="E491">
    <cfRule type="duplicateValues" dxfId="18" priority="7"/>
  </conditionalFormatting>
  <conditionalFormatting sqref="E492">
    <cfRule type="duplicateValues" dxfId="17" priority="6"/>
  </conditionalFormatting>
  <conditionalFormatting sqref="O493">
    <cfRule type="duplicateValues" dxfId="16" priority="5"/>
  </conditionalFormatting>
  <conditionalFormatting sqref="E494:E496">
    <cfRule type="duplicateValues" dxfId="15" priority="4"/>
  </conditionalFormatting>
  <conditionalFormatting sqref="E497:E498">
    <cfRule type="duplicateValues" dxfId="14" priority="3"/>
  </conditionalFormatting>
  <conditionalFormatting sqref="E500">
    <cfRule type="duplicateValues" dxfId="13" priority="2"/>
  </conditionalFormatting>
  <conditionalFormatting sqref="E499">
    <cfRule type="duplicateValues" dxfId="12" priority="1"/>
  </conditionalFormatting>
  <hyperlinks>
    <hyperlink ref="G4" r:id="rId1" display="javascript:void(0)"/>
    <hyperlink ref="E4" r:id="rId2" display="javascript:void(0)"/>
    <hyperlink ref="G7" r:id="rId3" display="javascript:void(0)"/>
    <hyperlink ref="E20" r:id="rId4" display="javascript:void(0)"/>
    <hyperlink ref="G52" r:id="rId5" display="javascript:void(0)"/>
    <hyperlink ref="G106" r:id="rId6" display="javascript:void(0)"/>
    <hyperlink ref="G115" r:id="rId7" display="javascript:void(0)"/>
  </hyperlinks>
  <pageMargins left="0.7" right="0.7" top="0.75" bottom="0.75" header="0.3" footer="0.3"/>
  <pageSetup paperSize="9" orientation="portrait" r:id="rId8"/>
  <legacy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6"/>
  <sheetViews>
    <sheetView topLeftCell="A159" zoomScaleNormal="100" workbookViewId="0">
      <selection activeCell="P169" sqref="P169:P173"/>
    </sheetView>
  </sheetViews>
  <sheetFormatPr defaultColWidth="10.33203125" defaultRowHeight="13.2"/>
  <cols>
    <col min="1" max="1" width="7" style="1599" customWidth="1"/>
    <col min="2" max="2" width="14.33203125" style="1647" customWidth="1"/>
    <col min="3" max="3" width="21" style="2288" customWidth="1"/>
    <col min="4" max="4" width="12" style="1919" customWidth="1"/>
    <col min="5" max="5" width="14.6640625" style="2039" customWidth="1"/>
    <col min="6" max="6" width="7.33203125" style="2039" customWidth="1"/>
    <col min="7" max="7" width="5.109375" style="2807" customWidth="1"/>
    <col min="8" max="8" width="5" style="1647" customWidth="1"/>
    <col min="9" max="9" width="5.44140625" style="1647" customWidth="1"/>
    <col min="10" max="10" width="9.44140625" style="3189" customWidth="1"/>
    <col min="11" max="11" width="17.109375" style="3168" customWidth="1"/>
    <col min="12" max="12" width="12.5546875" style="3190" customWidth="1"/>
    <col min="13" max="13" width="5.88671875" style="3169" customWidth="1"/>
    <col min="14" max="14" width="18.6640625" style="3191" customWidth="1"/>
    <col min="15" max="15" width="12.6640625" style="1824" customWidth="1"/>
    <col min="16" max="17" width="18.44140625" style="3170" customWidth="1"/>
    <col min="18" max="18" width="13.5546875" style="1824" customWidth="1"/>
    <col min="19" max="19" width="11" style="1824" customWidth="1"/>
    <col min="20" max="20" width="13.33203125" style="1647" customWidth="1"/>
    <col min="21" max="21" width="12.6640625" style="1555" customWidth="1"/>
    <col min="22" max="22" width="13.109375" style="1555" customWidth="1"/>
    <col min="23" max="23" width="13" style="1555" customWidth="1"/>
    <col min="24" max="24" width="11.88671875" style="1555" customWidth="1"/>
    <col min="25" max="26" width="15.33203125" style="2422" customWidth="1"/>
    <col min="27" max="27" width="11.88671875" style="1555" customWidth="1"/>
    <col min="28" max="28" width="19.44140625" style="1555" customWidth="1"/>
    <col min="29" max="29" width="16.33203125" style="1555" customWidth="1"/>
    <col min="30" max="30" width="34.33203125" style="1767" customWidth="1"/>
    <col min="31" max="31" width="18.6640625" style="3182" customWidth="1"/>
    <col min="32" max="32" width="16.6640625" style="3183" customWidth="1"/>
    <col min="33" max="33" width="18.5546875" style="2904" customWidth="1"/>
    <col min="34" max="34" width="14.109375" style="1350" customWidth="1"/>
    <col min="35" max="35" width="11.44140625" style="1351" customWidth="1"/>
    <col min="36" max="44" width="10.33203125" style="1351" customWidth="1"/>
    <col min="45" max="199" width="10.33203125" style="1351"/>
    <col min="200" max="200" width="7" style="1351" customWidth="1"/>
    <col min="201" max="201" width="13" style="1351" customWidth="1"/>
    <col min="202" max="202" width="14.109375" style="1351" customWidth="1"/>
    <col min="203" max="203" width="17.33203125" style="1351" customWidth="1"/>
    <col min="204" max="204" width="18.88671875" style="1351" customWidth="1"/>
    <col min="205" max="205" width="14.109375" style="1351" customWidth="1"/>
    <col min="206" max="206" width="21.5546875" style="1351" customWidth="1"/>
    <col min="207" max="208" width="14.109375" style="1351" customWidth="1"/>
    <col min="209" max="209" width="15" style="1351" customWidth="1"/>
    <col min="210" max="210" width="13.33203125" style="1351" customWidth="1"/>
    <col min="211" max="211" width="17" style="1351" customWidth="1"/>
    <col min="212" max="212" width="24.88671875" style="1351" customWidth="1"/>
    <col min="213" max="213" width="14.44140625" style="1351" customWidth="1"/>
    <col min="214" max="214" width="23.109375" style="1351" customWidth="1"/>
    <col min="215" max="215" width="13.109375" style="1351" customWidth="1"/>
    <col min="216" max="219" width="0" style="1351" hidden="1" customWidth="1"/>
    <col min="220" max="455" width="10.33203125" style="1351"/>
    <col min="456" max="456" width="7" style="1351" customWidth="1"/>
    <col min="457" max="457" width="13" style="1351" customWidth="1"/>
    <col min="458" max="458" width="14.109375" style="1351" customWidth="1"/>
    <col min="459" max="459" width="17.33203125" style="1351" customWidth="1"/>
    <col min="460" max="460" width="18.88671875" style="1351" customWidth="1"/>
    <col min="461" max="461" width="14.109375" style="1351" customWidth="1"/>
    <col min="462" max="462" width="21.5546875" style="1351" customWidth="1"/>
    <col min="463" max="464" width="14.109375" style="1351" customWidth="1"/>
    <col min="465" max="465" width="15" style="1351" customWidth="1"/>
    <col min="466" max="466" width="13.33203125" style="1351" customWidth="1"/>
    <col min="467" max="467" width="17" style="1351" customWidth="1"/>
    <col min="468" max="468" width="24.88671875" style="1351" customWidth="1"/>
    <col min="469" max="469" width="14.44140625" style="1351" customWidth="1"/>
    <col min="470" max="470" width="23.109375" style="1351" customWidth="1"/>
    <col min="471" max="471" width="13.109375" style="1351" customWidth="1"/>
    <col min="472" max="475" width="0" style="1351" hidden="1" customWidth="1"/>
    <col min="476" max="711" width="10.33203125" style="1351"/>
    <col min="712" max="712" width="7" style="1351" customWidth="1"/>
    <col min="713" max="713" width="13" style="1351" customWidth="1"/>
    <col min="714" max="714" width="14.109375" style="1351" customWidth="1"/>
    <col min="715" max="715" width="17.33203125" style="1351" customWidth="1"/>
    <col min="716" max="716" width="18.88671875" style="1351" customWidth="1"/>
    <col min="717" max="717" width="14.109375" style="1351" customWidth="1"/>
    <col min="718" max="718" width="21.5546875" style="1351" customWidth="1"/>
    <col min="719" max="720" width="14.109375" style="1351" customWidth="1"/>
    <col min="721" max="721" width="15" style="1351" customWidth="1"/>
    <col min="722" max="722" width="13.33203125" style="1351" customWidth="1"/>
    <col min="723" max="723" width="17" style="1351" customWidth="1"/>
    <col min="724" max="724" width="24.88671875" style="1351" customWidth="1"/>
    <col min="725" max="725" width="14.44140625" style="1351" customWidth="1"/>
    <col min="726" max="726" width="23.109375" style="1351" customWidth="1"/>
    <col min="727" max="727" width="13.109375" style="1351" customWidth="1"/>
    <col min="728" max="731" width="0" style="1351" hidden="1" customWidth="1"/>
    <col min="732" max="967" width="10.33203125" style="1351"/>
    <col min="968" max="968" width="7" style="1351" customWidth="1"/>
    <col min="969" max="969" width="13" style="1351" customWidth="1"/>
    <col min="970" max="970" width="14.109375" style="1351" customWidth="1"/>
    <col min="971" max="971" width="17.33203125" style="1351" customWidth="1"/>
    <col min="972" max="972" width="18.88671875" style="1351" customWidth="1"/>
    <col min="973" max="973" width="14.109375" style="1351" customWidth="1"/>
    <col min="974" max="974" width="21.5546875" style="1351" customWidth="1"/>
    <col min="975" max="976" width="14.109375" style="1351" customWidth="1"/>
    <col min="977" max="977" width="15" style="1351" customWidth="1"/>
    <col min="978" max="978" width="13.33203125" style="1351" customWidth="1"/>
    <col min="979" max="979" width="17" style="1351" customWidth="1"/>
    <col min="980" max="980" width="24.88671875" style="1351" customWidth="1"/>
    <col min="981" max="981" width="14.44140625" style="1351" customWidth="1"/>
    <col min="982" max="982" width="23.109375" style="1351" customWidth="1"/>
    <col min="983" max="983" width="13.109375" style="1351" customWidth="1"/>
    <col min="984" max="987" width="0" style="1351" hidden="1" customWidth="1"/>
    <col min="988" max="1223" width="10.33203125" style="1351"/>
    <col min="1224" max="1224" width="7" style="1351" customWidth="1"/>
    <col min="1225" max="1225" width="13" style="1351" customWidth="1"/>
    <col min="1226" max="1226" width="14.109375" style="1351" customWidth="1"/>
    <col min="1227" max="1227" width="17.33203125" style="1351" customWidth="1"/>
    <col min="1228" max="1228" width="18.88671875" style="1351" customWidth="1"/>
    <col min="1229" max="1229" width="14.109375" style="1351" customWidth="1"/>
    <col min="1230" max="1230" width="21.5546875" style="1351" customWidth="1"/>
    <col min="1231" max="1232" width="14.109375" style="1351" customWidth="1"/>
    <col min="1233" max="1233" width="15" style="1351" customWidth="1"/>
    <col min="1234" max="1234" width="13.33203125" style="1351" customWidth="1"/>
    <col min="1235" max="1235" width="17" style="1351" customWidth="1"/>
    <col min="1236" max="1236" width="24.88671875" style="1351" customWidth="1"/>
    <col min="1237" max="1237" width="14.44140625" style="1351" customWidth="1"/>
    <col min="1238" max="1238" width="23.109375" style="1351" customWidth="1"/>
    <col min="1239" max="1239" width="13.109375" style="1351" customWidth="1"/>
    <col min="1240" max="1243" width="0" style="1351" hidden="1" customWidth="1"/>
    <col min="1244" max="1479" width="10.33203125" style="1351"/>
    <col min="1480" max="1480" width="7" style="1351" customWidth="1"/>
    <col min="1481" max="1481" width="13" style="1351" customWidth="1"/>
    <col min="1482" max="1482" width="14.109375" style="1351" customWidth="1"/>
    <col min="1483" max="1483" width="17.33203125" style="1351" customWidth="1"/>
    <col min="1484" max="1484" width="18.88671875" style="1351" customWidth="1"/>
    <col min="1485" max="1485" width="14.109375" style="1351" customWidth="1"/>
    <col min="1486" max="1486" width="21.5546875" style="1351" customWidth="1"/>
    <col min="1487" max="1488" width="14.109375" style="1351" customWidth="1"/>
    <col min="1489" max="1489" width="15" style="1351" customWidth="1"/>
    <col min="1490" max="1490" width="13.33203125" style="1351" customWidth="1"/>
    <col min="1491" max="1491" width="17" style="1351" customWidth="1"/>
    <col min="1492" max="1492" width="24.88671875" style="1351" customWidth="1"/>
    <col min="1493" max="1493" width="14.44140625" style="1351" customWidth="1"/>
    <col min="1494" max="1494" width="23.109375" style="1351" customWidth="1"/>
    <col min="1495" max="1495" width="13.109375" style="1351" customWidth="1"/>
    <col min="1496" max="1499" width="0" style="1351" hidden="1" customWidth="1"/>
    <col min="1500" max="1735" width="10.33203125" style="1351"/>
    <col min="1736" max="1736" width="7" style="1351" customWidth="1"/>
    <col min="1737" max="1737" width="13" style="1351" customWidth="1"/>
    <col min="1738" max="1738" width="14.109375" style="1351" customWidth="1"/>
    <col min="1739" max="1739" width="17.33203125" style="1351" customWidth="1"/>
    <col min="1740" max="1740" width="18.88671875" style="1351" customWidth="1"/>
    <col min="1741" max="1741" width="14.109375" style="1351" customWidth="1"/>
    <col min="1742" max="1742" width="21.5546875" style="1351" customWidth="1"/>
    <col min="1743" max="1744" width="14.109375" style="1351" customWidth="1"/>
    <col min="1745" max="1745" width="15" style="1351" customWidth="1"/>
    <col min="1746" max="1746" width="13.33203125" style="1351" customWidth="1"/>
    <col min="1747" max="1747" width="17" style="1351" customWidth="1"/>
    <col min="1748" max="1748" width="24.88671875" style="1351" customWidth="1"/>
    <col min="1749" max="1749" width="14.44140625" style="1351" customWidth="1"/>
    <col min="1750" max="1750" width="23.109375" style="1351" customWidth="1"/>
    <col min="1751" max="1751" width="13.109375" style="1351" customWidth="1"/>
    <col min="1752" max="1755" width="0" style="1351" hidden="1" customWidth="1"/>
    <col min="1756" max="1991" width="10.33203125" style="1351"/>
    <col min="1992" max="1992" width="7" style="1351" customWidth="1"/>
    <col min="1993" max="1993" width="13" style="1351" customWidth="1"/>
    <col min="1994" max="1994" width="14.109375" style="1351" customWidth="1"/>
    <col min="1995" max="1995" width="17.33203125" style="1351" customWidth="1"/>
    <col min="1996" max="1996" width="18.88671875" style="1351" customWidth="1"/>
    <col min="1997" max="1997" width="14.109375" style="1351" customWidth="1"/>
    <col min="1998" max="1998" width="21.5546875" style="1351" customWidth="1"/>
    <col min="1999" max="2000" width="14.109375" style="1351" customWidth="1"/>
    <col min="2001" max="2001" width="15" style="1351" customWidth="1"/>
    <col min="2002" max="2002" width="13.33203125" style="1351" customWidth="1"/>
    <col min="2003" max="2003" width="17" style="1351" customWidth="1"/>
    <col min="2004" max="2004" width="24.88671875" style="1351" customWidth="1"/>
    <col min="2005" max="2005" width="14.44140625" style="1351" customWidth="1"/>
    <col min="2006" max="2006" width="23.109375" style="1351" customWidth="1"/>
    <col min="2007" max="2007" width="13.109375" style="1351" customWidth="1"/>
    <col min="2008" max="2011" width="0" style="1351" hidden="1" customWidth="1"/>
    <col min="2012" max="2247" width="10.33203125" style="1351"/>
    <col min="2248" max="2248" width="7" style="1351" customWidth="1"/>
    <col min="2249" max="2249" width="13" style="1351" customWidth="1"/>
    <col min="2250" max="2250" width="14.109375" style="1351" customWidth="1"/>
    <col min="2251" max="2251" width="17.33203125" style="1351" customWidth="1"/>
    <col min="2252" max="2252" width="18.88671875" style="1351" customWidth="1"/>
    <col min="2253" max="2253" width="14.109375" style="1351" customWidth="1"/>
    <col min="2254" max="2254" width="21.5546875" style="1351" customWidth="1"/>
    <col min="2255" max="2256" width="14.109375" style="1351" customWidth="1"/>
    <col min="2257" max="2257" width="15" style="1351" customWidth="1"/>
    <col min="2258" max="2258" width="13.33203125" style="1351" customWidth="1"/>
    <col min="2259" max="2259" width="17" style="1351" customWidth="1"/>
    <col min="2260" max="2260" width="24.88671875" style="1351" customWidth="1"/>
    <col min="2261" max="2261" width="14.44140625" style="1351" customWidth="1"/>
    <col min="2262" max="2262" width="23.109375" style="1351" customWidth="1"/>
    <col min="2263" max="2263" width="13.109375" style="1351" customWidth="1"/>
    <col min="2264" max="2267" width="0" style="1351" hidden="1" customWidth="1"/>
    <col min="2268" max="2503" width="10.33203125" style="1351"/>
    <col min="2504" max="2504" width="7" style="1351" customWidth="1"/>
    <col min="2505" max="2505" width="13" style="1351" customWidth="1"/>
    <col min="2506" max="2506" width="14.109375" style="1351" customWidth="1"/>
    <col min="2507" max="2507" width="17.33203125" style="1351" customWidth="1"/>
    <col min="2508" max="2508" width="18.88671875" style="1351" customWidth="1"/>
    <col min="2509" max="2509" width="14.109375" style="1351" customWidth="1"/>
    <col min="2510" max="2510" width="21.5546875" style="1351" customWidth="1"/>
    <col min="2511" max="2512" width="14.109375" style="1351" customWidth="1"/>
    <col min="2513" max="2513" width="15" style="1351" customWidth="1"/>
    <col min="2514" max="2514" width="13.33203125" style="1351" customWidth="1"/>
    <col min="2515" max="2515" width="17" style="1351" customWidth="1"/>
    <col min="2516" max="2516" width="24.88671875" style="1351" customWidth="1"/>
    <col min="2517" max="2517" width="14.44140625" style="1351" customWidth="1"/>
    <col min="2518" max="2518" width="23.109375" style="1351" customWidth="1"/>
    <col min="2519" max="2519" width="13.109375" style="1351" customWidth="1"/>
    <col min="2520" max="2523" width="0" style="1351" hidden="1" customWidth="1"/>
    <col min="2524" max="2759" width="10.33203125" style="1351"/>
    <col min="2760" max="2760" width="7" style="1351" customWidth="1"/>
    <col min="2761" max="2761" width="13" style="1351" customWidth="1"/>
    <col min="2762" max="2762" width="14.109375" style="1351" customWidth="1"/>
    <col min="2763" max="2763" width="17.33203125" style="1351" customWidth="1"/>
    <col min="2764" max="2764" width="18.88671875" style="1351" customWidth="1"/>
    <col min="2765" max="2765" width="14.109375" style="1351" customWidth="1"/>
    <col min="2766" max="2766" width="21.5546875" style="1351" customWidth="1"/>
    <col min="2767" max="2768" width="14.109375" style="1351" customWidth="1"/>
    <col min="2769" max="2769" width="15" style="1351" customWidth="1"/>
    <col min="2770" max="2770" width="13.33203125" style="1351" customWidth="1"/>
    <col min="2771" max="2771" width="17" style="1351" customWidth="1"/>
    <col min="2772" max="2772" width="24.88671875" style="1351" customWidth="1"/>
    <col min="2773" max="2773" width="14.44140625" style="1351" customWidth="1"/>
    <col min="2774" max="2774" width="23.109375" style="1351" customWidth="1"/>
    <col min="2775" max="2775" width="13.109375" style="1351" customWidth="1"/>
    <col min="2776" max="2779" width="0" style="1351" hidden="1" customWidth="1"/>
    <col min="2780" max="3015" width="10.33203125" style="1351"/>
    <col min="3016" max="3016" width="7" style="1351" customWidth="1"/>
    <col min="3017" max="3017" width="13" style="1351" customWidth="1"/>
    <col min="3018" max="3018" width="14.109375" style="1351" customWidth="1"/>
    <col min="3019" max="3019" width="17.33203125" style="1351" customWidth="1"/>
    <col min="3020" max="3020" width="18.88671875" style="1351" customWidth="1"/>
    <col min="3021" max="3021" width="14.109375" style="1351" customWidth="1"/>
    <col min="3022" max="3022" width="21.5546875" style="1351" customWidth="1"/>
    <col min="3023" max="3024" width="14.109375" style="1351" customWidth="1"/>
    <col min="3025" max="3025" width="15" style="1351" customWidth="1"/>
    <col min="3026" max="3026" width="13.33203125" style="1351" customWidth="1"/>
    <col min="3027" max="3027" width="17" style="1351" customWidth="1"/>
    <col min="3028" max="3028" width="24.88671875" style="1351" customWidth="1"/>
    <col min="3029" max="3029" width="14.44140625" style="1351" customWidth="1"/>
    <col min="3030" max="3030" width="23.109375" style="1351" customWidth="1"/>
    <col min="3031" max="3031" width="13.109375" style="1351" customWidth="1"/>
    <col min="3032" max="3035" width="0" style="1351" hidden="1" customWidth="1"/>
    <col min="3036" max="3271" width="10.33203125" style="1351"/>
    <col min="3272" max="3272" width="7" style="1351" customWidth="1"/>
    <col min="3273" max="3273" width="13" style="1351" customWidth="1"/>
    <col min="3274" max="3274" width="14.109375" style="1351" customWidth="1"/>
    <col min="3275" max="3275" width="17.33203125" style="1351" customWidth="1"/>
    <col min="3276" max="3276" width="18.88671875" style="1351" customWidth="1"/>
    <col min="3277" max="3277" width="14.109375" style="1351" customWidth="1"/>
    <col min="3278" max="3278" width="21.5546875" style="1351" customWidth="1"/>
    <col min="3279" max="3280" width="14.109375" style="1351" customWidth="1"/>
    <col min="3281" max="3281" width="15" style="1351" customWidth="1"/>
    <col min="3282" max="3282" width="13.33203125" style="1351" customWidth="1"/>
    <col min="3283" max="3283" width="17" style="1351" customWidth="1"/>
    <col min="3284" max="3284" width="24.88671875" style="1351" customWidth="1"/>
    <col min="3285" max="3285" width="14.44140625" style="1351" customWidth="1"/>
    <col min="3286" max="3286" width="23.109375" style="1351" customWidth="1"/>
    <col min="3287" max="3287" width="13.109375" style="1351" customWidth="1"/>
    <col min="3288" max="3291" width="0" style="1351" hidden="1" customWidth="1"/>
    <col min="3292" max="3527" width="10.33203125" style="1351"/>
    <col min="3528" max="3528" width="7" style="1351" customWidth="1"/>
    <col min="3529" max="3529" width="13" style="1351" customWidth="1"/>
    <col min="3530" max="3530" width="14.109375" style="1351" customWidth="1"/>
    <col min="3531" max="3531" width="17.33203125" style="1351" customWidth="1"/>
    <col min="3532" max="3532" width="18.88671875" style="1351" customWidth="1"/>
    <col min="3533" max="3533" width="14.109375" style="1351" customWidth="1"/>
    <col min="3534" max="3534" width="21.5546875" style="1351" customWidth="1"/>
    <col min="3535" max="3536" width="14.109375" style="1351" customWidth="1"/>
    <col min="3537" max="3537" width="15" style="1351" customWidth="1"/>
    <col min="3538" max="3538" width="13.33203125" style="1351" customWidth="1"/>
    <col min="3539" max="3539" width="17" style="1351" customWidth="1"/>
    <col min="3540" max="3540" width="24.88671875" style="1351" customWidth="1"/>
    <col min="3541" max="3541" width="14.44140625" style="1351" customWidth="1"/>
    <col min="3542" max="3542" width="23.109375" style="1351" customWidth="1"/>
    <col min="3543" max="3543" width="13.109375" style="1351" customWidth="1"/>
    <col min="3544" max="3547" width="0" style="1351" hidden="1" customWidth="1"/>
    <col min="3548" max="3783" width="10.33203125" style="1351"/>
    <col min="3784" max="3784" width="7" style="1351" customWidth="1"/>
    <col min="3785" max="3785" width="13" style="1351" customWidth="1"/>
    <col min="3786" max="3786" width="14.109375" style="1351" customWidth="1"/>
    <col min="3787" max="3787" width="17.33203125" style="1351" customWidth="1"/>
    <col min="3788" max="3788" width="18.88671875" style="1351" customWidth="1"/>
    <col min="3789" max="3789" width="14.109375" style="1351" customWidth="1"/>
    <col min="3790" max="3790" width="21.5546875" style="1351" customWidth="1"/>
    <col min="3791" max="3792" width="14.109375" style="1351" customWidth="1"/>
    <col min="3793" max="3793" width="15" style="1351" customWidth="1"/>
    <col min="3794" max="3794" width="13.33203125" style="1351" customWidth="1"/>
    <col min="3795" max="3795" width="17" style="1351" customWidth="1"/>
    <col min="3796" max="3796" width="24.88671875" style="1351" customWidth="1"/>
    <col min="3797" max="3797" width="14.44140625" style="1351" customWidth="1"/>
    <col min="3798" max="3798" width="23.109375" style="1351" customWidth="1"/>
    <col min="3799" max="3799" width="13.109375" style="1351" customWidth="1"/>
    <col min="3800" max="3803" width="0" style="1351" hidden="1" customWidth="1"/>
    <col min="3804" max="4039" width="10.33203125" style="1351"/>
    <col min="4040" max="4040" width="7" style="1351" customWidth="1"/>
    <col min="4041" max="4041" width="13" style="1351" customWidth="1"/>
    <col min="4042" max="4042" width="14.109375" style="1351" customWidth="1"/>
    <col min="4043" max="4043" width="17.33203125" style="1351" customWidth="1"/>
    <col min="4044" max="4044" width="18.88671875" style="1351" customWidth="1"/>
    <col min="4045" max="4045" width="14.109375" style="1351" customWidth="1"/>
    <col min="4046" max="4046" width="21.5546875" style="1351" customWidth="1"/>
    <col min="4047" max="4048" width="14.109375" style="1351" customWidth="1"/>
    <col min="4049" max="4049" width="15" style="1351" customWidth="1"/>
    <col min="4050" max="4050" width="13.33203125" style="1351" customWidth="1"/>
    <col min="4051" max="4051" width="17" style="1351" customWidth="1"/>
    <col min="4052" max="4052" width="24.88671875" style="1351" customWidth="1"/>
    <col min="4053" max="4053" width="14.44140625" style="1351" customWidth="1"/>
    <col min="4054" max="4054" width="23.109375" style="1351" customWidth="1"/>
    <col min="4055" max="4055" width="13.109375" style="1351" customWidth="1"/>
    <col min="4056" max="4059" width="0" style="1351" hidden="1" customWidth="1"/>
    <col min="4060" max="4295" width="10.33203125" style="1351"/>
    <col min="4296" max="4296" width="7" style="1351" customWidth="1"/>
    <col min="4297" max="4297" width="13" style="1351" customWidth="1"/>
    <col min="4298" max="4298" width="14.109375" style="1351" customWidth="1"/>
    <col min="4299" max="4299" width="17.33203125" style="1351" customWidth="1"/>
    <col min="4300" max="4300" width="18.88671875" style="1351" customWidth="1"/>
    <col min="4301" max="4301" width="14.109375" style="1351" customWidth="1"/>
    <col min="4302" max="4302" width="21.5546875" style="1351" customWidth="1"/>
    <col min="4303" max="4304" width="14.109375" style="1351" customWidth="1"/>
    <col min="4305" max="4305" width="15" style="1351" customWidth="1"/>
    <col min="4306" max="4306" width="13.33203125" style="1351" customWidth="1"/>
    <col min="4307" max="4307" width="17" style="1351" customWidth="1"/>
    <col min="4308" max="4308" width="24.88671875" style="1351" customWidth="1"/>
    <col min="4309" max="4309" width="14.44140625" style="1351" customWidth="1"/>
    <col min="4310" max="4310" width="23.109375" style="1351" customWidth="1"/>
    <col min="4311" max="4311" width="13.109375" style="1351" customWidth="1"/>
    <col min="4312" max="4315" width="0" style="1351" hidden="1" customWidth="1"/>
    <col min="4316" max="4551" width="10.33203125" style="1351"/>
    <col min="4552" max="4552" width="7" style="1351" customWidth="1"/>
    <col min="4553" max="4553" width="13" style="1351" customWidth="1"/>
    <col min="4554" max="4554" width="14.109375" style="1351" customWidth="1"/>
    <col min="4555" max="4555" width="17.33203125" style="1351" customWidth="1"/>
    <col min="4556" max="4556" width="18.88671875" style="1351" customWidth="1"/>
    <col min="4557" max="4557" width="14.109375" style="1351" customWidth="1"/>
    <col min="4558" max="4558" width="21.5546875" style="1351" customWidth="1"/>
    <col min="4559" max="4560" width="14.109375" style="1351" customWidth="1"/>
    <col min="4561" max="4561" width="15" style="1351" customWidth="1"/>
    <col min="4562" max="4562" width="13.33203125" style="1351" customWidth="1"/>
    <col min="4563" max="4563" width="17" style="1351" customWidth="1"/>
    <col min="4564" max="4564" width="24.88671875" style="1351" customWidth="1"/>
    <col min="4565" max="4565" width="14.44140625" style="1351" customWidth="1"/>
    <col min="4566" max="4566" width="23.109375" style="1351" customWidth="1"/>
    <col min="4567" max="4567" width="13.109375" style="1351" customWidth="1"/>
    <col min="4568" max="4571" width="0" style="1351" hidden="1" customWidth="1"/>
    <col min="4572" max="4807" width="10.33203125" style="1351"/>
    <col min="4808" max="4808" width="7" style="1351" customWidth="1"/>
    <col min="4809" max="4809" width="13" style="1351" customWidth="1"/>
    <col min="4810" max="4810" width="14.109375" style="1351" customWidth="1"/>
    <col min="4811" max="4811" width="17.33203125" style="1351" customWidth="1"/>
    <col min="4812" max="4812" width="18.88671875" style="1351" customWidth="1"/>
    <col min="4813" max="4813" width="14.109375" style="1351" customWidth="1"/>
    <col min="4814" max="4814" width="21.5546875" style="1351" customWidth="1"/>
    <col min="4815" max="4816" width="14.109375" style="1351" customWidth="1"/>
    <col min="4817" max="4817" width="15" style="1351" customWidth="1"/>
    <col min="4818" max="4818" width="13.33203125" style="1351" customWidth="1"/>
    <col min="4819" max="4819" width="17" style="1351" customWidth="1"/>
    <col min="4820" max="4820" width="24.88671875" style="1351" customWidth="1"/>
    <col min="4821" max="4821" width="14.44140625" style="1351" customWidth="1"/>
    <col min="4822" max="4822" width="23.109375" style="1351" customWidth="1"/>
    <col min="4823" max="4823" width="13.109375" style="1351" customWidth="1"/>
    <col min="4824" max="4827" width="0" style="1351" hidden="1" customWidth="1"/>
    <col min="4828" max="5063" width="10.33203125" style="1351"/>
    <col min="5064" max="5064" width="7" style="1351" customWidth="1"/>
    <col min="5065" max="5065" width="13" style="1351" customWidth="1"/>
    <col min="5066" max="5066" width="14.109375" style="1351" customWidth="1"/>
    <col min="5067" max="5067" width="17.33203125" style="1351" customWidth="1"/>
    <col min="5068" max="5068" width="18.88671875" style="1351" customWidth="1"/>
    <col min="5069" max="5069" width="14.109375" style="1351" customWidth="1"/>
    <col min="5070" max="5070" width="21.5546875" style="1351" customWidth="1"/>
    <col min="5071" max="5072" width="14.109375" style="1351" customWidth="1"/>
    <col min="5073" max="5073" width="15" style="1351" customWidth="1"/>
    <col min="5074" max="5074" width="13.33203125" style="1351" customWidth="1"/>
    <col min="5075" max="5075" width="17" style="1351" customWidth="1"/>
    <col min="5076" max="5076" width="24.88671875" style="1351" customWidth="1"/>
    <col min="5077" max="5077" width="14.44140625" style="1351" customWidth="1"/>
    <col min="5078" max="5078" width="23.109375" style="1351" customWidth="1"/>
    <col min="5079" max="5079" width="13.109375" style="1351" customWidth="1"/>
    <col min="5080" max="5083" width="0" style="1351" hidden="1" customWidth="1"/>
    <col min="5084" max="5319" width="10.33203125" style="1351"/>
    <col min="5320" max="5320" width="7" style="1351" customWidth="1"/>
    <col min="5321" max="5321" width="13" style="1351" customWidth="1"/>
    <col min="5322" max="5322" width="14.109375" style="1351" customWidth="1"/>
    <col min="5323" max="5323" width="17.33203125" style="1351" customWidth="1"/>
    <col min="5324" max="5324" width="18.88671875" style="1351" customWidth="1"/>
    <col min="5325" max="5325" width="14.109375" style="1351" customWidth="1"/>
    <col min="5326" max="5326" width="21.5546875" style="1351" customWidth="1"/>
    <col min="5327" max="5328" width="14.109375" style="1351" customWidth="1"/>
    <col min="5329" max="5329" width="15" style="1351" customWidth="1"/>
    <col min="5330" max="5330" width="13.33203125" style="1351" customWidth="1"/>
    <col min="5331" max="5331" width="17" style="1351" customWidth="1"/>
    <col min="5332" max="5332" width="24.88671875" style="1351" customWidth="1"/>
    <col min="5333" max="5333" width="14.44140625" style="1351" customWidth="1"/>
    <col min="5334" max="5334" width="23.109375" style="1351" customWidth="1"/>
    <col min="5335" max="5335" width="13.109375" style="1351" customWidth="1"/>
    <col min="5336" max="5339" width="0" style="1351" hidden="1" customWidth="1"/>
    <col min="5340" max="5575" width="10.33203125" style="1351"/>
    <col min="5576" max="5576" width="7" style="1351" customWidth="1"/>
    <col min="5577" max="5577" width="13" style="1351" customWidth="1"/>
    <col min="5578" max="5578" width="14.109375" style="1351" customWidth="1"/>
    <col min="5579" max="5579" width="17.33203125" style="1351" customWidth="1"/>
    <col min="5580" max="5580" width="18.88671875" style="1351" customWidth="1"/>
    <col min="5581" max="5581" width="14.109375" style="1351" customWidth="1"/>
    <col min="5582" max="5582" width="21.5546875" style="1351" customWidth="1"/>
    <col min="5583" max="5584" width="14.109375" style="1351" customWidth="1"/>
    <col min="5585" max="5585" width="15" style="1351" customWidth="1"/>
    <col min="5586" max="5586" width="13.33203125" style="1351" customWidth="1"/>
    <col min="5587" max="5587" width="17" style="1351" customWidth="1"/>
    <col min="5588" max="5588" width="24.88671875" style="1351" customWidth="1"/>
    <col min="5589" max="5589" width="14.44140625" style="1351" customWidth="1"/>
    <col min="5590" max="5590" width="23.109375" style="1351" customWidth="1"/>
    <col min="5591" max="5591" width="13.109375" style="1351" customWidth="1"/>
    <col min="5592" max="5595" width="0" style="1351" hidden="1" customWidth="1"/>
    <col min="5596" max="5831" width="10.33203125" style="1351"/>
    <col min="5832" max="5832" width="7" style="1351" customWidth="1"/>
    <col min="5833" max="5833" width="13" style="1351" customWidth="1"/>
    <col min="5834" max="5834" width="14.109375" style="1351" customWidth="1"/>
    <col min="5835" max="5835" width="17.33203125" style="1351" customWidth="1"/>
    <col min="5836" max="5836" width="18.88671875" style="1351" customWidth="1"/>
    <col min="5837" max="5837" width="14.109375" style="1351" customWidth="1"/>
    <col min="5838" max="5838" width="21.5546875" style="1351" customWidth="1"/>
    <col min="5839" max="5840" width="14.109375" style="1351" customWidth="1"/>
    <col min="5841" max="5841" width="15" style="1351" customWidth="1"/>
    <col min="5842" max="5842" width="13.33203125" style="1351" customWidth="1"/>
    <col min="5843" max="5843" width="17" style="1351" customWidth="1"/>
    <col min="5844" max="5844" width="24.88671875" style="1351" customWidth="1"/>
    <col min="5845" max="5845" width="14.44140625" style="1351" customWidth="1"/>
    <col min="5846" max="5846" width="23.109375" style="1351" customWidth="1"/>
    <col min="5847" max="5847" width="13.109375" style="1351" customWidth="1"/>
    <col min="5848" max="5851" width="0" style="1351" hidden="1" customWidth="1"/>
    <col min="5852" max="6087" width="10.33203125" style="1351"/>
    <col min="6088" max="6088" width="7" style="1351" customWidth="1"/>
    <col min="6089" max="6089" width="13" style="1351" customWidth="1"/>
    <col min="6090" max="6090" width="14.109375" style="1351" customWidth="1"/>
    <col min="6091" max="6091" width="17.33203125" style="1351" customWidth="1"/>
    <col min="6092" max="6092" width="18.88671875" style="1351" customWidth="1"/>
    <col min="6093" max="6093" width="14.109375" style="1351" customWidth="1"/>
    <col min="6094" max="6094" width="21.5546875" style="1351" customWidth="1"/>
    <col min="6095" max="6096" width="14.109375" style="1351" customWidth="1"/>
    <col min="6097" max="6097" width="15" style="1351" customWidth="1"/>
    <col min="6098" max="6098" width="13.33203125" style="1351" customWidth="1"/>
    <col min="6099" max="6099" width="17" style="1351" customWidth="1"/>
    <col min="6100" max="6100" width="24.88671875" style="1351" customWidth="1"/>
    <col min="6101" max="6101" width="14.44140625" style="1351" customWidth="1"/>
    <col min="6102" max="6102" width="23.109375" style="1351" customWidth="1"/>
    <col min="6103" max="6103" width="13.109375" style="1351" customWidth="1"/>
    <col min="6104" max="6107" width="0" style="1351" hidden="1" customWidth="1"/>
    <col min="6108" max="6343" width="10.33203125" style="1351"/>
    <col min="6344" max="6344" width="7" style="1351" customWidth="1"/>
    <col min="6345" max="6345" width="13" style="1351" customWidth="1"/>
    <col min="6346" max="6346" width="14.109375" style="1351" customWidth="1"/>
    <col min="6347" max="6347" width="17.33203125" style="1351" customWidth="1"/>
    <col min="6348" max="6348" width="18.88671875" style="1351" customWidth="1"/>
    <col min="6349" max="6349" width="14.109375" style="1351" customWidth="1"/>
    <col min="6350" max="6350" width="21.5546875" style="1351" customWidth="1"/>
    <col min="6351" max="6352" width="14.109375" style="1351" customWidth="1"/>
    <col min="6353" max="6353" width="15" style="1351" customWidth="1"/>
    <col min="6354" max="6354" width="13.33203125" style="1351" customWidth="1"/>
    <col min="6355" max="6355" width="17" style="1351" customWidth="1"/>
    <col min="6356" max="6356" width="24.88671875" style="1351" customWidth="1"/>
    <col min="6357" max="6357" width="14.44140625" style="1351" customWidth="1"/>
    <col min="6358" max="6358" width="23.109375" style="1351" customWidth="1"/>
    <col min="6359" max="6359" width="13.109375" style="1351" customWidth="1"/>
    <col min="6360" max="6363" width="0" style="1351" hidden="1" customWidth="1"/>
    <col min="6364" max="6599" width="10.33203125" style="1351"/>
    <col min="6600" max="6600" width="7" style="1351" customWidth="1"/>
    <col min="6601" max="6601" width="13" style="1351" customWidth="1"/>
    <col min="6602" max="6602" width="14.109375" style="1351" customWidth="1"/>
    <col min="6603" max="6603" width="17.33203125" style="1351" customWidth="1"/>
    <col min="6604" max="6604" width="18.88671875" style="1351" customWidth="1"/>
    <col min="6605" max="6605" width="14.109375" style="1351" customWidth="1"/>
    <col min="6606" max="6606" width="21.5546875" style="1351" customWidth="1"/>
    <col min="6607" max="6608" width="14.109375" style="1351" customWidth="1"/>
    <col min="6609" max="6609" width="15" style="1351" customWidth="1"/>
    <col min="6610" max="6610" width="13.33203125" style="1351" customWidth="1"/>
    <col min="6611" max="6611" width="17" style="1351" customWidth="1"/>
    <col min="6612" max="6612" width="24.88671875" style="1351" customWidth="1"/>
    <col min="6613" max="6613" width="14.44140625" style="1351" customWidth="1"/>
    <col min="6614" max="6614" width="23.109375" style="1351" customWidth="1"/>
    <col min="6615" max="6615" width="13.109375" style="1351" customWidth="1"/>
    <col min="6616" max="6619" width="0" style="1351" hidden="1" customWidth="1"/>
    <col min="6620" max="6855" width="10.33203125" style="1351"/>
    <col min="6856" max="6856" width="7" style="1351" customWidth="1"/>
    <col min="6857" max="6857" width="13" style="1351" customWidth="1"/>
    <col min="6858" max="6858" width="14.109375" style="1351" customWidth="1"/>
    <col min="6859" max="6859" width="17.33203125" style="1351" customWidth="1"/>
    <col min="6860" max="6860" width="18.88671875" style="1351" customWidth="1"/>
    <col min="6861" max="6861" width="14.109375" style="1351" customWidth="1"/>
    <col min="6862" max="6862" width="21.5546875" style="1351" customWidth="1"/>
    <col min="6863" max="6864" width="14.109375" style="1351" customWidth="1"/>
    <col min="6865" max="6865" width="15" style="1351" customWidth="1"/>
    <col min="6866" max="6866" width="13.33203125" style="1351" customWidth="1"/>
    <col min="6867" max="6867" width="17" style="1351" customWidth="1"/>
    <col min="6868" max="6868" width="24.88671875" style="1351" customWidth="1"/>
    <col min="6869" max="6869" width="14.44140625" style="1351" customWidth="1"/>
    <col min="6870" max="6870" width="23.109375" style="1351" customWidth="1"/>
    <col min="6871" max="6871" width="13.109375" style="1351" customWidth="1"/>
    <col min="6872" max="6875" width="0" style="1351" hidden="1" customWidth="1"/>
    <col min="6876" max="7111" width="10.33203125" style="1351"/>
    <col min="7112" max="7112" width="7" style="1351" customWidth="1"/>
    <col min="7113" max="7113" width="13" style="1351" customWidth="1"/>
    <col min="7114" max="7114" width="14.109375" style="1351" customWidth="1"/>
    <col min="7115" max="7115" width="17.33203125" style="1351" customWidth="1"/>
    <col min="7116" max="7116" width="18.88671875" style="1351" customWidth="1"/>
    <col min="7117" max="7117" width="14.109375" style="1351" customWidth="1"/>
    <col min="7118" max="7118" width="21.5546875" style="1351" customWidth="1"/>
    <col min="7119" max="7120" width="14.109375" style="1351" customWidth="1"/>
    <col min="7121" max="7121" width="15" style="1351" customWidth="1"/>
    <col min="7122" max="7122" width="13.33203125" style="1351" customWidth="1"/>
    <col min="7123" max="7123" width="17" style="1351" customWidth="1"/>
    <col min="7124" max="7124" width="24.88671875" style="1351" customWidth="1"/>
    <col min="7125" max="7125" width="14.44140625" style="1351" customWidth="1"/>
    <col min="7126" max="7126" width="23.109375" style="1351" customWidth="1"/>
    <col min="7127" max="7127" width="13.109375" style="1351" customWidth="1"/>
    <col min="7128" max="7131" width="0" style="1351" hidden="1" customWidth="1"/>
    <col min="7132" max="7367" width="10.33203125" style="1351"/>
    <col min="7368" max="7368" width="7" style="1351" customWidth="1"/>
    <col min="7369" max="7369" width="13" style="1351" customWidth="1"/>
    <col min="7370" max="7370" width="14.109375" style="1351" customWidth="1"/>
    <col min="7371" max="7371" width="17.33203125" style="1351" customWidth="1"/>
    <col min="7372" max="7372" width="18.88671875" style="1351" customWidth="1"/>
    <col min="7373" max="7373" width="14.109375" style="1351" customWidth="1"/>
    <col min="7374" max="7374" width="21.5546875" style="1351" customWidth="1"/>
    <col min="7375" max="7376" width="14.109375" style="1351" customWidth="1"/>
    <col min="7377" max="7377" width="15" style="1351" customWidth="1"/>
    <col min="7378" max="7378" width="13.33203125" style="1351" customWidth="1"/>
    <col min="7379" max="7379" width="17" style="1351" customWidth="1"/>
    <col min="7380" max="7380" width="24.88671875" style="1351" customWidth="1"/>
    <col min="7381" max="7381" width="14.44140625" style="1351" customWidth="1"/>
    <col min="7382" max="7382" width="23.109375" style="1351" customWidth="1"/>
    <col min="7383" max="7383" width="13.109375" style="1351" customWidth="1"/>
    <col min="7384" max="7387" width="0" style="1351" hidden="1" customWidth="1"/>
    <col min="7388" max="7623" width="10.33203125" style="1351"/>
    <col min="7624" max="7624" width="7" style="1351" customWidth="1"/>
    <col min="7625" max="7625" width="13" style="1351" customWidth="1"/>
    <col min="7626" max="7626" width="14.109375" style="1351" customWidth="1"/>
    <col min="7627" max="7627" width="17.33203125" style="1351" customWidth="1"/>
    <col min="7628" max="7628" width="18.88671875" style="1351" customWidth="1"/>
    <col min="7629" max="7629" width="14.109375" style="1351" customWidth="1"/>
    <col min="7630" max="7630" width="21.5546875" style="1351" customWidth="1"/>
    <col min="7631" max="7632" width="14.109375" style="1351" customWidth="1"/>
    <col min="7633" max="7633" width="15" style="1351" customWidth="1"/>
    <col min="7634" max="7634" width="13.33203125" style="1351" customWidth="1"/>
    <col min="7635" max="7635" width="17" style="1351" customWidth="1"/>
    <col min="7636" max="7636" width="24.88671875" style="1351" customWidth="1"/>
    <col min="7637" max="7637" width="14.44140625" style="1351" customWidth="1"/>
    <col min="7638" max="7638" width="23.109375" style="1351" customWidth="1"/>
    <col min="7639" max="7639" width="13.109375" style="1351" customWidth="1"/>
    <col min="7640" max="7643" width="0" style="1351" hidden="1" customWidth="1"/>
    <col min="7644" max="7879" width="10.33203125" style="1351"/>
    <col min="7880" max="7880" width="7" style="1351" customWidth="1"/>
    <col min="7881" max="7881" width="13" style="1351" customWidth="1"/>
    <col min="7882" max="7882" width="14.109375" style="1351" customWidth="1"/>
    <col min="7883" max="7883" width="17.33203125" style="1351" customWidth="1"/>
    <col min="7884" max="7884" width="18.88671875" style="1351" customWidth="1"/>
    <col min="7885" max="7885" width="14.109375" style="1351" customWidth="1"/>
    <col min="7886" max="7886" width="21.5546875" style="1351" customWidth="1"/>
    <col min="7887" max="7888" width="14.109375" style="1351" customWidth="1"/>
    <col min="7889" max="7889" width="15" style="1351" customWidth="1"/>
    <col min="7890" max="7890" width="13.33203125" style="1351" customWidth="1"/>
    <col min="7891" max="7891" width="17" style="1351" customWidth="1"/>
    <col min="7892" max="7892" width="24.88671875" style="1351" customWidth="1"/>
    <col min="7893" max="7893" width="14.44140625" style="1351" customWidth="1"/>
    <col min="7894" max="7894" width="23.109375" style="1351" customWidth="1"/>
    <col min="7895" max="7895" width="13.109375" style="1351" customWidth="1"/>
    <col min="7896" max="7899" width="0" style="1351" hidden="1" customWidth="1"/>
    <col min="7900" max="8135" width="10.33203125" style="1351"/>
    <col min="8136" max="8136" width="7" style="1351" customWidth="1"/>
    <col min="8137" max="8137" width="13" style="1351" customWidth="1"/>
    <col min="8138" max="8138" width="14.109375" style="1351" customWidth="1"/>
    <col min="8139" max="8139" width="17.33203125" style="1351" customWidth="1"/>
    <col min="8140" max="8140" width="18.88671875" style="1351" customWidth="1"/>
    <col min="8141" max="8141" width="14.109375" style="1351" customWidth="1"/>
    <col min="8142" max="8142" width="21.5546875" style="1351" customWidth="1"/>
    <col min="8143" max="8144" width="14.109375" style="1351" customWidth="1"/>
    <col min="8145" max="8145" width="15" style="1351" customWidth="1"/>
    <col min="8146" max="8146" width="13.33203125" style="1351" customWidth="1"/>
    <col min="8147" max="8147" width="17" style="1351" customWidth="1"/>
    <col min="8148" max="8148" width="24.88671875" style="1351" customWidth="1"/>
    <col min="8149" max="8149" width="14.44140625" style="1351" customWidth="1"/>
    <col min="8150" max="8150" width="23.109375" style="1351" customWidth="1"/>
    <col min="8151" max="8151" width="13.109375" style="1351" customWidth="1"/>
    <col min="8152" max="8155" width="0" style="1351" hidden="1" customWidth="1"/>
    <col min="8156" max="8391" width="10.33203125" style="1351"/>
    <col min="8392" max="8392" width="7" style="1351" customWidth="1"/>
    <col min="8393" max="8393" width="13" style="1351" customWidth="1"/>
    <col min="8394" max="8394" width="14.109375" style="1351" customWidth="1"/>
    <col min="8395" max="8395" width="17.33203125" style="1351" customWidth="1"/>
    <col min="8396" max="8396" width="18.88671875" style="1351" customWidth="1"/>
    <col min="8397" max="8397" width="14.109375" style="1351" customWidth="1"/>
    <col min="8398" max="8398" width="21.5546875" style="1351" customWidth="1"/>
    <col min="8399" max="8400" width="14.109375" style="1351" customWidth="1"/>
    <col min="8401" max="8401" width="15" style="1351" customWidth="1"/>
    <col min="8402" max="8402" width="13.33203125" style="1351" customWidth="1"/>
    <col min="8403" max="8403" width="17" style="1351" customWidth="1"/>
    <col min="8404" max="8404" width="24.88671875" style="1351" customWidth="1"/>
    <col min="8405" max="8405" width="14.44140625" style="1351" customWidth="1"/>
    <col min="8406" max="8406" width="23.109375" style="1351" customWidth="1"/>
    <col min="8407" max="8407" width="13.109375" style="1351" customWidth="1"/>
    <col min="8408" max="8411" width="0" style="1351" hidden="1" customWidth="1"/>
    <col min="8412" max="8647" width="10.33203125" style="1351"/>
    <col min="8648" max="8648" width="7" style="1351" customWidth="1"/>
    <col min="8649" max="8649" width="13" style="1351" customWidth="1"/>
    <col min="8650" max="8650" width="14.109375" style="1351" customWidth="1"/>
    <col min="8651" max="8651" width="17.33203125" style="1351" customWidth="1"/>
    <col min="8652" max="8652" width="18.88671875" style="1351" customWidth="1"/>
    <col min="8653" max="8653" width="14.109375" style="1351" customWidth="1"/>
    <col min="8654" max="8654" width="21.5546875" style="1351" customWidth="1"/>
    <col min="8655" max="8656" width="14.109375" style="1351" customWidth="1"/>
    <col min="8657" max="8657" width="15" style="1351" customWidth="1"/>
    <col min="8658" max="8658" width="13.33203125" style="1351" customWidth="1"/>
    <col min="8659" max="8659" width="17" style="1351" customWidth="1"/>
    <col min="8660" max="8660" width="24.88671875" style="1351" customWidth="1"/>
    <col min="8661" max="8661" width="14.44140625" style="1351" customWidth="1"/>
    <col min="8662" max="8662" width="23.109375" style="1351" customWidth="1"/>
    <col min="8663" max="8663" width="13.109375" style="1351" customWidth="1"/>
    <col min="8664" max="8667" width="0" style="1351" hidden="1" customWidth="1"/>
    <col min="8668" max="8903" width="10.33203125" style="1351"/>
    <col min="8904" max="8904" width="7" style="1351" customWidth="1"/>
    <col min="8905" max="8905" width="13" style="1351" customWidth="1"/>
    <col min="8906" max="8906" width="14.109375" style="1351" customWidth="1"/>
    <col min="8907" max="8907" width="17.33203125" style="1351" customWidth="1"/>
    <col min="8908" max="8908" width="18.88671875" style="1351" customWidth="1"/>
    <col min="8909" max="8909" width="14.109375" style="1351" customWidth="1"/>
    <col min="8910" max="8910" width="21.5546875" style="1351" customWidth="1"/>
    <col min="8911" max="8912" width="14.109375" style="1351" customWidth="1"/>
    <col min="8913" max="8913" width="15" style="1351" customWidth="1"/>
    <col min="8914" max="8914" width="13.33203125" style="1351" customWidth="1"/>
    <col min="8915" max="8915" width="17" style="1351" customWidth="1"/>
    <col min="8916" max="8916" width="24.88671875" style="1351" customWidth="1"/>
    <col min="8917" max="8917" width="14.44140625" style="1351" customWidth="1"/>
    <col min="8918" max="8918" width="23.109375" style="1351" customWidth="1"/>
    <col min="8919" max="8919" width="13.109375" style="1351" customWidth="1"/>
    <col min="8920" max="8923" width="0" style="1351" hidden="1" customWidth="1"/>
    <col min="8924" max="9159" width="10.33203125" style="1351"/>
    <col min="9160" max="9160" width="7" style="1351" customWidth="1"/>
    <col min="9161" max="9161" width="13" style="1351" customWidth="1"/>
    <col min="9162" max="9162" width="14.109375" style="1351" customWidth="1"/>
    <col min="9163" max="9163" width="17.33203125" style="1351" customWidth="1"/>
    <col min="9164" max="9164" width="18.88671875" style="1351" customWidth="1"/>
    <col min="9165" max="9165" width="14.109375" style="1351" customWidth="1"/>
    <col min="9166" max="9166" width="21.5546875" style="1351" customWidth="1"/>
    <col min="9167" max="9168" width="14.109375" style="1351" customWidth="1"/>
    <col min="9169" max="9169" width="15" style="1351" customWidth="1"/>
    <col min="9170" max="9170" width="13.33203125" style="1351" customWidth="1"/>
    <col min="9171" max="9171" width="17" style="1351" customWidth="1"/>
    <col min="9172" max="9172" width="24.88671875" style="1351" customWidth="1"/>
    <col min="9173" max="9173" width="14.44140625" style="1351" customWidth="1"/>
    <col min="9174" max="9174" width="23.109375" style="1351" customWidth="1"/>
    <col min="9175" max="9175" width="13.109375" style="1351" customWidth="1"/>
    <col min="9176" max="9179" width="0" style="1351" hidden="1" customWidth="1"/>
    <col min="9180" max="9415" width="10.33203125" style="1351"/>
    <col min="9416" max="9416" width="7" style="1351" customWidth="1"/>
    <col min="9417" max="9417" width="13" style="1351" customWidth="1"/>
    <col min="9418" max="9418" width="14.109375" style="1351" customWidth="1"/>
    <col min="9419" max="9419" width="17.33203125" style="1351" customWidth="1"/>
    <col min="9420" max="9420" width="18.88671875" style="1351" customWidth="1"/>
    <col min="9421" max="9421" width="14.109375" style="1351" customWidth="1"/>
    <col min="9422" max="9422" width="21.5546875" style="1351" customWidth="1"/>
    <col min="9423" max="9424" width="14.109375" style="1351" customWidth="1"/>
    <col min="9425" max="9425" width="15" style="1351" customWidth="1"/>
    <col min="9426" max="9426" width="13.33203125" style="1351" customWidth="1"/>
    <col min="9427" max="9427" width="17" style="1351" customWidth="1"/>
    <col min="9428" max="9428" width="24.88671875" style="1351" customWidth="1"/>
    <col min="9429" max="9429" width="14.44140625" style="1351" customWidth="1"/>
    <col min="9430" max="9430" width="23.109375" style="1351" customWidth="1"/>
    <col min="9431" max="9431" width="13.109375" style="1351" customWidth="1"/>
    <col min="9432" max="9435" width="0" style="1351" hidden="1" customWidth="1"/>
    <col min="9436" max="9671" width="10.33203125" style="1351"/>
    <col min="9672" max="9672" width="7" style="1351" customWidth="1"/>
    <col min="9673" max="9673" width="13" style="1351" customWidth="1"/>
    <col min="9674" max="9674" width="14.109375" style="1351" customWidth="1"/>
    <col min="9675" max="9675" width="17.33203125" style="1351" customWidth="1"/>
    <col min="9676" max="9676" width="18.88671875" style="1351" customWidth="1"/>
    <col min="9677" max="9677" width="14.109375" style="1351" customWidth="1"/>
    <col min="9678" max="9678" width="21.5546875" style="1351" customWidth="1"/>
    <col min="9679" max="9680" width="14.109375" style="1351" customWidth="1"/>
    <col min="9681" max="9681" width="15" style="1351" customWidth="1"/>
    <col min="9682" max="9682" width="13.33203125" style="1351" customWidth="1"/>
    <col min="9683" max="9683" width="17" style="1351" customWidth="1"/>
    <col min="9684" max="9684" width="24.88671875" style="1351" customWidth="1"/>
    <col min="9685" max="9685" width="14.44140625" style="1351" customWidth="1"/>
    <col min="9686" max="9686" width="23.109375" style="1351" customWidth="1"/>
    <col min="9687" max="9687" width="13.109375" style="1351" customWidth="1"/>
    <col min="9688" max="9691" width="0" style="1351" hidden="1" customWidth="1"/>
    <col min="9692" max="9927" width="10.33203125" style="1351"/>
    <col min="9928" max="9928" width="7" style="1351" customWidth="1"/>
    <col min="9929" max="9929" width="13" style="1351" customWidth="1"/>
    <col min="9930" max="9930" width="14.109375" style="1351" customWidth="1"/>
    <col min="9931" max="9931" width="17.33203125" style="1351" customWidth="1"/>
    <col min="9932" max="9932" width="18.88671875" style="1351" customWidth="1"/>
    <col min="9933" max="9933" width="14.109375" style="1351" customWidth="1"/>
    <col min="9934" max="9934" width="21.5546875" style="1351" customWidth="1"/>
    <col min="9935" max="9936" width="14.109375" style="1351" customWidth="1"/>
    <col min="9937" max="9937" width="15" style="1351" customWidth="1"/>
    <col min="9938" max="9938" width="13.33203125" style="1351" customWidth="1"/>
    <col min="9939" max="9939" width="17" style="1351" customWidth="1"/>
    <col min="9940" max="9940" width="24.88671875" style="1351" customWidth="1"/>
    <col min="9941" max="9941" width="14.44140625" style="1351" customWidth="1"/>
    <col min="9942" max="9942" width="23.109375" style="1351" customWidth="1"/>
    <col min="9943" max="9943" width="13.109375" style="1351" customWidth="1"/>
    <col min="9944" max="9947" width="0" style="1351" hidden="1" customWidth="1"/>
    <col min="9948" max="10183" width="10.33203125" style="1351"/>
    <col min="10184" max="10184" width="7" style="1351" customWidth="1"/>
    <col min="10185" max="10185" width="13" style="1351" customWidth="1"/>
    <col min="10186" max="10186" width="14.109375" style="1351" customWidth="1"/>
    <col min="10187" max="10187" width="17.33203125" style="1351" customWidth="1"/>
    <col min="10188" max="10188" width="18.88671875" style="1351" customWidth="1"/>
    <col min="10189" max="10189" width="14.109375" style="1351" customWidth="1"/>
    <col min="10190" max="10190" width="21.5546875" style="1351" customWidth="1"/>
    <col min="10191" max="10192" width="14.109375" style="1351" customWidth="1"/>
    <col min="10193" max="10193" width="15" style="1351" customWidth="1"/>
    <col min="10194" max="10194" width="13.33203125" style="1351" customWidth="1"/>
    <col min="10195" max="10195" width="17" style="1351" customWidth="1"/>
    <col min="10196" max="10196" width="24.88671875" style="1351" customWidth="1"/>
    <col min="10197" max="10197" width="14.44140625" style="1351" customWidth="1"/>
    <col min="10198" max="10198" width="23.109375" style="1351" customWidth="1"/>
    <col min="10199" max="10199" width="13.109375" style="1351" customWidth="1"/>
    <col min="10200" max="10203" width="0" style="1351" hidden="1" customWidth="1"/>
    <col min="10204" max="10439" width="10.33203125" style="1351"/>
    <col min="10440" max="10440" width="7" style="1351" customWidth="1"/>
    <col min="10441" max="10441" width="13" style="1351" customWidth="1"/>
    <col min="10442" max="10442" width="14.109375" style="1351" customWidth="1"/>
    <col min="10443" max="10443" width="17.33203125" style="1351" customWidth="1"/>
    <col min="10444" max="10444" width="18.88671875" style="1351" customWidth="1"/>
    <col min="10445" max="10445" width="14.109375" style="1351" customWidth="1"/>
    <col min="10446" max="10446" width="21.5546875" style="1351" customWidth="1"/>
    <col min="10447" max="10448" width="14.109375" style="1351" customWidth="1"/>
    <col min="10449" max="10449" width="15" style="1351" customWidth="1"/>
    <col min="10450" max="10450" width="13.33203125" style="1351" customWidth="1"/>
    <col min="10451" max="10451" width="17" style="1351" customWidth="1"/>
    <col min="10452" max="10452" width="24.88671875" style="1351" customWidth="1"/>
    <col min="10453" max="10453" width="14.44140625" style="1351" customWidth="1"/>
    <col min="10454" max="10454" width="23.109375" style="1351" customWidth="1"/>
    <col min="10455" max="10455" width="13.109375" style="1351" customWidth="1"/>
    <col min="10456" max="10459" width="0" style="1351" hidden="1" customWidth="1"/>
    <col min="10460" max="10695" width="10.33203125" style="1351"/>
    <col min="10696" max="10696" width="7" style="1351" customWidth="1"/>
    <col min="10697" max="10697" width="13" style="1351" customWidth="1"/>
    <col min="10698" max="10698" width="14.109375" style="1351" customWidth="1"/>
    <col min="10699" max="10699" width="17.33203125" style="1351" customWidth="1"/>
    <col min="10700" max="10700" width="18.88671875" style="1351" customWidth="1"/>
    <col min="10701" max="10701" width="14.109375" style="1351" customWidth="1"/>
    <col min="10702" max="10702" width="21.5546875" style="1351" customWidth="1"/>
    <col min="10703" max="10704" width="14.109375" style="1351" customWidth="1"/>
    <col min="10705" max="10705" width="15" style="1351" customWidth="1"/>
    <col min="10706" max="10706" width="13.33203125" style="1351" customWidth="1"/>
    <col min="10707" max="10707" width="17" style="1351" customWidth="1"/>
    <col min="10708" max="10708" width="24.88671875" style="1351" customWidth="1"/>
    <col min="10709" max="10709" width="14.44140625" style="1351" customWidth="1"/>
    <col min="10710" max="10710" width="23.109375" style="1351" customWidth="1"/>
    <col min="10711" max="10711" width="13.109375" style="1351" customWidth="1"/>
    <col min="10712" max="10715" width="0" style="1351" hidden="1" customWidth="1"/>
    <col min="10716" max="10951" width="10.33203125" style="1351"/>
    <col min="10952" max="10952" width="7" style="1351" customWidth="1"/>
    <col min="10953" max="10953" width="13" style="1351" customWidth="1"/>
    <col min="10954" max="10954" width="14.109375" style="1351" customWidth="1"/>
    <col min="10955" max="10955" width="17.33203125" style="1351" customWidth="1"/>
    <col min="10956" max="10956" width="18.88671875" style="1351" customWidth="1"/>
    <col min="10957" max="10957" width="14.109375" style="1351" customWidth="1"/>
    <col min="10958" max="10958" width="21.5546875" style="1351" customWidth="1"/>
    <col min="10959" max="10960" width="14.109375" style="1351" customWidth="1"/>
    <col min="10961" max="10961" width="15" style="1351" customWidth="1"/>
    <col min="10962" max="10962" width="13.33203125" style="1351" customWidth="1"/>
    <col min="10963" max="10963" width="17" style="1351" customWidth="1"/>
    <col min="10964" max="10964" width="24.88671875" style="1351" customWidth="1"/>
    <col min="10965" max="10965" width="14.44140625" style="1351" customWidth="1"/>
    <col min="10966" max="10966" width="23.109375" style="1351" customWidth="1"/>
    <col min="10967" max="10967" width="13.109375" style="1351" customWidth="1"/>
    <col min="10968" max="10971" width="0" style="1351" hidden="1" customWidth="1"/>
    <col min="10972" max="11207" width="10.33203125" style="1351"/>
    <col min="11208" max="11208" width="7" style="1351" customWidth="1"/>
    <col min="11209" max="11209" width="13" style="1351" customWidth="1"/>
    <col min="11210" max="11210" width="14.109375" style="1351" customWidth="1"/>
    <col min="11211" max="11211" width="17.33203125" style="1351" customWidth="1"/>
    <col min="11212" max="11212" width="18.88671875" style="1351" customWidth="1"/>
    <col min="11213" max="11213" width="14.109375" style="1351" customWidth="1"/>
    <col min="11214" max="11214" width="21.5546875" style="1351" customWidth="1"/>
    <col min="11215" max="11216" width="14.109375" style="1351" customWidth="1"/>
    <col min="11217" max="11217" width="15" style="1351" customWidth="1"/>
    <col min="11218" max="11218" width="13.33203125" style="1351" customWidth="1"/>
    <col min="11219" max="11219" width="17" style="1351" customWidth="1"/>
    <col min="11220" max="11220" width="24.88671875" style="1351" customWidth="1"/>
    <col min="11221" max="11221" width="14.44140625" style="1351" customWidth="1"/>
    <col min="11222" max="11222" width="23.109375" style="1351" customWidth="1"/>
    <col min="11223" max="11223" width="13.109375" style="1351" customWidth="1"/>
    <col min="11224" max="11227" width="0" style="1351" hidden="1" customWidth="1"/>
    <col min="11228" max="11463" width="10.33203125" style="1351"/>
    <col min="11464" max="11464" width="7" style="1351" customWidth="1"/>
    <col min="11465" max="11465" width="13" style="1351" customWidth="1"/>
    <col min="11466" max="11466" width="14.109375" style="1351" customWidth="1"/>
    <col min="11467" max="11467" width="17.33203125" style="1351" customWidth="1"/>
    <col min="11468" max="11468" width="18.88671875" style="1351" customWidth="1"/>
    <col min="11469" max="11469" width="14.109375" style="1351" customWidth="1"/>
    <col min="11470" max="11470" width="21.5546875" style="1351" customWidth="1"/>
    <col min="11471" max="11472" width="14.109375" style="1351" customWidth="1"/>
    <col min="11473" max="11473" width="15" style="1351" customWidth="1"/>
    <col min="11474" max="11474" width="13.33203125" style="1351" customWidth="1"/>
    <col min="11475" max="11475" width="17" style="1351" customWidth="1"/>
    <col min="11476" max="11476" width="24.88671875" style="1351" customWidth="1"/>
    <col min="11477" max="11477" width="14.44140625" style="1351" customWidth="1"/>
    <col min="11478" max="11478" width="23.109375" style="1351" customWidth="1"/>
    <col min="11479" max="11479" width="13.109375" style="1351" customWidth="1"/>
    <col min="11480" max="11483" width="0" style="1351" hidden="1" customWidth="1"/>
    <col min="11484" max="11719" width="10.33203125" style="1351"/>
    <col min="11720" max="11720" width="7" style="1351" customWidth="1"/>
    <col min="11721" max="11721" width="13" style="1351" customWidth="1"/>
    <col min="11722" max="11722" width="14.109375" style="1351" customWidth="1"/>
    <col min="11723" max="11723" width="17.33203125" style="1351" customWidth="1"/>
    <col min="11724" max="11724" width="18.88671875" style="1351" customWidth="1"/>
    <col min="11725" max="11725" width="14.109375" style="1351" customWidth="1"/>
    <col min="11726" max="11726" width="21.5546875" style="1351" customWidth="1"/>
    <col min="11727" max="11728" width="14.109375" style="1351" customWidth="1"/>
    <col min="11729" max="11729" width="15" style="1351" customWidth="1"/>
    <col min="11730" max="11730" width="13.33203125" style="1351" customWidth="1"/>
    <col min="11731" max="11731" width="17" style="1351" customWidth="1"/>
    <col min="11732" max="11732" width="24.88671875" style="1351" customWidth="1"/>
    <col min="11733" max="11733" width="14.44140625" style="1351" customWidth="1"/>
    <col min="11734" max="11734" width="23.109375" style="1351" customWidth="1"/>
    <col min="11735" max="11735" width="13.109375" style="1351" customWidth="1"/>
    <col min="11736" max="11739" width="0" style="1351" hidden="1" customWidth="1"/>
    <col min="11740" max="11975" width="10.33203125" style="1351"/>
    <col min="11976" max="11976" width="7" style="1351" customWidth="1"/>
    <col min="11977" max="11977" width="13" style="1351" customWidth="1"/>
    <col min="11978" max="11978" width="14.109375" style="1351" customWidth="1"/>
    <col min="11979" max="11979" width="17.33203125" style="1351" customWidth="1"/>
    <col min="11980" max="11980" width="18.88671875" style="1351" customWidth="1"/>
    <col min="11981" max="11981" width="14.109375" style="1351" customWidth="1"/>
    <col min="11982" max="11982" width="21.5546875" style="1351" customWidth="1"/>
    <col min="11983" max="11984" width="14.109375" style="1351" customWidth="1"/>
    <col min="11985" max="11985" width="15" style="1351" customWidth="1"/>
    <col min="11986" max="11986" width="13.33203125" style="1351" customWidth="1"/>
    <col min="11987" max="11987" width="17" style="1351" customWidth="1"/>
    <col min="11988" max="11988" width="24.88671875" style="1351" customWidth="1"/>
    <col min="11989" max="11989" width="14.44140625" style="1351" customWidth="1"/>
    <col min="11990" max="11990" width="23.109375" style="1351" customWidth="1"/>
    <col min="11991" max="11991" width="13.109375" style="1351" customWidth="1"/>
    <col min="11992" max="11995" width="0" style="1351" hidden="1" customWidth="1"/>
    <col min="11996" max="12231" width="10.33203125" style="1351"/>
    <col min="12232" max="12232" width="7" style="1351" customWidth="1"/>
    <col min="12233" max="12233" width="13" style="1351" customWidth="1"/>
    <col min="12234" max="12234" width="14.109375" style="1351" customWidth="1"/>
    <col min="12235" max="12235" width="17.33203125" style="1351" customWidth="1"/>
    <col min="12236" max="12236" width="18.88671875" style="1351" customWidth="1"/>
    <col min="12237" max="12237" width="14.109375" style="1351" customWidth="1"/>
    <col min="12238" max="12238" width="21.5546875" style="1351" customWidth="1"/>
    <col min="12239" max="12240" width="14.109375" style="1351" customWidth="1"/>
    <col min="12241" max="12241" width="15" style="1351" customWidth="1"/>
    <col min="12242" max="12242" width="13.33203125" style="1351" customWidth="1"/>
    <col min="12243" max="12243" width="17" style="1351" customWidth="1"/>
    <col min="12244" max="12244" width="24.88671875" style="1351" customWidth="1"/>
    <col min="12245" max="12245" width="14.44140625" style="1351" customWidth="1"/>
    <col min="12246" max="12246" width="23.109375" style="1351" customWidth="1"/>
    <col min="12247" max="12247" width="13.109375" style="1351" customWidth="1"/>
    <col min="12248" max="12251" width="0" style="1351" hidden="1" customWidth="1"/>
    <col min="12252" max="12487" width="10.33203125" style="1351"/>
    <col min="12488" max="12488" width="7" style="1351" customWidth="1"/>
    <col min="12489" max="12489" width="13" style="1351" customWidth="1"/>
    <col min="12490" max="12490" width="14.109375" style="1351" customWidth="1"/>
    <col min="12491" max="12491" width="17.33203125" style="1351" customWidth="1"/>
    <col min="12492" max="12492" width="18.88671875" style="1351" customWidth="1"/>
    <col min="12493" max="12493" width="14.109375" style="1351" customWidth="1"/>
    <col min="12494" max="12494" width="21.5546875" style="1351" customWidth="1"/>
    <col min="12495" max="12496" width="14.109375" style="1351" customWidth="1"/>
    <col min="12497" max="12497" width="15" style="1351" customWidth="1"/>
    <col min="12498" max="12498" width="13.33203125" style="1351" customWidth="1"/>
    <col min="12499" max="12499" width="17" style="1351" customWidth="1"/>
    <col min="12500" max="12500" width="24.88671875" style="1351" customWidth="1"/>
    <col min="12501" max="12501" width="14.44140625" style="1351" customWidth="1"/>
    <col min="12502" max="12502" width="23.109375" style="1351" customWidth="1"/>
    <col min="12503" max="12503" width="13.109375" style="1351" customWidth="1"/>
    <col min="12504" max="12507" width="0" style="1351" hidden="1" customWidth="1"/>
    <col min="12508" max="12743" width="10.33203125" style="1351"/>
    <col min="12744" max="12744" width="7" style="1351" customWidth="1"/>
    <col min="12745" max="12745" width="13" style="1351" customWidth="1"/>
    <col min="12746" max="12746" width="14.109375" style="1351" customWidth="1"/>
    <col min="12747" max="12747" width="17.33203125" style="1351" customWidth="1"/>
    <col min="12748" max="12748" width="18.88671875" style="1351" customWidth="1"/>
    <col min="12749" max="12749" width="14.109375" style="1351" customWidth="1"/>
    <col min="12750" max="12750" width="21.5546875" style="1351" customWidth="1"/>
    <col min="12751" max="12752" width="14.109375" style="1351" customWidth="1"/>
    <col min="12753" max="12753" width="15" style="1351" customWidth="1"/>
    <col min="12754" max="12754" width="13.33203125" style="1351" customWidth="1"/>
    <col min="12755" max="12755" width="17" style="1351" customWidth="1"/>
    <col min="12756" max="12756" width="24.88671875" style="1351" customWidth="1"/>
    <col min="12757" max="12757" width="14.44140625" style="1351" customWidth="1"/>
    <col min="12758" max="12758" width="23.109375" style="1351" customWidth="1"/>
    <col min="12759" max="12759" width="13.109375" style="1351" customWidth="1"/>
    <col min="12760" max="12763" width="0" style="1351" hidden="1" customWidth="1"/>
    <col min="12764" max="12999" width="10.33203125" style="1351"/>
    <col min="13000" max="13000" width="7" style="1351" customWidth="1"/>
    <col min="13001" max="13001" width="13" style="1351" customWidth="1"/>
    <col min="13002" max="13002" width="14.109375" style="1351" customWidth="1"/>
    <col min="13003" max="13003" width="17.33203125" style="1351" customWidth="1"/>
    <col min="13004" max="13004" width="18.88671875" style="1351" customWidth="1"/>
    <col min="13005" max="13005" width="14.109375" style="1351" customWidth="1"/>
    <col min="13006" max="13006" width="21.5546875" style="1351" customWidth="1"/>
    <col min="13007" max="13008" width="14.109375" style="1351" customWidth="1"/>
    <col min="13009" max="13009" width="15" style="1351" customWidth="1"/>
    <col min="13010" max="13010" width="13.33203125" style="1351" customWidth="1"/>
    <col min="13011" max="13011" width="17" style="1351" customWidth="1"/>
    <col min="13012" max="13012" width="24.88671875" style="1351" customWidth="1"/>
    <col min="13013" max="13013" width="14.44140625" style="1351" customWidth="1"/>
    <col min="13014" max="13014" width="23.109375" style="1351" customWidth="1"/>
    <col min="13015" max="13015" width="13.109375" style="1351" customWidth="1"/>
    <col min="13016" max="13019" width="0" style="1351" hidden="1" customWidth="1"/>
    <col min="13020" max="13255" width="10.33203125" style="1351"/>
    <col min="13256" max="13256" width="7" style="1351" customWidth="1"/>
    <col min="13257" max="13257" width="13" style="1351" customWidth="1"/>
    <col min="13258" max="13258" width="14.109375" style="1351" customWidth="1"/>
    <col min="13259" max="13259" width="17.33203125" style="1351" customWidth="1"/>
    <col min="13260" max="13260" width="18.88671875" style="1351" customWidth="1"/>
    <col min="13261" max="13261" width="14.109375" style="1351" customWidth="1"/>
    <col min="13262" max="13262" width="21.5546875" style="1351" customWidth="1"/>
    <col min="13263" max="13264" width="14.109375" style="1351" customWidth="1"/>
    <col min="13265" max="13265" width="15" style="1351" customWidth="1"/>
    <col min="13266" max="13266" width="13.33203125" style="1351" customWidth="1"/>
    <col min="13267" max="13267" width="17" style="1351" customWidth="1"/>
    <col min="13268" max="13268" width="24.88671875" style="1351" customWidth="1"/>
    <col min="13269" max="13269" width="14.44140625" style="1351" customWidth="1"/>
    <col min="13270" max="13270" width="23.109375" style="1351" customWidth="1"/>
    <col min="13271" max="13271" width="13.109375" style="1351" customWidth="1"/>
    <col min="13272" max="13275" width="0" style="1351" hidden="1" customWidth="1"/>
    <col min="13276" max="13511" width="10.33203125" style="1351"/>
    <col min="13512" max="13512" width="7" style="1351" customWidth="1"/>
    <col min="13513" max="13513" width="13" style="1351" customWidth="1"/>
    <col min="13514" max="13514" width="14.109375" style="1351" customWidth="1"/>
    <col min="13515" max="13515" width="17.33203125" style="1351" customWidth="1"/>
    <col min="13516" max="13516" width="18.88671875" style="1351" customWidth="1"/>
    <col min="13517" max="13517" width="14.109375" style="1351" customWidth="1"/>
    <col min="13518" max="13518" width="21.5546875" style="1351" customWidth="1"/>
    <col min="13519" max="13520" width="14.109375" style="1351" customWidth="1"/>
    <col min="13521" max="13521" width="15" style="1351" customWidth="1"/>
    <col min="13522" max="13522" width="13.33203125" style="1351" customWidth="1"/>
    <col min="13523" max="13523" width="17" style="1351" customWidth="1"/>
    <col min="13524" max="13524" width="24.88671875" style="1351" customWidth="1"/>
    <col min="13525" max="13525" width="14.44140625" style="1351" customWidth="1"/>
    <col min="13526" max="13526" width="23.109375" style="1351" customWidth="1"/>
    <col min="13527" max="13527" width="13.109375" style="1351" customWidth="1"/>
    <col min="13528" max="13531" width="0" style="1351" hidden="1" customWidth="1"/>
    <col min="13532" max="13767" width="10.33203125" style="1351"/>
    <col min="13768" max="13768" width="7" style="1351" customWidth="1"/>
    <col min="13769" max="13769" width="13" style="1351" customWidth="1"/>
    <col min="13770" max="13770" width="14.109375" style="1351" customWidth="1"/>
    <col min="13771" max="13771" width="17.33203125" style="1351" customWidth="1"/>
    <col min="13772" max="13772" width="18.88671875" style="1351" customWidth="1"/>
    <col min="13773" max="13773" width="14.109375" style="1351" customWidth="1"/>
    <col min="13774" max="13774" width="21.5546875" style="1351" customWidth="1"/>
    <col min="13775" max="13776" width="14.109375" style="1351" customWidth="1"/>
    <col min="13777" max="13777" width="15" style="1351" customWidth="1"/>
    <col min="13778" max="13778" width="13.33203125" style="1351" customWidth="1"/>
    <col min="13779" max="13779" width="17" style="1351" customWidth="1"/>
    <col min="13780" max="13780" width="24.88671875" style="1351" customWidth="1"/>
    <col min="13781" max="13781" width="14.44140625" style="1351" customWidth="1"/>
    <col min="13782" max="13782" width="23.109375" style="1351" customWidth="1"/>
    <col min="13783" max="13783" width="13.109375" style="1351" customWidth="1"/>
    <col min="13784" max="13787" width="0" style="1351" hidden="1" customWidth="1"/>
    <col min="13788" max="14023" width="10.33203125" style="1351"/>
    <col min="14024" max="14024" width="7" style="1351" customWidth="1"/>
    <col min="14025" max="14025" width="13" style="1351" customWidth="1"/>
    <col min="14026" max="14026" width="14.109375" style="1351" customWidth="1"/>
    <col min="14027" max="14027" width="17.33203125" style="1351" customWidth="1"/>
    <col min="14028" max="14028" width="18.88671875" style="1351" customWidth="1"/>
    <col min="14029" max="14029" width="14.109375" style="1351" customWidth="1"/>
    <col min="14030" max="14030" width="21.5546875" style="1351" customWidth="1"/>
    <col min="14031" max="14032" width="14.109375" style="1351" customWidth="1"/>
    <col min="14033" max="14033" width="15" style="1351" customWidth="1"/>
    <col min="14034" max="14034" width="13.33203125" style="1351" customWidth="1"/>
    <col min="14035" max="14035" width="17" style="1351" customWidth="1"/>
    <col min="14036" max="14036" width="24.88671875" style="1351" customWidth="1"/>
    <col min="14037" max="14037" width="14.44140625" style="1351" customWidth="1"/>
    <col min="14038" max="14038" width="23.109375" style="1351" customWidth="1"/>
    <col min="14039" max="14039" width="13.109375" style="1351" customWidth="1"/>
    <col min="14040" max="14043" width="0" style="1351" hidden="1" customWidth="1"/>
    <col min="14044" max="14279" width="10.33203125" style="1351"/>
    <col min="14280" max="14280" width="7" style="1351" customWidth="1"/>
    <col min="14281" max="14281" width="13" style="1351" customWidth="1"/>
    <col min="14282" max="14282" width="14.109375" style="1351" customWidth="1"/>
    <col min="14283" max="14283" width="17.33203125" style="1351" customWidth="1"/>
    <col min="14284" max="14284" width="18.88671875" style="1351" customWidth="1"/>
    <col min="14285" max="14285" width="14.109375" style="1351" customWidth="1"/>
    <col min="14286" max="14286" width="21.5546875" style="1351" customWidth="1"/>
    <col min="14287" max="14288" width="14.109375" style="1351" customWidth="1"/>
    <col min="14289" max="14289" width="15" style="1351" customWidth="1"/>
    <col min="14290" max="14290" width="13.33203125" style="1351" customWidth="1"/>
    <col min="14291" max="14291" width="17" style="1351" customWidth="1"/>
    <col min="14292" max="14292" width="24.88671875" style="1351" customWidth="1"/>
    <col min="14293" max="14293" width="14.44140625" style="1351" customWidth="1"/>
    <col min="14294" max="14294" width="23.109375" style="1351" customWidth="1"/>
    <col min="14295" max="14295" width="13.109375" style="1351" customWidth="1"/>
    <col min="14296" max="14299" width="0" style="1351" hidden="1" customWidth="1"/>
    <col min="14300" max="14535" width="10.33203125" style="1351"/>
    <col min="14536" max="14536" width="7" style="1351" customWidth="1"/>
    <col min="14537" max="14537" width="13" style="1351" customWidth="1"/>
    <col min="14538" max="14538" width="14.109375" style="1351" customWidth="1"/>
    <col min="14539" max="14539" width="17.33203125" style="1351" customWidth="1"/>
    <col min="14540" max="14540" width="18.88671875" style="1351" customWidth="1"/>
    <col min="14541" max="14541" width="14.109375" style="1351" customWidth="1"/>
    <col min="14542" max="14542" width="21.5546875" style="1351" customWidth="1"/>
    <col min="14543" max="14544" width="14.109375" style="1351" customWidth="1"/>
    <col min="14545" max="14545" width="15" style="1351" customWidth="1"/>
    <col min="14546" max="14546" width="13.33203125" style="1351" customWidth="1"/>
    <col min="14547" max="14547" width="17" style="1351" customWidth="1"/>
    <col min="14548" max="14548" width="24.88671875" style="1351" customWidth="1"/>
    <col min="14549" max="14549" width="14.44140625" style="1351" customWidth="1"/>
    <col min="14550" max="14550" width="23.109375" style="1351" customWidth="1"/>
    <col min="14551" max="14551" width="13.109375" style="1351" customWidth="1"/>
    <col min="14552" max="14555" width="0" style="1351" hidden="1" customWidth="1"/>
    <col min="14556" max="14791" width="10.33203125" style="1351"/>
    <col min="14792" max="14792" width="7" style="1351" customWidth="1"/>
    <col min="14793" max="14793" width="13" style="1351" customWidth="1"/>
    <col min="14794" max="14794" width="14.109375" style="1351" customWidth="1"/>
    <col min="14795" max="14795" width="17.33203125" style="1351" customWidth="1"/>
    <col min="14796" max="14796" width="18.88671875" style="1351" customWidth="1"/>
    <col min="14797" max="14797" width="14.109375" style="1351" customWidth="1"/>
    <col min="14798" max="14798" width="21.5546875" style="1351" customWidth="1"/>
    <col min="14799" max="14800" width="14.109375" style="1351" customWidth="1"/>
    <col min="14801" max="14801" width="15" style="1351" customWidth="1"/>
    <col min="14802" max="14802" width="13.33203125" style="1351" customWidth="1"/>
    <col min="14803" max="14803" width="17" style="1351" customWidth="1"/>
    <col min="14804" max="14804" width="24.88671875" style="1351" customWidth="1"/>
    <col min="14805" max="14805" width="14.44140625" style="1351" customWidth="1"/>
    <col min="14806" max="14806" width="23.109375" style="1351" customWidth="1"/>
    <col min="14807" max="14807" width="13.109375" style="1351" customWidth="1"/>
    <col min="14808" max="14811" width="0" style="1351" hidden="1" customWidth="1"/>
    <col min="14812" max="15047" width="10.33203125" style="1351"/>
    <col min="15048" max="15048" width="7" style="1351" customWidth="1"/>
    <col min="15049" max="15049" width="13" style="1351" customWidth="1"/>
    <col min="15050" max="15050" width="14.109375" style="1351" customWidth="1"/>
    <col min="15051" max="15051" width="17.33203125" style="1351" customWidth="1"/>
    <col min="15052" max="15052" width="18.88671875" style="1351" customWidth="1"/>
    <col min="15053" max="15053" width="14.109375" style="1351" customWidth="1"/>
    <col min="15054" max="15054" width="21.5546875" style="1351" customWidth="1"/>
    <col min="15055" max="15056" width="14.109375" style="1351" customWidth="1"/>
    <col min="15057" max="15057" width="15" style="1351" customWidth="1"/>
    <col min="15058" max="15058" width="13.33203125" style="1351" customWidth="1"/>
    <col min="15059" max="15059" width="17" style="1351" customWidth="1"/>
    <col min="15060" max="15060" width="24.88671875" style="1351" customWidth="1"/>
    <col min="15061" max="15061" width="14.44140625" style="1351" customWidth="1"/>
    <col min="15062" max="15062" width="23.109375" style="1351" customWidth="1"/>
    <col min="15063" max="15063" width="13.109375" style="1351" customWidth="1"/>
    <col min="15064" max="15067" width="0" style="1351" hidden="1" customWidth="1"/>
    <col min="15068" max="15303" width="10.33203125" style="1351"/>
    <col min="15304" max="15304" width="7" style="1351" customWidth="1"/>
    <col min="15305" max="15305" width="13" style="1351" customWidth="1"/>
    <col min="15306" max="15306" width="14.109375" style="1351" customWidth="1"/>
    <col min="15307" max="15307" width="17.33203125" style="1351" customWidth="1"/>
    <col min="15308" max="15308" width="18.88671875" style="1351" customWidth="1"/>
    <col min="15309" max="15309" width="14.109375" style="1351" customWidth="1"/>
    <col min="15310" max="15310" width="21.5546875" style="1351" customWidth="1"/>
    <col min="15311" max="15312" width="14.109375" style="1351" customWidth="1"/>
    <col min="15313" max="15313" width="15" style="1351" customWidth="1"/>
    <col min="15314" max="15314" width="13.33203125" style="1351" customWidth="1"/>
    <col min="15315" max="15315" width="17" style="1351" customWidth="1"/>
    <col min="15316" max="15316" width="24.88671875" style="1351" customWidth="1"/>
    <col min="15317" max="15317" width="14.44140625" style="1351" customWidth="1"/>
    <col min="15318" max="15318" width="23.109375" style="1351" customWidth="1"/>
    <col min="15319" max="15319" width="13.109375" style="1351" customWidth="1"/>
    <col min="15320" max="15323" width="0" style="1351" hidden="1" customWidth="1"/>
    <col min="15324" max="15559" width="10.33203125" style="1351"/>
    <col min="15560" max="15560" width="7" style="1351" customWidth="1"/>
    <col min="15561" max="15561" width="13" style="1351" customWidth="1"/>
    <col min="15562" max="15562" width="14.109375" style="1351" customWidth="1"/>
    <col min="15563" max="15563" width="17.33203125" style="1351" customWidth="1"/>
    <col min="15564" max="15564" width="18.88671875" style="1351" customWidth="1"/>
    <col min="15565" max="15565" width="14.109375" style="1351" customWidth="1"/>
    <col min="15566" max="15566" width="21.5546875" style="1351" customWidth="1"/>
    <col min="15567" max="15568" width="14.109375" style="1351" customWidth="1"/>
    <col min="15569" max="15569" width="15" style="1351" customWidth="1"/>
    <col min="15570" max="15570" width="13.33203125" style="1351" customWidth="1"/>
    <col min="15571" max="15571" width="17" style="1351" customWidth="1"/>
    <col min="15572" max="15572" width="24.88671875" style="1351" customWidth="1"/>
    <col min="15573" max="15573" width="14.44140625" style="1351" customWidth="1"/>
    <col min="15574" max="15574" width="23.109375" style="1351" customWidth="1"/>
    <col min="15575" max="15575" width="13.109375" style="1351" customWidth="1"/>
    <col min="15576" max="15579" width="0" style="1351" hidden="1" customWidth="1"/>
    <col min="15580" max="15815" width="10.33203125" style="1351"/>
    <col min="15816" max="15816" width="7" style="1351" customWidth="1"/>
    <col min="15817" max="15817" width="13" style="1351" customWidth="1"/>
    <col min="15818" max="15818" width="14.109375" style="1351" customWidth="1"/>
    <col min="15819" max="15819" width="17.33203125" style="1351" customWidth="1"/>
    <col min="15820" max="15820" width="18.88671875" style="1351" customWidth="1"/>
    <col min="15821" max="15821" width="14.109375" style="1351" customWidth="1"/>
    <col min="15822" max="15822" width="21.5546875" style="1351" customWidth="1"/>
    <col min="15823" max="15824" width="14.109375" style="1351" customWidth="1"/>
    <col min="15825" max="15825" width="15" style="1351" customWidth="1"/>
    <col min="15826" max="15826" width="13.33203125" style="1351" customWidth="1"/>
    <col min="15827" max="15827" width="17" style="1351" customWidth="1"/>
    <col min="15828" max="15828" width="24.88671875" style="1351" customWidth="1"/>
    <col min="15829" max="15829" width="14.44140625" style="1351" customWidth="1"/>
    <col min="15830" max="15830" width="23.109375" style="1351" customWidth="1"/>
    <col min="15831" max="15831" width="13.109375" style="1351" customWidth="1"/>
    <col min="15832" max="15835" width="0" style="1351" hidden="1" customWidth="1"/>
    <col min="15836" max="16071" width="10.33203125" style="1351"/>
    <col min="16072" max="16072" width="7" style="1351" customWidth="1"/>
    <col min="16073" max="16073" width="13" style="1351" customWidth="1"/>
    <col min="16074" max="16074" width="14.109375" style="1351" customWidth="1"/>
    <col min="16075" max="16075" width="17.33203125" style="1351" customWidth="1"/>
    <col min="16076" max="16076" width="18.88671875" style="1351" customWidth="1"/>
    <col min="16077" max="16077" width="14.109375" style="1351" customWidth="1"/>
    <col min="16078" max="16078" width="21.5546875" style="1351" customWidth="1"/>
    <col min="16079" max="16080" width="14.109375" style="1351" customWidth="1"/>
    <col min="16081" max="16081" width="15" style="1351" customWidth="1"/>
    <col min="16082" max="16082" width="13.33203125" style="1351" customWidth="1"/>
    <col min="16083" max="16083" width="17" style="1351" customWidth="1"/>
    <col min="16084" max="16084" width="24.88671875" style="1351" customWidth="1"/>
    <col min="16085" max="16085" width="14.44140625" style="1351" customWidth="1"/>
    <col min="16086" max="16086" width="23.109375" style="1351" customWidth="1"/>
    <col min="16087" max="16087" width="13.109375" style="1351" customWidth="1"/>
    <col min="16088" max="16091" width="0" style="1351" hidden="1" customWidth="1"/>
    <col min="16092" max="16384" width="10.33203125" style="1351"/>
  </cols>
  <sheetData>
    <row r="1" spans="1:44" ht="35.25" customHeight="1">
      <c r="A1" s="4060" t="s">
        <v>4574</v>
      </c>
      <c r="B1" s="4060"/>
      <c r="C1" s="4060"/>
      <c r="D1" s="4060"/>
      <c r="E1" s="4060"/>
      <c r="F1" s="4060"/>
      <c r="G1" s="4060"/>
      <c r="H1" s="4060"/>
      <c r="I1" s="4060"/>
      <c r="J1" s="4060"/>
      <c r="K1" s="4060"/>
      <c r="L1" s="1930"/>
      <c r="M1" s="1930"/>
      <c r="N1" s="1930"/>
      <c r="O1" s="1931"/>
      <c r="P1" s="1930"/>
      <c r="Q1" s="1930"/>
      <c r="R1" s="1930"/>
      <c r="S1" s="1930"/>
      <c r="T1" s="6"/>
      <c r="U1" s="743"/>
      <c r="V1" s="743"/>
      <c r="W1" s="743"/>
      <c r="X1" s="743"/>
      <c r="Y1" s="744"/>
      <c r="Z1" s="744"/>
      <c r="AA1" s="743"/>
      <c r="AB1" s="743"/>
      <c r="AC1" s="743"/>
      <c r="AD1" s="1358"/>
      <c r="AE1" s="747"/>
      <c r="AF1" s="748"/>
      <c r="AG1" s="1359"/>
    </row>
    <row r="2" spans="1:44" ht="15" customHeight="1">
      <c r="A2" s="1"/>
      <c r="B2" s="125"/>
      <c r="C2" s="1386"/>
      <c r="D2" s="3"/>
      <c r="E2" s="4"/>
      <c r="F2" s="4"/>
      <c r="G2" s="1377"/>
      <c r="H2" s="6"/>
      <c r="I2" s="6"/>
      <c r="J2" s="1783"/>
      <c r="K2" s="1659"/>
      <c r="L2" s="1378"/>
      <c r="M2" s="1465"/>
      <c r="N2" s="1835"/>
      <c r="O2" s="5"/>
      <c r="P2" s="1373"/>
      <c r="Q2" s="1373"/>
      <c r="R2" s="5"/>
      <c r="S2" s="5"/>
      <c r="T2" s="6"/>
      <c r="U2" s="738"/>
      <c r="V2" s="1538" t="e">
        <f>+INDEX('[2]CHI HO T.1'!$K$4:$K$36,MATCH(N2,$N$8:$N$31,0))</f>
        <v>#N/A</v>
      </c>
      <c r="W2" s="738"/>
      <c r="X2" s="738"/>
      <c r="Y2" s="739"/>
      <c r="Z2" s="1326"/>
      <c r="AA2" s="739"/>
      <c r="AB2" s="739"/>
      <c r="AC2" s="1326"/>
      <c r="AD2" s="740"/>
      <c r="AE2" s="1754">
        <f>(AC2*1.08)+((AH2*$AH$4)+(G2*3450000+H2*3550000+I2*AI2)+(AJ2*$AJ$4)+(AK2*$AK$4)+(AL2*$AL$4)+(AM2*$AM$4*(G2+H2))+(AN2*$AN$4)+(AO2*$AO$4)+(AP2*$AP$4)+(AQ2*$AQ$4))*1.08</f>
        <v>0</v>
      </c>
      <c r="AF2" s="739"/>
      <c r="AG2" s="2895"/>
    </row>
    <row r="3" spans="1:44" s="1352" customFormat="1" ht="20.25" customHeight="1">
      <c r="A3" s="4061" t="s">
        <v>4373</v>
      </c>
      <c r="B3" s="4062"/>
      <c r="C3" s="4062"/>
      <c r="D3" s="4062"/>
      <c r="E3" s="4062"/>
      <c r="F3" s="4062"/>
      <c r="G3" s="4062"/>
      <c r="H3" s="4062"/>
      <c r="I3" s="4062"/>
      <c r="J3" s="4062"/>
      <c r="K3" s="4062"/>
      <c r="L3" s="4062"/>
      <c r="M3" s="4062"/>
      <c r="N3" s="4062"/>
      <c r="O3" s="4062"/>
      <c r="P3" s="4062"/>
      <c r="Q3" s="4062"/>
      <c r="R3" s="4062"/>
      <c r="S3" s="2538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1:44">
      <c r="A4" s="1"/>
      <c r="B4" s="478"/>
      <c r="C4" s="1387" t="s">
        <v>4370</v>
      </c>
      <c r="D4" s="4063" t="s">
        <v>6195</v>
      </c>
      <c r="E4" s="4063"/>
      <c r="F4" s="4063"/>
      <c r="G4" s="4063"/>
      <c r="H4" s="4063"/>
      <c r="I4" s="4063"/>
      <c r="J4" s="4063"/>
      <c r="K4" s="4063"/>
      <c r="L4" s="4063"/>
      <c r="M4" s="1466"/>
      <c r="N4" s="1836"/>
      <c r="O4" s="1473"/>
      <c r="P4" s="1374"/>
      <c r="Q4" s="1374"/>
      <c r="R4" s="1305"/>
      <c r="S4" s="2545"/>
      <c r="T4" s="6"/>
      <c r="U4" s="743"/>
      <c r="V4" s="743"/>
      <c r="W4" s="743"/>
      <c r="X4" s="743"/>
      <c r="Y4" s="744"/>
      <c r="Z4" s="744"/>
      <c r="AA4" s="743"/>
      <c r="AB4" s="743"/>
      <c r="AC4" s="743"/>
      <c r="AD4" s="746"/>
      <c r="AE4" s="747"/>
      <c r="AF4" s="748"/>
      <c r="AG4" s="749"/>
      <c r="AH4" s="1526">
        <v>770000</v>
      </c>
      <c r="AI4" s="1527"/>
      <c r="AJ4" s="1526">
        <v>900000</v>
      </c>
      <c r="AK4" s="1526">
        <v>450000</v>
      </c>
      <c r="AL4" s="1526">
        <v>2500000</v>
      </c>
      <c r="AM4" s="1526">
        <v>1000000</v>
      </c>
      <c r="AN4" s="1526">
        <v>203703</v>
      </c>
      <c r="AO4" s="1526">
        <v>1000000</v>
      </c>
      <c r="AP4" s="1528">
        <v>400000</v>
      </c>
      <c r="AQ4" s="1528">
        <v>650000</v>
      </c>
      <c r="AR4" s="1528">
        <v>300000</v>
      </c>
    </row>
    <row r="5" spans="1:44" ht="66">
      <c r="A5" s="29" t="s">
        <v>2</v>
      </c>
      <c r="B5" s="1336" t="s">
        <v>4407</v>
      </c>
      <c r="C5" s="1389" t="s">
        <v>3</v>
      </c>
      <c r="D5" s="1338" t="s">
        <v>4</v>
      </c>
      <c r="E5" s="1337" t="s">
        <v>5</v>
      </c>
      <c r="F5" s="1337" t="s">
        <v>179</v>
      </c>
      <c r="G5" s="33" t="s">
        <v>8</v>
      </c>
      <c r="H5" s="33" t="s">
        <v>9</v>
      </c>
      <c r="I5" s="33" t="s">
        <v>102</v>
      </c>
      <c r="J5" s="1784" t="s">
        <v>4497</v>
      </c>
      <c r="K5" s="323" t="s">
        <v>4408</v>
      </c>
      <c r="L5" s="1383" t="s">
        <v>1888</v>
      </c>
      <c r="M5" s="1472" t="s">
        <v>4533</v>
      </c>
      <c r="N5" s="1382" t="s">
        <v>4539</v>
      </c>
      <c r="O5" s="1382" t="s">
        <v>4538</v>
      </c>
      <c r="P5" s="323" t="s">
        <v>4411</v>
      </c>
      <c r="Q5" s="323" t="s">
        <v>8098</v>
      </c>
      <c r="R5" s="33" t="s">
        <v>4397</v>
      </c>
      <c r="S5" s="33" t="s">
        <v>5939</v>
      </c>
      <c r="T5" s="33" t="s">
        <v>97</v>
      </c>
      <c r="U5" s="1334" t="s">
        <v>1291</v>
      </c>
      <c r="V5" s="1334" t="s">
        <v>190</v>
      </c>
      <c r="W5" s="1334" t="s">
        <v>191</v>
      </c>
      <c r="X5" s="1340" t="s">
        <v>192</v>
      </c>
      <c r="Y5" s="1340" t="s">
        <v>193</v>
      </c>
      <c r="Z5" s="1340" t="s">
        <v>1313</v>
      </c>
      <c r="AA5" s="1335" t="s">
        <v>194</v>
      </c>
      <c r="AB5" s="1335" t="s">
        <v>195</v>
      </c>
      <c r="AC5" s="1335" t="s">
        <v>4661</v>
      </c>
      <c r="AD5" s="1341" t="s">
        <v>197</v>
      </c>
      <c r="AE5" s="1340" t="s">
        <v>198</v>
      </c>
      <c r="AF5" s="1335" t="s">
        <v>199</v>
      </c>
      <c r="AG5" s="2896" t="s">
        <v>200</v>
      </c>
      <c r="AH5" s="1353" t="s">
        <v>4655</v>
      </c>
      <c r="AI5" s="1351" t="s">
        <v>4663</v>
      </c>
      <c r="AJ5" s="1516" t="s">
        <v>4654</v>
      </c>
      <c r="AK5" s="1516" t="s">
        <v>4656</v>
      </c>
      <c r="AL5" s="1516" t="s">
        <v>4657</v>
      </c>
      <c r="AM5" s="1516" t="s">
        <v>5093</v>
      </c>
      <c r="AN5" s="1351" t="s">
        <v>4658</v>
      </c>
      <c r="AO5" s="1351" t="s">
        <v>4659</v>
      </c>
      <c r="AP5" s="1516" t="s">
        <v>4660</v>
      </c>
      <c r="AQ5" s="1351" t="s">
        <v>4662</v>
      </c>
      <c r="AR5" s="2026" t="s">
        <v>5219</v>
      </c>
    </row>
    <row r="6" spans="1:44">
      <c r="A6" s="3965" t="s">
        <v>4302</v>
      </c>
      <c r="B6" s="3795"/>
      <c r="C6" s="3795"/>
      <c r="D6" s="3795"/>
      <c r="E6" s="3795"/>
      <c r="F6" s="3795"/>
      <c r="G6" s="3795"/>
      <c r="H6" s="3795"/>
      <c r="I6" s="3795"/>
      <c r="J6" s="3795"/>
      <c r="K6" s="3795"/>
      <c r="L6" s="1531"/>
      <c r="M6" s="1531"/>
      <c r="N6" s="1531"/>
      <c r="O6" s="1923"/>
      <c r="P6" s="1375"/>
      <c r="Q6" s="3617"/>
      <c r="R6" s="1342"/>
      <c r="S6" s="1708"/>
      <c r="T6" s="1932"/>
      <c r="U6" s="1933"/>
      <c r="V6" s="1932"/>
      <c r="W6" s="1932"/>
      <c r="X6" s="1932"/>
      <c r="Y6" s="1934"/>
      <c r="Z6" s="1934"/>
      <c r="AA6" s="1932"/>
      <c r="AB6" s="1935"/>
      <c r="AC6" s="1935"/>
      <c r="AD6" s="1936"/>
      <c r="AE6" s="1937"/>
      <c r="AF6" s="1937"/>
      <c r="AG6" s="2897"/>
      <c r="AH6" s="1354"/>
      <c r="AI6" s="1354"/>
      <c r="AJ6" s="1350"/>
    </row>
    <row r="7" spans="1:44" ht="79.2">
      <c r="A7" s="1489">
        <v>1</v>
      </c>
      <c r="B7" s="1495" t="s">
        <v>4577</v>
      </c>
      <c r="C7" s="1551" t="s">
        <v>4578</v>
      </c>
      <c r="D7" s="1550">
        <v>45602</v>
      </c>
      <c r="E7" s="1507" t="s">
        <v>4631</v>
      </c>
      <c r="F7" s="1488" t="s">
        <v>210</v>
      </c>
      <c r="G7" s="1489">
        <v>3</v>
      </c>
      <c r="H7" s="1488"/>
      <c r="I7" s="1488"/>
      <c r="J7" s="1785">
        <v>48412</v>
      </c>
      <c r="K7" s="1489" t="s">
        <v>4579</v>
      </c>
      <c r="L7" s="1491" t="s">
        <v>4611</v>
      </c>
      <c r="M7" s="1488"/>
      <c r="N7" s="1837" t="s">
        <v>4610</v>
      </c>
      <c r="O7" s="1499" t="s">
        <v>4609</v>
      </c>
      <c r="P7" s="1489"/>
      <c r="Q7" s="1742"/>
      <c r="R7" s="1490"/>
      <c r="S7" s="1743"/>
      <c r="T7" s="1938"/>
      <c r="U7" s="1939"/>
      <c r="V7" s="1940"/>
      <c r="W7" s="1938"/>
      <c r="X7" s="1938"/>
      <c r="Y7" s="1434"/>
      <c r="Z7" s="1330"/>
      <c r="AA7" s="1938"/>
      <c r="AB7" s="1325">
        <f t="shared" ref="AB7:AB31" si="0">+U7+V7+W7+X7+Y7+Z7+AA7</f>
        <v>0</v>
      </c>
      <c r="AC7" s="1331"/>
      <c r="AD7" s="1488" t="s">
        <v>4653</v>
      </c>
      <c r="AE7" s="1331">
        <f>600000*1.08</f>
        <v>648000</v>
      </c>
      <c r="AF7" s="1941">
        <f t="shared" ref="AF7:AF31" si="1">+AB7+AE7</f>
        <v>648000</v>
      </c>
      <c r="AG7" s="2898"/>
      <c r="AH7" s="1517"/>
      <c r="AI7" s="1517"/>
      <c r="AJ7" s="1518"/>
      <c r="AK7" s="1519"/>
      <c r="AL7" s="1519"/>
      <c r="AM7" s="1519"/>
      <c r="AN7" s="1519"/>
      <c r="AO7" s="1519"/>
      <c r="AP7" s="1519"/>
      <c r="AQ7" s="1519"/>
      <c r="AR7" s="1519"/>
    </row>
    <row r="8" spans="1:44" ht="21" customHeight="1">
      <c r="A8" s="670">
        <v>2</v>
      </c>
      <c r="B8" s="3791" t="s">
        <v>4358</v>
      </c>
      <c r="C8" s="1324">
        <v>307045848710</v>
      </c>
      <c r="D8" s="1530" t="s">
        <v>4358</v>
      </c>
      <c r="E8" s="4008" t="s">
        <v>4576</v>
      </c>
      <c r="F8" s="3925" t="s">
        <v>210</v>
      </c>
      <c r="G8" s="451">
        <v>1</v>
      </c>
      <c r="H8" s="445"/>
      <c r="I8" s="445"/>
      <c r="J8" s="1785">
        <v>16361.25</v>
      </c>
      <c r="K8" s="4065" t="s">
        <v>4369</v>
      </c>
      <c r="L8" s="1492" t="s">
        <v>4580</v>
      </c>
      <c r="M8" s="1487"/>
      <c r="N8" s="1838" t="s">
        <v>4376</v>
      </c>
      <c r="O8" s="1828"/>
      <c r="P8" s="3946" t="s">
        <v>4379</v>
      </c>
      <c r="Q8" s="3592"/>
      <c r="R8" s="1778" t="s">
        <v>2966</v>
      </c>
      <c r="S8" s="1778"/>
      <c r="T8" s="1778"/>
      <c r="U8" s="1556"/>
      <c r="V8" s="1554">
        <v>1590000</v>
      </c>
      <c r="W8" s="1561">
        <v>1296000</v>
      </c>
      <c r="X8" s="1170"/>
      <c r="Y8" s="1327"/>
      <c r="Z8" s="1504">
        <v>250000</v>
      </c>
      <c r="AA8" s="1170"/>
      <c r="AB8" s="1325">
        <f t="shared" si="0"/>
        <v>3136000</v>
      </c>
      <c r="AC8" s="1331"/>
      <c r="AD8" s="1173"/>
      <c r="AE8" s="1332">
        <f t="shared" ref="AE8:AE31" si="2">(AC8*1.08)+((AH8*$AH$4)+(G8*3450000+H8*3550000+I8*AI8)+(AJ8*$AJ$4)+(AK8*$AK$4)+(AL8*$AL$4)+(AN8*$AN$4)+(AO8*$AO$4)+(AP8*$AP$4)+(AQ8*$AQ$4))*1.08</f>
        <v>5259600</v>
      </c>
      <c r="AF8" s="1941">
        <f t="shared" si="1"/>
        <v>8395600</v>
      </c>
      <c r="AG8" s="2898"/>
      <c r="AH8" s="1518">
        <v>1</v>
      </c>
      <c r="AI8" s="1519"/>
      <c r="AJ8" s="1519"/>
      <c r="AK8" s="1519"/>
      <c r="AL8" s="1519"/>
      <c r="AM8" s="1519"/>
      <c r="AN8" s="1519"/>
      <c r="AO8" s="1519"/>
      <c r="AP8" s="1519"/>
      <c r="AQ8" s="1519">
        <v>1</v>
      </c>
      <c r="AR8" s="1519"/>
    </row>
    <row r="9" spans="1:44">
      <c r="A9" s="1489">
        <v>3</v>
      </c>
      <c r="B9" s="3791"/>
      <c r="C9" s="1324">
        <v>307045857660</v>
      </c>
      <c r="D9" s="699" t="s">
        <v>4358</v>
      </c>
      <c r="E9" s="4008"/>
      <c r="F9" s="3925"/>
      <c r="G9" s="431">
        <v>1</v>
      </c>
      <c r="H9" s="167"/>
      <c r="I9" s="167"/>
      <c r="J9" s="1785">
        <v>17046.09</v>
      </c>
      <c r="K9" s="4066"/>
      <c r="L9" s="1492" t="s">
        <v>4581</v>
      </c>
      <c r="M9" s="1467"/>
      <c r="N9" s="1838" t="s">
        <v>4377</v>
      </c>
      <c r="O9" s="1829"/>
      <c r="P9" s="3946"/>
      <c r="Q9" s="3592"/>
      <c r="R9" s="1778" t="s">
        <v>2966</v>
      </c>
      <c r="S9" s="1778"/>
      <c r="T9" s="1778"/>
      <c r="U9" s="1552"/>
      <c r="V9" s="1555">
        <v>0</v>
      </c>
      <c r="W9" s="1553"/>
      <c r="X9" s="752"/>
      <c r="Y9" s="1328"/>
      <c r="Z9" s="1504">
        <v>250000</v>
      </c>
      <c r="AA9" s="1170"/>
      <c r="AB9" s="1325">
        <f t="shared" si="0"/>
        <v>250000</v>
      </c>
      <c r="AC9" s="1331"/>
      <c r="AD9" s="755"/>
      <c r="AE9" s="1332">
        <f t="shared" si="2"/>
        <v>5259600</v>
      </c>
      <c r="AF9" s="1941">
        <f t="shared" si="1"/>
        <v>5509600</v>
      </c>
      <c r="AG9" s="2899"/>
      <c r="AH9" s="1518">
        <v>1</v>
      </c>
      <c r="AI9" s="1519"/>
      <c r="AJ9" s="1519"/>
      <c r="AK9" s="1519"/>
      <c r="AL9" s="1519"/>
      <c r="AM9" s="1519"/>
      <c r="AN9" s="1519"/>
      <c r="AO9" s="1519"/>
      <c r="AP9" s="1519"/>
      <c r="AQ9" s="1519">
        <v>1</v>
      </c>
      <c r="AR9" s="1519"/>
    </row>
    <row r="10" spans="1:44">
      <c r="A10" s="670">
        <v>4</v>
      </c>
      <c r="B10" s="3792"/>
      <c r="C10" s="1324">
        <v>307045915430</v>
      </c>
      <c r="D10" s="699" t="s">
        <v>4358</v>
      </c>
      <c r="E10" s="4009"/>
      <c r="F10" s="4004"/>
      <c r="G10" s="431">
        <v>1</v>
      </c>
      <c r="H10" s="167"/>
      <c r="I10" s="167"/>
      <c r="J10" s="1785">
        <v>16942.900000000001</v>
      </c>
      <c r="K10" s="4067"/>
      <c r="L10" s="1492" t="s">
        <v>4582</v>
      </c>
      <c r="M10" s="1467"/>
      <c r="N10" s="1839" t="s">
        <v>4378</v>
      </c>
      <c r="O10" s="1830"/>
      <c r="P10" s="4064"/>
      <c r="Q10" s="3601"/>
      <c r="R10" s="1778" t="s">
        <v>2966</v>
      </c>
      <c r="S10" s="1778"/>
      <c r="T10" s="1778"/>
      <c r="U10" s="1552"/>
      <c r="V10" s="1554">
        <v>795000</v>
      </c>
      <c r="W10" s="1553"/>
      <c r="X10" s="752"/>
      <c r="Y10" s="1328"/>
      <c r="Z10" s="1504">
        <v>250000</v>
      </c>
      <c r="AA10" s="1170"/>
      <c r="AB10" s="1325">
        <f t="shared" si="0"/>
        <v>1045000</v>
      </c>
      <c r="AC10" s="1331"/>
      <c r="AD10" s="755"/>
      <c r="AE10" s="1332">
        <f t="shared" si="2"/>
        <v>5259600</v>
      </c>
      <c r="AF10" s="1941">
        <f t="shared" si="1"/>
        <v>6304600</v>
      </c>
      <c r="AG10" s="2899"/>
      <c r="AH10" s="1518">
        <v>1</v>
      </c>
      <c r="AI10" s="1519"/>
      <c r="AJ10" s="1519"/>
      <c r="AK10" s="1519"/>
      <c r="AL10" s="1519"/>
      <c r="AM10" s="1519"/>
      <c r="AN10" s="1519"/>
      <c r="AO10" s="1519"/>
      <c r="AP10" s="1519"/>
      <c r="AQ10" s="1519">
        <v>1</v>
      </c>
      <c r="AR10" s="1519"/>
    </row>
    <row r="11" spans="1:44">
      <c r="A11" s="1489">
        <v>5</v>
      </c>
      <c r="B11" s="4000" t="s">
        <v>4374</v>
      </c>
      <c r="C11" s="1324">
        <v>307049170210</v>
      </c>
      <c r="D11" s="699" t="s">
        <v>4374</v>
      </c>
      <c r="E11" s="4007" t="s">
        <v>4633</v>
      </c>
      <c r="F11" s="4003" t="s">
        <v>210</v>
      </c>
      <c r="G11" s="431">
        <v>1</v>
      </c>
      <c r="H11" s="167"/>
      <c r="I11" s="167"/>
      <c r="J11" s="1785">
        <v>16973.830000000002</v>
      </c>
      <c r="K11" s="4068" t="s">
        <v>4385</v>
      </c>
      <c r="L11" s="1492" t="s">
        <v>4583</v>
      </c>
      <c r="M11" s="1467">
        <v>4</v>
      </c>
      <c r="N11" s="1840" t="s">
        <v>4534</v>
      </c>
      <c r="O11" s="1442"/>
      <c r="P11" s="4058" t="s">
        <v>4410</v>
      </c>
      <c r="Q11" s="3595"/>
      <c r="R11" s="4070" t="s">
        <v>2966</v>
      </c>
      <c r="S11" s="2541"/>
      <c r="T11" s="1778"/>
      <c r="U11" s="1552"/>
      <c r="V11" s="1554">
        <v>795000</v>
      </c>
      <c r="W11" s="1561">
        <v>1296000</v>
      </c>
      <c r="X11" s="752"/>
      <c r="Y11" s="1328"/>
      <c r="Z11" s="1504">
        <v>250000</v>
      </c>
      <c r="AA11" s="1170"/>
      <c r="AB11" s="1325">
        <f t="shared" si="0"/>
        <v>2341000</v>
      </c>
      <c r="AC11" s="1331"/>
      <c r="AD11" s="755"/>
      <c r="AE11" s="1332">
        <f t="shared" si="2"/>
        <v>5259600</v>
      </c>
      <c r="AF11" s="1941">
        <f t="shared" si="1"/>
        <v>7600600</v>
      </c>
      <c r="AG11" s="2899"/>
      <c r="AH11" s="1518">
        <v>1</v>
      </c>
      <c r="AI11" s="1519"/>
      <c r="AJ11" s="1519"/>
      <c r="AK11" s="1519"/>
      <c r="AL11" s="1519"/>
      <c r="AM11" s="1519"/>
      <c r="AN11" s="1519"/>
      <c r="AO11" s="1519"/>
      <c r="AP11" s="1519"/>
      <c r="AQ11" s="1519">
        <v>1</v>
      </c>
      <c r="AR11" s="1519"/>
    </row>
    <row r="12" spans="1:44">
      <c r="A12" s="670">
        <v>6</v>
      </c>
      <c r="B12" s="4001"/>
      <c r="C12" s="1324">
        <v>307049175660</v>
      </c>
      <c r="D12" s="699" t="s">
        <v>4374</v>
      </c>
      <c r="E12" s="4008"/>
      <c r="F12" s="3925"/>
      <c r="G12" s="431">
        <v>1</v>
      </c>
      <c r="H12" s="167"/>
      <c r="I12" s="167"/>
      <c r="J12" s="1785">
        <v>15385.02</v>
      </c>
      <c r="K12" s="4068"/>
      <c r="L12" s="1492" t="s">
        <v>4584</v>
      </c>
      <c r="M12" s="1467">
        <v>5</v>
      </c>
      <c r="N12" s="1841" t="s">
        <v>4535</v>
      </c>
      <c r="O12" s="1831"/>
      <c r="P12" s="3919"/>
      <c r="Q12" s="3590"/>
      <c r="R12" s="4018"/>
      <c r="S12" s="2541"/>
      <c r="T12" s="1778"/>
      <c r="U12" s="1552"/>
      <c r="V12" s="1554">
        <v>795000</v>
      </c>
      <c r="W12" s="1553"/>
      <c r="X12" s="752"/>
      <c r="Y12" s="1328"/>
      <c r="Z12" s="1504">
        <v>250000</v>
      </c>
      <c r="AA12" s="1170"/>
      <c r="AB12" s="1325">
        <f t="shared" si="0"/>
        <v>1045000</v>
      </c>
      <c r="AC12" s="1331"/>
      <c r="AD12" s="755"/>
      <c r="AE12" s="1332">
        <f t="shared" si="2"/>
        <v>5259600</v>
      </c>
      <c r="AF12" s="1941">
        <f t="shared" si="1"/>
        <v>6304600</v>
      </c>
      <c r="AG12" s="2899"/>
      <c r="AH12" s="1518">
        <v>1</v>
      </c>
      <c r="AI12" s="1519"/>
      <c r="AJ12" s="1519"/>
      <c r="AK12" s="1519"/>
      <c r="AL12" s="1519"/>
      <c r="AM12" s="1519"/>
      <c r="AN12" s="1519"/>
      <c r="AO12" s="1519"/>
      <c r="AP12" s="1519"/>
      <c r="AQ12" s="1519">
        <v>1</v>
      </c>
      <c r="AR12" s="1519"/>
    </row>
    <row r="13" spans="1:44" s="1350" customFormat="1">
      <c r="A13" s="1489">
        <v>7</v>
      </c>
      <c r="B13" s="4002"/>
      <c r="C13" s="1324">
        <v>307049180820</v>
      </c>
      <c r="D13" s="699" t="s">
        <v>4374</v>
      </c>
      <c r="E13" s="4009"/>
      <c r="F13" s="4004"/>
      <c r="G13" s="431">
        <v>1</v>
      </c>
      <c r="H13" s="167"/>
      <c r="I13" s="167"/>
      <c r="J13" s="1785">
        <v>13083.5</v>
      </c>
      <c r="K13" s="4068"/>
      <c r="L13" s="1492" t="s">
        <v>4585</v>
      </c>
      <c r="M13" s="1467">
        <v>7</v>
      </c>
      <c r="N13" s="1840" t="s">
        <v>4536</v>
      </c>
      <c r="O13" s="1442"/>
      <c r="P13" s="4043"/>
      <c r="Q13" s="3598"/>
      <c r="R13" s="3681"/>
      <c r="S13" s="2537"/>
      <c r="T13" s="1778"/>
      <c r="U13" s="1552"/>
      <c r="V13" s="1554">
        <v>795000</v>
      </c>
      <c r="W13" s="1553"/>
      <c r="X13" s="752"/>
      <c r="Y13" s="1328"/>
      <c r="Z13" s="1504">
        <v>250000</v>
      </c>
      <c r="AA13" s="1170"/>
      <c r="AB13" s="1325">
        <f t="shared" si="0"/>
        <v>1045000</v>
      </c>
      <c r="AC13" s="1331"/>
      <c r="AD13" s="755"/>
      <c r="AE13" s="1332">
        <f t="shared" si="2"/>
        <v>5259600</v>
      </c>
      <c r="AF13" s="1941">
        <f t="shared" si="1"/>
        <v>6304600</v>
      </c>
      <c r="AG13" s="2899"/>
      <c r="AH13" s="1518">
        <v>1</v>
      </c>
      <c r="AI13" s="1519"/>
      <c r="AJ13" s="1518"/>
      <c r="AK13" s="1518"/>
      <c r="AL13" s="1518"/>
      <c r="AM13" s="1518"/>
      <c r="AN13" s="1518"/>
      <c r="AO13" s="1518"/>
      <c r="AP13" s="1518"/>
      <c r="AQ13" s="1519">
        <v>1</v>
      </c>
      <c r="AR13" s="1518"/>
    </row>
    <row r="14" spans="1:44" s="1350" customFormat="1" ht="16.5" customHeight="1">
      <c r="A14" s="670">
        <v>8</v>
      </c>
      <c r="B14" s="4014" t="s">
        <v>4428</v>
      </c>
      <c r="C14" s="1388">
        <v>307065448010</v>
      </c>
      <c r="D14" s="386" t="s">
        <v>4428</v>
      </c>
      <c r="E14" s="4007" t="s">
        <v>4634</v>
      </c>
      <c r="F14" s="4003" t="s">
        <v>210</v>
      </c>
      <c r="G14" s="431">
        <v>1</v>
      </c>
      <c r="H14" s="1437"/>
      <c r="I14" s="1437"/>
      <c r="J14" s="1785">
        <v>14412</v>
      </c>
      <c r="K14" s="4005" t="s">
        <v>4447</v>
      </c>
      <c r="L14" s="1493" t="s">
        <v>4586</v>
      </c>
      <c r="M14" s="1468">
        <v>6</v>
      </c>
      <c r="N14" s="1840" t="s">
        <v>4543</v>
      </c>
      <c r="O14" s="1442" t="s">
        <v>4537</v>
      </c>
      <c r="P14" s="4071" t="s">
        <v>4476</v>
      </c>
      <c r="Q14" s="1729"/>
      <c r="R14" s="4055" t="s">
        <v>2857</v>
      </c>
      <c r="S14" s="2539"/>
      <c r="T14" s="1778"/>
      <c r="U14" s="1552"/>
      <c r="V14" s="1554">
        <v>870000</v>
      </c>
      <c r="W14" s="1561">
        <v>1420000</v>
      </c>
      <c r="X14" s="752"/>
      <c r="Y14" s="1328"/>
      <c r="Z14" s="1504">
        <v>250000</v>
      </c>
      <c r="AA14" s="1170"/>
      <c r="AB14" s="1325">
        <f t="shared" si="0"/>
        <v>2540000</v>
      </c>
      <c r="AC14" s="1331"/>
      <c r="AD14" s="755"/>
      <c r="AE14" s="1332">
        <f t="shared" si="2"/>
        <v>5259600</v>
      </c>
      <c r="AF14" s="1941">
        <f t="shared" si="1"/>
        <v>7799600</v>
      </c>
      <c r="AG14" s="2899"/>
      <c r="AH14" s="1518">
        <v>1</v>
      </c>
      <c r="AI14" s="1519"/>
      <c r="AJ14" s="1518"/>
      <c r="AK14" s="1518"/>
      <c r="AL14" s="1518"/>
      <c r="AM14" s="1518"/>
      <c r="AN14" s="1518"/>
      <c r="AO14" s="1518"/>
      <c r="AP14" s="1518"/>
      <c r="AQ14" s="1519">
        <v>1</v>
      </c>
      <c r="AR14" s="1518"/>
    </row>
    <row r="15" spans="1:44" s="1350" customFormat="1" ht="15.75" customHeight="1">
      <c r="A15" s="1489">
        <v>9</v>
      </c>
      <c r="B15" s="4002"/>
      <c r="C15" s="1432">
        <v>307065457660</v>
      </c>
      <c r="D15" s="386" t="s">
        <v>4428</v>
      </c>
      <c r="E15" s="4009"/>
      <c r="F15" s="4004"/>
      <c r="G15" s="431">
        <v>1</v>
      </c>
      <c r="H15" s="1437"/>
      <c r="I15" s="1437"/>
      <c r="J15" s="1785">
        <v>14882.32</v>
      </c>
      <c r="K15" s="3913"/>
      <c r="L15" s="1493" t="s">
        <v>4587</v>
      </c>
      <c r="M15" s="1468">
        <v>7</v>
      </c>
      <c r="N15" s="1840" t="s">
        <v>4544</v>
      </c>
      <c r="O15" s="1442" t="s">
        <v>4540</v>
      </c>
      <c r="P15" s="3689"/>
      <c r="Q15" s="3581"/>
      <c r="R15" s="4057"/>
      <c r="S15" s="2540"/>
      <c r="T15" s="1778"/>
      <c r="U15" s="1552"/>
      <c r="V15" s="1554">
        <v>870000</v>
      </c>
      <c r="W15" s="1560"/>
      <c r="X15" s="1433"/>
      <c r="Y15" s="1434"/>
      <c r="Z15" s="1504">
        <v>250000</v>
      </c>
      <c r="AA15" s="1170"/>
      <c r="AB15" s="1325">
        <f t="shared" si="0"/>
        <v>1120000</v>
      </c>
      <c r="AC15" s="1331"/>
      <c r="AD15" s="1435"/>
      <c r="AE15" s="1332">
        <f t="shared" si="2"/>
        <v>5259600</v>
      </c>
      <c r="AF15" s="1941">
        <f t="shared" si="1"/>
        <v>6379600</v>
      </c>
      <c r="AG15" s="2899"/>
      <c r="AH15" s="1518">
        <v>1</v>
      </c>
      <c r="AI15" s="1519"/>
      <c r="AJ15" s="1518"/>
      <c r="AK15" s="1518"/>
      <c r="AL15" s="1518"/>
      <c r="AM15" s="1518"/>
      <c r="AN15" s="1518"/>
      <c r="AO15" s="1518"/>
      <c r="AP15" s="1518"/>
      <c r="AQ15" s="1519">
        <v>1</v>
      </c>
      <c r="AR15" s="1518"/>
    </row>
    <row r="16" spans="1:44" s="1350" customFormat="1" ht="19.5" customHeight="1">
      <c r="A16" s="670">
        <v>10</v>
      </c>
      <c r="B16" s="4014" t="s">
        <v>4428</v>
      </c>
      <c r="C16" s="1388">
        <v>307065388620</v>
      </c>
      <c r="D16" s="386" t="s">
        <v>4428</v>
      </c>
      <c r="E16" s="4007" t="s">
        <v>4635</v>
      </c>
      <c r="F16" s="4003" t="s">
        <v>210</v>
      </c>
      <c r="G16" s="431">
        <v>1</v>
      </c>
      <c r="H16" s="445"/>
      <c r="I16" s="445"/>
      <c r="J16" s="1786">
        <v>17390.599999999999</v>
      </c>
      <c r="K16" s="4005" t="s">
        <v>4446</v>
      </c>
      <c r="L16" s="1493" t="s">
        <v>4588</v>
      </c>
      <c r="M16" s="1468">
        <v>5</v>
      </c>
      <c r="N16" s="1840" t="s">
        <v>4545</v>
      </c>
      <c r="O16" s="1442" t="s">
        <v>4541</v>
      </c>
      <c r="P16" s="4058" t="s">
        <v>4477</v>
      </c>
      <c r="Q16" s="3595"/>
      <c r="R16" s="4069" t="s">
        <v>4078</v>
      </c>
      <c r="S16" s="2540"/>
      <c r="T16" s="1778"/>
      <c r="U16" s="1552"/>
      <c r="V16" s="1554">
        <v>900000</v>
      </c>
      <c r="W16" s="1554">
        <v>1400000</v>
      </c>
      <c r="X16" s="1553"/>
      <c r="Y16" s="1328"/>
      <c r="Z16" s="1504">
        <v>250000</v>
      </c>
      <c r="AA16" s="1170"/>
      <c r="AB16" s="1325">
        <f t="shared" si="0"/>
        <v>2550000</v>
      </c>
      <c r="AC16" s="1331"/>
      <c r="AD16" s="755"/>
      <c r="AE16" s="1332">
        <f t="shared" si="2"/>
        <v>5259600</v>
      </c>
      <c r="AF16" s="1941">
        <f t="shared" si="1"/>
        <v>7809600</v>
      </c>
      <c r="AG16" s="2899"/>
      <c r="AH16" s="1518">
        <v>1</v>
      </c>
      <c r="AI16" s="1519"/>
      <c r="AJ16" s="1518"/>
      <c r="AK16" s="1518"/>
      <c r="AL16" s="1518"/>
      <c r="AM16" s="1518"/>
      <c r="AN16" s="1518"/>
      <c r="AO16" s="1518"/>
      <c r="AP16" s="1518"/>
      <c r="AQ16" s="1519">
        <v>1</v>
      </c>
      <c r="AR16" s="1518"/>
    </row>
    <row r="17" spans="1:44" s="1350" customFormat="1" ht="16.5" customHeight="1">
      <c r="A17" s="1489">
        <v>11</v>
      </c>
      <c r="B17" s="4001"/>
      <c r="C17" s="1388">
        <v>307065400040</v>
      </c>
      <c r="D17" s="386" t="s">
        <v>4428</v>
      </c>
      <c r="E17" s="4008"/>
      <c r="F17" s="3925"/>
      <c r="G17" s="431">
        <v>1</v>
      </c>
      <c r="H17" s="167"/>
      <c r="I17" s="167"/>
      <c r="J17" s="1787">
        <v>17390.599999999999</v>
      </c>
      <c r="K17" s="4006"/>
      <c r="L17" s="1493" t="s">
        <v>4589</v>
      </c>
      <c r="M17" s="1468">
        <v>6</v>
      </c>
      <c r="N17" s="1840" t="s">
        <v>4546</v>
      </c>
      <c r="O17" s="1442" t="s">
        <v>4542</v>
      </c>
      <c r="P17" s="3919"/>
      <c r="Q17" s="3590"/>
      <c r="R17" s="4069"/>
      <c r="S17" s="2540"/>
      <c r="T17" s="1778"/>
      <c r="U17" s="1552"/>
      <c r="V17" s="1554">
        <v>900000</v>
      </c>
      <c r="W17" s="1563"/>
      <c r="X17" s="1553"/>
      <c r="Y17" s="1328"/>
      <c r="Z17" s="1504">
        <v>250000</v>
      </c>
      <c r="AA17" s="1170"/>
      <c r="AB17" s="1325">
        <f t="shared" si="0"/>
        <v>1150000</v>
      </c>
      <c r="AC17" s="1331"/>
      <c r="AD17" s="755"/>
      <c r="AE17" s="1332">
        <f t="shared" si="2"/>
        <v>5259600</v>
      </c>
      <c r="AF17" s="1941">
        <f t="shared" si="1"/>
        <v>6409600</v>
      </c>
      <c r="AG17" s="2899"/>
      <c r="AH17" s="1518">
        <v>1</v>
      </c>
      <c r="AI17" s="1519"/>
      <c r="AJ17" s="1518"/>
      <c r="AK17" s="1518"/>
      <c r="AL17" s="1518"/>
      <c r="AM17" s="1518"/>
      <c r="AN17" s="1518"/>
      <c r="AO17" s="1518"/>
      <c r="AP17" s="1518"/>
      <c r="AQ17" s="1519">
        <v>1</v>
      </c>
      <c r="AR17" s="1518"/>
    </row>
    <row r="18" spans="1:44" s="1350" customFormat="1" ht="18" customHeight="1">
      <c r="A18" s="670">
        <v>12</v>
      </c>
      <c r="B18" s="4015"/>
      <c r="C18" s="1388">
        <v>307065410060</v>
      </c>
      <c r="D18" s="386" t="s">
        <v>4428</v>
      </c>
      <c r="E18" s="4009"/>
      <c r="F18" s="4004"/>
      <c r="G18" s="431">
        <v>1</v>
      </c>
      <c r="H18" s="167"/>
      <c r="I18" s="167"/>
      <c r="J18" s="1788">
        <v>17390.599999999999</v>
      </c>
      <c r="K18" s="3913"/>
      <c r="L18" s="1493" t="s">
        <v>4590</v>
      </c>
      <c r="M18" s="1468">
        <v>7</v>
      </c>
      <c r="N18" s="1840" t="s">
        <v>4548</v>
      </c>
      <c r="O18" s="1442" t="s">
        <v>4547</v>
      </c>
      <c r="P18" s="4043"/>
      <c r="Q18" s="3598"/>
      <c r="R18" s="4069"/>
      <c r="S18" s="2540"/>
      <c r="T18" s="1778"/>
      <c r="U18" s="1552"/>
      <c r="V18" s="1554">
        <v>900000</v>
      </c>
      <c r="W18" s="1554">
        <v>700000</v>
      </c>
      <c r="X18" s="1553"/>
      <c r="Y18" s="1328"/>
      <c r="Z18" s="1504">
        <v>250000</v>
      </c>
      <c r="AA18" s="1170"/>
      <c r="AB18" s="1325">
        <f t="shared" si="0"/>
        <v>1850000</v>
      </c>
      <c r="AC18" s="1331"/>
      <c r="AD18" s="755"/>
      <c r="AE18" s="1332">
        <f t="shared" si="2"/>
        <v>5259600</v>
      </c>
      <c r="AF18" s="1941">
        <f t="shared" si="1"/>
        <v>7109600</v>
      </c>
      <c r="AG18" s="2899"/>
      <c r="AH18" s="1518">
        <v>1</v>
      </c>
      <c r="AI18" s="1519"/>
      <c r="AJ18" s="1518"/>
      <c r="AK18" s="1518"/>
      <c r="AL18" s="1518"/>
      <c r="AM18" s="1518"/>
      <c r="AN18" s="1518"/>
      <c r="AO18" s="1518"/>
      <c r="AP18" s="1518"/>
      <c r="AQ18" s="1519">
        <v>1</v>
      </c>
      <c r="AR18" s="1518"/>
    </row>
    <row r="19" spans="1:44" s="1350" customFormat="1">
      <c r="A19" s="1489">
        <v>13</v>
      </c>
      <c r="B19" s="4012" t="s">
        <v>4467</v>
      </c>
      <c r="C19" s="1512">
        <v>307073035750</v>
      </c>
      <c r="D19" s="1263" t="s">
        <v>4467</v>
      </c>
      <c r="E19" s="4007" t="s">
        <v>4636</v>
      </c>
      <c r="F19" s="4010" t="s">
        <v>210</v>
      </c>
      <c r="G19" s="431">
        <v>1</v>
      </c>
      <c r="H19" s="1437"/>
      <c r="I19" s="1437"/>
      <c r="J19" s="1789">
        <v>15585.85</v>
      </c>
      <c r="K19" s="4005" t="s">
        <v>4448</v>
      </c>
      <c r="L19" s="1494" t="s">
        <v>4591</v>
      </c>
      <c r="M19" s="1469">
        <v>1</v>
      </c>
      <c r="N19" s="1840" t="s">
        <v>4549</v>
      </c>
      <c r="O19" s="1832" t="s">
        <v>4550</v>
      </c>
      <c r="P19" s="4058" t="s">
        <v>4449</v>
      </c>
      <c r="Q19" s="3595"/>
      <c r="R19" s="4055" t="s">
        <v>2857</v>
      </c>
      <c r="S19" s="2539"/>
      <c r="T19" s="1778"/>
      <c r="U19" s="1552"/>
      <c r="V19" s="1554">
        <v>1000000</v>
      </c>
      <c r="W19" s="1557">
        <v>2840000</v>
      </c>
      <c r="X19" s="1315"/>
      <c r="Y19" s="1330"/>
      <c r="Z19" s="1504">
        <v>250000</v>
      </c>
      <c r="AA19" s="1170"/>
      <c r="AB19" s="1325">
        <f t="shared" si="0"/>
        <v>4090000</v>
      </c>
      <c r="AC19" s="1331"/>
      <c r="AD19" s="1317"/>
      <c r="AE19" s="1332">
        <f t="shared" si="2"/>
        <v>5259600</v>
      </c>
      <c r="AF19" s="1941">
        <f t="shared" si="1"/>
        <v>9349600</v>
      </c>
      <c r="AG19" s="2899"/>
      <c r="AH19" s="1518">
        <v>1</v>
      </c>
      <c r="AI19" s="1519"/>
      <c r="AJ19" s="1518"/>
      <c r="AK19" s="1518"/>
      <c r="AL19" s="1518"/>
      <c r="AM19" s="1518"/>
      <c r="AN19" s="1518"/>
      <c r="AO19" s="1518"/>
      <c r="AP19" s="1518"/>
      <c r="AQ19" s="1519">
        <v>1</v>
      </c>
      <c r="AR19" s="1518"/>
    </row>
    <row r="20" spans="1:44" s="1350" customFormat="1">
      <c r="A20" s="670">
        <v>14</v>
      </c>
      <c r="B20" s="4013"/>
      <c r="C20" s="1513">
        <v>307073044630</v>
      </c>
      <c r="D20" s="1263" t="s">
        <v>4467</v>
      </c>
      <c r="E20" s="4008"/>
      <c r="F20" s="3949"/>
      <c r="G20" s="431">
        <v>1</v>
      </c>
      <c r="H20" s="1437"/>
      <c r="I20" s="1437"/>
      <c r="J20" s="1789">
        <v>15726.2</v>
      </c>
      <c r="K20" s="4006"/>
      <c r="L20" s="1494" t="s">
        <v>4592</v>
      </c>
      <c r="M20" s="1469">
        <v>2</v>
      </c>
      <c r="N20" s="1840" t="s">
        <v>4552</v>
      </c>
      <c r="O20" s="1832" t="s">
        <v>4551</v>
      </c>
      <c r="P20" s="3919"/>
      <c r="Q20" s="3590"/>
      <c r="R20" s="4056"/>
      <c r="S20" s="2539"/>
      <c r="T20" s="1778"/>
      <c r="U20" s="1556"/>
      <c r="V20" s="1554">
        <v>1000000</v>
      </c>
      <c r="W20" s="1553"/>
      <c r="X20" s="1170"/>
      <c r="Y20" s="1327"/>
      <c r="Z20" s="1504">
        <v>250000</v>
      </c>
      <c r="AA20" s="1170"/>
      <c r="AB20" s="1325">
        <f t="shared" si="0"/>
        <v>1250000</v>
      </c>
      <c r="AC20" s="1331"/>
      <c r="AD20" s="1173"/>
      <c r="AE20" s="1332">
        <f t="shared" si="2"/>
        <v>5259600</v>
      </c>
      <c r="AF20" s="1941">
        <f t="shared" si="1"/>
        <v>6509600</v>
      </c>
      <c r="AG20" s="2899"/>
      <c r="AH20" s="1518">
        <v>1</v>
      </c>
      <c r="AI20" s="1519"/>
      <c r="AJ20" s="1518"/>
      <c r="AK20" s="1518"/>
      <c r="AL20" s="1518"/>
      <c r="AM20" s="1518"/>
      <c r="AN20" s="1518"/>
      <c r="AO20" s="1518"/>
      <c r="AP20" s="1518"/>
      <c r="AQ20" s="1519">
        <v>1</v>
      </c>
      <c r="AR20" s="1518"/>
    </row>
    <row r="21" spans="1:44" s="1350" customFormat="1">
      <c r="A21" s="1489">
        <v>15</v>
      </c>
      <c r="B21" s="4013"/>
      <c r="C21" s="1514">
        <v>307073052110</v>
      </c>
      <c r="D21" s="1263" t="s">
        <v>4467</v>
      </c>
      <c r="E21" s="4008"/>
      <c r="F21" s="3949"/>
      <c r="G21" s="431">
        <v>1</v>
      </c>
      <c r="H21" s="1437"/>
      <c r="I21" s="1437"/>
      <c r="J21" s="1789">
        <v>15364.74</v>
      </c>
      <c r="K21" s="4006"/>
      <c r="L21" s="1494" t="s">
        <v>4593</v>
      </c>
      <c r="M21" s="1469">
        <v>3</v>
      </c>
      <c r="N21" s="1840" t="s">
        <v>4554</v>
      </c>
      <c r="O21" s="1832" t="s">
        <v>4553</v>
      </c>
      <c r="P21" s="3919"/>
      <c r="Q21" s="3590"/>
      <c r="R21" s="4056"/>
      <c r="S21" s="2539"/>
      <c r="T21" s="1778"/>
      <c r="U21" s="1552"/>
      <c r="V21" s="1554">
        <v>1000000</v>
      </c>
      <c r="W21" s="1553"/>
      <c r="X21" s="752"/>
      <c r="Y21" s="1328"/>
      <c r="Z21" s="1504">
        <v>250000</v>
      </c>
      <c r="AA21" s="1170"/>
      <c r="AB21" s="1325">
        <f t="shared" si="0"/>
        <v>1250000</v>
      </c>
      <c r="AC21" s="1331"/>
      <c r="AD21" s="755"/>
      <c r="AE21" s="1332">
        <f t="shared" si="2"/>
        <v>5259600</v>
      </c>
      <c r="AF21" s="1941">
        <f t="shared" si="1"/>
        <v>6509600</v>
      </c>
      <c r="AG21" s="2899"/>
      <c r="AH21" s="1518">
        <v>1</v>
      </c>
      <c r="AI21" s="1519"/>
      <c r="AJ21" s="1518"/>
      <c r="AK21" s="1518"/>
      <c r="AL21" s="1518"/>
      <c r="AM21" s="1518"/>
      <c r="AN21" s="1518"/>
      <c r="AO21" s="1518"/>
      <c r="AP21" s="1518"/>
      <c r="AQ21" s="1519">
        <v>1</v>
      </c>
      <c r="AR21" s="1518"/>
    </row>
    <row r="22" spans="1:44" s="1350" customFormat="1">
      <c r="A22" s="670">
        <v>16</v>
      </c>
      <c r="B22" s="4013"/>
      <c r="C22" s="1514">
        <v>307073060620</v>
      </c>
      <c r="D22" s="1263" t="s">
        <v>4467</v>
      </c>
      <c r="E22" s="4009"/>
      <c r="F22" s="4011"/>
      <c r="G22" s="431">
        <v>1</v>
      </c>
      <c r="H22" s="1437"/>
      <c r="I22" s="1437"/>
      <c r="J22" s="1789">
        <v>15430.8</v>
      </c>
      <c r="K22" s="3913"/>
      <c r="L22" s="1494" t="s">
        <v>4594</v>
      </c>
      <c r="M22" s="1469">
        <v>4</v>
      </c>
      <c r="N22" s="1840" t="s">
        <v>4556</v>
      </c>
      <c r="O22" s="1832" t="s">
        <v>4555</v>
      </c>
      <c r="P22" s="4043"/>
      <c r="Q22" s="3598"/>
      <c r="R22" s="4057"/>
      <c r="S22" s="2540"/>
      <c r="T22" s="1778"/>
      <c r="U22" s="1552"/>
      <c r="V22" s="1554">
        <v>1000000</v>
      </c>
      <c r="W22" s="1553"/>
      <c r="X22" s="752"/>
      <c r="Y22" s="1328"/>
      <c r="Z22" s="1504">
        <v>250000</v>
      </c>
      <c r="AA22" s="1170"/>
      <c r="AB22" s="1325">
        <f t="shared" si="0"/>
        <v>1250000</v>
      </c>
      <c r="AC22" s="1331"/>
      <c r="AD22" s="755"/>
      <c r="AE22" s="1332">
        <f t="shared" si="2"/>
        <v>5259600</v>
      </c>
      <c r="AF22" s="1941">
        <f t="shared" si="1"/>
        <v>6509600</v>
      </c>
      <c r="AG22" s="2899"/>
      <c r="AH22" s="1518">
        <v>1</v>
      </c>
      <c r="AI22" s="1519"/>
      <c r="AJ22" s="1518"/>
      <c r="AK22" s="1518"/>
      <c r="AL22" s="1518"/>
      <c r="AM22" s="1518"/>
      <c r="AN22" s="1518"/>
      <c r="AO22" s="1518"/>
      <c r="AP22" s="1518"/>
      <c r="AQ22" s="1519">
        <v>1</v>
      </c>
      <c r="AR22" s="1518"/>
    </row>
    <row r="23" spans="1:44" s="1350" customFormat="1" ht="22.5" customHeight="1">
      <c r="A23" s="1489">
        <v>17</v>
      </c>
      <c r="B23" s="1450" t="s">
        <v>4467</v>
      </c>
      <c r="C23" s="1388">
        <v>307074029200</v>
      </c>
      <c r="D23" s="386" t="s">
        <v>4467</v>
      </c>
      <c r="E23" s="1500" t="s">
        <v>4637</v>
      </c>
      <c r="F23" s="1924" t="s">
        <v>210</v>
      </c>
      <c r="G23" s="431"/>
      <c r="H23" s="1445">
        <v>1</v>
      </c>
      <c r="I23" s="1298"/>
      <c r="J23" s="1786">
        <v>11406.6</v>
      </c>
      <c r="K23" s="2994" t="s">
        <v>4473</v>
      </c>
      <c r="L23" s="1493" t="s">
        <v>4595</v>
      </c>
      <c r="M23" s="1468">
        <v>1</v>
      </c>
      <c r="N23" s="1840" t="s">
        <v>4558</v>
      </c>
      <c r="O23" s="1832" t="s">
        <v>4557</v>
      </c>
      <c r="P23" s="1927" t="s">
        <v>4486</v>
      </c>
      <c r="Q23" s="3595"/>
      <c r="R23" s="1926" t="s">
        <v>3001</v>
      </c>
      <c r="S23" s="2582"/>
      <c r="T23" s="1778"/>
      <c r="U23" s="1552"/>
      <c r="V23" s="1554">
        <v>1450000</v>
      </c>
      <c r="W23" s="1562">
        <v>1160000</v>
      </c>
      <c r="X23" s="752"/>
      <c r="Y23" s="753"/>
      <c r="Z23" s="1504">
        <v>500000</v>
      </c>
      <c r="AA23" s="1170"/>
      <c r="AB23" s="1325">
        <f t="shared" si="0"/>
        <v>3110000</v>
      </c>
      <c r="AC23" s="1331"/>
      <c r="AD23" s="755"/>
      <c r="AE23" s="1332">
        <f t="shared" si="2"/>
        <v>5367600</v>
      </c>
      <c r="AF23" s="1941">
        <f t="shared" si="1"/>
        <v>8477600</v>
      </c>
      <c r="AG23" s="2899"/>
      <c r="AH23" s="1518">
        <v>1</v>
      </c>
      <c r="AI23" s="1519"/>
      <c r="AJ23" s="1518"/>
      <c r="AK23" s="1518"/>
      <c r="AL23" s="1518"/>
      <c r="AM23" s="1518"/>
      <c r="AN23" s="1518"/>
      <c r="AO23" s="1518"/>
      <c r="AP23" s="1518"/>
      <c r="AQ23" s="1519">
        <v>1</v>
      </c>
      <c r="AR23" s="1518"/>
    </row>
    <row r="24" spans="1:44" s="1350" customFormat="1">
      <c r="A24" s="670">
        <v>18</v>
      </c>
      <c r="B24" s="4012" t="s">
        <v>4478</v>
      </c>
      <c r="C24" s="1388">
        <v>307076925910</v>
      </c>
      <c r="D24" s="386" t="s">
        <v>4478</v>
      </c>
      <c r="E24" s="4007" t="s">
        <v>4638</v>
      </c>
      <c r="F24" s="4003" t="s">
        <v>210</v>
      </c>
      <c r="G24" s="431">
        <v>1</v>
      </c>
      <c r="H24" s="1444"/>
      <c r="I24" s="728"/>
      <c r="J24" s="1787">
        <v>18065.150000000001</v>
      </c>
      <c r="K24" s="4005" t="s">
        <v>4487</v>
      </c>
      <c r="L24" s="1494" t="s">
        <v>4596</v>
      </c>
      <c r="M24" s="1469">
        <v>4</v>
      </c>
      <c r="N24" s="1842" t="s">
        <v>4559</v>
      </c>
      <c r="O24" s="1549" t="s">
        <v>4560</v>
      </c>
      <c r="P24" s="4058" t="s">
        <v>4504</v>
      </c>
      <c r="Q24" s="3595"/>
      <c r="R24" s="4055" t="s">
        <v>4458</v>
      </c>
      <c r="S24" s="2582"/>
      <c r="T24" s="1778"/>
      <c r="U24" s="1552"/>
      <c r="V24" s="1554">
        <v>1000000</v>
      </c>
      <c r="W24" s="1554">
        <v>700000</v>
      </c>
      <c r="X24" s="1553"/>
      <c r="Y24" s="753"/>
      <c r="Z24" s="1504">
        <v>250000</v>
      </c>
      <c r="AA24" s="1170"/>
      <c r="AB24" s="1325">
        <f t="shared" si="0"/>
        <v>1950000</v>
      </c>
      <c r="AC24" s="1331"/>
      <c r="AD24" s="755"/>
      <c r="AE24" s="1332">
        <f t="shared" si="2"/>
        <v>5259600</v>
      </c>
      <c r="AF24" s="1941">
        <f t="shared" si="1"/>
        <v>7209600</v>
      </c>
      <c r="AG24" s="2899"/>
      <c r="AH24" s="1518">
        <v>1</v>
      </c>
      <c r="AI24" s="1519"/>
      <c r="AJ24" s="1518"/>
      <c r="AK24" s="1518"/>
      <c r="AL24" s="1518"/>
      <c r="AM24" s="1518"/>
      <c r="AN24" s="1518"/>
      <c r="AO24" s="1518"/>
      <c r="AP24" s="1518"/>
      <c r="AQ24" s="1519">
        <v>1</v>
      </c>
      <c r="AR24" s="1518"/>
    </row>
    <row r="25" spans="1:44" s="1350" customFormat="1">
      <c r="A25" s="1489">
        <v>19</v>
      </c>
      <c r="B25" s="4013"/>
      <c r="C25" s="1388">
        <v>307076934750</v>
      </c>
      <c r="D25" s="386" t="s">
        <v>4478</v>
      </c>
      <c r="E25" s="4008"/>
      <c r="F25" s="3925"/>
      <c r="G25" s="431">
        <v>1</v>
      </c>
      <c r="H25" s="1444"/>
      <c r="I25" s="728"/>
      <c r="J25" s="1788">
        <v>19687.939999999999</v>
      </c>
      <c r="K25" s="4006"/>
      <c r="L25" s="1494" t="s">
        <v>4597</v>
      </c>
      <c r="M25" s="1469">
        <v>5</v>
      </c>
      <c r="N25" s="1842" t="s">
        <v>4603</v>
      </c>
      <c r="O25" s="1549" t="s">
        <v>4561</v>
      </c>
      <c r="P25" s="3919"/>
      <c r="Q25" s="3590"/>
      <c r="R25" s="4056"/>
      <c r="S25" s="2582"/>
      <c r="T25" s="1778"/>
      <c r="U25" s="1559"/>
      <c r="V25" s="1554">
        <v>870000</v>
      </c>
      <c r="W25" s="1554">
        <v>700000</v>
      </c>
      <c r="X25" s="1560"/>
      <c r="Y25" s="1391"/>
      <c r="Z25" s="1504">
        <v>250000</v>
      </c>
      <c r="AA25" s="1170"/>
      <c r="AB25" s="1325">
        <f t="shared" si="0"/>
        <v>1820000</v>
      </c>
      <c r="AC25" s="1331"/>
      <c r="AD25" s="1392"/>
      <c r="AE25" s="1332">
        <f t="shared" si="2"/>
        <v>5259600</v>
      </c>
      <c r="AF25" s="1941">
        <f t="shared" si="1"/>
        <v>7079600</v>
      </c>
      <c r="AG25" s="2899"/>
      <c r="AH25" s="1518">
        <v>1</v>
      </c>
      <c r="AI25" s="1519"/>
      <c r="AJ25" s="1518"/>
      <c r="AK25" s="1518"/>
      <c r="AL25" s="1518"/>
      <c r="AM25" s="1518"/>
      <c r="AN25" s="1518"/>
      <c r="AO25" s="1518"/>
      <c r="AP25" s="1518"/>
      <c r="AQ25" s="1519">
        <v>1</v>
      </c>
      <c r="AR25" s="1518"/>
    </row>
    <row r="26" spans="1:44" s="1350" customFormat="1">
      <c r="A26" s="670">
        <v>20</v>
      </c>
      <c r="B26" s="4013"/>
      <c r="C26" s="1388">
        <v>307076945140</v>
      </c>
      <c r="D26" s="386" t="s">
        <v>4478</v>
      </c>
      <c r="E26" s="4009"/>
      <c r="F26" s="4004"/>
      <c r="G26" s="431">
        <v>1</v>
      </c>
      <c r="H26" s="1444"/>
      <c r="I26" s="728"/>
      <c r="J26" s="1788">
        <v>17659.900000000001</v>
      </c>
      <c r="K26" s="3913"/>
      <c r="L26" s="1494" t="s">
        <v>4598</v>
      </c>
      <c r="M26" s="1469">
        <v>6</v>
      </c>
      <c r="N26" s="1842" t="s">
        <v>4604</v>
      </c>
      <c r="O26" s="1549" t="s">
        <v>4562</v>
      </c>
      <c r="P26" s="4043"/>
      <c r="Q26" s="3598"/>
      <c r="R26" s="4057"/>
      <c r="S26" s="2582"/>
      <c r="T26" s="1778"/>
      <c r="U26" s="1559"/>
      <c r="V26" s="1558">
        <v>870000</v>
      </c>
      <c r="W26" s="1558">
        <v>700000</v>
      </c>
      <c r="X26" s="1560"/>
      <c r="Y26" s="1391"/>
      <c r="Z26" s="1504">
        <v>250000</v>
      </c>
      <c r="AA26" s="1170"/>
      <c r="AB26" s="1325">
        <f t="shared" si="0"/>
        <v>1820000</v>
      </c>
      <c r="AC26" s="1331"/>
      <c r="AD26" s="1392"/>
      <c r="AE26" s="1332">
        <f t="shared" si="2"/>
        <v>5259600</v>
      </c>
      <c r="AF26" s="1941">
        <f t="shared" si="1"/>
        <v>7079600</v>
      </c>
      <c r="AG26" s="2899"/>
      <c r="AH26" s="1518">
        <v>1</v>
      </c>
      <c r="AI26" s="1519"/>
      <c r="AJ26" s="1518"/>
      <c r="AK26" s="1518"/>
      <c r="AL26" s="1518"/>
      <c r="AM26" s="1518"/>
      <c r="AN26" s="1518"/>
      <c r="AO26" s="1518"/>
      <c r="AP26" s="1518"/>
      <c r="AQ26" s="1519">
        <v>1</v>
      </c>
      <c r="AR26" s="1518"/>
    </row>
    <row r="27" spans="1:44" s="1350" customFormat="1">
      <c r="A27" s="1489">
        <v>21</v>
      </c>
      <c r="B27" s="4012" t="s">
        <v>4607</v>
      </c>
      <c r="C27" s="1394">
        <v>307076956450</v>
      </c>
      <c r="D27" s="386" t="s">
        <v>4478</v>
      </c>
      <c r="E27" s="4007" t="s">
        <v>4639</v>
      </c>
      <c r="F27" s="4003" t="s">
        <v>210</v>
      </c>
      <c r="G27" s="431">
        <v>1</v>
      </c>
      <c r="H27" s="1444"/>
      <c r="I27" s="728"/>
      <c r="J27" s="1788">
        <v>17768.3</v>
      </c>
      <c r="K27" s="4005" t="s">
        <v>4488</v>
      </c>
      <c r="L27" s="1494" t="s">
        <v>4599</v>
      </c>
      <c r="M27" s="1469">
        <v>3</v>
      </c>
      <c r="N27" s="1840" t="s">
        <v>4566</v>
      </c>
      <c r="O27" s="1832" t="s">
        <v>4563</v>
      </c>
      <c r="P27" s="4058" t="s">
        <v>4504</v>
      </c>
      <c r="Q27" s="3595"/>
      <c r="R27" s="4055" t="s">
        <v>4458</v>
      </c>
      <c r="S27" s="2582"/>
      <c r="T27" s="1778"/>
      <c r="U27" s="1559"/>
      <c r="V27" s="1554">
        <v>1000000</v>
      </c>
      <c r="W27" s="1554">
        <v>700000</v>
      </c>
      <c r="X27" s="1560"/>
      <c r="Y27" s="1391"/>
      <c r="Z27" s="1504">
        <v>250000</v>
      </c>
      <c r="AA27" s="1170"/>
      <c r="AB27" s="1325">
        <f t="shared" si="0"/>
        <v>1950000</v>
      </c>
      <c r="AC27" s="1331"/>
      <c r="AD27" s="1392"/>
      <c r="AE27" s="1332">
        <f t="shared" si="2"/>
        <v>5259600</v>
      </c>
      <c r="AF27" s="1941">
        <f t="shared" si="1"/>
        <v>7209600</v>
      </c>
      <c r="AG27" s="2899"/>
      <c r="AH27" s="1518">
        <v>1</v>
      </c>
      <c r="AI27" s="1519"/>
      <c r="AJ27" s="1518"/>
      <c r="AK27" s="1518"/>
      <c r="AL27" s="1518"/>
      <c r="AM27" s="1518"/>
      <c r="AN27" s="1518"/>
      <c r="AO27" s="1518"/>
      <c r="AP27" s="1518"/>
      <c r="AQ27" s="1519">
        <v>1</v>
      </c>
      <c r="AR27" s="1518"/>
    </row>
    <row r="28" spans="1:44" s="1350" customFormat="1">
      <c r="A28" s="670">
        <v>22</v>
      </c>
      <c r="B28" s="4013"/>
      <c r="C28" s="1394">
        <v>307081034650</v>
      </c>
      <c r="D28" s="1458" t="s">
        <v>4483</v>
      </c>
      <c r="E28" s="4008"/>
      <c r="F28" s="3925"/>
      <c r="G28" s="431">
        <v>1</v>
      </c>
      <c r="H28" s="1444"/>
      <c r="I28" s="728"/>
      <c r="J28" s="1788"/>
      <c r="K28" s="4006"/>
      <c r="L28" s="1494" t="s">
        <v>4600</v>
      </c>
      <c r="M28" s="1469">
        <v>2</v>
      </c>
      <c r="N28" s="1843" t="s">
        <v>4567</v>
      </c>
      <c r="O28" s="1442" t="s">
        <v>4564</v>
      </c>
      <c r="P28" s="3919"/>
      <c r="Q28" s="3590"/>
      <c r="R28" s="4056"/>
      <c r="S28" s="2582"/>
      <c r="T28" s="1778"/>
      <c r="U28" s="1559"/>
      <c r="V28" s="1554">
        <v>1000000</v>
      </c>
      <c r="W28" s="1554">
        <v>700000</v>
      </c>
      <c r="X28" s="1560"/>
      <c r="Y28" s="1391"/>
      <c r="Z28" s="1504">
        <v>250000</v>
      </c>
      <c r="AA28" s="1170"/>
      <c r="AB28" s="1325">
        <f t="shared" si="0"/>
        <v>1950000</v>
      </c>
      <c r="AC28" s="1331"/>
      <c r="AD28" s="1392"/>
      <c r="AE28" s="1332">
        <f t="shared" si="2"/>
        <v>5259600</v>
      </c>
      <c r="AF28" s="1941">
        <f t="shared" si="1"/>
        <v>7209600</v>
      </c>
      <c r="AG28" s="2899"/>
      <c r="AH28" s="1518">
        <v>1</v>
      </c>
      <c r="AI28" s="1519"/>
      <c r="AJ28" s="1518"/>
      <c r="AK28" s="1518"/>
      <c r="AL28" s="1518"/>
      <c r="AM28" s="1518"/>
      <c r="AN28" s="1518"/>
      <c r="AO28" s="1518"/>
      <c r="AP28" s="1518"/>
      <c r="AQ28" s="1519">
        <v>1</v>
      </c>
      <c r="AR28" s="1518"/>
    </row>
    <row r="29" spans="1:44" s="1350" customFormat="1" ht="24.75" customHeight="1">
      <c r="A29" s="1489">
        <v>23</v>
      </c>
      <c r="B29" s="4013"/>
      <c r="C29" s="1520" t="s">
        <v>4571</v>
      </c>
      <c r="D29" s="1458" t="s">
        <v>4483</v>
      </c>
      <c r="E29" s="4009"/>
      <c r="F29" s="4004"/>
      <c r="G29" s="431"/>
      <c r="H29" s="1444">
        <v>1</v>
      </c>
      <c r="I29" s="728"/>
      <c r="J29" s="1788">
        <v>20902.5</v>
      </c>
      <c r="K29" s="4006"/>
      <c r="L29" s="1494" t="s">
        <v>4601</v>
      </c>
      <c r="M29" s="1469">
        <v>1</v>
      </c>
      <c r="N29" s="1843" t="s">
        <v>4568</v>
      </c>
      <c r="O29" s="1442" t="s">
        <v>4565</v>
      </c>
      <c r="P29" s="4043"/>
      <c r="Q29" s="3598"/>
      <c r="R29" s="4057"/>
      <c r="S29" s="2582"/>
      <c r="T29" s="1778"/>
      <c r="U29" s="1559"/>
      <c r="V29" s="1554">
        <v>1500000</v>
      </c>
      <c r="W29" s="1554">
        <v>1140000</v>
      </c>
      <c r="X29" s="1560"/>
      <c r="Y29" s="1391"/>
      <c r="Z29" s="1504">
        <v>500000</v>
      </c>
      <c r="AA29" s="1170"/>
      <c r="AB29" s="1325">
        <f t="shared" si="0"/>
        <v>3140000</v>
      </c>
      <c r="AC29" s="1331">
        <v>300000</v>
      </c>
      <c r="AD29" s="1392"/>
      <c r="AE29" s="1332">
        <f t="shared" si="2"/>
        <v>5691600</v>
      </c>
      <c r="AF29" s="1941">
        <f t="shared" si="1"/>
        <v>8831600</v>
      </c>
      <c r="AG29" s="2899"/>
      <c r="AH29" s="1518">
        <v>1</v>
      </c>
      <c r="AI29" s="1519"/>
      <c r="AJ29" s="1518"/>
      <c r="AK29" s="1518"/>
      <c r="AL29" s="1518"/>
      <c r="AM29" s="1518"/>
      <c r="AN29" s="1518"/>
      <c r="AO29" s="1518"/>
      <c r="AP29" s="1518"/>
      <c r="AQ29" s="1519">
        <v>1</v>
      </c>
      <c r="AR29" s="1518"/>
    </row>
    <row r="30" spans="1:44" s="1350" customFormat="1">
      <c r="A30" s="670">
        <v>24</v>
      </c>
      <c r="B30" s="1497" t="s">
        <v>4483</v>
      </c>
      <c r="C30" s="1388">
        <v>307080992320</v>
      </c>
      <c r="D30" s="1458" t="s">
        <v>4483</v>
      </c>
      <c r="E30" s="1508" t="s">
        <v>4640</v>
      </c>
      <c r="F30" s="1395" t="s">
        <v>210</v>
      </c>
      <c r="G30" s="431">
        <v>1</v>
      </c>
      <c r="H30" s="1444"/>
      <c r="I30" s="728"/>
      <c r="J30" s="1788">
        <v>5628.46</v>
      </c>
      <c r="K30" s="1925" t="s">
        <v>4503</v>
      </c>
      <c r="L30" s="1494" t="s">
        <v>4602</v>
      </c>
      <c r="M30" s="1469">
        <v>1</v>
      </c>
      <c r="N30" s="1843" t="s">
        <v>4570</v>
      </c>
      <c r="O30" s="1442" t="s">
        <v>4569</v>
      </c>
      <c r="P30" s="1927" t="s">
        <v>4518</v>
      </c>
      <c r="Q30" s="3595"/>
      <c r="R30" s="1926" t="s">
        <v>287</v>
      </c>
      <c r="S30" s="2582"/>
      <c r="T30" s="1778"/>
      <c r="U30" s="1390"/>
      <c r="V30" s="1537">
        <v>900000</v>
      </c>
      <c r="W30" s="1564">
        <v>432000</v>
      </c>
      <c r="X30" s="1390"/>
      <c r="Y30" s="1391"/>
      <c r="Z30" s="1504">
        <v>250000</v>
      </c>
      <c r="AA30" s="1170"/>
      <c r="AB30" s="1325">
        <f t="shared" si="0"/>
        <v>1582000</v>
      </c>
      <c r="AC30" s="1331"/>
      <c r="AD30" s="1392"/>
      <c r="AE30" s="1332">
        <f t="shared" si="2"/>
        <v>5259600</v>
      </c>
      <c r="AF30" s="1941">
        <f t="shared" si="1"/>
        <v>6841600</v>
      </c>
      <c r="AG30" s="2899"/>
      <c r="AH30" s="1518">
        <v>1</v>
      </c>
      <c r="AI30" s="1519"/>
      <c r="AJ30" s="1518"/>
      <c r="AK30" s="1518"/>
      <c r="AL30" s="1518"/>
      <c r="AM30" s="1518"/>
      <c r="AN30" s="1518"/>
      <c r="AO30" s="1518"/>
      <c r="AP30" s="1518"/>
      <c r="AQ30" s="1519">
        <v>1</v>
      </c>
      <c r="AR30" s="1518"/>
    </row>
    <row r="31" spans="1:44">
      <c r="A31" s="1489">
        <v>25</v>
      </c>
      <c r="B31" s="1489"/>
      <c r="C31" s="1388" t="s">
        <v>4605</v>
      </c>
      <c r="D31" s="1496" t="s">
        <v>4313</v>
      </c>
      <c r="E31" s="1507" t="s">
        <v>4632</v>
      </c>
      <c r="F31" s="1488" t="s">
        <v>210</v>
      </c>
      <c r="G31" s="1488"/>
      <c r="H31" s="1488"/>
      <c r="I31" s="1489">
        <v>1</v>
      </c>
      <c r="J31" s="1785">
        <v>472</v>
      </c>
      <c r="K31" s="1489" t="s">
        <v>4606</v>
      </c>
      <c r="L31" s="1498" t="s">
        <v>4608</v>
      </c>
      <c r="M31" s="1488"/>
      <c r="N31" s="1844"/>
      <c r="O31" s="1488"/>
      <c r="P31" s="1489"/>
      <c r="Q31" s="1742"/>
      <c r="R31" s="1490"/>
      <c r="S31" s="1743"/>
      <c r="T31" s="1938"/>
      <c r="U31" s="1939"/>
      <c r="V31" s="1390"/>
      <c r="W31" s="1938"/>
      <c r="X31" s="1938"/>
      <c r="Y31" s="1434"/>
      <c r="Z31" s="1504">
        <v>7080</v>
      </c>
      <c r="AA31" s="1170"/>
      <c r="AB31" s="1325">
        <f t="shared" si="0"/>
        <v>7080</v>
      </c>
      <c r="AC31" s="1331"/>
      <c r="AD31" s="1488"/>
      <c r="AE31" s="1332">
        <f t="shared" si="2"/>
        <v>2451600</v>
      </c>
      <c r="AF31" s="1941">
        <f t="shared" si="1"/>
        <v>2458680</v>
      </c>
      <c r="AG31" s="2898"/>
      <c r="AH31" s="1518">
        <v>1</v>
      </c>
      <c r="AI31" s="1517">
        <v>1500000</v>
      </c>
      <c r="AJ31" s="1518"/>
      <c r="AK31" s="1519"/>
      <c r="AL31" s="1519"/>
      <c r="AM31" s="1519"/>
      <c r="AN31" s="1519"/>
      <c r="AO31" s="1519"/>
      <c r="AP31" s="1519"/>
      <c r="AQ31" s="1519"/>
      <c r="AR31" s="1519"/>
    </row>
    <row r="32" spans="1:44">
      <c r="A32" s="3994" t="s">
        <v>4675</v>
      </c>
      <c r="B32" s="3995"/>
      <c r="C32" s="3995"/>
      <c r="D32" s="3995"/>
      <c r="E32" s="3995"/>
      <c r="F32" s="3995"/>
      <c r="G32" s="3995"/>
      <c r="H32" s="3995"/>
      <c r="I32" s="3995"/>
      <c r="J32" s="3995"/>
      <c r="K32" s="3995"/>
      <c r="L32" s="3995"/>
      <c r="M32" s="3995"/>
      <c r="N32" s="3995"/>
      <c r="O32" s="3996"/>
      <c r="P32" s="1375"/>
      <c r="Q32" s="3617"/>
      <c r="R32" s="1342"/>
      <c r="S32" s="1708"/>
      <c r="T32" s="1932"/>
      <c r="U32" s="1933"/>
      <c r="V32" s="1932">
        <f>SUM(V8:V31)</f>
        <v>21800000</v>
      </c>
      <c r="W32" s="1932">
        <f>+W8+W11+W14+W19+W23+W30</f>
        <v>8444000</v>
      </c>
      <c r="X32" s="1932"/>
      <c r="Y32" s="1934"/>
      <c r="Z32" s="1934">
        <f>SUM(Z8:Z31)</f>
        <v>6257080</v>
      </c>
      <c r="AA32" s="1932"/>
      <c r="AB32" s="1934">
        <f>SUM(AB7:AB31)</f>
        <v>43241080</v>
      </c>
      <c r="AC32" s="1934">
        <f>SUM(AC7:AC31)</f>
        <v>300000</v>
      </c>
      <c r="AD32" s="1936"/>
      <c r="AE32" s="1934">
        <f>SUM(AE7:AE31)</f>
        <v>124610400</v>
      </c>
      <c r="AF32" s="1934">
        <f>SUM(AF7:AF31)</f>
        <v>167851480</v>
      </c>
      <c r="AG32" s="2897"/>
      <c r="AH32" s="1354"/>
      <c r="AI32" s="1354"/>
      <c r="AJ32" s="1350"/>
    </row>
    <row r="33" spans="1:50" s="1350" customFormat="1" ht="19.5" customHeight="1">
      <c r="A33" s="670">
        <v>1</v>
      </c>
      <c r="B33" s="1482"/>
      <c r="C33" s="1578" t="s">
        <v>4737</v>
      </c>
      <c r="D33" s="1483"/>
      <c r="E33" s="1424"/>
      <c r="F33" s="1484"/>
      <c r="G33" s="431"/>
      <c r="H33" s="1444"/>
      <c r="I33" s="1444"/>
      <c r="J33" s="1942"/>
      <c r="K33" s="1660"/>
      <c r="L33" s="1451"/>
      <c r="M33" s="1470"/>
      <c r="N33" s="1942"/>
      <c r="O33" s="1943"/>
      <c r="P33" s="1443"/>
      <c r="Q33" s="3588"/>
      <c r="R33" s="1485"/>
      <c r="S33" s="2583"/>
      <c r="T33" s="1778"/>
      <c r="U33" s="1390"/>
      <c r="V33" s="1555"/>
      <c r="W33" s="1390"/>
      <c r="X33" s="1390">
        <v>500000</v>
      </c>
      <c r="Y33" s="1391"/>
      <c r="Z33" s="1391"/>
      <c r="AA33" s="1390"/>
      <c r="AB33" s="1325">
        <f>+U33+V33+W33+X33+Y33+Z33+AA33</f>
        <v>500000</v>
      </c>
      <c r="AC33" s="1331"/>
      <c r="AD33" s="1392"/>
      <c r="AE33" s="1332">
        <f>(AC33*1.08)+((AH33*$AH$4)+(G33*3450000+H33*3550000+I33*AI33)+(AJ33*$AJ$4)+(AK33*$AK$4)+(AL33*$AL$4)+(AN33*$AN$4)+(AO33*$AO$4)+(AP33*$AP$4)+(AQ33*$AQ$4))*1.08</f>
        <v>0</v>
      </c>
      <c r="AF33" s="1941">
        <f>+AB33+AE33</f>
        <v>500000</v>
      </c>
      <c r="AG33" s="2899"/>
      <c r="AH33" s="1518"/>
      <c r="AI33" s="1519"/>
      <c r="AJ33" s="1518"/>
      <c r="AK33" s="1518"/>
      <c r="AL33" s="1518"/>
      <c r="AM33" s="1518"/>
      <c r="AN33" s="1518"/>
      <c r="AO33" s="1518"/>
      <c r="AP33" s="1518"/>
      <c r="AQ33" s="1518"/>
      <c r="AR33" s="1518"/>
    </row>
    <row r="34" spans="1:50" s="1350" customFormat="1">
      <c r="A34" s="1489">
        <v>2</v>
      </c>
      <c r="B34" s="1482"/>
      <c r="C34" s="1578" t="s">
        <v>4738</v>
      </c>
      <c r="D34" s="1483"/>
      <c r="E34" s="1424"/>
      <c r="F34" s="1484"/>
      <c r="G34" s="1445"/>
      <c r="H34" s="1444"/>
      <c r="I34" s="1444"/>
      <c r="J34" s="1790"/>
      <c r="K34" s="1660"/>
      <c r="L34" s="1486"/>
      <c r="M34" s="1469"/>
      <c r="N34" s="1845"/>
      <c r="O34" s="1442"/>
      <c r="P34" s="1443"/>
      <c r="Q34" s="3588"/>
      <c r="R34" s="1485"/>
      <c r="S34" s="2583"/>
      <c r="T34" s="1778"/>
      <c r="U34" s="1390"/>
      <c r="W34" s="1390"/>
      <c r="X34" s="1390">
        <v>920000</v>
      </c>
      <c r="Y34" s="1391"/>
      <c r="Z34" s="1391"/>
      <c r="AA34" s="1390"/>
      <c r="AB34" s="1325">
        <f>+U34+V34+W34+X34+Y34+Z34+AA34</f>
        <v>920000</v>
      </c>
      <c r="AC34" s="1331"/>
      <c r="AD34" s="1173"/>
      <c r="AE34" s="1332">
        <f>(AC34*1.08)+((AH34*$AH$4)+(G34*3450000+H34*3550000+I34*AI34)+(AJ34*$AJ$4)+(AK34*$AK$4)+(AL34*$AL$4)+(AN34*$AN$4)+(AO34*$AO$4)+(AP34*$AP$4)+(AQ34*$AQ$4))*1.08</f>
        <v>0</v>
      </c>
      <c r="AF34" s="1941">
        <f>+AB34+AE34</f>
        <v>920000</v>
      </c>
      <c r="AG34" s="2899"/>
      <c r="AH34" s="1518"/>
      <c r="AI34" s="1519"/>
      <c r="AJ34" s="1518"/>
      <c r="AK34" s="1518"/>
      <c r="AL34" s="1518"/>
      <c r="AM34" s="1518"/>
      <c r="AN34" s="1518"/>
      <c r="AO34" s="1518"/>
      <c r="AP34" s="1518"/>
      <c r="AQ34" s="1518"/>
      <c r="AR34" s="1518"/>
    </row>
    <row r="35" spans="1:50" s="1350" customFormat="1">
      <c r="A35" s="1489">
        <v>3</v>
      </c>
      <c r="B35" s="1138"/>
      <c r="C35" s="1578" t="s">
        <v>4739</v>
      </c>
      <c r="D35" s="1921"/>
      <c r="E35" s="672"/>
      <c r="F35" s="1308"/>
      <c r="G35" s="451"/>
      <c r="H35" s="445"/>
      <c r="I35" s="445"/>
      <c r="J35" s="1786"/>
      <c r="K35" s="1638"/>
      <c r="L35" s="1459"/>
      <c r="M35" s="1471"/>
      <c r="N35" s="1846"/>
      <c r="O35" s="707"/>
      <c r="P35" s="1697"/>
      <c r="Q35" s="3109"/>
      <c r="R35" s="577"/>
      <c r="S35" s="1587"/>
      <c r="T35" s="150"/>
      <c r="U35" s="752"/>
      <c r="V35" s="752"/>
      <c r="W35" s="752"/>
      <c r="X35" s="752">
        <v>20000</v>
      </c>
      <c r="Y35" s="753"/>
      <c r="Z35" s="1316"/>
      <c r="AA35" s="752"/>
      <c r="AB35" s="1325">
        <f>+U35+V35+W35+X35+Y35+Z35+AA35</f>
        <v>20000</v>
      </c>
      <c r="AC35" s="1331"/>
      <c r="AD35" s="755"/>
      <c r="AE35" s="1332">
        <f>(AC35*1.08)+((AH35*$AH$4)+(G35*3450000+H35*3550000+I35*AI35)+(AJ35*$AJ$4)+(AK35*$AK$4)+(AL35*$AL$4)+(AN35*$AN$4)+(AO35*$AO$4)+(AP35*$AP$4)+(AQ35*$AQ$4))*1.08</f>
        <v>0</v>
      </c>
      <c r="AF35" s="1941">
        <f>+AB35+AE35</f>
        <v>20000</v>
      </c>
      <c r="AG35" s="2899"/>
      <c r="AH35" s="1518"/>
      <c r="AI35" s="1519"/>
      <c r="AJ35" s="1518"/>
      <c r="AK35" s="1518"/>
      <c r="AL35" s="1518"/>
      <c r="AM35" s="1518"/>
      <c r="AN35" s="1518"/>
      <c r="AO35" s="1518"/>
      <c r="AP35" s="1518"/>
      <c r="AQ35" s="1518"/>
      <c r="AR35" s="1518"/>
    </row>
    <row r="36" spans="1:50" s="1350" customFormat="1">
      <c r="A36" s="670">
        <v>4</v>
      </c>
      <c r="B36" s="1655" t="s">
        <v>5021</v>
      </c>
      <c r="C36" s="1388">
        <v>307170002550</v>
      </c>
      <c r="D36" s="386" t="s">
        <v>4913</v>
      </c>
      <c r="E36" s="1696" t="s">
        <v>4937</v>
      </c>
      <c r="F36" s="709" t="s">
        <v>210</v>
      </c>
      <c r="G36" s="431"/>
      <c r="H36" s="167"/>
      <c r="I36" s="167">
        <v>1</v>
      </c>
      <c r="J36" s="1791" t="s">
        <v>4939</v>
      </c>
      <c r="K36" s="1436" t="s">
        <v>4906</v>
      </c>
      <c r="L36" s="154" t="s">
        <v>4938</v>
      </c>
      <c r="M36" s="1620"/>
      <c r="N36" s="1846"/>
      <c r="O36" s="707"/>
      <c r="P36" s="1612" t="s">
        <v>4940</v>
      </c>
      <c r="Q36" s="2590"/>
      <c r="R36" s="577" t="s">
        <v>3167</v>
      </c>
      <c r="S36" s="1587"/>
      <c r="T36" s="150"/>
      <c r="U36" s="752"/>
      <c r="V36" s="752"/>
      <c r="W36" s="1549"/>
      <c r="X36" s="752"/>
      <c r="Y36" s="753"/>
      <c r="Z36" s="1564">
        <v>46593</v>
      </c>
      <c r="AA36" s="752"/>
      <c r="AB36" s="1325">
        <f>+U36+V36+W36+X36+Y36+Z36+AA36</f>
        <v>46593</v>
      </c>
      <c r="AC36" s="1331"/>
      <c r="AD36" s="755" t="s">
        <v>4947</v>
      </c>
      <c r="AE36" s="1332">
        <f>+(2300000+(19.69-10)*280000)*1.08</f>
        <v>5414256</v>
      </c>
      <c r="AF36" s="1941">
        <f>+AB36+AE36</f>
        <v>5460849</v>
      </c>
      <c r="AG36" s="2899"/>
      <c r="AH36" s="1518"/>
      <c r="AI36" s="1519"/>
      <c r="AJ36" s="1518"/>
      <c r="AK36" s="1518"/>
      <c r="AL36" s="1518"/>
      <c r="AM36" s="1518"/>
      <c r="AN36" s="1518"/>
      <c r="AO36" s="1518"/>
      <c r="AP36" s="1518"/>
      <c r="AQ36" s="1518"/>
      <c r="AR36" s="1518"/>
    </row>
    <row r="37" spans="1:50">
      <c r="A37" s="3994" t="s">
        <v>4935</v>
      </c>
      <c r="B37" s="3995"/>
      <c r="C37" s="3995"/>
      <c r="D37" s="3995"/>
      <c r="E37" s="3995"/>
      <c r="F37" s="3995"/>
      <c r="G37" s="3995"/>
      <c r="H37" s="3995"/>
      <c r="I37" s="3995"/>
      <c r="J37" s="3995"/>
      <c r="K37" s="3995"/>
      <c r="L37" s="3995"/>
      <c r="M37" s="3995"/>
      <c r="N37" s="3995"/>
      <c r="O37" s="3996"/>
      <c r="P37" s="1375"/>
      <c r="Q37" s="3617"/>
      <c r="R37" s="1342"/>
      <c r="S37" s="1708"/>
      <c r="T37" s="1932"/>
      <c r="U37" s="1933"/>
      <c r="V37" s="1932"/>
      <c r="W37" s="1932"/>
      <c r="X37" s="1932"/>
      <c r="Y37" s="1934"/>
      <c r="Z37" s="1934"/>
      <c r="AA37" s="1932"/>
      <c r="AB37" s="1934">
        <f>SUM(AB12:AB36)</f>
        <v>81196753</v>
      </c>
      <c r="AC37" s="1934">
        <f>SUM(AC12:AC36)</f>
        <v>600000</v>
      </c>
      <c r="AD37" s="1936"/>
      <c r="AE37" s="1934">
        <f>SUM(AE12:AE36)</f>
        <v>232948656</v>
      </c>
      <c r="AF37" s="1934">
        <f>SUM(AF12:AF36)</f>
        <v>314145409</v>
      </c>
      <c r="AG37" s="2897"/>
      <c r="AH37" s="1354"/>
      <c r="AI37" s="1354"/>
      <c r="AJ37" s="1350"/>
    </row>
    <row r="38" spans="1:50">
      <c r="A38" s="1744"/>
      <c r="B38" s="1744"/>
      <c r="C38" s="1744" t="s">
        <v>5024</v>
      </c>
      <c r="D38" s="1744"/>
      <c r="E38" s="4016" t="s">
        <v>5259</v>
      </c>
      <c r="F38" s="1744"/>
      <c r="G38" s="1744"/>
      <c r="H38" s="1744"/>
      <c r="I38" s="1744"/>
      <c r="J38" s="1792"/>
      <c r="K38" s="1744"/>
      <c r="L38" s="1744"/>
      <c r="M38" s="1744"/>
      <c r="N38" s="1847"/>
      <c r="O38" s="1744"/>
      <c r="P38" s="1742"/>
      <c r="Q38" s="1742"/>
      <c r="R38" s="1743"/>
      <c r="S38" s="1743"/>
      <c r="T38" s="1769"/>
      <c r="U38" s="1944"/>
      <c r="V38" s="1769"/>
      <c r="W38" s="1769"/>
      <c r="X38" s="1769"/>
      <c r="Y38" s="1945"/>
      <c r="Z38" s="1945"/>
      <c r="AA38" s="1769"/>
      <c r="AB38" s="1325">
        <v>80000</v>
      </c>
      <c r="AC38" s="1331"/>
      <c r="AD38" s="1744"/>
      <c r="AE38" s="1332">
        <f>(AC38*1.08)+((AH38*$AH$4)+(G38*3450000+H38*3550000+I38*AI38)+(AJ38*$AJ$4)+(AK38*$AK$4)+(AL38*$AL$4)+(AM38*$AM$4*(G38+H38))+(AN38*$AN$4)+(AO38*$AO$4)+(AP38*$AP$4)+(AQ38*$AQ$4))*1.08</f>
        <v>0</v>
      </c>
      <c r="AF38" s="1941">
        <f t="shared" ref="AF38:AF59" si="3">+AB38+AE38</f>
        <v>80000</v>
      </c>
      <c r="AG38" s="2899"/>
      <c r="AH38" s="1354"/>
      <c r="AI38" s="1354"/>
      <c r="AJ38" s="1350"/>
    </row>
    <row r="39" spans="1:50">
      <c r="A39" s="1759"/>
      <c r="B39" s="1760"/>
      <c r="C39" s="1759" t="s">
        <v>5025</v>
      </c>
      <c r="D39" s="1759"/>
      <c r="E39" s="4017"/>
      <c r="F39" s="1759"/>
      <c r="G39" s="1760"/>
      <c r="H39" s="1760"/>
      <c r="I39" s="1760"/>
      <c r="J39" s="1793"/>
      <c r="K39" s="1761"/>
      <c r="L39" s="1759"/>
      <c r="M39" s="1759"/>
      <c r="N39" s="1848"/>
      <c r="O39" s="1759"/>
      <c r="P39" s="1762"/>
      <c r="Q39" s="3604"/>
      <c r="R39" s="1763"/>
      <c r="S39" s="1743"/>
      <c r="T39" s="1946"/>
      <c r="U39" s="1947"/>
      <c r="V39" s="1769"/>
      <c r="W39" s="1946"/>
      <c r="X39" s="1946"/>
      <c r="Y39" s="1948"/>
      <c r="Z39" s="1948"/>
      <c r="AA39" s="1946"/>
      <c r="AB39" s="1766">
        <v>520000</v>
      </c>
      <c r="AC39" s="1764"/>
      <c r="AD39" s="1759"/>
      <c r="AE39" s="1332">
        <f>(AC39*1.08)+((AH39*$AH$4)+(G39*3450000+H39*3550000+I39*AI39)+(AJ39*$AJ$4)+(AK39*$AK$4)+(AL39*$AL$4)+(AM39*$AM$4*(G39+H39))+(AN39*$AN$4)+(AO39*$AO$4)+(AP39*$AP$4)+(AQ39*$AQ$4))*1.08</f>
        <v>0</v>
      </c>
      <c r="AF39" s="1949">
        <f t="shared" si="3"/>
        <v>520000</v>
      </c>
      <c r="AG39" s="2900"/>
      <c r="AH39" s="1518"/>
      <c r="AI39" s="1519"/>
      <c r="AJ39" s="1518"/>
      <c r="AK39" s="1518"/>
      <c r="AL39" s="1518"/>
      <c r="AM39" s="1518"/>
      <c r="AN39" s="1518"/>
      <c r="AO39" s="1518"/>
      <c r="AP39" s="1518"/>
      <c r="AQ39" s="1519"/>
      <c r="AR39" s="1518"/>
      <c r="AS39" s="1519"/>
      <c r="AT39" s="1518"/>
      <c r="AU39" s="1518"/>
      <c r="AV39" s="1518"/>
      <c r="AW39" s="1518"/>
      <c r="AX39" s="1518"/>
    </row>
    <row r="40" spans="1:50" s="1350" customFormat="1" ht="12.75" customHeight="1" thickBot="1">
      <c r="A40" s="1797">
        <v>1</v>
      </c>
      <c r="B40" s="1817" t="s">
        <v>5022</v>
      </c>
      <c r="C40" s="2014">
        <v>307206886360</v>
      </c>
      <c r="D40" s="1806" t="s">
        <v>5022</v>
      </c>
      <c r="E40" s="1818" t="s">
        <v>5045</v>
      </c>
      <c r="F40" s="1807" t="s">
        <v>210</v>
      </c>
      <c r="G40" s="1819"/>
      <c r="H40" s="1820">
        <v>1</v>
      </c>
      <c r="I40" s="1950"/>
      <c r="J40" s="1821" t="s">
        <v>5036</v>
      </c>
      <c r="K40" s="2062" t="s">
        <v>5019</v>
      </c>
      <c r="L40" s="1822" t="s">
        <v>5035</v>
      </c>
      <c r="M40" s="1950"/>
      <c r="N40" s="1849" t="s">
        <v>5033</v>
      </c>
      <c r="O40" s="1833" t="s">
        <v>5034</v>
      </c>
      <c r="P40" s="1823" t="s">
        <v>5020</v>
      </c>
      <c r="Q40" s="1823"/>
      <c r="R40" s="1823" t="s">
        <v>2966</v>
      </c>
      <c r="S40" s="1612"/>
      <c r="T40" s="1951"/>
      <c r="U40" s="1952"/>
      <c r="V40" s="1537">
        <v>1280000</v>
      </c>
      <c r="W40" s="1765">
        <v>882000</v>
      </c>
      <c r="X40" s="1953"/>
      <c r="Y40" s="1953"/>
      <c r="Z40" s="1826">
        <v>500000</v>
      </c>
      <c r="AA40" s="1953"/>
      <c r="AB40" s="1766">
        <f t="shared" ref="AB40:AB58" si="4">+U40+V40+W40+X40+Y40+Z40+AA40</f>
        <v>2662000</v>
      </c>
      <c r="AC40" s="1754"/>
      <c r="AD40" s="1767"/>
      <c r="AE40" s="1332">
        <f t="shared" ref="AE40:AE54" si="5">(AC40*1.08)+((AH40*$AH$4)+(G40*3450000+H40*3550000+I40*AI40)+(AJ40*$AJ$4)+(AK40*$AK$4)+(AL40*$AL$4)+(AM40*$AM$4*(G40+H40))+(AN40*$AN$4)+(AO40*$AO$4)+(AP40*$AP$4)+(AQ40*$AQ$4)+(AR40*$AR$4))*1.08</f>
        <v>5367600</v>
      </c>
      <c r="AF40" s="1954">
        <f t="shared" si="3"/>
        <v>8029600</v>
      </c>
      <c r="AG40" s="2899"/>
      <c r="AH40" s="1518" t="s">
        <v>973</v>
      </c>
      <c r="AI40" s="1519"/>
      <c r="AJ40" s="1518"/>
      <c r="AK40" s="1518"/>
      <c r="AL40" s="1518"/>
      <c r="AM40" s="1518"/>
      <c r="AN40" s="1518"/>
      <c r="AO40" s="1518"/>
      <c r="AP40" s="1518"/>
      <c r="AQ40" s="1519">
        <v>1</v>
      </c>
      <c r="AR40" s="1518"/>
      <c r="AS40" s="1519"/>
      <c r="AT40" s="1518"/>
      <c r="AU40" s="1518"/>
      <c r="AV40" s="1518"/>
      <c r="AW40" s="1518"/>
      <c r="AX40" s="1518"/>
    </row>
    <row r="41" spans="1:50" s="1350" customFormat="1" ht="40.200000000000003" thickBot="1">
      <c r="A41" s="1808">
        <v>2</v>
      </c>
      <c r="B41" s="1809" t="s">
        <v>5041</v>
      </c>
      <c r="C41" s="2015" t="s">
        <v>5076</v>
      </c>
      <c r="D41" s="1810" t="s">
        <v>5041</v>
      </c>
      <c r="E41" s="1811" t="s">
        <v>5086</v>
      </c>
      <c r="F41" s="1812" t="s">
        <v>210</v>
      </c>
      <c r="G41" s="2029">
        <v>1</v>
      </c>
      <c r="H41" s="2030"/>
      <c r="I41" s="1814"/>
      <c r="J41" s="1815">
        <v>11353.1310847493</v>
      </c>
      <c r="K41" s="1816" t="s">
        <v>5038</v>
      </c>
      <c r="L41" s="1814" t="s">
        <v>5081</v>
      </c>
      <c r="M41" s="1955"/>
      <c r="N41" s="1850" t="s">
        <v>5077</v>
      </c>
      <c r="O41" s="1834" t="s">
        <v>5078</v>
      </c>
      <c r="P41" s="1920" t="s">
        <v>5039</v>
      </c>
      <c r="Q41" s="3581"/>
      <c r="R41" s="1920" t="s">
        <v>2966</v>
      </c>
      <c r="S41" s="1612"/>
      <c r="T41" s="1951"/>
      <c r="U41" s="1952"/>
      <c r="V41" s="1537">
        <v>900000</v>
      </c>
      <c r="W41" s="1765">
        <v>497000</v>
      </c>
      <c r="X41" s="1956"/>
      <c r="Y41" s="1956"/>
      <c r="Z41" s="1826">
        <v>250000</v>
      </c>
      <c r="AA41" s="1956"/>
      <c r="AB41" s="1766">
        <f t="shared" si="4"/>
        <v>1647000</v>
      </c>
      <c r="AC41" s="1331"/>
      <c r="AD41" s="1956"/>
      <c r="AE41" s="1332">
        <f t="shared" si="5"/>
        <v>5259600</v>
      </c>
      <c r="AF41" s="1941">
        <f t="shared" si="3"/>
        <v>6906600</v>
      </c>
      <c r="AG41" s="2898"/>
      <c r="AH41" s="1518" t="s">
        <v>973</v>
      </c>
      <c r="AI41" s="1519"/>
      <c r="AJ41" s="1518"/>
      <c r="AK41" s="1518"/>
      <c r="AL41" s="1518"/>
      <c r="AM41" s="1518"/>
      <c r="AN41" s="1518"/>
      <c r="AO41" s="1518"/>
      <c r="AP41" s="1518"/>
      <c r="AQ41" s="1519">
        <v>1</v>
      </c>
      <c r="AR41" s="1518"/>
      <c r="AS41" s="1519"/>
      <c r="AT41" s="1518"/>
      <c r="AU41" s="1518"/>
      <c r="AV41" s="1518"/>
      <c r="AW41" s="1518"/>
      <c r="AX41" s="1518"/>
    </row>
    <row r="42" spans="1:50" s="1758" customFormat="1" ht="16.5" customHeight="1">
      <c r="A42" s="1805">
        <v>3</v>
      </c>
      <c r="B42" s="4030" t="s">
        <v>5094</v>
      </c>
      <c r="C42" s="2016">
        <v>307226118200</v>
      </c>
      <c r="D42" s="448" t="s">
        <v>5094</v>
      </c>
      <c r="E42" s="3875" t="s">
        <v>5123</v>
      </c>
      <c r="F42" s="3925" t="s">
        <v>210</v>
      </c>
      <c r="G42" s="451">
        <v>1</v>
      </c>
      <c r="H42" s="2028"/>
      <c r="I42" s="3985"/>
      <c r="J42" s="1794">
        <f>17026.8019373344</f>
        <v>17026.8019373344</v>
      </c>
      <c r="K42" s="3985" t="s">
        <v>5065</v>
      </c>
      <c r="L42" s="1638" t="s">
        <v>5108</v>
      </c>
      <c r="M42" s="1471">
        <v>2</v>
      </c>
      <c r="N42" s="1851" t="s">
        <v>5106</v>
      </c>
      <c r="O42" s="1755" t="s">
        <v>5107</v>
      </c>
      <c r="P42" s="3936" t="s">
        <v>5066</v>
      </c>
      <c r="Q42" s="3595"/>
      <c r="R42" s="3936" t="s">
        <v>2966</v>
      </c>
      <c r="S42" s="2504"/>
      <c r="T42" s="4018"/>
      <c r="U42" s="1170"/>
      <c r="V42" s="1537">
        <v>870000</v>
      </c>
      <c r="W42" s="1765">
        <v>994000</v>
      </c>
      <c r="X42" s="1170"/>
      <c r="Y42" s="1171"/>
      <c r="Z42" s="1826">
        <v>250000</v>
      </c>
      <c r="AA42" s="1170"/>
      <c r="AB42" s="1766">
        <f t="shared" si="4"/>
        <v>2114000</v>
      </c>
      <c r="AC42" s="1757"/>
      <c r="AD42" s="1173"/>
      <c r="AE42" s="1332">
        <f t="shared" si="5"/>
        <v>5259600</v>
      </c>
      <c r="AF42" s="1941">
        <f t="shared" si="3"/>
        <v>7373600</v>
      </c>
      <c r="AG42" s="2899"/>
      <c r="AH42" s="1518">
        <v>1</v>
      </c>
      <c r="AI42" s="1519"/>
      <c r="AJ42" s="1518"/>
      <c r="AK42" s="1518"/>
      <c r="AL42" s="1518"/>
      <c r="AM42" s="1518"/>
      <c r="AN42" s="1518"/>
      <c r="AO42" s="1518"/>
      <c r="AP42" s="1518"/>
      <c r="AQ42" s="1519">
        <v>1</v>
      </c>
      <c r="AR42" s="1518"/>
      <c r="AS42" s="1519"/>
      <c r="AT42" s="1518"/>
      <c r="AU42" s="1518"/>
      <c r="AV42" s="1518"/>
      <c r="AW42" s="1518"/>
      <c r="AX42" s="1518"/>
    </row>
    <row r="43" spans="1:50" s="1758" customFormat="1" ht="13.8" thickBot="1">
      <c r="A43" s="1797">
        <v>4</v>
      </c>
      <c r="B43" s="4031"/>
      <c r="C43" s="2017">
        <v>307226126930</v>
      </c>
      <c r="D43" s="1800" t="s">
        <v>5094</v>
      </c>
      <c r="E43" s="3924"/>
      <c r="F43" s="3926"/>
      <c r="G43" s="1998">
        <v>1</v>
      </c>
      <c r="H43" s="1820"/>
      <c r="I43" s="3986"/>
      <c r="J43" s="1801">
        <f>17606.1034431969</f>
        <v>17606.103443196898</v>
      </c>
      <c r="K43" s="3986"/>
      <c r="L43" s="1802" t="s">
        <v>5105</v>
      </c>
      <c r="M43" s="1803">
        <v>3</v>
      </c>
      <c r="N43" s="1852" t="s">
        <v>5103</v>
      </c>
      <c r="O43" s="1804" t="s">
        <v>5104</v>
      </c>
      <c r="P43" s="3920"/>
      <c r="Q43" s="3591"/>
      <c r="R43" s="3920"/>
      <c r="S43" s="2504"/>
      <c r="T43" s="4019"/>
      <c r="U43" s="1170"/>
      <c r="V43" s="1537">
        <v>870000</v>
      </c>
      <c r="W43" s="1769"/>
      <c r="X43" s="1170"/>
      <c r="Y43" s="1171"/>
      <c r="Z43" s="1826">
        <v>250000</v>
      </c>
      <c r="AA43" s="1170"/>
      <c r="AB43" s="1766">
        <f t="shared" si="4"/>
        <v>1120000</v>
      </c>
      <c r="AC43" s="1757"/>
      <c r="AD43" s="1173"/>
      <c r="AE43" s="1332">
        <f t="shared" si="5"/>
        <v>5259600</v>
      </c>
      <c r="AF43" s="1941">
        <f t="shared" si="3"/>
        <v>6379600</v>
      </c>
      <c r="AG43" s="2899"/>
      <c r="AH43" s="1518">
        <v>1</v>
      </c>
      <c r="AI43" s="1519"/>
      <c r="AJ43" s="1518"/>
      <c r="AK43" s="1518"/>
      <c r="AL43" s="1518"/>
      <c r="AM43" s="1518"/>
      <c r="AN43" s="1518"/>
      <c r="AO43" s="1518"/>
      <c r="AP43" s="1518"/>
      <c r="AQ43" s="1519">
        <v>1</v>
      </c>
      <c r="AR43" s="1518"/>
      <c r="AS43" s="1519"/>
      <c r="AT43" s="1518"/>
      <c r="AU43" s="1518"/>
      <c r="AV43" s="1518"/>
      <c r="AW43" s="1518"/>
      <c r="AX43" s="1518"/>
    </row>
    <row r="44" spans="1:50" s="1758" customFormat="1">
      <c r="A44" s="1104">
        <v>5</v>
      </c>
      <c r="B44" s="4030" t="s">
        <v>5114</v>
      </c>
      <c r="C44" s="2016">
        <v>307233292720</v>
      </c>
      <c r="D44" s="1922" t="s">
        <v>5114</v>
      </c>
      <c r="E44" s="3923" t="s">
        <v>5155</v>
      </c>
      <c r="F44" s="3949" t="s">
        <v>210</v>
      </c>
      <c r="G44" s="451"/>
      <c r="H44" s="2028">
        <v>1</v>
      </c>
      <c r="I44" s="3985"/>
      <c r="J44" s="1794">
        <v>22549.999055235101</v>
      </c>
      <c r="K44" s="3985" t="s">
        <v>5087</v>
      </c>
      <c r="L44" s="1638" t="s">
        <v>5146</v>
      </c>
      <c r="M44" s="1471">
        <v>1</v>
      </c>
      <c r="N44" s="1853" t="s">
        <v>5144</v>
      </c>
      <c r="O44" s="1827" t="s">
        <v>5145</v>
      </c>
      <c r="P44" s="3961" t="s">
        <v>5088</v>
      </c>
      <c r="Q44" s="3594"/>
      <c r="R44" s="3961" t="s">
        <v>2966</v>
      </c>
      <c r="S44" s="2504"/>
      <c r="T44" s="4022"/>
      <c r="U44" s="1170"/>
      <c r="V44" s="1537">
        <v>1450000</v>
      </c>
      <c r="W44" s="1765">
        <v>2646000</v>
      </c>
      <c r="X44" s="1170"/>
      <c r="Y44" s="1171"/>
      <c r="Z44" s="1826">
        <v>500000</v>
      </c>
      <c r="AA44" s="1170"/>
      <c r="AB44" s="1766">
        <f t="shared" si="4"/>
        <v>4596000</v>
      </c>
      <c r="AC44" s="1757"/>
      <c r="AD44" s="1173"/>
      <c r="AE44" s="1332">
        <f t="shared" si="5"/>
        <v>5367600</v>
      </c>
      <c r="AF44" s="1941">
        <f t="shared" si="3"/>
        <v>9963600</v>
      </c>
      <c r="AG44" s="2899"/>
      <c r="AH44" s="1518">
        <v>1</v>
      </c>
      <c r="AI44" s="1519"/>
      <c r="AJ44" s="1518"/>
      <c r="AK44" s="1518"/>
      <c r="AL44" s="1518"/>
      <c r="AM44" s="1518"/>
      <c r="AN44" s="1518"/>
      <c r="AO44" s="1518"/>
      <c r="AP44" s="1518"/>
      <c r="AQ44" s="1519">
        <v>1</v>
      </c>
      <c r="AR44" s="1518"/>
      <c r="AS44" s="1519"/>
      <c r="AT44" s="1518"/>
      <c r="AU44" s="1518"/>
      <c r="AV44" s="1518"/>
      <c r="AW44" s="1518"/>
      <c r="AX44" s="1518"/>
    </row>
    <row r="45" spans="1:50" s="1758" customFormat="1">
      <c r="A45" s="1742">
        <v>6</v>
      </c>
      <c r="B45" s="4030"/>
      <c r="C45" s="2018">
        <v>307233308820</v>
      </c>
      <c r="D45" s="1962" t="s">
        <v>5114</v>
      </c>
      <c r="E45" s="3875"/>
      <c r="F45" s="3949"/>
      <c r="G45" s="431"/>
      <c r="H45" s="1444">
        <v>1</v>
      </c>
      <c r="I45" s="3985"/>
      <c r="J45" s="1794">
        <v>22852.399153586201</v>
      </c>
      <c r="K45" s="3985"/>
      <c r="L45" s="1638" t="s">
        <v>5149</v>
      </c>
      <c r="M45" s="1471">
        <v>2</v>
      </c>
      <c r="N45" s="1851" t="s">
        <v>5147</v>
      </c>
      <c r="O45" s="1755" t="s">
        <v>5148</v>
      </c>
      <c r="P45" s="3919"/>
      <c r="Q45" s="3590"/>
      <c r="R45" s="3919"/>
      <c r="S45" s="2504"/>
      <c r="T45" s="4018"/>
      <c r="U45" s="1170"/>
      <c r="V45" s="1537">
        <v>1450000</v>
      </c>
      <c r="W45" s="1756"/>
      <c r="X45" s="1170"/>
      <c r="Y45" s="1171"/>
      <c r="Z45" s="1826">
        <v>500000</v>
      </c>
      <c r="AA45" s="1170"/>
      <c r="AB45" s="1766">
        <f t="shared" si="4"/>
        <v>1950000</v>
      </c>
      <c r="AC45" s="1757"/>
      <c r="AD45" s="1173"/>
      <c r="AE45" s="1332">
        <f t="shared" si="5"/>
        <v>5367600</v>
      </c>
      <c r="AF45" s="1941">
        <f t="shared" si="3"/>
        <v>7317600</v>
      </c>
      <c r="AG45" s="2899"/>
      <c r="AH45" s="1518">
        <v>1</v>
      </c>
      <c r="AI45" s="1519"/>
      <c r="AJ45" s="1518"/>
      <c r="AK45" s="1518"/>
      <c r="AL45" s="1518"/>
      <c r="AM45" s="1518"/>
      <c r="AN45" s="1518"/>
      <c r="AO45" s="1518"/>
      <c r="AP45" s="1518"/>
      <c r="AQ45" s="1519">
        <v>1</v>
      </c>
      <c r="AR45" s="1518"/>
      <c r="AS45" s="1519"/>
      <c r="AT45" s="1518"/>
      <c r="AU45" s="1518"/>
      <c r="AV45" s="1518"/>
      <c r="AW45" s="1518"/>
      <c r="AX45" s="1518"/>
    </row>
    <row r="46" spans="1:50" s="1758" customFormat="1" ht="13.8" thickBot="1">
      <c r="A46" s="1797">
        <v>7</v>
      </c>
      <c r="B46" s="4031"/>
      <c r="C46" s="2017">
        <v>307235102700</v>
      </c>
      <c r="D46" s="1796" t="s">
        <v>5114</v>
      </c>
      <c r="E46" s="3924"/>
      <c r="F46" s="3950"/>
      <c r="G46" s="1998"/>
      <c r="H46" s="1820">
        <v>1</v>
      </c>
      <c r="I46" s="3986"/>
      <c r="J46" s="1798">
        <v>22819.903915716</v>
      </c>
      <c r="K46" s="3986"/>
      <c r="L46" s="1968" t="s">
        <v>5154</v>
      </c>
      <c r="M46" s="1799">
        <v>3</v>
      </c>
      <c r="N46" s="1854" t="s">
        <v>5152</v>
      </c>
      <c r="O46" s="1854" t="s">
        <v>5153</v>
      </c>
      <c r="P46" s="3920"/>
      <c r="Q46" s="3591"/>
      <c r="R46" s="3920"/>
      <c r="S46" s="2504"/>
      <c r="T46" s="4019"/>
      <c r="U46" s="1170"/>
      <c r="V46" s="1537">
        <v>1450000</v>
      </c>
      <c r="W46" s="1756"/>
      <c r="X46" s="1170"/>
      <c r="Y46" s="1171"/>
      <c r="Z46" s="1826">
        <v>500000</v>
      </c>
      <c r="AA46" s="1170"/>
      <c r="AB46" s="1766">
        <f t="shared" si="4"/>
        <v>1950000</v>
      </c>
      <c r="AC46" s="1757"/>
      <c r="AD46" s="1173"/>
      <c r="AE46" s="1332">
        <f t="shared" si="5"/>
        <v>5367600</v>
      </c>
      <c r="AF46" s="1941">
        <f t="shared" si="3"/>
        <v>7317600</v>
      </c>
      <c r="AG46" s="2899"/>
      <c r="AH46" s="1518">
        <v>1</v>
      </c>
      <c r="AI46" s="1519"/>
      <c r="AJ46" s="1518"/>
      <c r="AK46" s="1518"/>
      <c r="AL46" s="1518"/>
      <c r="AM46" s="1518"/>
      <c r="AN46" s="1518"/>
      <c r="AO46" s="1518"/>
      <c r="AP46" s="1518"/>
      <c r="AQ46" s="1519">
        <v>1</v>
      </c>
      <c r="AR46" s="1518"/>
      <c r="AS46" s="1519"/>
      <c r="AT46" s="1518"/>
      <c r="AU46" s="1518"/>
      <c r="AV46" s="1518"/>
      <c r="AW46" s="1518"/>
      <c r="AX46" s="1518"/>
    </row>
    <row r="47" spans="1:50" s="1350" customFormat="1" ht="15" customHeight="1">
      <c r="A47" s="1104">
        <v>8</v>
      </c>
      <c r="B47" s="4029" t="s">
        <v>5157</v>
      </c>
      <c r="C47" s="1513">
        <v>307243317420</v>
      </c>
      <c r="D47" s="699" t="s">
        <v>5157</v>
      </c>
      <c r="E47" s="3923" t="s">
        <v>5170</v>
      </c>
      <c r="F47" s="4032" t="s">
        <v>210</v>
      </c>
      <c r="G47" s="451">
        <v>1</v>
      </c>
      <c r="H47" s="2028"/>
      <c r="I47" s="3997"/>
      <c r="J47" s="1711">
        <f>17726.5969200781+2280</f>
        <v>20006.5969200781</v>
      </c>
      <c r="K47" s="3985" t="s">
        <v>5067</v>
      </c>
      <c r="L47" s="1436" t="s">
        <v>5163</v>
      </c>
      <c r="M47" s="1471">
        <v>4</v>
      </c>
      <c r="N47" s="1846" t="s">
        <v>5161</v>
      </c>
      <c r="O47" s="707" t="s">
        <v>5162</v>
      </c>
      <c r="P47" s="3919" t="s">
        <v>5068</v>
      </c>
      <c r="Q47" s="3618"/>
      <c r="R47" s="4027" t="s">
        <v>2966</v>
      </c>
      <c r="S47" s="2069"/>
      <c r="T47" s="4020"/>
      <c r="U47" s="752"/>
      <c r="V47" s="1537">
        <v>870000</v>
      </c>
      <c r="W47" s="1765">
        <v>1491000</v>
      </c>
      <c r="X47" s="752"/>
      <c r="Y47" s="753"/>
      <c r="Z47" s="1826">
        <v>250000</v>
      </c>
      <c r="AA47" s="752"/>
      <c r="AB47" s="1766">
        <f t="shared" si="4"/>
        <v>2611000</v>
      </c>
      <c r="AC47" s="1331"/>
      <c r="AD47" s="755"/>
      <c r="AE47" s="1332">
        <f t="shared" si="5"/>
        <v>5259600</v>
      </c>
      <c r="AF47" s="1941">
        <f t="shared" si="3"/>
        <v>7870600</v>
      </c>
      <c r="AG47" s="2899"/>
      <c r="AH47" s="1518">
        <v>1</v>
      </c>
      <c r="AI47" s="1519"/>
      <c r="AJ47" s="1518"/>
      <c r="AK47" s="1518"/>
      <c r="AL47" s="1518"/>
      <c r="AM47" s="1518"/>
      <c r="AN47" s="1518"/>
      <c r="AO47" s="1518"/>
      <c r="AP47" s="1518"/>
      <c r="AQ47" s="1519">
        <v>1</v>
      </c>
      <c r="AR47" s="1518"/>
      <c r="AS47" s="1519"/>
      <c r="AT47" s="1518"/>
      <c r="AU47" s="1518"/>
      <c r="AV47" s="1518"/>
      <c r="AW47" s="1518"/>
      <c r="AX47" s="1518"/>
    </row>
    <row r="48" spans="1:50" s="1350" customFormat="1">
      <c r="A48" s="1742">
        <v>9</v>
      </c>
      <c r="B48" s="4030"/>
      <c r="C48" s="2019">
        <v>307243338160</v>
      </c>
      <c r="D48" s="699" t="s">
        <v>5157</v>
      </c>
      <c r="E48" s="3875"/>
      <c r="F48" s="3949"/>
      <c r="G48" s="431">
        <v>1</v>
      </c>
      <c r="H48" s="1444"/>
      <c r="I48" s="3998"/>
      <c r="J48" s="1711">
        <f>17690.11+2280</f>
        <v>19970.11</v>
      </c>
      <c r="K48" s="3985"/>
      <c r="L48" s="1436" t="s">
        <v>5166</v>
      </c>
      <c r="M48" s="1471">
        <v>5</v>
      </c>
      <c r="N48" s="1846" t="s">
        <v>5164</v>
      </c>
      <c r="O48" s="707" t="s">
        <v>5165</v>
      </c>
      <c r="P48" s="3919"/>
      <c r="Q48" s="3618"/>
      <c r="R48" s="4027"/>
      <c r="S48" s="2069"/>
      <c r="T48" s="4020"/>
      <c r="U48" s="752"/>
      <c r="V48" s="1537">
        <v>870000</v>
      </c>
      <c r="W48" s="1433"/>
      <c r="X48" s="752"/>
      <c r="Y48" s="753"/>
      <c r="Z48" s="1826">
        <v>250000</v>
      </c>
      <c r="AA48" s="752"/>
      <c r="AB48" s="1766">
        <f t="shared" si="4"/>
        <v>1120000</v>
      </c>
      <c r="AC48" s="1331"/>
      <c r="AD48" s="755"/>
      <c r="AE48" s="1332">
        <f t="shared" si="5"/>
        <v>5259600</v>
      </c>
      <c r="AF48" s="1941">
        <f t="shared" si="3"/>
        <v>6379600</v>
      </c>
      <c r="AG48" s="2899"/>
      <c r="AH48" s="1518">
        <v>1</v>
      </c>
      <c r="AI48" s="1519"/>
      <c r="AJ48" s="1518"/>
      <c r="AK48" s="1518"/>
      <c r="AL48" s="1518"/>
      <c r="AM48" s="1518"/>
      <c r="AN48" s="1518"/>
      <c r="AO48" s="1518"/>
      <c r="AP48" s="1518"/>
      <c r="AQ48" s="1519">
        <v>1</v>
      </c>
      <c r="AR48" s="1518"/>
      <c r="AS48" s="1519"/>
      <c r="AT48" s="1518"/>
      <c r="AU48" s="1518"/>
      <c r="AV48" s="1518"/>
      <c r="AW48" s="1518"/>
      <c r="AX48" s="1518"/>
    </row>
    <row r="49" spans="1:50" s="1350" customFormat="1" ht="12.75" customHeight="1" thickBot="1">
      <c r="A49" s="1797">
        <v>10</v>
      </c>
      <c r="B49" s="4031"/>
      <c r="C49" s="2014">
        <v>307243353930</v>
      </c>
      <c r="D49" s="1806" t="s">
        <v>5157</v>
      </c>
      <c r="E49" s="3924"/>
      <c r="F49" s="3950"/>
      <c r="G49" s="1998">
        <v>1</v>
      </c>
      <c r="H49" s="1820"/>
      <c r="I49" s="3999"/>
      <c r="J49" s="1815">
        <f>17032.0034711574+2280</f>
        <v>19312.003471157401</v>
      </c>
      <c r="K49" s="3986"/>
      <c r="L49" s="1814" t="s">
        <v>5169</v>
      </c>
      <c r="M49" s="1985">
        <v>6</v>
      </c>
      <c r="N49" s="1986" t="s">
        <v>5167</v>
      </c>
      <c r="O49" s="1983" t="s">
        <v>5168</v>
      </c>
      <c r="P49" s="3920"/>
      <c r="Q49" s="3619"/>
      <c r="R49" s="4028"/>
      <c r="S49" s="2069"/>
      <c r="T49" s="4021"/>
      <c r="U49" s="752"/>
      <c r="V49" s="1537">
        <v>870000</v>
      </c>
      <c r="W49" s="752"/>
      <c r="X49" s="752"/>
      <c r="Y49" s="753"/>
      <c r="Z49" s="1826">
        <v>250000</v>
      </c>
      <c r="AA49" s="752"/>
      <c r="AB49" s="1325">
        <f t="shared" si="4"/>
        <v>1120000</v>
      </c>
      <c r="AC49" s="1331"/>
      <c r="AD49" s="755"/>
      <c r="AE49" s="1332">
        <f t="shared" si="5"/>
        <v>5259600</v>
      </c>
      <c r="AF49" s="1941">
        <f t="shared" si="3"/>
        <v>6379600</v>
      </c>
      <c r="AG49" s="2899"/>
      <c r="AH49" s="1518">
        <v>1</v>
      </c>
      <c r="AI49" s="1519"/>
      <c r="AJ49" s="1518"/>
      <c r="AK49" s="1518"/>
      <c r="AL49" s="1518"/>
      <c r="AM49" s="1518"/>
      <c r="AN49" s="1518"/>
      <c r="AO49" s="1518"/>
      <c r="AP49" s="1518"/>
      <c r="AQ49" s="1519">
        <v>1</v>
      </c>
      <c r="AR49" s="1518"/>
      <c r="AS49" s="1519"/>
      <c r="AT49" s="1518"/>
      <c r="AU49" s="1518"/>
      <c r="AV49" s="1518"/>
      <c r="AW49" s="1518"/>
      <c r="AX49" s="1518"/>
    </row>
    <row r="50" spans="1:50" s="1350" customFormat="1" ht="12.75" customHeight="1">
      <c r="A50" s="1104">
        <v>11</v>
      </c>
      <c r="B50" s="4036" t="s">
        <v>5181</v>
      </c>
      <c r="C50" s="2019">
        <v>307251498430</v>
      </c>
      <c r="D50" s="699" t="s">
        <v>5181</v>
      </c>
      <c r="E50" s="3978" t="s">
        <v>5214</v>
      </c>
      <c r="F50" s="3969" t="s">
        <v>210</v>
      </c>
      <c r="G50" s="451">
        <v>1</v>
      </c>
      <c r="H50" s="2028"/>
      <c r="I50" s="3981"/>
      <c r="J50" s="1711">
        <v>17349.002949260499</v>
      </c>
      <c r="K50" s="3984" t="s">
        <v>5126</v>
      </c>
      <c r="L50" s="1436" t="s">
        <v>5189</v>
      </c>
      <c r="M50" s="1471">
        <v>1</v>
      </c>
      <c r="N50" s="2020" t="s">
        <v>5187</v>
      </c>
      <c r="O50" s="2021" t="s">
        <v>5188</v>
      </c>
      <c r="P50" s="4033" t="s">
        <v>5127</v>
      </c>
      <c r="Q50" s="3596"/>
      <c r="R50" s="4024" t="s">
        <v>3152</v>
      </c>
      <c r="S50" s="2584"/>
      <c r="T50" s="4023"/>
      <c r="U50" s="752"/>
      <c r="V50" s="1537">
        <v>900000</v>
      </c>
      <c r="W50" s="1537">
        <v>700000</v>
      </c>
      <c r="X50" s="752"/>
      <c r="Y50" s="753"/>
      <c r="Z50" s="1826">
        <v>250000</v>
      </c>
      <c r="AA50" s="752"/>
      <c r="AB50" s="1325">
        <f t="shared" si="4"/>
        <v>1850000</v>
      </c>
      <c r="AC50" s="1331"/>
      <c r="AD50" s="755"/>
      <c r="AE50" s="1332">
        <f t="shared" si="5"/>
        <v>5259600</v>
      </c>
      <c r="AF50" s="1941">
        <f t="shared" si="3"/>
        <v>7109600</v>
      </c>
      <c r="AG50" s="2899"/>
      <c r="AH50" s="1518">
        <v>1</v>
      </c>
      <c r="AI50" s="1519"/>
      <c r="AJ50" s="1518"/>
      <c r="AK50" s="1518"/>
      <c r="AL50" s="1518"/>
      <c r="AM50" s="1518"/>
      <c r="AN50" s="1518"/>
      <c r="AO50" s="1518"/>
      <c r="AP50" s="1518"/>
      <c r="AQ50" s="1519">
        <v>1</v>
      </c>
      <c r="AR50" s="1518"/>
      <c r="AS50" s="1519"/>
      <c r="AT50" s="1518"/>
      <c r="AU50" s="1518"/>
      <c r="AV50" s="1518"/>
      <c r="AW50" s="1518"/>
      <c r="AX50" s="1518"/>
    </row>
    <row r="51" spans="1:50" s="1350" customFormat="1" ht="15.75" customHeight="1">
      <c r="A51" s="1742">
        <v>12</v>
      </c>
      <c r="B51" s="4037"/>
      <c r="C51" s="2019">
        <v>307251465050</v>
      </c>
      <c r="D51" s="699" t="s">
        <v>5181</v>
      </c>
      <c r="E51" s="3979"/>
      <c r="F51" s="3892"/>
      <c r="G51" s="431">
        <v>1</v>
      </c>
      <c r="H51" s="1444"/>
      <c r="I51" s="3982"/>
      <c r="J51" s="1711">
        <v>17143.9981205677</v>
      </c>
      <c r="K51" s="3985"/>
      <c r="L51" s="1436" t="s">
        <v>5190</v>
      </c>
      <c r="M51" s="1471">
        <v>2</v>
      </c>
      <c r="N51" s="1846" t="s">
        <v>5191</v>
      </c>
      <c r="O51" s="707" t="s">
        <v>5192</v>
      </c>
      <c r="P51" s="4034"/>
      <c r="Q51" s="3620"/>
      <c r="R51" s="4025"/>
      <c r="S51" s="2584"/>
      <c r="T51" s="4020"/>
      <c r="U51" s="752"/>
      <c r="V51" s="1537">
        <v>850000</v>
      </c>
      <c r="W51" s="1537">
        <v>700000</v>
      </c>
      <c r="X51" s="752"/>
      <c r="Y51" s="753"/>
      <c r="Z51" s="1826">
        <v>250000</v>
      </c>
      <c r="AA51" s="752"/>
      <c r="AB51" s="1325">
        <f t="shared" si="4"/>
        <v>1800000</v>
      </c>
      <c r="AC51" s="1331"/>
      <c r="AD51" s="755"/>
      <c r="AE51" s="1332">
        <f t="shared" si="5"/>
        <v>5259600</v>
      </c>
      <c r="AF51" s="1941">
        <f t="shared" si="3"/>
        <v>7059600</v>
      </c>
      <c r="AG51" s="2899"/>
      <c r="AH51" s="1518">
        <v>1</v>
      </c>
      <c r="AI51" s="1519"/>
      <c r="AJ51" s="1518"/>
      <c r="AK51" s="1518"/>
      <c r="AL51" s="1518"/>
      <c r="AM51" s="1518"/>
      <c r="AN51" s="1518"/>
      <c r="AO51" s="1518"/>
      <c r="AP51" s="1518"/>
      <c r="AQ51" s="1519">
        <v>1</v>
      </c>
      <c r="AR51" s="1518"/>
      <c r="AS51" s="1519"/>
      <c r="AT51" s="1518"/>
      <c r="AU51" s="1518"/>
      <c r="AV51" s="1518"/>
      <c r="AW51" s="1518"/>
      <c r="AX51" s="1518"/>
    </row>
    <row r="52" spans="1:50" s="1350" customFormat="1" ht="15.75" customHeight="1">
      <c r="A52" s="1742">
        <v>13</v>
      </c>
      <c r="B52" s="3976" t="s">
        <v>5193</v>
      </c>
      <c r="C52" s="2019">
        <v>307254945710</v>
      </c>
      <c r="D52" s="1616" t="s">
        <v>5193</v>
      </c>
      <c r="E52" s="3979"/>
      <c r="F52" s="3892"/>
      <c r="G52" s="431">
        <v>1</v>
      </c>
      <c r="H52" s="1444"/>
      <c r="I52" s="3982"/>
      <c r="J52" s="1957">
        <v>16491.401575520202</v>
      </c>
      <c r="K52" s="3985"/>
      <c r="L52" s="1379" t="s">
        <v>5196</v>
      </c>
      <c r="M52" s="1471">
        <v>3</v>
      </c>
      <c r="N52" s="1846" t="s">
        <v>5199</v>
      </c>
      <c r="O52" s="707" t="s">
        <v>5200</v>
      </c>
      <c r="P52" s="4034"/>
      <c r="Q52" s="3620"/>
      <c r="R52" s="4025"/>
      <c r="S52" s="2584"/>
      <c r="T52" s="4020"/>
      <c r="U52" s="752"/>
      <c r="V52" s="1537">
        <v>850000</v>
      </c>
      <c r="W52" s="1537">
        <v>27934000</v>
      </c>
      <c r="X52" s="752"/>
      <c r="Y52" s="753"/>
      <c r="Z52" s="1826">
        <v>250000</v>
      </c>
      <c r="AA52" s="752"/>
      <c r="AB52" s="1325">
        <f t="shared" si="4"/>
        <v>29034000</v>
      </c>
      <c r="AC52" s="1331"/>
      <c r="AD52" s="755"/>
      <c r="AE52" s="1332">
        <f t="shared" si="5"/>
        <v>5259600</v>
      </c>
      <c r="AF52" s="1941">
        <f t="shared" si="3"/>
        <v>34293600</v>
      </c>
      <c r="AG52" s="2899"/>
      <c r="AH52" s="1518">
        <v>1</v>
      </c>
      <c r="AI52" s="1519"/>
      <c r="AJ52" s="1518"/>
      <c r="AK52" s="1518"/>
      <c r="AL52" s="1518"/>
      <c r="AM52" s="1518"/>
      <c r="AN52" s="1518"/>
      <c r="AO52" s="1518"/>
      <c r="AP52" s="1518"/>
      <c r="AQ52" s="1519">
        <v>1</v>
      </c>
      <c r="AR52" s="1518"/>
      <c r="AS52" s="1519"/>
      <c r="AT52" s="1518"/>
      <c r="AU52" s="1518"/>
      <c r="AV52" s="1518"/>
      <c r="AW52" s="1518"/>
      <c r="AX52" s="1518"/>
    </row>
    <row r="53" spans="1:50" s="1350" customFormat="1" ht="15.75" customHeight="1">
      <c r="A53" s="1599">
        <v>14</v>
      </c>
      <c r="B53" s="3976"/>
      <c r="C53" s="2019">
        <v>307254991430</v>
      </c>
      <c r="D53" s="1616" t="s">
        <v>5193</v>
      </c>
      <c r="E53" s="3979"/>
      <c r="F53" s="3892"/>
      <c r="G53" s="431">
        <v>1</v>
      </c>
      <c r="H53" s="1444"/>
      <c r="I53" s="3982"/>
      <c r="J53" s="1957">
        <v>17380.2</v>
      </c>
      <c r="K53" s="3985"/>
      <c r="L53" s="1379" t="s">
        <v>5197</v>
      </c>
      <c r="M53" s="1471">
        <v>4</v>
      </c>
      <c r="N53" s="1846" t="s">
        <v>5201</v>
      </c>
      <c r="O53" s="707" t="s">
        <v>5202</v>
      </c>
      <c r="P53" s="4034"/>
      <c r="Q53" s="3620"/>
      <c r="R53" s="4025"/>
      <c r="S53" s="2584"/>
      <c r="T53" s="4020"/>
      <c r="U53" s="752"/>
      <c r="V53" s="1537">
        <v>850000</v>
      </c>
      <c r="W53" s="1537">
        <v>700000</v>
      </c>
      <c r="X53" s="752"/>
      <c r="Y53" s="753"/>
      <c r="Z53" s="1826">
        <v>250000</v>
      </c>
      <c r="AA53" s="752"/>
      <c r="AB53" s="1325">
        <f t="shared" si="4"/>
        <v>1800000</v>
      </c>
      <c r="AC53" s="1331"/>
      <c r="AD53" s="755"/>
      <c r="AE53" s="1332">
        <f t="shared" si="5"/>
        <v>5259600</v>
      </c>
      <c r="AF53" s="1941">
        <f t="shared" si="3"/>
        <v>7059600</v>
      </c>
      <c r="AG53" s="2899"/>
      <c r="AH53" s="1518">
        <v>1</v>
      </c>
      <c r="AI53" s="1519"/>
      <c r="AJ53" s="1518"/>
      <c r="AK53" s="1518"/>
      <c r="AL53" s="1518"/>
      <c r="AM53" s="1518"/>
      <c r="AN53" s="1518"/>
      <c r="AO53" s="1518"/>
      <c r="AP53" s="1518"/>
      <c r="AQ53" s="1519">
        <v>1</v>
      </c>
      <c r="AR53" s="1518"/>
      <c r="AS53" s="1519"/>
      <c r="AT53" s="1518"/>
      <c r="AU53" s="1518"/>
      <c r="AV53" s="1518"/>
      <c r="AW53" s="1518"/>
      <c r="AX53" s="1518"/>
    </row>
    <row r="54" spans="1:50" s="1350" customFormat="1" ht="15" customHeight="1" thickBot="1">
      <c r="A54" s="1797">
        <v>15</v>
      </c>
      <c r="B54" s="3977"/>
      <c r="C54" s="2014">
        <v>307255031110</v>
      </c>
      <c r="D54" s="1806" t="s">
        <v>5193</v>
      </c>
      <c r="E54" s="3980"/>
      <c r="F54" s="3893"/>
      <c r="G54" s="431">
        <v>1</v>
      </c>
      <c r="H54" s="1444"/>
      <c r="I54" s="3983"/>
      <c r="J54" s="1958">
        <v>17493.701080720501</v>
      </c>
      <c r="K54" s="3986"/>
      <c r="L54" s="1379" t="s">
        <v>5198</v>
      </c>
      <c r="M54" s="1803">
        <v>5</v>
      </c>
      <c r="N54" s="1960" t="s">
        <v>5203</v>
      </c>
      <c r="O54" s="1961" t="s">
        <v>5204</v>
      </c>
      <c r="P54" s="4035"/>
      <c r="Q54" s="3597"/>
      <c r="R54" s="4026"/>
      <c r="S54" s="2584"/>
      <c r="T54" s="4021"/>
      <c r="U54" s="752"/>
      <c r="V54" s="1537">
        <v>850000</v>
      </c>
      <c r="W54" s="1537">
        <v>700000</v>
      </c>
      <c r="X54" s="752"/>
      <c r="Y54" s="753"/>
      <c r="Z54" s="1826">
        <v>250000</v>
      </c>
      <c r="AA54" s="752"/>
      <c r="AB54" s="1325">
        <f t="shared" si="4"/>
        <v>1800000</v>
      </c>
      <c r="AC54" s="1331"/>
      <c r="AD54" s="755"/>
      <c r="AE54" s="1332">
        <f t="shared" si="5"/>
        <v>5259600</v>
      </c>
      <c r="AF54" s="1941">
        <f t="shared" si="3"/>
        <v>7059600</v>
      </c>
      <c r="AG54" s="2899"/>
      <c r="AH54" s="1518">
        <v>1</v>
      </c>
      <c r="AI54" s="1519"/>
      <c r="AJ54" s="1518"/>
      <c r="AK54" s="1518"/>
      <c r="AL54" s="1518"/>
      <c r="AM54" s="1518"/>
      <c r="AN54" s="1518"/>
      <c r="AO54" s="1518"/>
      <c r="AP54" s="1518"/>
      <c r="AQ54" s="1519">
        <v>1</v>
      </c>
      <c r="AR54" s="1518"/>
      <c r="AS54" s="1519"/>
      <c r="AT54" s="1518"/>
      <c r="AU54" s="1518"/>
      <c r="AV54" s="1518"/>
      <c r="AW54" s="1518"/>
      <c r="AX54" s="1518"/>
    </row>
    <row r="55" spans="1:50" s="1758" customFormat="1" ht="13.8" thickBot="1">
      <c r="A55" s="2004">
        <v>16</v>
      </c>
      <c r="B55" s="2031" t="s">
        <v>5205</v>
      </c>
      <c r="C55" s="2023">
        <v>307254810350</v>
      </c>
      <c r="D55" s="2024" t="s">
        <v>5193</v>
      </c>
      <c r="E55" s="2025" t="s">
        <v>5215</v>
      </c>
      <c r="F55" s="2005" t="s">
        <v>210</v>
      </c>
      <c r="G55" s="2006"/>
      <c r="H55" s="2006"/>
      <c r="I55" s="2006">
        <v>1</v>
      </c>
      <c r="J55" s="2007">
        <v>2917.2</v>
      </c>
      <c r="K55" s="2008" t="s">
        <v>5177</v>
      </c>
      <c r="L55" s="2009" t="s">
        <v>5207</v>
      </c>
      <c r="M55" s="2010"/>
      <c r="N55" s="3987" t="s">
        <v>5178</v>
      </c>
      <c r="O55" s="3988"/>
      <c r="P55" s="2011" t="s">
        <v>5179</v>
      </c>
      <c r="Q55" s="2011"/>
      <c r="R55" s="2012" t="s">
        <v>3167</v>
      </c>
      <c r="S55" s="2069"/>
      <c r="T55" s="2013"/>
      <c r="U55" s="752"/>
      <c r="V55" s="752"/>
      <c r="W55" s="752"/>
      <c r="X55" s="752"/>
      <c r="Y55" s="753"/>
      <c r="Z55" s="1826">
        <v>43758</v>
      </c>
      <c r="AA55" s="752"/>
      <c r="AB55" s="1325">
        <f t="shared" si="4"/>
        <v>43758</v>
      </c>
      <c r="AC55" s="1757"/>
      <c r="AD55" s="755" t="s">
        <v>5206</v>
      </c>
      <c r="AE55" s="2027">
        <f>(770000+(2300000+(280000*(18.72-10))))*1.08</f>
        <v>5952528</v>
      </c>
      <c r="AF55" s="1941">
        <f t="shared" si="3"/>
        <v>5996286</v>
      </c>
      <c r="AG55" s="2899"/>
      <c r="AH55" s="1995">
        <v>1</v>
      </c>
      <c r="AI55" s="1996"/>
      <c r="AJ55" s="1995"/>
      <c r="AK55" s="1995"/>
      <c r="AL55" s="1995"/>
      <c r="AM55" s="1995"/>
      <c r="AN55" s="1995"/>
      <c r="AO55" s="1995"/>
      <c r="AP55" s="1995"/>
      <c r="AQ55" s="1996"/>
      <c r="AR55" s="1995"/>
      <c r="AS55" s="1996"/>
      <c r="AT55" s="1995"/>
      <c r="AU55" s="1995"/>
      <c r="AV55" s="1995"/>
      <c r="AW55" s="1995"/>
      <c r="AX55" s="1995"/>
    </row>
    <row r="56" spans="1:50" s="1350" customFormat="1" ht="27" thickBot="1">
      <c r="A56" s="1808">
        <v>17</v>
      </c>
      <c r="B56" s="2032" t="s">
        <v>5205</v>
      </c>
      <c r="C56" s="2014">
        <v>307258942600</v>
      </c>
      <c r="D56" s="1810" t="s">
        <v>5205</v>
      </c>
      <c r="E56" s="2033" t="s">
        <v>5232</v>
      </c>
      <c r="F56" s="2000" t="s">
        <v>210</v>
      </c>
      <c r="G56" s="2001">
        <v>1</v>
      </c>
      <c r="H56" s="1813"/>
      <c r="I56" s="1813"/>
      <c r="J56" s="2002">
        <v>16376.5994177905</v>
      </c>
      <c r="K56" s="1802" t="s">
        <v>5180</v>
      </c>
      <c r="L56" s="2022" t="s">
        <v>5208</v>
      </c>
      <c r="M56" s="1803">
        <v>1</v>
      </c>
      <c r="N56" s="1960" t="s">
        <v>5225</v>
      </c>
      <c r="O56" s="1961" t="s">
        <v>5226</v>
      </c>
      <c r="P56" s="1994" t="s">
        <v>5184</v>
      </c>
      <c r="Q56" s="3619"/>
      <c r="R56" s="1993" t="s">
        <v>2966</v>
      </c>
      <c r="S56" s="2069"/>
      <c r="T56" s="2003"/>
      <c r="U56" s="752"/>
      <c r="V56" s="1537">
        <v>1371600</v>
      </c>
      <c r="W56" s="1765">
        <v>497000</v>
      </c>
      <c r="X56" s="752"/>
      <c r="Y56" s="753"/>
      <c r="Z56" s="1826">
        <v>250000</v>
      </c>
      <c r="AA56" s="752"/>
      <c r="AB56" s="1325">
        <f t="shared" si="4"/>
        <v>2118600</v>
      </c>
      <c r="AC56" s="1331"/>
      <c r="AD56" s="755" t="s">
        <v>5195</v>
      </c>
      <c r="AE56" s="1332">
        <f>(AC56*1.08)+((AH56*$AH$4)+(G56*3450000+H56*3550000+I56*AI56)+(AJ56*$AJ$4)+(AK56*$AK$4)+(AL56*$AL$4)+(AM56*$AM$4*(G56+H56))+(AN56*$AN$4)+(AO56*$AO$4)+(AP56*$AP$4)+(AQ56*$AQ$4)+(AR56*$AR$4))*1.08</f>
        <v>5259600</v>
      </c>
      <c r="AF56" s="1941">
        <f t="shared" si="3"/>
        <v>7378200</v>
      </c>
      <c r="AG56" s="2899"/>
      <c r="AH56" s="1518">
        <v>1</v>
      </c>
      <c r="AI56" s="1519"/>
      <c r="AJ56" s="1518"/>
      <c r="AK56" s="1518"/>
      <c r="AL56" s="1518"/>
      <c r="AM56" s="1518"/>
      <c r="AN56" s="1518"/>
      <c r="AO56" s="1518"/>
      <c r="AP56" s="1518"/>
      <c r="AQ56" s="1519">
        <v>1</v>
      </c>
      <c r="AR56" s="1518"/>
      <c r="AS56" s="1519"/>
      <c r="AT56" s="1518"/>
      <c r="AU56" s="1518"/>
      <c r="AV56" s="1518"/>
      <c r="AW56" s="1518"/>
      <c r="AX56" s="1518"/>
    </row>
    <row r="57" spans="1:50" s="1350" customFormat="1" ht="15" customHeight="1">
      <c r="A57" s="1805">
        <v>18</v>
      </c>
      <c r="B57" s="4053" t="s">
        <v>5241</v>
      </c>
      <c r="C57" s="1513">
        <v>307255703000</v>
      </c>
      <c r="D57" s="699" t="s">
        <v>5241</v>
      </c>
      <c r="E57" s="3978" t="s">
        <v>5242</v>
      </c>
      <c r="F57" s="3939" t="s">
        <v>210</v>
      </c>
      <c r="G57" s="451">
        <v>1</v>
      </c>
      <c r="H57" s="445"/>
      <c r="I57" s="445"/>
      <c r="J57" s="1786">
        <v>17463.0970590736</v>
      </c>
      <c r="K57" s="3985" t="s">
        <v>5185</v>
      </c>
      <c r="L57" s="1459" t="s">
        <v>5209</v>
      </c>
      <c r="M57" s="1471">
        <v>6</v>
      </c>
      <c r="N57" s="1846" t="s">
        <v>5235</v>
      </c>
      <c r="O57" s="707" t="s">
        <v>5236</v>
      </c>
      <c r="P57" s="3961" t="s">
        <v>5186</v>
      </c>
      <c r="Q57" s="3594"/>
      <c r="R57" s="4038" t="s">
        <v>2966</v>
      </c>
      <c r="S57" s="2069"/>
      <c r="T57" s="807"/>
      <c r="U57" s="752"/>
      <c r="V57" s="1537">
        <v>870000</v>
      </c>
      <c r="W57" s="1765">
        <v>1876000</v>
      </c>
      <c r="X57" s="752"/>
      <c r="Y57" s="753"/>
      <c r="Z57" s="1765">
        <v>250000</v>
      </c>
      <c r="AA57" s="752"/>
      <c r="AB57" s="1325">
        <f t="shared" si="4"/>
        <v>2996000</v>
      </c>
      <c r="AC57" s="1331"/>
      <c r="AD57" s="755"/>
      <c r="AE57" s="1332">
        <f>(AC57*1.08)+((AH57*$AH$4)+(G57*3450000+H57*3550000+I57*AI57)+(AJ57*$AJ$4)+(AK57*$AK$4)+(AL57*$AL$4)+(AM57*$AM$4*(G57+H57))+(AN57*$AN$4)+(AO57*$AO$4)+(AP57*$AP$4)+(AQ57*$AQ$4)+(AR57*$AR$4))*1.08</f>
        <v>5259600</v>
      </c>
      <c r="AF57" s="1941">
        <f t="shared" si="3"/>
        <v>8255600</v>
      </c>
      <c r="AG57" s="2899"/>
      <c r="AH57" s="1518">
        <v>1</v>
      </c>
      <c r="AI57" s="1519"/>
      <c r="AJ57" s="1518"/>
      <c r="AK57" s="1518"/>
      <c r="AL57" s="1518"/>
      <c r="AM57" s="1518"/>
      <c r="AN57" s="1518"/>
      <c r="AO57" s="1518"/>
      <c r="AP57" s="1518"/>
      <c r="AQ57" s="1519">
        <v>1</v>
      </c>
      <c r="AR57" s="1518"/>
      <c r="AS57" s="1519"/>
      <c r="AT57" s="1518"/>
      <c r="AU57" s="1518"/>
      <c r="AV57" s="1518"/>
      <c r="AW57" s="1518"/>
      <c r="AX57" s="1518"/>
    </row>
    <row r="58" spans="1:50" s="1350" customFormat="1" ht="15" customHeight="1">
      <c r="A58" s="1742">
        <v>19</v>
      </c>
      <c r="B58" s="4053"/>
      <c r="C58" s="2019">
        <v>307265939760</v>
      </c>
      <c r="D58" s="699" t="s">
        <v>5241</v>
      </c>
      <c r="E58" s="3979"/>
      <c r="F58" s="3925"/>
      <c r="G58" s="431">
        <v>1</v>
      </c>
      <c r="H58" s="167"/>
      <c r="I58" s="167"/>
      <c r="J58" s="1957">
        <v>18429.4983402629</v>
      </c>
      <c r="K58" s="3985"/>
      <c r="L58" s="1379" t="s">
        <v>5210</v>
      </c>
      <c r="M58" s="1471">
        <v>7</v>
      </c>
      <c r="N58" s="1846" t="s">
        <v>5237</v>
      </c>
      <c r="O58" s="707" t="s">
        <v>5238</v>
      </c>
      <c r="P58" s="3919"/>
      <c r="Q58" s="3590"/>
      <c r="R58" s="3760"/>
      <c r="S58" s="2069"/>
      <c r="T58" s="1613"/>
      <c r="U58" s="752"/>
      <c r="V58" s="1537">
        <v>870000</v>
      </c>
      <c r="W58" s="752"/>
      <c r="X58" s="752"/>
      <c r="Y58" s="753"/>
      <c r="Z58" s="1765">
        <v>250000</v>
      </c>
      <c r="AA58" s="752"/>
      <c r="AB58" s="1325">
        <f t="shared" si="4"/>
        <v>1120000</v>
      </c>
      <c r="AC58" s="1331"/>
      <c r="AD58" s="755"/>
      <c r="AE58" s="1332">
        <f>(AC58*1.08)+((AH58*$AH$4)+(G58*3450000+H58*3550000+I58*AI58)+(AJ58*$AJ$4)+(AK58*$AK$4)+(AL58*$AL$4)+(AM58*$AM$4*(G58+H58))+(AN58*$AN$4)+(AO58*$AO$4)+(AP58*$AP$4)+(AQ58*$AQ$4)+(AR58*$AR$4))*1.08</f>
        <v>5259600</v>
      </c>
      <c r="AF58" s="1941">
        <f t="shared" si="3"/>
        <v>6379600</v>
      </c>
      <c r="AG58" s="2899"/>
      <c r="AH58" s="1518">
        <v>1</v>
      </c>
      <c r="AI58" s="1519"/>
      <c r="AJ58" s="1518"/>
      <c r="AK58" s="1518"/>
      <c r="AL58" s="1518"/>
      <c r="AM58" s="1518"/>
      <c r="AN58" s="1518"/>
      <c r="AO58" s="1518"/>
      <c r="AP58" s="1518"/>
      <c r="AQ58" s="1519">
        <v>1</v>
      </c>
      <c r="AR58" s="1518"/>
      <c r="AS58" s="1519"/>
      <c r="AT58" s="1518"/>
      <c r="AU58" s="1518"/>
      <c r="AV58" s="1518"/>
      <c r="AW58" s="1518"/>
      <c r="AX58" s="1518"/>
    </row>
    <row r="59" spans="1:50" s="1350" customFormat="1" ht="15.75" customHeight="1" thickBot="1">
      <c r="A59" s="1975">
        <v>20</v>
      </c>
      <c r="B59" s="4054"/>
      <c r="C59" s="2014">
        <v>307265955050</v>
      </c>
      <c r="D59" s="1806" t="s">
        <v>5241</v>
      </c>
      <c r="E59" s="3980"/>
      <c r="F59" s="3926"/>
      <c r="G59" s="1998"/>
      <c r="H59" s="1978">
        <v>1</v>
      </c>
      <c r="I59" s="1978"/>
      <c r="J59" s="1958">
        <v>20161.4036356014</v>
      </c>
      <c r="K59" s="3986"/>
      <c r="L59" s="1959" t="s">
        <v>5211</v>
      </c>
      <c r="M59" s="1803">
        <v>8</v>
      </c>
      <c r="N59" s="1960" t="s">
        <v>5239</v>
      </c>
      <c r="O59" s="1961" t="s">
        <v>5240</v>
      </c>
      <c r="P59" s="3920"/>
      <c r="Q59" s="3591"/>
      <c r="R59" s="3955"/>
      <c r="S59" s="2069"/>
      <c r="T59" s="1999"/>
      <c r="U59" s="752"/>
      <c r="V59" s="1537">
        <v>1270000</v>
      </c>
      <c r="W59" s="752"/>
      <c r="X59" s="752"/>
      <c r="Z59" s="1765">
        <v>500000</v>
      </c>
      <c r="AA59" s="752"/>
      <c r="AB59" s="1325">
        <f>+U59+V59+W59+X59+'NOVA NHẬP'!X23+Z59+AA59</f>
        <v>3270000</v>
      </c>
      <c r="AC59" s="1331"/>
      <c r="AD59" s="755"/>
      <c r="AE59" s="1332">
        <f>(AC59*1.08)+((AH59*$AH$4)+(G59*3450000+H59*3550000+I59*AI59)+(AJ59*$AJ$4)+(AK59*$AK$4)+(AL59*$AL$4)+(AM59*$AM$4*(G59+H59))+(AN59*$AN$4)+(AO59*$AO$4)+(AP59*$AP$4)+(AQ59*$AQ$4)+(AR59*$AR$4))*1.08</f>
        <v>5367600</v>
      </c>
      <c r="AF59" s="1941">
        <f t="shared" si="3"/>
        <v>8637600</v>
      </c>
      <c r="AG59" s="2899"/>
      <c r="AH59" s="1518">
        <v>1</v>
      </c>
      <c r="AI59" s="1519"/>
      <c r="AJ59" s="1518"/>
      <c r="AK59" s="1518"/>
      <c r="AL59" s="1518"/>
      <c r="AM59" s="1518"/>
      <c r="AN59" s="1518"/>
      <c r="AO59" s="1518"/>
      <c r="AP59" s="1518"/>
      <c r="AQ59" s="1519">
        <v>1</v>
      </c>
      <c r="AR59" s="1518"/>
      <c r="AS59" s="1519"/>
      <c r="AT59" s="1518"/>
      <c r="AU59" s="1518"/>
      <c r="AV59" s="1518"/>
      <c r="AW59" s="1518"/>
      <c r="AX59" s="1518"/>
    </row>
    <row r="60" spans="1:50">
      <c r="A60" s="3994" t="s">
        <v>5220</v>
      </c>
      <c r="B60" s="3995"/>
      <c r="C60" s="3995"/>
      <c r="D60" s="3995"/>
      <c r="E60" s="3995"/>
      <c r="F60" s="3995"/>
      <c r="G60" s="3995"/>
      <c r="H60" s="3995"/>
      <c r="I60" s="3995"/>
      <c r="J60" s="3995"/>
      <c r="K60" s="3995"/>
      <c r="L60" s="3995"/>
      <c r="M60" s="3995"/>
      <c r="N60" s="3995"/>
      <c r="O60" s="3996"/>
      <c r="P60" s="1375"/>
      <c r="Q60" s="3617"/>
      <c r="R60" s="1342"/>
      <c r="S60" s="1708"/>
      <c r="T60" s="1932"/>
      <c r="U60" s="1933"/>
      <c r="V60" s="1932"/>
      <c r="W60" s="1932"/>
      <c r="X60" s="1932"/>
      <c r="Y60" s="1934"/>
      <c r="Z60" s="1934"/>
      <c r="AA60" s="1932"/>
      <c r="AB60" s="1934">
        <f>SUM(AB35:AB59)</f>
        <v>148585704</v>
      </c>
      <c r="AC60" s="1934">
        <f>SUM(AC35:AC59)</f>
        <v>600000</v>
      </c>
      <c r="AD60" s="1936"/>
      <c r="AE60" s="1934">
        <f>SUM(AE35:AE59)</f>
        <v>344787840</v>
      </c>
      <c r="AF60" s="1934">
        <f>SUM(AF35:AF59)</f>
        <v>493373544</v>
      </c>
      <c r="AG60" s="2897"/>
      <c r="AH60" s="1354"/>
      <c r="AI60" s="1354"/>
      <c r="AJ60" s="1350"/>
    </row>
    <row r="61" spans="1:50" s="1350" customFormat="1">
      <c r="A61" s="1742">
        <v>1</v>
      </c>
      <c r="B61" s="2066" t="s">
        <v>5274</v>
      </c>
      <c r="C61" s="1388">
        <v>307280537120</v>
      </c>
      <c r="D61" s="46">
        <v>45751</v>
      </c>
      <c r="E61" s="1440" t="s">
        <v>5340</v>
      </c>
      <c r="F61" s="709" t="s">
        <v>210</v>
      </c>
      <c r="G61" s="431"/>
      <c r="H61" s="167">
        <v>1</v>
      </c>
      <c r="I61" s="167"/>
      <c r="J61" s="1787">
        <v>18311.003931686198</v>
      </c>
      <c r="K61" s="1638" t="s">
        <v>5244</v>
      </c>
      <c r="L61" s="1379" t="s">
        <v>5280</v>
      </c>
      <c r="M61" s="1471">
        <v>2</v>
      </c>
      <c r="N61" s="707" t="s">
        <v>5278</v>
      </c>
      <c r="O61" s="707" t="s">
        <v>5279</v>
      </c>
      <c r="P61" s="1376" t="s">
        <v>5246</v>
      </c>
      <c r="Q61" s="2869"/>
      <c r="R61" s="577" t="s">
        <v>3152</v>
      </c>
      <c r="S61" s="1587"/>
      <c r="T61" s="2143"/>
      <c r="U61" s="752"/>
      <c r="V61" s="1537">
        <v>1500000</v>
      </c>
      <c r="W61" s="1537">
        <v>1140000</v>
      </c>
      <c r="X61" s="752"/>
      <c r="Y61" s="753"/>
      <c r="Z61" s="1826">
        <v>500000</v>
      </c>
      <c r="AA61" s="752"/>
      <c r="AB61" s="1325">
        <f t="shared" ref="AB61:AB66" si="6">+U61+V61+W61+X61+Y61+Z61+AA61</f>
        <v>3140000</v>
      </c>
      <c r="AC61" s="1331"/>
      <c r="AD61" s="755"/>
      <c r="AE61" s="1332">
        <f>(AC61*1.08)+((AH61*$AH$4)+(G61*3450000+H61*3550000+I61*AI61)+(AJ61*$AJ$4)+(AK61*$AK$4)+(AL61*$AL$4)+(AM61*$AM$4*(G61+H61))+(AN61*$AN$4)+(AO61*$AO$4)+(AP61*$AP$4)+(AQ61*$AQ$4))*1.08</f>
        <v>5367600</v>
      </c>
      <c r="AF61" s="1941">
        <f t="shared" ref="AF61:AF66" si="7">+AB61+AE61</f>
        <v>8507600</v>
      </c>
      <c r="AG61" s="2899"/>
      <c r="AH61" s="1518">
        <v>1</v>
      </c>
      <c r="AI61" s="1519"/>
      <c r="AJ61" s="1518"/>
      <c r="AK61" s="1518"/>
      <c r="AL61" s="1518"/>
      <c r="AM61" s="1518"/>
      <c r="AN61" s="1518"/>
      <c r="AO61" s="1518"/>
      <c r="AP61" s="1518"/>
      <c r="AQ61" s="1519">
        <v>1</v>
      </c>
      <c r="AR61" s="1518"/>
      <c r="AS61" s="1519"/>
      <c r="AT61" s="1518"/>
      <c r="AU61" s="1518"/>
      <c r="AV61" s="1518"/>
      <c r="AW61" s="1518"/>
      <c r="AX61" s="1518"/>
    </row>
    <row r="62" spans="1:50" s="1350" customFormat="1">
      <c r="A62" s="670">
        <v>2</v>
      </c>
      <c r="B62" s="2066" t="s">
        <v>5274</v>
      </c>
      <c r="C62" s="1388">
        <v>307280504330</v>
      </c>
      <c r="D62" s="46" t="s">
        <v>5274</v>
      </c>
      <c r="E62" s="1440" t="s">
        <v>5341</v>
      </c>
      <c r="F62" s="709" t="s">
        <v>210</v>
      </c>
      <c r="G62" s="431">
        <v>1</v>
      </c>
      <c r="H62" s="167"/>
      <c r="I62" s="167"/>
      <c r="J62" s="1787">
        <v>17279.146238900499</v>
      </c>
      <c r="K62" s="1638" t="s">
        <v>5245</v>
      </c>
      <c r="L62" s="1379" t="s">
        <v>5283</v>
      </c>
      <c r="M62" s="1471">
        <v>1</v>
      </c>
      <c r="N62" s="707" t="s">
        <v>5281</v>
      </c>
      <c r="O62" s="707" t="s">
        <v>5282</v>
      </c>
      <c r="P62" s="1376" t="s">
        <v>5246</v>
      </c>
      <c r="Q62" s="2869"/>
      <c r="R62" s="577" t="s">
        <v>3152</v>
      </c>
      <c r="S62" s="1587"/>
      <c r="T62" s="2143"/>
      <c r="U62" s="752"/>
      <c r="V62" s="1537">
        <v>999000</v>
      </c>
      <c r="W62" s="1537">
        <v>700000</v>
      </c>
      <c r="X62" s="752"/>
      <c r="Y62" s="753"/>
      <c r="Z62" s="1826">
        <v>250000</v>
      </c>
      <c r="AA62" s="752"/>
      <c r="AB62" s="1325">
        <f t="shared" si="6"/>
        <v>1949000</v>
      </c>
      <c r="AC62" s="1331"/>
      <c r="AD62" s="755"/>
      <c r="AE62" s="1332">
        <f>(AC62*1.08)+((AH62*$AH$4)+(G62*3450000+H62*3550000+I62*AI62)+(AJ62*$AJ$4)+(AK62*$AK$4)+(AL62*$AL$4)+(AM62*$AM$4*(G62+H62))+(AN62*$AN$4)+(AO62*$AO$4)+(AP62*$AP$4)+(AQ62*$AQ$4))*1.08</f>
        <v>5259600</v>
      </c>
      <c r="AF62" s="1941">
        <f t="shared" si="7"/>
        <v>7208600</v>
      </c>
      <c r="AG62" s="2899"/>
      <c r="AH62" s="1518">
        <v>1</v>
      </c>
      <c r="AI62" s="1519"/>
      <c r="AJ62" s="1518"/>
      <c r="AK62" s="1518"/>
      <c r="AL62" s="1518"/>
      <c r="AM62" s="1518"/>
      <c r="AN62" s="1518"/>
      <c r="AO62" s="1518"/>
      <c r="AP62" s="1518"/>
      <c r="AQ62" s="1519">
        <v>1</v>
      </c>
      <c r="AR62" s="1518"/>
      <c r="AS62" s="1519"/>
      <c r="AT62" s="1518"/>
      <c r="AU62" s="1518"/>
      <c r="AV62" s="1518"/>
      <c r="AW62" s="1518"/>
      <c r="AX62" s="1518"/>
    </row>
    <row r="63" spans="1:50" s="1350" customFormat="1">
      <c r="A63" s="1489">
        <v>3</v>
      </c>
      <c r="B63" s="2066" t="s">
        <v>5284</v>
      </c>
      <c r="C63" s="1388">
        <v>307286963560</v>
      </c>
      <c r="D63" s="46" t="s">
        <v>5284</v>
      </c>
      <c r="E63" s="179" t="s">
        <v>5342</v>
      </c>
      <c r="F63" s="709" t="s">
        <v>210</v>
      </c>
      <c r="G63" s="431"/>
      <c r="H63" s="167">
        <v>1</v>
      </c>
      <c r="I63" s="167"/>
      <c r="J63" s="1787">
        <v>22278.699656724599</v>
      </c>
      <c r="K63" s="1638" t="s">
        <v>5293</v>
      </c>
      <c r="L63" s="1379" t="s">
        <v>5297</v>
      </c>
      <c r="M63" s="1471">
        <v>1</v>
      </c>
      <c r="N63" s="707" t="s">
        <v>5295</v>
      </c>
      <c r="O63" s="707" t="s">
        <v>5296</v>
      </c>
      <c r="P63" s="1376"/>
      <c r="Q63" s="3588"/>
      <c r="R63" s="2069" t="s">
        <v>2966</v>
      </c>
      <c r="S63" s="2069"/>
      <c r="T63" s="2143"/>
      <c r="U63" s="752"/>
      <c r="V63" s="1537">
        <v>1500000</v>
      </c>
      <c r="W63" s="1765">
        <v>882000</v>
      </c>
      <c r="X63" s="752"/>
      <c r="Y63" s="753"/>
      <c r="Z63" s="1826">
        <v>500000</v>
      </c>
      <c r="AA63" s="752"/>
      <c r="AB63" s="1325">
        <f t="shared" si="6"/>
        <v>2882000</v>
      </c>
      <c r="AC63" s="1331"/>
      <c r="AD63" s="755"/>
      <c r="AE63" s="1332">
        <f>(AC63*1.08)+((AH63*$AH$4)+(G63*3450000+H63*3550000+I63*AI63)+(AJ63*$AJ$4)+(AK63*$AK$4)+(AL63*$AL$4)+(AM63*$AM$4*(G63+H63))+(AN63*$AN$4)+(AO63*$AO$4)+(AP63*$AP$4)+(AQ63*$AQ$4))*1.08</f>
        <v>5367600</v>
      </c>
      <c r="AF63" s="1941">
        <f t="shared" si="7"/>
        <v>8249600</v>
      </c>
      <c r="AG63" s="2899"/>
      <c r="AH63" s="1518">
        <v>1</v>
      </c>
      <c r="AI63" s="1519"/>
      <c r="AJ63" s="1518"/>
      <c r="AK63" s="1518"/>
      <c r="AL63" s="1518"/>
      <c r="AM63" s="1518"/>
      <c r="AN63" s="1518"/>
      <c r="AO63" s="1518"/>
      <c r="AP63" s="1518"/>
      <c r="AQ63" s="1519">
        <v>1</v>
      </c>
      <c r="AR63" s="1518"/>
      <c r="AS63" s="1519"/>
      <c r="AT63" s="1518"/>
      <c r="AU63" s="1518"/>
      <c r="AV63" s="1518"/>
      <c r="AW63" s="1518"/>
      <c r="AX63" s="1518"/>
    </row>
    <row r="64" spans="1:50" s="1350" customFormat="1">
      <c r="A64" s="1742">
        <v>4</v>
      </c>
      <c r="B64" s="2066" t="s">
        <v>5284</v>
      </c>
      <c r="C64" s="1388">
        <v>307286882950</v>
      </c>
      <c r="D64" s="46">
        <v>45873</v>
      </c>
      <c r="E64" s="179" t="s">
        <v>5343</v>
      </c>
      <c r="F64" s="709" t="s">
        <v>210</v>
      </c>
      <c r="G64" s="431">
        <v>1</v>
      </c>
      <c r="H64" s="167"/>
      <c r="I64" s="167"/>
      <c r="J64" s="2070">
        <v>17974.431129122098</v>
      </c>
      <c r="K64" s="1638" t="s">
        <v>5294</v>
      </c>
      <c r="L64" s="1379" t="s">
        <v>5300</v>
      </c>
      <c r="M64" s="1471">
        <v>1</v>
      </c>
      <c r="N64" s="707" t="s">
        <v>5298</v>
      </c>
      <c r="O64" s="707" t="s">
        <v>5299</v>
      </c>
      <c r="P64" s="1376"/>
      <c r="Q64" s="3588"/>
      <c r="R64" s="2069" t="s">
        <v>2966</v>
      </c>
      <c r="S64" s="2069"/>
      <c r="T64" s="2143"/>
      <c r="U64" s="752"/>
      <c r="V64" s="1537">
        <v>870000</v>
      </c>
      <c r="W64" s="1765">
        <v>497000</v>
      </c>
      <c r="X64" s="752"/>
      <c r="Y64" s="753"/>
      <c r="Z64" s="1826">
        <v>250000</v>
      </c>
      <c r="AA64" s="752"/>
      <c r="AB64" s="1325">
        <f t="shared" si="6"/>
        <v>1617000</v>
      </c>
      <c r="AC64" s="1331"/>
      <c r="AD64" s="755" t="s">
        <v>5495</v>
      </c>
      <c r="AE64" s="1332">
        <f>(AC64*1.08)+((AH64*$AH$4)+(G64*3450000+H64*3550000+I64*AI64)+(AJ64*$AJ$4)+(AK64*$AK$4)+(AL64*$AL$4)+(AM64*$AM$4*(G64+H64))+(AN64*$AN$4)+(AO64*$AO$4)+(AP64*$AP$4)+(AQ64*$AQ$4))*1.08</f>
        <v>5259600</v>
      </c>
      <c r="AF64" s="1941">
        <f t="shared" si="7"/>
        <v>6876600</v>
      </c>
      <c r="AG64" s="2899"/>
      <c r="AH64" s="1518">
        <v>1</v>
      </c>
      <c r="AI64" s="1519"/>
      <c r="AJ64" s="1518"/>
      <c r="AK64" s="1518"/>
      <c r="AL64" s="1518"/>
      <c r="AM64" s="1518"/>
      <c r="AN64" s="1518"/>
      <c r="AO64" s="1518"/>
      <c r="AP64" s="1518"/>
      <c r="AQ64" s="1519">
        <v>1</v>
      </c>
      <c r="AR64" s="1518"/>
      <c r="AS64" s="1519"/>
      <c r="AT64" s="1518"/>
      <c r="AU64" s="1518"/>
      <c r="AV64" s="1518"/>
      <c r="AW64" s="1518"/>
      <c r="AX64" s="1518"/>
    </row>
    <row r="65" spans="1:50" s="1350" customFormat="1">
      <c r="A65" s="670">
        <v>5</v>
      </c>
      <c r="B65" s="731" t="s">
        <v>5337</v>
      </c>
      <c r="C65" s="2480">
        <v>307295925920</v>
      </c>
      <c r="D65" s="2481" t="s">
        <v>5310</v>
      </c>
      <c r="E65" s="1725" t="s">
        <v>5344</v>
      </c>
      <c r="F65" s="2482" t="s">
        <v>210</v>
      </c>
      <c r="G65" s="431"/>
      <c r="H65" s="167"/>
      <c r="I65" s="167">
        <v>1</v>
      </c>
      <c r="J65" s="2307"/>
      <c r="K65" s="1661" t="s">
        <v>5328</v>
      </c>
      <c r="L65" s="2483" t="s">
        <v>5373</v>
      </c>
      <c r="M65" s="2484"/>
      <c r="N65" s="4050" t="s">
        <v>5338</v>
      </c>
      <c r="O65" s="4051"/>
      <c r="P65" s="2476" t="s">
        <v>5329</v>
      </c>
      <c r="Q65" s="3618"/>
      <c r="R65" s="522" t="s">
        <v>5339</v>
      </c>
      <c r="S65" s="1587"/>
      <c r="T65" s="1592"/>
      <c r="U65" s="2485"/>
      <c r="V65" s="2485"/>
      <c r="W65" s="2485"/>
      <c r="X65" s="2485"/>
      <c r="Y65" s="2486"/>
      <c r="Z65" s="2487">
        <v>21461</v>
      </c>
      <c r="AA65" s="2485"/>
      <c r="AB65" s="2488">
        <f t="shared" si="6"/>
        <v>21461</v>
      </c>
      <c r="AC65" s="1764"/>
      <c r="AD65" s="2489"/>
      <c r="AE65" s="2490">
        <f>(770000+1800000)*1.08</f>
        <v>2775600</v>
      </c>
      <c r="AF65" s="1949">
        <f t="shared" si="7"/>
        <v>2797061</v>
      </c>
      <c r="AG65" s="2900"/>
      <c r="AH65" s="1518">
        <v>1</v>
      </c>
      <c r="AI65" s="1519">
        <v>1</v>
      </c>
      <c r="AJ65" s="1518"/>
      <c r="AK65" s="1518"/>
      <c r="AL65" s="1518"/>
      <c r="AM65" s="1518"/>
      <c r="AN65" s="1518"/>
      <c r="AO65" s="1518"/>
      <c r="AP65" s="1518"/>
      <c r="AQ65" s="1519"/>
      <c r="AR65" s="1518"/>
      <c r="AS65" s="1519"/>
      <c r="AT65" s="1518"/>
      <c r="AU65" s="1518"/>
      <c r="AV65" s="1518"/>
      <c r="AW65" s="1518"/>
      <c r="AX65" s="1518"/>
    </row>
    <row r="66" spans="1:50" s="1350" customFormat="1" ht="39.6">
      <c r="A66" s="1742">
        <v>6</v>
      </c>
      <c r="B66" s="2497" t="s">
        <v>5449</v>
      </c>
      <c r="C66" s="2498">
        <v>307346738810</v>
      </c>
      <c r="D66" s="2497" t="s">
        <v>5449</v>
      </c>
      <c r="E66" s="2499" t="s">
        <v>5498</v>
      </c>
      <c r="F66" s="2421" t="s">
        <v>210</v>
      </c>
      <c r="G66" s="2500"/>
      <c r="H66" s="1448">
        <v>1</v>
      </c>
      <c r="I66" s="1448"/>
      <c r="J66" s="2501">
        <f>22224.4589245447</f>
        <v>22224.458924544699</v>
      </c>
      <c r="K66" s="2502" t="s">
        <v>5450</v>
      </c>
      <c r="L66" s="2291" t="s">
        <v>5494</v>
      </c>
      <c r="M66" s="2292">
        <v>1</v>
      </c>
      <c r="N66" s="2503" t="s">
        <v>5492</v>
      </c>
      <c r="O66" s="2503" t="s">
        <v>5493</v>
      </c>
      <c r="P66" s="2504" t="s">
        <v>5451</v>
      </c>
      <c r="Q66" s="3588"/>
      <c r="R66" s="2069" t="s">
        <v>2966</v>
      </c>
      <c r="S66" s="2069"/>
      <c r="T66" s="1613"/>
      <c r="U66" s="1555"/>
      <c r="V66" s="1554">
        <v>1280000</v>
      </c>
      <c r="W66" s="1765">
        <v>882000</v>
      </c>
      <c r="X66" s="1555"/>
      <c r="Y66" s="2422"/>
      <c r="Z66" s="1765">
        <v>500000</v>
      </c>
      <c r="AA66" s="1555"/>
      <c r="AB66" s="1766">
        <f t="shared" si="6"/>
        <v>2662000</v>
      </c>
      <c r="AC66" s="1754"/>
      <c r="AD66" s="1767"/>
      <c r="AE66" s="1754">
        <f>(AC66*1.08)+((AH66*$AH$4)+(G66*3450000+H66*3550000+I66*AI66)+(AJ66*$AJ$4)+(AK66*$AK$4)+(AL66*$AL$4)+(AM66*$AM$4*(G66+H66))+(AN66*$AN$4)+(AO66*$AO$4)+(AP66*$AP$4)+(AQ66*$AQ$4))*1.08</f>
        <v>5367600</v>
      </c>
      <c r="AF66" s="1954">
        <f t="shared" si="7"/>
        <v>8029600</v>
      </c>
      <c r="AG66" s="2899"/>
      <c r="AH66" s="1518">
        <v>1</v>
      </c>
      <c r="AI66" s="1519"/>
      <c r="AJ66" s="1518"/>
      <c r="AK66" s="1518"/>
      <c r="AL66" s="1518"/>
      <c r="AM66" s="1518"/>
      <c r="AN66" s="1518"/>
      <c r="AO66" s="1518"/>
      <c r="AP66" s="1518"/>
      <c r="AQ66" s="1519">
        <v>1</v>
      </c>
      <c r="AR66" s="1518"/>
      <c r="AS66" s="1519"/>
      <c r="AT66" s="1518"/>
      <c r="AU66" s="1518"/>
      <c r="AV66" s="1518"/>
      <c r="AW66" s="1518"/>
      <c r="AX66" s="1518"/>
    </row>
    <row r="67" spans="1:50" s="2429" customFormat="1">
      <c r="A67" s="4039" t="s">
        <v>5485</v>
      </c>
      <c r="B67" s="4040"/>
      <c r="C67" s="4040"/>
      <c r="D67" s="4040"/>
      <c r="E67" s="4040"/>
      <c r="F67" s="4040"/>
      <c r="G67" s="4040"/>
      <c r="H67" s="4040"/>
      <c r="I67" s="4040"/>
      <c r="J67" s="4040"/>
      <c r="K67" s="4040"/>
      <c r="L67" s="4040"/>
      <c r="M67" s="4040"/>
      <c r="N67" s="4040"/>
      <c r="O67" s="4041"/>
      <c r="P67" s="2491"/>
      <c r="Q67" s="2491"/>
      <c r="R67" s="2492"/>
      <c r="S67" s="1708"/>
      <c r="T67" s="2493"/>
      <c r="U67" s="2494"/>
      <c r="V67" s="2493"/>
      <c r="W67" s="2493"/>
      <c r="X67" s="2493"/>
      <c r="Y67" s="2495"/>
      <c r="Z67" s="2495"/>
      <c r="AA67" s="2493"/>
      <c r="AB67" s="2495">
        <f>SUM(AB61:AB66)</f>
        <v>12271461</v>
      </c>
      <c r="AC67" s="2495">
        <f>SUM(AC42:AC66)</f>
        <v>600000</v>
      </c>
      <c r="AD67" s="2496"/>
      <c r="AE67" s="2495">
        <f>SUM(AE61:AE66)</f>
        <v>29397600</v>
      </c>
      <c r="AF67" s="2495">
        <f>SUM(AF42:AF66)</f>
        <v>693253691</v>
      </c>
      <c r="AG67" s="2901"/>
      <c r="AH67" s="2427"/>
      <c r="AI67" s="2428"/>
      <c r="AJ67" s="2427"/>
      <c r="AK67" s="2427"/>
      <c r="AL67" s="2427"/>
      <c r="AM67" s="2427"/>
      <c r="AN67" s="2427"/>
      <c r="AO67" s="2427"/>
      <c r="AP67" s="2427"/>
      <c r="AQ67" s="2428"/>
      <c r="AR67" s="2427"/>
      <c r="AS67" s="2428"/>
      <c r="AT67" s="2427"/>
      <c r="AU67" s="2427"/>
      <c r="AV67" s="2427"/>
      <c r="AW67" s="2427"/>
      <c r="AX67" s="2427"/>
    </row>
    <row r="68" spans="1:50" s="1350" customFormat="1">
      <c r="A68" s="1599">
        <v>1</v>
      </c>
      <c r="B68" s="3933" t="s">
        <v>5575</v>
      </c>
      <c r="C68" s="2288">
        <v>307376554720</v>
      </c>
      <c r="D68" s="1616" t="s">
        <v>5575</v>
      </c>
      <c r="E68" s="2173" t="s">
        <v>5615</v>
      </c>
      <c r="F68" s="4042" t="s">
        <v>210</v>
      </c>
      <c r="G68" s="2289">
        <v>1</v>
      </c>
      <c r="H68" s="2290"/>
      <c r="I68" s="2290"/>
      <c r="J68" s="1957">
        <f>19210.400278007</f>
        <v>19210.400278007</v>
      </c>
      <c r="K68" s="4052" t="s">
        <v>5554</v>
      </c>
      <c r="L68" s="2291" t="s">
        <v>5580</v>
      </c>
      <c r="M68" s="2292">
        <v>1</v>
      </c>
      <c r="N68" s="2305" t="s">
        <v>5578</v>
      </c>
      <c r="O68" s="2279" t="s">
        <v>5579</v>
      </c>
      <c r="P68" s="3936" t="s">
        <v>5576</v>
      </c>
      <c r="Q68" s="3595"/>
      <c r="R68" s="3897" t="s">
        <v>2966</v>
      </c>
      <c r="S68" s="2069"/>
      <c r="T68" s="150"/>
      <c r="U68" s="752"/>
      <c r="V68" s="1537">
        <v>870000</v>
      </c>
      <c r="W68" s="1765">
        <v>2982000</v>
      </c>
      <c r="X68" s="752"/>
      <c r="Y68" s="753"/>
      <c r="Z68" s="1826">
        <v>250000</v>
      </c>
      <c r="AA68" s="752"/>
      <c r="AB68" s="1325">
        <f t="shared" ref="AB68:AB88" si="8">+U68+V68+W68+X68+Y68+Z68+AA68</f>
        <v>4102000</v>
      </c>
      <c r="AC68" s="1331"/>
      <c r="AD68" s="2357"/>
      <c r="AE68" s="1332">
        <f t="shared" ref="AE68:AE76" si="9">(AC68*1.08)+((AH68*$AH$4)+(G68*3450000+H68*3550000+I68*AI68)+(AJ68*$AJ$4)+(AK68*$AK$4)+(AL68*$AL$4)+(AM68*$AM$4*(G68+H68))+(AN68*$AN$4)+(AO68*$AO$4)+(AP68*$AP$4)+(AQ68*$AQ$4))*1.08</f>
        <v>5259600</v>
      </c>
      <c r="AF68" s="1941">
        <f t="shared" ref="AF68:AF88" si="10">+AB68+AE68</f>
        <v>9361600</v>
      </c>
      <c r="AG68" s="2899"/>
      <c r="AH68" s="1518">
        <v>1</v>
      </c>
      <c r="AI68" s="1519"/>
      <c r="AJ68" s="1518"/>
      <c r="AK68" s="1518"/>
      <c r="AL68" s="1518"/>
      <c r="AM68" s="1518"/>
      <c r="AN68" s="1518"/>
      <c r="AO68" s="1518"/>
      <c r="AP68" s="1518"/>
      <c r="AQ68" s="1519">
        <v>1</v>
      </c>
      <c r="AR68" s="1518"/>
      <c r="AS68" s="1519"/>
      <c r="AT68" s="1518"/>
      <c r="AU68" s="1518"/>
      <c r="AV68" s="1518"/>
      <c r="AW68" s="1518"/>
      <c r="AX68" s="1518"/>
    </row>
    <row r="69" spans="1:50" s="1350" customFormat="1" ht="15" customHeight="1">
      <c r="A69" s="1742">
        <f>+A68+1</f>
        <v>2</v>
      </c>
      <c r="B69" s="3934"/>
      <c r="C69" s="2288">
        <v>307376591560</v>
      </c>
      <c r="D69" s="1616" t="s">
        <v>5575</v>
      </c>
      <c r="E69" s="2173" t="s">
        <v>5615</v>
      </c>
      <c r="F69" s="3925"/>
      <c r="G69" s="431">
        <v>1</v>
      </c>
      <c r="H69" s="167"/>
      <c r="I69" s="167"/>
      <c r="J69" s="1957">
        <v>18809.2988530855</v>
      </c>
      <c r="K69" s="3985"/>
      <c r="L69" s="1350" t="s">
        <v>5583</v>
      </c>
      <c r="M69" s="1471">
        <v>2</v>
      </c>
      <c r="N69" s="1379" t="s">
        <v>5581</v>
      </c>
      <c r="O69" s="707" t="s">
        <v>5582</v>
      </c>
      <c r="P69" s="3919"/>
      <c r="Q69" s="3590"/>
      <c r="R69" s="3760"/>
      <c r="S69" s="2069"/>
      <c r="T69" s="150"/>
      <c r="U69" s="752"/>
      <c r="V69" s="1537">
        <v>870000</v>
      </c>
      <c r="W69" s="752"/>
      <c r="X69" s="752"/>
      <c r="Y69" s="753"/>
      <c r="Z69" s="1826">
        <v>250000</v>
      </c>
      <c r="AA69" s="752"/>
      <c r="AB69" s="1325">
        <f t="shared" si="8"/>
        <v>1120000</v>
      </c>
      <c r="AC69" s="1331"/>
      <c r="AD69" s="2357"/>
      <c r="AE69" s="1332">
        <f t="shared" si="9"/>
        <v>5259600</v>
      </c>
      <c r="AF69" s="1941">
        <f t="shared" si="10"/>
        <v>6379600</v>
      </c>
      <c r="AG69" s="2899"/>
      <c r="AH69" s="1518">
        <v>1</v>
      </c>
      <c r="AI69" s="1519"/>
      <c r="AJ69" s="1518"/>
      <c r="AK69" s="1518"/>
      <c r="AL69" s="1518"/>
      <c r="AM69" s="1518"/>
      <c r="AN69" s="1518"/>
      <c r="AO69" s="1518"/>
      <c r="AP69" s="1518"/>
      <c r="AQ69" s="1519">
        <v>1</v>
      </c>
      <c r="AR69" s="1518"/>
      <c r="AS69" s="1519"/>
      <c r="AT69" s="1518"/>
      <c r="AU69" s="1518"/>
      <c r="AV69" s="1518"/>
      <c r="AW69" s="1518"/>
      <c r="AX69" s="1518"/>
    </row>
    <row r="70" spans="1:50" s="1350" customFormat="1" ht="27" customHeight="1">
      <c r="A70" s="1742">
        <f>+A69+1</f>
        <v>3</v>
      </c>
      <c r="B70" s="3934"/>
      <c r="C70" s="1551">
        <v>307376632750</v>
      </c>
      <c r="D70" s="1616" t="s">
        <v>5575</v>
      </c>
      <c r="E70" s="2173" t="s">
        <v>5615</v>
      </c>
      <c r="F70" s="3925"/>
      <c r="G70" s="431">
        <v>1</v>
      </c>
      <c r="H70" s="167"/>
      <c r="I70" s="167"/>
      <c r="J70" s="1957">
        <v>19076.273744927901</v>
      </c>
      <c r="K70" s="3985"/>
      <c r="L70" s="1379" t="s">
        <v>5586</v>
      </c>
      <c r="M70" s="1471">
        <v>3</v>
      </c>
      <c r="N70" s="707" t="s">
        <v>5584</v>
      </c>
      <c r="O70" s="707" t="s">
        <v>5585</v>
      </c>
      <c r="P70" s="3919"/>
      <c r="Q70" s="3590"/>
      <c r="R70" s="3760"/>
      <c r="S70" s="2069"/>
      <c r="T70" s="150"/>
      <c r="U70" s="752"/>
      <c r="V70" s="1537">
        <v>870000</v>
      </c>
      <c r="W70" s="752"/>
      <c r="X70" s="752"/>
      <c r="Y70" s="753"/>
      <c r="Z70" s="1826">
        <v>250000</v>
      </c>
      <c r="AA70" s="752"/>
      <c r="AB70" s="1325">
        <f t="shared" si="8"/>
        <v>1120000</v>
      </c>
      <c r="AC70" s="1331"/>
      <c r="AD70" s="2357"/>
      <c r="AE70" s="1332">
        <f t="shared" si="9"/>
        <v>5259600</v>
      </c>
      <c r="AF70" s="1941">
        <f t="shared" si="10"/>
        <v>6379600</v>
      </c>
      <c r="AG70" s="2899"/>
      <c r="AH70" s="1518">
        <v>1</v>
      </c>
      <c r="AI70" s="1519"/>
      <c r="AJ70" s="1518"/>
      <c r="AK70" s="1518"/>
      <c r="AL70" s="1518"/>
      <c r="AM70" s="1518"/>
      <c r="AN70" s="1518"/>
      <c r="AO70" s="1518"/>
      <c r="AP70" s="1518"/>
      <c r="AQ70" s="1519">
        <v>1</v>
      </c>
      <c r="AR70" s="1518"/>
      <c r="AS70" s="1519"/>
      <c r="AT70" s="1518"/>
      <c r="AU70" s="1518"/>
      <c r="AV70" s="1518"/>
      <c r="AW70" s="1518"/>
      <c r="AX70" s="1518"/>
    </row>
    <row r="71" spans="1:50" s="1350" customFormat="1" ht="15" customHeight="1">
      <c r="A71" s="1742">
        <f>+A70+1</f>
        <v>4</v>
      </c>
      <c r="B71" s="3934"/>
      <c r="C71" s="2288">
        <v>307376668230</v>
      </c>
      <c r="D71" s="1616" t="s">
        <v>5575</v>
      </c>
      <c r="E71" s="2173" t="s">
        <v>5615</v>
      </c>
      <c r="F71" s="3925"/>
      <c r="G71" s="431">
        <v>1</v>
      </c>
      <c r="H71" s="167"/>
      <c r="I71" s="167"/>
      <c r="J71" s="1957">
        <v>19325.6964229267</v>
      </c>
      <c r="K71" s="3985"/>
      <c r="L71" s="1379" t="s">
        <v>5589</v>
      </c>
      <c r="M71" s="1471">
        <v>4</v>
      </c>
      <c r="N71" s="707" t="s">
        <v>5587</v>
      </c>
      <c r="O71" s="707" t="s">
        <v>5588</v>
      </c>
      <c r="P71" s="3919"/>
      <c r="Q71" s="3590"/>
      <c r="R71" s="3760"/>
      <c r="S71" s="2069"/>
      <c r="T71" s="150"/>
      <c r="U71" s="752"/>
      <c r="V71" s="1537">
        <v>870000</v>
      </c>
      <c r="W71" s="752"/>
      <c r="X71" s="752"/>
      <c r="Y71" s="753"/>
      <c r="Z71" s="1826">
        <v>250000</v>
      </c>
      <c r="AA71" s="752"/>
      <c r="AB71" s="1325">
        <f t="shared" si="8"/>
        <v>1120000</v>
      </c>
      <c r="AC71" s="1331"/>
      <c r="AD71" s="2357"/>
      <c r="AE71" s="1332">
        <f t="shared" si="9"/>
        <v>5259600</v>
      </c>
      <c r="AF71" s="1941">
        <f t="shared" si="10"/>
        <v>6379600</v>
      </c>
      <c r="AG71" s="2899"/>
      <c r="AH71" s="1518">
        <v>1</v>
      </c>
      <c r="AI71" s="1519"/>
      <c r="AJ71" s="1518"/>
      <c r="AK71" s="1518"/>
      <c r="AL71" s="1518"/>
      <c r="AM71" s="1518"/>
      <c r="AN71" s="1518"/>
      <c r="AO71" s="1518"/>
      <c r="AP71" s="1518"/>
      <c r="AQ71" s="1519">
        <v>1</v>
      </c>
      <c r="AR71" s="1518"/>
      <c r="AS71" s="1519"/>
      <c r="AT71" s="1518"/>
      <c r="AU71" s="1518"/>
      <c r="AV71" s="1518"/>
      <c r="AW71" s="1518"/>
      <c r="AX71" s="1518"/>
    </row>
    <row r="72" spans="1:50" s="1350" customFormat="1" ht="15" customHeight="1">
      <c r="A72" s="1742">
        <f>+A71+1</f>
        <v>5</v>
      </c>
      <c r="B72" s="3934"/>
      <c r="C72" s="2288">
        <v>307376703450</v>
      </c>
      <c r="D72" s="1616" t="s">
        <v>5575</v>
      </c>
      <c r="E72" s="2173" t="s">
        <v>5615</v>
      </c>
      <c r="F72" s="3925"/>
      <c r="G72" s="431">
        <v>1</v>
      </c>
      <c r="H72" s="167"/>
      <c r="I72" s="167"/>
      <c r="J72" s="1957">
        <v>17870.296306730499</v>
      </c>
      <c r="K72" s="3985"/>
      <c r="L72" s="1379" t="s">
        <v>5592</v>
      </c>
      <c r="M72" s="1471">
        <v>5</v>
      </c>
      <c r="N72" s="707" t="s">
        <v>5590</v>
      </c>
      <c r="O72" s="707" t="s">
        <v>5591</v>
      </c>
      <c r="P72" s="3919"/>
      <c r="Q72" s="3590"/>
      <c r="R72" s="3760"/>
      <c r="S72" s="2069"/>
      <c r="T72" s="150"/>
      <c r="U72" s="752"/>
      <c r="V72" s="1537">
        <v>870000</v>
      </c>
      <c r="W72" s="752"/>
      <c r="X72" s="752"/>
      <c r="Y72" s="753"/>
      <c r="Z72" s="1826">
        <v>250000</v>
      </c>
      <c r="AA72" s="752"/>
      <c r="AB72" s="1325">
        <f t="shared" si="8"/>
        <v>1120000</v>
      </c>
      <c r="AC72" s="1331"/>
      <c r="AD72" s="2357"/>
      <c r="AE72" s="1332">
        <f t="shared" si="9"/>
        <v>5259600</v>
      </c>
      <c r="AF72" s="1941">
        <f t="shared" si="10"/>
        <v>6379600</v>
      </c>
      <c r="AG72" s="2899"/>
      <c r="AH72" s="1518">
        <v>1</v>
      </c>
      <c r="AI72" s="1519"/>
      <c r="AJ72" s="1518"/>
      <c r="AK72" s="1518"/>
      <c r="AL72" s="1518"/>
      <c r="AM72" s="1518"/>
      <c r="AN72" s="1518"/>
      <c r="AO72" s="1518"/>
      <c r="AP72" s="1518"/>
      <c r="AQ72" s="1519">
        <v>1</v>
      </c>
      <c r="AR72" s="1518"/>
      <c r="AS72" s="1519"/>
      <c r="AT72" s="1518"/>
      <c r="AU72" s="1518"/>
      <c r="AV72" s="1518"/>
      <c r="AW72" s="1518"/>
      <c r="AX72" s="1518"/>
    </row>
    <row r="73" spans="1:50" s="1350" customFormat="1" ht="15.75" customHeight="1" thickBot="1">
      <c r="A73" s="1797">
        <f>+A72+1</f>
        <v>6</v>
      </c>
      <c r="B73" s="3935"/>
      <c r="C73" s="2293">
        <v>307378558010</v>
      </c>
      <c r="D73" s="1806" t="s">
        <v>5575</v>
      </c>
      <c r="E73" s="1818" t="s">
        <v>5615</v>
      </c>
      <c r="F73" s="3926"/>
      <c r="G73" s="2310">
        <v>1</v>
      </c>
      <c r="H73" s="1978"/>
      <c r="I73" s="1978"/>
      <c r="J73" s="1958">
        <v>18318.900000000001</v>
      </c>
      <c r="K73" s="3986"/>
      <c r="L73" s="1959" t="s">
        <v>5599</v>
      </c>
      <c r="M73" s="1803">
        <v>6</v>
      </c>
      <c r="N73" s="1961" t="s">
        <v>5597</v>
      </c>
      <c r="O73" s="1961" t="s">
        <v>5598</v>
      </c>
      <c r="P73" s="3920"/>
      <c r="Q73" s="3591"/>
      <c r="R73" s="3955"/>
      <c r="S73" s="2069"/>
      <c r="T73" s="150"/>
      <c r="U73" s="752"/>
      <c r="V73" s="1537">
        <v>870000</v>
      </c>
      <c r="W73" s="752"/>
      <c r="X73" s="752"/>
      <c r="Y73" s="753"/>
      <c r="Z73" s="1826">
        <v>250000</v>
      </c>
      <c r="AA73" s="752"/>
      <c r="AB73" s="1325">
        <f t="shared" si="8"/>
        <v>1120000</v>
      </c>
      <c r="AC73" s="1331"/>
      <c r="AD73" s="2357"/>
      <c r="AE73" s="1332">
        <f t="shared" si="9"/>
        <v>5259600</v>
      </c>
      <c r="AF73" s="1941">
        <f t="shared" si="10"/>
        <v>6379600</v>
      </c>
      <c r="AG73" s="2899"/>
      <c r="AH73" s="1518">
        <v>1</v>
      </c>
      <c r="AI73" s="1519"/>
      <c r="AJ73" s="1518"/>
      <c r="AK73" s="1518"/>
      <c r="AL73" s="1518"/>
      <c r="AM73" s="1518"/>
      <c r="AN73" s="1518"/>
      <c r="AO73" s="1518"/>
      <c r="AP73" s="1518"/>
      <c r="AQ73" s="1519">
        <v>1</v>
      </c>
      <c r="AR73" s="1518"/>
      <c r="AS73" s="1519"/>
      <c r="AT73" s="1518"/>
      <c r="AU73" s="1518"/>
      <c r="AV73" s="1518"/>
      <c r="AW73" s="1518"/>
      <c r="AX73" s="1518"/>
    </row>
    <row r="74" spans="1:50" s="1350" customFormat="1">
      <c r="A74" s="2311">
        <v>8</v>
      </c>
      <c r="B74" s="3991" t="s">
        <v>5633</v>
      </c>
      <c r="C74" s="2312">
        <v>307393934060</v>
      </c>
      <c r="D74" s="2336" t="s">
        <v>5633</v>
      </c>
      <c r="E74" s="805" t="s">
        <v>5672</v>
      </c>
      <c r="F74" s="3958" t="s">
        <v>210</v>
      </c>
      <c r="G74" s="2313">
        <v>1</v>
      </c>
      <c r="H74" s="2314"/>
      <c r="I74" s="2315"/>
      <c r="J74" s="1957">
        <v>14615.345323813201</v>
      </c>
      <c r="K74" s="3984" t="s">
        <v>5625</v>
      </c>
      <c r="L74" s="1459" t="s">
        <v>5651</v>
      </c>
      <c r="M74" s="1471">
        <v>1</v>
      </c>
      <c r="N74" s="707" t="s">
        <v>5645</v>
      </c>
      <c r="O74" s="707" t="s">
        <v>5646</v>
      </c>
      <c r="P74" s="3961" t="s">
        <v>5626</v>
      </c>
      <c r="Q74" s="3594"/>
      <c r="R74" s="3956" t="s">
        <v>2966</v>
      </c>
      <c r="S74" s="1587"/>
      <c r="T74" s="150"/>
      <c r="U74" s="752"/>
      <c r="V74" s="1537">
        <v>1000000</v>
      </c>
      <c r="W74" s="1765">
        <v>1491000</v>
      </c>
      <c r="X74" s="752"/>
      <c r="Y74" s="753"/>
      <c r="Z74" s="1826">
        <v>250000</v>
      </c>
      <c r="AA74" s="752"/>
      <c r="AB74" s="1325">
        <f t="shared" si="8"/>
        <v>2741000</v>
      </c>
      <c r="AC74" s="1331"/>
      <c r="AD74" s="2357"/>
      <c r="AE74" s="1332">
        <f t="shared" si="9"/>
        <v>5259600</v>
      </c>
      <c r="AF74" s="1941">
        <f t="shared" si="10"/>
        <v>8000600</v>
      </c>
      <c r="AG74" s="2899"/>
      <c r="AH74" s="1518">
        <v>1</v>
      </c>
      <c r="AI74" s="1519"/>
      <c r="AJ74" s="1518"/>
      <c r="AK74" s="1518"/>
      <c r="AL74" s="1518"/>
      <c r="AM74" s="1518"/>
      <c r="AN74" s="1518"/>
      <c r="AO74" s="1518"/>
      <c r="AP74" s="1518"/>
      <c r="AQ74" s="1519">
        <v>1</v>
      </c>
      <c r="AR74" s="1518"/>
      <c r="AS74" s="1519"/>
      <c r="AT74" s="1518"/>
      <c r="AU74" s="1518"/>
      <c r="AV74" s="1518"/>
      <c r="AW74" s="1518"/>
      <c r="AX74" s="1518"/>
    </row>
    <row r="75" spans="1:50" s="1350" customFormat="1" ht="15" customHeight="1">
      <c r="A75" s="1742">
        <v>9</v>
      </c>
      <c r="B75" s="3992"/>
      <c r="C75" s="2288">
        <v>307393984610</v>
      </c>
      <c r="D75" s="1824" t="s">
        <v>5633</v>
      </c>
      <c r="E75" s="2173" t="s">
        <v>5672</v>
      </c>
      <c r="F75" s="3959"/>
      <c r="G75" s="2309">
        <v>1</v>
      </c>
      <c r="H75" s="728"/>
      <c r="I75" s="167"/>
      <c r="J75" s="1957">
        <v>15705.599080308</v>
      </c>
      <c r="K75" s="3985"/>
      <c r="L75" s="1379" t="s">
        <v>5652</v>
      </c>
      <c r="M75" s="1471">
        <v>2</v>
      </c>
      <c r="N75" s="707" t="s">
        <v>5647</v>
      </c>
      <c r="O75" s="707" t="s">
        <v>5648</v>
      </c>
      <c r="P75" s="3919"/>
      <c r="Q75" s="3590"/>
      <c r="R75" s="4059"/>
      <c r="S75" s="1587"/>
      <c r="T75" s="150"/>
      <c r="U75" s="752"/>
      <c r="V75" s="1537">
        <v>1000000</v>
      </c>
      <c r="W75" s="752"/>
      <c r="X75" s="752"/>
      <c r="Y75" s="753"/>
      <c r="Z75" s="1826">
        <v>250000</v>
      </c>
      <c r="AA75" s="752"/>
      <c r="AB75" s="1325">
        <f t="shared" si="8"/>
        <v>1250000</v>
      </c>
      <c r="AC75" s="1331"/>
      <c r="AD75" s="2357"/>
      <c r="AE75" s="1332">
        <f t="shared" si="9"/>
        <v>5259600</v>
      </c>
      <c r="AF75" s="1941">
        <f t="shared" si="10"/>
        <v>6509600</v>
      </c>
      <c r="AG75" s="2899"/>
      <c r="AH75" s="1518">
        <v>1</v>
      </c>
      <c r="AI75" s="1519"/>
      <c r="AJ75" s="1518"/>
      <c r="AK75" s="1518"/>
      <c r="AL75" s="1518"/>
      <c r="AM75" s="1518"/>
      <c r="AN75" s="1518"/>
      <c r="AO75" s="1518"/>
      <c r="AP75" s="1518"/>
      <c r="AQ75" s="1519">
        <v>1</v>
      </c>
      <c r="AR75" s="1518"/>
      <c r="AS75" s="1519"/>
      <c r="AT75" s="1518"/>
      <c r="AU75" s="1518"/>
      <c r="AV75" s="1518"/>
      <c r="AW75" s="1518"/>
      <c r="AX75" s="1518"/>
    </row>
    <row r="76" spans="1:50" s="1350" customFormat="1" ht="15.75" customHeight="1" thickBot="1">
      <c r="A76" s="1797">
        <f>+A75+1</f>
        <v>10</v>
      </c>
      <c r="B76" s="3993"/>
      <c r="C76" s="2293">
        <v>307394017140</v>
      </c>
      <c r="D76" s="1825" t="s">
        <v>5633</v>
      </c>
      <c r="E76" s="1818" t="s">
        <v>5672</v>
      </c>
      <c r="F76" s="3960"/>
      <c r="G76" s="1819">
        <v>1</v>
      </c>
      <c r="H76" s="2316"/>
      <c r="I76" s="1978"/>
      <c r="J76" s="1958">
        <v>16381.1032519495</v>
      </c>
      <c r="K76" s="3986"/>
      <c r="L76" s="1959" t="s">
        <v>5653</v>
      </c>
      <c r="M76" s="1803">
        <v>3</v>
      </c>
      <c r="N76" s="1961" t="s">
        <v>5649</v>
      </c>
      <c r="O76" s="1961" t="s">
        <v>5650</v>
      </c>
      <c r="P76" s="3920"/>
      <c r="Q76" s="3591"/>
      <c r="R76" s="3957"/>
      <c r="S76" s="1587"/>
      <c r="T76" s="150"/>
      <c r="U76" s="752"/>
      <c r="V76" s="1537">
        <v>1000000</v>
      </c>
      <c r="W76" s="752"/>
      <c r="X76" s="752"/>
      <c r="Y76" s="753"/>
      <c r="Z76" s="1826">
        <v>250000</v>
      </c>
      <c r="AA76" s="752"/>
      <c r="AB76" s="1325">
        <f t="shared" si="8"/>
        <v>1250000</v>
      </c>
      <c r="AC76" s="1331"/>
      <c r="AD76" s="2357"/>
      <c r="AE76" s="1332">
        <f t="shared" si="9"/>
        <v>5259600</v>
      </c>
      <c r="AF76" s="1941">
        <f t="shared" si="10"/>
        <v>6509600</v>
      </c>
      <c r="AG76" s="2899"/>
      <c r="AH76" s="1518">
        <v>1</v>
      </c>
      <c r="AI76" s="1519"/>
      <c r="AJ76" s="1518"/>
      <c r="AK76" s="1518"/>
      <c r="AL76" s="1518"/>
      <c r="AM76" s="1518"/>
      <c r="AN76" s="1518"/>
      <c r="AO76" s="1518"/>
      <c r="AP76" s="1518"/>
      <c r="AQ76" s="1519">
        <v>1</v>
      </c>
      <c r="AR76" s="1518"/>
      <c r="AS76" s="1519"/>
      <c r="AT76" s="1518"/>
      <c r="AU76" s="1518"/>
      <c r="AV76" s="1518"/>
      <c r="AW76" s="1518"/>
      <c r="AX76" s="1518"/>
    </row>
    <row r="77" spans="1:50" s="1350" customFormat="1" ht="13.8" thickBot="1">
      <c r="A77" s="2004">
        <f>+A76+1</f>
        <v>11</v>
      </c>
      <c r="B77" s="2347" t="s">
        <v>5655</v>
      </c>
      <c r="C77" s="2348">
        <v>307404889060</v>
      </c>
      <c r="D77" s="2347" t="s">
        <v>5655</v>
      </c>
      <c r="E77" s="2354" t="s">
        <v>5696</v>
      </c>
      <c r="F77" s="2349" t="s">
        <v>210</v>
      </c>
      <c r="G77" s="2006"/>
      <c r="H77" s="2350">
        <v>1</v>
      </c>
      <c r="I77" s="2350"/>
      <c r="J77" s="2351">
        <f>10753.5</f>
        <v>10753.5</v>
      </c>
      <c r="K77" s="2008" t="s">
        <v>5683</v>
      </c>
      <c r="L77" s="2009" t="s">
        <v>5693</v>
      </c>
      <c r="M77" s="2010">
        <v>1</v>
      </c>
      <c r="N77" s="2352" t="s">
        <v>5687</v>
      </c>
      <c r="O77" s="2353" t="s">
        <v>5688</v>
      </c>
      <c r="P77" s="2375"/>
      <c r="Q77" s="3591"/>
      <c r="R77" s="2377" t="s">
        <v>2966</v>
      </c>
      <c r="S77" s="1587"/>
      <c r="T77" s="1362">
        <v>600000</v>
      </c>
      <c r="U77" s="752"/>
      <c r="V77" s="1537">
        <v>1450000</v>
      </c>
      <c r="W77" s="2158">
        <v>882000</v>
      </c>
      <c r="X77" s="1697"/>
      <c r="Y77" s="753"/>
      <c r="Z77" s="1826">
        <v>500000</v>
      </c>
      <c r="AA77" s="752"/>
      <c r="AB77" s="1325">
        <f t="shared" si="8"/>
        <v>2832000</v>
      </c>
      <c r="AC77" s="1331"/>
      <c r="AD77" s="2357"/>
      <c r="AE77" s="1332">
        <f>(AC77*1.08)+((AH77*$AH$4)+(G77*3450000+H77*3550000+I77*AI77)+(AJ77*$AJ$4)+(AK77*$AK$4)+(AL77*$AL$4)+(AM77*$AM$4*(G77+H77))+(AN77*$AN$4)+(AO77*$AO$4)+(AP77*$AP$4)+(AQ77*$AQ$4))*1.08+(600000*1.08)</f>
        <v>5313600</v>
      </c>
      <c r="AF77" s="1941">
        <f t="shared" si="10"/>
        <v>8145600</v>
      </c>
      <c r="AG77" s="2899"/>
      <c r="AH77" s="1518">
        <v>1</v>
      </c>
      <c r="AI77" s="1519"/>
      <c r="AJ77" s="1518"/>
      <c r="AK77" s="1518"/>
      <c r="AL77" s="1518"/>
      <c r="AM77" s="1518"/>
      <c r="AN77" s="1518"/>
      <c r="AO77" s="1518"/>
      <c r="AP77" s="1518"/>
      <c r="AQ77" s="1519"/>
      <c r="AR77" s="1518"/>
      <c r="AS77" s="1519"/>
      <c r="AT77" s="1518"/>
      <c r="AU77" s="1518"/>
      <c r="AV77" s="1518"/>
      <c r="AW77" s="1518"/>
      <c r="AX77" s="1518"/>
    </row>
    <row r="78" spans="1:50" s="1350" customFormat="1" ht="13.8" thickBot="1">
      <c r="A78" s="2434">
        <v>12</v>
      </c>
      <c r="B78" s="1037" t="s">
        <v>5717</v>
      </c>
      <c r="C78" s="2348">
        <v>307419346200</v>
      </c>
      <c r="D78" s="699" t="s">
        <v>5717</v>
      </c>
      <c r="E78" s="805" t="s">
        <v>5768</v>
      </c>
      <c r="F78" s="2349" t="s">
        <v>210</v>
      </c>
      <c r="G78" s="2006"/>
      <c r="H78" s="2350">
        <v>1</v>
      </c>
      <c r="I78" s="2350"/>
      <c r="J78" s="2351">
        <v>11940.36</v>
      </c>
      <c r="K78" s="1638" t="s">
        <v>5735</v>
      </c>
      <c r="L78" s="1459" t="s">
        <v>5754</v>
      </c>
      <c r="M78" s="2393">
        <v>1</v>
      </c>
      <c r="N78" s="2352" t="s">
        <v>5755</v>
      </c>
      <c r="O78" s="2353" t="s">
        <v>5756</v>
      </c>
      <c r="P78" s="2384" t="s">
        <v>5767</v>
      </c>
      <c r="Q78" s="3591"/>
      <c r="R78" s="2385" t="s">
        <v>2966</v>
      </c>
      <c r="S78" s="1587"/>
      <c r="T78" s="1362">
        <v>600000</v>
      </c>
      <c r="U78" s="752"/>
      <c r="V78" s="1537">
        <v>1500000</v>
      </c>
      <c r="W78" s="2158">
        <v>882000</v>
      </c>
      <c r="X78" s="1697"/>
      <c r="Y78" s="753"/>
      <c r="Z78" s="1826">
        <v>500000</v>
      </c>
      <c r="AA78" s="752"/>
      <c r="AB78" s="1325">
        <f t="shared" si="8"/>
        <v>2882000</v>
      </c>
      <c r="AC78" s="1331"/>
      <c r="AD78" s="2357"/>
      <c r="AE78" s="1332">
        <f>(AC78*1.08)+((AH78*$AH$4)+(G78*3450000+H78*3550000+I78*AI78)+(AJ78*$AJ$4)+(AK78*$AK$4)+(AL78*$AL$4)+(AM78*$AM$4*(G78+H78))+(AN78*$AN$4)+(AO78*$AO$4)+(AP78*$AP$4)+(AQ78*$AQ$4))*1.08+(600000*1.08)</f>
        <v>5313600</v>
      </c>
      <c r="AF78" s="1941">
        <f t="shared" si="10"/>
        <v>8195600</v>
      </c>
      <c r="AG78" s="2899"/>
      <c r="AH78" s="1518">
        <v>1</v>
      </c>
      <c r="AI78" s="1519"/>
      <c r="AJ78" s="1518"/>
      <c r="AK78" s="1518"/>
      <c r="AL78" s="1518"/>
      <c r="AM78" s="1518"/>
      <c r="AN78" s="1518"/>
      <c r="AO78" s="1518"/>
      <c r="AP78" s="1518"/>
      <c r="AQ78" s="1519"/>
      <c r="AR78" s="1518"/>
      <c r="AS78" s="1519"/>
      <c r="AT78" s="1518"/>
      <c r="AU78" s="1518"/>
      <c r="AV78" s="1518"/>
      <c r="AW78" s="1518"/>
      <c r="AX78" s="1518"/>
    </row>
    <row r="79" spans="1:50" s="1350" customFormat="1" ht="45" customHeight="1" thickBot="1">
      <c r="A79" s="2433">
        <v>13</v>
      </c>
      <c r="B79" s="2431" t="s">
        <v>5717</v>
      </c>
      <c r="C79" s="2425" t="s">
        <v>5799</v>
      </c>
      <c r="D79" s="2432" t="s">
        <v>5717</v>
      </c>
      <c r="E79" s="2514" t="s">
        <v>5769</v>
      </c>
      <c r="F79" s="2424" t="s">
        <v>210</v>
      </c>
      <c r="G79" s="2001">
        <v>1</v>
      </c>
      <c r="H79" s="2001">
        <v>1</v>
      </c>
      <c r="I79" s="1813"/>
      <c r="J79" s="2443">
        <f>17891.4732850157+15308.9010984452</f>
        <v>33200.374383460905</v>
      </c>
      <c r="K79" s="2475" t="s">
        <v>5703</v>
      </c>
      <c r="L79" s="1959" t="s">
        <v>5828</v>
      </c>
      <c r="M79" s="1803">
        <v>2</v>
      </c>
      <c r="N79" s="2458" t="s">
        <v>5827</v>
      </c>
      <c r="O79" s="2361" t="s">
        <v>5760</v>
      </c>
      <c r="P79" s="2384" t="s">
        <v>5766</v>
      </c>
      <c r="Q79" s="3591"/>
      <c r="R79" s="2430" t="s">
        <v>5822</v>
      </c>
      <c r="S79" s="2546"/>
      <c r="T79" s="1362">
        <v>600000</v>
      </c>
      <c r="U79" s="2436"/>
      <c r="V79" s="1537">
        <f>1500000+850000</f>
        <v>2350000</v>
      </c>
      <c r="W79" s="2436">
        <f>1140000+700000</f>
        <v>1840000</v>
      </c>
      <c r="X79" s="2436"/>
      <c r="Y79" s="2437"/>
      <c r="Z79" s="2438">
        <v>750000</v>
      </c>
      <c r="AA79" s="2436"/>
      <c r="AB79" s="2439">
        <f t="shared" si="8"/>
        <v>4940000</v>
      </c>
      <c r="AC79" s="2440"/>
      <c r="AD79" s="2357"/>
      <c r="AE79" s="2441">
        <f>(AC79*1.08)+((AH79*$AH$4)+(G79*3450000+H79*3550000+I79*AI79)+(AJ79*$AJ$4)+(AK79*$AK$4)+(AL79*$AL$4)+(AM79*$AM$4*(G79+H79))+(AN79*$AN$4)+(AO79*$AO$4)+(AP79*$AP$4)+(AQ79*$AQ$4))*1.08+(600000*1.08)</f>
        <v>9741600</v>
      </c>
      <c r="AF79" s="2442">
        <f t="shared" si="10"/>
        <v>14681600</v>
      </c>
      <c r="AG79" s="2899"/>
      <c r="AH79" s="1518">
        <v>1</v>
      </c>
      <c r="AI79" s="1518"/>
      <c r="AJ79" s="1518"/>
      <c r="AK79" s="1518"/>
      <c r="AL79" s="1518"/>
      <c r="AM79" s="1518"/>
      <c r="AN79" s="1518"/>
      <c r="AO79" s="1518"/>
      <c r="AP79" s="1518"/>
      <c r="AQ79" s="1518">
        <v>1</v>
      </c>
      <c r="AR79" s="1518">
        <v>1</v>
      </c>
      <c r="AS79" s="1518"/>
      <c r="AT79" s="1518"/>
      <c r="AU79" s="1518"/>
      <c r="AV79" s="1518"/>
      <c r="AW79" s="1518"/>
      <c r="AX79" s="1518"/>
    </row>
    <row r="80" spans="1:50" s="1350" customFormat="1">
      <c r="A80" s="1805">
        <f t="shared" ref="A80:A86" si="11">+A79+1</f>
        <v>14</v>
      </c>
      <c r="B80" s="3967" t="s">
        <v>5758</v>
      </c>
      <c r="C80" s="2312">
        <v>307425581910</v>
      </c>
      <c r="D80" s="2413" t="s">
        <v>5758</v>
      </c>
      <c r="E80" s="3989" t="s">
        <v>5800</v>
      </c>
      <c r="F80" s="3939" t="s">
        <v>210</v>
      </c>
      <c r="G80" s="2359">
        <v>1</v>
      </c>
      <c r="H80" s="2315"/>
      <c r="I80" s="2315"/>
      <c r="J80" s="2390">
        <v>17253.8445285952</v>
      </c>
      <c r="K80" s="3984" t="s">
        <v>5741</v>
      </c>
      <c r="L80" s="2412" t="s">
        <v>5779</v>
      </c>
      <c r="M80" s="2360">
        <v>1</v>
      </c>
      <c r="N80" s="2451" t="s">
        <v>5804</v>
      </c>
      <c r="O80" s="2414">
        <v>30739802</v>
      </c>
      <c r="P80" s="3962" t="s">
        <v>5742</v>
      </c>
      <c r="Q80" s="3599"/>
      <c r="R80" s="3942" t="s">
        <v>4181</v>
      </c>
      <c r="S80" s="2546"/>
      <c r="T80" s="150"/>
      <c r="U80" s="752"/>
      <c r="V80" s="1537">
        <f>1000000+1000000</f>
        <v>2000000</v>
      </c>
      <c r="W80" s="1537">
        <v>1000000</v>
      </c>
      <c r="X80" s="752"/>
      <c r="Y80" s="753"/>
      <c r="Z80" s="1826">
        <v>250000</v>
      </c>
      <c r="AA80" s="752"/>
      <c r="AB80" s="1325">
        <f t="shared" si="8"/>
        <v>3250000</v>
      </c>
      <c r="AC80" s="1331"/>
      <c r="AD80" s="2454" t="s">
        <v>5821</v>
      </c>
      <c r="AE80" s="2455">
        <f>5259600+(3450000*1.08)</f>
        <v>8985600</v>
      </c>
      <c r="AF80" s="1941">
        <f t="shared" si="10"/>
        <v>12235600</v>
      </c>
      <c r="AG80" s="2899"/>
      <c r="AH80" s="1518">
        <v>1</v>
      </c>
      <c r="AI80" s="1519"/>
      <c r="AJ80" s="1518"/>
      <c r="AK80" s="1518"/>
      <c r="AL80" s="1518"/>
      <c r="AM80" s="1518"/>
      <c r="AN80" s="1518"/>
      <c r="AO80" s="1518"/>
      <c r="AP80" s="1518"/>
      <c r="AQ80" s="1519">
        <v>1</v>
      </c>
      <c r="AR80" s="1518"/>
      <c r="AS80" s="1519"/>
      <c r="AT80" s="1518"/>
      <c r="AU80" s="1518"/>
      <c r="AV80" s="1518"/>
      <c r="AW80" s="1518"/>
      <c r="AX80" s="1518"/>
    </row>
    <row r="81" spans="1:50" s="1350" customFormat="1" ht="15" customHeight="1">
      <c r="A81" s="1742">
        <f t="shared" si="11"/>
        <v>15</v>
      </c>
      <c r="B81" s="3968"/>
      <c r="C81" s="2288">
        <v>307425620040</v>
      </c>
      <c r="D81" s="1530" t="s">
        <v>5758</v>
      </c>
      <c r="E81" s="4049"/>
      <c r="F81" s="3925"/>
      <c r="G81" s="431">
        <v>1</v>
      </c>
      <c r="H81" s="167"/>
      <c r="I81" s="167"/>
      <c r="J81" s="1957">
        <v>17691.099582342998</v>
      </c>
      <c r="K81" s="3985"/>
      <c r="L81" s="1486" t="s">
        <v>5781</v>
      </c>
      <c r="M81" s="1471">
        <v>2</v>
      </c>
      <c r="N81" s="2452" t="s">
        <v>5780</v>
      </c>
      <c r="O81" s="1469">
        <v>29204466</v>
      </c>
      <c r="P81" s="3963"/>
      <c r="Q81" s="3600"/>
      <c r="R81" s="3943"/>
      <c r="S81" s="2546"/>
      <c r="T81" s="150"/>
      <c r="U81" s="752"/>
      <c r="V81" s="1537">
        <v>1000000</v>
      </c>
      <c r="W81" s="2158">
        <v>4260000</v>
      </c>
      <c r="X81" s="752"/>
      <c r="Y81" s="753"/>
      <c r="Z81" s="1826">
        <v>250000</v>
      </c>
      <c r="AA81" s="752"/>
      <c r="AB81" s="1325">
        <f t="shared" si="8"/>
        <v>5510000</v>
      </c>
      <c r="AC81" s="1331"/>
      <c r="AD81" s="755"/>
      <c r="AE81" s="1332">
        <f>(AC81*1.08)+((AH81*$AH$4)+(G81*3450000+H81*3550000+I81*AI81)+(AJ81*$AJ$4)+(AK81*$AK$4)+(AL81*$AL$4)+(AM81*$AM$4*(G81+H81))+(AN81*$AN$4)+(AO81*$AO$4)+(AP81*$AP$4)+(AQ81*$AQ$4))*1.08</f>
        <v>5259600</v>
      </c>
      <c r="AF81" s="1941">
        <f t="shared" si="10"/>
        <v>10769600</v>
      </c>
      <c r="AG81" s="2899"/>
      <c r="AH81" s="1518">
        <v>1</v>
      </c>
      <c r="AI81" s="1519"/>
      <c r="AJ81" s="1518"/>
      <c r="AK81" s="1518"/>
      <c r="AL81" s="1518"/>
      <c r="AM81" s="1518"/>
      <c r="AN81" s="1518"/>
      <c r="AO81" s="1518"/>
      <c r="AP81" s="1518"/>
      <c r="AQ81" s="1519">
        <v>1</v>
      </c>
      <c r="AR81" s="1518"/>
      <c r="AS81" s="1519"/>
      <c r="AT81" s="1518"/>
      <c r="AU81" s="1518"/>
      <c r="AV81" s="1518"/>
      <c r="AW81" s="1518"/>
      <c r="AX81" s="1518"/>
    </row>
    <row r="82" spans="1:50" s="1350" customFormat="1" ht="15" customHeight="1">
      <c r="A82" s="1742">
        <f t="shared" si="11"/>
        <v>16</v>
      </c>
      <c r="B82" s="3968"/>
      <c r="C82" s="2288">
        <v>307425644430</v>
      </c>
      <c r="D82" s="1530" t="s">
        <v>5758</v>
      </c>
      <c r="E82" s="4049"/>
      <c r="F82" s="3925"/>
      <c r="G82" s="431">
        <v>1</v>
      </c>
      <c r="H82" s="167"/>
      <c r="I82" s="167"/>
      <c r="J82" s="1957">
        <v>17628.947748577899</v>
      </c>
      <c r="K82" s="3985"/>
      <c r="L82" s="1486" t="s">
        <v>5783</v>
      </c>
      <c r="M82" s="1471">
        <v>3</v>
      </c>
      <c r="N82" s="2452" t="s">
        <v>5782</v>
      </c>
      <c r="O82" s="1469">
        <v>29204481</v>
      </c>
      <c r="P82" s="3964"/>
      <c r="Q82" s="3600"/>
      <c r="R82" s="3943"/>
      <c r="S82" s="2546"/>
      <c r="T82" s="150"/>
      <c r="U82" s="752"/>
      <c r="V82" s="1537">
        <v>1000000</v>
      </c>
      <c r="W82" s="752"/>
      <c r="X82" s="752"/>
      <c r="Y82" s="753"/>
      <c r="Z82" s="1826">
        <v>250000</v>
      </c>
      <c r="AA82" s="752"/>
      <c r="AB82" s="1325">
        <f t="shared" si="8"/>
        <v>1250000</v>
      </c>
      <c r="AC82" s="1331"/>
      <c r="AD82" s="755"/>
      <c r="AE82" s="1332">
        <f>(AC82*1.08)+((AH82*$AH$4)+(G82*3450000+H82*3550000+I82*AI82)+(AJ82*$AJ$4)+(AK82*$AK$4)+(AL82*$AL$4)+(AM82*$AM$4*(G82+H82))+(AN82*$AN$4)+(AO82*$AO$4)+(AP82*$AP$4)+(AQ82*$AQ$4))*1.08</f>
        <v>5259600</v>
      </c>
      <c r="AF82" s="1941">
        <f t="shared" si="10"/>
        <v>6509600</v>
      </c>
      <c r="AG82" s="2899"/>
      <c r="AH82" s="1518">
        <v>1</v>
      </c>
      <c r="AI82" s="1519"/>
      <c r="AJ82" s="1518"/>
      <c r="AK82" s="1518"/>
      <c r="AL82" s="1518"/>
      <c r="AM82" s="1518"/>
      <c r="AN82" s="1518"/>
      <c r="AO82" s="1518"/>
      <c r="AP82" s="1518"/>
      <c r="AQ82" s="1519">
        <v>1</v>
      </c>
      <c r="AR82" s="1518"/>
      <c r="AS82" s="1519"/>
      <c r="AT82" s="1518"/>
      <c r="AU82" s="1518"/>
      <c r="AV82" s="1518"/>
      <c r="AW82" s="1518"/>
      <c r="AX82" s="1518"/>
    </row>
    <row r="83" spans="1:50" s="1350" customFormat="1" ht="15" customHeight="1">
      <c r="A83" s="1742">
        <f t="shared" si="11"/>
        <v>17</v>
      </c>
      <c r="B83" s="3968"/>
      <c r="C83" s="2288">
        <v>307425685510</v>
      </c>
      <c r="D83" s="1530" t="s">
        <v>5758</v>
      </c>
      <c r="E83" s="4049"/>
      <c r="F83" s="3925"/>
      <c r="G83" s="431">
        <v>1</v>
      </c>
      <c r="H83" s="167"/>
      <c r="I83" s="167"/>
      <c r="J83" s="1957">
        <v>17850.798906519802</v>
      </c>
      <c r="K83" s="3985"/>
      <c r="L83" s="1486" t="s">
        <v>5784</v>
      </c>
      <c r="M83" s="1471">
        <v>4</v>
      </c>
      <c r="N83" s="2452" t="s">
        <v>5805</v>
      </c>
      <c r="O83" s="1469">
        <v>30739701</v>
      </c>
      <c r="P83" s="3936" t="s">
        <v>5791</v>
      </c>
      <c r="Q83" s="3590"/>
      <c r="R83" s="3943"/>
      <c r="S83" s="2546"/>
      <c r="T83" s="150"/>
      <c r="U83" s="752"/>
      <c r="V83" s="1537">
        <f>1000000+1000000</f>
        <v>2000000</v>
      </c>
      <c r="W83" s="1537">
        <v>1000000</v>
      </c>
      <c r="X83" s="752"/>
      <c r="Y83" s="753"/>
      <c r="Z83" s="1826">
        <v>250000</v>
      </c>
      <c r="AA83" s="752"/>
      <c r="AB83" s="1325">
        <f t="shared" si="8"/>
        <v>3250000</v>
      </c>
      <c r="AC83" s="1331"/>
      <c r="AD83" s="2454" t="s">
        <v>5821</v>
      </c>
      <c r="AE83" s="2455">
        <f>5259600+(3450000*1.08)</f>
        <v>8985600</v>
      </c>
      <c r="AF83" s="1941">
        <f t="shared" si="10"/>
        <v>12235600</v>
      </c>
      <c r="AG83" s="2899"/>
      <c r="AH83" s="1518">
        <v>1</v>
      </c>
      <c r="AI83" s="1519"/>
      <c r="AJ83" s="1518"/>
      <c r="AK83" s="1518"/>
      <c r="AL83" s="1518"/>
      <c r="AM83" s="1518"/>
      <c r="AN83" s="1518"/>
      <c r="AO83" s="1518"/>
      <c r="AP83" s="1518"/>
      <c r="AQ83" s="1519">
        <v>1</v>
      </c>
      <c r="AR83" s="1518"/>
      <c r="AS83" s="1519"/>
      <c r="AT83" s="1518"/>
      <c r="AU83" s="1518"/>
      <c r="AV83" s="1518"/>
      <c r="AW83" s="1518"/>
      <c r="AX83" s="1518"/>
    </row>
    <row r="84" spans="1:50" s="1350" customFormat="1" ht="15" customHeight="1">
      <c r="A84" s="1742">
        <f t="shared" si="11"/>
        <v>18</v>
      </c>
      <c r="B84" s="3968"/>
      <c r="C84" s="2288">
        <v>307425740550</v>
      </c>
      <c r="D84" s="1530" t="s">
        <v>5758</v>
      </c>
      <c r="E84" s="4049"/>
      <c r="F84" s="3925"/>
      <c r="G84" s="431">
        <v>1</v>
      </c>
      <c r="H84" s="167"/>
      <c r="I84" s="167"/>
      <c r="J84" s="1957">
        <v>17062.943962961701</v>
      </c>
      <c r="K84" s="3985"/>
      <c r="L84" s="1486" t="s">
        <v>5786</v>
      </c>
      <c r="M84" s="1471">
        <v>5</v>
      </c>
      <c r="N84" s="2452" t="s">
        <v>5785</v>
      </c>
      <c r="O84" s="1469">
        <v>29204495</v>
      </c>
      <c r="P84" s="3919"/>
      <c r="Q84" s="3590"/>
      <c r="R84" s="3943"/>
      <c r="S84" s="2546"/>
      <c r="T84" s="150"/>
      <c r="U84" s="752"/>
      <c r="V84" s="1537">
        <v>1000000</v>
      </c>
      <c r="W84" s="752"/>
      <c r="X84" s="752"/>
      <c r="Y84" s="753"/>
      <c r="Z84" s="1826">
        <v>250000</v>
      </c>
      <c r="AA84" s="752"/>
      <c r="AB84" s="1325">
        <f t="shared" si="8"/>
        <v>1250000</v>
      </c>
      <c r="AC84" s="1331"/>
      <c r="AD84" s="755"/>
      <c r="AE84" s="1332">
        <f>(AC84*1.08)+((AH84*$AH$4)+(G84*3450000+H84*3550000+I84*AI84)+(AJ84*$AJ$4)+(AK84*$AK$4)+(AL84*$AL$4)+(AM84*$AM$4*(G84+H84))+(AN84*$AN$4)+(AO84*$AO$4)+(AP84*$AP$4)+(AQ84*$AQ$4))*1.08</f>
        <v>5259600</v>
      </c>
      <c r="AF84" s="1941">
        <f t="shared" si="10"/>
        <v>6509600</v>
      </c>
      <c r="AG84" s="2899"/>
      <c r="AH84" s="1518">
        <v>1</v>
      </c>
      <c r="AI84" s="1519"/>
      <c r="AJ84" s="1518"/>
      <c r="AK84" s="1518"/>
      <c r="AL84" s="1518"/>
      <c r="AM84" s="1518"/>
      <c r="AN84" s="1518"/>
      <c r="AO84" s="1518"/>
      <c r="AP84" s="1518"/>
      <c r="AQ84" s="1519">
        <v>1</v>
      </c>
      <c r="AR84" s="1518"/>
      <c r="AS84" s="1519"/>
      <c r="AT84" s="1518"/>
      <c r="AU84" s="1518"/>
      <c r="AV84" s="1518"/>
      <c r="AW84" s="1518"/>
      <c r="AX84" s="1518"/>
    </row>
    <row r="85" spans="1:50" s="1350" customFormat="1" ht="15.75" customHeight="1" thickBot="1">
      <c r="A85" s="1797">
        <f t="shared" si="11"/>
        <v>19</v>
      </c>
      <c r="B85" s="3922"/>
      <c r="C85" s="2293">
        <v>307425759710</v>
      </c>
      <c r="D85" s="1530" t="s">
        <v>5758</v>
      </c>
      <c r="E85" s="3990"/>
      <c r="F85" s="3926"/>
      <c r="G85" s="1998">
        <v>1</v>
      </c>
      <c r="H85" s="1978"/>
      <c r="I85" s="1978"/>
      <c r="J85" s="1958">
        <v>17084.9997786022</v>
      </c>
      <c r="K85" s="3986"/>
      <c r="L85" s="1959" t="s">
        <v>5788</v>
      </c>
      <c r="M85" s="1803">
        <v>6</v>
      </c>
      <c r="N85" s="2469" t="s">
        <v>5787</v>
      </c>
      <c r="O85" s="2415">
        <v>29204434</v>
      </c>
      <c r="P85" s="3920"/>
      <c r="Q85" s="3591"/>
      <c r="R85" s="3944"/>
      <c r="S85" s="2546"/>
      <c r="T85" s="150"/>
      <c r="U85" s="752"/>
      <c r="V85" s="1537">
        <v>1000000</v>
      </c>
      <c r="W85" s="752"/>
      <c r="X85" s="752"/>
      <c r="Y85" s="753"/>
      <c r="Z85" s="1826">
        <v>250000</v>
      </c>
      <c r="AA85" s="752"/>
      <c r="AB85" s="1325">
        <f t="shared" si="8"/>
        <v>1250000</v>
      </c>
      <c r="AC85" s="1331"/>
      <c r="AD85" s="755"/>
      <c r="AE85" s="1332">
        <f>(AC85*1.08)+((AH85*$AH$4)+(G85*3450000+H85*3550000+I85*AI85)+(AJ85*$AJ$4)+(AK85*$AK$4)+(AL85*$AL$4)+(AM85*$AM$4*(G85+H85))+(AN85*$AN$4)+(AO85*$AO$4)+(AP85*$AP$4)+(AQ85*$AQ$4))*1.08</f>
        <v>5259600</v>
      </c>
      <c r="AF85" s="1941">
        <f t="shared" si="10"/>
        <v>6509600</v>
      </c>
      <c r="AG85" s="2902"/>
      <c r="AH85" s="1518">
        <v>1</v>
      </c>
      <c r="AI85" s="1519"/>
      <c r="AJ85" s="1518"/>
      <c r="AK85" s="1518"/>
      <c r="AL85" s="1518"/>
      <c r="AM85" s="1518"/>
      <c r="AN85" s="1518"/>
      <c r="AO85" s="1518"/>
      <c r="AP85" s="1518"/>
      <c r="AQ85" s="1519">
        <v>1</v>
      </c>
      <c r="AR85" s="1518"/>
      <c r="AS85" s="1519"/>
      <c r="AT85" s="1518"/>
      <c r="AU85" s="1518"/>
      <c r="AV85" s="1518"/>
      <c r="AW85" s="1518"/>
      <c r="AX85" s="1518"/>
    </row>
    <row r="86" spans="1:50" s="1350" customFormat="1" ht="13.8" thickBot="1">
      <c r="A86" s="1805">
        <f t="shared" si="11"/>
        <v>20</v>
      </c>
      <c r="B86" s="2456" t="s">
        <v>5657</v>
      </c>
      <c r="C86" s="2348">
        <v>307426352940</v>
      </c>
      <c r="D86" s="2024" t="s">
        <v>5758</v>
      </c>
      <c r="E86" s="2420" t="s">
        <v>5801</v>
      </c>
      <c r="F86" s="2349" t="s">
        <v>210</v>
      </c>
      <c r="G86" s="2006"/>
      <c r="H86" s="2350"/>
      <c r="I86" s="2350">
        <v>1</v>
      </c>
      <c r="J86" s="2351">
        <v>5374.90597465673</v>
      </c>
      <c r="K86" s="2008" t="s">
        <v>5763</v>
      </c>
      <c r="L86" s="2009" t="s">
        <v>5789</v>
      </c>
      <c r="M86" s="4046" t="s">
        <v>5790</v>
      </c>
      <c r="N86" s="4047"/>
      <c r="O86" s="4048"/>
      <c r="P86" s="2011" t="s">
        <v>5764</v>
      </c>
      <c r="Q86" s="2011"/>
      <c r="R86" s="2385" t="s">
        <v>5765</v>
      </c>
      <c r="S86" s="1587"/>
      <c r="T86" s="150"/>
      <c r="U86" s="752"/>
      <c r="V86" s="752"/>
      <c r="W86" s="752"/>
      <c r="X86" s="752"/>
      <c r="Y86" s="753"/>
      <c r="Z86" s="1826">
        <v>80624</v>
      </c>
      <c r="AA86" s="752"/>
      <c r="AB86" s="1325">
        <f t="shared" si="8"/>
        <v>80624</v>
      </c>
      <c r="AC86" s="1331"/>
      <c r="AD86" s="755" t="s">
        <v>5811</v>
      </c>
      <c r="AE86" s="1332">
        <f>(770000+(2300000+(280000*(8-3.4)))*1.08)</f>
        <v>4645040</v>
      </c>
      <c r="AF86" s="1941">
        <f t="shared" si="10"/>
        <v>4725664</v>
      </c>
      <c r="AG86" s="2899"/>
      <c r="AH86" s="1518">
        <v>1</v>
      </c>
      <c r="AI86" s="1519"/>
      <c r="AJ86" s="1518"/>
      <c r="AK86" s="1518"/>
      <c r="AL86" s="1518"/>
      <c r="AM86" s="1518"/>
      <c r="AN86" s="1518"/>
      <c r="AO86" s="1518"/>
      <c r="AP86" s="1518"/>
      <c r="AQ86" s="1519">
        <v>1</v>
      </c>
      <c r="AR86" s="1518"/>
      <c r="AS86" s="1519"/>
      <c r="AT86" s="1518"/>
      <c r="AU86" s="1518"/>
      <c r="AV86" s="1518"/>
      <c r="AW86" s="1518"/>
      <c r="AX86" s="1518"/>
    </row>
    <row r="87" spans="1:50" s="1350" customFormat="1">
      <c r="A87" s="2435">
        <v>21</v>
      </c>
      <c r="B87" s="3967" t="s">
        <v>5826</v>
      </c>
      <c r="C87" s="2288">
        <v>307441278230</v>
      </c>
      <c r="D87" s="2463" t="s">
        <v>5826</v>
      </c>
      <c r="E87" s="3989" t="s">
        <v>5838</v>
      </c>
      <c r="F87" s="3939" t="s">
        <v>210</v>
      </c>
      <c r="G87" s="451">
        <v>1</v>
      </c>
      <c r="H87" s="445"/>
      <c r="I87" s="445"/>
      <c r="J87" s="1786">
        <v>23414.241975000001</v>
      </c>
      <c r="K87" s="3984" t="s">
        <v>5819</v>
      </c>
      <c r="L87" s="1459" t="s">
        <v>5831</v>
      </c>
      <c r="M87" s="1471">
        <v>1</v>
      </c>
      <c r="N87" s="707" t="s">
        <v>5829</v>
      </c>
      <c r="O87" s="707" t="s">
        <v>5830</v>
      </c>
      <c r="P87" s="3961" t="s">
        <v>5820</v>
      </c>
      <c r="Q87" s="3594"/>
      <c r="R87" s="3956" t="s">
        <v>2966</v>
      </c>
      <c r="S87" s="1587"/>
      <c r="T87" s="150"/>
      <c r="U87" s="752"/>
      <c r="V87" s="1537">
        <v>1740000</v>
      </c>
      <c r="W87" s="2158">
        <v>994000</v>
      </c>
      <c r="X87" s="752"/>
      <c r="Y87" s="753"/>
      <c r="Z87" s="2464">
        <v>250000</v>
      </c>
      <c r="AA87" s="752"/>
      <c r="AB87" s="1325">
        <f t="shared" si="8"/>
        <v>2984000</v>
      </c>
      <c r="AC87" s="1331"/>
      <c r="AD87" s="2544">
        <f>770000+(2800000+(280000*(8-3.4)))</f>
        <v>4858000</v>
      </c>
      <c r="AE87" s="1332">
        <f>(AC87*1.08)+((AH87*$AH$4)+(G87*3450000+H87*3550000+I87*AI87)+(AJ87*$AJ$4)+(AK87*$AK$4)+(AL87*$AL$4)+(AM87*$AM$4*(G87+H87))+(AN87*$AN$4)+(AO87*$AO$4)+(AP87*$AP$4)+(AQ87*$AQ$4))*1.08</f>
        <v>6231600</v>
      </c>
      <c r="AF87" s="1941">
        <f t="shared" si="10"/>
        <v>9215600</v>
      </c>
      <c r="AG87" s="2899"/>
      <c r="AH87" s="1518">
        <v>1</v>
      </c>
      <c r="AI87" s="1519"/>
      <c r="AJ87" s="1518">
        <v>1</v>
      </c>
      <c r="AK87" s="1518"/>
      <c r="AL87" s="1518"/>
      <c r="AM87" s="1518"/>
      <c r="AN87" s="1518"/>
      <c r="AO87" s="1518"/>
      <c r="AP87" s="1518"/>
      <c r="AQ87" s="1519">
        <v>1</v>
      </c>
      <c r="AR87" s="1518"/>
      <c r="AS87" s="1519"/>
      <c r="AT87" s="1518"/>
      <c r="AU87" s="1518"/>
      <c r="AV87" s="1518"/>
      <c r="AW87" s="1518"/>
      <c r="AX87" s="1518"/>
    </row>
    <row r="88" spans="1:50" s="1350" customFormat="1" ht="15.75" customHeight="1" thickBot="1">
      <c r="A88" s="1797">
        <f>+A87+1</f>
        <v>22</v>
      </c>
      <c r="B88" s="3951"/>
      <c r="C88" s="2014">
        <v>307441299560</v>
      </c>
      <c r="D88" s="1810" t="s">
        <v>5826</v>
      </c>
      <c r="E88" s="3990"/>
      <c r="F88" s="3926"/>
      <c r="G88" s="1998">
        <v>1</v>
      </c>
      <c r="H88" s="1978"/>
      <c r="I88" s="1978"/>
      <c r="J88" s="1958">
        <v>23400.47035</v>
      </c>
      <c r="K88" s="3986"/>
      <c r="L88" s="1959" t="s">
        <v>5834</v>
      </c>
      <c r="M88" s="1803">
        <v>2</v>
      </c>
      <c r="N88" s="1961" t="s">
        <v>5832</v>
      </c>
      <c r="O88" s="1961" t="s">
        <v>5833</v>
      </c>
      <c r="P88" s="3920"/>
      <c r="Q88" s="3591"/>
      <c r="R88" s="3957"/>
      <c r="S88" s="1587"/>
      <c r="T88" s="150"/>
      <c r="U88" s="752"/>
      <c r="V88" s="752"/>
      <c r="W88" s="752"/>
      <c r="X88" s="752"/>
      <c r="Y88" s="753"/>
      <c r="Z88" s="2464">
        <v>250000</v>
      </c>
      <c r="AA88" s="752"/>
      <c r="AB88" s="1325">
        <f t="shared" si="8"/>
        <v>250000</v>
      </c>
      <c r="AC88" s="1331"/>
      <c r="AD88" s="755"/>
      <c r="AE88" s="1332">
        <f>(AC88*1.08)+((AH88*$AH$4)+(G88*3450000+H88*3550000+I88*AI88)+(AJ88*$AJ$4)+(AK88*$AK$4)+(AL88*$AL$4)+(AM88*$AM$4*(G88+H88))+(AN88*$AN$4)+(AO88*$AO$4)+(AP88*$AP$4)+(AQ88*$AQ$4))*1.08</f>
        <v>6231600</v>
      </c>
      <c r="AF88" s="1941">
        <f t="shared" si="10"/>
        <v>6481600</v>
      </c>
      <c r="AG88" s="2902"/>
      <c r="AH88" s="1518">
        <v>1</v>
      </c>
      <c r="AI88" s="1519"/>
      <c r="AJ88" s="1518">
        <v>1</v>
      </c>
      <c r="AK88" s="1518"/>
      <c r="AL88" s="1518"/>
      <c r="AM88" s="1518"/>
      <c r="AN88" s="1518"/>
      <c r="AO88" s="1518"/>
      <c r="AP88" s="1518"/>
      <c r="AQ88" s="1519">
        <v>1</v>
      </c>
      <c r="AR88" s="1518"/>
      <c r="AS88" s="1519"/>
      <c r="AT88" s="1518"/>
      <c r="AU88" s="1518"/>
      <c r="AV88" s="1518"/>
      <c r="AW88" s="1518"/>
      <c r="AX88" s="1518"/>
    </row>
    <row r="89" spans="1:50" s="1350" customFormat="1">
      <c r="A89" s="3965" t="s">
        <v>5776</v>
      </c>
      <c r="B89" s="3795"/>
      <c r="C89" s="3795"/>
      <c r="D89" s="3795"/>
      <c r="E89" s="3795"/>
      <c r="F89" s="3795"/>
      <c r="G89" s="3795"/>
      <c r="H89" s="3795"/>
      <c r="I89" s="3795"/>
      <c r="J89" s="3795"/>
      <c r="K89" s="3795"/>
      <c r="L89" s="3795"/>
      <c r="M89" s="3795"/>
      <c r="N89" s="3795"/>
      <c r="O89" s="3796"/>
      <c r="P89" s="2471"/>
      <c r="Q89" s="2840"/>
      <c r="R89" s="2472"/>
      <c r="S89" s="1708"/>
      <c r="T89" s="2473"/>
      <c r="U89" s="2585"/>
      <c r="V89" s="2586"/>
      <c r="W89" s="2586"/>
      <c r="X89" s="2586"/>
      <c r="Y89" s="2587"/>
      <c r="Z89" s="2587"/>
      <c r="AA89" s="2586"/>
      <c r="AB89" s="2587">
        <f>SUM(AB83:AB88)</f>
        <v>9064624</v>
      </c>
      <c r="AC89" s="2587">
        <f>SUM(AC64:AC88)</f>
        <v>600000</v>
      </c>
      <c r="AD89" s="2588"/>
      <c r="AE89" s="2587">
        <f>SUM(AE68:AE88)</f>
        <v>123823040</v>
      </c>
      <c r="AF89" s="2587">
        <f>SUM(AF68:AF88)</f>
        <v>168494664</v>
      </c>
      <c r="AG89" s="2903"/>
      <c r="AH89" s="1518"/>
      <c r="AI89" s="1519"/>
      <c r="AJ89" s="1518"/>
      <c r="AK89" s="1518"/>
      <c r="AL89" s="1518"/>
      <c r="AM89" s="1518"/>
      <c r="AN89" s="1518"/>
      <c r="AO89" s="1518"/>
      <c r="AP89" s="1518"/>
      <c r="AQ89" s="1519"/>
      <c r="AR89" s="1518"/>
      <c r="AS89" s="1519"/>
      <c r="AT89" s="1518"/>
      <c r="AU89" s="1518"/>
      <c r="AV89" s="1518"/>
      <c r="AW89" s="1518"/>
      <c r="AX89" s="1518"/>
    </row>
    <row r="90" spans="1:50" s="1350" customFormat="1" ht="26.4">
      <c r="A90" s="1744"/>
      <c r="B90" s="1744"/>
      <c r="C90" s="2288">
        <v>307404889060</v>
      </c>
      <c r="D90" s="2474" t="s">
        <v>5655</v>
      </c>
      <c r="E90" s="2173" t="s">
        <v>6038</v>
      </c>
      <c r="F90" s="1744" t="s">
        <v>210</v>
      </c>
      <c r="G90" s="1742"/>
      <c r="H90" s="1742"/>
      <c r="I90" s="1742"/>
      <c r="J90" s="1742"/>
      <c r="K90" s="1742" t="s">
        <v>5683</v>
      </c>
      <c r="L90" s="1742" t="s">
        <v>5693</v>
      </c>
      <c r="M90" s="1742">
        <v>1</v>
      </c>
      <c r="N90" s="1742" t="s">
        <v>5687</v>
      </c>
      <c r="O90" s="1742" t="s">
        <v>5688</v>
      </c>
      <c r="P90" s="1742"/>
      <c r="Q90" s="1742"/>
      <c r="R90" s="1742" t="s">
        <v>2966</v>
      </c>
      <c r="S90" s="2579"/>
      <c r="T90" s="2158">
        <v>60000</v>
      </c>
      <c r="U90" s="1944"/>
      <c r="V90" s="1769"/>
      <c r="W90" s="1769"/>
      <c r="X90" s="1769"/>
      <c r="Y90" s="1945"/>
      <c r="Z90" s="1945"/>
      <c r="AA90" s="1769"/>
      <c r="AB90" s="1766">
        <f>+U90+V90+W90+X90+Y90+Z90+AA90+T90</f>
        <v>60000</v>
      </c>
      <c r="AC90" s="1754"/>
      <c r="AD90" s="2681" t="s">
        <v>6055</v>
      </c>
      <c r="AE90" s="1754">
        <f>(AC90*1.08)+((AH90*$AH$4)+(G90*3450000+H90*3550000+I90*AI90)+(AJ90*$AJ$4)+(AK90*$AK$4)+(AL90*$AL$4)+(AM90*$AM$4*(G90+H90))+(AN90*$AN$4)+(AO90*$AO$4)+(AP90*$AP$4)+(AQ90*$AQ$4))*1.08</f>
        <v>0</v>
      </c>
      <c r="AF90" s="1954">
        <f t="shared" ref="AF90:AF100" si="12">+AB90+AE90</f>
        <v>60000</v>
      </c>
      <c r="AG90" s="2899"/>
      <c r="AH90" s="1518"/>
      <c r="AI90" s="1519"/>
      <c r="AJ90" s="1518"/>
      <c r="AK90" s="1518"/>
      <c r="AL90" s="1518"/>
      <c r="AM90" s="1518"/>
      <c r="AN90" s="1518"/>
      <c r="AO90" s="1518"/>
      <c r="AP90" s="1518"/>
      <c r="AQ90" s="1519"/>
      <c r="AR90" s="1518"/>
      <c r="AS90" s="1519"/>
      <c r="AT90" s="1518"/>
      <c r="AU90" s="1518"/>
      <c r="AV90" s="1518"/>
      <c r="AW90" s="1518"/>
      <c r="AX90" s="1518"/>
    </row>
    <row r="91" spans="1:50" s="1350" customFormat="1" ht="26.4">
      <c r="A91" s="1744"/>
      <c r="B91" s="1744"/>
      <c r="C91" s="2288">
        <v>307419346200</v>
      </c>
      <c r="D91" s="1616" t="s">
        <v>5717</v>
      </c>
      <c r="E91" s="2173" t="s">
        <v>6039</v>
      </c>
      <c r="F91" s="1744" t="s">
        <v>210</v>
      </c>
      <c r="G91" s="1742"/>
      <c r="H91" s="1742"/>
      <c r="I91" s="1742"/>
      <c r="J91" s="1742"/>
      <c r="K91" s="1742" t="s">
        <v>5735</v>
      </c>
      <c r="L91" s="1742" t="s">
        <v>5754</v>
      </c>
      <c r="M91" s="1742">
        <v>1</v>
      </c>
      <c r="N91" s="1742" t="s">
        <v>5755</v>
      </c>
      <c r="O91" s="1742" t="s">
        <v>5756</v>
      </c>
      <c r="P91" s="1742"/>
      <c r="Q91" s="1742"/>
      <c r="R91" s="1742" t="s">
        <v>2966</v>
      </c>
      <c r="S91" s="2579"/>
      <c r="T91" s="2158">
        <v>60000</v>
      </c>
      <c r="U91" s="1944"/>
      <c r="V91" s="1769"/>
      <c r="W91" s="1769"/>
      <c r="X91" s="1769"/>
      <c r="Y91" s="1945"/>
      <c r="Z91" s="1945"/>
      <c r="AA91" s="1769"/>
      <c r="AB91" s="1766">
        <f t="shared" ref="AB91:AB111" si="13">+U91+V91+W91+X91+Y91+Z91+AA91+T91</f>
        <v>60000</v>
      </c>
      <c r="AC91" s="1754"/>
      <c r="AD91" s="2681" t="s">
        <v>6055</v>
      </c>
      <c r="AE91" s="1754">
        <f>(AC91*1.08)+((AH91*$AH$4)+(G91*3450000+H91*3550000+I91*AI91)+(AJ91*$AJ$4)+(AK91*$AK$4)+(AL91*$AL$4)+(AM91*$AM$4*(G91+H91))+(AN91*$AN$4)+(AO91*$AO$4)+(AP91*$AP$4)+(AQ91*$AQ$4))*1.08</f>
        <v>0</v>
      </c>
      <c r="AF91" s="1954">
        <f t="shared" si="12"/>
        <v>60000</v>
      </c>
      <c r="AG91" s="2899"/>
      <c r="AH91" s="1518"/>
      <c r="AI91" s="1519"/>
      <c r="AJ91" s="1518"/>
      <c r="AK91" s="1518"/>
      <c r="AL91" s="1518"/>
      <c r="AM91" s="1518"/>
      <c r="AN91" s="1518"/>
      <c r="AO91" s="1518"/>
      <c r="AP91" s="1518"/>
      <c r="AQ91" s="1519"/>
      <c r="AR91" s="1518"/>
      <c r="AS91" s="1519"/>
      <c r="AT91" s="1518"/>
      <c r="AU91" s="1518"/>
      <c r="AV91" s="1518"/>
      <c r="AW91" s="1518"/>
      <c r="AX91" s="1518"/>
    </row>
    <row r="92" spans="1:50" s="1350" customFormat="1" ht="40.200000000000003" thickBot="1">
      <c r="A92" s="2505"/>
      <c r="B92" s="2505"/>
      <c r="C92" s="1551" t="s">
        <v>5799</v>
      </c>
      <c r="D92" s="1796" t="s">
        <v>5717</v>
      </c>
      <c r="E92" s="2506" t="s">
        <v>6040</v>
      </c>
      <c r="F92" s="2505" t="s">
        <v>210</v>
      </c>
      <c r="G92" s="1797"/>
      <c r="H92" s="1797"/>
      <c r="I92" s="1797"/>
      <c r="J92" s="2664"/>
      <c r="K92" s="1797" t="s">
        <v>5703</v>
      </c>
      <c r="L92" s="1797" t="s">
        <v>5828</v>
      </c>
      <c r="M92" s="1797">
        <v>2</v>
      </c>
      <c r="N92" s="2507" t="s">
        <v>5827</v>
      </c>
      <c r="O92" s="2507" t="s">
        <v>5760</v>
      </c>
      <c r="P92" s="1797"/>
      <c r="Q92" s="1797"/>
      <c r="R92" s="2507" t="s">
        <v>5822</v>
      </c>
      <c r="S92" s="2507"/>
      <c r="T92" s="1765">
        <v>60000</v>
      </c>
      <c r="U92" s="1944"/>
      <c r="V92" s="1769"/>
      <c r="W92" s="1769"/>
      <c r="X92" s="1769"/>
      <c r="Y92" s="1945"/>
      <c r="Z92" s="1945"/>
      <c r="AA92" s="1769"/>
      <c r="AB92" s="1766">
        <f t="shared" si="13"/>
        <v>60000</v>
      </c>
      <c r="AC92" s="1754"/>
      <c r="AD92" s="2681" t="s">
        <v>6055</v>
      </c>
      <c r="AE92" s="1754">
        <f>(AC92*1.08)+((AH92*$AH$4)+(G92*3450000+H92*3550000+I92*AI92)+(AJ92*$AJ$4)+(AK92*$AK$4)+(AL92*$AL$4)+(AM92*$AM$4*(G92+H92))+(AN92*$AN$4)+(AO92*$AO$4)+(AP92*$AP$4)+(AQ92*$AQ$4))*1.08</f>
        <v>0</v>
      </c>
      <c r="AF92" s="1954">
        <f t="shared" si="12"/>
        <v>60000</v>
      </c>
      <c r="AG92" s="2899"/>
      <c r="AH92" s="1518"/>
      <c r="AI92" s="1519"/>
      <c r="AJ92" s="1518"/>
      <c r="AK92" s="1518"/>
      <c r="AL92" s="1518"/>
      <c r="AM92" s="1518"/>
      <c r="AN92" s="1518"/>
      <c r="AO92" s="1518"/>
      <c r="AP92" s="1518"/>
      <c r="AQ92" s="1519"/>
      <c r="AR92" s="1518"/>
      <c r="AS92" s="1519"/>
      <c r="AT92" s="1518"/>
      <c r="AU92" s="1518"/>
      <c r="AV92" s="1518"/>
      <c r="AW92" s="1518"/>
      <c r="AX92" s="1518"/>
    </row>
    <row r="93" spans="1:50" s="1758" customFormat="1" ht="25.5" customHeight="1" thickBot="1">
      <c r="A93" s="2004">
        <v>1</v>
      </c>
      <c r="B93" s="3966" t="s">
        <v>5876</v>
      </c>
      <c r="C93" s="2733">
        <v>307467093900</v>
      </c>
      <c r="D93" s="2734" t="s">
        <v>5876</v>
      </c>
      <c r="E93" s="2025" t="s">
        <v>5928</v>
      </c>
      <c r="F93" s="2505" t="s">
        <v>210</v>
      </c>
      <c r="G93" s="2510">
        <v>1</v>
      </c>
      <c r="H93" s="2510"/>
      <c r="I93" s="2510"/>
      <c r="J93" s="2665">
        <v>18138.096219937201</v>
      </c>
      <c r="K93" s="2511">
        <v>254603253</v>
      </c>
      <c r="L93" s="2012" t="s">
        <v>5917</v>
      </c>
      <c r="M93" s="2393">
        <v>1</v>
      </c>
      <c r="N93" s="2507" t="s">
        <v>5918</v>
      </c>
      <c r="O93" s="2507" t="s">
        <v>5919</v>
      </c>
      <c r="P93" s="2521">
        <v>45967.041666666664</v>
      </c>
      <c r="Q93" s="3621"/>
      <c r="R93" s="2735" t="s">
        <v>3152</v>
      </c>
      <c r="S93" s="2714" t="s">
        <v>5944</v>
      </c>
      <c r="T93" s="2745"/>
      <c r="U93" s="1555"/>
      <c r="V93" s="2668">
        <v>1000000</v>
      </c>
      <c r="W93" s="2668">
        <v>700000</v>
      </c>
      <c r="X93" s="1555"/>
      <c r="Y93" s="2422"/>
      <c r="Z93" s="1826">
        <v>250000</v>
      </c>
      <c r="AA93" s="1555"/>
      <c r="AB93" s="1766">
        <f t="shared" si="13"/>
        <v>1950000</v>
      </c>
      <c r="AC93" s="2731"/>
      <c r="AD93" s="2680" t="s">
        <v>6105</v>
      </c>
      <c r="AE93" s="2731">
        <f>(AC93*1.08)+((AH93*$AH$4)+(G93*3450000+H93*3550000+I93*AI93)+(AJ93*$AJ$4)+(AK93*$AK$4)+(AL93*$AL$4)+(AM93*$AM$4*(G93+H93))+(AN93*$AN$4)+(AO93*$AO$4)+(AP93*$AP$4)+(AQ93*$AQ$4))*1.08</f>
        <v>5259600</v>
      </c>
      <c r="AF93" s="1954">
        <f t="shared" si="12"/>
        <v>7209600</v>
      </c>
      <c r="AG93" s="2899"/>
      <c r="AH93" s="1995">
        <v>1</v>
      </c>
      <c r="AI93" s="1996"/>
      <c r="AJ93" s="1995"/>
      <c r="AK93" s="1995"/>
      <c r="AL93" s="1995"/>
      <c r="AM93" s="1995"/>
      <c r="AN93" s="1995"/>
      <c r="AO93" s="1995"/>
      <c r="AP93" s="1995"/>
      <c r="AQ93" s="1996">
        <v>1</v>
      </c>
      <c r="AR93" s="1995"/>
      <c r="AS93" s="1996"/>
      <c r="AT93" s="1995"/>
      <c r="AU93" s="1995"/>
      <c r="AV93" s="1995"/>
      <c r="AW93" s="1995"/>
      <c r="AX93" s="1995"/>
    </row>
    <row r="94" spans="1:50" s="1758" customFormat="1" ht="15.75" customHeight="1" thickBot="1">
      <c r="A94" s="2433">
        <f>+A93+1</f>
        <v>2</v>
      </c>
      <c r="B94" s="3951"/>
      <c r="C94" s="2736">
        <v>307467119650</v>
      </c>
      <c r="D94" s="2729" t="s">
        <v>5876</v>
      </c>
      <c r="E94" s="2720" t="s">
        <v>5929</v>
      </c>
      <c r="F94" s="2505" t="s">
        <v>210</v>
      </c>
      <c r="G94" s="2508"/>
      <c r="H94" s="2508">
        <v>1</v>
      </c>
      <c r="I94" s="2508"/>
      <c r="J94" s="2737">
        <v>20704.300990912801</v>
      </c>
      <c r="K94" s="2717">
        <v>254450594</v>
      </c>
      <c r="L94" s="2721" t="s">
        <v>5920</v>
      </c>
      <c r="M94" s="2509">
        <v>2</v>
      </c>
      <c r="N94" s="2507" t="s">
        <v>5921</v>
      </c>
      <c r="O94" s="2738" t="s">
        <v>5922</v>
      </c>
      <c r="P94" s="1797" t="s">
        <v>5879</v>
      </c>
      <c r="Q94" s="2433"/>
      <c r="R94" s="2739" t="s">
        <v>3152</v>
      </c>
      <c r="S94" s="2714" t="s">
        <v>5958</v>
      </c>
      <c r="T94" s="2745"/>
      <c r="U94" s="1555"/>
      <c r="V94" s="2668">
        <v>1140000</v>
      </c>
      <c r="W94" s="2668">
        <v>1500000</v>
      </c>
      <c r="X94" s="1555"/>
      <c r="Y94" s="2422"/>
      <c r="Z94" s="1826">
        <v>500000</v>
      </c>
      <c r="AA94" s="1555"/>
      <c r="AB94" s="1766">
        <f t="shared" si="13"/>
        <v>3140000</v>
      </c>
      <c r="AC94" s="2731"/>
      <c r="AD94" s="2680" t="s">
        <v>6105</v>
      </c>
      <c r="AE94" s="2731">
        <f>(AC94*1.08)+((AH94*$AH$4)+(G94*3450000+H94*3550000+I94*AI94)+(AJ94*$AJ$4)+(AK94*$AK$4)+(AL94*$AL$4)+(AM94*$AM$4*(G94+H94))+(AN94*$AN$4)+(AO94*$AO$4)+(AP94*$AP$4)+(AQ94*$AQ$4))*1.08</f>
        <v>5853600</v>
      </c>
      <c r="AF94" s="1954">
        <f t="shared" si="12"/>
        <v>8993600</v>
      </c>
      <c r="AG94" s="2899"/>
      <c r="AH94" s="1995">
        <v>1</v>
      </c>
      <c r="AI94" s="1996"/>
      <c r="AJ94" s="1995"/>
      <c r="AK94" s="1995">
        <v>1</v>
      </c>
      <c r="AL94" s="1995"/>
      <c r="AM94" s="1995"/>
      <c r="AN94" s="1995"/>
      <c r="AO94" s="1995"/>
      <c r="AP94" s="1995"/>
      <c r="AQ94" s="1996">
        <v>1</v>
      </c>
      <c r="AR94" s="1995"/>
      <c r="AS94" s="1996"/>
      <c r="AT94" s="1995"/>
      <c r="AU94" s="1995"/>
      <c r="AV94" s="1995"/>
      <c r="AW94" s="1995"/>
      <c r="AX94" s="1995"/>
    </row>
    <row r="95" spans="1:50" s="1758" customFormat="1" ht="42" customHeight="1" thickBot="1">
      <c r="A95" s="1762">
        <v>3</v>
      </c>
      <c r="B95" s="2621" t="s">
        <v>5930</v>
      </c>
      <c r="C95" s="2728">
        <v>307471375430</v>
      </c>
      <c r="D95" s="2729" t="s">
        <v>5887</v>
      </c>
      <c r="E95" s="2719" t="s">
        <v>5950</v>
      </c>
      <c r="F95" s="2505" t="s">
        <v>210</v>
      </c>
      <c r="G95" s="2522"/>
      <c r="H95" s="2522"/>
      <c r="I95" s="2522">
        <v>1</v>
      </c>
      <c r="J95" s="2730">
        <v>1790.63644824989</v>
      </c>
      <c r="K95" s="2716" t="s">
        <v>5933</v>
      </c>
      <c r="L95" s="2722" t="s">
        <v>5936</v>
      </c>
      <c r="M95" s="2484"/>
      <c r="N95" s="3937" t="s">
        <v>5945</v>
      </c>
      <c r="O95" s="3938"/>
      <c r="P95" s="1762" t="s">
        <v>5935</v>
      </c>
      <c r="Q95" s="3604"/>
      <c r="R95" s="2713" t="s">
        <v>5934</v>
      </c>
      <c r="S95" s="2714" t="s">
        <v>5955</v>
      </c>
      <c r="T95" s="2745"/>
      <c r="U95" s="1555"/>
      <c r="V95" s="1555"/>
      <c r="W95" s="1555"/>
      <c r="X95" s="1555"/>
      <c r="Y95" s="2422"/>
      <c r="Z95" s="1826">
        <v>26859</v>
      </c>
      <c r="AA95" s="1555"/>
      <c r="AB95" s="1766">
        <f t="shared" si="13"/>
        <v>26859</v>
      </c>
      <c r="AC95" s="2731"/>
      <c r="AD95" s="2589" t="s">
        <v>6106</v>
      </c>
      <c r="AE95" s="2731">
        <f>+((770000+2300000)*1.08)+(700000*1.08)+(2000000*1.08)</f>
        <v>6231600</v>
      </c>
      <c r="AF95" s="1954">
        <f t="shared" si="12"/>
        <v>6258459</v>
      </c>
      <c r="AG95" s="2899"/>
      <c r="AH95" s="1995">
        <v>1</v>
      </c>
      <c r="AI95" s="1996"/>
      <c r="AJ95" s="1995"/>
      <c r="AK95" s="1995"/>
      <c r="AL95" s="1995"/>
      <c r="AM95" s="1995"/>
      <c r="AN95" s="1995"/>
      <c r="AO95" s="1995"/>
      <c r="AP95" s="1995"/>
      <c r="AQ95" s="1996"/>
      <c r="AR95" s="1995"/>
      <c r="AS95" s="1996"/>
      <c r="AT95" s="1995"/>
      <c r="AU95" s="1995"/>
      <c r="AV95" s="1995"/>
      <c r="AW95" s="1995"/>
      <c r="AX95" s="1995"/>
    </row>
    <row r="96" spans="1:50" s="1758" customFormat="1" ht="13.5" customHeight="1">
      <c r="A96" s="2311">
        <v>4</v>
      </c>
      <c r="B96" s="3967" t="s">
        <v>5966</v>
      </c>
      <c r="C96" s="2740">
        <v>307477680550</v>
      </c>
      <c r="D96" s="2712" t="s">
        <v>5966</v>
      </c>
      <c r="E96" s="3923" t="s">
        <v>5990</v>
      </c>
      <c r="F96" s="3970" t="s">
        <v>210</v>
      </c>
      <c r="G96" s="2313">
        <v>1</v>
      </c>
      <c r="H96" s="2460"/>
      <c r="I96" s="2313"/>
      <c r="J96" s="2741">
        <f>16510.3590727607+2010</f>
        <v>18520.359072760701</v>
      </c>
      <c r="K96" s="3973">
        <v>2761232380</v>
      </c>
      <c r="L96" s="2461" t="s">
        <v>5986</v>
      </c>
      <c r="M96" s="2360">
        <v>1</v>
      </c>
      <c r="N96" s="1827" t="s">
        <v>5970</v>
      </c>
      <c r="O96" s="1827" t="s">
        <v>5961</v>
      </c>
      <c r="P96" s="3961" t="s">
        <v>5895</v>
      </c>
      <c r="Q96" s="3594"/>
      <c r="R96" s="3942" t="s">
        <v>5938</v>
      </c>
      <c r="S96" s="2548" t="s">
        <v>5942</v>
      </c>
      <c r="T96" s="2745"/>
      <c r="U96" s="752"/>
      <c r="V96" s="2667">
        <v>1000000</v>
      </c>
      <c r="W96" s="2158">
        <v>2840000</v>
      </c>
      <c r="X96" s="752"/>
      <c r="Y96" s="753"/>
      <c r="Z96" s="1826">
        <v>250000</v>
      </c>
      <c r="AA96" s="752"/>
      <c r="AB96" s="1325">
        <f t="shared" si="13"/>
        <v>4090000</v>
      </c>
      <c r="AC96" s="1757"/>
      <c r="AD96" s="3940" t="s">
        <v>6107</v>
      </c>
      <c r="AE96" s="2732">
        <f>(AC96*1.08)+((AH96*$AH$4)+(G96*3450000+H96*3550000+I96*AI96)+(AJ96*$AJ$4)+(AK96*$AK$4)+(AL96*$AL$4)+(AM96*$AM$4*(G96+H96))+(AN96*$AN$4)+(AO96*$AO$4)+(AP96*$AP$4)+(AQ96*$AQ$4))*1.08</f>
        <v>5259600</v>
      </c>
      <c r="AF96" s="1954">
        <f t="shared" si="12"/>
        <v>9349600</v>
      </c>
      <c r="AG96" s="2899"/>
      <c r="AH96" s="1995">
        <v>1</v>
      </c>
      <c r="AI96" s="1996"/>
      <c r="AJ96" s="1995"/>
      <c r="AK96" s="1995"/>
      <c r="AL96" s="1995"/>
      <c r="AM96" s="1995"/>
      <c r="AN96" s="1995"/>
      <c r="AO96" s="1995"/>
      <c r="AP96" s="1995"/>
      <c r="AQ96" s="1996">
        <v>1</v>
      </c>
      <c r="AR96" s="1995"/>
      <c r="AS96" s="1996"/>
      <c r="AT96" s="1995"/>
      <c r="AU96" s="1995"/>
      <c r="AV96" s="1995"/>
      <c r="AW96" s="1995"/>
      <c r="AX96" s="1995"/>
    </row>
    <row r="97" spans="1:50" s="1758" customFormat="1" ht="15" customHeight="1">
      <c r="A97" s="1742">
        <f>+A96+1</f>
        <v>5</v>
      </c>
      <c r="B97" s="3968"/>
      <c r="C97" s="2498">
        <v>307477684050</v>
      </c>
      <c r="D97" s="2742" t="s">
        <v>5966</v>
      </c>
      <c r="E97" s="3875"/>
      <c r="F97" s="3971"/>
      <c r="G97" s="2309">
        <v>1</v>
      </c>
      <c r="H97" s="2423"/>
      <c r="I97" s="2743"/>
      <c r="J97" s="2744">
        <f>14789.2438941316+2040</f>
        <v>16829.2438941316</v>
      </c>
      <c r="K97" s="3974"/>
      <c r="L97" s="1379" t="s">
        <v>5987</v>
      </c>
      <c r="M97" s="1471">
        <v>2</v>
      </c>
      <c r="N97" s="1755" t="s">
        <v>5960</v>
      </c>
      <c r="O97" s="1755" t="s">
        <v>5962</v>
      </c>
      <c r="P97" s="3919"/>
      <c r="Q97" s="3590"/>
      <c r="R97" s="3943"/>
      <c r="S97" s="2548" t="s">
        <v>5942</v>
      </c>
      <c r="T97" s="2745"/>
      <c r="U97" s="1555"/>
      <c r="V97" s="2667">
        <v>1000000</v>
      </c>
      <c r="W97" s="1555"/>
      <c r="X97" s="1555"/>
      <c r="Y97" s="2422"/>
      <c r="Z97" s="1826">
        <v>250000</v>
      </c>
      <c r="AA97" s="1555"/>
      <c r="AB97" s="1325">
        <f t="shared" si="13"/>
        <v>1250000</v>
      </c>
      <c r="AC97" s="1757"/>
      <c r="AD97" s="3941"/>
      <c r="AE97" s="2731">
        <f>(AC97*1.08)+((AH97*$AH$4)+(G97*3450000+H97*3550000+I97*AI97)+(AJ97*$AJ$4)+(AK97*$AK$4)+(AL97*$AL$4)+(AM97*$AM$4*(G97+H97))+(AN97*$AN$4)+(AO97*$AO$4)+(AP97*$AP$4)+(AQ97*$AQ$4))*1.08</f>
        <v>5259600</v>
      </c>
      <c r="AF97" s="1954">
        <f t="shared" si="12"/>
        <v>6509600</v>
      </c>
      <c r="AG97" s="2899"/>
      <c r="AH97" s="1995">
        <v>1</v>
      </c>
      <c r="AI97" s="1996"/>
      <c r="AJ97" s="1995"/>
      <c r="AK97" s="1995"/>
      <c r="AL97" s="1995"/>
      <c r="AM97" s="1995"/>
      <c r="AN97" s="1995"/>
      <c r="AO97" s="1995"/>
      <c r="AP97" s="1995"/>
      <c r="AQ97" s="1996">
        <v>1</v>
      </c>
      <c r="AR97" s="1995"/>
      <c r="AS97" s="1996"/>
      <c r="AT97" s="1995"/>
      <c r="AU97" s="1995"/>
      <c r="AV97" s="1995"/>
      <c r="AW97" s="1995"/>
      <c r="AX97" s="1995"/>
    </row>
    <row r="98" spans="1:50" s="1758" customFormat="1" ht="15" customHeight="1">
      <c r="A98" s="1742">
        <f>+A97+1</f>
        <v>6</v>
      </c>
      <c r="B98" s="3968"/>
      <c r="C98" s="2498">
        <v>307477688360</v>
      </c>
      <c r="D98" s="2742" t="s">
        <v>5966</v>
      </c>
      <c r="E98" s="3875"/>
      <c r="F98" s="3971"/>
      <c r="G98" s="2309">
        <v>1</v>
      </c>
      <c r="H98" s="2423"/>
      <c r="I98" s="2309"/>
      <c r="J98" s="2744">
        <f>17072.5539268965+2040</f>
        <v>19112.5539268965</v>
      </c>
      <c r="K98" s="3974"/>
      <c r="L98" s="1379" t="s">
        <v>5988</v>
      </c>
      <c r="M98" s="1471">
        <v>3</v>
      </c>
      <c r="N98" s="1755" t="s">
        <v>5971</v>
      </c>
      <c r="O98" s="1755" t="s">
        <v>5963</v>
      </c>
      <c r="P98" s="3919"/>
      <c r="Q98" s="3590"/>
      <c r="R98" s="3943"/>
      <c r="S98" s="2546" t="s">
        <v>5972</v>
      </c>
      <c r="T98" s="2745"/>
      <c r="U98" s="752"/>
      <c r="V98" s="2667">
        <v>1000000</v>
      </c>
      <c r="W98" s="752"/>
      <c r="X98" s="752"/>
      <c r="Y98" s="753"/>
      <c r="Z98" s="1826">
        <v>250000</v>
      </c>
      <c r="AA98" s="752"/>
      <c r="AB98" s="1325">
        <f t="shared" si="13"/>
        <v>1250000</v>
      </c>
      <c r="AC98" s="1757"/>
      <c r="AD98" s="3941"/>
      <c r="AE98" s="2732">
        <f>(AC98*1.08)+((AH98*$AH$4)+(G98*3450000+H98*3550000+I98*AI98)+(AJ98*$AJ$4)+(AK98*$AK$4)+(AL98*$AL$4)+(AM98*$AM$4*(G98+H98))+(AN98*$AN$4)+(AO98*$AO$4)+(AP98*$AP$4)+(AQ98*$AQ$4))*1.08</f>
        <v>5259600</v>
      </c>
      <c r="AF98" s="1954">
        <f t="shared" si="12"/>
        <v>6509600</v>
      </c>
      <c r="AG98" s="2899"/>
      <c r="AH98" s="1995">
        <v>1</v>
      </c>
      <c r="AI98" s="1996"/>
      <c r="AJ98" s="1995"/>
      <c r="AK98" s="1995"/>
      <c r="AL98" s="1995"/>
      <c r="AM98" s="1995"/>
      <c r="AN98" s="1995"/>
      <c r="AO98" s="1995"/>
      <c r="AP98" s="1995"/>
      <c r="AQ98" s="1996">
        <v>1</v>
      </c>
      <c r="AR98" s="1995"/>
      <c r="AS98" s="1996"/>
      <c r="AT98" s="1995"/>
      <c r="AU98" s="1995"/>
      <c r="AV98" s="1995"/>
      <c r="AW98" s="1995"/>
      <c r="AX98" s="1995"/>
    </row>
    <row r="99" spans="1:50" s="1758" customFormat="1" ht="15" customHeight="1" thickBot="1">
      <c r="A99" s="1797">
        <f>+A98+1</f>
        <v>7</v>
      </c>
      <c r="B99" s="3922"/>
      <c r="C99" s="2746">
        <v>307477694700</v>
      </c>
      <c r="D99" s="1800" t="s">
        <v>5966</v>
      </c>
      <c r="E99" s="3924"/>
      <c r="F99" s="3972"/>
      <c r="G99" s="1819">
        <v>1</v>
      </c>
      <c r="H99" s="2459"/>
      <c r="I99" s="1819"/>
      <c r="J99" s="2747">
        <f>16033.6922938394+2040</f>
        <v>18073.692293839398</v>
      </c>
      <c r="K99" s="3975"/>
      <c r="L99" s="1959" t="s">
        <v>5989</v>
      </c>
      <c r="M99" s="1803">
        <v>4</v>
      </c>
      <c r="N99" s="1804" t="s">
        <v>5965</v>
      </c>
      <c r="O99" s="1804" t="s">
        <v>5964</v>
      </c>
      <c r="P99" s="3920"/>
      <c r="Q99" s="3591"/>
      <c r="R99" s="3944"/>
      <c r="S99" s="2547" t="s">
        <v>5972</v>
      </c>
      <c r="T99" s="2745"/>
      <c r="U99" s="2485"/>
      <c r="V99" s="2751">
        <v>1000000</v>
      </c>
      <c r="W99" s="2485"/>
      <c r="X99" s="2485"/>
      <c r="Y99" s="2486"/>
      <c r="Z99" s="2487">
        <v>250000</v>
      </c>
      <c r="AA99" s="2485"/>
      <c r="AB99" s="2488">
        <f t="shared" si="13"/>
        <v>1250000</v>
      </c>
      <c r="AC99" s="2752"/>
      <c r="AD99" s="3941"/>
      <c r="AE99" s="2753">
        <f>(AC99*1.08)+((AH99*$AH$4)+(G99*3450000+H99*3550000+I99*AI99)+(AJ99*$AJ$4)+(AK99*$AK$4)+(AL99*$AL$4)+(AM99*$AM$4*(G99+H99))+(AN99*$AN$4)+(AO99*$AO$4)+(AP99*$AP$4)+(AQ99*$AQ$4))*1.08</f>
        <v>5259600</v>
      </c>
      <c r="AF99" s="2754">
        <f t="shared" si="12"/>
        <v>6509600</v>
      </c>
      <c r="AG99" s="2900"/>
      <c r="AH99" s="1995">
        <v>1</v>
      </c>
      <c r="AI99" s="1996"/>
      <c r="AJ99" s="1995"/>
      <c r="AK99" s="1995"/>
      <c r="AL99" s="1995"/>
      <c r="AM99" s="1995"/>
      <c r="AN99" s="1995"/>
      <c r="AO99" s="1995"/>
      <c r="AP99" s="1995"/>
      <c r="AQ99" s="1996">
        <v>1</v>
      </c>
      <c r="AR99" s="1995"/>
      <c r="AS99" s="1996"/>
      <c r="AT99" s="1995"/>
      <c r="AU99" s="1995"/>
      <c r="AV99" s="1995"/>
      <c r="AW99" s="1995"/>
      <c r="AX99" s="1995"/>
    </row>
    <row r="100" spans="1:50" s="1758" customFormat="1" ht="27" thickBot="1">
      <c r="A100" s="2433">
        <f>+A99+1</f>
        <v>8</v>
      </c>
      <c r="B100" s="2729" t="s">
        <v>6090</v>
      </c>
      <c r="C100" s="2736">
        <v>307513945450</v>
      </c>
      <c r="D100" s="2729" t="s">
        <v>6090</v>
      </c>
      <c r="E100" s="2720" t="s">
        <v>6120</v>
      </c>
      <c r="F100" s="2715" t="s">
        <v>210</v>
      </c>
      <c r="G100" s="2508">
        <v>1</v>
      </c>
      <c r="H100" s="2748"/>
      <c r="I100" s="2508"/>
      <c r="J100" s="2749">
        <v>17498.265648231099</v>
      </c>
      <c r="K100" s="2750" t="s">
        <v>6096</v>
      </c>
      <c r="L100" s="2796" t="s">
        <v>6112</v>
      </c>
      <c r="M100" s="1803">
        <v>1</v>
      </c>
      <c r="N100" s="1804" t="s">
        <v>6110</v>
      </c>
      <c r="O100" s="1804" t="s">
        <v>6111</v>
      </c>
      <c r="P100" s="2718" t="s">
        <v>6113</v>
      </c>
      <c r="Q100" s="3591"/>
      <c r="R100" s="2867" t="s">
        <v>4181</v>
      </c>
      <c r="S100" s="2797" t="s">
        <v>5958</v>
      </c>
      <c r="T100" s="2745"/>
      <c r="U100" s="1555"/>
      <c r="V100" s="2751">
        <v>1000000</v>
      </c>
      <c r="W100" s="1765">
        <v>710000</v>
      </c>
      <c r="X100" s="1555"/>
      <c r="Y100" s="2422"/>
      <c r="Z100" s="1765">
        <v>250000</v>
      </c>
      <c r="AA100" s="1555"/>
      <c r="AB100" s="1766">
        <f t="shared" si="13"/>
        <v>1960000</v>
      </c>
      <c r="AC100" s="2731"/>
      <c r="AD100" s="1767"/>
      <c r="AE100" s="2731">
        <f>(AC100*1.08)+((AH100*$AH$4)+(G100*3450000+H100*3550000+I100*AI100)+(AJ100*$AJ$4)+(AK100*$AK$4)+(AL100*$AL$4)+(AM100*$AM$4*(G100+H100))+(AN100*$AN$4)+(AO100*$AO$4)+(AP100*$AP$4)+(AQ100*$AQ$4))*1.08</f>
        <v>5259600</v>
      </c>
      <c r="AF100" s="1954">
        <f t="shared" si="12"/>
        <v>7219600</v>
      </c>
      <c r="AG100" s="2899"/>
      <c r="AH100" s="1995">
        <v>1</v>
      </c>
      <c r="AI100" s="1996"/>
      <c r="AJ100" s="1995"/>
      <c r="AK100" s="1995"/>
      <c r="AL100" s="1995"/>
      <c r="AM100" s="1995"/>
      <c r="AN100" s="1995"/>
      <c r="AO100" s="1995"/>
      <c r="AP100" s="1995"/>
      <c r="AQ100" s="1996">
        <v>1</v>
      </c>
      <c r="AR100" s="1995"/>
      <c r="AS100" s="1996"/>
      <c r="AT100" s="1995"/>
      <c r="AU100" s="1995"/>
      <c r="AV100" s="1995"/>
      <c r="AW100" s="1995"/>
      <c r="AX100" s="1995"/>
    </row>
    <row r="101" spans="1:50" s="1350" customFormat="1">
      <c r="A101" s="3929" t="s">
        <v>6100</v>
      </c>
      <c r="B101" s="3930"/>
      <c r="C101" s="3930"/>
      <c r="D101" s="3930"/>
      <c r="E101" s="3930"/>
      <c r="F101" s="3930"/>
      <c r="G101" s="3930"/>
      <c r="H101" s="3930"/>
      <c r="I101" s="3930"/>
      <c r="J101" s="3930"/>
      <c r="K101" s="3930"/>
      <c r="L101" s="3931"/>
      <c r="M101" s="3931"/>
      <c r="N101" s="3931"/>
      <c r="O101" s="3932"/>
      <c r="P101" s="2840"/>
      <c r="Q101" s="3258"/>
      <c r="R101" s="2492"/>
      <c r="S101" s="1708"/>
      <c r="T101" s="2473"/>
      <c r="U101" s="2585"/>
      <c r="V101" s="2586"/>
      <c r="W101" s="2586"/>
      <c r="X101" s="2586"/>
      <c r="Y101" s="2587"/>
      <c r="Z101" s="2587"/>
      <c r="AA101" s="2586"/>
      <c r="AB101" s="2587">
        <f>SUM(AB90:AB100)</f>
        <v>15096859</v>
      </c>
      <c r="AC101" s="2587">
        <f>SUM(AC90:AC100)</f>
        <v>0</v>
      </c>
      <c r="AD101" s="2588"/>
      <c r="AE101" s="2587">
        <f>SUM(AE90:AE100)</f>
        <v>43642800</v>
      </c>
      <c r="AF101" s="2587">
        <f>SUM(AF90:AF100)</f>
        <v>58739659</v>
      </c>
      <c r="AG101" s="2903"/>
      <c r="AH101" s="1518"/>
      <c r="AI101" s="1519"/>
      <c r="AJ101" s="1518"/>
      <c r="AK101" s="1518"/>
      <c r="AL101" s="1518"/>
      <c r="AM101" s="1518"/>
      <c r="AN101" s="1518"/>
      <c r="AO101" s="1518"/>
      <c r="AP101" s="1518"/>
      <c r="AQ101" s="1519"/>
      <c r="AR101" s="1518"/>
      <c r="AS101" s="1519"/>
      <c r="AT101" s="1518"/>
      <c r="AU101" s="1518"/>
      <c r="AV101" s="1518"/>
      <c r="AW101" s="1518"/>
      <c r="AX101" s="1518"/>
    </row>
    <row r="102" spans="1:50" s="1350" customFormat="1" ht="26.25" customHeight="1">
      <c r="A102" s="1742">
        <v>1</v>
      </c>
      <c r="B102" s="3908" t="s">
        <v>6053</v>
      </c>
      <c r="C102" s="2288">
        <v>307541238820</v>
      </c>
      <c r="D102" s="1616" t="s">
        <v>6053</v>
      </c>
      <c r="E102" s="3867" t="s">
        <v>6239</v>
      </c>
      <c r="F102" s="3948" t="s">
        <v>210</v>
      </c>
      <c r="G102" s="2309">
        <v>1</v>
      </c>
      <c r="H102" s="1745"/>
      <c r="I102" s="1745"/>
      <c r="J102" s="1957">
        <v>19254.089801055099</v>
      </c>
      <c r="K102" s="3952" t="s">
        <v>6190</v>
      </c>
      <c r="L102" s="1587" t="s">
        <v>6216</v>
      </c>
      <c r="M102" s="2841">
        <v>1</v>
      </c>
      <c r="N102" s="2211" t="s">
        <v>6191</v>
      </c>
      <c r="O102" s="2037" t="s">
        <v>6215</v>
      </c>
      <c r="P102" s="3945" t="s">
        <v>6214</v>
      </c>
      <c r="Q102" s="3592"/>
      <c r="R102" s="3760" t="s">
        <v>2966</v>
      </c>
      <c r="S102" s="1587" t="s">
        <v>5944</v>
      </c>
      <c r="T102" s="150"/>
      <c r="U102" s="752"/>
      <c r="V102" s="2668">
        <v>900000</v>
      </c>
      <c r="W102" s="1765">
        <f>1988000*2</f>
        <v>3976000</v>
      </c>
      <c r="X102" s="752"/>
      <c r="Y102" s="753"/>
      <c r="Z102" s="2487">
        <v>250000</v>
      </c>
      <c r="AA102" s="752"/>
      <c r="AB102" s="1766">
        <f t="shared" si="13"/>
        <v>5126000</v>
      </c>
      <c r="AC102" s="1331"/>
      <c r="AD102" s="755"/>
      <c r="AE102" s="1332">
        <f>(AC102*1.08)+((AH102*$AH$4)+(G102*3450000+H102*3550000+I102*AI102)+(AJ102*$AJ$4)+(AK102*$AK$4)+(AL102*$AL$4)+(AM102*$AM$4*(G102+H102))+(AN102*$AN$4)+(AO102*$AO$4)+(AP102*$AP$4)+(AQ102*$AQ$4))*1.08</f>
        <v>5259600</v>
      </c>
      <c r="AF102" s="1954">
        <f>+AB102+AE102</f>
        <v>10385600</v>
      </c>
      <c r="AG102" s="2899"/>
      <c r="AH102" s="1518">
        <v>1</v>
      </c>
      <c r="AI102" s="1519"/>
      <c r="AJ102" s="1518"/>
      <c r="AK102" s="1518"/>
      <c r="AL102" s="1518"/>
      <c r="AM102" s="1518"/>
      <c r="AN102" s="1518"/>
      <c r="AO102" s="1518"/>
      <c r="AP102" s="1518"/>
      <c r="AQ102" s="1519">
        <v>1</v>
      </c>
      <c r="AR102" s="1518"/>
      <c r="AS102" s="1519"/>
      <c r="AT102" s="1518"/>
      <c r="AU102" s="1518"/>
      <c r="AV102" s="1518"/>
      <c r="AW102" s="1518"/>
      <c r="AX102" s="1518"/>
    </row>
    <row r="103" spans="1:50" s="1350" customFormat="1" ht="15" customHeight="1">
      <c r="A103" s="1742">
        <f t="shared" ref="A103:A114" si="14">+A102+1</f>
        <v>2</v>
      </c>
      <c r="B103" s="3908"/>
      <c r="C103" s="2288">
        <v>307541296920</v>
      </c>
      <c r="D103" s="1616" t="s">
        <v>6053</v>
      </c>
      <c r="E103" s="3875"/>
      <c r="F103" s="3949"/>
      <c r="G103" s="2309">
        <v>1</v>
      </c>
      <c r="H103" s="1745"/>
      <c r="I103" s="1745"/>
      <c r="J103" s="1957">
        <v>19183.576530623599</v>
      </c>
      <c r="K103" s="3953"/>
      <c r="L103" s="1587" t="s">
        <v>6218</v>
      </c>
      <c r="M103" s="2841">
        <v>2</v>
      </c>
      <c r="N103" s="2211" t="s">
        <v>6211</v>
      </c>
      <c r="O103" s="2037" t="s">
        <v>6217</v>
      </c>
      <c r="P103" s="3946"/>
      <c r="Q103" s="3592"/>
      <c r="R103" s="3760"/>
      <c r="S103" s="1587" t="s">
        <v>5944</v>
      </c>
      <c r="T103" s="150"/>
      <c r="U103" s="752"/>
      <c r="V103" s="2668">
        <v>900000</v>
      </c>
      <c r="W103" s="752"/>
      <c r="X103" s="752"/>
      <c r="Y103" s="753"/>
      <c r="Z103" s="2487">
        <v>250000</v>
      </c>
      <c r="AA103" s="752"/>
      <c r="AB103" s="1766">
        <f t="shared" si="13"/>
        <v>1150000</v>
      </c>
      <c r="AC103" s="1331"/>
      <c r="AD103" s="755"/>
      <c r="AE103" s="1332">
        <f>(AC103*1.08)+((AH103*$AH$4)+(G103*3450000+H103*3550000+I103*AI103)+(AJ103*$AJ$4)+(AK103*$AK$4)+(AL103*$AL$4)+(AM103*$AM$4*(G103+H103))+(AN103*$AN$4)+(AO103*$AO$4)+(AP103*$AP$4)+(AQ103*$AQ$4))*1.08</f>
        <v>5259600</v>
      </c>
      <c r="AF103" s="1941">
        <f>+AB103+AE103</f>
        <v>6409600</v>
      </c>
      <c r="AG103" s="2899"/>
      <c r="AH103" s="1518">
        <v>1</v>
      </c>
      <c r="AI103" s="1519"/>
      <c r="AJ103" s="1518"/>
      <c r="AK103" s="1518"/>
      <c r="AL103" s="1518"/>
      <c r="AM103" s="1518"/>
      <c r="AN103" s="1518"/>
      <c r="AO103" s="1518"/>
      <c r="AP103" s="1518"/>
      <c r="AQ103" s="1519">
        <v>1</v>
      </c>
      <c r="AR103" s="1518"/>
      <c r="AS103" s="1519"/>
      <c r="AT103" s="1518"/>
      <c r="AU103" s="1518"/>
      <c r="AV103" s="1518"/>
      <c r="AW103" s="1518"/>
      <c r="AX103" s="1518"/>
    </row>
    <row r="104" spans="1:50" s="1350" customFormat="1" ht="15" customHeight="1">
      <c r="A104" s="2846">
        <f t="shared" si="14"/>
        <v>3</v>
      </c>
      <c r="B104" s="3908"/>
      <c r="C104" s="2480">
        <v>307541339030</v>
      </c>
      <c r="D104" s="2481" t="s">
        <v>6053</v>
      </c>
      <c r="E104" s="3875"/>
      <c r="F104" s="3949"/>
      <c r="G104" s="2847">
        <v>1</v>
      </c>
      <c r="H104" s="2380"/>
      <c r="I104" s="2380"/>
      <c r="J104" s="2307">
        <v>19358</v>
      </c>
      <c r="K104" s="3953"/>
      <c r="L104" s="2465" t="s">
        <v>6220</v>
      </c>
      <c r="M104" s="2848">
        <v>3</v>
      </c>
      <c r="N104" s="2977" t="s">
        <v>6213</v>
      </c>
      <c r="O104" s="2849" t="s">
        <v>6219</v>
      </c>
      <c r="P104" s="3946"/>
      <c r="Q104" s="3592"/>
      <c r="R104" s="3760"/>
      <c r="S104" s="2465" t="s">
        <v>5958</v>
      </c>
      <c r="T104" s="1592"/>
      <c r="U104" s="2485"/>
      <c r="V104" s="2668">
        <v>850000</v>
      </c>
      <c r="W104" s="2485"/>
      <c r="X104" s="2485"/>
      <c r="Y104" s="2486"/>
      <c r="Z104" s="2487">
        <v>250000</v>
      </c>
      <c r="AA104" s="2485"/>
      <c r="AB104" s="1766">
        <f t="shared" si="13"/>
        <v>1100000</v>
      </c>
      <c r="AC104" s="1764"/>
      <c r="AD104" s="2489"/>
      <c r="AE104" s="2490">
        <f>(AC104*1.08)+((AH104*$AH$4)+(G104*3450000+H104*3550000+I104*AI104)+(AJ104*$AJ$4)+(AK104*$AK$4)+(AL104*$AL$4)+(AM104*$AM$4*(G104+H104))+(AN104*$AN$4)+(AO104*$AO$4)+(AP104*$AP$4)+(AQ104*$AQ$4))*1.08</f>
        <v>5259600</v>
      </c>
      <c r="AF104" s="1949">
        <f>+AB104+AE104</f>
        <v>6359600</v>
      </c>
      <c r="AG104" s="2900"/>
      <c r="AH104" s="1518">
        <v>1</v>
      </c>
      <c r="AI104" s="1519"/>
      <c r="AJ104" s="1518"/>
      <c r="AK104" s="1518"/>
      <c r="AL104" s="1518"/>
      <c r="AM104" s="1518"/>
      <c r="AN104" s="1518"/>
      <c r="AO104" s="1518"/>
      <c r="AP104" s="1518"/>
      <c r="AQ104" s="1519">
        <v>1</v>
      </c>
      <c r="AR104" s="1518"/>
      <c r="AS104" s="1519"/>
      <c r="AT104" s="1518"/>
      <c r="AU104" s="1518"/>
      <c r="AV104" s="1518"/>
      <c r="AW104" s="1518"/>
      <c r="AX104" s="1518"/>
    </row>
    <row r="105" spans="1:50" s="1350" customFormat="1" ht="15" customHeight="1">
      <c r="A105" s="1742">
        <f t="shared" si="14"/>
        <v>4</v>
      </c>
      <c r="B105" s="3908"/>
      <c r="C105" s="2288">
        <v>307541371560</v>
      </c>
      <c r="D105" s="1616" t="s">
        <v>6053</v>
      </c>
      <c r="E105" s="3875"/>
      <c r="F105" s="3949"/>
      <c r="G105" s="2309">
        <v>1</v>
      </c>
      <c r="H105" s="1745"/>
      <c r="I105" s="1745"/>
      <c r="J105" s="1957">
        <v>19107.548604987802</v>
      </c>
      <c r="K105" s="3953"/>
      <c r="L105" s="1587" t="s">
        <v>6222</v>
      </c>
      <c r="M105" s="2841">
        <v>4</v>
      </c>
      <c r="N105" s="2211" t="s">
        <v>6212</v>
      </c>
      <c r="O105" s="2037" t="s">
        <v>6221</v>
      </c>
      <c r="P105" s="3946"/>
      <c r="Q105" s="3592"/>
      <c r="R105" s="3760"/>
      <c r="S105" s="1587" t="s">
        <v>6223</v>
      </c>
      <c r="T105" s="1613"/>
      <c r="U105" s="1555"/>
      <c r="V105" s="2668">
        <v>850000</v>
      </c>
      <c r="W105" s="1555"/>
      <c r="X105" s="1555"/>
      <c r="Y105" s="2422"/>
      <c r="Z105" s="2487">
        <v>250000</v>
      </c>
      <c r="AA105" s="1555"/>
      <c r="AB105" s="1766">
        <f t="shared" si="13"/>
        <v>1100000</v>
      </c>
      <c r="AC105" s="1754"/>
      <c r="AD105" s="1767"/>
      <c r="AE105" s="1754">
        <f>(AC105*1.08)+((AH105*$AH$4)+(G105*3450000+H105*3550000+I105*AI105)+(AJ105*$AJ$4)+(AK105*$AK$4)+(AL105*$AL$4)+(AM105*$AM$4*(G105+H105))+(AN105*$AN$4)+(AO105*$AO$4)+(AP105*$AP$4)+(AQ105*$AQ$4))*1.08</f>
        <v>5259600</v>
      </c>
      <c r="AF105" s="1954">
        <f>+AB105+AE105</f>
        <v>6359600</v>
      </c>
      <c r="AG105" s="2899"/>
      <c r="AH105" s="1518">
        <v>1</v>
      </c>
      <c r="AI105" s="1519"/>
      <c r="AJ105" s="1518"/>
      <c r="AK105" s="1518"/>
      <c r="AL105" s="1518"/>
      <c r="AM105" s="1518"/>
      <c r="AN105" s="1518"/>
      <c r="AO105" s="1518"/>
      <c r="AP105" s="1518"/>
      <c r="AQ105" s="1519">
        <v>1</v>
      </c>
      <c r="AR105" s="1518"/>
      <c r="AS105" s="1519"/>
      <c r="AT105" s="1518"/>
      <c r="AU105" s="1518"/>
      <c r="AV105" s="1518"/>
      <c r="AW105" s="1518"/>
      <c r="AX105" s="1518"/>
    </row>
    <row r="106" spans="1:50" s="1350" customFormat="1" ht="21" customHeight="1">
      <c r="A106" s="1805">
        <f t="shared" si="14"/>
        <v>5</v>
      </c>
      <c r="B106" s="3921" t="s">
        <v>6192</v>
      </c>
      <c r="C106" s="1324">
        <v>307542481800</v>
      </c>
      <c r="D106" s="699" t="s">
        <v>6192</v>
      </c>
      <c r="E106" s="3875"/>
      <c r="F106" s="3949"/>
      <c r="G106" s="451">
        <v>1</v>
      </c>
      <c r="H106" s="445"/>
      <c r="I106" s="445"/>
      <c r="J106" s="1786">
        <f>16880.1934169982+2190</f>
        <v>19070.193416998201</v>
      </c>
      <c r="K106" s="3953"/>
      <c r="L106" s="2824" t="s">
        <v>6200</v>
      </c>
      <c r="M106" s="2850">
        <v>5</v>
      </c>
      <c r="N106" s="2978" t="s">
        <v>6198</v>
      </c>
      <c r="O106" s="2851" t="s">
        <v>6199</v>
      </c>
      <c r="P106" s="3946"/>
      <c r="Q106" s="3592"/>
      <c r="R106" s="3760"/>
      <c r="S106" s="2824" t="s">
        <v>5942</v>
      </c>
      <c r="T106" s="807"/>
      <c r="U106" s="1170"/>
      <c r="V106" s="2668">
        <v>900000</v>
      </c>
      <c r="W106" s="1170"/>
      <c r="X106" s="1170"/>
      <c r="Y106" s="1171"/>
      <c r="Z106" s="2487">
        <v>250000</v>
      </c>
      <c r="AA106" s="1170"/>
      <c r="AB106" s="1766">
        <f t="shared" si="13"/>
        <v>1150000</v>
      </c>
      <c r="AC106" s="1331"/>
      <c r="AD106" s="1173"/>
      <c r="AE106" s="1331">
        <f>(AC106*1.08)+((AH106*$AH$4)+(G106*3450000+H106*3550000+I106*AI106)+(AJ106*$AJ$4)+(AK106*$AK$4)+(AL106*$AL$4)+(AM106*$AM$4*(G106+H106))+(AN106*$AN$4)+(AO106*$AO$4)+(AP106*$AP$4)+(AQ106*$AQ$4))*1.08</f>
        <v>5259600</v>
      </c>
      <c r="AF106" s="1941">
        <f>+AB106+AE106</f>
        <v>6409600</v>
      </c>
      <c r="AG106" s="2898"/>
      <c r="AH106" s="1518">
        <v>1</v>
      </c>
      <c r="AI106" s="1519"/>
      <c r="AJ106" s="1518"/>
      <c r="AK106" s="1518"/>
      <c r="AL106" s="1518"/>
      <c r="AM106" s="1518"/>
      <c r="AN106" s="1518"/>
      <c r="AO106" s="1518"/>
      <c r="AP106" s="1518"/>
      <c r="AQ106" s="1519">
        <v>1</v>
      </c>
      <c r="AR106" s="1518"/>
      <c r="AS106" s="1519"/>
      <c r="AT106" s="1518"/>
      <c r="AU106" s="1518"/>
      <c r="AV106" s="1518"/>
      <c r="AW106" s="1518"/>
      <c r="AX106" s="1518"/>
    </row>
    <row r="107" spans="1:50" s="1350" customFormat="1" ht="15" customHeight="1">
      <c r="A107" s="1742">
        <f t="shared" si="14"/>
        <v>6</v>
      </c>
      <c r="B107" s="3921"/>
      <c r="C107" s="1388">
        <v>307542525900</v>
      </c>
      <c r="D107" s="1616" t="s">
        <v>6192</v>
      </c>
      <c r="E107" s="3875"/>
      <c r="F107" s="3949"/>
      <c r="G107" s="431">
        <v>1</v>
      </c>
      <c r="H107" s="167"/>
      <c r="I107" s="167"/>
      <c r="J107" s="1787">
        <f>17174.9965166934+2190</f>
        <v>19364.996516693402</v>
      </c>
      <c r="K107" s="3953"/>
      <c r="L107" s="1587" t="s">
        <v>6203</v>
      </c>
      <c r="M107" s="2841">
        <v>6</v>
      </c>
      <c r="N107" s="2211" t="s">
        <v>6201</v>
      </c>
      <c r="O107" s="2037" t="s">
        <v>6202</v>
      </c>
      <c r="P107" s="3946"/>
      <c r="Q107" s="3592"/>
      <c r="R107" s="3760"/>
      <c r="S107" s="1612" t="s">
        <v>5944</v>
      </c>
      <c r="T107" s="2829"/>
      <c r="U107" s="752"/>
      <c r="V107" s="2668">
        <v>900000</v>
      </c>
      <c r="W107" s="752"/>
      <c r="X107" s="752"/>
      <c r="Y107" s="753"/>
      <c r="Z107" s="2487">
        <v>250000</v>
      </c>
      <c r="AA107" s="752"/>
      <c r="AB107" s="1766">
        <f t="shared" si="13"/>
        <v>1150000</v>
      </c>
      <c r="AC107" s="1331"/>
      <c r="AD107" s="755"/>
      <c r="AE107" s="1331">
        <f t="shared" ref="AE107:AE109" si="15">(AC107*1.08)+((AH107*$AH$4)+(G107*3450000+H107*3550000+I107*AI107)+(AJ107*$AJ$4)+(AK107*$AK$4)+(AL107*$AL$4)+(AM107*$AM$4*(G107+H107))+(AN107*$AN$4)+(AO107*$AO$4)+(AP107*$AP$4)+(AQ107*$AQ$4))*1.08</f>
        <v>5259600</v>
      </c>
      <c r="AF107" s="1941">
        <f t="shared" ref="AF107:AF111" si="16">+AB107+AE107</f>
        <v>6409600</v>
      </c>
      <c r="AG107" s="2898"/>
      <c r="AH107" s="1518">
        <v>1</v>
      </c>
      <c r="AI107" s="1519"/>
      <c r="AJ107" s="1518"/>
      <c r="AK107" s="1518"/>
      <c r="AL107" s="1518"/>
      <c r="AM107" s="1518"/>
      <c r="AN107" s="1518"/>
      <c r="AO107" s="1518"/>
      <c r="AP107" s="1518"/>
      <c r="AQ107" s="1519">
        <v>1</v>
      </c>
      <c r="AR107" s="1518"/>
      <c r="AS107" s="1519"/>
      <c r="AT107" s="1518"/>
      <c r="AU107" s="1518"/>
      <c r="AV107" s="1518"/>
      <c r="AW107" s="1518"/>
      <c r="AX107" s="1518"/>
    </row>
    <row r="108" spans="1:50" s="1350" customFormat="1" ht="15" customHeight="1">
      <c r="A108" s="1742">
        <f t="shared" si="14"/>
        <v>7</v>
      </c>
      <c r="B108" s="3921"/>
      <c r="C108" s="1388">
        <v>307542569850</v>
      </c>
      <c r="D108" s="1616" t="s">
        <v>6192</v>
      </c>
      <c r="E108" s="3875"/>
      <c r="F108" s="3949"/>
      <c r="G108" s="431">
        <v>1</v>
      </c>
      <c r="H108" s="167"/>
      <c r="I108" s="167"/>
      <c r="J108" s="1787">
        <v>19161.427929865498</v>
      </c>
      <c r="K108" s="3953"/>
      <c r="L108" s="1587" t="s">
        <v>6206</v>
      </c>
      <c r="M108" s="2841">
        <v>7</v>
      </c>
      <c r="N108" s="2211" t="s">
        <v>6204</v>
      </c>
      <c r="O108" s="2037" t="s">
        <v>6205</v>
      </c>
      <c r="P108" s="3946"/>
      <c r="Q108" s="3592"/>
      <c r="R108" s="3760"/>
      <c r="S108" s="1587" t="s">
        <v>5972</v>
      </c>
      <c r="T108" s="150"/>
      <c r="U108" s="752"/>
      <c r="V108" s="2668">
        <v>900000</v>
      </c>
      <c r="W108" s="752"/>
      <c r="X108" s="752"/>
      <c r="Y108" s="753"/>
      <c r="Z108" s="2487">
        <v>250000</v>
      </c>
      <c r="AA108" s="752"/>
      <c r="AB108" s="1766">
        <f t="shared" si="13"/>
        <v>1150000</v>
      </c>
      <c r="AC108" s="1754"/>
      <c r="AD108" s="755"/>
      <c r="AE108" s="1331">
        <f t="shared" si="15"/>
        <v>5259600</v>
      </c>
      <c r="AF108" s="1941">
        <f t="shared" si="16"/>
        <v>6409600</v>
      </c>
      <c r="AG108" s="2898"/>
      <c r="AH108" s="1518">
        <v>1</v>
      </c>
      <c r="AI108" s="1519"/>
      <c r="AJ108" s="1518"/>
      <c r="AK108" s="1518"/>
      <c r="AL108" s="1518"/>
      <c r="AM108" s="1518"/>
      <c r="AN108" s="1518"/>
      <c r="AO108" s="1518"/>
      <c r="AP108" s="1518"/>
      <c r="AQ108" s="1519">
        <v>1</v>
      </c>
      <c r="AR108" s="1518"/>
      <c r="AS108" s="1519"/>
      <c r="AT108" s="1518"/>
      <c r="AU108" s="1518"/>
      <c r="AV108" s="1518"/>
      <c r="AW108" s="1518"/>
      <c r="AX108" s="1518"/>
    </row>
    <row r="109" spans="1:50" s="1350" customFormat="1" ht="15.75" customHeight="1" thickBot="1">
      <c r="A109" s="1797">
        <f t="shared" si="14"/>
        <v>8</v>
      </c>
      <c r="B109" s="3951"/>
      <c r="C109" s="2293">
        <v>307542604040</v>
      </c>
      <c r="D109" s="2845" t="s">
        <v>6192</v>
      </c>
      <c r="E109" s="3924"/>
      <c r="F109" s="3950"/>
      <c r="G109" s="1998">
        <v>1</v>
      </c>
      <c r="H109" s="1978"/>
      <c r="I109" s="1978"/>
      <c r="J109" s="1958">
        <v>18918.762580385901</v>
      </c>
      <c r="K109" s="3954"/>
      <c r="L109" s="2844" t="s">
        <v>6210</v>
      </c>
      <c r="M109" s="1803">
        <v>8</v>
      </c>
      <c r="N109" s="2979" t="s">
        <v>6207</v>
      </c>
      <c r="O109" s="1803" t="s">
        <v>6209</v>
      </c>
      <c r="P109" s="3947"/>
      <c r="Q109" s="3593"/>
      <c r="R109" s="3955"/>
      <c r="S109" s="1822" t="s">
        <v>6255</v>
      </c>
      <c r="T109" s="1999"/>
      <c r="U109" s="2825"/>
      <c r="V109" s="2925">
        <v>900000</v>
      </c>
      <c r="W109" s="2825"/>
      <c r="X109" s="2825"/>
      <c r="Y109" s="2826"/>
      <c r="Z109" s="2487">
        <v>250000</v>
      </c>
      <c r="AA109" s="2825"/>
      <c r="AB109" s="2918">
        <f t="shared" si="13"/>
        <v>1150000</v>
      </c>
      <c r="AC109" s="2906"/>
      <c r="AD109" s="2827"/>
      <c r="AE109" s="2892">
        <f t="shared" si="15"/>
        <v>5259600</v>
      </c>
      <c r="AF109" s="2893">
        <f t="shared" si="16"/>
        <v>6409600</v>
      </c>
      <c r="AG109" s="2907"/>
      <c r="AH109" s="1518">
        <v>1</v>
      </c>
      <c r="AI109" s="1519"/>
      <c r="AJ109" s="1518"/>
      <c r="AK109" s="1518"/>
      <c r="AL109" s="1518"/>
      <c r="AM109" s="1518"/>
      <c r="AN109" s="1518"/>
      <c r="AO109" s="1518"/>
      <c r="AP109" s="1518"/>
      <c r="AQ109" s="1519">
        <v>1</v>
      </c>
      <c r="AR109" s="1518"/>
      <c r="AS109" s="1519"/>
      <c r="AT109" s="1518"/>
      <c r="AU109" s="1518"/>
      <c r="AV109" s="1518"/>
      <c r="AW109" s="1518"/>
      <c r="AX109" s="1518"/>
    </row>
    <row r="110" spans="1:50" s="1350" customFormat="1" ht="13.8" thickBot="1">
      <c r="A110" s="2433">
        <f t="shared" si="14"/>
        <v>9</v>
      </c>
      <c r="B110" s="2890" t="s">
        <v>6301</v>
      </c>
      <c r="C110" s="2884">
        <v>307563647660</v>
      </c>
      <c r="D110" s="1810" t="s">
        <v>6301</v>
      </c>
      <c r="E110" s="2911" t="s">
        <v>6323</v>
      </c>
      <c r="F110" s="2883" t="s">
        <v>210</v>
      </c>
      <c r="G110" s="2885">
        <v>1</v>
      </c>
      <c r="H110" s="1813"/>
      <c r="I110" s="1813"/>
      <c r="J110" s="2002">
        <v>11838.746945106301</v>
      </c>
      <c r="K110" s="2886" t="s">
        <v>6290</v>
      </c>
      <c r="L110" s="1961" t="s">
        <v>6312</v>
      </c>
      <c r="M110" s="1803">
        <v>1</v>
      </c>
      <c r="N110" s="2979" t="s">
        <v>6310</v>
      </c>
      <c r="O110" s="1961" t="s">
        <v>6311</v>
      </c>
      <c r="P110" s="2945" t="s">
        <v>6313</v>
      </c>
      <c r="Q110" s="3619"/>
      <c r="R110" s="2844" t="s">
        <v>2966</v>
      </c>
      <c r="S110" s="2946" t="s">
        <v>5972</v>
      </c>
      <c r="T110" s="2003"/>
      <c r="U110" s="2887"/>
      <c r="V110" s="2925">
        <v>1000000</v>
      </c>
      <c r="W110" s="2910">
        <v>497000</v>
      </c>
      <c r="X110" s="2887"/>
      <c r="Y110" s="2888"/>
      <c r="Z110" s="2487">
        <v>250000</v>
      </c>
      <c r="AA110" s="2887"/>
      <c r="AB110" s="2905">
        <f t="shared" si="13"/>
        <v>1747000</v>
      </c>
      <c r="AC110" s="2906"/>
      <c r="AD110" s="2889" t="s">
        <v>6361</v>
      </c>
      <c r="AE110" s="2892">
        <f>(AC110*1.08)+((AH110*$AH$4)+(G110*3450000+H110*3550000+I110*AI110)+(AJ110*$AJ$4)+(AK110*$AK$4)+(AL110*$AL$4)+(AM110*$AM$4*(G110+H110))+(AN110*$AN$4)+(AO110*$AO$4)+(AP110*$AP$4)+(AQ110*$AQ$4))*1.08-500000*1.08</f>
        <v>4719600</v>
      </c>
      <c r="AF110" s="2893">
        <f t="shared" si="16"/>
        <v>6466600</v>
      </c>
      <c r="AG110" s="2907"/>
      <c r="AH110" s="1518">
        <v>1</v>
      </c>
      <c r="AI110" s="1519"/>
      <c r="AJ110" s="1518"/>
      <c r="AK110" s="1518"/>
      <c r="AL110" s="1518"/>
      <c r="AM110" s="1518"/>
      <c r="AN110" s="1518"/>
      <c r="AO110" s="1518"/>
      <c r="AP110" s="1518"/>
      <c r="AQ110" s="1519">
        <v>1</v>
      </c>
      <c r="AR110" s="1518"/>
      <c r="AS110" s="1519"/>
      <c r="AT110" s="1518"/>
      <c r="AU110" s="1518"/>
      <c r="AV110" s="1518"/>
      <c r="AW110" s="1518"/>
      <c r="AX110" s="1518"/>
    </row>
    <row r="111" spans="1:50" s="1350" customFormat="1" ht="13.8" thickBot="1">
      <c r="A111" s="2433">
        <f t="shared" si="14"/>
        <v>10</v>
      </c>
      <c r="B111" s="2913" t="s">
        <v>6264</v>
      </c>
      <c r="C111" s="2884">
        <v>307568336410</v>
      </c>
      <c r="D111" s="1810" t="s">
        <v>6264</v>
      </c>
      <c r="E111" s="2911" t="s">
        <v>6343</v>
      </c>
      <c r="F111" s="2005" t="s">
        <v>210</v>
      </c>
      <c r="G111" s="2908"/>
      <c r="H111" s="2909">
        <v>1</v>
      </c>
      <c r="I111" s="1813"/>
      <c r="J111" s="2002">
        <f>12689.5+4100</f>
        <v>16789.5</v>
      </c>
      <c r="K111" s="2886" t="s">
        <v>6309</v>
      </c>
      <c r="L111" s="2964" t="s">
        <v>6338</v>
      </c>
      <c r="M111" s="1803">
        <v>1</v>
      </c>
      <c r="N111" s="2979" t="s">
        <v>6326</v>
      </c>
      <c r="O111" s="1961" t="s">
        <v>6327</v>
      </c>
      <c r="P111" s="2963" t="s">
        <v>6333</v>
      </c>
      <c r="Q111" s="3619"/>
      <c r="R111" s="2844" t="s">
        <v>2966</v>
      </c>
      <c r="S111" s="2965" t="s">
        <v>6325</v>
      </c>
      <c r="T111" s="2003"/>
      <c r="U111" s="2887"/>
      <c r="V111" s="2925">
        <v>1500000</v>
      </c>
      <c r="W111" s="2910">
        <v>882000</v>
      </c>
      <c r="X111" s="2887"/>
      <c r="Y111" s="2888"/>
      <c r="Z111" s="2947">
        <v>500000</v>
      </c>
      <c r="AA111" s="2887"/>
      <c r="AB111" s="2905">
        <f t="shared" si="13"/>
        <v>2882000</v>
      </c>
      <c r="AC111" s="2906"/>
      <c r="AD111" s="2889" t="s">
        <v>6362</v>
      </c>
      <c r="AE111" s="2894">
        <f>(AC111*1.08)+((AH111*$AH$4)+(G111*3450000+H111*3550000+I111*AI111)+(AJ111*$AJ$4)+(AK111*$AK$4)+(AL111*$AL$4)+(AM111*$AM$4*(G111+H111))+(AN111*$AN$4)+(AO111*$AO$4)+(AP111*$AP$4)+(AQ111*$AQ$4))*1.08-(433230*1.08)</f>
        <v>4899711.5999999996</v>
      </c>
      <c r="AF111" s="2893">
        <f t="shared" si="16"/>
        <v>7781711.5999999996</v>
      </c>
      <c r="AG111" s="2907"/>
      <c r="AH111" s="1518">
        <v>1</v>
      </c>
      <c r="AI111" s="1519"/>
      <c r="AJ111" s="1518"/>
      <c r="AK111" s="1518"/>
      <c r="AL111" s="1518"/>
      <c r="AM111" s="1518"/>
      <c r="AN111" s="1518"/>
      <c r="AO111" s="1518"/>
      <c r="AP111" s="1518"/>
      <c r="AQ111" s="1519">
        <v>1</v>
      </c>
      <c r="AR111" s="1518"/>
      <c r="AS111" s="1519"/>
      <c r="AT111" s="1518"/>
      <c r="AU111" s="1518"/>
      <c r="AV111" s="1518"/>
      <c r="AW111" s="1518"/>
      <c r="AX111" s="1518"/>
    </row>
    <row r="112" spans="1:50" s="1350" customFormat="1" ht="12.75" customHeight="1">
      <c r="A112" s="1805">
        <f t="shared" si="14"/>
        <v>11</v>
      </c>
      <c r="B112" s="3908" t="s">
        <v>6400</v>
      </c>
      <c r="C112" s="1324">
        <v>307587716350</v>
      </c>
      <c r="D112" s="2961" t="s">
        <v>6400</v>
      </c>
      <c r="E112" s="3904" t="s">
        <v>6425</v>
      </c>
      <c r="F112" s="3892" t="s">
        <v>210</v>
      </c>
      <c r="G112" s="2974">
        <v>1</v>
      </c>
      <c r="H112" s="2028"/>
      <c r="I112" s="2028"/>
      <c r="J112" s="1786">
        <f>17658.5711287168+2180</f>
        <v>19838.571128716801</v>
      </c>
      <c r="K112" s="3906" t="s">
        <v>6390</v>
      </c>
      <c r="L112" s="2962" t="s">
        <v>6409</v>
      </c>
      <c r="M112" s="2850">
        <v>1</v>
      </c>
      <c r="N112" s="2978" t="s">
        <v>6407</v>
      </c>
      <c r="O112" s="2851" t="s">
        <v>6408</v>
      </c>
      <c r="P112" s="3910" t="s">
        <v>6417</v>
      </c>
      <c r="Q112" s="3588"/>
      <c r="R112" s="3902" t="s">
        <v>2966</v>
      </c>
      <c r="S112" s="2824" t="s">
        <v>6255</v>
      </c>
      <c r="T112" s="807"/>
      <c r="U112" s="1170"/>
      <c r="V112" s="2942">
        <v>1000000</v>
      </c>
      <c r="W112" s="2926">
        <v>1491000</v>
      </c>
      <c r="X112" s="1170"/>
      <c r="Y112" s="1171"/>
      <c r="Z112" s="2975">
        <v>250000</v>
      </c>
      <c r="AA112" s="1170"/>
      <c r="AB112" s="1325">
        <f t="shared" ref="AB112:AB124" si="17">+U112+V112+W112+X112+Y112+Z112+AA112+T112</f>
        <v>2741000</v>
      </c>
      <c r="AC112" s="1331"/>
      <c r="AD112" s="3890"/>
      <c r="AE112" s="1331">
        <f t="shared" ref="AE112" si="18">(AC112*1.08)+((AH112*$AH$4)+(G112*3450000+H112*3550000+I112*AI112)+(AJ112*$AJ$4)+(AK112*$AK$4)+(AL112*$AL$4)+(AM112*$AM$4*(G112+H112))+(AN112*$AN$4)+(AO112*$AO$4)+(AP112*$AP$4)+(AQ112*$AQ$4))*1.08</f>
        <v>5259600</v>
      </c>
      <c r="AF112" s="1941">
        <f t="shared" ref="AF112" si="19">+AB112+AE112</f>
        <v>8000600</v>
      </c>
      <c r="AG112" s="2898"/>
      <c r="AH112" s="1518">
        <v>1</v>
      </c>
      <c r="AI112" s="1519"/>
      <c r="AJ112" s="1518"/>
      <c r="AK112" s="1518"/>
      <c r="AL112" s="1518"/>
      <c r="AM112" s="1518"/>
      <c r="AN112" s="1518"/>
      <c r="AO112" s="1518"/>
      <c r="AP112" s="1518"/>
      <c r="AQ112" s="1519">
        <v>1</v>
      </c>
      <c r="AR112" s="1518"/>
      <c r="AS112" s="1519"/>
      <c r="AT112" s="1518"/>
      <c r="AU112" s="1518"/>
      <c r="AV112" s="1518"/>
      <c r="AW112" s="1518"/>
      <c r="AX112" s="1518"/>
    </row>
    <row r="113" spans="1:50" s="1350" customFormat="1" ht="15" customHeight="1">
      <c r="A113" s="1742">
        <f t="shared" si="14"/>
        <v>12</v>
      </c>
      <c r="B113" s="3908"/>
      <c r="C113" s="2288">
        <v>307587734440</v>
      </c>
      <c r="D113" s="1824" t="s">
        <v>6400</v>
      </c>
      <c r="E113" s="3904"/>
      <c r="F113" s="3892"/>
      <c r="G113" s="2309">
        <v>1</v>
      </c>
      <c r="H113" s="1745"/>
      <c r="I113" s="1745"/>
      <c r="J113" s="1957">
        <f>18356.2763431635+2200</f>
        <v>20556.276343163499</v>
      </c>
      <c r="K113" s="3906"/>
      <c r="L113" s="2069" t="s">
        <v>6410</v>
      </c>
      <c r="M113" s="2841">
        <v>2</v>
      </c>
      <c r="N113" s="2211" t="s">
        <v>6411</v>
      </c>
      <c r="O113" s="2037" t="s">
        <v>6412</v>
      </c>
      <c r="P113" s="3910"/>
      <c r="Q113" s="3588"/>
      <c r="R113" s="3902"/>
      <c r="S113" s="1587" t="s">
        <v>5942</v>
      </c>
      <c r="T113" s="1613"/>
      <c r="U113" s="1555"/>
      <c r="V113" s="2668">
        <v>1000000</v>
      </c>
      <c r="W113" s="1555"/>
      <c r="X113" s="1555"/>
      <c r="Y113" s="2422"/>
      <c r="Z113" s="1826">
        <v>250000</v>
      </c>
      <c r="AA113" s="1555"/>
      <c r="AB113" s="1766">
        <f t="shared" si="17"/>
        <v>1250000</v>
      </c>
      <c r="AC113" s="1754"/>
      <c r="AD113" s="3890"/>
      <c r="AE113" s="1754">
        <f t="shared" ref="AE113:AE114" si="20">(AC113*1.08)+((AH113*$AH$4)+(G113*3450000+H113*3550000+I113*AI113)+(AJ113*$AJ$4)+(AK113*$AK$4)+(AL113*$AL$4)+(AM113*$AM$4*(G113+H113))+(AN113*$AN$4)+(AO113*$AO$4)+(AP113*$AP$4)+(AQ113*$AQ$4))*1.08</f>
        <v>5259600</v>
      </c>
      <c r="AF113" s="1954">
        <f t="shared" ref="AF113:AF114" si="21">+AB113+AE113</f>
        <v>6509600</v>
      </c>
      <c r="AG113" s="2899"/>
      <c r="AH113" s="1518">
        <v>1</v>
      </c>
      <c r="AI113" s="1519"/>
      <c r="AJ113" s="1518"/>
      <c r="AK113" s="1518"/>
      <c r="AL113" s="1518"/>
      <c r="AM113" s="1518"/>
      <c r="AN113" s="1518"/>
      <c r="AO113" s="1518"/>
      <c r="AP113" s="1518"/>
      <c r="AQ113" s="1519">
        <v>1</v>
      </c>
      <c r="AR113" s="1518"/>
      <c r="AS113" s="1519"/>
      <c r="AT113" s="1518"/>
      <c r="AU113" s="1518"/>
      <c r="AV113" s="1518"/>
      <c r="AW113" s="1518"/>
      <c r="AX113" s="1518"/>
    </row>
    <row r="114" spans="1:50" s="1350" customFormat="1" ht="15.75" customHeight="1" thickBot="1">
      <c r="A114" s="2846">
        <f t="shared" si="14"/>
        <v>13</v>
      </c>
      <c r="B114" s="3909"/>
      <c r="C114" s="2293">
        <v>307587742730</v>
      </c>
      <c r="D114" s="1825" t="s">
        <v>6400</v>
      </c>
      <c r="E114" s="3905"/>
      <c r="F114" s="3893"/>
      <c r="G114" s="1819">
        <v>1</v>
      </c>
      <c r="H114" s="1820"/>
      <c r="I114" s="1820"/>
      <c r="J114" s="1958">
        <f>17788.7833201118+2330</f>
        <v>20118.783320111801</v>
      </c>
      <c r="K114" s="3907"/>
      <c r="L114" s="2972" t="s">
        <v>6415</v>
      </c>
      <c r="M114" s="1985">
        <v>3</v>
      </c>
      <c r="N114" s="2980" t="s">
        <v>6413</v>
      </c>
      <c r="O114" s="2953" t="s">
        <v>6414</v>
      </c>
      <c r="P114" s="3911"/>
      <c r="Q114" s="3589"/>
      <c r="R114" s="3903"/>
      <c r="S114" s="1822" t="s">
        <v>6416</v>
      </c>
      <c r="T114" s="1999"/>
      <c r="U114" s="2825"/>
      <c r="V114" s="2973">
        <v>1000000</v>
      </c>
      <c r="W114" s="2825"/>
      <c r="X114" s="2825"/>
      <c r="Y114" s="2826"/>
      <c r="Z114" s="2947">
        <v>250000</v>
      </c>
      <c r="AA114" s="2825"/>
      <c r="AB114" s="2918">
        <f t="shared" si="17"/>
        <v>1250000</v>
      </c>
      <c r="AC114" s="2892"/>
      <c r="AD114" s="3891"/>
      <c r="AE114" s="2892">
        <f t="shared" si="20"/>
        <v>5259600</v>
      </c>
      <c r="AF114" s="2893">
        <f t="shared" si="21"/>
        <v>6509600</v>
      </c>
      <c r="AG114" s="2907"/>
      <c r="AH114" s="1518">
        <v>1</v>
      </c>
      <c r="AI114" s="1519"/>
      <c r="AJ114" s="1518"/>
      <c r="AK114" s="1518"/>
      <c r="AL114" s="1518"/>
      <c r="AM114" s="1518"/>
      <c r="AN114" s="1518"/>
      <c r="AO114" s="1518"/>
      <c r="AP114" s="1518"/>
      <c r="AQ114" s="1519">
        <v>1</v>
      </c>
      <c r="AR114" s="1518"/>
      <c r="AS114" s="1519"/>
      <c r="AT114" s="1518"/>
      <c r="AU114" s="1518"/>
      <c r="AV114" s="1518"/>
      <c r="AW114" s="1518"/>
      <c r="AX114" s="1518"/>
    </row>
    <row r="115" spans="1:50" s="1350" customFormat="1">
      <c r="A115" s="1744"/>
      <c r="B115" s="1744"/>
      <c r="C115" s="3018" t="s">
        <v>6652</v>
      </c>
      <c r="D115" s="1744"/>
      <c r="E115" s="3017" t="s">
        <v>6651</v>
      </c>
      <c r="F115" s="1744"/>
      <c r="G115" s="1744"/>
      <c r="H115" s="1744"/>
      <c r="I115" s="1744"/>
      <c r="J115" s="1744"/>
      <c r="K115" s="1744"/>
      <c r="L115" s="1744"/>
      <c r="M115" s="1744"/>
      <c r="N115" s="1744"/>
      <c r="O115" s="1744"/>
      <c r="P115" s="1742"/>
      <c r="Q115" s="1742"/>
      <c r="R115" s="1743"/>
      <c r="S115" s="1743"/>
      <c r="T115" s="1769"/>
      <c r="U115" s="1944"/>
      <c r="V115" s="1769"/>
      <c r="W115" s="1769"/>
      <c r="X115" s="1769"/>
      <c r="Y115" s="1945"/>
      <c r="Z115" s="1945"/>
      <c r="AA115" s="1769"/>
      <c r="AB115" s="1945"/>
      <c r="AC115" s="1945"/>
      <c r="AD115" s="1744"/>
      <c r="AE115" s="1945"/>
      <c r="AF115" s="1945"/>
      <c r="AG115" s="3186"/>
      <c r="AH115" s="1518"/>
      <c r="AI115" s="1519"/>
      <c r="AJ115" s="1518"/>
      <c r="AK115" s="1518"/>
      <c r="AL115" s="1518"/>
      <c r="AM115" s="1518"/>
      <c r="AN115" s="1518"/>
      <c r="AO115" s="1518"/>
      <c r="AP115" s="1518"/>
      <c r="AQ115" s="1519"/>
      <c r="AR115" s="1518"/>
      <c r="AS115" s="1519"/>
      <c r="AT115" s="1518"/>
      <c r="AU115" s="1518"/>
      <c r="AV115" s="1518"/>
      <c r="AW115" s="1518"/>
      <c r="AX115" s="1518"/>
    </row>
    <row r="116" spans="1:50" s="1350" customFormat="1">
      <c r="A116" s="3714" t="s">
        <v>6485</v>
      </c>
      <c r="B116" s="3885"/>
      <c r="C116" s="3885"/>
      <c r="D116" s="3885"/>
      <c r="E116" s="3885"/>
      <c r="F116" s="3885"/>
      <c r="G116" s="3885"/>
      <c r="H116" s="3885"/>
      <c r="I116" s="3885"/>
      <c r="J116" s="3885"/>
      <c r="K116" s="3885"/>
      <c r="L116" s="3885"/>
      <c r="M116" s="3885"/>
      <c r="N116" s="3885"/>
      <c r="O116" s="3885"/>
      <c r="P116" s="2491"/>
      <c r="Q116" s="2491"/>
      <c r="R116" s="2492"/>
      <c r="S116" s="2492"/>
      <c r="T116" s="2493"/>
      <c r="U116" s="2494"/>
      <c r="V116" s="2493"/>
      <c r="W116" s="2493"/>
      <c r="X116" s="2493"/>
      <c r="Y116" s="2495"/>
      <c r="Z116" s="2495"/>
      <c r="AA116" s="2493"/>
      <c r="AB116" s="2495">
        <f>SUM(AB102:AB114)</f>
        <v>22946000</v>
      </c>
      <c r="AC116" s="2495">
        <f>SUM(AC90:AC114)</f>
        <v>0</v>
      </c>
      <c r="AD116" s="2496"/>
      <c r="AE116" s="2495">
        <f>SUM(AE102:AE114)</f>
        <v>67474911.599999994</v>
      </c>
      <c r="AF116" s="2495">
        <f>SUM(AF102:AF114)</f>
        <v>90420911.599999994</v>
      </c>
      <c r="AG116" s="2901"/>
      <c r="AH116" s="1518"/>
      <c r="AI116" s="1519"/>
      <c r="AJ116" s="1518"/>
      <c r="AK116" s="1518"/>
      <c r="AL116" s="1518"/>
      <c r="AM116" s="1518"/>
      <c r="AN116" s="1518"/>
      <c r="AO116" s="1518"/>
      <c r="AP116" s="1518"/>
      <c r="AQ116" s="1519"/>
      <c r="AR116" s="1518"/>
      <c r="AS116" s="1519"/>
      <c r="AT116" s="1518"/>
      <c r="AU116" s="1518"/>
      <c r="AV116" s="1518"/>
      <c r="AW116" s="1518"/>
      <c r="AX116" s="1518"/>
    </row>
    <row r="117" spans="1:50" s="1350" customFormat="1" ht="13.8" thickBot="1">
      <c r="A117" s="2433"/>
      <c r="B117" s="2890"/>
      <c r="C117" s="2884">
        <v>307568336410</v>
      </c>
      <c r="D117" s="1810" t="s">
        <v>6264</v>
      </c>
      <c r="E117" s="2911" t="s">
        <v>6685</v>
      </c>
      <c r="F117" s="3013" t="s">
        <v>210</v>
      </c>
      <c r="G117" s="2908"/>
      <c r="H117" s="2909">
        <v>1</v>
      </c>
      <c r="I117" s="1813"/>
      <c r="J117" s="2002">
        <f>12689.5+4100</f>
        <v>16789.5</v>
      </c>
      <c r="K117" s="2886" t="s">
        <v>6309</v>
      </c>
      <c r="L117" s="3036" t="s">
        <v>6338</v>
      </c>
      <c r="M117" s="1803">
        <v>1</v>
      </c>
      <c r="N117" s="2979" t="s">
        <v>6326</v>
      </c>
      <c r="O117" s="1961" t="s">
        <v>6327</v>
      </c>
      <c r="P117" s="2991" t="s">
        <v>6333</v>
      </c>
      <c r="Q117" s="3619"/>
      <c r="R117" s="2844" t="s">
        <v>2966</v>
      </c>
      <c r="S117" s="2965"/>
      <c r="T117" s="2965">
        <v>30000</v>
      </c>
      <c r="U117" s="2887"/>
      <c r="V117" s="2970"/>
      <c r="W117" s="2970"/>
      <c r="X117" s="2970"/>
      <c r="Y117" s="2970"/>
      <c r="Z117" s="2970"/>
      <c r="AA117" s="2970"/>
      <c r="AB117" s="2905">
        <f t="shared" si="17"/>
        <v>30000</v>
      </c>
      <c r="AC117" s="2906"/>
      <c r="AD117" s="2889" t="s">
        <v>6608</v>
      </c>
      <c r="AE117" s="2906">
        <f>600000*1.08</f>
        <v>648000</v>
      </c>
      <c r="AF117" s="2952">
        <f>+AB117+AE117</f>
        <v>678000</v>
      </c>
      <c r="AG117" s="2971"/>
      <c r="AH117" s="1518">
        <v>1</v>
      </c>
      <c r="AI117" s="1519"/>
      <c r="AJ117" s="1518"/>
      <c r="AK117" s="1518"/>
      <c r="AL117" s="1518"/>
      <c r="AM117" s="1518"/>
      <c r="AN117" s="1518"/>
      <c r="AO117" s="1518"/>
      <c r="AP117" s="1518"/>
      <c r="AQ117" s="1519">
        <v>1</v>
      </c>
      <c r="AR117" s="1518"/>
      <c r="AS117" s="1519"/>
      <c r="AT117" s="1518"/>
      <c r="AU117" s="1518"/>
      <c r="AV117" s="1518"/>
      <c r="AW117" s="1518"/>
      <c r="AX117" s="1518"/>
    </row>
    <row r="118" spans="1:50" s="1350" customFormat="1">
      <c r="A118" s="1762">
        <v>1</v>
      </c>
      <c r="B118" s="3921" t="s">
        <v>6565</v>
      </c>
      <c r="C118" s="2950">
        <v>307637838120</v>
      </c>
      <c r="D118" s="2986" t="s">
        <v>6565</v>
      </c>
      <c r="E118" s="3923" t="s">
        <v>6569</v>
      </c>
      <c r="F118" s="3925" t="s">
        <v>210</v>
      </c>
      <c r="G118" s="451">
        <v>1</v>
      </c>
      <c r="H118" s="445"/>
      <c r="I118" s="445"/>
      <c r="J118" s="2951">
        <f>17051.6732636716+2170</f>
        <v>19221.673263671601</v>
      </c>
      <c r="K118" s="3927" t="s">
        <v>6519</v>
      </c>
      <c r="L118" s="2949" t="s">
        <v>6560</v>
      </c>
      <c r="M118" s="2484">
        <v>4</v>
      </c>
      <c r="N118" s="658" t="s">
        <v>6556</v>
      </c>
      <c r="O118" s="658" t="s">
        <v>6561</v>
      </c>
      <c r="P118" s="3919" t="s">
        <v>6520</v>
      </c>
      <c r="Q118" s="3590"/>
      <c r="R118" s="3917" t="s">
        <v>3152</v>
      </c>
      <c r="S118" s="2966" t="s">
        <v>5944</v>
      </c>
      <c r="T118" s="2968"/>
      <c r="U118" s="1197"/>
      <c r="V118" s="3038">
        <v>1400000</v>
      </c>
      <c r="W118" s="3038">
        <v>1800000</v>
      </c>
      <c r="X118" s="1197"/>
      <c r="Y118" s="1198"/>
      <c r="Z118" s="3025">
        <v>250000</v>
      </c>
      <c r="AA118" s="1197"/>
      <c r="AB118" s="2488">
        <f t="shared" si="17"/>
        <v>3450000</v>
      </c>
      <c r="AC118" s="1764"/>
      <c r="AD118" s="3044" t="s">
        <v>6712</v>
      </c>
      <c r="AE118" s="1764">
        <f>(AC118*1.08)+((AH118*$AH$4)+(G118*3450000+H118*3550000+I118*AI118)+(AJ118*$AJ$4)+(AK118*$AK$4)+(AL118*$AL$4)+(AM118*$AM$4*(G118+H118))+(AN118*$AN$4)+(AO118*$AO$4)+(AP118*$AP$4)+(AQ118*$AQ$4))*1.08-(350000*1.08)</f>
        <v>4881600</v>
      </c>
      <c r="AF118" s="1949">
        <f>+AB118+AE118</f>
        <v>8331600</v>
      </c>
      <c r="AG118" s="2969"/>
      <c r="AH118" s="1518">
        <v>1</v>
      </c>
      <c r="AI118" s="1519"/>
      <c r="AJ118" s="1518"/>
      <c r="AK118" s="1518"/>
      <c r="AL118" s="1518"/>
      <c r="AM118" s="1518"/>
      <c r="AN118" s="1518"/>
      <c r="AO118" s="1518"/>
      <c r="AP118" s="1518"/>
      <c r="AQ118" s="1519">
        <v>1</v>
      </c>
      <c r="AR118" s="1518"/>
      <c r="AS118" s="1519"/>
      <c r="AT118" s="1518"/>
      <c r="AU118" s="1518"/>
      <c r="AV118" s="1518"/>
      <c r="AW118" s="1518"/>
      <c r="AX118" s="1518"/>
    </row>
    <row r="119" spans="1:50" s="1350" customFormat="1" ht="15.75" customHeight="1" thickBot="1">
      <c r="A119" s="1797">
        <f t="shared" ref="A119:A124" si="22">+A118+1</f>
        <v>2</v>
      </c>
      <c r="B119" s="3922"/>
      <c r="C119" s="2293">
        <v>307637834620</v>
      </c>
      <c r="D119" s="1810" t="s">
        <v>6565</v>
      </c>
      <c r="E119" s="3924"/>
      <c r="F119" s="3926"/>
      <c r="G119" s="2954">
        <v>1</v>
      </c>
      <c r="H119" s="2955"/>
      <c r="I119" s="2955"/>
      <c r="J119" s="1958">
        <f>15127.7806494727+2170</f>
        <v>17297.780649472697</v>
      </c>
      <c r="K119" s="3928"/>
      <c r="L119" s="2956" t="s">
        <v>6559</v>
      </c>
      <c r="M119" s="1799">
        <v>5</v>
      </c>
      <c r="N119" s="2957" t="s">
        <v>6557</v>
      </c>
      <c r="O119" s="2957" t="s">
        <v>6558</v>
      </c>
      <c r="P119" s="3920"/>
      <c r="Q119" s="3591"/>
      <c r="R119" s="3918"/>
      <c r="S119" s="1822" t="s">
        <v>5944</v>
      </c>
      <c r="T119" s="2958"/>
      <c r="U119" s="2825"/>
      <c r="V119" s="2825"/>
      <c r="W119" s="2825"/>
      <c r="X119" s="2825"/>
      <c r="Y119" s="2826"/>
      <c r="Z119" s="3026">
        <v>250000</v>
      </c>
      <c r="AA119" s="2825"/>
      <c r="AB119" s="2918">
        <f t="shared" si="17"/>
        <v>250000</v>
      </c>
      <c r="AC119" s="2892"/>
      <c r="AD119" s="2889" t="s">
        <v>6713</v>
      </c>
      <c r="AE119" s="2892">
        <f>(AC119*1.08)+((AH119*$AH$4)+(G119*3450000+H119*3550000+I119*AI119)+(AJ119*$AJ$4)+(AK119*$AK$4)+(AL119*$AL$4)+(AM119*$AM$4*(G119+H119))+(AN119*$AN$4)+(AO119*$AO$4)+(AP119*$AP$4)+(AQ119*$AQ$4))*1.08-(300000*1.08)</f>
        <v>4935600</v>
      </c>
      <c r="AF119" s="2893">
        <f t="shared" ref="AF119:AF122" si="23">+AB119+AE119</f>
        <v>5185600</v>
      </c>
      <c r="AG119" s="2959"/>
      <c r="AH119" s="1518">
        <v>1</v>
      </c>
      <c r="AI119" s="1519"/>
      <c r="AJ119" s="1518"/>
      <c r="AK119" s="1518"/>
      <c r="AL119" s="1518"/>
      <c r="AM119" s="1518"/>
      <c r="AN119" s="1518"/>
      <c r="AO119" s="1518"/>
      <c r="AP119" s="1518"/>
      <c r="AQ119" s="1519">
        <v>1</v>
      </c>
      <c r="AR119" s="1518"/>
      <c r="AS119" s="1519"/>
      <c r="AT119" s="1518"/>
      <c r="AU119" s="1518"/>
      <c r="AV119" s="1518"/>
      <c r="AW119" s="1518"/>
      <c r="AX119" s="1518"/>
    </row>
    <row r="120" spans="1:50" ht="13.8" thickBot="1">
      <c r="A120" s="2433">
        <f t="shared" si="22"/>
        <v>3</v>
      </c>
      <c r="B120" s="2913" t="s">
        <v>6654</v>
      </c>
      <c r="C120" s="2884">
        <v>307663247420</v>
      </c>
      <c r="D120" s="3019" t="s">
        <v>6654</v>
      </c>
      <c r="E120" s="2911" t="s">
        <v>6669</v>
      </c>
      <c r="F120" s="2996" t="s">
        <v>210</v>
      </c>
      <c r="G120" s="2997">
        <v>1</v>
      </c>
      <c r="H120" s="2998"/>
      <c r="I120" s="2998"/>
      <c r="J120" s="1958">
        <f>9258.34945+2100</f>
        <v>11358.34945</v>
      </c>
      <c r="K120" s="2999" t="s">
        <v>6610</v>
      </c>
      <c r="L120" s="2956" t="s">
        <v>6658</v>
      </c>
      <c r="M120" s="3000">
        <v>1</v>
      </c>
      <c r="N120" s="2957" t="s">
        <v>6659</v>
      </c>
      <c r="O120" s="3001" t="s">
        <v>6660</v>
      </c>
      <c r="P120" s="3002" t="s">
        <v>6644</v>
      </c>
      <c r="Q120" s="3622"/>
      <c r="R120" s="2844" t="s">
        <v>2966</v>
      </c>
      <c r="S120" s="3001" t="s">
        <v>6661</v>
      </c>
      <c r="T120" s="3071"/>
      <c r="U120" s="2887"/>
      <c r="V120" s="3039">
        <v>1000000</v>
      </c>
      <c r="W120" s="2910">
        <v>497000</v>
      </c>
      <c r="X120" s="2887"/>
      <c r="Y120" s="2888"/>
      <c r="Z120" s="3027">
        <v>250000</v>
      </c>
      <c r="AA120" s="2887"/>
      <c r="AB120" s="2918">
        <f>+U120+V120+W120+X120+Y120+Z120+AA120+T120</f>
        <v>1747000</v>
      </c>
      <c r="AC120" s="2892"/>
      <c r="AD120" s="2889"/>
      <c r="AE120" s="2892">
        <f>(AC120*1.08)+((AH120*$AH$4)+(G120*3450000+H120*3550000+I120*AI120)+(AJ120*$AJ$4)+(AK120*$AK$4)+(AL120*$AL$4)+(AM120*$AM$4*(G120+H120))+(AN120*$AN$4)+(AO120*$AO$4)+(AP120*$AP$4)+(AQ120*$AQ$4))*1.08</f>
        <v>5259600</v>
      </c>
      <c r="AF120" s="2893">
        <f t="shared" si="23"/>
        <v>7006600</v>
      </c>
      <c r="AG120" s="3015"/>
      <c r="AH120" s="1518">
        <v>1</v>
      </c>
      <c r="AQ120" s="1519">
        <v>1</v>
      </c>
    </row>
    <row r="121" spans="1:50" s="1350" customFormat="1" ht="23.25" customHeight="1" thickBot="1">
      <c r="A121" s="2004">
        <f t="shared" si="22"/>
        <v>4</v>
      </c>
      <c r="B121" s="3033" t="s">
        <v>6678</v>
      </c>
      <c r="C121" s="2348">
        <v>307670497430</v>
      </c>
      <c r="D121" s="3033" t="s">
        <v>6678</v>
      </c>
      <c r="E121" s="2354" t="s">
        <v>6697</v>
      </c>
      <c r="F121" s="2996" t="s">
        <v>210</v>
      </c>
      <c r="G121" s="2350"/>
      <c r="H121" s="2350">
        <v>1</v>
      </c>
      <c r="I121" s="2350"/>
      <c r="J121" s="2351">
        <f>12900.7+3750</f>
        <v>16650.7</v>
      </c>
      <c r="K121" s="3004" t="s">
        <v>6609</v>
      </c>
      <c r="L121" s="2009" t="s">
        <v>6692</v>
      </c>
      <c r="M121" s="3029">
        <v>2</v>
      </c>
      <c r="N121" s="3034" t="s">
        <v>6690</v>
      </c>
      <c r="O121" s="3028" t="s">
        <v>6691</v>
      </c>
      <c r="P121" s="2011" t="s">
        <v>6662</v>
      </c>
      <c r="Q121" s="3619"/>
      <c r="R121" s="2844" t="s">
        <v>2966</v>
      </c>
      <c r="S121" s="3001" t="s">
        <v>6687</v>
      </c>
      <c r="T121" s="3005"/>
      <c r="U121" s="3006"/>
      <c r="V121" s="3040">
        <v>1450000</v>
      </c>
      <c r="W121" s="2910">
        <v>882000</v>
      </c>
      <c r="X121" s="3006"/>
      <c r="Y121" s="3007"/>
      <c r="Z121" s="3085">
        <v>500000</v>
      </c>
      <c r="AA121" s="3006"/>
      <c r="AB121" s="3008">
        <f>+U121+V121+W121+X121+Y121+Z121+AA121+T121</f>
        <v>2832000</v>
      </c>
      <c r="AC121" s="2894"/>
      <c r="AD121" s="3009"/>
      <c r="AE121" s="2906">
        <f>(AC121*1.08)+((AH121*$AH$4)+(G121*3450000+H121*3550000+I121*AI121)+(AJ121*$AJ$4)+(AK121*$AK$4)+(AL121*$AL$4)+(AM121*$AM$4*(G121+H121))+(AN121*$AN$4)+(AO121*$AO$4)+(AP121*$AP$4)+(AQ121*$AQ$4))*1.08</f>
        <v>5367600</v>
      </c>
      <c r="AF121" s="2893">
        <f t="shared" si="23"/>
        <v>8199600</v>
      </c>
      <c r="AG121" s="3010"/>
      <c r="AH121" s="1518">
        <v>1</v>
      </c>
      <c r="AI121" s="1519"/>
      <c r="AJ121" s="1518"/>
      <c r="AK121" s="1518"/>
      <c r="AL121" s="1518"/>
      <c r="AM121" s="1518"/>
      <c r="AN121" s="1518"/>
      <c r="AO121" s="1518"/>
      <c r="AP121" s="1518"/>
      <c r="AQ121" s="1519">
        <v>1</v>
      </c>
      <c r="AR121" s="1518"/>
      <c r="AS121" s="1519"/>
      <c r="AT121" s="1518"/>
      <c r="AU121" s="1518"/>
      <c r="AV121" s="1518"/>
      <c r="AW121" s="1518"/>
      <c r="AX121" s="1518"/>
    </row>
    <row r="122" spans="1:50" s="1350" customFormat="1" ht="27" thickBot="1">
      <c r="A122" s="2004">
        <f t="shared" si="22"/>
        <v>5</v>
      </c>
      <c r="B122" s="3033" t="s">
        <v>6653</v>
      </c>
      <c r="C122" s="3037" t="s">
        <v>6708</v>
      </c>
      <c r="D122" s="3033" t="s">
        <v>6653</v>
      </c>
      <c r="E122" s="3042" t="s">
        <v>6710</v>
      </c>
      <c r="F122" s="2996" t="s">
        <v>210</v>
      </c>
      <c r="G122" s="3024"/>
      <c r="H122" s="2350">
        <v>1</v>
      </c>
      <c r="I122" s="2004"/>
      <c r="J122" s="2004">
        <f>23191.4406102326+26.7</f>
        <v>23218.1406102326</v>
      </c>
      <c r="K122" s="3016" t="s">
        <v>6646</v>
      </c>
      <c r="L122" s="3031" t="s">
        <v>6707</v>
      </c>
      <c r="M122" s="2004">
        <v>1</v>
      </c>
      <c r="N122" s="2004" t="s">
        <v>6704</v>
      </c>
      <c r="O122" s="2004" t="s">
        <v>6706</v>
      </c>
      <c r="P122" s="2004" t="s">
        <v>6647</v>
      </c>
      <c r="Q122" s="3623"/>
      <c r="R122" s="2844" t="s">
        <v>2966</v>
      </c>
      <c r="S122" s="2004" t="s">
        <v>6709</v>
      </c>
      <c r="T122" s="2004"/>
      <c r="U122" s="2004"/>
      <c r="V122" s="3040">
        <v>1500000</v>
      </c>
      <c r="W122" s="2910">
        <v>882000</v>
      </c>
      <c r="X122" s="2004"/>
      <c r="Y122" s="2004"/>
      <c r="Z122" s="3085">
        <v>500000</v>
      </c>
      <c r="AA122" s="2004"/>
      <c r="AB122" s="3008">
        <f>+U122+V122+W122+X122+Y122+Z122+AA122+T122</f>
        <v>2882000</v>
      </c>
      <c r="AC122" s="2894"/>
      <c r="AD122" s="3031" t="s">
        <v>6693</v>
      </c>
      <c r="AE122" s="2906">
        <f>(AC122*1.08)+((AH122*$AH$4)+(G122*3450000+H122*3550000+I122*AI122)+(AJ122*$AJ$4)+(AK122*$AK$4)+(AL122*$AL$4)+(AM122*$AM$4*(G122+H122))+(AN122*$AN$4)+(AO122*$AO$4)+(AP122*$AP$4)+(AQ122*$AQ$4))*1.08+300000*1.08</f>
        <v>7743600.0000000009</v>
      </c>
      <c r="AF122" s="2893">
        <f t="shared" si="23"/>
        <v>10625600</v>
      </c>
      <c r="AG122" s="3047"/>
      <c r="AH122" s="1518">
        <v>1</v>
      </c>
      <c r="AI122" s="1519"/>
      <c r="AJ122" s="1518">
        <v>1</v>
      </c>
      <c r="AK122" s="1518"/>
      <c r="AL122" s="1518"/>
      <c r="AM122" s="1518">
        <v>1</v>
      </c>
      <c r="AN122" s="1518"/>
      <c r="AO122" s="1518"/>
      <c r="AP122" s="1518"/>
      <c r="AQ122" s="1519">
        <v>1</v>
      </c>
      <c r="AR122" s="1518">
        <v>1</v>
      </c>
      <c r="AS122" s="1519"/>
      <c r="AT122" s="1518"/>
      <c r="AU122" s="1518"/>
      <c r="AV122" s="1518"/>
      <c r="AW122" s="1518"/>
      <c r="AX122" s="1518"/>
    </row>
    <row r="123" spans="1:50" s="1350" customFormat="1" ht="27" thickBot="1">
      <c r="A123" s="2004">
        <f t="shared" si="22"/>
        <v>6</v>
      </c>
      <c r="B123" s="3033" t="s">
        <v>6715</v>
      </c>
      <c r="C123" s="2348">
        <v>307679253250</v>
      </c>
      <c r="D123" s="3003" t="s">
        <v>6715</v>
      </c>
      <c r="E123" s="2354" t="s">
        <v>6741</v>
      </c>
      <c r="F123" s="3021" t="s">
        <v>210</v>
      </c>
      <c r="G123" s="2350">
        <v>1</v>
      </c>
      <c r="H123" s="2350"/>
      <c r="I123" s="2350"/>
      <c r="J123" s="2351">
        <v>16439.099999999999</v>
      </c>
      <c r="K123" s="3016" t="s">
        <v>6676</v>
      </c>
      <c r="L123" s="2009" t="s">
        <v>6728</v>
      </c>
      <c r="M123" s="2004">
        <v>1</v>
      </c>
      <c r="N123" s="2009" t="s">
        <v>6727</v>
      </c>
      <c r="O123" s="2009" t="s">
        <v>6729</v>
      </c>
      <c r="P123" s="2011" t="s">
        <v>6698</v>
      </c>
      <c r="Q123" s="3624"/>
      <c r="R123" s="3030" t="s">
        <v>6677</v>
      </c>
      <c r="S123" s="2385" t="s">
        <v>6730</v>
      </c>
      <c r="T123" s="3022"/>
      <c r="U123" s="3006"/>
      <c r="V123" s="3039">
        <v>1000000</v>
      </c>
      <c r="W123" s="2910">
        <v>781000</v>
      </c>
      <c r="X123" s="3006"/>
      <c r="Y123" s="3007"/>
      <c r="Z123" s="3085">
        <v>250000</v>
      </c>
      <c r="AA123" s="3006"/>
      <c r="AB123" s="3008">
        <f t="shared" si="17"/>
        <v>2031000</v>
      </c>
      <c r="AC123" s="2894"/>
      <c r="AD123" s="3009"/>
      <c r="AE123" s="2894">
        <f>(AC123*1.08)+((AH123*$AH$4)+(G123*3450000+H123*3550000+I123*AI123)+(AJ123*$AJ$4)+(AK123*$AK$4)+(AL123*$AL$4)+(AM123*$AM$4*(G123+H123))+(AN123*$AN$4)+(AO123*$AO$4)+(AP123*$AP$4)+(AQ123*$AQ$4))*1.08</f>
        <v>5259600</v>
      </c>
      <c r="AF123" s="3023">
        <f t="shared" ref="AF123:AF124" si="24">+AB123+AE123</f>
        <v>7290600</v>
      </c>
      <c r="AG123" s="3010"/>
      <c r="AH123" s="1518">
        <v>1</v>
      </c>
      <c r="AI123" s="1519"/>
      <c r="AJ123" s="1518"/>
      <c r="AK123" s="1518"/>
      <c r="AL123" s="1518"/>
      <c r="AM123" s="1518"/>
      <c r="AN123" s="1518"/>
      <c r="AO123" s="1518"/>
      <c r="AP123" s="1518"/>
      <c r="AQ123" s="1519">
        <v>1</v>
      </c>
      <c r="AR123" s="1518"/>
      <c r="AS123" s="1519"/>
      <c r="AT123" s="1518"/>
      <c r="AU123" s="1518"/>
      <c r="AV123" s="1518"/>
      <c r="AW123" s="1518"/>
      <c r="AX123" s="1518"/>
    </row>
    <row r="124" spans="1:50" s="1350" customFormat="1" ht="27" customHeight="1" thickBot="1">
      <c r="A124" s="2433">
        <f t="shared" si="22"/>
        <v>7</v>
      </c>
      <c r="B124" s="3060" t="s">
        <v>6721</v>
      </c>
      <c r="C124" s="2884">
        <v>307684161430</v>
      </c>
      <c r="D124" s="3001" t="s">
        <v>6761</v>
      </c>
      <c r="E124" s="2911" t="s">
        <v>6766</v>
      </c>
      <c r="F124" s="1812" t="s">
        <v>210</v>
      </c>
      <c r="G124" s="2001"/>
      <c r="H124" s="1813"/>
      <c r="I124" s="1813">
        <v>1</v>
      </c>
      <c r="J124" s="2002" t="s">
        <v>6762</v>
      </c>
      <c r="K124" s="3059" t="s">
        <v>6742</v>
      </c>
      <c r="L124" s="3057" t="s">
        <v>6767</v>
      </c>
      <c r="M124" s="1803"/>
      <c r="N124" s="3900" t="s">
        <v>6763</v>
      </c>
      <c r="O124" s="3901"/>
      <c r="P124" s="1980" t="s">
        <v>6764</v>
      </c>
      <c r="Q124" s="3625"/>
      <c r="R124" s="1979" t="s">
        <v>3167</v>
      </c>
      <c r="S124" s="3068" t="s">
        <v>6760</v>
      </c>
      <c r="T124" s="2003"/>
      <c r="U124" s="2887"/>
      <c r="V124" s="2887"/>
      <c r="W124" s="2887"/>
      <c r="X124" s="2887"/>
      <c r="Y124" s="2888"/>
      <c r="Z124" s="3085">
        <v>50619</v>
      </c>
      <c r="AA124" s="2887"/>
      <c r="AB124" s="3008">
        <f t="shared" si="17"/>
        <v>50619</v>
      </c>
      <c r="AC124" s="2906"/>
      <c r="AD124" s="2889" t="s">
        <v>6747</v>
      </c>
      <c r="AE124" s="2906">
        <f>(2300000+(280000*11.16)+770000)*1.08</f>
        <v>6690384</v>
      </c>
      <c r="AF124" s="2952">
        <f t="shared" si="24"/>
        <v>6741003</v>
      </c>
      <c r="AG124" s="3015"/>
      <c r="AH124" s="1518">
        <v>1</v>
      </c>
      <c r="AI124" s="1519"/>
      <c r="AJ124" s="1518"/>
      <c r="AK124" s="1518"/>
      <c r="AL124" s="1518"/>
      <c r="AM124" s="1518"/>
      <c r="AN124" s="1518"/>
      <c r="AO124" s="1518"/>
      <c r="AP124" s="1518"/>
      <c r="AQ124" s="1519"/>
      <c r="AR124" s="1518"/>
      <c r="AS124" s="1519"/>
      <c r="AT124" s="1518"/>
      <c r="AU124" s="1518"/>
      <c r="AV124" s="1518"/>
      <c r="AW124" s="1518"/>
      <c r="AX124" s="1518"/>
    </row>
    <row r="125" spans="1:50" s="1350" customFormat="1">
      <c r="A125" s="3914" t="s">
        <v>6848</v>
      </c>
      <c r="B125" s="3914"/>
      <c r="C125" s="3914"/>
      <c r="D125" s="3914"/>
      <c r="E125" s="3914"/>
      <c r="F125" s="3914"/>
      <c r="G125" s="3914"/>
      <c r="H125" s="3914"/>
      <c r="I125" s="3914"/>
      <c r="J125" s="3914"/>
      <c r="K125" s="3914"/>
      <c r="L125" s="3914"/>
      <c r="M125" s="3914"/>
      <c r="N125" s="3914"/>
      <c r="O125" s="3914"/>
      <c r="P125" s="3153"/>
      <c r="Q125" s="3153"/>
      <c r="R125" s="3154"/>
      <c r="S125" s="3154"/>
      <c r="T125" s="3155"/>
      <c r="U125" s="3156"/>
      <c r="V125" s="3157"/>
      <c r="W125" s="3157"/>
      <c r="X125" s="3157"/>
      <c r="Y125" s="3145"/>
      <c r="Z125" s="3146"/>
      <c r="AA125" s="3144"/>
      <c r="AB125" s="3145">
        <f>SUM(AB117:AB124)</f>
        <v>13272619</v>
      </c>
      <c r="AC125" s="3145">
        <f>SUM(AC99:AC123)</f>
        <v>0</v>
      </c>
      <c r="AD125" s="909"/>
      <c r="AE125" s="3145">
        <f>SUM(AE117:AE124)</f>
        <v>40785984</v>
      </c>
      <c r="AF125" s="3145">
        <f>SUM(AF117:AF124)</f>
        <v>54058603</v>
      </c>
      <c r="AG125" s="3147"/>
      <c r="AH125" s="1518"/>
      <c r="AI125" s="1519"/>
      <c r="AJ125" s="1518"/>
      <c r="AK125" s="1518"/>
      <c r="AL125" s="1518"/>
      <c r="AM125" s="1518"/>
      <c r="AN125" s="1518"/>
      <c r="AO125" s="1518"/>
      <c r="AP125" s="1518"/>
      <c r="AQ125" s="1519"/>
      <c r="AR125" s="1518"/>
      <c r="AS125" s="1519"/>
      <c r="AT125" s="1518"/>
      <c r="AU125" s="1518"/>
      <c r="AV125" s="1518"/>
      <c r="AW125" s="1518"/>
      <c r="AX125" s="1518"/>
    </row>
    <row r="126" spans="1:50" s="1350" customFormat="1">
      <c r="A126" s="1742"/>
      <c r="B126" s="2188" t="s">
        <v>6654</v>
      </c>
      <c r="C126" s="2288">
        <v>307663247420</v>
      </c>
      <c r="D126" s="2159" t="s">
        <v>6654</v>
      </c>
      <c r="E126" s="2173" t="s">
        <v>6931</v>
      </c>
      <c r="F126" s="2039" t="s">
        <v>210</v>
      </c>
      <c r="G126" s="2807">
        <v>1</v>
      </c>
      <c r="H126" s="1647"/>
      <c r="I126" s="1647"/>
      <c r="J126" s="1957">
        <f>9258.34945+2100</f>
        <v>11358.34945</v>
      </c>
      <c r="K126" s="3168" t="s">
        <v>6610</v>
      </c>
      <c r="L126" s="3194" t="s">
        <v>6658</v>
      </c>
      <c r="M126" s="3169">
        <v>1</v>
      </c>
      <c r="N126" s="2037" t="s">
        <v>6659</v>
      </c>
      <c r="O126" s="1824" t="s">
        <v>6660</v>
      </c>
      <c r="P126" s="3170" t="s">
        <v>6644</v>
      </c>
      <c r="Q126" s="3170"/>
      <c r="R126" s="1587" t="s">
        <v>2966</v>
      </c>
      <c r="S126" s="1824" t="s">
        <v>6661</v>
      </c>
      <c r="T126" s="1587"/>
      <c r="U126" s="1555"/>
      <c r="V126" s="3152"/>
      <c r="W126" s="3152"/>
      <c r="X126" s="1805"/>
      <c r="Y126" s="1742"/>
      <c r="Z126" s="1945"/>
      <c r="AA126" s="1555"/>
      <c r="AB126" s="1766">
        <f>+U126+V126+W126+X126+Y126+Z126+AA126+T126</f>
        <v>0</v>
      </c>
      <c r="AC126" s="1754"/>
      <c r="AD126" s="1767" t="s">
        <v>6608</v>
      </c>
      <c r="AE126" s="1754">
        <f>600000*1.08</f>
        <v>648000</v>
      </c>
      <c r="AF126" s="1954">
        <f t="shared" ref="AF126:AF129" si="25">+AB126+AE126</f>
        <v>648000</v>
      </c>
      <c r="AG126" s="2904"/>
      <c r="AH126" s="1518"/>
      <c r="AI126" s="1519"/>
      <c r="AJ126" s="1518"/>
      <c r="AK126" s="1518"/>
      <c r="AL126" s="1518"/>
      <c r="AM126" s="1518"/>
      <c r="AN126" s="1518"/>
      <c r="AO126" s="1518"/>
      <c r="AP126" s="1518"/>
      <c r="AQ126" s="1519"/>
      <c r="AR126" s="1518"/>
      <c r="AS126" s="1519"/>
      <c r="AT126" s="1518"/>
      <c r="AU126" s="1518"/>
      <c r="AV126" s="1518"/>
      <c r="AW126" s="1518"/>
      <c r="AX126" s="1518"/>
    </row>
    <row r="127" spans="1:50" s="1350" customFormat="1" ht="26.4">
      <c r="A127" s="1805"/>
      <c r="B127" s="3164" t="s">
        <v>6653</v>
      </c>
      <c r="C127" s="3165" t="s">
        <v>6708</v>
      </c>
      <c r="D127" s="3164" t="s">
        <v>6653</v>
      </c>
      <c r="E127" s="3166" t="s">
        <v>6929</v>
      </c>
      <c r="F127" s="3159" t="s">
        <v>210</v>
      </c>
      <c r="G127" s="2523"/>
      <c r="H127" s="2028">
        <v>1</v>
      </c>
      <c r="I127" s="1805"/>
      <c r="J127" s="1805">
        <f>23191.4406102326+26.7+3840</f>
        <v>27058.1406102326</v>
      </c>
      <c r="K127" s="3160" t="s">
        <v>6646</v>
      </c>
      <c r="L127" s="3167" t="s">
        <v>6707</v>
      </c>
      <c r="M127" s="1805">
        <v>1</v>
      </c>
      <c r="N127" s="1805" t="s">
        <v>6704</v>
      </c>
      <c r="O127" s="1805" t="s">
        <v>6706</v>
      </c>
      <c r="P127" s="1805" t="s">
        <v>6647</v>
      </c>
      <c r="Q127" s="3603"/>
      <c r="R127" s="2824" t="s">
        <v>2966</v>
      </c>
      <c r="S127" s="1805" t="s">
        <v>6709</v>
      </c>
      <c r="T127" s="2824">
        <v>30000</v>
      </c>
      <c r="U127" s="1805"/>
      <c r="V127" s="3148"/>
      <c r="W127" s="3148"/>
      <c r="X127" s="1742"/>
      <c r="Y127" s="1742"/>
      <c r="Z127" s="1945"/>
      <c r="AA127" s="1742"/>
      <c r="AB127" s="1766">
        <f>+U127+V127+W127+X127+Y127+Z127+AA127+T127</f>
        <v>30000</v>
      </c>
      <c r="AC127" s="1754"/>
      <c r="AD127" s="3149" t="s">
        <v>7055</v>
      </c>
      <c r="AE127" s="1754">
        <f>600000*1.08</f>
        <v>648000</v>
      </c>
      <c r="AF127" s="1954">
        <f t="shared" si="25"/>
        <v>678000</v>
      </c>
      <c r="AG127" s="3187"/>
      <c r="AH127" s="1518">
        <v>1</v>
      </c>
      <c r="AI127" s="1519"/>
      <c r="AJ127" s="1518">
        <v>1</v>
      </c>
      <c r="AK127" s="1518"/>
      <c r="AL127" s="1518"/>
      <c r="AM127" s="1518">
        <v>1</v>
      </c>
      <c r="AN127" s="1518"/>
      <c r="AO127" s="1518"/>
      <c r="AP127" s="1518"/>
      <c r="AQ127" s="1519">
        <v>1</v>
      </c>
      <c r="AR127" s="1518">
        <v>1</v>
      </c>
      <c r="AS127" s="1519"/>
      <c r="AT127" s="1518"/>
      <c r="AU127" s="1518"/>
      <c r="AV127" s="1518"/>
      <c r="AW127" s="1518"/>
      <c r="AX127" s="1518"/>
    </row>
    <row r="128" spans="1:50" s="1350" customFormat="1" ht="27" customHeight="1">
      <c r="A128" s="1805"/>
      <c r="B128" s="3176" t="s">
        <v>6721</v>
      </c>
      <c r="C128" s="1324">
        <v>307684161430</v>
      </c>
      <c r="D128" s="3172" t="s">
        <v>6761</v>
      </c>
      <c r="E128" s="805" t="s">
        <v>6930</v>
      </c>
      <c r="F128" s="1308" t="s">
        <v>210</v>
      </c>
      <c r="G128" s="3177"/>
      <c r="H128" s="3178"/>
      <c r="I128" s="3178">
        <v>1</v>
      </c>
      <c r="J128" s="1786" t="s">
        <v>6762</v>
      </c>
      <c r="K128" s="3179" t="s">
        <v>6742</v>
      </c>
      <c r="L128" s="1459" t="s">
        <v>6767</v>
      </c>
      <c r="M128" s="1471"/>
      <c r="N128" s="3915" t="s">
        <v>6763</v>
      </c>
      <c r="O128" s="3916"/>
      <c r="P128" s="3171" t="s">
        <v>6764</v>
      </c>
      <c r="Q128" s="2590"/>
      <c r="R128" s="959" t="s">
        <v>3167</v>
      </c>
      <c r="S128" s="3180" t="s">
        <v>6760</v>
      </c>
      <c r="T128" s="1587">
        <v>30000</v>
      </c>
      <c r="U128" s="1170"/>
      <c r="V128" s="1170"/>
      <c r="W128" s="1170"/>
      <c r="X128" s="1170"/>
      <c r="Y128" s="1171"/>
      <c r="Z128" s="1327"/>
      <c r="AA128" s="1170"/>
      <c r="AB128" s="1325">
        <f t="shared" ref="AB128:AB130" si="26">+U128+V128+W128+X128+Y128+Z128+AA128+T128</f>
        <v>30000</v>
      </c>
      <c r="AC128" s="1331"/>
      <c r="AD128" s="1767" t="s">
        <v>6608</v>
      </c>
      <c r="AE128" s="1754">
        <f>600000*1.08</f>
        <v>648000</v>
      </c>
      <c r="AF128" s="3163">
        <f t="shared" si="25"/>
        <v>678000</v>
      </c>
      <c r="AG128" s="2904"/>
      <c r="AH128" s="1518">
        <v>1</v>
      </c>
      <c r="AI128" s="1519"/>
      <c r="AJ128" s="1518"/>
      <c r="AK128" s="1518"/>
      <c r="AL128" s="1518"/>
      <c r="AM128" s="1518"/>
      <c r="AN128" s="1518"/>
      <c r="AO128" s="1518"/>
      <c r="AP128" s="1518"/>
      <c r="AQ128" s="1519"/>
      <c r="AR128" s="1518"/>
      <c r="AS128" s="1519"/>
      <c r="AT128" s="1518"/>
      <c r="AU128" s="1518"/>
      <c r="AV128" s="1518"/>
      <c r="AW128" s="1518"/>
      <c r="AX128" s="1518"/>
    </row>
    <row r="129" spans="1:50" s="1350" customFormat="1" ht="23.25" customHeight="1" thickBot="1">
      <c r="A129" s="2433"/>
      <c r="B129" s="2913" t="s">
        <v>6678</v>
      </c>
      <c r="C129" s="2884">
        <v>307670497430</v>
      </c>
      <c r="D129" s="2913" t="s">
        <v>6678</v>
      </c>
      <c r="E129" s="2911" t="s">
        <v>7026</v>
      </c>
      <c r="F129" s="2996" t="s">
        <v>210</v>
      </c>
      <c r="G129" s="1813"/>
      <c r="H129" s="1813">
        <v>1</v>
      </c>
      <c r="I129" s="1813"/>
      <c r="J129" s="2002">
        <f>12900.7+3750</f>
        <v>16650.7</v>
      </c>
      <c r="K129" s="2886" t="s">
        <v>6609</v>
      </c>
      <c r="L129" s="3174" t="s">
        <v>6692</v>
      </c>
      <c r="M129" s="1803">
        <v>2</v>
      </c>
      <c r="N129" s="1804" t="s">
        <v>6690</v>
      </c>
      <c r="O129" s="1804" t="s">
        <v>6691</v>
      </c>
      <c r="P129" s="3173" t="s">
        <v>6662</v>
      </c>
      <c r="Q129" s="3619"/>
      <c r="R129" s="2844" t="s">
        <v>2966</v>
      </c>
      <c r="S129" s="3001" t="s">
        <v>6687</v>
      </c>
      <c r="T129" s="1822">
        <v>30000</v>
      </c>
      <c r="U129" s="2887"/>
      <c r="V129" s="2970"/>
      <c r="W129" s="2970"/>
      <c r="X129" s="2970"/>
      <c r="Y129" s="3102"/>
      <c r="Z129" s="3102"/>
      <c r="AA129" s="2887"/>
      <c r="AB129" s="2905">
        <f>+U129+V129+W129+X129+Y129+Z129+AA129+T129</f>
        <v>30000</v>
      </c>
      <c r="AC129" s="2906"/>
      <c r="AD129" s="2827" t="s">
        <v>6608</v>
      </c>
      <c r="AE129" s="2490">
        <f>600000*1.08</f>
        <v>648000</v>
      </c>
      <c r="AF129" s="1949">
        <f t="shared" si="25"/>
        <v>678000</v>
      </c>
      <c r="AG129" s="3015"/>
      <c r="AH129" s="1518">
        <v>1</v>
      </c>
      <c r="AI129" s="1519"/>
      <c r="AJ129" s="1518"/>
      <c r="AK129" s="1518"/>
      <c r="AL129" s="1518"/>
      <c r="AM129" s="1518"/>
      <c r="AN129" s="1518"/>
      <c r="AO129" s="1518"/>
      <c r="AP129" s="1518"/>
      <c r="AQ129" s="1519">
        <v>1</v>
      </c>
      <c r="AR129" s="1518"/>
      <c r="AS129" s="1519"/>
      <c r="AT129" s="1518"/>
      <c r="AU129" s="1518"/>
      <c r="AV129" s="1518"/>
      <c r="AW129" s="1518"/>
      <c r="AX129" s="1518"/>
    </row>
    <row r="130" spans="1:50" s="1350" customFormat="1" ht="52.8">
      <c r="A130" s="1738">
        <f>+A126+1</f>
        <v>1</v>
      </c>
      <c r="B130" s="3192" t="s">
        <v>6857</v>
      </c>
      <c r="C130" s="1388">
        <v>307744932520</v>
      </c>
      <c r="D130" s="386" t="s">
        <v>6937</v>
      </c>
      <c r="E130" s="179" t="s">
        <v>6968</v>
      </c>
      <c r="F130" s="709" t="s">
        <v>210</v>
      </c>
      <c r="G130" s="167"/>
      <c r="H130" s="167"/>
      <c r="I130" s="167">
        <v>1</v>
      </c>
      <c r="J130" s="1787">
        <v>8063.76</v>
      </c>
      <c r="K130" s="1436" t="s">
        <v>6940</v>
      </c>
      <c r="L130" s="154" t="s">
        <v>6969</v>
      </c>
      <c r="M130" s="1620" t="s">
        <v>102</v>
      </c>
      <c r="N130" s="3895" t="s">
        <v>6941</v>
      </c>
      <c r="O130" s="3896"/>
      <c r="P130" s="170" t="s">
        <v>6942</v>
      </c>
      <c r="Q130" s="3581"/>
      <c r="R130" s="3150" t="s">
        <v>3167</v>
      </c>
      <c r="S130" s="3162" t="s">
        <v>6966</v>
      </c>
      <c r="T130" s="807"/>
      <c r="U130" s="1622"/>
      <c r="V130" s="2154"/>
      <c r="W130" s="2154"/>
      <c r="X130" s="1622"/>
      <c r="Y130" s="1857"/>
      <c r="Z130" s="2915">
        <v>120957</v>
      </c>
      <c r="AA130" s="1622"/>
      <c r="AB130" s="3218">
        <f t="shared" si="26"/>
        <v>120957</v>
      </c>
      <c r="AC130" s="3217"/>
      <c r="AD130" s="3220"/>
      <c r="AE130" s="3216">
        <f>(770000+(2300000+(35.04*280000)))*1.08</f>
        <v>13911696</v>
      </c>
      <c r="AF130" s="3215">
        <f>+AB130+AE130</f>
        <v>14032653</v>
      </c>
      <c r="AG130" s="3188"/>
      <c r="AH130" s="1518">
        <v>1</v>
      </c>
      <c r="AI130" s="1897"/>
      <c r="AJ130" s="1518"/>
      <c r="AK130" s="1518"/>
      <c r="AL130" s="1518"/>
      <c r="AM130" s="1518"/>
      <c r="AN130" s="1518"/>
      <c r="AO130" s="1518"/>
      <c r="AP130" s="1518"/>
      <c r="AQ130" s="1897"/>
      <c r="AR130" s="1518"/>
      <c r="AS130" s="1897"/>
      <c r="AT130" s="1518"/>
      <c r="AU130" s="1518"/>
      <c r="AV130" s="1518"/>
      <c r="AW130" s="1518"/>
      <c r="AX130" s="1518"/>
    </row>
    <row r="131" spans="1:50" s="1350" customFormat="1">
      <c r="A131" s="2846">
        <f>+A130+1</f>
        <v>2</v>
      </c>
      <c r="B131" s="3229" t="s">
        <v>7000</v>
      </c>
      <c r="C131" s="2480">
        <v>307795140130</v>
      </c>
      <c r="D131" s="2481" t="s">
        <v>7000</v>
      </c>
      <c r="E131" s="1725" t="s">
        <v>7117</v>
      </c>
      <c r="F131" s="2482" t="s">
        <v>210</v>
      </c>
      <c r="G131" s="2847">
        <v>1</v>
      </c>
      <c r="H131" s="2380"/>
      <c r="I131" s="2380"/>
      <c r="J131" s="2307">
        <v>5084.9811709074702</v>
      </c>
      <c r="K131" s="1661" t="s">
        <v>7094</v>
      </c>
      <c r="L131" s="2483" t="s">
        <v>7116</v>
      </c>
      <c r="M131" s="2484">
        <v>1</v>
      </c>
      <c r="N131" s="658" t="s">
        <v>7114</v>
      </c>
      <c r="O131" s="658" t="s">
        <v>7115</v>
      </c>
      <c r="P131" s="3225" t="s">
        <v>7095</v>
      </c>
      <c r="Q131" s="3618"/>
      <c r="R131" s="522" t="s">
        <v>2966</v>
      </c>
      <c r="S131" s="2465" t="s">
        <v>6730</v>
      </c>
      <c r="T131" s="1592"/>
      <c r="U131" s="2485"/>
      <c r="V131" s="2751">
        <v>1000000</v>
      </c>
      <c r="W131" s="3230">
        <v>497000</v>
      </c>
      <c r="X131" s="2485"/>
      <c r="Y131" s="2486"/>
      <c r="Z131" s="3230">
        <v>250000</v>
      </c>
      <c r="AA131" s="2485"/>
      <c r="AB131" s="3231">
        <f t="shared" ref="AB131" si="27">+U131+V131+W131+X131+Y131+Z131+AA131+T131</f>
        <v>1747000</v>
      </c>
      <c r="AC131" s="3232"/>
      <c r="AD131" s="3233"/>
      <c r="AE131" s="2490">
        <f>(AC131*1.08)+((AH131*$AH$4)+(G131*3450000+H131*3550000+I131*AI131)+(AJ131*$AJ$4)+(AK131*$AK$4)+(AL131*$AL$4)+(AM131*$AM$4*(G131+H131))+(AN131*$AN$4)+(AO131*$AO$4)+(AP131*$AP$4)+(AQ131*$AQ$4))*1.08</f>
        <v>5259600</v>
      </c>
      <c r="AF131" s="3234">
        <f>+AB131+AE131</f>
        <v>7006600</v>
      </c>
      <c r="AG131" s="3235"/>
      <c r="AH131" s="1518">
        <v>1</v>
      </c>
      <c r="AI131" s="1519"/>
      <c r="AJ131" s="1518"/>
      <c r="AK131" s="1518"/>
      <c r="AL131" s="1518"/>
      <c r="AM131" s="1518"/>
      <c r="AN131" s="1518"/>
      <c r="AO131" s="1518"/>
      <c r="AP131" s="1518"/>
      <c r="AQ131" s="1519">
        <v>1</v>
      </c>
      <c r="AR131" s="1518"/>
      <c r="AS131" s="1519"/>
      <c r="AT131" s="1518"/>
      <c r="AU131" s="1518"/>
      <c r="AV131" s="1518"/>
      <c r="AW131" s="1518"/>
      <c r="AX131" s="1518"/>
    </row>
    <row r="132" spans="1:50" s="1350" customFormat="1">
      <c r="A132" s="1742">
        <f>+A131+1</f>
        <v>3</v>
      </c>
      <c r="B132" s="3228" t="s">
        <v>7088</v>
      </c>
      <c r="C132" s="2288">
        <v>307804270930</v>
      </c>
      <c r="D132" s="1616" t="s">
        <v>7088</v>
      </c>
      <c r="E132" s="2173" t="s">
        <v>7151</v>
      </c>
      <c r="F132" s="1484" t="s">
        <v>210</v>
      </c>
      <c r="G132" s="2309"/>
      <c r="H132" s="1745"/>
      <c r="I132" s="1745" t="s">
        <v>128</v>
      </c>
      <c r="J132" s="1957">
        <v>100.9</v>
      </c>
      <c r="K132" s="2306" t="s">
        <v>7148</v>
      </c>
      <c r="L132" s="3224" t="s">
        <v>7149</v>
      </c>
      <c r="M132" s="2841"/>
      <c r="N132" s="2037"/>
      <c r="O132" s="2037"/>
      <c r="P132" s="3226"/>
      <c r="Q132" s="3588"/>
      <c r="R132" s="1587" t="s">
        <v>3144</v>
      </c>
      <c r="S132" s="1587" t="s">
        <v>7150</v>
      </c>
      <c r="T132" s="1613"/>
      <c r="U132" s="1555"/>
      <c r="V132" s="1769"/>
      <c r="W132" s="1769"/>
      <c r="X132" s="1555"/>
      <c r="Y132" s="2422"/>
      <c r="Z132" s="1769"/>
      <c r="AA132" s="1555"/>
      <c r="AB132" s="2876"/>
      <c r="AC132" s="2358"/>
      <c r="AD132" s="3214"/>
      <c r="AE132" s="1754">
        <f>+(770000+1800000)*1.08</f>
        <v>2775600</v>
      </c>
      <c r="AF132" s="3215">
        <f>+AB132+AE132</f>
        <v>2775600</v>
      </c>
      <c r="AG132" s="2904"/>
      <c r="AH132" s="1518">
        <v>1</v>
      </c>
      <c r="AI132" s="1519"/>
      <c r="AJ132" s="1518"/>
      <c r="AK132" s="1518"/>
      <c r="AL132" s="1518"/>
      <c r="AM132" s="1518"/>
      <c r="AN132" s="1518"/>
      <c r="AO132" s="1518"/>
      <c r="AP132" s="1518"/>
      <c r="AQ132" s="1519"/>
      <c r="AR132" s="1518"/>
      <c r="AS132" s="1519"/>
      <c r="AT132" s="1518"/>
      <c r="AU132" s="1518"/>
      <c r="AV132" s="1518"/>
      <c r="AW132" s="1518"/>
      <c r="AX132" s="1518"/>
    </row>
    <row r="133" spans="1:50" s="1350" customFormat="1">
      <c r="A133" s="1805"/>
      <c r="B133" s="1752"/>
      <c r="C133" s="3018" t="s">
        <v>7191</v>
      </c>
      <c r="D133" s="699"/>
      <c r="E133" s="805" t="s">
        <v>7192</v>
      </c>
      <c r="F133" s="1308"/>
      <c r="G133" s="2974"/>
      <c r="H133" s="2028"/>
      <c r="I133" s="2028"/>
      <c r="J133" s="1786"/>
      <c r="K133" s="987"/>
      <c r="L133" s="3247"/>
      <c r="M133" s="2850"/>
      <c r="N133" s="2851"/>
      <c r="O133" s="2851"/>
      <c r="P133" s="3248"/>
      <c r="Q133" s="3598"/>
      <c r="R133" s="2824"/>
      <c r="S133" s="2824"/>
      <c r="T133" s="807"/>
      <c r="U133" s="1170"/>
      <c r="V133" s="1362"/>
      <c r="W133" s="1362"/>
      <c r="X133" s="1170"/>
      <c r="Y133" s="1198"/>
      <c r="Z133" s="1946"/>
      <c r="AA133" s="1197"/>
      <c r="AB133" s="2645">
        <f>320000+260000+40000</f>
        <v>620000</v>
      </c>
      <c r="AC133" s="3253"/>
      <c r="AD133" s="3254"/>
      <c r="AE133" s="1764"/>
      <c r="AF133" s="3255"/>
      <c r="AG133" s="2969"/>
      <c r="AH133" s="1518"/>
      <c r="AI133" s="1519"/>
      <c r="AJ133" s="1518"/>
      <c r="AK133" s="1518"/>
      <c r="AL133" s="1518"/>
      <c r="AM133" s="1518"/>
      <c r="AN133" s="1518"/>
      <c r="AO133" s="1518"/>
      <c r="AP133" s="1518"/>
      <c r="AQ133" s="1519"/>
      <c r="AR133" s="1518"/>
      <c r="AS133" s="1519"/>
      <c r="AT133" s="1518"/>
      <c r="AU133" s="1518"/>
      <c r="AV133" s="1518"/>
      <c r="AW133" s="1518"/>
      <c r="AX133" s="1518"/>
    </row>
    <row r="134" spans="1:50" s="1350" customFormat="1">
      <c r="A134" s="3885" t="s">
        <v>7096</v>
      </c>
      <c r="B134" s="3885"/>
      <c r="C134" s="3885"/>
      <c r="D134" s="3885"/>
      <c r="E134" s="3885"/>
      <c r="F134" s="3885"/>
      <c r="G134" s="3885"/>
      <c r="H134" s="3885"/>
      <c r="I134" s="3885"/>
      <c r="J134" s="3885"/>
      <c r="K134" s="3885"/>
      <c r="L134" s="3885"/>
      <c r="M134" s="3885"/>
      <c r="N134" s="3886"/>
      <c r="O134" s="3886"/>
      <c r="P134" s="3258"/>
      <c r="Q134" s="3258"/>
      <c r="R134" s="3259"/>
      <c r="S134" s="3259"/>
      <c r="T134" s="1087"/>
      <c r="U134" s="2494"/>
      <c r="V134" s="2493"/>
      <c r="W134" s="2493"/>
      <c r="X134" s="2493"/>
      <c r="Y134" s="3274"/>
      <c r="Z134" s="3274"/>
      <c r="AA134" s="3275"/>
      <c r="AB134" s="3274">
        <f>SUM(AB124:AB131)</f>
        <v>15281195</v>
      </c>
      <c r="AC134" s="3145">
        <f>SUM(AC106:AC130)</f>
        <v>0</v>
      </c>
      <c r="AD134" s="909"/>
      <c r="AE134" s="3145">
        <f>SUM(AE124:AE131)</f>
        <v>69239664</v>
      </c>
      <c r="AF134" s="3145">
        <f>SUM(AF124:AF131)</f>
        <v>84520859</v>
      </c>
      <c r="AG134" s="3147"/>
      <c r="AH134" s="1518"/>
      <c r="AI134" s="1519"/>
      <c r="AJ134" s="1518"/>
      <c r="AK134" s="1518"/>
      <c r="AL134" s="1518"/>
      <c r="AM134" s="1518"/>
      <c r="AN134" s="1518"/>
      <c r="AO134" s="1518"/>
      <c r="AP134" s="1518"/>
      <c r="AQ134" s="1519"/>
      <c r="AR134" s="1518"/>
      <c r="AS134" s="1519"/>
      <c r="AT134" s="1518"/>
      <c r="AU134" s="1518"/>
      <c r="AV134" s="1518"/>
      <c r="AW134" s="1518"/>
      <c r="AX134" s="1518"/>
    </row>
    <row r="135" spans="1:50" s="1350" customFormat="1" ht="52.8">
      <c r="A135" s="1738"/>
      <c r="B135" s="3192" t="s">
        <v>6857</v>
      </c>
      <c r="C135" s="1388">
        <v>307744932520</v>
      </c>
      <c r="D135" s="386" t="s">
        <v>6937</v>
      </c>
      <c r="E135" s="179" t="s">
        <v>7530</v>
      </c>
      <c r="F135" s="709" t="s">
        <v>210</v>
      </c>
      <c r="G135" s="167"/>
      <c r="H135" s="167"/>
      <c r="I135" s="167">
        <v>1</v>
      </c>
      <c r="J135" s="1787">
        <v>8063.76</v>
      </c>
      <c r="K135" s="1436" t="s">
        <v>6940</v>
      </c>
      <c r="L135" s="154" t="s">
        <v>6969</v>
      </c>
      <c r="M135" s="1620" t="s">
        <v>102</v>
      </c>
      <c r="N135" s="3894" t="s">
        <v>6941</v>
      </c>
      <c r="O135" s="3894"/>
      <c r="P135" s="1612" t="s">
        <v>6942</v>
      </c>
      <c r="Q135" s="1612"/>
      <c r="R135" s="3162" t="s">
        <v>3167</v>
      </c>
      <c r="S135" s="3162" t="s">
        <v>6966</v>
      </c>
      <c r="T135" s="1587"/>
      <c r="U135" s="1622"/>
      <c r="V135" s="2154"/>
      <c r="W135" s="2154"/>
      <c r="X135" s="1622"/>
      <c r="Y135" s="1857"/>
      <c r="Z135" s="1710"/>
      <c r="AA135" s="1622"/>
      <c r="AB135" s="2876">
        <f t="shared" ref="AB135" si="28">+U135+V135+W135+X135+Y135+Z135+AA135+T135</f>
        <v>0</v>
      </c>
      <c r="AC135" s="2358"/>
      <c r="AD135" s="2776" t="s">
        <v>7200</v>
      </c>
      <c r="AE135" s="3257">
        <f>600000*1.08</f>
        <v>648000</v>
      </c>
      <c r="AF135" s="3215">
        <f>+AB135+AE135</f>
        <v>648000</v>
      </c>
      <c r="AG135" s="3188"/>
      <c r="AH135" s="1518"/>
      <c r="AI135" s="1897"/>
      <c r="AJ135" s="1518"/>
      <c r="AK135" s="1518"/>
      <c r="AL135" s="1518"/>
      <c r="AM135" s="1518"/>
      <c r="AN135" s="1518"/>
      <c r="AO135" s="1518"/>
      <c r="AP135" s="1518"/>
      <c r="AQ135" s="1897"/>
      <c r="AR135" s="1518"/>
      <c r="AS135" s="1897"/>
      <c r="AT135" s="1518"/>
      <c r="AU135" s="1518"/>
      <c r="AV135" s="1518"/>
      <c r="AW135" s="1518"/>
      <c r="AX135" s="1518"/>
    </row>
    <row r="136" spans="1:50" s="1350" customFormat="1" ht="26.4">
      <c r="A136" s="1738">
        <v>1</v>
      </c>
      <c r="B136" s="3192" t="s">
        <v>7224</v>
      </c>
      <c r="C136" s="2288">
        <v>307826604540</v>
      </c>
      <c r="D136" s="1616" t="s">
        <v>7224</v>
      </c>
      <c r="E136" s="2173" t="s">
        <v>7255</v>
      </c>
      <c r="F136" s="709" t="s">
        <v>210</v>
      </c>
      <c r="G136" s="167">
        <v>1</v>
      </c>
      <c r="H136" s="167"/>
      <c r="I136" s="167"/>
      <c r="J136" s="1957">
        <v>17180.900000000001</v>
      </c>
      <c r="K136" s="3391" t="s">
        <v>7222</v>
      </c>
      <c r="L136" s="154"/>
      <c r="M136" s="1620">
        <v>1</v>
      </c>
      <c r="N136" s="3321" t="s">
        <v>7242</v>
      </c>
      <c r="O136" s="3260" t="s">
        <v>7243</v>
      </c>
      <c r="P136" s="1612" t="s">
        <v>7244</v>
      </c>
      <c r="Q136" s="2590"/>
      <c r="R136" s="959" t="s">
        <v>7223</v>
      </c>
      <c r="S136" s="3162" t="s">
        <v>7245</v>
      </c>
      <c r="T136" s="1587"/>
      <c r="U136" s="2775"/>
      <c r="V136" s="3277">
        <v>999000</v>
      </c>
      <c r="W136" s="3277">
        <v>497000</v>
      </c>
      <c r="X136" s="2775"/>
      <c r="Y136" s="2774"/>
      <c r="Z136" s="2916">
        <v>250000</v>
      </c>
      <c r="AA136" s="2775"/>
      <c r="AB136" s="2876">
        <f t="shared" ref="AB136:AB137" si="29">+U136+V136+W136+X136+Y136+Z136+AA136+T136</f>
        <v>1746000</v>
      </c>
      <c r="AC136" s="2358"/>
      <c r="AD136" s="2776" t="s">
        <v>97</v>
      </c>
      <c r="AE136" s="2490">
        <f>(AC136*1.08)+((AH136*$AH$4)+(G136*3450000+H136*3550000+I136*AI136)+(AJ136*$AJ$4)+(AK136*$AK$4)+(AL136*$AL$4)+(AM136*$AM$4*(G136+H136))+(AN136*$AN$4)+(AO136*$AO$4)+(AP136*$AP$4)+(AQ136*$AQ$4))*1.08+600000*1.08</f>
        <v>5907600</v>
      </c>
      <c r="AF136" s="3215">
        <f t="shared" ref="AF136:AF149" si="30">+AB136+AE136</f>
        <v>7653600</v>
      </c>
      <c r="AG136" s="3188"/>
      <c r="AH136" s="1518">
        <v>1</v>
      </c>
      <c r="AI136" s="1897"/>
      <c r="AJ136" s="1518"/>
      <c r="AK136" s="1518"/>
      <c r="AL136" s="1518"/>
      <c r="AM136" s="1518"/>
      <c r="AN136" s="1518"/>
      <c r="AO136" s="1518"/>
      <c r="AP136" s="1518"/>
      <c r="AQ136" s="1897">
        <v>1</v>
      </c>
      <c r="AR136" s="1518"/>
      <c r="AS136" s="1897"/>
      <c r="AT136" s="1518"/>
      <c r="AU136" s="1518"/>
      <c r="AV136" s="1518"/>
      <c r="AW136" s="1518"/>
      <c r="AX136" s="1518"/>
    </row>
    <row r="137" spans="1:50" s="1350" customFormat="1" ht="29.25" customHeight="1">
      <c r="A137" s="1742">
        <v>2</v>
      </c>
      <c r="B137" s="3192" t="s">
        <v>7257</v>
      </c>
      <c r="C137" s="1388">
        <v>307835447050</v>
      </c>
      <c r="D137" s="3192" t="s">
        <v>7257</v>
      </c>
      <c r="E137" s="179" t="s">
        <v>7287</v>
      </c>
      <c r="F137" s="709" t="s">
        <v>210</v>
      </c>
      <c r="G137" s="431"/>
      <c r="H137" s="3338">
        <v>1</v>
      </c>
      <c r="I137" s="167"/>
      <c r="J137" s="1787">
        <v>11064.66</v>
      </c>
      <c r="K137" s="3391" t="s">
        <v>7206</v>
      </c>
      <c r="L137" s="154" t="s">
        <v>7277</v>
      </c>
      <c r="M137" s="1620">
        <v>1</v>
      </c>
      <c r="N137" s="3321" t="s">
        <v>7278</v>
      </c>
      <c r="O137" s="707" t="s">
        <v>7687</v>
      </c>
      <c r="P137" s="170" t="s">
        <v>7207</v>
      </c>
      <c r="Q137" s="2590"/>
      <c r="R137" s="959" t="s">
        <v>4181</v>
      </c>
      <c r="S137" s="1587" t="s">
        <v>7276</v>
      </c>
      <c r="T137" s="150"/>
      <c r="U137" s="752"/>
      <c r="V137" s="3277">
        <v>1500000</v>
      </c>
      <c r="W137" s="3277">
        <v>1276000</v>
      </c>
      <c r="X137" s="752"/>
      <c r="Y137" s="753"/>
      <c r="Z137" s="1504">
        <v>500000</v>
      </c>
      <c r="AA137" s="752"/>
      <c r="AB137" s="2876">
        <f t="shared" si="29"/>
        <v>3276000</v>
      </c>
      <c r="AC137" s="2358"/>
      <c r="AD137" s="755"/>
      <c r="AE137" s="2490">
        <f>(AC137*1.08)+((AH137*$AH$4)+(G137*3450000+H137*3550000+I137*AI137)+(AJ137*$AJ$4)+(AK137*$AK$4)+(AL137*$AL$4)+(AM137*$AM$4*(G137+H137))+(AN137*$AN$4)+(AO137*$AO$4)+(AP137*$AP$4)+(AQ137*$AQ$4))*1.08</f>
        <v>5367600</v>
      </c>
      <c r="AF137" s="3215">
        <f t="shared" si="30"/>
        <v>8643600</v>
      </c>
      <c r="AG137" s="2904"/>
      <c r="AH137" s="1518">
        <v>1</v>
      </c>
      <c r="AI137" s="1519"/>
      <c r="AJ137" s="1518"/>
      <c r="AK137" s="1518"/>
      <c r="AL137" s="1518"/>
      <c r="AM137" s="1518"/>
      <c r="AN137" s="1518"/>
      <c r="AO137" s="1518"/>
      <c r="AP137" s="1518"/>
      <c r="AQ137" s="1897">
        <v>1</v>
      </c>
      <c r="AR137" s="1518"/>
      <c r="AS137" s="1519"/>
      <c r="AT137" s="1518"/>
      <c r="AU137" s="1518"/>
      <c r="AV137" s="1518"/>
      <c r="AW137" s="1518"/>
      <c r="AX137" s="1518"/>
    </row>
    <row r="138" spans="1:50" s="1758" customFormat="1" ht="23.25" customHeight="1">
      <c r="A138" s="1742">
        <f t="shared" ref="A138:A143" si="31">+A137+1</f>
        <v>3</v>
      </c>
      <c r="B138" s="4044" t="s">
        <v>7263</v>
      </c>
      <c r="C138" s="3285">
        <v>307857088360</v>
      </c>
      <c r="D138" s="3290" t="s">
        <v>7263</v>
      </c>
      <c r="E138" s="3867" t="s">
        <v>7354</v>
      </c>
      <c r="F138" s="4042" t="s">
        <v>210</v>
      </c>
      <c r="G138" s="431">
        <v>1</v>
      </c>
      <c r="H138" s="431"/>
      <c r="I138" s="431"/>
      <c r="J138" s="3286">
        <v>14672.7714889074</v>
      </c>
      <c r="K138" s="3912" t="s">
        <v>7311</v>
      </c>
      <c r="L138" s="1379" t="s">
        <v>7339</v>
      </c>
      <c r="M138" s="1471">
        <v>2</v>
      </c>
      <c r="N138" s="1755" t="s">
        <v>7337</v>
      </c>
      <c r="O138" s="1755" t="s">
        <v>7338</v>
      </c>
      <c r="P138" s="3936" t="s">
        <v>7312</v>
      </c>
      <c r="Q138" s="3595"/>
      <c r="R138" s="3897" t="s">
        <v>4458</v>
      </c>
      <c r="S138" s="3282" t="s">
        <v>5944</v>
      </c>
      <c r="T138" s="2820"/>
      <c r="U138" s="752"/>
      <c r="V138" s="3277">
        <v>980000</v>
      </c>
      <c r="W138" s="3277">
        <v>770000</v>
      </c>
      <c r="X138" s="752"/>
      <c r="Y138" s="753"/>
      <c r="Z138" s="1504">
        <v>250000</v>
      </c>
      <c r="AA138" s="752"/>
      <c r="AB138" s="2876">
        <f t="shared" ref="AB138:AB140" si="32">+U138+V138+W138+X138+Y138+Z138+AA138+T138</f>
        <v>2000000</v>
      </c>
      <c r="AC138" s="2358"/>
      <c r="AD138" s="755" t="s">
        <v>97</v>
      </c>
      <c r="AE138" s="2490">
        <f>(AC138*1.08)+((AH138*$AH$4)+(G138*3450000+H138*3550000+I138*AI138)+(AJ138*$AJ$4)+(AK138*$AK$4)+(AL138*$AL$4)+(AM138*$AM$4*(G138+H138))+(AN138*$AN$4)+(AO138*$AO$4)+(AP138*$AP$4)+(AQ138*$AQ$4))*1.08+600000*1.08</f>
        <v>5907600</v>
      </c>
      <c r="AF138" s="3215">
        <f t="shared" si="30"/>
        <v>7907600</v>
      </c>
      <c r="AG138" s="2904"/>
      <c r="AH138" s="1518">
        <v>1</v>
      </c>
      <c r="AI138" s="1996"/>
      <c r="AJ138" s="1995"/>
      <c r="AK138" s="1995"/>
      <c r="AL138" s="1995"/>
      <c r="AM138" s="1995"/>
      <c r="AN138" s="1995"/>
      <c r="AO138" s="1995"/>
      <c r="AP138" s="1995"/>
      <c r="AQ138" s="1897">
        <v>1</v>
      </c>
      <c r="AR138" s="1995"/>
      <c r="AS138" s="1996"/>
      <c r="AT138" s="1995"/>
      <c r="AU138" s="1995"/>
      <c r="AV138" s="1995"/>
      <c r="AW138" s="1995"/>
      <c r="AX138" s="1995"/>
    </row>
    <row r="139" spans="1:50" s="1758" customFormat="1" ht="25.5" customHeight="1">
      <c r="A139" s="1489">
        <f t="shared" si="31"/>
        <v>4</v>
      </c>
      <c r="B139" s="4045"/>
      <c r="C139" s="3285">
        <v>307857115550</v>
      </c>
      <c r="D139" s="3290" t="s">
        <v>7263</v>
      </c>
      <c r="E139" s="3868"/>
      <c r="F139" s="4004"/>
      <c r="G139" s="431">
        <v>1</v>
      </c>
      <c r="H139" s="431"/>
      <c r="I139" s="431"/>
      <c r="J139" s="3286">
        <v>12097.8385689973</v>
      </c>
      <c r="K139" s="3913"/>
      <c r="L139" s="1379" t="s">
        <v>7342</v>
      </c>
      <c r="M139" s="1471">
        <v>3</v>
      </c>
      <c r="N139" s="1755" t="s">
        <v>7340</v>
      </c>
      <c r="O139" s="3287" t="s">
        <v>7341</v>
      </c>
      <c r="P139" s="4043"/>
      <c r="Q139" s="3598"/>
      <c r="R139" s="3768"/>
      <c r="S139" s="3282" t="s">
        <v>5944</v>
      </c>
      <c r="T139" s="2820"/>
      <c r="U139" s="752"/>
      <c r="V139" s="3277">
        <v>980000</v>
      </c>
      <c r="W139" s="3277">
        <v>770000</v>
      </c>
      <c r="X139" s="752"/>
      <c r="Y139" s="753"/>
      <c r="Z139" s="1504">
        <v>250000</v>
      </c>
      <c r="AA139" s="752"/>
      <c r="AB139" s="2876">
        <f t="shared" si="32"/>
        <v>2000000</v>
      </c>
      <c r="AC139" s="2358"/>
      <c r="AD139" s="755" t="s">
        <v>97</v>
      </c>
      <c r="AE139" s="2490">
        <f>(AC139*1.08)+((AH139*$AH$4)+(G139*3450000+H139*3550000+I139*AI139)+(AJ139*$AJ$4)+(AK139*$AK$4)+(AL139*$AL$4)+(AM139*$AM$4*(G139+H139))+(AN139*$AN$4)+(AO139*$AO$4)+(AP139*$AP$4)+(AQ139*$AQ$4))*1.08+600000*1.08</f>
        <v>5907600</v>
      </c>
      <c r="AF139" s="3215">
        <f t="shared" si="30"/>
        <v>7907600</v>
      </c>
      <c r="AG139" s="2904"/>
      <c r="AH139" s="1518">
        <v>1</v>
      </c>
      <c r="AI139" s="1996"/>
      <c r="AJ139" s="1995"/>
      <c r="AK139" s="1995"/>
      <c r="AL139" s="1995"/>
      <c r="AM139" s="1995"/>
      <c r="AN139" s="1995"/>
      <c r="AO139" s="1995"/>
      <c r="AP139" s="1995"/>
      <c r="AQ139" s="1897">
        <v>1</v>
      </c>
      <c r="AR139" s="1995"/>
      <c r="AS139" s="1996"/>
      <c r="AT139" s="1995"/>
      <c r="AU139" s="1995"/>
      <c r="AV139" s="1995"/>
      <c r="AW139" s="1995"/>
      <c r="AX139" s="1995"/>
    </row>
    <row r="140" spans="1:50" s="1350" customFormat="1" ht="21.75" customHeight="1">
      <c r="A140" s="1489">
        <f t="shared" si="31"/>
        <v>5</v>
      </c>
      <c r="B140" s="4044" t="s">
        <v>7331</v>
      </c>
      <c r="C140" s="1388">
        <v>307860936850</v>
      </c>
      <c r="D140" s="3290" t="s">
        <v>7331</v>
      </c>
      <c r="E140" s="3867" t="s">
        <v>7377</v>
      </c>
      <c r="F140" s="4042" t="s">
        <v>210</v>
      </c>
      <c r="G140" s="167">
        <v>1</v>
      </c>
      <c r="H140" s="167"/>
      <c r="I140" s="167"/>
      <c r="J140" s="1787">
        <v>13999.369198664301</v>
      </c>
      <c r="K140" s="3912" t="s">
        <v>7332</v>
      </c>
      <c r="L140" s="1379" t="s">
        <v>7367</v>
      </c>
      <c r="M140" s="1471">
        <v>1</v>
      </c>
      <c r="N140" s="1755" t="s">
        <v>7363</v>
      </c>
      <c r="O140" s="1755" t="s">
        <v>7364</v>
      </c>
      <c r="P140" s="3936" t="s">
        <v>7333</v>
      </c>
      <c r="Q140" s="3595"/>
      <c r="R140" s="3898" t="s">
        <v>7362</v>
      </c>
      <c r="S140" s="3284" t="s">
        <v>5944</v>
      </c>
      <c r="T140" s="150"/>
      <c r="U140" s="752"/>
      <c r="V140" s="3279">
        <v>1000000</v>
      </c>
      <c r="W140" s="3279">
        <v>1520000</v>
      </c>
      <c r="X140" s="752"/>
      <c r="Y140" s="753"/>
      <c r="Z140" s="2202"/>
      <c r="AA140" s="752"/>
      <c r="AB140" s="2876">
        <f t="shared" si="32"/>
        <v>2520000</v>
      </c>
      <c r="AC140" s="2358"/>
      <c r="AD140" s="755"/>
      <c r="AE140" s="2753">
        <f>(AC140*1.08)+((AH140*$AH$4)+(G140*3450000+H140*3550000+I140*AI140)+(AJ140*$AJ$4)+(AK140*$AK$4)+(AL140*$AL$4)+(AM140*$AM$4*(G140+H140))+(AN140*$AN$4)+(AO140*$AO$4)+(AP140*$AP$4)+(AQ140*$AQ$4))*1.08+(500000*1.08)</f>
        <v>5799600</v>
      </c>
      <c r="AF140" s="3215">
        <f t="shared" si="30"/>
        <v>8319600</v>
      </c>
      <c r="AG140" s="2904"/>
      <c r="AH140" s="1518">
        <v>1</v>
      </c>
      <c r="AI140" s="1519"/>
      <c r="AJ140" s="1518"/>
      <c r="AK140" s="1518"/>
      <c r="AL140" s="1518"/>
      <c r="AM140" s="1518"/>
      <c r="AN140" s="1518"/>
      <c r="AO140" s="1518"/>
      <c r="AP140" s="1518"/>
      <c r="AQ140" s="1897">
        <v>1</v>
      </c>
      <c r="AR140" s="1518"/>
      <c r="AS140" s="1519"/>
      <c r="AT140" s="1518"/>
      <c r="AU140" s="1518"/>
      <c r="AV140" s="1518"/>
      <c r="AW140" s="1518"/>
      <c r="AX140" s="1518"/>
    </row>
    <row r="141" spans="1:50" s="1350" customFormat="1" ht="22.5" customHeight="1">
      <c r="A141" s="1489">
        <f t="shared" si="31"/>
        <v>6</v>
      </c>
      <c r="B141" s="4045"/>
      <c r="C141" s="1388">
        <v>307860972110</v>
      </c>
      <c r="D141" s="3290" t="s">
        <v>7331</v>
      </c>
      <c r="E141" s="3868"/>
      <c r="F141" s="4004"/>
      <c r="G141" s="167">
        <v>1</v>
      </c>
      <c r="H141" s="167"/>
      <c r="I141" s="167"/>
      <c r="J141" s="1787">
        <v>13510.830520802299</v>
      </c>
      <c r="K141" s="3913"/>
      <c r="L141" s="1379" t="s">
        <v>7368</v>
      </c>
      <c r="M141" s="1471">
        <v>2</v>
      </c>
      <c r="N141" s="1755" t="s">
        <v>7365</v>
      </c>
      <c r="O141" s="1755" t="s">
        <v>7366</v>
      </c>
      <c r="P141" s="4043"/>
      <c r="Q141" s="3598"/>
      <c r="R141" s="3899"/>
      <c r="S141" s="3284" t="s">
        <v>5944</v>
      </c>
      <c r="T141" s="150"/>
      <c r="U141" s="752"/>
      <c r="V141" s="3279">
        <v>1000000</v>
      </c>
      <c r="X141" s="752"/>
      <c r="Y141" s="753"/>
      <c r="Z141" s="2202"/>
      <c r="AA141" s="752"/>
      <c r="AB141" s="2876">
        <f t="shared" ref="AB141:AB149" si="33">+U141+V141+W141+X141+Y141+Z141+AA141+T141</f>
        <v>1000000</v>
      </c>
      <c r="AC141" s="2358"/>
      <c r="AD141" s="755"/>
      <c r="AE141" s="2753">
        <f>(AC141*1.08)+((AH141*$AH$4)+(G141*3450000+H141*3550000+I141*AI141)+(AJ141*$AJ$4)+(AK141*$AK$4)+(AL141*$AL$4)+(AM141*$AM$4*(G141+H141))+(AN141*$AN$4)+(AO141*$AO$4)+(AP141*$AP$4)+(AQ141*$AQ$4))*1.08+(500000*1.08)</f>
        <v>5799600</v>
      </c>
      <c r="AF141" s="3215">
        <f t="shared" si="30"/>
        <v>6799600</v>
      </c>
      <c r="AG141" s="2904"/>
      <c r="AH141" s="1518">
        <v>1</v>
      </c>
      <c r="AI141" s="1519"/>
      <c r="AJ141" s="1518"/>
      <c r="AK141" s="1518"/>
      <c r="AL141" s="1518"/>
      <c r="AM141" s="1518"/>
      <c r="AN141" s="1518"/>
      <c r="AO141" s="1518"/>
      <c r="AP141" s="1518"/>
      <c r="AQ141" s="1897">
        <v>1</v>
      </c>
      <c r="AR141" s="1518"/>
      <c r="AS141" s="1519"/>
      <c r="AT141" s="1518"/>
      <c r="AU141" s="1518"/>
      <c r="AV141" s="1518"/>
      <c r="AW141" s="1518"/>
      <c r="AX141" s="1518"/>
    </row>
    <row r="142" spans="1:50" s="1350" customFormat="1" ht="12.75" customHeight="1">
      <c r="A142" s="1489">
        <f t="shared" si="31"/>
        <v>7</v>
      </c>
      <c r="B142" s="4044" t="s">
        <v>7387</v>
      </c>
      <c r="C142" s="1388">
        <v>307875320930</v>
      </c>
      <c r="D142" s="3298" t="s">
        <v>7387</v>
      </c>
      <c r="E142" s="3867" t="s">
        <v>7436</v>
      </c>
      <c r="F142" s="4042" t="s">
        <v>210</v>
      </c>
      <c r="G142" s="167">
        <v>1</v>
      </c>
      <c r="H142" s="167"/>
      <c r="I142" s="167"/>
      <c r="J142" s="1787">
        <v>15464.36</v>
      </c>
      <c r="K142" s="3912" t="s">
        <v>7357</v>
      </c>
      <c r="L142" s="1379" t="s">
        <v>7425</v>
      </c>
      <c r="M142" s="1471">
        <v>1</v>
      </c>
      <c r="N142" s="3321" t="s">
        <v>7422</v>
      </c>
      <c r="O142" s="707" t="s">
        <v>7542</v>
      </c>
      <c r="P142" s="3936" t="s">
        <v>7358</v>
      </c>
      <c r="Q142" s="3595"/>
      <c r="R142" s="3897" t="s">
        <v>7223</v>
      </c>
      <c r="S142" s="577" t="s">
        <v>6255</v>
      </c>
      <c r="T142" s="150"/>
      <c r="U142" s="752"/>
      <c r="V142" s="3279">
        <v>1000000</v>
      </c>
      <c r="W142" s="3279">
        <v>1491000</v>
      </c>
      <c r="X142" s="752"/>
      <c r="Y142" s="753"/>
      <c r="Z142" s="2916">
        <v>250000</v>
      </c>
      <c r="AA142" s="752"/>
      <c r="AB142" s="2876">
        <f t="shared" si="33"/>
        <v>2741000</v>
      </c>
      <c r="AC142" s="2358"/>
      <c r="AD142" s="755"/>
      <c r="AE142" s="2753">
        <f>(AC142*1.08)+((AH142*$AH$4)+(G142*3450000+H142*3550000+I142*AI142)+(AJ142*$AJ$4)+(AK142*$AK$4)+(AL142*$AL$4)+(AM142*$AM$4*(G142+H142))+(AN142*$AN$4)+(AO142*$AO$4)+(AP142*$AP$4)+(AQ142*$AQ$4))*1.08</f>
        <v>5259600</v>
      </c>
      <c r="AF142" s="3215">
        <f t="shared" si="30"/>
        <v>8000600</v>
      </c>
      <c r="AG142" s="2904"/>
      <c r="AH142" s="1518">
        <v>1</v>
      </c>
      <c r="AI142" s="1519"/>
      <c r="AJ142" s="1518"/>
      <c r="AK142" s="1518"/>
      <c r="AL142" s="1518"/>
      <c r="AM142" s="1518"/>
      <c r="AN142" s="1518"/>
      <c r="AO142" s="1518"/>
      <c r="AP142" s="1518"/>
      <c r="AQ142" s="1897">
        <v>1</v>
      </c>
      <c r="AR142" s="1518"/>
      <c r="AS142" s="1519"/>
      <c r="AT142" s="1518"/>
      <c r="AU142" s="1518"/>
      <c r="AV142" s="1518"/>
      <c r="AW142" s="1518"/>
      <c r="AX142" s="1518"/>
    </row>
    <row r="143" spans="1:50" s="1350" customFormat="1">
      <c r="A143" s="1489">
        <f t="shared" si="31"/>
        <v>8</v>
      </c>
      <c r="B143" s="3921"/>
      <c r="C143" s="1388">
        <v>307875390010</v>
      </c>
      <c r="D143" s="3298" t="s">
        <v>7387</v>
      </c>
      <c r="E143" s="3875"/>
      <c r="F143" s="3925"/>
      <c r="G143" s="167">
        <v>1</v>
      </c>
      <c r="H143" s="167"/>
      <c r="I143" s="167"/>
      <c r="J143" s="1787">
        <v>14818.06</v>
      </c>
      <c r="K143" s="4006"/>
      <c r="L143" s="1379" t="s">
        <v>7424</v>
      </c>
      <c r="M143" s="1471">
        <v>2</v>
      </c>
      <c r="N143" s="3321" t="s">
        <v>7423</v>
      </c>
      <c r="O143" s="707" t="s">
        <v>7543</v>
      </c>
      <c r="P143" s="3919"/>
      <c r="Q143" s="3590"/>
      <c r="R143" s="3760"/>
      <c r="S143" s="577" t="s">
        <v>7176</v>
      </c>
      <c r="T143" s="150"/>
      <c r="U143" s="752"/>
      <c r="V143" s="3279">
        <v>1000000</v>
      </c>
      <c r="W143" s="752"/>
      <c r="X143" s="752"/>
      <c r="Y143" s="753"/>
      <c r="Z143" s="2916">
        <v>250000</v>
      </c>
      <c r="AA143" s="752"/>
      <c r="AB143" s="2876">
        <f t="shared" si="33"/>
        <v>1250000</v>
      </c>
      <c r="AC143" s="2358"/>
      <c r="AD143" s="755"/>
      <c r="AE143" s="2753">
        <f t="shared" ref="AE143:AE149" si="34">(AC143*1.08)+((AH143*$AH$4)+(G143*3450000+H143*3550000+I143*AI143)+(AJ143*$AJ$4)+(AK143*$AK$4)+(AL143*$AL$4)+(AM143*$AM$4*(G143+H143))+(AN143*$AN$4)+(AO143*$AO$4)+(AP143*$AP$4)+(AQ143*$AQ$4))*1.08</f>
        <v>5259600</v>
      </c>
      <c r="AF143" s="3215">
        <f t="shared" si="30"/>
        <v>6509600</v>
      </c>
      <c r="AG143" s="2904"/>
      <c r="AH143" s="1518">
        <v>1</v>
      </c>
      <c r="AI143" s="1519"/>
      <c r="AJ143" s="1518"/>
      <c r="AK143" s="1518"/>
      <c r="AL143" s="1518"/>
      <c r="AM143" s="1518"/>
      <c r="AN143" s="1518"/>
      <c r="AO143" s="1518"/>
      <c r="AP143" s="1518"/>
      <c r="AQ143" s="1897">
        <v>1</v>
      </c>
      <c r="AR143" s="1518"/>
      <c r="AS143" s="1519"/>
      <c r="AT143" s="1518"/>
      <c r="AU143" s="1518"/>
      <c r="AV143" s="1518"/>
      <c r="AW143" s="1518"/>
      <c r="AX143" s="1518"/>
    </row>
    <row r="144" spans="1:50" s="1350" customFormat="1">
      <c r="A144" s="1489">
        <f t="shared" ref="A144:A177" si="35">+A143+1</f>
        <v>9</v>
      </c>
      <c r="B144" s="4045"/>
      <c r="C144" s="1388">
        <v>307875449360</v>
      </c>
      <c r="D144" s="3298" t="s">
        <v>7387</v>
      </c>
      <c r="E144" s="3868"/>
      <c r="F144" s="4004"/>
      <c r="G144" s="167">
        <v>1</v>
      </c>
      <c r="H144" s="167"/>
      <c r="I144" s="167"/>
      <c r="J144" s="1787">
        <v>15395.4</v>
      </c>
      <c r="K144" s="3913"/>
      <c r="L144" s="1379" t="s">
        <v>7426</v>
      </c>
      <c r="M144" s="1471">
        <v>3</v>
      </c>
      <c r="N144" s="3321" t="s">
        <v>7427</v>
      </c>
      <c r="O144" s="707" t="s">
        <v>7544</v>
      </c>
      <c r="P144" s="4043"/>
      <c r="Q144" s="3598"/>
      <c r="R144" s="3768"/>
      <c r="S144" s="577" t="s">
        <v>5944</v>
      </c>
      <c r="T144" s="150"/>
      <c r="U144" s="752"/>
      <c r="V144" s="3279">
        <v>1000000</v>
      </c>
      <c r="W144" s="752"/>
      <c r="X144" s="752"/>
      <c r="Y144" s="753"/>
      <c r="Z144" s="2916">
        <v>250000</v>
      </c>
      <c r="AA144" s="752"/>
      <c r="AB144" s="2876">
        <f t="shared" si="33"/>
        <v>1250000</v>
      </c>
      <c r="AC144" s="2358"/>
      <c r="AD144" s="755"/>
      <c r="AE144" s="2753">
        <f t="shared" si="34"/>
        <v>5259600</v>
      </c>
      <c r="AF144" s="3215">
        <f t="shared" si="30"/>
        <v>6509600</v>
      </c>
      <c r="AG144" s="2904"/>
      <c r="AH144" s="1518">
        <v>1</v>
      </c>
      <c r="AI144" s="1519"/>
      <c r="AJ144" s="1518"/>
      <c r="AK144" s="1518"/>
      <c r="AL144" s="1518"/>
      <c r="AM144" s="1518"/>
      <c r="AN144" s="1518"/>
      <c r="AO144" s="1518"/>
      <c r="AP144" s="1518"/>
      <c r="AQ144" s="1897">
        <v>1</v>
      </c>
      <c r="AR144" s="1518"/>
      <c r="AS144" s="1519"/>
      <c r="AT144" s="1518"/>
      <c r="AU144" s="1518"/>
      <c r="AV144" s="1518"/>
      <c r="AW144" s="1518"/>
      <c r="AX144" s="1518"/>
    </row>
    <row r="145" spans="1:50" s="1350" customFormat="1" ht="12.75" customHeight="1">
      <c r="A145" s="1489">
        <f t="shared" si="35"/>
        <v>10</v>
      </c>
      <c r="B145" s="4044" t="s">
        <v>7550</v>
      </c>
      <c r="C145" s="2480">
        <v>307907347110</v>
      </c>
      <c r="D145" s="2481" t="s">
        <v>7550</v>
      </c>
      <c r="E145" s="3867" t="s">
        <v>7597</v>
      </c>
      <c r="F145" s="3948" t="s">
        <v>210</v>
      </c>
      <c r="G145" s="167">
        <v>1</v>
      </c>
      <c r="H145" s="167"/>
      <c r="I145" s="167"/>
      <c r="J145" s="3336">
        <v>161761.60000000001</v>
      </c>
      <c r="K145" s="3912" t="s">
        <v>7428</v>
      </c>
      <c r="L145" s="1379" t="s">
        <v>7583</v>
      </c>
      <c r="M145" s="1471">
        <v>1</v>
      </c>
      <c r="N145" s="3334" t="s">
        <v>7575</v>
      </c>
      <c r="O145" s="3330" t="s">
        <v>7576</v>
      </c>
      <c r="P145" s="3936" t="s">
        <v>7507</v>
      </c>
      <c r="Q145" s="3595"/>
      <c r="R145" s="3898" t="s">
        <v>7223</v>
      </c>
      <c r="S145" s="577" t="s">
        <v>7176</v>
      </c>
      <c r="T145" s="150"/>
      <c r="U145" s="752"/>
      <c r="V145" s="3279">
        <v>850000</v>
      </c>
      <c r="W145" s="3279">
        <v>1988000</v>
      </c>
      <c r="X145" s="752"/>
      <c r="Y145" s="753"/>
      <c r="Z145" s="3279">
        <v>250000</v>
      </c>
      <c r="AA145" s="752"/>
      <c r="AB145" s="2876">
        <f t="shared" si="33"/>
        <v>3088000</v>
      </c>
      <c r="AC145" s="2358"/>
      <c r="AD145" s="4074" t="s">
        <v>7572</v>
      </c>
      <c r="AE145" s="2753">
        <f t="shared" si="34"/>
        <v>5259600</v>
      </c>
      <c r="AF145" s="3215">
        <f t="shared" si="30"/>
        <v>8347600</v>
      </c>
      <c r="AG145" s="2904"/>
      <c r="AH145" s="1518">
        <v>1</v>
      </c>
      <c r="AI145" s="1519"/>
      <c r="AJ145" s="1518"/>
      <c r="AK145" s="1518"/>
      <c r="AL145" s="1518"/>
      <c r="AM145" s="1518"/>
      <c r="AN145" s="1518"/>
      <c r="AO145" s="1518"/>
      <c r="AP145" s="1518"/>
      <c r="AQ145" s="1897">
        <v>1</v>
      </c>
      <c r="AR145" s="1518"/>
      <c r="AS145" s="1519"/>
      <c r="AT145" s="1518"/>
      <c r="AU145" s="1518"/>
      <c r="AV145" s="1518"/>
      <c r="AW145" s="1518"/>
      <c r="AX145" s="1518"/>
    </row>
    <row r="146" spans="1:50" s="1350" customFormat="1" ht="16.5" customHeight="1">
      <c r="A146" s="1489">
        <f t="shared" si="35"/>
        <v>11</v>
      </c>
      <c r="B146" s="3968"/>
      <c r="C146" s="2288">
        <v>307907450340</v>
      </c>
      <c r="D146" s="2481" t="s">
        <v>7550</v>
      </c>
      <c r="E146" s="3875"/>
      <c r="F146" s="3949"/>
      <c r="G146" s="167">
        <v>1</v>
      </c>
      <c r="H146" s="1566"/>
      <c r="I146" s="1566"/>
      <c r="J146" s="1787">
        <v>16179.7091172161</v>
      </c>
      <c r="K146" s="4006"/>
      <c r="L146" s="1379" t="s">
        <v>7584</v>
      </c>
      <c r="M146" s="1471" t="s">
        <v>4899</v>
      </c>
      <c r="N146" s="3334" t="s">
        <v>7577</v>
      </c>
      <c r="O146" s="3330" t="s">
        <v>7578</v>
      </c>
      <c r="P146" s="3919"/>
      <c r="Q146" s="3590"/>
      <c r="R146" s="3943"/>
      <c r="S146" s="577" t="s">
        <v>5942</v>
      </c>
      <c r="T146" s="150"/>
      <c r="U146" s="752"/>
      <c r="V146" s="3279">
        <v>850000</v>
      </c>
      <c r="W146" s="752"/>
      <c r="X146" s="752"/>
      <c r="Y146" s="753"/>
      <c r="Z146" s="3279">
        <v>250000</v>
      </c>
      <c r="AA146" s="752"/>
      <c r="AB146" s="2876">
        <f t="shared" si="33"/>
        <v>1100000</v>
      </c>
      <c r="AC146" s="2358"/>
      <c r="AD146" s="4075"/>
      <c r="AE146" s="2753">
        <f t="shared" si="34"/>
        <v>5259600</v>
      </c>
      <c r="AF146" s="3215">
        <f t="shared" si="30"/>
        <v>6359600</v>
      </c>
      <c r="AG146" s="2904"/>
      <c r="AH146" s="1518">
        <v>1</v>
      </c>
      <c r="AI146" s="1519"/>
      <c r="AJ146" s="1518"/>
      <c r="AK146" s="1518"/>
      <c r="AL146" s="1518"/>
      <c r="AM146" s="1518"/>
      <c r="AN146" s="1518"/>
      <c r="AO146" s="1518"/>
      <c r="AP146" s="1518"/>
      <c r="AQ146" s="1897">
        <v>1</v>
      </c>
      <c r="AR146" s="1518"/>
      <c r="AS146" s="1519"/>
      <c r="AT146" s="1518"/>
      <c r="AU146" s="1518"/>
      <c r="AV146" s="1518"/>
      <c r="AW146" s="1518"/>
      <c r="AX146" s="1518"/>
    </row>
    <row r="147" spans="1:50" s="1350" customFormat="1">
      <c r="A147" s="1489">
        <f t="shared" si="35"/>
        <v>12</v>
      </c>
      <c r="B147" s="3968"/>
      <c r="C147" s="1324">
        <v>307908662040</v>
      </c>
      <c r="D147" s="2481" t="s">
        <v>7550</v>
      </c>
      <c r="E147" s="3875"/>
      <c r="F147" s="3949"/>
      <c r="G147" s="167">
        <v>1</v>
      </c>
      <c r="H147" s="445"/>
      <c r="I147" s="445"/>
      <c r="J147" s="1787">
        <v>16188.6</v>
      </c>
      <c r="K147" s="4006"/>
      <c r="L147" s="1379" t="s">
        <v>7585</v>
      </c>
      <c r="M147" s="1471">
        <v>3</v>
      </c>
      <c r="N147" s="3334" t="s">
        <v>7579</v>
      </c>
      <c r="O147" s="3330" t="s">
        <v>7580</v>
      </c>
      <c r="P147" s="3919"/>
      <c r="Q147" s="3590"/>
      <c r="R147" s="3943"/>
      <c r="S147" s="577" t="s">
        <v>5942</v>
      </c>
      <c r="T147" s="150"/>
      <c r="U147" s="752"/>
      <c r="V147" s="3279">
        <v>850000</v>
      </c>
      <c r="W147" s="752"/>
      <c r="X147" s="752"/>
      <c r="Y147" s="753"/>
      <c r="Z147" s="3279">
        <v>250000</v>
      </c>
      <c r="AA147" s="752"/>
      <c r="AB147" s="2876">
        <f t="shared" si="33"/>
        <v>1100000</v>
      </c>
      <c r="AC147" s="2358"/>
      <c r="AD147" s="4075"/>
      <c r="AE147" s="2753">
        <f t="shared" si="34"/>
        <v>5259600</v>
      </c>
      <c r="AF147" s="3215">
        <f t="shared" si="30"/>
        <v>6359600</v>
      </c>
      <c r="AG147" s="2904"/>
      <c r="AH147" s="1518">
        <v>1</v>
      </c>
      <c r="AI147" s="1519"/>
      <c r="AJ147" s="1518"/>
      <c r="AK147" s="1518"/>
      <c r="AL147" s="1518"/>
      <c r="AM147" s="1518"/>
      <c r="AN147" s="1518"/>
      <c r="AO147" s="1518"/>
      <c r="AP147" s="1518"/>
      <c r="AQ147" s="1897">
        <v>1</v>
      </c>
      <c r="AR147" s="1518"/>
      <c r="AS147" s="1519"/>
      <c r="AT147" s="1518"/>
      <c r="AU147" s="1518"/>
      <c r="AV147" s="1518"/>
      <c r="AW147" s="1518"/>
      <c r="AX147" s="1518"/>
    </row>
    <row r="148" spans="1:50" s="1350" customFormat="1">
      <c r="A148" s="1489">
        <f t="shared" si="35"/>
        <v>13</v>
      </c>
      <c r="B148" s="4077"/>
      <c r="C148" s="1388">
        <v>307908704630</v>
      </c>
      <c r="D148" s="2481" t="s">
        <v>7550</v>
      </c>
      <c r="E148" s="3868"/>
      <c r="F148" s="4011"/>
      <c r="G148" s="167">
        <v>1</v>
      </c>
      <c r="H148" s="167"/>
      <c r="I148" s="167"/>
      <c r="J148" s="1787">
        <v>16284.6</v>
      </c>
      <c r="K148" s="3913"/>
      <c r="L148" s="1379" t="s">
        <v>7586</v>
      </c>
      <c r="M148" s="1471" t="s">
        <v>7574</v>
      </c>
      <c r="N148" s="3334" t="s">
        <v>7581</v>
      </c>
      <c r="O148" s="3330" t="s">
        <v>7582</v>
      </c>
      <c r="P148" s="4043"/>
      <c r="Q148" s="3598"/>
      <c r="R148" s="3899"/>
      <c r="S148" s="577" t="s">
        <v>7176</v>
      </c>
      <c r="T148" s="1566"/>
      <c r="U148" s="1566"/>
      <c r="V148" s="3279">
        <v>850000</v>
      </c>
      <c r="W148" s="752"/>
      <c r="X148" s="752"/>
      <c r="Y148" s="753"/>
      <c r="Z148" s="3279">
        <v>250000</v>
      </c>
      <c r="AA148" s="752"/>
      <c r="AB148" s="2876">
        <f t="shared" si="33"/>
        <v>1100000</v>
      </c>
      <c r="AC148" s="2358"/>
      <c r="AD148" s="4076"/>
      <c r="AE148" s="2753">
        <f>(AC148*1.08)+((AH148*$AH$4)+(G148*3450000+H148*3550000+I148*AI148)+(AJ148*$AJ$4)+(AK148*$AK$4)+(AL148*$AL$4)+(AM148*$AM$4*(G148+H148))+(AN148*$AN$4)+(AO148*$AO$4)+(AP148*$AP$4)+(AQ148*$AQ$4))*1.08</f>
        <v>5259600</v>
      </c>
      <c r="AF148" s="3215">
        <f t="shared" si="30"/>
        <v>6359600</v>
      </c>
      <c r="AG148" s="2904"/>
      <c r="AH148" s="1518">
        <v>1</v>
      </c>
      <c r="AI148" s="1519"/>
      <c r="AJ148" s="1518"/>
      <c r="AK148" s="1518"/>
      <c r="AL148" s="1518"/>
      <c r="AM148" s="1518"/>
      <c r="AN148" s="1518"/>
      <c r="AO148" s="1518"/>
      <c r="AP148" s="1518"/>
      <c r="AQ148" s="1897">
        <v>1</v>
      </c>
      <c r="AR148" s="1518"/>
      <c r="AS148" s="1519"/>
      <c r="AT148" s="1518"/>
      <c r="AU148" s="1518"/>
      <c r="AV148" s="1518"/>
      <c r="AW148" s="1518"/>
      <c r="AX148" s="1518"/>
    </row>
    <row r="149" spans="1:50" s="1350" customFormat="1" ht="26.4">
      <c r="A149" s="1489">
        <f t="shared" si="35"/>
        <v>14</v>
      </c>
      <c r="B149" s="3368" t="s">
        <v>7558</v>
      </c>
      <c r="C149" s="1388">
        <v>307916915850</v>
      </c>
      <c r="D149" s="46" t="s">
        <v>7558</v>
      </c>
      <c r="E149" s="179" t="s">
        <v>7621</v>
      </c>
      <c r="F149" s="709" t="s">
        <v>210</v>
      </c>
      <c r="G149" s="3363"/>
      <c r="H149" s="3366">
        <v>1</v>
      </c>
      <c r="I149" s="3367"/>
      <c r="J149" s="1787">
        <v>11128.2049732943</v>
      </c>
      <c r="K149" s="2306" t="s">
        <v>7593</v>
      </c>
      <c r="L149" s="1379" t="s">
        <v>7618</v>
      </c>
      <c r="M149" s="2841">
        <v>1</v>
      </c>
      <c r="N149" s="3362" t="s">
        <v>7619</v>
      </c>
      <c r="O149" s="2037" t="s">
        <v>7620</v>
      </c>
      <c r="P149" s="3361" t="s">
        <v>7594</v>
      </c>
      <c r="Q149" s="3588"/>
      <c r="R149" s="3162" t="s">
        <v>7223</v>
      </c>
      <c r="S149" s="3348" t="s">
        <v>7617</v>
      </c>
      <c r="T149" s="1613"/>
      <c r="U149" s="1555"/>
      <c r="V149" s="3279">
        <v>1500000</v>
      </c>
      <c r="W149" s="3279">
        <v>882000</v>
      </c>
      <c r="X149" s="1315"/>
      <c r="Y149" s="1316"/>
      <c r="Z149" s="3279">
        <v>500000</v>
      </c>
      <c r="AA149" s="1315"/>
      <c r="AB149" s="2876">
        <f t="shared" si="33"/>
        <v>2882000</v>
      </c>
      <c r="AC149" s="2358"/>
      <c r="AD149" s="1317"/>
      <c r="AE149" s="2753">
        <f t="shared" si="34"/>
        <v>5367600</v>
      </c>
      <c r="AF149" s="3215">
        <f t="shared" si="30"/>
        <v>8249600</v>
      </c>
      <c r="AG149" s="2904"/>
      <c r="AH149" s="1518">
        <v>1</v>
      </c>
      <c r="AI149" s="1519"/>
      <c r="AJ149" s="1518"/>
      <c r="AK149" s="1518"/>
      <c r="AL149" s="1518"/>
      <c r="AM149" s="1518"/>
      <c r="AN149" s="1518"/>
      <c r="AO149" s="1518"/>
      <c r="AP149" s="1518"/>
      <c r="AQ149" s="1519">
        <v>1</v>
      </c>
      <c r="AR149" s="1518"/>
      <c r="AS149" s="1519"/>
      <c r="AT149" s="1518"/>
      <c r="AU149" s="1518"/>
      <c r="AV149" s="1518"/>
      <c r="AW149" s="1518"/>
      <c r="AX149" s="1518"/>
    </row>
    <row r="150" spans="1:50" s="1350" customFormat="1">
      <c r="A150" s="3379"/>
      <c r="B150" s="2524"/>
      <c r="C150" s="3018" t="s">
        <v>7670</v>
      </c>
      <c r="D150" s="3376"/>
      <c r="E150" s="805" t="s">
        <v>7671</v>
      </c>
      <c r="F150" s="1308"/>
      <c r="G150" s="3383"/>
      <c r="H150" s="3419"/>
      <c r="I150" s="3384"/>
      <c r="J150" s="1786"/>
      <c r="K150" s="3378"/>
      <c r="L150" s="1459"/>
      <c r="M150" s="2850"/>
      <c r="N150" s="3414"/>
      <c r="O150" s="3411"/>
      <c r="P150" s="3413"/>
      <c r="Q150" s="3588"/>
      <c r="R150" s="3162"/>
      <c r="S150" s="3412"/>
      <c r="T150" s="807"/>
      <c r="U150" s="1170"/>
      <c r="V150" s="3385"/>
      <c r="W150" s="3385"/>
      <c r="X150" s="1170"/>
      <c r="Y150" s="2422"/>
      <c r="Z150" s="3386"/>
      <c r="AA150" s="1555"/>
      <c r="AB150" s="2876"/>
      <c r="AC150" s="3253"/>
      <c r="AD150" s="3377"/>
      <c r="AE150" s="2752"/>
      <c r="AF150" s="3255"/>
      <c r="AG150" s="2969"/>
      <c r="AH150" s="1518"/>
      <c r="AI150" s="1519"/>
      <c r="AJ150" s="1518"/>
      <c r="AK150" s="1518"/>
      <c r="AL150" s="1518"/>
      <c r="AM150" s="1518"/>
      <c r="AN150" s="1518"/>
      <c r="AO150" s="1518"/>
      <c r="AP150" s="1518"/>
      <c r="AQ150" s="1519"/>
      <c r="AR150" s="1518"/>
      <c r="AS150" s="1519"/>
      <c r="AT150" s="1518"/>
      <c r="AU150" s="1518"/>
      <c r="AV150" s="1518"/>
      <c r="AW150" s="1518"/>
      <c r="AX150" s="1518"/>
    </row>
    <row r="151" spans="1:50" s="1350" customFormat="1">
      <c r="A151" s="3885" t="s">
        <v>7545</v>
      </c>
      <c r="B151" s="3885"/>
      <c r="C151" s="3885"/>
      <c r="D151" s="3885"/>
      <c r="E151" s="3885"/>
      <c r="F151" s="3885"/>
      <c r="G151" s="3885"/>
      <c r="H151" s="3885"/>
      <c r="I151" s="3885"/>
      <c r="J151" s="3885"/>
      <c r="K151" s="3885"/>
      <c r="L151" s="3885"/>
      <c r="M151" s="3885"/>
      <c r="N151" s="3886"/>
      <c r="O151" s="3886"/>
      <c r="P151" s="3258"/>
      <c r="Q151" s="3258"/>
      <c r="R151" s="3259"/>
      <c r="S151" s="3259"/>
      <c r="T151" s="1087"/>
      <c r="U151" s="2494"/>
      <c r="V151" s="2493"/>
      <c r="W151" s="2493"/>
      <c r="X151" s="2493"/>
      <c r="Y151" s="3274"/>
      <c r="Z151" s="3274"/>
      <c r="AA151" s="3275"/>
      <c r="AB151" s="3274">
        <f>SUM(AB140:AB147)</f>
        <v>14049000</v>
      </c>
      <c r="AC151" s="3145">
        <f>SUM(AC122:AC146)</f>
        <v>0</v>
      </c>
      <c r="AD151" s="3354"/>
      <c r="AE151" s="3145">
        <f>SUM(AE135:AE149)</f>
        <v>77522400</v>
      </c>
      <c r="AF151" s="3145">
        <f>SUM(AF135:AF149)</f>
        <v>104575400</v>
      </c>
      <c r="AG151" s="3147"/>
      <c r="AH151" s="1518"/>
      <c r="AI151" s="1519"/>
      <c r="AJ151" s="1518"/>
      <c r="AK151" s="1518"/>
      <c r="AL151" s="1518"/>
      <c r="AM151" s="1518"/>
      <c r="AN151" s="1518"/>
      <c r="AO151" s="1518"/>
      <c r="AP151" s="1518"/>
      <c r="AQ151" s="1519"/>
      <c r="AR151" s="1518"/>
      <c r="AS151" s="1519"/>
      <c r="AT151" s="1518"/>
      <c r="AU151" s="1518"/>
      <c r="AV151" s="1518"/>
      <c r="AW151" s="1518"/>
      <c r="AX151" s="1518"/>
    </row>
    <row r="152" spans="1:50" s="1350" customFormat="1" ht="26.4">
      <c r="A152" s="1738">
        <v>1</v>
      </c>
      <c r="B152" s="2188" t="s">
        <v>7726</v>
      </c>
      <c r="C152" s="2288">
        <v>307943995240</v>
      </c>
      <c r="D152" s="2159" t="s">
        <v>7726</v>
      </c>
      <c r="E152" s="2173" t="s">
        <v>7804</v>
      </c>
      <c r="F152" s="2421" t="s">
        <v>210</v>
      </c>
      <c r="G152" s="1745">
        <v>1</v>
      </c>
      <c r="H152" s="1745"/>
      <c r="I152" s="1745"/>
      <c r="J152" s="1957">
        <v>7137.8494333511098</v>
      </c>
      <c r="K152" s="3424" t="s">
        <v>7943</v>
      </c>
      <c r="L152" s="1587" t="s">
        <v>7741</v>
      </c>
      <c r="M152" s="3390">
        <v>1</v>
      </c>
      <c r="N152" s="2362" t="s">
        <v>7739</v>
      </c>
      <c r="O152" s="3405" t="s">
        <v>7740</v>
      </c>
      <c r="P152" s="3406" t="s">
        <v>7685</v>
      </c>
      <c r="Q152" s="3406"/>
      <c r="R152" s="3162" t="s">
        <v>7223</v>
      </c>
      <c r="S152" s="1587" t="s">
        <v>5944</v>
      </c>
      <c r="T152" s="1613"/>
      <c r="U152" s="2775"/>
      <c r="V152" s="3281">
        <v>1000000</v>
      </c>
      <c r="W152" s="3386">
        <v>497000</v>
      </c>
      <c r="X152" s="2775"/>
      <c r="Y152" s="2774"/>
      <c r="Z152" s="2916">
        <v>250000</v>
      </c>
      <c r="AA152" s="2775"/>
      <c r="AB152" s="2876">
        <f t="shared" ref="AB152" si="36">+U152+V152+W152+X152+Y152+Z152+AA152+T152</f>
        <v>1747000</v>
      </c>
      <c r="AC152" s="2358"/>
      <c r="AD152" s="2776"/>
      <c r="AE152" s="2753">
        <f>(AC152*1.08)+((AH152*$AH$4)+(G152*3450000+H152*3550000+I152*AI152)+(AJ152*$AJ$4)+(AK152*$AK$4)+(AL152*$AL$4)+(AM152*$AM$4*(G152+H152))+(AN152*$AN$4)+(AO152*$AO$4)+(AP152*$AP$4)+(AQ152*$AQ$4))*1.08</f>
        <v>5259600</v>
      </c>
      <c r="AF152" s="3215">
        <f t="shared" ref="AF152" si="37">+AB152+AE152</f>
        <v>7006600</v>
      </c>
      <c r="AG152" s="3188"/>
      <c r="AH152" s="1518">
        <v>1</v>
      </c>
      <c r="AI152" s="1897"/>
      <c r="AJ152" s="1518"/>
      <c r="AK152" s="1518"/>
      <c r="AL152" s="1518"/>
      <c r="AM152" s="1518"/>
      <c r="AN152" s="1518"/>
      <c r="AO152" s="1518"/>
      <c r="AP152" s="1518"/>
      <c r="AQ152" s="1897">
        <v>1</v>
      </c>
      <c r="AR152" s="1518"/>
      <c r="AS152" s="1897"/>
      <c r="AT152" s="1518"/>
      <c r="AU152" s="1518"/>
      <c r="AV152" s="1518"/>
      <c r="AW152" s="1518"/>
      <c r="AX152" s="1518"/>
    </row>
    <row r="153" spans="1:50" s="1350" customFormat="1" ht="26.4">
      <c r="A153" s="1742">
        <f t="shared" si="35"/>
        <v>2</v>
      </c>
      <c r="B153" s="2188" t="s">
        <v>7742</v>
      </c>
      <c r="C153" s="2288">
        <v>307947384750</v>
      </c>
      <c r="D153" s="2159" t="s">
        <v>7742</v>
      </c>
      <c r="E153" s="2173" t="s">
        <v>7805</v>
      </c>
      <c r="F153" s="2421" t="s">
        <v>210</v>
      </c>
      <c r="G153" s="1599"/>
      <c r="H153" s="3399">
        <v>1</v>
      </c>
      <c r="I153" s="1647"/>
      <c r="J153" s="2816">
        <v>12523.48</v>
      </c>
      <c r="K153" s="3424" t="s">
        <v>7709</v>
      </c>
      <c r="L153" s="1824" t="s">
        <v>7760</v>
      </c>
      <c r="M153" s="2516">
        <v>1</v>
      </c>
      <c r="N153" s="1824" t="s">
        <v>7759</v>
      </c>
      <c r="O153" s="1824" t="s">
        <v>7761</v>
      </c>
      <c r="P153" s="2616" t="s">
        <v>7708</v>
      </c>
      <c r="Q153" s="2616"/>
      <c r="R153" s="3400" t="s">
        <v>4181</v>
      </c>
      <c r="S153" s="1824" t="s">
        <v>7176</v>
      </c>
      <c r="T153" s="1647"/>
      <c r="U153" s="1555"/>
      <c r="V153" s="3386">
        <v>1500000</v>
      </c>
      <c r="W153" s="3386">
        <v>1276000</v>
      </c>
      <c r="X153" s="1555"/>
      <c r="Y153" s="2422"/>
      <c r="Z153" s="3422">
        <v>500000</v>
      </c>
      <c r="AA153" s="1555"/>
      <c r="AB153" s="2876">
        <f t="shared" ref="AB153:AB159" si="38">+U153+V153+W153+X153+Y153+Z153+AA153+T153</f>
        <v>3276000</v>
      </c>
      <c r="AC153" s="2358"/>
      <c r="AD153" s="1767" t="s">
        <v>8018</v>
      </c>
      <c r="AE153" s="2753">
        <f>(AC153*1.08)+((AH153*$AH$4)+(G153*3450000+H153*3550000+I153*AI153)+(AJ153*$AJ$4)+(AK153*$AK$4)+(AL153*$AL$4)+(AM153*$AM$4*(G153+H153))+(AN153*$AN$4)+(AO153*$AO$4)+(AP153*$AP$4)+(AQ153*$AQ$4))*1.08+600000*1.08</f>
        <v>5313600</v>
      </c>
      <c r="AF153" s="3215">
        <f t="shared" ref="AF153:AF163" si="39">+AB153+AE153</f>
        <v>8589600</v>
      </c>
      <c r="AG153" s="2904"/>
      <c r="AH153" s="1518">
        <v>1</v>
      </c>
      <c r="AI153" s="1519"/>
      <c r="AJ153" s="1518"/>
      <c r="AK153" s="1518"/>
      <c r="AL153" s="1518"/>
      <c r="AM153" s="1518"/>
      <c r="AN153" s="1518"/>
      <c r="AO153" s="1518"/>
      <c r="AP153" s="1518"/>
      <c r="AQ153" s="1519"/>
      <c r="AR153" s="1518"/>
      <c r="AS153" s="1519"/>
      <c r="AT153" s="1518"/>
      <c r="AU153" s="1518"/>
      <c r="AV153" s="1518"/>
      <c r="AW153" s="1518"/>
      <c r="AX153" s="1518"/>
    </row>
    <row r="154" spans="1:50" s="1350" customFormat="1">
      <c r="A154" s="1742">
        <f t="shared" si="35"/>
        <v>3</v>
      </c>
      <c r="B154" s="2188" t="s">
        <v>7631</v>
      </c>
      <c r="C154" s="2288">
        <v>307957786420</v>
      </c>
      <c r="D154" s="2159" t="s">
        <v>7631</v>
      </c>
      <c r="E154" s="2173" t="s">
        <v>7806</v>
      </c>
      <c r="F154" s="2039" t="s">
        <v>210</v>
      </c>
      <c r="G154" s="1599"/>
      <c r="H154" s="1647"/>
      <c r="I154" s="1745">
        <v>1</v>
      </c>
      <c r="J154" s="3189"/>
      <c r="K154" s="3424" t="s">
        <v>7672</v>
      </c>
      <c r="L154" s="1824" t="s">
        <v>7798</v>
      </c>
      <c r="M154" s="2516"/>
      <c r="N154" s="4072" t="s">
        <v>7673</v>
      </c>
      <c r="O154" s="4073"/>
      <c r="P154" s="1919" t="s">
        <v>7686</v>
      </c>
      <c r="Q154" s="1919"/>
      <c r="R154" s="1824" t="s">
        <v>7628</v>
      </c>
      <c r="S154" s="1824" t="s">
        <v>6288</v>
      </c>
      <c r="T154" s="1647"/>
      <c r="U154" s="2775"/>
      <c r="V154" s="2775"/>
      <c r="W154" s="2775"/>
      <c r="X154" s="2775"/>
      <c r="Y154" s="2774"/>
      <c r="Z154" s="2916">
        <v>26652</v>
      </c>
      <c r="AA154" s="2775"/>
      <c r="AB154" s="2876">
        <f t="shared" si="38"/>
        <v>26652</v>
      </c>
      <c r="AC154" s="2358"/>
      <c r="AD154" s="3371" t="s">
        <v>7738</v>
      </c>
      <c r="AE154" s="2753">
        <f>+(770000+2300000)*1.08+(1500000*1.08)</f>
        <v>4935600</v>
      </c>
      <c r="AF154" s="3215">
        <f t="shared" si="39"/>
        <v>4962252</v>
      </c>
      <c r="AG154" s="3188"/>
      <c r="AH154" s="1518">
        <v>1</v>
      </c>
      <c r="AI154" s="1897">
        <v>1</v>
      </c>
      <c r="AJ154" s="1518"/>
      <c r="AK154" s="1518"/>
      <c r="AL154" s="1518"/>
      <c r="AM154" s="1518"/>
      <c r="AN154" s="1518"/>
      <c r="AO154" s="1518"/>
      <c r="AP154" s="1518"/>
      <c r="AQ154" s="1897">
        <v>1</v>
      </c>
      <c r="AR154" s="1518"/>
      <c r="AS154" s="1897"/>
      <c r="AT154" s="1518"/>
      <c r="AU154" s="1518"/>
      <c r="AV154" s="1518"/>
      <c r="AW154" s="1518"/>
      <c r="AX154" s="1518"/>
    </row>
    <row r="155" spans="1:50" s="1350" customFormat="1" ht="15.6">
      <c r="A155" s="1742">
        <f t="shared" si="35"/>
        <v>4</v>
      </c>
      <c r="B155" s="3887" t="s">
        <v>7711</v>
      </c>
      <c r="C155" s="2288">
        <v>307972714140</v>
      </c>
      <c r="D155" s="2159" t="s">
        <v>7711</v>
      </c>
      <c r="E155" s="3867" t="s">
        <v>7939</v>
      </c>
      <c r="F155" s="3889" t="s">
        <v>210</v>
      </c>
      <c r="G155" s="2807">
        <v>1</v>
      </c>
      <c r="H155" s="2807"/>
      <c r="I155" s="1647"/>
      <c r="J155" s="2816">
        <v>17335.528926568499</v>
      </c>
      <c r="K155" s="3852" t="s">
        <v>7815</v>
      </c>
      <c r="L155" s="1824" t="s">
        <v>7864</v>
      </c>
      <c r="M155" s="3169">
        <v>1</v>
      </c>
      <c r="N155" s="1824" t="s">
        <v>7862</v>
      </c>
      <c r="O155" s="1824" t="s">
        <v>7863</v>
      </c>
      <c r="P155" s="3854" t="s">
        <v>7881</v>
      </c>
      <c r="Q155" s="3854"/>
      <c r="R155" s="3856" t="s">
        <v>7223</v>
      </c>
      <c r="S155" s="1824" t="s">
        <v>5944</v>
      </c>
      <c r="T155" s="1647"/>
      <c r="U155" s="1555"/>
      <c r="V155" s="3386">
        <v>1000000</v>
      </c>
      <c r="W155" s="3386">
        <v>994000</v>
      </c>
      <c r="X155" s="1555"/>
      <c r="Y155" s="248"/>
      <c r="Z155" s="2916">
        <v>250000</v>
      </c>
      <c r="AA155" s="1555"/>
      <c r="AB155" s="2876" t="e">
        <f>+U155+V155+W155+X155+#REF!+Z155+AA155+T155</f>
        <v>#REF!</v>
      </c>
      <c r="AC155" s="2358"/>
      <c r="AD155" s="1767"/>
      <c r="AE155" s="2753">
        <f t="shared" ref="AE155:AE163" si="40">(AC155*1.08)+((AH155*$AH$4)+(G155*3450000+H155*3550000+I155*AI155)+(AJ155*$AJ$4)+(AK155*$AK$4)+(AL155*$AL$4)+(AM155*$AM$4*(G155+H155))+(AN155*$AN$4)+(AO155*$AO$4)+(AP155*$AP$4)+(AQ155*$AQ$4))*1.08</f>
        <v>5259600</v>
      </c>
      <c r="AF155" s="3215" t="e">
        <f t="shared" si="39"/>
        <v>#REF!</v>
      </c>
      <c r="AG155" s="2904"/>
      <c r="AH155" s="1518">
        <v>1</v>
      </c>
      <c r="AI155" s="1519"/>
      <c r="AJ155" s="1518"/>
      <c r="AK155" s="1518"/>
      <c r="AL155" s="1518"/>
      <c r="AM155" s="1518"/>
      <c r="AN155" s="1518"/>
      <c r="AO155" s="1518"/>
      <c r="AP155" s="1518"/>
      <c r="AQ155" s="1897">
        <v>1</v>
      </c>
      <c r="AR155" s="1518"/>
      <c r="AS155" s="1519"/>
      <c r="AT155" s="1518"/>
      <c r="AU155" s="1518"/>
      <c r="AV155" s="1518"/>
      <c r="AW155" s="1518"/>
      <c r="AX155" s="1518"/>
    </row>
    <row r="156" spans="1:50" s="1350" customFormat="1">
      <c r="A156" s="1742">
        <f t="shared" si="35"/>
        <v>5</v>
      </c>
      <c r="B156" s="3866"/>
      <c r="C156" s="2288">
        <v>307972771430</v>
      </c>
      <c r="D156" s="2159" t="s">
        <v>7711</v>
      </c>
      <c r="E156" s="3875"/>
      <c r="F156" s="3889"/>
      <c r="G156" s="2807">
        <v>1</v>
      </c>
      <c r="H156" s="2807"/>
      <c r="I156" s="1647"/>
      <c r="J156" s="2816">
        <v>15804.5719270216</v>
      </c>
      <c r="K156" s="3871"/>
      <c r="L156" s="1824" t="s">
        <v>7867</v>
      </c>
      <c r="M156" s="3169">
        <v>2</v>
      </c>
      <c r="N156" s="1824" t="s">
        <v>7865</v>
      </c>
      <c r="O156" s="1824" t="s">
        <v>7866</v>
      </c>
      <c r="P156" s="3860"/>
      <c r="Q156" s="3860"/>
      <c r="R156" s="3858"/>
      <c r="S156" s="1824" t="s">
        <v>5972</v>
      </c>
      <c r="T156" s="1647"/>
      <c r="U156" s="1555"/>
      <c r="V156" s="3386">
        <v>1000000</v>
      </c>
      <c r="W156" s="1555"/>
      <c r="X156" s="1555"/>
      <c r="Y156" s="2422"/>
      <c r="Z156" s="2916">
        <v>250000</v>
      </c>
      <c r="AA156" s="1555"/>
      <c r="AB156" s="2876">
        <f t="shared" si="38"/>
        <v>1250000</v>
      </c>
      <c r="AC156" s="2358"/>
      <c r="AD156" s="1767"/>
      <c r="AE156" s="2753">
        <f t="shared" si="40"/>
        <v>5259600</v>
      </c>
      <c r="AF156" s="3215">
        <f t="shared" si="39"/>
        <v>6509600</v>
      </c>
      <c r="AG156" s="2904"/>
      <c r="AH156" s="1518">
        <v>1</v>
      </c>
      <c r="AI156" s="1519"/>
      <c r="AJ156" s="1518"/>
      <c r="AK156" s="1518"/>
      <c r="AL156" s="1518"/>
      <c r="AM156" s="1518"/>
      <c r="AN156" s="1518"/>
      <c r="AO156" s="1518"/>
      <c r="AP156" s="1518"/>
      <c r="AQ156" s="1897">
        <v>1</v>
      </c>
      <c r="AR156" s="1518"/>
      <c r="AS156" s="1519"/>
      <c r="AT156" s="1518"/>
      <c r="AU156" s="1518"/>
      <c r="AV156" s="1518"/>
      <c r="AW156" s="1518"/>
      <c r="AX156" s="1518"/>
    </row>
    <row r="157" spans="1:50" s="1350" customFormat="1" ht="16.5" customHeight="1">
      <c r="A157" s="1742">
        <f t="shared" si="35"/>
        <v>6</v>
      </c>
      <c r="B157" s="3881" t="s">
        <v>7839</v>
      </c>
      <c r="C157" s="2288">
        <v>307979190540</v>
      </c>
      <c r="D157" s="2159" t="s">
        <v>7839</v>
      </c>
      <c r="E157" s="3875"/>
      <c r="F157" s="3889"/>
      <c r="G157" s="2807">
        <v>1</v>
      </c>
      <c r="H157" s="2807"/>
      <c r="I157" s="1566"/>
      <c r="J157" s="2816">
        <v>17067.215671755901</v>
      </c>
      <c r="K157" s="3871"/>
      <c r="L157" s="1824" t="s">
        <v>7898</v>
      </c>
      <c r="M157" s="3169">
        <v>3</v>
      </c>
      <c r="N157" s="1824" t="s">
        <v>7884</v>
      </c>
      <c r="O157" s="1824" t="s">
        <v>7886</v>
      </c>
      <c r="P157" s="3860"/>
      <c r="Q157" s="3860"/>
      <c r="R157" s="3858"/>
      <c r="S157" s="1824" t="s">
        <v>6056</v>
      </c>
      <c r="T157" s="1647"/>
      <c r="U157" s="1555"/>
      <c r="V157" s="3386">
        <v>1000000</v>
      </c>
      <c r="W157" s="3386">
        <v>1379000</v>
      </c>
      <c r="X157" s="1555"/>
      <c r="Y157" s="2422"/>
      <c r="Z157" s="2916">
        <v>250000</v>
      </c>
      <c r="AA157" s="1555"/>
      <c r="AB157" s="2876">
        <f t="shared" si="38"/>
        <v>2629000</v>
      </c>
      <c r="AC157" s="2358"/>
      <c r="AD157" s="1767"/>
      <c r="AE157" s="2753">
        <f t="shared" si="40"/>
        <v>5259600</v>
      </c>
      <c r="AF157" s="3215">
        <f t="shared" si="39"/>
        <v>7888600</v>
      </c>
      <c r="AG157" s="2904"/>
      <c r="AH157" s="1518">
        <v>1</v>
      </c>
      <c r="AI157" s="1519"/>
      <c r="AJ157" s="1518"/>
      <c r="AK157" s="1518"/>
      <c r="AL157" s="1518"/>
      <c r="AM157" s="1518"/>
      <c r="AN157" s="1518"/>
      <c r="AO157" s="1518"/>
      <c r="AP157" s="1518"/>
      <c r="AQ157" s="1897">
        <v>1</v>
      </c>
      <c r="AR157" s="1518"/>
      <c r="AS157" s="1519"/>
      <c r="AT157" s="1518"/>
      <c r="AU157" s="1518"/>
      <c r="AV157" s="1518"/>
      <c r="AW157" s="1518"/>
      <c r="AX157" s="1518"/>
    </row>
    <row r="158" spans="1:50" s="1350" customFormat="1">
      <c r="A158" s="1742">
        <f t="shared" si="35"/>
        <v>7</v>
      </c>
      <c r="B158" s="3888"/>
      <c r="C158" s="2288">
        <v>307983511860</v>
      </c>
      <c r="D158" s="1919" t="s">
        <v>7844</v>
      </c>
      <c r="E158" s="3875"/>
      <c r="F158" s="3889"/>
      <c r="G158" s="2807">
        <v>1</v>
      </c>
      <c r="H158" s="2807"/>
      <c r="I158" s="1647"/>
      <c r="J158" s="2816">
        <v>16855.5</v>
      </c>
      <c r="K158" s="3871"/>
      <c r="L158" s="1824" t="s">
        <v>7909</v>
      </c>
      <c r="M158" s="3169">
        <v>4</v>
      </c>
      <c r="N158" s="1824" t="s">
        <v>7908</v>
      </c>
      <c r="O158" s="1824"/>
      <c r="P158" s="3860"/>
      <c r="Q158" s="3860"/>
      <c r="R158" s="3858"/>
      <c r="S158" s="1824" t="s">
        <v>6056</v>
      </c>
      <c r="T158" s="1647"/>
      <c r="U158" s="1555"/>
      <c r="V158" s="3386">
        <v>1000000</v>
      </c>
      <c r="W158" s="3386">
        <v>497000</v>
      </c>
      <c r="X158" s="1555"/>
      <c r="Y158" s="2422"/>
      <c r="Z158" s="2916">
        <v>250000</v>
      </c>
      <c r="AA158" s="1555"/>
      <c r="AB158" s="2876">
        <f t="shared" si="38"/>
        <v>1747000</v>
      </c>
      <c r="AC158" s="2358"/>
      <c r="AD158" s="1767"/>
      <c r="AE158" s="2753">
        <f t="shared" si="40"/>
        <v>5259600</v>
      </c>
      <c r="AF158" s="3215">
        <f t="shared" si="39"/>
        <v>7006600</v>
      </c>
      <c r="AG158" s="2904"/>
      <c r="AH158" s="1518">
        <v>1</v>
      </c>
      <c r="AI158" s="1519"/>
      <c r="AJ158" s="1518"/>
      <c r="AK158" s="1518"/>
      <c r="AL158" s="1518"/>
      <c r="AM158" s="1518"/>
      <c r="AN158" s="1518"/>
      <c r="AO158" s="1518"/>
      <c r="AP158" s="1518"/>
      <c r="AQ158" s="1897">
        <v>1</v>
      </c>
      <c r="AR158" s="1518"/>
      <c r="AS158" s="1519"/>
      <c r="AT158" s="1518"/>
      <c r="AU158" s="1518"/>
      <c r="AV158" s="1518"/>
      <c r="AW158" s="1518"/>
      <c r="AX158" s="1518"/>
    </row>
    <row r="159" spans="1:50" s="1350" customFormat="1">
      <c r="A159" s="1742">
        <f t="shared" si="35"/>
        <v>8</v>
      </c>
      <c r="B159" s="3866"/>
      <c r="C159" s="2288">
        <v>307979128830</v>
      </c>
      <c r="D159" s="2159" t="s">
        <v>7839</v>
      </c>
      <c r="E159" s="3868"/>
      <c r="F159" s="3889"/>
      <c r="G159" s="2807"/>
      <c r="H159" s="3519">
        <v>1</v>
      </c>
      <c r="I159" s="1647"/>
      <c r="J159" s="2816">
        <v>18170</v>
      </c>
      <c r="K159" s="3853"/>
      <c r="L159" s="1824" t="s">
        <v>7899</v>
      </c>
      <c r="M159" s="3169">
        <v>5</v>
      </c>
      <c r="N159" s="1824" t="s">
        <v>7885</v>
      </c>
      <c r="O159" s="1824" t="s">
        <v>7887</v>
      </c>
      <c r="P159" s="3855"/>
      <c r="Q159" s="3855"/>
      <c r="R159" s="3859"/>
      <c r="S159" s="1824" t="s">
        <v>7447</v>
      </c>
      <c r="T159" s="1647"/>
      <c r="U159" s="1555"/>
      <c r="V159" s="3386">
        <v>1500000</v>
      </c>
      <c r="W159" s="1555"/>
      <c r="X159" s="1555"/>
      <c r="Y159" s="2422"/>
      <c r="Z159" s="2916">
        <v>500000</v>
      </c>
      <c r="AA159" s="1555"/>
      <c r="AB159" s="2876">
        <f t="shared" si="38"/>
        <v>2000000</v>
      </c>
      <c r="AC159" s="2358"/>
      <c r="AD159" s="1767" t="s">
        <v>7856</v>
      </c>
      <c r="AE159" s="2753">
        <f t="shared" si="40"/>
        <v>5367600</v>
      </c>
      <c r="AF159" s="3215">
        <f t="shared" si="39"/>
        <v>7367600</v>
      </c>
      <c r="AG159" s="2904"/>
      <c r="AH159" s="1518">
        <v>1</v>
      </c>
      <c r="AI159" s="1519"/>
      <c r="AJ159" s="1518"/>
      <c r="AK159" s="1518"/>
      <c r="AL159" s="1518"/>
      <c r="AM159" s="1518"/>
      <c r="AN159" s="1518"/>
      <c r="AO159" s="1518"/>
      <c r="AP159" s="1518"/>
      <c r="AQ159" s="1897">
        <v>1</v>
      </c>
      <c r="AR159" s="1518"/>
      <c r="AS159" s="1519"/>
      <c r="AT159" s="1518"/>
      <c r="AU159" s="1518"/>
      <c r="AV159" s="1518"/>
      <c r="AW159" s="1518"/>
      <c r="AX159" s="1518"/>
    </row>
    <row r="160" spans="1:50" s="1350" customFormat="1" ht="26.4">
      <c r="A160" s="1742">
        <f t="shared" si="35"/>
        <v>9</v>
      </c>
      <c r="B160" s="2535" t="s">
        <v>7944</v>
      </c>
      <c r="C160" s="2288">
        <v>307995631440</v>
      </c>
      <c r="D160" s="2159" t="s">
        <v>7944</v>
      </c>
      <c r="E160" s="2173" t="s">
        <v>7964</v>
      </c>
      <c r="F160" s="2039" t="s">
        <v>210</v>
      </c>
      <c r="G160" s="2807"/>
      <c r="H160" s="3399">
        <v>1</v>
      </c>
      <c r="I160" s="1647"/>
      <c r="J160" s="2816">
        <v>16196.18</v>
      </c>
      <c r="K160" s="3168" t="s">
        <v>7840</v>
      </c>
      <c r="L160" s="1824" t="s">
        <v>7963</v>
      </c>
      <c r="M160" s="1824" t="s">
        <v>973</v>
      </c>
      <c r="N160" s="1824" t="s">
        <v>7961</v>
      </c>
      <c r="O160" s="1824" t="s">
        <v>7962</v>
      </c>
      <c r="P160" s="3170" t="s">
        <v>7958</v>
      </c>
      <c r="Q160" s="3170"/>
      <c r="R160" s="3441" t="s">
        <v>7223</v>
      </c>
      <c r="S160" s="1824" t="s">
        <v>6056</v>
      </c>
      <c r="T160" s="1647"/>
      <c r="U160" s="1555"/>
      <c r="V160" s="3386">
        <v>1280000</v>
      </c>
      <c r="W160" s="3386">
        <v>882000</v>
      </c>
      <c r="X160" s="1555"/>
      <c r="Y160" s="2422"/>
      <c r="Z160" s="2916">
        <v>500000</v>
      </c>
      <c r="AA160" s="1555"/>
      <c r="AB160" s="2876">
        <f t="shared" ref="AB160:AB163" si="41">+U160+V160+W160+X160+Y160+Z160+AA160+T160</f>
        <v>2662000</v>
      </c>
      <c r="AC160" s="2358"/>
      <c r="AD160" s="1767"/>
      <c r="AE160" s="2753">
        <f t="shared" si="40"/>
        <v>5367600</v>
      </c>
      <c r="AF160" s="3215">
        <f t="shared" si="39"/>
        <v>8029600</v>
      </c>
      <c r="AG160" s="2904"/>
      <c r="AH160" s="1518">
        <v>1</v>
      </c>
      <c r="AI160" s="1519"/>
      <c r="AJ160" s="1518"/>
      <c r="AK160" s="1518"/>
      <c r="AL160" s="1518"/>
      <c r="AM160" s="1518"/>
      <c r="AN160" s="1518"/>
      <c r="AO160" s="1518"/>
      <c r="AP160" s="1518"/>
      <c r="AQ160" s="1897">
        <v>1</v>
      </c>
      <c r="AR160" s="1518"/>
    </row>
    <row r="161" spans="1:50" s="1350" customFormat="1" ht="25.5" customHeight="1">
      <c r="A161" s="1742">
        <f t="shared" si="35"/>
        <v>10</v>
      </c>
      <c r="B161" s="3881" t="s">
        <v>7954</v>
      </c>
      <c r="C161" s="2288">
        <v>308000154510</v>
      </c>
      <c r="D161" s="2159" t="s">
        <v>7954</v>
      </c>
      <c r="E161" s="3867" t="s">
        <v>7989</v>
      </c>
      <c r="F161" s="3878" t="s">
        <v>210</v>
      </c>
      <c r="G161" s="2807">
        <v>1</v>
      </c>
      <c r="H161" s="1647"/>
      <c r="I161" s="1647"/>
      <c r="J161" s="2816">
        <v>17265.900000000001</v>
      </c>
      <c r="K161" s="3852" t="s">
        <v>7870</v>
      </c>
      <c r="L161" s="1824" t="s">
        <v>7973</v>
      </c>
      <c r="M161" s="1824" t="s">
        <v>973</v>
      </c>
      <c r="N161" s="1824" t="s">
        <v>7971</v>
      </c>
      <c r="O161" s="1824" t="s">
        <v>7972</v>
      </c>
      <c r="P161" s="3854" t="s">
        <v>7871</v>
      </c>
      <c r="Q161" s="3584"/>
      <c r="R161" s="3882" t="s">
        <v>7223</v>
      </c>
      <c r="S161" s="1824" t="s">
        <v>5972</v>
      </c>
      <c r="T161" s="1647"/>
      <c r="U161" s="1555"/>
      <c r="V161" s="3386">
        <v>900000</v>
      </c>
      <c r="W161" s="3386">
        <v>1491000</v>
      </c>
      <c r="X161" s="1555"/>
      <c r="Y161" s="2422"/>
      <c r="Z161" s="3386">
        <v>250000</v>
      </c>
      <c r="AA161" s="1555"/>
      <c r="AB161" s="2876">
        <f t="shared" si="41"/>
        <v>2641000</v>
      </c>
      <c r="AC161" s="2358"/>
      <c r="AD161" s="1767"/>
      <c r="AE161" s="2753">
        <f t="shared" si="40"/>
        <v>5259600</v>
      </c>
      <c r="AF161" s="3215">
        <f t="shared" si="39"/>
        <v>7900600</v>
      </c>
      <c r="AG161" s="2904"/>
      <c r="AH161" s="1518">
        <v>1</v>
      </c>
      <c r="AI161" s="1519"/>
      <c r="AJ161" s="1518"/>
      <c r="AK161" s="1518"/>
      <c r="AL161" s="1518"/>
      <c r="AM161" s="1518"/>
      <c r="AN161" s="1518"/>
      <c r="AO161" s="1518"/>
      <c r="AP161" s="1518"/>
      <c r="AQ161" s="1897">
        <v>1</v>
      </c>
      <c r="AR161" s="1518"/>
    </row>
    <row r="162" spans="1:50" s="1350" customFormat="1">
      <c r="A162" s="1742">
        <f t="shared" si="35"/>
        <v>11</v>
      </c>
      <c r="B162" s="3873"/>
      <c r="C162" s="2288">
        <v>308000205500</v>
      </c>
      <c r="D162" s="2159" t="s">
        <v>7954</v>
      </c>
      <c r="E162" s="3875"/>
      <c r="F162" s="3879"/>
      <c r="G162" s="2807">
        <v>1</v>
      </c>
      <c r="H162" s="1647"/>
      <c r="I162" s="1647"/>
      <c r="J162" s="2816">
        <v>17575.400000000001</v>
      </c>
      <c r="K162" s="3871"/>
      <c r="L162" s="1824" t="s">
        <v>7974</v>
      </c>
      <c r="M162" s="1616" t="s">
        <v>4899</v>
      </c>
      <c r="N162" s="1824" t="s">
        <v>7976</v>
      </c>
      <c r="O162" s="1824" t="s">
        <v>7977</v>
      </c>
      <c r="P162" s="3860"/>
      <c r="Q162" s="3585"/>
      <c r="R162" s="3883"/>
      <c r="S162" s="1824" t="s">
        <v>5944</v>
      </c>
      <c r="T162" s="1647"/>
      <c r="U162" s="1555"/>
      <c r="V162" s="3386">
        <v>900000</v>
      </c>
      <c r="W162" s="1555"/>
      <c r="X162" s="1555"/>
      <c r="Y162" s="2422"/>
      <c r="Z162" s="3386">
        <v>250000</v>
      </c>
      <c r="AA162" s="1555"/>
      <c r="AB162" s="2876">
        <f t="shared" si="41"/>
        <v>1150000</v>
      </c>
      <c r="AC162" s="2358"/>
      <c r="AD162" s="1767"/>
      <c r="AE162" s="2753">
        <f t="shared" si="40"/>
        <v>5259600</v>
      </c>
      <c r="AF162" s="3215">
        <f t="shared" si="39"/>
        <v>6409600</v>
      </c>
      <c r="AG162" s="2904"/>
      <c r="AH162" s="1518">
        <v>1</v>
      </c>
      <c r="AI162" s="1519"/>
      <c r="AJ162" s="1518"/>
      <c r="AK162" s="1518"/>
      <c r="AL162" s="1518"/>
      <c r="AM162" s="1518"/>
      <c r="AN162" s="1518"/>
      <c r="AO162" s="1518"/>
      <c r="AP162" s="1518"/>
      <c r="AQ162" s="1897">
        <v>1</v>
      </c>
      <c r="AR162" s="1518"/>
    </row>
    <row r="163" spans="1:50" s="1350" customFormat="1">
      <c r="A163" s="1742">
        <f t="shared" si="35"/>
        <v>12</v>
      </c>
      <c r="B163" s="3874"/>
      <c r="C163" s="2288">
        <v>308000247020</v>
      </c>
      <c r="D163" s="2159" t="s">
        <v>7954</v>
      </c>
      <c r="E163" s="3868"/>
      <c r="F163" s="3880"/>
      <c r="G163" s="2807">
        <v>1</v>
      </c>
      <c r="H163" s="1647"/>
      <c r="I163" s="1647"/>
      <c r="J163" s="2816">
        <v>17648.7</v>
      </c>
      <c r="K163" s="3853"/>
      <c r="L163" s="1824" t="s">
        <v>7975</v>
      </c>
      <c r="M163" s="1824" t="s">
        <v>7980</v>
      </c>
      <c r="N163" s="1824" t="s">
        <v>7978</v>
      </c>
      <c r="O163" s="1824" t="s">
        <v>7979</v>
      </c>
      <c r="P163" s="3855"/>
      <c r="Q163" s="3586"/>
      <c r="R163" s="3884"/>
      <c r="S163" s="1824" t="s">
        <v>7176</v>
      </c>
      <c r="T163" s="1647"/>
      <c r="U163" s="1555"/>
      <c r="V163" s="3386">
        <v>900000</v>
      </c>
      <c r="W163" s="1555"/>
      <c r="X163" s="1555"/>
      <c r="Y163" s="2422"/>
      <c r="Z163" s="3386">
        <v>250000</v>
      </c>
      <c r="AA163" s="1555"/>
      <c r="AB163" s="2876">
        <f t="shared" si="41"/>
        <v>1150000</v>
      </c>
      <c r="AC163" s="2358"/>
      <c r="AD163" s="1767"/>
      <c r="AE163" s="2753">
        <f t="shared" si="40"/>
        <v>5259600</v>
      </c>
      <c r="AF163" s="3215">
        <f t="shared" si="39"/>
        <v>6409600</v>
      </c>
      <c r="AG163" s="2904"/>
      <c r="AH163" s="1518">
        <v>1</v>
      </c>
      <c r="AI163" s="1519"/>
      <c r="AJ163" s="1518"/>
      <c r="AK163" s="1518"/>
      <c r="AL163" s="1518"/>
      <c r="AM163" s="1518"/>
      <c r="AN163" s="1518"/>
      <c r="AO163" s="1518"/>
      <c r="AP163" s="1518"/>
      <c r="AQ163" s="1897">
        <v>1</v>
      </c>
      <c r="AR163" s="1518"/>
    </row>
    <row r="164" spans="1:50" s="1350" customFormat="1">
      <c r="A164" s="3885" t="s">
        <v>7970</v>
      </c>
      <c r="B164" s="3885"/>
      <c r="C164" s="3885"/>
      <c r="D164" s="3885"/>
      <c r="E164" s="3885"/>
      <c r="F164" s="3885"/>
      <c r="G164" s="3885"/>
      <c r="H164" s="3885"/>
      <c r="I164" s="3885"/>
      <c r="J164" s="3885"/>
      <c r="K164" s="3885"/>
      <c r="L164" s="3885"/>
      <c r="M164" s="3885"/>
      <c r="N164" s="3886"/>
      <c r="O164" s="3886"/>
      <c r="P164" s="3258"/>
      <c r="Q164" s="3258"/>
      <c r="R164" s="3259"/>
      <c r="S164" s="3259"/>
      <c r="T164" s="1087"/>
      <c r="U164" s="2494"/>
      <c r="V164" s="2493"/>
      <c r="W164" s="2493"/>
      <c r="X164" s="2493"/>
      <c r="Y164" s="3274"/>
      <c r="Z164" s="3274"/>
      <c r="AA164" s="3275"/>
      <c r="AB164" s="3274"/>
      <c r="AC164" s="3145">
        <f>SUM(AC135:AC159)</f>
        <v>0</v>
      </c>
      <c r="AD164" s="3522"/>
      <c r="AE164" s="3274">
        <f>SUM(AE152:AE163)</f>
        <v>63061200</v>
      </c>
      <c r="AF164" s="3274" t="e">
        <f>SUM(AF152:AF163)</f>
        <v>#REF!</v>
      </c>
      <c r="AG164" s="3147"/>
      <c r="AH164" s="1518"/>
      <c r="AI164" s="1519"/>
      <c r="AJ164" s="1518"/>
      <c r="AK164" s="1518"/>
      <c r="AL164" s="1518"/>
      <c r="AM164" s="1518"/>
      <c r="AN164" s="1518"/>
      <c r="AO164" s="1518"/>
      <c r="AP164" s="1518"/>
      <c r="AQ164" s="1519"/>
      <c r="AR164" s="1518"/>
      <c r="AS164" s="1519"/>
      <c r="AT164" s="1518"/>
      <c r="AU164" s="1518"/>
      <c r="AV164" s="1518"/>
      <c r="AW164" s="1518"/>
      <c r="AX164" s="1518"/>
    </row>
    <row r="165" spans="1:50" s="1350" customFormat="1" ht="26.4">
      <c r="A165" s="1738">
        <v>1</v>
      </c>
      <c r="B165" s="2960">
        <v>45669</v>
      </c>
      <c r="C165" s="2288">
        <v>308013672650</v>
      </c>
      <c r="D165" s="2159" t="s">
        <v>7992</v>
      </c>
      <c r="E165" s="2173" t="s">
        <v>8088</v>
      </c>
      <c r="F165" s="3612" t="s">
        <v>210</v>
      </c>
      <c r="G165" s="3612"/>
      <c r="H165" s="3612">
        <v>1</v>
      </c>
      <c r="I165" s="1647"/>
      <c r="J165" s="2816">
        <v>22178.74</v>
      </c>
      <c r="K165" s="3612" t="s">
        <v>8020</v>
      </c>
      <c r="L165" s="1824" t="s">
        <v>8044</v>
      </c>
      <c r="M165" s="2516">
        <v>1</v>
      </c>
      <c r="N165" s="1919" t="s">
        <v>8038</v>
      </c>
      <c r="O165" s="1919" t="s">
        <v>8043</v>
      </c>
      <c r="P165" s="1919" t="s">
        <v>8021</v>
      </c>
      <c r="Q165" s="1919"/>
      <c r="R165" s="3441" t="s">
        <v>7223</v>
      </c>
      <c r="S165" s="1824" t="s">
        <v>5942</v>
      </c>
      <c r="T165" s="1647"/>
      <c r="U165" s="2775"/>
      <c r="V165" s="2277">
        <v>1500000</v>
      </c>
      <c r="W165" s="3386">
        <v>882000</v>
      </c>
      <c r="X165" s="2775"/>
      <c r="Y165" s="2774"/>
      <c r="Z165" s="2916">
        <v>500000</v>
      </c>
      <c r="AA165" s="2775"/>
      <c r="AB165" s="2876">
        <f t="shared" ref="AB165" si="42">+U165+V165+W165+X165+Y165+Z165+AA165+T165</f>
        <v>2882000</v>
      </c>
      <c r="AC165" s="2358"/>
      <c r="AD165" s="2776" t="s">
        <v>8041</v>
      </c>
      <c r="AE165" s="3232">
        <f t="shared" ref="AE165" si="43">(AC165*1.08)+((AH165*$AH$4)+(G165*3450000+H165*3550000+I165*AI165)+(AJ165*$AJ$4)+(AK165*$AK$4)+(AL165*$AL$4)+(AM165*$AM$4*(G165+H165))+(AN165*$AN$4)+(AO165*$AO$4)+(AP165*$AP$4)+(AQ165*$AQ$4))*1.08</f>
        <v>3834000.0000000005</v>
      </c>
      <c r="AF165" s="3215">
        <f t="shared" ref="AF165" si="44">+AB165+AE165</f>
        <v>6716000</v>
      </c>
      <c r="AG165" s="3188"/>
      <c r="AH165" s="1518"/>
      <c r="AI165" s="1897"/>
      <c r="AJ165" s="1518"/>
      <c r="AK165" s="1518"/>
      <c r="AL165" s="1518"/>
      <c r="AM165" s="1518"/>
      <c r="AN165" s="1518"/>
      <c r="AO165" s="1518"/>
      <c r="AP165" s="1518"/>
      <c r="AQ165" s="1518"/>
      <c r="AR165" s="1518"/>
    </row>
    <row r="166" spans="1:50" s="1350" customFormat="1" ht="16.2">
      <c r="A166" s="1738">
        <f t="shared" si="35"/>
        <v>2</v>
      </c>
      <c r="B166" s="2253" t="s">
        <v>8229</v>
      </c>
      <c r="C166" s="3876" t="s">
        <v>8133</v>
      </c>
      <c r="D166" s="3877"/>
      <c r="E166" s="3461"/>
      <c r="F166" s="3612" t="s">
        <v>210</v>
      </c>
      <c r="G166" s="3461"/>
      <c r="H166" s="3612">
        <v>1</v>
      </c>
      <c r="I166" s="1647"/>
      <c r="J166" s="3189"/>
      <c r="K166" s="3612"/>
      <c r="L166" s="1566"/>
      <c r="M166" s="1566"/>
      <c r="N166" s="1566"/>
      <c r="O166" s="1824"/>
      <c r="P166" s="3170"/>
      <c r="Q166" s="3170"/>
      <c r="R166" s="1824"/>
      <c r="S166" s="1824"/>
      <c r="T166" s="1647"/>
      <c r="U166" s="1555"/>
      <c r="V166" s="1555"/>
      <c r="W166" s="1555"/>
      <c r="X166" s="1555"/>
      <c r="Y166" s="2422"/>
      <c r="Z166" s="2422"/>
      <c r="AA166" s="1555"/>
      <c r="AB166" s="2876">
        <f t="shared" ref="AB166" si="45">+U166+V166+W166+X166+Y166+Z166+AA166+T166</f>
        <v>0</v>
      </c>
      <c r="AC166" s="2358"/>
      <c r="AD166" s="1767" t="s">
        <v>8134</v>
      </c>
      <c r="AE166" s="3232">
        <f t="shared" ref="AE166:AE172" si="46">(AC166*1.08)+((AH166*$AH$4)+(G166*3450000+H166*3550000+I166*AI166)+(AJ166*$AJ$4)+(AK166*$AK$4)+(AL166*$AL$4)+(AM166*$AM$4*(G166+H166))+(AN166*$AN$4)+(AO166*$AO$4)+(AP166*$AP$4)+(AQ166*$AQ$4))*1.08</f>
        <v>3834000.0000000005</v>
      </c>
      <c r="AF166" s="3215">
        <f t="shared" ref="AF166:AF172" si="47">+AB166+AE166</f>
        <v>3834000.0000000005</v>
      </c>
      <c r="AG166" s="2904"/>
      <c r="AH166" s="1518"/>
      <c r="AI166" s="1519"/>
      <c r="AJ166" s="1518"/>
      <c r="AK166" s="1518"/>
      <c r="AL166" s="1518"/>
      <c r="AM166" s="1518"/>
      <c r="AN166" s="1518"/>
      <c r="AO166" s="1518"/>
      <c r="AP166" s="1518"/>
      <c r="AQ166" s="1518"/>
      <c r="AR166" s="1518"/>
    </row>
    <row r="167" spans="1:50" s="1350" customFormat="1" ht="18" customHeight="1">
      <c r="A167" s="3865">
        <f t="shared" si="35"/>
        <v>3</v>
      </c>
      <c r="B167" s="3862">
        <v>45973</v>
      </c>
      <c r="C167" s="2288">
        <v>308046249840</v>
      </c>
      <c r="D167" s="2159" t="s">
        <v>8146</v>
      </c>
      <c r="E167" s="3867" t="s">
        <v>8212</v>
      </c>
      <c r="F167" s="3861" t="s">
        <v>210</v>
      </c>
      <c r="G167" s="1599">
        <v>1</v>
      </c>
      <c r="H167" s="1647"/>
      <c r="I167" s="1647"/>
      <c r="J167" s="2816">
        <v>17112.5456976311</v>
      </c>
      <c r="K167" s="3861" t="s">
        <v>8157</v>
      </c>
      <c r="L167" s="1824" t="s">
        <v>8175</v>
      </c>
      <c r="M167" s="2516">
        <v>4</v>
      </c>
      <c r="N167" s="1919" t="s">
        <v>8173</v>
      </c>
      <c r="O167" s="1919" t="s">
        <v>8174</v>
      </c>
      <c r="P167" s="3863" t="s">
        <v>8183</v>
      </c>
      <c r="Q167" s="3869" t="s">
        <v>8180</v>
      </c>
      <c r="R167" s="3856" t="s">
        <v>7223</v>
      </c>
      <c r="S167" s="1824" t="s">
        <v>6056</v>
      </c>
      <c r="T167" s="1647"/>
      <c r="U167" s="2775"/>
      <c r="V167" s="2277">
        <v>2000000</v>
      </c>
      <c r="W167" s="3386">
        <v>994000</v>
      </c>
      <c r="X167" s="2775"/>
      <c r="Y167" s="2774"/>
      <c r="Z167" s="3422">
        <v>250000</v>
      </c>
      <c r="AA167" s="2775"/>
      <c r="AB167" s="2876">
        <f t="shared" ref="AB167:AB173" si="48">+U167+V167+W167+X167+Y167+Z167+AA167+T167</f>
        <v>3244000</v>
      </c>
      <c r="AC167" s="2358"/>
      <c r="AD167" s="2776"/>
      <c r="AE167" s="3232">
        <f>(AC167*1.08)+((AH167*$AH$4)+(G167*3450000+H167*3550000+I167*AI167)+(AJ167*$AJ$4)+(AK167*$AK$4)+(AL167*$AL$4)+(AM167*$AM$4*(G167+H167))+(AN167*$AN$4)+(AO167*$AO$4)+(AP167*$AP$4)+(AQ167*$AQ$4))*1.08+(500000*1.08)</f>
        <v>4266000</v>
      </c>
      <c r="AF167" s="3215">
        <f t="shared" si="47"/>
        <v>7510000</v>
      </c>
      <c r="AG167" s="3188"/>
      <c r="AH167" s="1518"/>
      <c r="AI167" s="1897"/>
      <c r="AJ167" s="1518"/>
      <c r="AK167" s="1518"/>
      <c r="AL167" s="1518"/>
      <c r="AM167" s="1518"/>
      <c r="AN167" s="1518"/>
      <c r="AO167" s="1518"/>
      <c r="AP167" s="1518"/>
      <c r="AQ167" s="1518"/>
      <c r="AR167" s="1518"/>
    </row>
    <row r="168" spans="1:50" s="1350" customFormat="1" ht="14.25" customHeight="1">
      <c r="A168" s="3866"/>
      <c r="B168" s="3862"/>
      <c r="C168" s="2288">
        <v>308046313100</v>
      </c>
      <c r="D168" s="2159" t="s">
        <v>8146</v>
      </c>
      <c r="E168" s="3868"/>
      <c r="F168" s="3861"/>
      <c r="G168" s="1599">
        <v>1</v>
      </c>
      <c r="H168" s="1647"/>
      <c r="I168" s="1647"/>
      <c r="J168" s="2816">
        <v>14382.9083158499</v>
      </c>
      <c r="K168" s="3861"/>
      <c r="L168" s="1824" t="s">
        <v>8178</v>
      </c>
      <c r="M168" s="2516">
        <v>5</v>
      </c>
      <c r="N168" s="1919" t="s">
        <v>8176</v>
      </c>
      <c r="O168" s="1919" t="s">
        <v>8177</v>
      </c>
      <c r="P168" s="3864"/>
      <c r="Q168" s="3870"/>
      <c r="R168" s="3857"/>
      <c r="S168" s="1824" t="s">
        <v>6056</v>
      </c>
      <c r="T168" s="1647"/>
      <c r="U168" s="2775"/>
      <c r="V168" s="2775"/>
      <c r="W168" s="2775"/>
      <c r="X168" s="2775"/>
      <c r="Y168" s="2774"/>
      <c r="Z168" s="3422">
        <v>250000</v>
      </c>
      <c r="AA168" s="2775"/>
      <c r="AB168" s="2876">
        <f t="shared" si="48"/>
        <v>250000</v>
      </c>
      <c r="AC168" s="2358"/>
      <c r="AD168" s="2776"/>
      <c r="AE168" s="3232">
        <f>(AC168*1.08)+((AH168*$AH$4)+(G168*3450000+H168*3550000+I168*AI168)+(AJ168*$AJ$4)+(AK168*$AK$4)+(AL168*$AL$4)+(AM168*$AM$4*(G168+H168))+(AN168*$AN$4)+(AO168*$AO$4)+(AP168*$AP$4)+(AQ168*$AQ$4))*1.08+(500000*1.08)</f>
        <v>4266000</v>
      </c>
      <c r="AF168" s="3215">
        <f t="shared" si="47"/>
        <v>4516000</v>
      </c>
      <c r="AG168" s="3188"/>
      <c r="AH168" s="1518"/>
      <c r="AI168" s="1897"/>
      <c r="AJ168" s="1518"/>
      <c r="AK168" s="1518"/>
      <c r="AL168" s="1518"/>
      <c r="AM168" s="1518"/>
      <c r="AN168" s="1518"/>
      <c r="AO168" s="1518"/>
      <c r="AP168" s="1518"/>
      <c r="AQ168" s="1518"/>
      <c r="AR168" s="1518"/>
    </row>
    <row r="169" spans="1:50" s="1350" customFormat="1" ht="12.75" customHeight="1">
      <c r="A169" s="1738">
        <f>+A167+1</f>
        <v>4</v>
      </c>
      <c r="B169" s="3872">
        <v>46003</v>
      </c>
      <c r="C169" s="2288">
        <v>308053928140</v>
      </c>
      <c r="D169" s="1919" t="s">
        <v>8128</v>
      </c>
      <c r="E169" s="3867" t="s">
        <v>8213</v>
      </c>
      <c r="F169" s="3852" t="s">
        <v>210</v>
      </c>
      <c r="G169" s="2807">
        <v>1</v>
      </c>
      <c r="H169" s="1647"/>
      <c r="I169" s="1647"/>
      <c r="J169" s="2816">
        <v>17184.753211805099</v>
      </c>
      <c r="K169" s="3852">
        <v>6436418231</v>
      </c>
      <c r="L169" s="3169" t="s">
        <v>8201</v>
      </c>
      <c r="M169" s="3169" t="s">
        <v>973</v>
      </c>
      <c r="N169" s="1919" t="s">
        <v>8198</v>
      </c>
      <c r="O169" s="2159" t="s">
        <v>8199</v>
      </c>
      <c r="P169" s="3854" t="s">
        <v>8160</v>
      </c>
      <c r="Q169" s="3854" t="s">
        <v>8200</v>
      </c>
      <c r="R169" s="3856" t="s">
        <v>7223</v>
      </c>
      <c r="S169" s="1824" t="s">
        <v>6056</v>
      </c>
      <c r="T169" s="1647"/>
      <c r="U169" s="1555"/>
      <c r="V169" s="1765">
        <v>1000000</v>
      </c>
      <c r="W169" s="1765">
        <v>2870000</v>
      </c>
      <c r="X169" s="1555"/>
      <c r="Y169" s="2422"/>
      <c r="Z169" s="3422">
        <v>250000</v>
      </c>
      <c r="AA169" s="1555"/>
      <c r="AB169" s="2876">
        <f t="shared" si="48"/>
        <v>4120000</v>
      </c>
      <c r="AC169" s="2358"/>
      <c r="AD169" s="1767"/>
      <c r="AE169" s="3232">
        <f t="shared" si="46"/>
        <v>3726000.0000000005</v>
      </c>
      <c r="AF169" s="3215">
        <f t="shared" si="47"/>
        <v>7846000</v>
      </c>
      <c r="AG169" s="2904"/>
      <c r="AH169" s="1518"/>
      <c r="AI169" s="1519"/>
      <c r="AJ169" s="1518"/>
      <c r="AK169" s="1518"/>
      <c r="AL169" s="1518"/>
      <c r="AM169" s="1518"/>
      <c r="AN169" s="1518"/>
      <c r="AO169" s="1518"/>
      <c r="AP169" s="1518"/>
      <c r="AQ169" s="1518"/>
      <c r="AR169" s="1518"/>
    </row>
    <row r="170" spans="1:50" s="1350" customFormat="1">
      <c r="A170" s="1742">
        <f t="shared" si="35"/>
        <v>5</v>
      </c>
      <c r="B170" s="3873"/>
      <c r="C170" s="2288">
        <v>308053934660</v>
      </c>
      <c r="D170" s="1919" t="s">
        <v>8128</v>
      </c>
      <c r="E170" s="3875"/>
      <c r="F170" s="3871"/>
      <c r="G170" s="2807">
        <v>1</v>
      </c>
      <c r="H170" s="1647"/>
      <c r="I170" s="1647"/>
      <c r="J170" s="2816">
        <v>16676.5752010039</v>
      </c>
      <c r="K170" s="3871"/>
      <c r="L170" s="3169" t="s">
        <v>8203</v>
      </c>
      <c r="M170" s="3169">
        <v>2</v>
      </c>
      <c r="N170" s="1919" t="s">
        <v>8202</v>
      </c>
      <c r="O170" s="1919">
        <v>31299676</v>
      </c>
      <c r="P170" s="3860"/>
      <c r="Q170" s="3860"/>
      <c r="R170" s="3858"/>
      <c r="S170" s="1824" t="s">
        <v>5944</v>
      </c>
      <c r="T170" s="1647"/>
      <c r="U170" s="1555"/>
      <c r="V170" s="1765">
        <v>1000000</v>
      </c>
      <c r="W170" s="1555"/>
      <c r="X170" s="1555"/>
      <c r="Y170" s="2422"/>
      <c r="Z170" s="3422">
        <v>250000</v>
      </c>
      <c r="AA170" s="1555"/>
      <c r="AB170" s="2876">
        <f t="shared" si="48"/>
        <v>1250000</v>
      </c>
      <c r="AC170" s="2358"/>
      <c r="AD170" s="1767"/>
      <c r="AE170" s="3232">
        <f t="shared" si="46"/>
        <v>3726000.0000000005</v>
      </c>
      <c r="AF170" s="3215">
        <f t="shared" si="47"/>
        <v>4976000</v>
      </c>
      <c r="AG170" s="2904"/>
      <c r="AH170" s="1518"/>
      <c r="AI170" s="1519"/>
      <c r="AJ170" s="1518"/>
      <c r="AK170" s="1518"/>
      <c r="AL170" s="1518"/>
      <c r="AM170" s="1518"/>
      <c r="AN170" s="1518"/>
      <c r="AO170" s="1518"/>
      <c r="AP170" s="1518"/>
      <c r="AQ170" s="1518"/>
      <c r="AR170" s="1518"/>
    </row>
    <row r="171" spans="1:50" s="1350" customFormat="1">
      <c r="A171" s="1742">
        <f t="shared" si="35"/>
        <v>6</v>
      </c>
      <c r="B171" s="3873"/>
      <c r="C171" s="2288">
        <v>308053967710</v>
      </c>
      <c r="D171" s="1919" t="s">
        <v>8128</v>
      </c>
      <c r="E171" s="3875"/>
      <c r="F171" s="3871"/>
      <c r="G171" s="2807">
        <v>1</v>
      </c>
      <c r="H171" s="1647"/>
      <c r="I171" s="1647"/>
      <c r="J171" s="2816">
        <v>15342.7865585459</v>
      </c>
      <c r="K171" s="3871"/>
      <c r="L171" s="3169" t="s">
        <v>8204</v>
      </c>
      <c r="M171" s="3169">
        <v>3</v>
      </c>
      <c r="N171" s="1919" t="s">
        <v>8207</v>
      </c>
      <c r="O171" s="1919">
        <v>31299680</v>
      </c>
      <c r="P171" s="3860"/>
      <c r="Q171" s="3860"/>
      <c r="R171" s="3858"/>
      <c r="S171" s="1824" t="s">
        <v>5944</v>
      </c>
      <c r="T171" s="1647"/>
      <c r="U171" s="1555"/>
      <c r="V171" s="1765">
        <v>1000000</v>
      </c>
      <c r="W171" s="1555"/>
      <c r="X171" s="1555"/>
      <c r="Y171" s="2422"/>
      <c r="Z171" s="3422">
        <v>250000</v>
      </c>
      <c r="AA171" s="1555"/>
      <c r="AB171" s="2876">
        <f t="shared" si="48"/>
        <v>1250000</v>
      </c>
      <c r="AC171" s="2358"/>
      <c r="AD171" s="1767"/>
      <c r="AE171" s="3232">
        <f t="shared" si="46"/>
        <v>3726000.0000000005</v>
      </c>
      <c r="AF171" s="3215">
        <f t="shared" si="47"/>
        <v>4976000</v>
      </c>
      <c r="AG171" s="2904"/>
      <c r="AH171" s="1518"/>
      <c r="AI171" s="1519"/>
      <c r="AJ171" s="1518"/>
      <c r="AK171" s="1518"/>
      <c r="AL171" s="1518"/>
      <c r="AM171" s="1518"/>
      <c r="AN171" s="1518"/>
      <c r="AO171" s="1518"/>
      <c r="AP171" s="1518"/>
      <c r="AQ171" s="1518"/>
      <c r="AR171" s="1518"/>
    </row>
    <row r="172" spans="1:50" s="1350" customFormat="1">
      <c r="A172" s="1742">
        <f t="shared" si="35"/>
        <v>7</v>
      </c>
      <c r="B172" s="3873"/>
      <c r="C172" s="2288">
        <v>308053987900</v>
      </c>
      <c r="D172" s="1919" t="s">
        <v>8128</v>
      </c>
      <c r="E172" s="3875"/>
      <c r="F172" s="3871"/>
      <c r="G172" s="2807">
        <v>1</v>
      </c>
      <c r="H172" s="1647"/>
      <c r="I172" s="1647"/>
      <c r="J172" s="2816">
        <v>16740.198027621798</v>
      </c>
      <c r="K172" s="3871"/>
      <c r="L172" s="3169" t="s">
        <v>8205</v>
      </c>
      <c r="M172" s="3169">
        <v>4</v>
      </c>
      <c r="N172" s="1919" t="s">
        <v>8208</v>
      </c>
      <c r="O172" s="1919">
        <v>31299673</v>
      </c>
      <c r="P172" s="3860"/>
      <c r="Q172" s="3860"/>
      <c r="R172" s="3858"/>
      <c r="S172" s="1824" t="s">
        <v>7176</v>
      </c>
      <c r="T172" s="1647"/>
      <c r="U172" s="1555"/>
      <c r="V172" s="1765">
        <v>1000000</v>
      </c>
      <c r="W172" s="1555"/>
      <c r="X172" s="1555"/>
      <c r="Y172" s="2422"/>
      <c r="Z172" s="3422">
        <v>250000</v>
      </c>
      <c r="AA172" s="1555"/>
      <c r="AB172" s="2876">
        <f t="shared" si="48"/>
        <v>1250000</v>
      </c>
      <c r="AC172" s="2358"/>
      <c r="AD172" s="1767"/>
      <c r="AE172" s="3232">
        <f t="shared" si="46"/>
        <v>3726000.0000000005</v>
      </c>
      <c r="AF172" s="3215">
        <f t="shared" si="47"/>
        <v>4976000</v>
      </c>
      <c r="AG172" s="2904"/>
      <c r="AH172" s="1518"/>
      <c r="AI172" s="1519"/>
      <c r="AJ172" s="1518"/>
      <c r="AK172" s="1518"/>
      <c r="AL172" s="1518"/>
      <c r="AM172" s="1518"/>
      <c r="AN172" s="1518"/>
      <c r="AO172" s="1518"/>
      <c r="AP172" s="1518"/>
      <c r="AQ172" s="1518"/>
      <c r="AR172" s="1518"/>
    </row>
    <row r="173" spans="1:50" s="1350" customFormat="1">
      <c r="A173" s="1742">
        <f t="shared" si="35"/>
        <v>8</v>
      </c>
      <c r="B173" s="3874"/>
      <c r="C173" s="2288">
        <v>308054010740</v>
      </c>
      <c r="D173" s="1919" t="s">
        <v>8128</v>
      </c>
      <c r="E173" s="3868"/>
      <c r="F173" s="3853"/>
      <c r="G173" s="2807"/>
      <c r="H173" s="3644">
        <v>1</v>
      </c>
      <c r="I173" s="1647"/>
      <c r="J173" s="2816">
        <v>20239.669670260701</v>
      </c>
      <c r="K173" s="3853"/>
      <c r="L173" s="3169" t="s">
        <v>8206</v>
      </c>
      <c r="M173" s="3169">
        <v>5</v>
      </c>
      <c r="N173" s="1919" t="s">
        <v>8209</v>
      </c>
      <c r="O173" s="1919">
        <v>31299671</v>
      </c>
      <c r="P173" s="3855"/>
      <c r="Q173" s="3855"/>
      <c r="R173" s="3859"/>
      <c r="S173" s="1824" t="s">
        <v>8251</v>
      </c>
      <c r="T173" s="1647"/>
      <c r="U173" s="1555"/>
      <c r="V173" s="1765">
        <v>1500000</v>
      </c>
      <c r="W173" s="1555"/>
      <c r="X173" s="1555"/>
      <c r="Y173" s="2422"/>
      <c r="Z173" s="3422">
        <v>500000</v>
      </c>
      <c r="AA173" s="1555"/>
      <c r="AB173" s="2876">
        <f t="shared" si="48"/>
        <v>2000000</v>
      </c>
      <c r="AC173" s="2358"/>
      <c r="AD173" s="1767"/>
      <c r="AE173" s="3182"/>
      <c r="AF173" s="3183"/>
      <c r="AG173" s="2904"/>
      <c r="AH173" s="1518"/>
      <c r="AI173" s="1519"/>
      <c r="AJ173" s="1518"/>
      <c r="AK173" s="1518"/>
      <c r="AL173" s="1518"/>
      <c r="AM173" s="1518"/>
      <c r="AN173" s="1518"/>
      <c r="AO173" s="1518"/>
      <c r="AP173" s="1518"/>
      <c r="AQ173" s="1518"/>
      <c r="AR173" s="1518"/>
    </row>
    <row r="174" spans="1:50" s="1350" customFormat="1">
      <c r="A174" s="1742">
        <f t="shared" si="35"/>
        <v>9</v>
      </c>
      <c r="B174" s="3849" t="s">
        <v>8239</v>
      </c>
      <c r="C174" s="2288"/>
      <c r="D174" s="1919"/>
      <c r="E174" s="2039"/>
      <c r="F174" s="3851" t="s">
        <v>210</v>
      </c>
      <c r="G174" s="2807">
        <v>1</v>
      </c>
      <c r="H174" s="1647"/>
      <c r="I174" s="1647"/>
      <c r="J174" s="3189"/>
      <c r="K174" s="3852" t="s">
        <v>8254</v>
      </c>
      <c r="L174" s="3190"/>
      <c r="M174" s="3169"/>
      <c r="N174" s="3191"/>
      <c r="O174" s="1824"/>
      <c r="P174" s="3854"/>
      <c r="Q174" s="3170"/>
      <c r="R174" s="3856" t="s">
        <v>7223</v>
      </c>
      <c r="S174" s="1824"/>
      <c r="T174" s="1647"/>
      <c r="U174" s="1555"/>
      <c r="V174" s="1555"/>
      <c r="W174" s="1555"/>
      <c r="X174" s="1555"/>
      <c r="Y174" s="2422"/>
      <c r="Z174" s="2422"/>
      <c r="AA174" s="1555"/>
      <c r="AB174" s="1555"/>
      <c r="AC174" s="1555"/>
      <c r="AD174" s="1767"/>
      <c r="AE174" s="3182"/>
      <c r="AF174" s="3183"/>
      <c r="AG174" s="2904"/>
      <c r="AH174" s="1518"/>
      <c r="AI174" s="1519"/>
      <c r="AJ174" s="1518"/>
      <c r="AK174" s="1518"/>
      <c r="AL174" s="1518"/>
      <c r="AM174" s="1518"/>
      <c r="AN174" s="1518"/>
      <c r="AO174" s="1518"/>
      <c r="AP174" s="1518"/>
      <c r="AQ174" s="1518"/>
      <c r="AR174" s="1518"/>
    </row>
    <row r="175" spans="1:50" s="1350" customFormat="1">
      <c r="A175" s="1742">
        <f t="shared" si="35"/>
        <v>10</v>
      </c>
      <c r="B175" s="3850"/>
      <c r="C175" s="2288"/>
      <c r="D175" s="1919"/>
      <c r="E175" s="2039"/>
      <c r="F175" s="3748"/>
      <c r="G175" s="2807">
        <v>1</v>
      </c>
      <c r="H175" s="1647"/>
      <c r="I175" s="1647"/>
      <c r="J175" s="3189"/>
      <c r="K175" s="3853"/>
      <c r="L175" s="3190"/>
      <c r="M175" s="3169"/>
      <c r="N175" s="3191"/>
      <c r="O175" s="1824"/>
      <c r="P175" s="3855"/>
      <c r="Q175" s="3170"/>
      <c r="R175" s="3857"/>
      <c r="S175" s="1824"/>
      <c r="T175" s="1647"/>
      <c r="U175" s="1555"/>
      <c r="V175" s="1555"/>
      <c r="W175" s="1555"/>
      <c r="X175" s="1555"/>
      <c r="Y175" s="2422"/>
      <c r="Z175" s="2422"/>
      <c r="AA175" s="1555"/>
      <c r="AB175" s="1555"/>
      <c r="AC175" s="1555"/>
      <c r="AD175" s="1767"/>
      <c r="AE175" s="3182"/>
      <c r="AF175" s="3183"/>
      <c r="AG175" s="2904"/>
      <c r="AH175" s="1518"/>
      <c r="AI175" s="1519"/>
      <c r="AJ175" s="1518"/>
      <c r="AK175" s="1518"/>
      <c r="AL175" s="1518"/>
      <c r="AM175" s="1518"/>
      <c r="AN175" s="1518"/>
      <c r="AO175" s="1518"/>
      <c r="AP175" s="1518"/>
      <c r="AQ175" s="1518"/>
      <c r="AR175" s="1518"/>
    </row>
    <row r="176" spans="1:50" s="1350" customFormat="1">
      <c r="A176" s="1742">
        <f t="shared" si="35"/>
        <v>11</v>
      </c>
      <c r="B176" s="1647"/>
      <c r="C176" s="2288"/>
      <c r="D176" s="1919"/>
      <c r="E176" s="2039"/>
      <c r="F176" s="2039"/>
      <c r="G176" s="2807"/>
      <c r="H176" s="1647"/>
      <c r="I176" s="1647"/>
      <c r="J176" s="3189"/>
      <c r="K176" s="3168"/>
      <c r="L176" s="3190"/>
      <c r="M176" s="3169"/>
      <c r="N176" s="3191"/>
      <c r="O176" s="1824"/>
      <c r="P176" s="3170"/>
      <c r="Q176" s="3170"/>
      <c r="R176" s="1824"/>
      <c r="S176" s="1824"/>
      <c r="T176" s="1647"/>
      <c r="U176" s="1555"/>
      <c r="V176" s="1555"/>
      <c r="W176" s="1555"/>
      <c r="X176" s="1555"/>
      <c r="Y176" s="2422"/>
      <c r="Z176" s="2422"/>
      <c r="AA176" s="1555"/>
      <c r="AB176" s="1555"/>
      <c r="AC176" s="1555"/>
      <c r="AD176" s="1767"/>
      <c r="AE176" s="3182"/>
      <c r="AF176" s="3183"/>
      <c r="AG176" s="2904"/>
      <c r="AH176" s="1518"/>
      <c r="AI176" s="1519"/>
      <c r="AJ176" s="1518"/>
      <c r="AK176" s="1518"/>
      <c r="AL176" s="1518"/>
      <c r="AM176" s="1518"/>
      <c r="AN176" s="1518"/>
      <c r="AO176" s="1518"/>
      <c r="AP176" s="1518"/>
      <c r="AQ176" s="1518"/>
      <c r="AR176" s="1518"/>
    </row>
    <row r="177" spans="1:44" s="1350" customFormat="1">
      <c r="A177" s="1742">
        <f t="shared" si="35"/>
        <v>12</v>
      </c>
      <c r="B177" s="1647"/>
      <c r="C177" s="2288"/>
      <c r="D177" s="1566"/>
      <c r="E177" s="1566"/>
      <c r="F177" s="1566"/>
      <c r="G177" s="2807"/>
      <c r="H177" s="1647"/>
      <c r="I177" s="1647"/>
      <c r="J177" s="3189"/>
      <c r="K177" s="3168"/>
      <c r="L177" s="3190"/>
      <c r="M177" s="3169"/>
      <c r="N177" s="3191"/>
      <c r="O177" s="1824"/>
      <c r="P177" s="3170"/>
      <c r="Q177" s="3170"/>
      <c r="R177" s="1824"/>
      <c r="S177" s="1824"/>
      <c r="T177" s="1647"/>
      <c r="U177" s="1555"/>
      <c r="V177" s="1555"/>
      <c r="W177" s="1555"/>
      <c r="X177" s="1555"/>
      <c r="Y177" s="2422"/>
      <c r="Z177" s="2422"/>
      <c r="AA177" s="1555"/>
      <c r="AB177" s="1555"/>
      <c r="AC177" s="1555"/>
      <c r="AD177" s="1767"/>
      <c r="AE177" s="3182"/>
      <c r="AF177" s="3183"/>
      <c r="AG177" s="2904"/>
      <c r="AH177" s="1518"/>
      <c r="AI177" s="1519"/>
      <c r="AJ177" s="1518"/>
      <c r="AK177" s="1518"/>
      <c r="AL177" s="1518"/>
      <c r="AM177" s="1518"/>
      <c r="AN177" s="1518"/>
      <c r="AO177" s="1518"/>
      <c r="AP177" s="1518"/>
      <c r="AQ177" s="1518"/>
      <c r="AR177" s="1518"/>
    </row>
    <row r="178" spans="1:44" s="1350" customFormat="1">
      <c r="A178" s="1599"/>
      <c r="B178" s="1647"/>
      <c r="C178" s="2288"/>
      <c r="D178" s="1919"/>
      <c r="E178" s="2039"/>
      <c r="F178" s="2039"/>
      <c r="G178" s="2807"/>
      <c r="H178" s="1647"/>
      <c r="I178" s="1647"/>
      <c r="J178" s="3189"/>
      <c r="K178" s="3168"/>
      <c r="L178" s="3190"/>
      <c r="M178" s="3169"/>
      <c r="N178" s="3191"/>
      <c r="O178" s="1824"/>
      <c r="P178" s="3170"/>
      <c r="Q178" s="3170"/>
      <c r="R178" s="1824"/>
      <c r="S178" s="1824"/>
      <c r="T178" s="1647"/>
      <c r="U178" s="1555"/>
      <c r="V178" s="1555"/>
      <c r="W178" s="1555"/>
      <c r="X178" s="1555"/>
      <c r="Y178" s="2422"/>
      <c r="Z178" s="2422"/>
      <c r="AA178" s="1555"/>
      <c r="AB178" s="1555"/>
      <c r="AC178" s="1555"/>
      <c r="AD178" s="1767"/>
      <c r="AE178" s="3182"/>
      <c r="AF178" s="3183"/>
      <c r="AG178" s="2904"/>
      <c r="AH178" s="1518"/>
      <c r="AI178" s="1519"/>
      <c r="AJ178" s="1518"/>
      <c r="AK178" s="1518"/>
      <c r="AL178" s="1518"/>
      <c r="AM178" s="1518"/>
      <c r="AN178" s="1518"/>
      <c r="AO178" s="1518"/>
      <c r="AP178" s="1518"/>
      <c r="AQ178" s="1518"/>
      <c r="AR178" s="1518"/>
    </row>
    <row r="179" spans="1:44" s="1350" customFormat="1">
      <c r="A179" s="1599"/>
      <c r="B179" s="1647"/>
      <c r="C179" s="2288"/>
      <c r="D179" s="1919"/>
      <c r="E179" s="2039"/>
      <c r="F179" s="2039"/>
      <c r="G179" s="2807"/>
      <c r="H179" s="1647"/>
      <c r="I179" s="1647"/>
      <c r="J179" s="3189"/>
      <c r="K179" s="3168"/>
      <c r="L179" s="3190"/>
      <c r="M179" s="3169"/>
      <c r="N179" s="3191"/>
      <c r="O179" s="1824"/>
      <c r="P179" s="3170"/>
      <c r="Q179" s="3170"/>
      <c r="R179" s="1824"/>
      <c r="S179" s="1824"/>
      <c r="T179" s="1647"/>
      <c r="U179" s="1555"/>
      <c r="V179" s="1555"/>
      <c r="W179" s="1555"/>
      <c r="X179" s="1555"/>
      <c r="Y179" s="2422"/>
      <c r="Z179" s="2422"/>
      <c r="AA179" s="1555"/>
      <c r="AB179" s="1555"/>
      <c r="AC179" s="1555"/>
      <c r="AD179" s="1767"/>
      <c r="AE179" s="3182"/>
      <c r="AF179" s="3183"/>
      <c r="AG179" s="2904"/>
      <c r="AH179" s="1518"/>
      <c r="AI179" s="1519"/>
      <c r="AJ179" s="1518"/>
      <c r="AK179" s="1518"/>
      <c r="AL179" s="1518"/>
      <c r="AM179" s="1518"/>
      <c r="AN179" s="1518"/>
      <c r="AO179" s="1518"/>
      <c r="AP179" s="1518"/>
      <c r="AQ179" s="1518"/>
      <c r="AR179" s="1518"/>
    </row>
    <row r="180" spans="1:44" s="1350" customFormat="1">
      <c r="A180" s="1599"/>
      <c r="B180" s="1647"/>
      <c r="C180" s="2288"/>
      <c r="D180" s="1919"/>
      <c r="E180" s="2039"/>
      <c r="F180" s="2039"/>
      <c r="G180" s="2807"/>
      <c r="H180" s="1647"/>
      <c r="I180" s="1647"/>
      <c r="J180" s="3189"/>
      <c r="K180" s="3168"/>
      <c r="L180" s="3190"/>
      <c r="M180" s="3169"/>
      <c r="N180" s="3191"/>
      <c r="O180" s="1824"/>
      <c r="P180" s="3170"/>
      <c r="Q180" s="3170"/>
      <c r="R180" s="1824"/>
      <c r="S180" s="1824"/>
      <c r="T180" s="1647"/>
      <c r="U180" s="1555"/>
      <c r="V180" s="1555"/>
      <c r="W180" s="1555"/>
      <c r="X180" s="1555"/>
      <c r="Y180" s="2422"/>
      <c r="Z180" s="2422"/>
      <c r="AA180" s="1555"/>
      <c r="AB180" s="1555"/>
      <c r="AC180" s="1555"/>
      <c r="AD180" s="1767"/>
      <c r="AE180" s="3182"/>
      <c r="AF180" s="3183"/>
      <c r="AG180" s="2904"/>
      <c r="AH180" s="1518"/>
      <c r="AI180" s="1519"/>
      <c r="AJ180" s="1518"/>
      <c r="AK180" s="1518"/>
      <c r="AL180" s="1518"/>
      <c r="AM180" s="1518"/>
      <c r="AN180" s="1518"/>
      <c r="AO180" s="1518"/>
      <c r="AP180" s="1518"/>
      <c r="AQ180" s="1518"/>
      <c r="AR180" s="1518"/>
    </row>
    <row r="181" spans="1:44" s="1350" customFormat="1">
      <c r="A181" s="1599"/>
      <c r="B181" s="1647"/>
      <c r="C181" s="2288"/>
      <c r="D181" s="1919"/>
      <c r="E181" s="2039"/>
      <c r="F181" s="2039"/>
      <c r="G181" s="2807"/>
      <c r="H181" s="1647"/>
      <c r="I181" s="1647"/>
      <c r="J181" s="3189"/>
      <c r="K181" s="3168"/>
      <c r="L181" s="3190"/>
      <c r="M181" s="3169"/>
      <c r="N181" s="3191"/>
      <c r="O181" s="1824"/>
      <c r="P181" s="3170"/>
      <c r="Q181" s="3170"/>
      <c r="R181" s="1824"/>
      <c r="S181" s="1824"/>
      <c r="T181" s="1647"/>
      <c r="U181" s="1555"/>
      <c r="V181" s="1555"/>
      <c r="W181" s="1555"/>
      <c r="X181" s="1555"/>
      <c r="Y181" s="2422"/>
      <c r="Z181" s="2422"/>
      <c r="AA181" s="1555"/>
      <c r="AB181" s="1555"/>
      <c r="AC181" s="1555"/>
      <c r="AD181" s="1767"/>
      <c r="AE181" s="3182"/>
      <c r="AF181" s="3183"/>
      <c r="AG181" s="2904"/>
      <c r="AH181" s="1518"/>
      <c r="AI181" s="1519"/>
      <c r="AJ181" s="1518"/>
      <c r="AK181" s="1518"/>
      <c r="AL181" s="1518"/>
      <c r="AM181" s="1518"/>
      <c r="AN181" s="1518"/>
      <c r="AO181" s="1518"/>
      <c r="AP181" s="1518"/>
      <c r="AQ181" s="1518"/>
      <c r="AR181" s="1518"/>
    </row>
    <row r="182" spans="1:44" s="1350" customFormat="1">
      <c r="A182" s="1599"/>
      <c r="B182" s="1647"/>
      <c r="C182" s="2288"/>
      <c r="D182" s="1919"/>
      <c r="E182" s="2039"/>
      <c r="F182" s="2039"/>
      <c r="G182" s="2807"/>
      <c r="H182" s="1647"/>
      <c r="I182" s="1647"/>
      <c r="J182" s="3189"/>
      <c r="K182" s="3168"/>
      <c r="L182" s="3190"/>
      <c r="M182" s="3169"/>
      <c r="N182" s="3191"/>
      <c r="O182" s="1824"/>
      <c r="P182" s="3170"/>
      <c r="Q182" s="3170"/>
      <c r="R182" s="1824"/>
      <c r="S182" s="1824"/>
      <c r="T182" s="1647"/>
      <c r="U182" s="1555"/>
      <c r="V182" s="1555"/>
      <c r="W182" s="1555"/>
      <c r="X182" s="1555"/>
      <c r="Y182" s="2422"/>
      <c r="Z182" s="2422"/>
      <c r="AA182" s="1555"/>
      <c r="AB182" s="1555"/>
      <c r="AC182" s="1555"/>
      <c r="AD182" s="1767"/>
      <c r="AE182" s="3182"/>
      <c r="AF182" s="3183"/>
      <c r="AG182" s="2904"/>
      <c r="AH182" s="1518"/>
      <c r="AI182" s="1519"/>
      <c r="AJ182" s="1518"/>
      <c r="AK182" s="1518"/>
      <c r="AL182" s="1518"/>
      <c r="AM182" s="1518"/>
      <c r="AN182" s="1518"/>
      <c r="AO182" s="1518"/>
      <c r="AP182" s="1518"/>
      <c r="AQ182" s="1518"/>
      <c r="AR182" s="1518"/>
    </row>
    <row r="183" spans="1:44" s="1350" customFormat="1">
      <c r="A183" s="1599"/>
      <c r="B183" s="1647"/>
      <c r="C183" s="2288"/>
      <c r="D183" s="1919"/>
      <c r="E183" s="2039"/>
      <c r="F183" s="2039"/>
      <c r="G183" s="2807"/>
      <c r="H183" s="1647"/>
      <c r="I183" s="1647"/>
      <c r="J183" s="3189"/>
      <c r="K183" s="3168"/>
      <c r="L183" s="3190"/>
      <c r="M183" s="3169"/>
      <c r="N183" s="3191"/>
      <c r="O183" s="1824"/>
      <c r="P183" s="3170"/>
      <c r="Q183" s="3170"/>
      <c r="R183" s="1824"/>
      <c r="S183" s="1824"/>
      <c r="T183" s="1647"/>
      <c r="U183" s="1555"/>
      <c r="V183" s="1555"/>
      <c r="W183" s="1555"/>
      <c r="X183" s="1555"/>
      <c r="Y183" s="2422"/>
      <c r="Z183" s="2422"/>
      <c r="AA183" s="1555"/>
      <c r="AB183" s="1555"/>
      <c r="AC183" s="1555"/>
      <c r="AD183" s="1767"/>
      <c r="AE183" s="3182"/>
      <c r="AF183" s="3183"/>
      <c r="AG183" s="2904"/>
      <c r="AH183" s="1518"/>
      <c r="AI183" s="1519"/>
      <c r="AJ183" s="1518"/>
      <c r="AK183" s="1518"/>
      <c r="AL183" s="1518"/>
      <c r="AM183" s="1518"/>
      <c r="AN183" s="1518"/>
      <c r="AO183" s="1518"/>
      <c r="AP183" s="1518"/>
      <c r="AQ183" s="1518"/>
      <c r="AR183" s="1518"/>
    </row>
    <row r="184" spans="1:44" s="1350" customFormat="1">
      <c r="A184" s="1599"/>
      <c r="B184" s="1647"/>
      <c r="C184" s="2288"/>
      <c r="D184" s="1919"/>
      <c r="E184" s="2039"/>
      <c r="F184" s="2039"/>
      <c r="G184" s="2807"/>
      <c r="H184" s="1647"/>
      <c r="I184" s="1647"/>
      <c r="J184" s="3189"/>
      <c r="K184" s="3168"/>
      <c r="L184" s="3190"/>
      <c r="M184" s="3169"/>
      <c r="N184" s="3191"/>
      <c r="O184" s="1824"/>
      <c r="P184" s="3170"/>
      <c r="Q184" s="3170"/>
      <c r="R184" s="1824"/>
      <c r="S184" s="1824"/>
      <c r="T184" s="1647"/>
      <c r="U184" s="1555"/>
      <c r="V184" s="1555"/>
      <c r="W184" s="1555"/>
      <c r="X184" s="1555"/>
      <c r="Y184" s="2422"/>
      <c r="Z184" s="2422"/>
      <c r="AA184" s="1555"/>
      <c r="AB184" s="1555"/>
      <c r="AC184" s="1555"/>
      <c r="AD184" s="1767"/>
      <c r="AE184" s="3182"/>
      <c r="AF184" s="3183"/>
      <c r="AG184" s="2904"/>
      <c r="AH184" s="1518"/>
      <c r="AI184" s="1519"/>
      <c r="AJ184" s="1518"/>
      <c r="AK184" s="1518"/>
      <c r="AL184" s="1518"/>
      <c r="AM184" s="1518"/>
      <c r="AN184" s="1518"/>
      <c r="AO184" s="1518"/>
      <c r="AP184" s="1518"/>
      <c r="AQ184" s="1518"/>
      <c r="AR184" s="1518"/>
    </row>
    <row r="185" spans="1:44" s="1350" customFormat="1">
      <c r="A185" s="1599"/>
      <c r="B185" s="1647"/>
      <c r="C185" s="2288"/>
      <c r="D185" s="1919"/>
      <c r="E185" s="2039"/>
      <c r="F185" s="2039"/>
      <c r="G185" s="2807"/>
      <c r="H185" s="1647"/>
      <c r="I185" s="1647"/>
      <c r="J185" s="3189"/>
      <c r="K185" s="3168"/>
      <c r="L185" s="3190"/>
      <c r="M185" s="3169"/>
      <c r="N185" s="3191"/>
      <c r="O185" s="1824"/>
      <c r="P185" s="3170"/>
      <c r="Q185" s="3170"/>
      <c r="R185" s="1824"/>
      <c r="S185" s="1824"/>
      <c r="T185" s="1647"/>
      <c r="U185" s="1555"/>
      <c r="V185" s="1555"/>
      <c r="W185" s="1555"/>
      <c r="X185" s="1555"/>
      <c r="Y185" s="2422"/>
      <c r="Z185" s="2422"/>
      <c r="AA185" s="1555"/>
      <c r="AB185" s="1555"/>
      <c r="AC185" s="1555"/>
      <c r="AD185" s="1767"/>
      <c r="AE185" s="3182"/>
      <c r="AF185" s="3183"/>
      <c r="AG185" s="2904"/>
      <c r="AH185" s="1518"/>
      <c r="AI185" s="1519"/>
      <c r="AJ185" s="1518"/>
      <c r="AK185" s="1518"/>
      <c r="AL185" s="1518"/>
      <c r="AM185" s="1518"/>
      <c r="AN185" s="1518"/>
      <c r="AO185" s="1518"/>
      <c r="AP185" s="1518"/>
      <c r="AQ185" s="1518"/>
      <c r="AR185" s="1518"/>
    </row>
    <row r="186" spans="1:44" s="1350" customFormat="1">
      <c r="A186" s="1599"/>
      <c r="B186" s="1647"/>
      <c r="C186" s="2288"/>
      <c r="D186" s="1919"/>
      <c r="E186" s="2039"/>
      <c r="F186" s="2039"/>
      <c r="G186" s="2807"/>
      <c r="H186" s="1647"/>
      <c r="I186" s="1647"/>
      <c r="J186" s="3189"/>
      <c r="K186" s="3168"/>
      <c r="L186" s="3190"/>
      <c r="M186" s="3169"/>
      <c r="N186" s="3191"/>
      <c r="O186" s="1824"/>
      <c r="P186" s="3170"/>
      <c r="Q186" s="3170"/>
      <c r="R186" s="1824"/>
      <c r="S186" s="1824"/>
      <c r="T186" s="1647"/>
      <c r="U186" s="1555"/>
      <c r="V186" s="1555"/>
      <c r="W186" s="1555"/>
      <c r="X186" s="1555"/>
      <c r="Y186" s="2422"/>
      <c r="Z186" s="2422"/>
      <c r="AA186" s="1555"/>
      <c r="AB186" s="1555"/>
      <c r="AC186" s="1555"/>
      <c r="AD186" s="1767"/>
      <c r="AE186" s="3182"/>
      <c r="AF186" s="3183"/>
      <c r="AG186" s="2904"/>
      <c r="AH186" s="1518"/>
      <c r="AI186" s="1519"/>
      <c r="AJ186" s="1518"/>
      <c r="AK186" s="1518"/>
      <c r="AL186" s="1518"/>
      <c r="AM186" s="1518"/>
      <c r="AN186" s="1518"/>
      <c r="AO186" s="1518"/>
      <c r="AP186" s="1518"/>
      <c r="AQ186" s="1518"/>
      <c r="AR186" s="1518"/>
    </row>
    <row r="187" spans="1:44" s="1350" customFormat="1">
      <c r="A187" s="1599"/>
      <c r="B187" s="1647"/>
      <c r="C187" s="2288"/>
      <c r="D187" s="1919"/>
      <c r="E187" s="2039"/>
      <c r="F187" s="2039"/>
      <c r="G187" s="2807"/>
      <c r="H187" s="1647"/>
      <c r="I187" s="1647"/>
      <c r="J187" s="3189"/>
      <c r="K187" s="3168"/>
      <c r="L187" s="3190"/>
      <c r="M187" s="3169"/>
      <c r="N187" s="3191"/>
      <c r="O187" s="1824"/>
      <c r="P187" s="3170"/>
      <c r="Q187" s="3170"/>
      <c r="R187" s="1824"/>
      <c r="S187" s="1824"/>
      <c r="T187" s="1647"/>
      <c r="U187" s="1555"/>
      <c r="V187" s="1555"/>
      <c r="W187" s="1555"/>
      <c r="X187" s="1555"/>
      <c r="Y187" s="2422"/>
      <c r="Z187" s="2422"/>
      <c r="AA187" s="1555"/>
      <c r="AB187" s="1555"/>
      <c r="AC187" s="1555"/>
      <c r="AD187" s="1767"/>
      <c r="AE187" s="3182"/>
      <c r="AF187" s="3183"/>
      <c r="AG187" s="2904"/>
      <c r="AH187" s="1518"/>
      <c r="AI187" s="1519"/>
      <c r="AJ187" s="1518"/>
      <c r="AK187" s="1518"/>
      <c r="AL187" s="1518"/>
      <c r="AM187" s="1518"/>
      <c r="AN187" s="1518"/>
      <c r="AO187" s="1518"/>
      <c r="AP187" s="1518"/>
      <c r="AQ187" s="1518"/>
      <c r="AR187" s="1518"/>
    </row>
    <row r="188" spans="1:44" s="1350" customFormat="1">
      <c r="A188" s="1599"/>
      <c r="B188" s="1647"/>
      <c r="C188" s="2288"/>
      <c r="D188" s="1919"/>
      <c r="E188" s="2039"/>
      <c r="F188" s="2039"/>
      <c r="G188" s="2807"/>
      <c r="H188" s="1647"/>
      <c r="I188" s="1647"/>
      <c r="J188" s="3189"/>
      <c r="K188" s="3168"/>
      <c r="L188" s="3190"/>
      <c r="M188" s="3169"/>
      <c r="N188" s="3191"/>
      <c r="O188" s="1824"/>
      <c r="P188" s="3170"/>
      <c r="Q188" s="3170"/>
      <c r="R188" s="1824"/>
      <c r="S188" s="1824"/>
      <c r="T188" s="1647"/>
      <c r="U188" s="1555"/>
      <c r="V188" s="1555"/>
      <c r="W188" s="1555"/>
      <c r="X188" s="1555"/>
      <c r="Y188" s="2422"/>
      <c r="Z188" s="2422"/>
      <c r="AA188" s="1555"/>
      <c r="AB188" s="1555"/>
      <c r="AC188" s="1555"/>
      <c r="AD188" s="1767"/>
      <c r="AE188" s="3182"/>
      <c r="AF188" s="3183"/>
      <c r="AG188" s="2904"/>
      <c r="AH188" s="1518"/>
      <c r="AI188" s="1519"/>
      <c r="AJ188" s="1518"/>
      <c r="AK188" s="1518"/>
      <c r="AL188" s="1518"/>
      <c r="AM188" s="1518"/>
      <c r="AN188" s="1518"/>
      <c r="AO188" s="1518"/>
      <c r="AP188" s="1518"/>
      <c r="AQ188" s="1518"/>
      <c r="AR188" s="1518"/>
    </row>
    <row r="189" spans="1:44" s="1350" customFormat="1">
      <c r="A189" s="1599"/>
      <c r="B189" s="1647"/>
      <c r="C189" s="2288"/>
      <c r="D189" s="1919"/>
      <c r="E189" s="2039"/>
      <c r="F189" s="2039"/>
      <c r="G189" s="2807"/>
      <c r="H189" s="1647"/>
      <c r="I189" s="1647"/>
      <c r="J189" s="3189"/>
      <c r="K189" s="3168"/>
      <c r="L189" s="3190"/>
      <c r="M189" s="3169"/>
      <c r="N189" s="3191"/>
      <c r="O189" s="1824"/>
      <c r="P189" s="3170"/>
      <c r="Q189" s="3170"/>
      <c r="R189" s="1824"/>
      <c r="S189" s="1824"/>
      <c r="T189" s="1647"/>
      <c r="U189" s="1555"/>
      <c r="V189" s="1555"/>
      <c r="W189" s="1555"/>
      <c r="X189" s="1555"/>
      <c r="Y189" s="2422"/>
      <c r="Z189" s="2422"/>
      <c r="AA189" s="1555"/>
      <c r="AB189" s="1555"/>
      <c r="AC189" s="1555"/>
      <c r="AD189" s="1767"/>
      <c r="AE189" s="3182"/>
      <c r="AF189" s="3183"/>
      <c r="AG189" s="2904"/>
      <c r="AH189" s="1518"/>
      <c r="AI189" s="1519"/>
      <c r="AJ189" s="1518"/>
      <c r="AK189" s="1518"/>
      <c r="AL189" s="1518"/>
      <c r="AM189" s="1518"/>
      <c r="AN189" s="1518"/>
      <c r="AO189" s="1518"/>
      <c r="AP189" s="1518"/>
      <c r="AQ189" s="1518"/>
      <c r="AR189" s="1518"/>
    </row>
    <row r="190" spans="1:44" s="1350" customFormat="1">
      <c r="A190" s="1599"/>
      <c r="B190" s="1647"/>
      <c r="C190" s="2288"/>
      <c r="D190" s="1919"/>
      <c r="E190" s="2039"/>
      <c r="F190" s="2039"/>
      <c r="G190" s="2807"/>
      <c r="H190" s="1647"/>
      <c r="I190" s="1647"/>
      <c r="J190" s="3189"/>
      <c r="K190" s="3168"/>
      <c r="L190" s="3190"/>
      <c r="M190" s="3169"/>
      <c r="N190" s="3191"/>
      <c r="O190" s="1824"/>
      <c r="P190" s="3170"/>
      <c r="Q190" s="3170"/>
      <c r="R190" s="1824"/>
      <c r="S190" s="1824"/>
      <c r="T190" s="1647"/>
      <c r="U190" s="1555"/>
      <c r="V190" s="1555"/>
      <c r="W190" s="1555"/>
      <c r="X190" s="1555"/>
      <c r="Y190" s="2422"/>
      <c r="Z190" s="2422"/>
      <c r="AA190" s="1555"/>
      <c r="AB190" s="1555"/>
      <c r="AC190" s="1555"/>
      <c r="AD190" s="1767"/>
      <c r="AE190" s="3182"/>
      <c r="AF190" s="3183"/>
      <c r="AG190" s="2904"/>
      <c r="AH190" s="1518"/>
      <c r="AI190" s="1519"/>
      <c r="AJ190" s="1518"/>
      <c r="AK190" s="1518"/>
      <c r="AL190" s="1518"/>
      <c r="AM190" s="1518"/>
      <c r="AN190" s="1518"/>
      <c r="AO190" s="1518"/>
      <c r="AP190" s="1518"/>
      <c r="AQ190" s="1518"/>
      <c r="AR190" s="1518"/>
    </row>
    <row r="191" spans="1:44" s="1350" customFormat="1">
      <c r="A191" s="1599"/>
      <c r="B191" s="1647"/>
      <c r="C191" s="2288"/>
      <c r="D191" s="1919"/>
      <c r="E191" s="2039"/>
      <c r="F191" s="2039"/>
      <c r="G191" s="2807"/>
      <c r="H191" s="1647"/>
      <c r="I191" s="1647"/>
      <c r="J191" s="3189"/>
      <c r="K191" s="3168"/>
      <c r="L191" s="3190"/>
      <c r="M191" s="3169"/>
      <c r="N191" s="3191"/>
      <c r="O191" s="1824"/>
      <c r="P191" s="3170"/>
      <c r="Q191" s="3170"/>
      <c r="R191" s="1824"/>
      <c r="S191" s="1824"/>
      <c r="T191" s="1647"/>
      <c r="U191" s="1555"/>
      <c r="V191" s="1555"/>
      <c r="W191" s="1555"/>
      <c r="X191" s="1555"/>
      <c r="Y191" s="2422"/>
      <c r="Z191" s="2422"/>
      <c r="AA191" s="1555"/>
      <c r="AB191" s="1555"/>
      <c r="AC191" s="1555"/>
      <c r="AD191" s="1767"/>
      <c r="AE191" s="3182"/>
      <c r="AF191" s="3183"/>
      <c r="AG191" s="2904"/>
      <c r="AH191" s="1518"/>
      <c r="AI191" s="1519"/>
      <c r="AJ191" s="1518"/>
      <c r="AK191" s="1518"/>
      <c r="AL191" s="1518"/>
      <c r="AM191" s="1518"/>
      <c r="AN191" s="1518"/>
      <c r="AO191" s="1518"/>
      <c r="AP191" s="1518"/>
      <c r="AQ191" s="1518"/>
      <c r="AR191" s="1518"/>
    </row>
    <row r="192" spans="1:44" s="1350" customFormat="1">
      <c r="A192" s="1599"/>
      <c r="B192" s="1647"/>
      <c r="C192" s="2288"/>
      <c r="D192" s="1919"/>
      <c r="E192" s="2039"/>
      <c r="F192" s="2039"/>
      <c r="G192" s="2807"/>
      <c r="H192" s="1647"/>
      <c r="I192" s="1647"/>
      <c r="J192" s="3189"/>
      <c r="K192" s="3168"/>
      <c r="L192" s="3190"/>
      <c r="M192" s="3169"/>
      <c r="N192" s="3191"/>
      <c r="O192" s="1824"/>
      <c r="P192" s="3170"/>
      <c r="Q192" s="3170"/>
      <c r="R192" s="1824"/>
      <c r="S192" s="1824"/>
      <c r="T192" s="1647"/>
      <c r="U192" s="1555"/>
      <c r="V192" s="1555"/>
      <c r="W192" s="1555"/>
      <c r="X192" s="1555"/>
      <c r="Y192" s="2422"/>
      <c r="Z192" s="2422"/>
      <c r="AA192" s="1555"/>
      <c r="AB192" s="1555"/>
      <c r="AC192" s="1555"/>
      <c r="AD192" s="1767"/>
      <c r="AE192" s="3182"/>
      <c r="AF192" s="3183"/>
      <c r="AG192" s="2904"/>
      <c r="AH192" s="1518"/>
      <c r="AI192" s="1519"/>
      <c r="AJ192" s="1518"/>
      <c r="AK192" s="1518"/>
      <c r="AL192" s="1518"/>
      <c r="AM192" s="1518"/>
      <c r="AN192" s="1518"/>
      <c r="AO192" s="1518"/>
      <c r="AP192" s="1518"/>
      <c r="AQ192" s="1518"/>
      <c r="AR192" s="1518"/>
    </row>
    <row r="193" spans="1:44" s="1350" customFormat="1">
      <c r="A193" s="1599"/>
      <c r="B193" s="1647"/>
      <c r="C193" s="2288"/>
      <c r="D193" s="1919"/>
      <c r="E193" s="2039"/>
      <c r="F193" s="2039"/>
      <c r="G193" s="2807"/>
      <c r="H193" s="1647"/>
      <c r="I193" s="1647"/>
      <c r="J193" s="3189"/>
      <c r="K193" s="3168"/>
      <c r="L193" s="3190"/>
      <c r="M193" s="3169"/>
      <c r="N193" s="3191"/>
      <c r="O193" s="1824"/>
      <c r="P193" s="3170"/>
      <c r="Q193" s="3170"/>
      <c r="R193" s="1824"/>
      <c r="S193" s="1824"/>
      <c r="T193" s="1647"/>
      <c r="U193" s="1555"/>
      <c r="V193" s="1555"/>
      <c r="W193" s="1555"/>
      <c r="X193" s="1555"/>
      <c r="Y193" s="2422"/>
      <c r="Z193" s="2422"/>
      <c r="AA193" s="1555"/>
      <c r="AB193" s="1555"/>
      <c r="AC193" s="1555"/>
      <c r="AD193" s="1767"/>
      <c r="AE193" s="3182"/>
      <c r="AF193" s="3183"/>
      <c r="AG193" s="2904"/>
      <c r="AH193" s="1518"/>
      <c r="AI193" s="1519"/>
      <c r="AJ193" s="1518"/>
      <c r="AK193" s="1518"/>
      <c r="AL193" s="1518"/>
      <c r="AM193" s="1518"/>
      <c r="AN193" s="1518"/>
      <c r="AO193" s="1518"/>
      <c r="AP193" s="1518"/>
      <c r="AQ193" s="1518"/>
      <c r="AR193" s="1518"/>
    </row>
    <row r="194" spans="1:44" s="1350" customFormat="1">
      <c r="A194" s="1599"/>
      <c r="B194" s="1647"/>
      <c r="C194" s="2288"/>
      <c r="D194" s="1919"/>
      <c r="E194" s="2039"/>
      <c r="F194" s="2039"/>
      <c r="G194" s="2807"/>
      <c r="H194" s="1647"/>
      <c r="I194" s="1647"/>
      <c r="J194" s="3189"/>
      <c r="K194" s="3168"/>
      <c r="L194" s="3190"/>
      <c r="M194" s="3169"/>
      <c r="N194" s="3191"/>
      <c r="O194" s="1824"/>
      <c r="P194" s="3170"/>
      <c r="Q194" s="3170"/>
      <c r="R194" s="1824"/>
      <c r="S194" s="1824"/>
      <c r="T194" s="1647"/>
      <c r="U194" s="1555"/>
      <c r="V194" s="1555"/>
      <c r="W194" s="1555"/>
      <c r="X194" s="1555"/>
      <c r="Y194" s="2422"/>
      <c r="Z194" s="2422"/>
      <c r="AA194" s="1555"/>
      <c r="AB194" s="1555"/>
      <c r="AC194" s="1555"/>
      <c r="AD194" s="1767"/>
      <c r="AE194" s="3182"/>
      <c r="AF194" s="3183"/>
      <c r="AG194" s="2904"/>
      <c r="AH194" s="1518"/>
      <c r="AI194" s="1519"/>
      <c r="AJ194" s="1518"/>
      <c r="AK194" s="1518"/>
      <c r="AL194" s="1518"/>
      <c r="AM194" s="1518"/>
      <c r="AN194" s="1518"/>
      <c r="AO194" s="1518"/>
      <c r="AP194" s="1518"/>
      <c r="AQ194" s="1518"/>
      <c r="AR194" s="1518"/>
    </row>
    <row r="195" spans="1:44" s="1350" customFormat="1">
      <c r="A195" s="1599"/>
      <c r="B195" s="1647"/>
      <c r="C195" s="2288"/>
      <c r="D195" s="1919"/>
      <c r="E195" s="2039"/>
      <c r="F195" s="2039"/>
      <c r="G195" s="2807"/>
      <c r="H195" s="1647"/>
      <c r="I195" s="1647"/>
      <c r="J195" s="3189"/>
      <c r="K195" s="3168"/>
      <c r="L195" s="3190"/>
      <c r="M195" s="3169"/>
      <c r="N195" s="3191"/>
      <c r="O195" s="1824"/>
      <c r="P195" s="3170"/>
      <c r="Q195" s="3170"/>
      <c r="R195" s="1824"/>
      <c r="S195" s="1824"/>
      <c r="T195" s="1647"/>
      <c r="U195" s="1555"/>
      <c r="V195" s="1555"/>
      <c r="W195" s="1555"/>
      <c r="X195" s="1555"/>
      <c r="Y195" s="2422"/>
      <c r="Z195" s="2422"/>
      <c r="AA195" s="1555"/>
      <c r="AB195" s="1555"/>
      <c r="AC195" s="1555"/>
      <c r="AD195" s="1767"/>
      <c r="AE195" s="3182"/>
      <c r="AF195" s="3183"/>
      <c r="AG195" s="2904"/>
      <c r="AH195" s="1518"/>
      <c r="AI195" s="1519"/>
      <c r="AJ195" s="1518"/>
      <c r="AK195" s="1518"/>
      <c r="AL195" s="1518"/>
      <c r="AM195" s="1518"/>
      <c r="AN195" s="1518"/>
      <c r="AO195" s="1518"/>
      <c r="AP195" s="1518"/>
      <c r="AQ195" s="1518"/>
      <c r="AR195" s="1518"/>
    </row>
    <row r="196" spans="1:44" s="1350" customFormat="1">
      <c r="A196" s="1599"/>
      <c r="B196" s="1647"/>
      <c r="C196" s="2288"/>
      <c r="D196" s="1919"/>
      <c r="E196" s="2039"/>
      <c r="F196" s="2039"/>
      <c r="G196" s="2807"/>
      <c r="H196" s="1647"/>
      <c r="I196" s="1647"/>
      <c r="J196" s="3189"/>
      <c r="K196" s="3168"/>
      <c r="L196" s="3190"/>
      <c r="M196" s="3169"/>
      <c r="N196" s="3191"/>
      <c r="O196" s="1824"/>
      <c r="P196" s="3170"/>
      <c r="Q196" s="3170"/>
      <c r="R196" s="1824"/>
      <c r="S196" s="1824"/>
      <c r="T196" s="1647"/>
      <c r="U196" s="1555"/>
      <c r="V196" s="1555"/>
      <c r="W196" s="1555"/>
      <c r="X196" s="1555"/>
      <c r="Y196" s="2422"/>
      <c r="Z196" s="2422"/>
      <c r="AA196" s="1555"/>
      <c r="AB196" s="1555"/>
      <c r="AC196" s="1555"/>
      <c r="AD196" s="1767"/>
      <c r="AE196" s="3182"/>
      <c r="AF196" s="3183"/>
      <c r="AG196" s="2904"/>
      <c r="AH196" s="1518"/>
      <c r="AI196" s="1519"/>
      <c r="AJ196" s="1518"/>
      <c r="AK196" s="1518"/>
      <c r="AL196" s="1518"/>
      <c r="AM196" s="1518"/>
      <c r="AN196" s="1518"/>
      <c r="AO196" s="1518"/>
      <c r="AP196" s="1518"/>
      <c r="AQ196" s="1518"/>
      <c r="AR196" s="1518"/>
    </row>
    <row r="197" spans="1:44" s="1350" customFormat="1">
      <c r="A197" s="1599"/>
      <c r="B197" s="1647"/>
      <c r="C197" s="2288"/>
      <c r="D197" s="1919"/>
      <c r="E197" s="2039"/>
      <c r="F197" s="2039"/>
      <c r="G197" s="2807"/>
      <c r="H197" s="1647"/>
      <c r="I197" s="1647"/>
      <c r="J197" s="3189"/>
      <c r="K197" s="3168"/>
      <c r="L197" s="3190"/>
      <c r="M197" s="3169"/>
      <c r="N197" s="3191"/>
      <c r="O197" s="1824"/>
      <c r="P197" s="3170"/>
      <c r="Q197" s="3170"/>
      <c r="R197" s="1824"/>
      <c r="S197" s="1824"/>
      <c r="T197" s="1647"/>
      <c r="U197" s="1555"/>
      <c r="V197" s="1555"/>
      <c r="W197" s="1555"/>
      <c r="X197" s="1555"/>
      <c r="Y197" s="2422"/>
      <c r="Z197" s="2422"/>
      <c r="AA197" s="1555"/>
      <c r="AB197" s="1555"/>
      <c r="AC197" s="1555"/>
      <c r="AD197" s="1767"/>
      <c r="AE197" s="3182"/>
      <c r="AF197" s="3183"/>
      <c r="AG197" s="2904"/>
      <c r="AH197" s="1518"/>
      <c r="AI197" s="1519"/>
      <c r="AJ197" s="1518"/>
      <c r="AK197" s="1518"/>
      <c r="AL197" s="1518"/>
      <c r="AM197" s="1518"/>
      <c r="AN197" s="1518"/>
      <c r="AO197" s="1518"/>
      <c r="AP197" s="1518"/>
      <c r="AQ197" s="1518"/>
      <c r="AR197" s="1518"/>
    </row>
    <row r="198" spans="1:44" s="1350" customFormat="1">
      <c r="A198" s="1599"/>
      <c r="B198" s="1647"/>
      <c r="C198" s="2288"/>
      <c r="D198" s="1919"/>
      <c r="E198" s="2039"/>
      <c r="F198" s="2039"/>
      <c r="G198" s="2807"/>
      <c r="H198" s="1647"/>
      <c r="I198" s="1647"/>
      <c r="J198" s="3189"/>
      <c r="K198" s="3168"/>
      <c r="L198" s="3190"/>
      <c r="M198" s="3169"/>
      <c r="N198" s="3191"/>
      <c r="O198" s="1824"/>
      <c r="P198" s="3170"/>
      <c r="Q198" s="3170"/>
      <c r="R198" s="1824"/>
      <c r="S198" s="1824"/>
      <c r="T198" s="1647"/>
      <c r="U198" s="1555"/>
      <c r="V198" s="1555"/>
      <c r="W198" s="1555"/>
      <c r="X198" s="1555"/>
      <c r="Y198" s="2422"/>
      <c r="Z198" s="2422"/>
      <c r="AA198" s="1555"/>
      <c r="AB198" s="1555"/>
      <c r="AC198" s="1555"/>
      <c r="AD198" s="1767"/>
      <c r="AE198" s="3182"/>
      <c r="AF198" s="3183"/>
      <c r="AG198" s="2904"/>
      <c r="AH198" s="1518"/>
      <c r="AI198" s="1519"/>
      <c r="AJ198" s="1518"/>
      <c r="AK198" s="1518"/>
      <c r="AL198" s="1518"/>
      <c r="AM198" s="1518"/>
      <c r="AN198" s="1518"/>
      <c r="AO198" s="1518"/>
      <c r="AP198" s="1518"/>
      <c r="AQ198" s="1518"/>
      <c r="AR198" s="1518"/>
    </row>
    <row r="199" spans="1:44" s="1350" customFormat="1">
      <c r="A199" s="1599"/>
      <c r="B199" s="1647"/>
      <c r="C199" s="2288"/>
      <c r="D199" s="1919"/>
      <c r="E199" s="2039"/>
      <c r="F199" s="2039"/>
      <c r="G199" s="2807"/>
      <c r="H199" s="1647"/>
      <c r="I199" s="1647"/>
      <c r="J199" s="3189"/>
      <c r="K199" s="3168"/>
      <c r="L199" s="3190"/>
      <c r="M199" s="3169"/>
      <c r="N199" s="3191"/>
      <c r="O199" s="1824"/>
      <c r="P199" s="3170"/>
      <c r="Q199" s="3170"/>
      <c r="R199" s="1824"/>
      <c r="S199" s="1824"/>
      <c r="T199" s="1647"/>
      <c r="U199" s="1555"/>
      <c r="V199" s="1555"/>
      <c r="W199" s="1555"/>
      <c r="X199" s="1555"/>
      <c r="Y199" s="2422"/>
      <c r="Z199" s="2422"/>
      <c r="AA199" s="1555"/>
      <c r="AB199" s="1555"/>
      <c r="AC199" s="1555"/>
      <c r="AD199" s="1767"/>
      <c r="AE199" s="3182"/>
      <c r="AF199" s="3183"/>
      <c r="AG199" s="2904"/>
      <c r="AH199" s="1518"/>
      <c r="AI199" s="1519"/>
      <c r="AJ199" s="1518"/>
      <c r="AK199" s="1518"/>
      <c r="AL199" s="1518"/>
      <c r="AM199" s="1518"/>
      <c r="AN199" s="1518"/>
      <c r="AO199" s="1518"/>
      <c r="AP199" s="1518"/>
      <c r="AQ199" s="1518"/>
      <c r="AR199" s="1518"/>
    </row>
    <row r="200" spans="1:44" s="1350" customFormat="1">
      <c r="A200" s="1599"/>
      <c r="B200" s="1647"/>
      <c r="C200" s="2288"/>
      <c r="D200" s="1919"/>
      <c r="E200" s="2039"/>
      <c r="F200" s="2039"/>
      <c r="G200" s="2807"/>
      <c r="H200" s="1647"/>
      <c r="I200" s="1647"/>
      <c r="J200" s="3189"/>
      <c r="K200" s="3168"/>
      <c r="L200" s="3190"/>
      <c r="M200" s="3169"/>
      <c r="N200" s="3191"/>
      <c r="O200" s="1824"/>
      <c r="P200" s="3170"/>
      <c r="Q200" s="3170"/>
      <c r="R200" s="1824"/>
      <c r="S200" s="1824"/>
      <c r="T200" s="1647"/>
      <c r="U200" s="1555"/>
      <c r="V200" s="1555"/>
      <c r="W200" s="1555"/>
      <c r="X200" s="1555"/>
      <c r="Y200" s="2422"/>
      <c r="Z200" s="2422"/>
      <c r="AA200" s="1555"/>
      <c r="AB200" s="1555"/>
      <c r="AC200" s="1555"/>
      <c r="AD200" s="1767"/>
      <c r="AE200" s="3182"/>
      <c r="AF200" s="3183"/>
      <c r="AG200" s="2904"/>
      <c r="AH200" s="1518"/>
      <c r="AI200" s="1519"/>
      <c r="AJ200" s="1518"/>
      <c r="AK200" s="1518"/>
      <c r="AL200" s="1518"/>
      <c r="AM200" s="1518"/>
      <c r="AN200" s="1518"/>
      <c r="AO200" s="1518"/>
      <c r="AP200" s="1518"/>
      <c r="AQ200" s="1518"/>
      <c r="AR200" s="1518"/>
    </row>
    <row r="201" spans="1:44" s="1350" customFormat="1">
      <c r="A201" s="1599"/>
      <c r="B201" s="1647"/>
      <c r="C201" s="2288"/>
      <c r="D201" s="1919"/>
      <c r="E201" s="2039"/>
      <c r="F201" s="2039"/>
      <c r="G201" s="2807"/>
      <c r="H201" s="1647"/>
      <c r="I201" s="1647"/>
      <c r="J201" s="3189"/>
      <c r="K201" s="3168"/>
      <c r="L201" s="3190"/>
      <c r="M201" s="3169"/>
      <c r="N201" s="3191"/>
      <c r="O201" s="1824"/>
      <c r="P201" s="3170"/>
      <c r="Q201" s="3170"/>
      <c r="R201" s="1824"/>
      <c r="S201" s="1824"/>
      <c r="T201" s="1647"/>
      <c r="U201" s="1555"/>
      <c r="V201" s="1555"/>
      <c r="W201" s="1555"/>
      <c r="X201" s="1555"/>
      <c r="Y201" s="2422"/>
      <c r="Z201" s="2422"/>
      <c r="AA201" s="1555"/>
      <c r="AB201" s="1555"/>
      <c r="AC201" s="1555"/>
      <c r="AD201" s="1767"/>
      <c r="AE201" s="3182"/>
      <c r="AF201" s="3183"/>
      <c r="AG201" s="2904"/>
      <c r="AH201" s="1518"/>
      <c r="AI201" s="1519"/>
      <c r="AJ201" s="1518"/>
      <c r="AK201" s="1518"/>
      <c r="AL201" s="1518"/>
      <c r="AM201" s="1518"/>
      <c r="AN201" s="1518"/>
      <c r="AO201" s="1518"/>
      <c r="AP201" s="1518"/>
      <c r="AQ201" s="1518"/>
      <c r="AR201" s="1518"/>
    </row>
    <row r="202" spans="1:44" s="1350" customFormat="1">
      <c r="A202" s="1599"/>
      <c r="B202" s="1647"/>
      <c r="C202" s="2288"/>
      <c r="D202" s="1919"/>
      <c r="E202" s="2039"/>
      <c r="F202" s="2039"/>
      <c r="G202" s="2807"/>
      <c r="H202" s="1647"/>
      <c r="I202" s="1647"/>
      <c r="J202" s="3189"/>
      <c r="K202" s="3168"/>
      <c r="L202" s="3190"/>
      <c r="M202" s="3169"/>
      <c r="N202" s="3191"/>
      <c r="O202" s="1824"/>
      <c r="P202" s="3170"/>
      <c r="Q202" s="3170"/>
      <c r="R202" s="1824"/>
      <c r="S202" s="1824"/>
      <c r="T202" s="1647"/>
      <c r="U202" s="1555"/>
      <c r="V202" s="1555"/>
      <c r="W202" s="1555"/>
      <c r="X202" s="1555"/>
      <c r="Y202" s="2422"/>
      <c r="Z202" s="2422"/>
      <c r="AA202" s="1555"/>
      <c r="AB202" s="1555"/>
      <c r="AC202" s="1555"/>
      <c r="AD202" s="1767"/>
      <c r="AE202" s="3182"/>
      <c r="AF202" s="3183"/>
      <c r="AG202" s="2904"/>
      <c r="AH202" s="1518"/>
      <c r="AI202" s="1519"/>
      <c r="AJ202" s="1518"/>
      <c r="AK202" s="1518"/>
      <c r="AL202" s="1518"/>
      <c r="AM202" s="1518"/>
      <c r="AN202" s="1518"/>
      <c r="AO202" s="1518"/>
      <c r="AP202" s="1518"/>
      <c r="AQ202" s="1518"/>
      <c r="AR202" s="1518"/>
    </row>
    <row r="203" spans="1:44" s="1350" customFormat="1">
      <c r="A203" s="1599"/>
      <c r="B203" s="1647"/>
      <c r="C203" s="2288"/>
      <c r="D203" s="1919"/>
      <c r="E203" s="2039"/>
      <c r="F203" s="2039"/>
      <c r="G203" s="2807"/>
      <c r="H203" s="1647"/>
      <c r="I203" s="1647"/>
      <c r="J203" s="3189"/>
      <c r="K203" s="3168"/>
      <c r="L203" s="3190"/>
      <c r="M203" s="3169"/>
      <c r="N203" s="3191"/>
      <c r="O203" s="1824"/>
      <c r="P203" s="3170"/>
      <c r="Q203" s="3170"/>
      <c r="R203" s="1824"/>
      <c r="S203" s="1824"/>
      <c r="T203" s="1647"/>
      <c r="U203" s="1555"/>
      <c r="V203" s="1555"/>
      <c r="W203" s="1555"/>
      <c r="X203" s="1555"/>
      <c r="Y203" s="2422"/>
      <c r="Z203" s="2422"/>
      <c r="AA203" s="1555"/>
      <c r="AB203" s="1555"/>
      <c r="AC203" s="1555"/>
      <c r="AD203" s="1767"/>
      <c r="AE203" s="3182"/>
      <c r="AF203" s="3183"/>
      <c r="AG203" s="2904"/>
      <c r="AH203" s="1518"/>
      <c r="AI203" s="1519"/>
      <c r="AJ203" s="1518"/>
      <c r="AK203" s="1518"/>
      <c r="AL203" s="1518"/>
      <c r="AM203" s="1518"/>
      <c r="AN203" s="1518"/>
      <c r="AO203" s="1518"/>
      <c r="AP203" s="1518"/>
      <c r="AQ203" s="1518"/>
      <c r="AR203" s="1518"/>
    </row>
    <row r="204" spans="1:44" s="1350" customFormat="1">
      <c r="A204" s="1599"/>
      <c r="B204" s="1647"/>
      <c r="C204" s="2288"/>
      <c r="D204" s="1919"/>
      <c r="E204" s="2039"/>
      <c r="F204" s="2039"/>
      <c r="G204" s="2807"/>
      <c r="H204" s="1647"/>
      <c r="I204" s="1647"/>
      <c r="J204" s="3189"/>
      <c r="K204" s="3168"/>
      <c r="L204" s="3190"/>
      <c r="M204" s="3169"/>
      <c r="N204" s="3191"/>
      <c r="O204" s="1824"/>
      <c r="P204" s="3170"/>
      <c r="Q204" s="3170"/>
      <c r="R204" s="1824"/>
      <c r="S204" s="1824"/>
      <c r="T204" s="1647"/>
      <c r="U204" s="1555"/>
      <c r="V204" s="1555"/>
      <c r="W204" s="1555"/>
      <c r="X204" s="1555"/>
      <c r="Y204" s="2422"/>
      <c r="Z204" s="2422"/>
      <c r="AA204" s="1555"/>
      <c r="AB204" s="1555"/>
      <c r="AC204" s="1555"/>
      <c r="AD204" s="1767"/>
      <c r="AE204" s="3182"/>
      <c r="AF204" s="3183"/>
      <c r="AG204" s="2904"/>
      <c r="AH204" s="1518"/>
      <c r="AI204" s="1519"/>
      <c r="AJ204" s="1518"/>
      <c r="AK204" s="1518"/>
      <c r="AL204" s="1518"/>
      <c r="AM204" s="1518"/>
      <c r="AN204" s="1518"/>
      <c r="AO204" s="1518"/>
      <c r="AP204" s="1518"/>
      <c r="AQ204" s="1518"/>
      <c r="AR204" s="1518"/>
    </row>
    <row r="205" spans="1:44" s="1350" customFormat="1">
      <c r="A205" s="1599"/>
      <c r="B205" s="1647"/>
      <c r="C205" s="2288"/>
      <c r="D205" s="1919"/>
      <c r="E205" s="2039"/>
      <c r="F205" s="2039"/>
      <c r="G205" s="2807"/>
      <c r="H205" s="1647"/>
      <c r="I205" s="1647"/>
      <c r="J205" s="3189"/>
      <c r="K205" s="3168"/>
      <c r="L205" s="3190"/>
      <c r="M205" s="3169"/>
      <c r="N205" s="3191"/>
      <c r="O205" s="1824"/>
      <c r="P205" s="3170"/>
      <c r="Q205" s="3170"/>
      <c r="R205" s="1824"/>
      <c r="S205" s="1824"/>
      <c r="T205" s="1647"/>
      <c r="U205" s="1555"/>
      <c r="V205" s="1555"/>
      <c r="W205" s="1555"/>
      <c r="X205" s="1555"/>
      <c r="Y205" s="2422"/>
      <c r="Z205" s="2422"/>
      <c r="AA205" s="1555"/>
      <c r="AB205" s="1555"/>
      <c r="AC205" s="1555"/>
      <c r="AD205" s="1767"/>
      <c r="AE205" s="3182"/>
      <c r="AF205" s="3183"/>
      <c r="AG205" s="2904"/>
      <c r="AH205" s="1518"/>
      <c r="AI205" s="1519"/>
      <c r="AJ205" s="1518"/>
      <c r="AK205" s="1518"/>
      <c r="AL205" s="1518"/>
      <c r="AM205" s="1518"/>
      <c r="AN205" s="1518"/>
      <c r="AO205" s="1518"/>
      <c r="AP205" s="1518"/>
      <c r="AQ205" s="1518"/>
      <c r="AR205" s="1518"/>
    </row>
    <row r="206" spans="1:44" s="1350" customFormat="1">
      <c r="A206" s="1599"/>
      <c r="B206" s="1647"/>
      <c r="C206" s="2288"/>
      <c r="D206" s="1919"/>
      <c r="E206" s="2039"/>
      <c r="F206" s="2039"/>
      <c r="G206" s="2807"/>
      <c r="H206" s="1647"/>
      <c r="I206" s="1647"/>
      <c r="J206" s="3189"/>
      <c r="K206" s="3168"/>
      <c r="L206" s="3190"/>
      <c r="M206" s="3169"/>
      <c r="N206" s="3191"/>
      <c r="O206" s="1824"/>
      <c r="P206" s="3170"/>
      <c r="Q206" s="3170"/>
      <c r="R206" s="1824"/>
      <c r="S206" s="1824"/>
      <c r="T206" s="1647"/>
      <c r="U206" s="1555"/>
      <c r="V206" s="1555"/>
      <c r="W206" s="1555"/>
      <c r="X206" s="1555"/>
      <c r="Y206" s="2422"/>
      <c r="Z206" s="2422"/>
      <c r="AA206" s="1555"/>
      <c r="AB206" s="1555"/>
      <c r="AC206" s="1555"/>
      <c r="AD206" s="1767"/>
      <c r="AE206" s="3182"/>
      <c r="AF206" s="3183"/>
      <c r="AG206" s="2904"/>
      <c r="AH206" s="1518"/>
      <c r="AI206" s="1519"/>
      <c r="AJ206" s="1518"/>
      <c r="AK206" s="1518"/>
      <c r="AL206" s="1518"/>
      <c r="AM206" s="1518"/>
      <c r="AN206" s="1518"/>
      <c r="AO206" s="1518"/>
      <c r="AP206" s="1518"/>
      <c r="AQ206" s="1518"/>
      <c r="AR206" s="1518"/>
    </row>
    <row r="207" spans="1:44" s="1350" customFormat="1">
      <c r="A207" s="1599"/>
      <c r="B207" s="1647"/>
      <c r="C207" s="2288"/>
      <c r="D207" s="1919"/>
      <c r="E207" s="2039"/>
      <c r="F207" s="2039"/>
      <c r="G207" s="2807"/>
      <c r="H207" s="1647"/>
      <c r="I207" s="1647"/>
      <c r="J207" s="3189"/>
      <c r="K207" s="3168"/>
      <c r="L207" s="3190"/>
      <c r="M207" s="3169"/>
      <c r="N207" s="3191"/>
      <c r="O207" s="1824"/>
      <c r="P207" s="3170"/>
      <c r="Q207" s="3170"/>
      <c r="R207" s="1824"/>
      <c r="S207" s="1824"/>
      <c r="T207" s="1647"/>
      <c r="U207" s="1555"/>
      <c r="V207" s="1555"/>
      <c r="W207" s="1555"/>
      <c r="X207" s="1555"/>
      <c r="Y207" s="2422"/>
      <c r="Z207" s="2422"/>
      <c r="AA207" s="1555"/>
      <c r="AB207" s="1555"/>
      <c r="AC207" s="1555"/>
      <c r="AD207" s="1767"/>
      <c r="AE207" s="3182"/>
      <c r="AF207" s="3183"/>
      <c r="AG207" s="2904"/>
      <c r="AH207" s="1518"/>
      <c r="AI207" s="1519"/>
      <c r="AJ207" s="1518"/>
      <c r="AK207" s="1518"/>
      <c r="AL207" s="1518"/>
      <c r="AM207" s="1518"/>
      <c r="AN207" s="1518"/>
      <c r="AO207" s="1518"/>
      <c r="AP207" s="1518"/>
      <c r="AQ207" s="1518"/>
      <c r="AR207" s="1518"/>
    </row>
    <row r="208" spans="1:44" s="1350" customFormat="1">
      <c r="A208" s="1599"/>
      <c r="B208" s="1647"/>
      <c r="C208" s="2288"/>
      <c r="D208" s="1919"/>
      <c r="E208" s="2039"/>
      <c r="F208" s="2039"/>
      <c r="G208" s="2807"/>
      <c r="H208" s="1647"/>
      <c r="I208" s="1647"/>
      <c r="J208" s="3189"/>
      <c r="K208" s="3168"/>
      <c r="L208" s="3190"/>
      <c r="M208" s="3169"/>
      <c r="N208" s="3191"/>
      <c r="O208" s="1824"/>
      <c r="P208" s="3170"/>
      <c r="Q208" s="3170"/>
      <c r="R208" s="1824"/>
      <c r="S208" s="1824"/>
      <c r="T208" s="1647"/>
      <c r="U208" s="1555"/>
      <c r="V208" s="1555"/>
      <c r="W208" s="1555"/>
      <c r="X208" s="1555"/>
      <c r="Y208" s="2422"/>
      <c r="Z208" s="2422"/>
      <c r="AA208" s="1555"/>
      <c r="AB208" s="1555"/>
      <c r="AC208" s="1555"/>
      <c r="AD208" s="1767"/>
      <c r="AE208" s="3182"/>
      <c r="AF208" s="3183"/>
      <c r="AG208" s="2904"/>
      <c r="AH208" s="1518"/>
      <c r="AI208" s="1519"/>
      <c r="AJ208" s="1518"/>
      <c r="AK208" s="1518"/>
      <c r="AL208" s="1518"/>
      <c r="AM208" s="1518"/>
      <c r="AN208" s="1518"/>
      <c r="AO208" s="1518"/>
      <c r="AP208" s="1518"/>
      <c r="AQ208" s="1518"/>
      <c r="AR208" s="1518"/>
    </row>
    <row r="209" spans="1:44" s="1350" customFormat="1">
      <c r="A209" s="1599"/>
      <c r="B209" s="1647"/>
      <c r="C209" s="2288"/>
      <c r="D209" s="1919"/>
      <c r="E209" s="2039"/>
      <c r="F209" s="2039"/>
      <c r="G209" s="2807"/>
      <c r="H209" s="1647"/>
      <c r="I209" s="1647"/>
      <c r="J209" s="3189"/>
      <c r="K209" s="3168"/>
      <c r="L209" s="3190"/>
      <c r="M209" s="3169"/>
      <c r="N209" s="3191"/>
      <c r="O209" s="1824"/>
      <c r="P209" s="3170"/>
      <c r="Q209" s="3170"/>
      <c r="R209" s="1824"/>
      <c r="S209" s="1824"/>
      <c r="T209" s="1647"/>
      <c r="U209" s="1555"/>
      <c r="V209" s="1555"/>
      <c r="W209" s="1555"/>
      <c r="X209" s="1555"/>
      <c r="Y209" s="2422"/>
      <c r="Z209" s="2422"/>
      <c r="AA209" s="1555"/>
      <c r="AB209" s="1555"/>
      <c r="AC209" s="1555"/>
      <c r="AD209" s="1767"/>
      <c r="AE209" s="3182"/>
      <c r="AF209" s="3183"/>
      <c r="AG209" s="2904"/>
      <c r="AH209" s="1518"/>
      <c r="AI209" s="1519"/>
      <c r="AJ209" s="1518"/>
      <c r="AK209" s="1518"/>
      <c r="AL209" s="1518"/>
      <c r="AM209" s="1518"/>
      <c r="AN209" s="1518"/>
      <c r="AO209" s="1518"/>
      <c r="AP209" s="1518"/>
      <c r="AQ209" s="1518"/>
      <c r="AR209" s="1518"/>
    </row>
    <row r="210" spans="1:44" s="1350" customFormat="1">
      <c r="A210" s="1599"/>
      <c r="B210" s="1647"/>
      <c r="C210" s="2288"/>
      <c r="D210" s="1919"/>
      <c r="E210" s="2039"/>
      <c r="F210" s="2039"/>
      <c r="G210" s="2807"/>
      <c r="H210" s="1647"/>
      <c r="I210" s="1647"/>
      <c r="J210" s="3189"/>
      <c r="K210" s="3168"/>
      <c r="L210" s="3190"/>
      <c r="M210" s="3169"/>
      <c r="N210" s="3191"/>
      <c r="O210" s="1824"/>
      <c r="P210" s="3170"/>
      <c r="Q210" s="3170"/>
      <c r="R210" s="1824"/>
      <c r="S210" s="1824"/>
      <c r="T210" s="1647"/>
      <c r="U210" s="1555"/>
      <c r="V210" s="1555"/>
      <c r="W210" s="1555"/>
      <c r="X210" s="1555"/>
      <c r="Y210" s="2422"/>
      <c r="Z210" s="2422"/>
      <c r="AA210" s="1555"/>
      <c r="AB210" s="1555"/>
      <c r="AC210" s="1555"/>
      <c r="AD210" s="1767"/>
      <c r="AE210" s="3182"/>
      <c r="AF210" s="3183"/>
      <c r="AG210" s="2904"/>
      <c r="AH210" s="1518"/>
      <c r="AI210" s="1519"/>
      <c r="AJ210" s="1518"/>
      <c r="AK210" s="1518"/>
      <c r="AL210" s="1518"/>
      <c r="AM210" s="1518"/>
      <c r="AN210" s="1518"/>
      <c r="AO210" s="1518"/>
      <c r="AP210" s="1518"/>
      <c r="AQ210" s="1518"/>
      <c r="AR210" s="1518"/>
    </row>
    <row r="211" spans="1:44" s="1350" customFormat="1">
      <c r="A211" s="1599"/>
      <c r="B211" s="1647"/>
      <c r="C211" s="2288"/>
      <c r="D211" s="1919"/>
      <c r="E211" s="2039"/>
      <c r="F211" s="2039"/>
      <c r="G211" s="2807"/>
      <c r="H211" s="1647"/>
      <c r="I211" s="1647"/>
      <c r="J211" s="3189"/>
      <c r="K211" s="3168"/>
      <c r="L211" s="3190"/>
      <c r="M211" s="3169"/>
      <c r="N211" s="3191"/>
      <c r="O211" s="1824"/>
      <c r="P211" s="3170"/>
      <c r="Q211" s="3170"/>
      <c r="R211" s="1824"/>
      <c r="S211" s="1824"/>
      <c r="T211" s="1647"/>
      <c r="U211" s="1555"/>
      <c r="V211" s="1555"/>
      <c r="W211" s="1555"/>
      <c r="X211" s="1555"/>
      <c r="Y211" s="2422"/>
      <c r="Z211" s="2422"/>
      <c r="AA211" s="1555"/>
      <c r="AB211" s="1555"/>
      <c r="AC211" s="1555"/>
      <c r="AD211" s="1767"/>
      <c r="AE211" s="3182"/>
      <c r="AF211" s="3183"/>
      <c r="AG211" s="2904"/>
      <c r="AH211" s="1518"/>
      <c r="AI211" s="1519"/>
      <c r="AJ211" s="1518"/>
      <c r="AK211" s="1518"/>
      <c r="AL211" s="1518"/>
      <c r="AM211" s="1518"/>
      <c r="AN211" s="1518"/>
      <c r="AO211" s="1518"/>
      <c r="AP211" s="1518"/>
      <c r="AQ211" s="1518"/>
      <c r="AR211" s="1518"/>
    </row>
    <row r="212" spans="1:44" s="1350" customFormat="1">
      <c r="A212" s="1599"/>
      <c r="B212" s="1647"/>
      <c r="C212" s="2288"/>
      <c r="D212" s="1919"/>
      <c r="E212" s="2039"/>
      <c r="F212" s="2039"/>
      <c r="G212" s="2807"/>
      <c r="H212" s="1647"/>
      <c r="I212" s="1647"/>
      <c r="J212" s="3189"/>
      <c r="K212" s="3168"/>
      <c r="L212" s="3190"/>
      <c r="M212" s="3169"/>
      <c r="N212" s="3191"/>
      <c r="O212" s="1824"/>
      <c r="P212" s="3170"/>
      <c r="Q212" s="3170"/>
      <c r="R212" s="1824"/>
      <c r="S212" s="1824"/>
      <c r="T212" s="1647"/>
      <c r="U212" s="1555"/>
      <c r="V212" s="1555"/>
      <c r="W212" s="1555"/>
      <c r="X212" s="1555"/>
      <c r="Y212" s="2422"/>
      <c r="Z212" s="2422"/>
      <c r="AA212" s="1555"/>
      <c r="AB212" s="1555"/>
      <c r="AC212" s="1555"/>
      <c r="AD212" s="1767"/>
      <c r="AE212" s="3182"/>
      <c r="AF212" s="3183"/>
      <c r="AG212" s="2904"/>
      <c r="AH212" s="1518"/>
      <c r="AI212" s="1519"/>
      <c r="AJ212" s="1518"/>
      <c r="AK212" s="1518"/>
      <c r="AL212" s="1518"/>
      <c r="AM212" s="1518"/>
      <c r="AN212" s="1518"/>
      <c r="AO212" s="1518"/>
      <c r="AP212" s="1518"/>
      <c r="AQ212" s="1518"/>
      <c r="AR212" s="1518"/>
    </row>
    <row r="213" spans="1:44" s="1350" customFormat="1">
      <c r="A213" s="1599"/>
      <c r="B213" s="1647"/>
      <c r="C213" s="2288"/>
      <c r="D213" s="1919"/>
      <c r="E213" s="2039"/>
      <c r="F213" s="2039"/>
      <c r="G213" s="2807"/>
      <c r="H213" s="1647"/>
      <c r="I213" s="1647"/>
      <c r="J213" s="3189"/>
      <c r="K213" s="3168"/>
      <c r="L213" s="3190"/>
      <c r="M213" s="3169"/>
      <c r="N213" s="3191"/>
      <c r="O213" s="1824"/>
      <c r="P213" s="3170"/>
      <c r="Q213" s="3170"/>
      <c r="R213" s="1824"/>
      <c r="S213" s="1824"/>
      <c r="T213" s="1647"/>
      <c r="U213" s="1555"/>
      <c r="V213" s="1555"/>
      <c r="W213" s="1555"/>
      <c r="X213" s="1555"/>
      <c r="Y213" s="2422"/>
      <c r="Z213" s="2422"/>
      <c r="AA213" s="1555"/>
      <c r="AB213" s="1555"/>
      <c r="AC213" s="1555"/>
      <c r="AD213" s="1767"/>
      <c r="AE213" s="3182"/>
      <c r="AF213" s="3183"/>
      <c r="AG213" s="2904"/>
      <c r="AH213" s="1518"/>
      <c r="AI213" s="1519"/>
      <c r="AJ213" s="1518"/>
      <c r="AK213" s="1518"/>
      <c r="AL213" s="1518"/>
      <c r="AM213" s="1518"/>
      <c r="AN213" s="1518"/>
      <c r="AO213" s="1518"/>
      <c r="AP213" s="1518"/>
      <c r="AQ213" s="1518"/>
      <c r="AR213" s="1518"/>
    </row>
    <row r="214" spans="1:44" s="1350" customFormat="1">
      <c r="A214" s="1599"/>
      <c r="B214" s="1647"/>
      <c r="C214" s="2288"/>
      <c r="D214" s="1919"/>
      <c r="E214" s="2039"/>
      <c r="F214" s="2039"/>
      <c r="G214" s="2807"/>
      <c r="H214" s="1647"/>
      <c r="I214" s="1647"/>
      <c r="J214" s="3189"/>
      <c r="K214" s="3168"/>
      <c r="L214" s="3190"/>
      <c r="M214" s="3169"/>
      <c r="N214" s="3191"/>
      <c r="O214" s="1824"/>
      <c r="P214" s="3170"/>
      <c r="Q214" s="3170"/>
      <c r="R214" s="1824"/>
      <c r="S214" s="1824"/>
      <c r="T214" s="1647"/>
      <c r="U214" s="1555"/>
      <c r="V214" s="1555"/>
      <c r="W214" s="1555"/>
      <c r="X214" s="1555"/>
      <c r="Y214" s="2422"/>
      <c r="Z214" s="2422"/>
      <c r="AA214" s="1555"/>
      <c r="AB214" s="1555"/>
      <c r="AC214" s="1555"/>
      <c r="AD214" s="1767"/>
      <c r="AE214" s="3182"/>
      <c r="AF214" s="3183"/>
      <c r="AG214" s="2904"/>
      <c r="AH214" s="1518"/>
      <c r="AI214" s="1519"/>
      <c r="AJ214" s="1518"/>
      <c r="AK214" s="1518"/>
      <c r="AL214" s="1518"/>
      <c r="AM214" s="1518"/>
      <c r="AN214" s="1518"/>
      <c r="AO214" s="1518"/>
      <c r="AP214" s="1518"/>
      <c r="AQ214" s="1518"/>
      <c r="AR214" s="1518"/>
    </row>
    <row r="215" spans="1:44" s="1350" customFormat="1">
      <c r="A215" s="1599"/>
      <c r="B215" s="1647"/>
      <c r="C215" s="2288"/>
      <c r="D215" s="1919"/>
      <c r="E215" s="2039"/>
      <c r="F215" s="2039"/>
      <c r="G215" s="2807"/>
      <c r="H215" s="1647"/>
      <c r="I215" s="1647"/>
      <c r="J215" s="3189"/>
      <c r="K215" s="3168"/>
      <c r="L215" s="3190"/>
      <c r="M215" s="3169"/>
      <c r="N215" s="3191"/>
      <c r="O215" s="1824"/>
      <c r="P215" s="3170"/>
      <c r="Q215" s="3170"/>
      <c r="R215" s="1824"/>
      <c r="S215" s="1824"/>
      <c r="T215" s="1647"/>
      <c r="U215" s="1555"/>
      <c r="V215" s="1555"/>
      <c r="W215" s="1555"/>
      <c r="X215" s="1555"/>
      <c r="Y215" s="2422"/>
      <c r="Z215" s="2422"/>
      <c r="AA215" s="1555"/>
      <c r="AB215" s="1555"/>
      <c r="AC215" s="1555"/>
      <c r="AD215" s="1767"/>
      <c r="AE215" s="3182"/>
      <c r="AF215" s="3183"/>
      <c r="AG215" s="2904"/>
      <c r="AH215" s="1518"/>
      <c r="AI215" s="1519"/>
      <c r="AJ215" s="1518"/>
      <c r="AK215" s="1518"/>
      <c r="AL215" s="1518"/>
      <c r="AM215" s="1518"/>
      <c r="AN215" s="1518"/>
      <c r="AO215" s="1518"/>
      <c r="AP215" s="1518"/>
      <c r="AQ215" s="1518"/>
      <c r="AR215" s="1518"/>
    </row>
    <row r="216" spans="1:44" s="1350" customFormat="1">
      <c r="A216" s="1599"/>
      <c r="B216" s="1647"/>
      <c r="C216" s="2288"/>
      <c r="D216" s="1919"/>
      <c r="E216" s="2039"/>
      <c r="F216" s="2039"/>
      <c r="G216" s="2807"/>
      <c r="H216" s="1647"/>
      <c r="I216" s="1647"/>
      <c r="J216" s="3189"/>
      <c r="K216" s="3168"/>
      <c r="L216" s="3190"/>
      <c r="M216" s="3169"/>
      <c r="N216" s="3191"/>
      <c r="O216" s="1824"/>
      <c r="P216" s="3170"/>
      <c r="Q216" s="3170"/>
      <c r="R216" s="1824"/>
      <c r="S216" s="1824"/>
      <c r="T216" s="1647"/>
      <c r="U216" s="1555"/>
      <c r="V216" s="1555"/>
      <c r="W216" s="1555"/>
      <c r="X216" s="1555"/>
      <c r="Y216" s="2422"/>
      <c r="Z216" s="2422"/>
      <c r="AA216" s="1555"/>
      <c r="AB216" s="1555"/>
      <c r="AC216" s="1555"/>
      <c r="AD216" s="1767"/>
      <c r="AE216" s="3182"/>
      <c r="AF216" s="3183"/>
      <c r="AG216" s="2904"/>
      <c r="AH216" s="1518"/>
      <c r="AI216" s="1519"/>
      <c r="AJ216" s="1518"/>
      <c r="AK216" s="1518"/>
      <c r="AL216" s="1518"/>
      <c r="AM216" s="1518"/>
      <c r="AN216" s="1518"/>
      <c r="AO216" s="1518"/>
      <c r="AP216" s="1518"/>
      <c r="AQ216" s="1518"/>
      <c r="AR216" s="1518"/>
    </row>
    <row r="217" spans="1:44" s="1350" customFormat="1">
      <c r="A217" s="1599"/>
      <c r="B217" s="1647"/>
      <c r="C217" s="2288"/>
      <c r="D217" s="1919"/>
      <c r="E217" s="2039"/>
      <c r="F217" s="2039"/>
      <c r="G217" s="2807"/>
      <c r="H217" s="1647"/>
      <c r="I217" s="1647"/>
      <c r="J217" s="3189"/>
      <c r="K217" s="3168"/>
      <c r="L217" s="3190"/>
      <c r="M217" s="3169"/>
      <c r="N217" s="3191"/>
      <c r="O217" s="1824"/>
      <c r="P217" s="3170"/>
      <c r="Q217" s="3170"/>
      <c r="R217" s="1824"/>
      <c r="S217" s="1824"/>
      <c r="T217" s="1647"/>
      <c r="U217" s="1555"/>
      <c r="V217" s="1555"/>
      <c r="W217" s="1555"/>
      <c r="X217" s="1555"/>
      <c r="Y217" s="2422"/>
      <c r="Z217" s="2422"/>
      <c r="AA217" s="1555"/>
      <c r="AB217" s="1555"/>
      <c r="AC217" s="1555"/>
      <c r="AD217" s="1767"/>
      <c r="AE217" s="3182"/>
      <c r="AF217" s="3183"/>
      <c r="AG217" s="2904"/>
      <c r="AH217" s="1518"/>
      <c r="AI217" s="1519"/>
      <c r="AJ217" s="1518"/>
      <c r="AK217" s="1518"/>
      <c r="AL217" s="1518"/>
      <c r="AM217" s="1518"/>
      <c r="AN217" s="1518"/>
      <c r="AO217" s="1518"/>
      <c r="AP217" s="1518"/>
      <c r="AQ217" s="1518"/>
      <c r="AR217" s="1518"/>
    </row>
    <row r="218" spans="1:44" s="1350" customFormat="1">
      <c r="A218" s="1599"/>
      <c r="B218" s="1647"/>
      <c r="C218" s="2288"/>
      <c r="D218" s="1919"/>
      <c r="E218" s="2039"/>
      <c r="F218" s="2039"/>
      <c r="G218" s="2807"/>
      <c r="H218" s="1647"/>
      <c r="I218" s="1647"/>
      <c r="J218" s="3189"/>
      <c r="K218" s="3168"/>
      <c r="L218" s="3190"/>
      <c r="M218" s="3169"/>
      <c r="N218" s="3191"/>
      <c r="O218" s="1824"/>
      <c r="P218" s="3170"/>
      <c r="Q218" s="3170"/>
      <c r="R218" s="1824"/>
      <c r="S218" s="1824"/>
      <c r="T218" s="1647"/>
      <c r="U218" s="1555"/>
      <c r="V218" s="1555"/>
      <c r="W218" s="1555"/>
      <c r="X218" s="1555"/>
      <c r="Y218" s="2422"/>
      <c r="Z218" s="2422"/>
      <c r="AA218" s="1555"/>
      <c r="AB218" s="1555"/>
      <c r="AC218" s="1555"/>
      <c r="AD218" s="1767"/>
      <c r="AE218" s="3182"/>
      <c r="AF218" s="3183"/>
      <c r="AG218" s="2904"/>
      <c r="AH218" s="1518"/>
      <c r="AI218" s="1519"/>
      <c r="AJ218" s="1518"/>
      <c r="AK218" s="1518"/>
      <c r="AL218" s="1518"/>
      <c r="AM218" s="1518"/>
      <c r="AN218" s="1518"/>
      <c r="AO218" s="1518"/>
      <c r="AP218" s="1518"/>
      <c r="AQ218" s="1518"/>
      <c r="AR218" s="1518"/>
    </row>
    <row r="219" spans="1:44" s="1350" customFormat="1">
      <c r="A219" s="1599"/>
      <c r="B219" s="1647"/>
      <c r="C219" s="2288"/>
      <c r="D219" s="1919"/>
      <c r="E219" s="2039"/>
      <c r="F219" s="2039"/>
      <c r="G219" s="2807"/>
      <c r="H219" s="1647"/>
      <c r="I219" s="1647"/>
      <c r="J219" s="3189"/>
      <c r="K219" s="3168"/>
      <c r="L219" s="3190"/>
      <c r="M219" s="3169"/>
      <c r="N219" s="3191"/>
      <c r="O219" s="1824"/>
      <c r="P219" s="3170"/>
      <c r="Q219" s="3170"/>
      <c r="R219" s="1824"/>
      <c r="S219" s="1824"/>
      <c r="T219" s="1647"/>
      <c r="U219" s="1555"/>
      <c r="V219" s="1555"/>
      <c r="W219" s="1555"/>
      <c r="X219" s="1555"/>
      <c r="Y219" s="2422"/>
      <c r="Z219" s="2422"/>
      <c r="AA219" s="1555"/>
      <c r="AB219" s="1555"/>
      <c r="AC219" s="1555"/>
      <c r="AD219" s="1767"/>
      <c r="AE219" s="3182"/>
      <c r="AF219" s="3183"/>
      <c r="AG219" s="2904"/>
      <c r="AH219" s="1518"/>
      <c r="AI219" s="1519"/>
      <c r="AJ219" s="1518"/>
      <c r="AK219" s="1518"/>
      <c r="AL219" s="1518"/>
      <c r="AM219" s="1518"/>
      <c r="AN219" s="1518"/>
      <c r="AO219" s="1518"/>
      <c r="AP219" s="1518"/>
      <c r="AQ219" s="1518"/>
      <c r="AR219" s="1518"/>
    </row>
    <row r="220" spans="1:44" s="1350" customFormat="1">
      <c r="A220" s="1599"/>
      <c r="B220" s="1647"/>
      <c r="C220" s="2288"/>
      <c r="D220" s="1919"/>
      <c r="E220" s="2039"/>
      <c r="F220" s="2039"/>
      <c r="G220" s="2807"/>
      <c r="H220" s="1647"/>
      <c r="I220" s="1647"/>
      <c r="J220" s="3189"/>
      <c r="K220" s="3168"/>
      <c r="L220" s="3190"/>
      <c r="M220" s="3169"/>
      <c r="N220" s="3191"/>
      <c r="O220" s="1824"/>
      <c r="P220" s="3170"/>
      <c r="Q220" s="3170"/>
      <c r="R220" s="1824"/>
      <c r="S220" s="1824"/>
      <c r="T220" s="1647"/>
      <c r="U220" s="1555"/>
      <c r="V220" s="1555"/>
      <c r="W220" s="1555"/>
      <c r="X220" s="1555"/>
      <c r="Y220" s="2422"/>
      <c r="Z220" s="2422"/>
      <c r="AA220" s="1555"/>
      <c r="AB220" s="1555"/>
      <c r="AC220" s="1555"/>
      <c r="AD220" s="1767"/>
      <c r="AE220" s="3182"/>
      <c r="AF220" s="3183"/>
      <c r="AG220" s="2904"/>
      <c r="AH220" s="1518"/>
      <c r="AI220" s="1519"/>
      <c r="AJ220" s="1518"/>
      <c r="AK220" s="1518"/>
      <c r="AL220" s="1518"/>
      <c r="AM220" s="1518"/>
      <c r="AN220" s="1518"/>
      <c r="AO220" s="1518"/>
      <c r="AP220" s="1518"/>
      <c r="AQ220" s="1518"/>
      <c r="AR220" s="1518"/>
    </row>
    <row r="221" spans="1:44" s="1350" customFormat="1">
      <c r="A221" s="1599"/>
      <c r="B221" s="1647"/>
      <c r="C221" s="2288"/>
      <c r="D221" s="1919"/>
      <c r="E221" s="2039"/>
      <c r="F221" s="2039"/>
      <c r="G221" s="2807"/>
      <c r="H221" s="1647"/>
      <c r="I221" s="1647"/>
      <c r="J221" s="3189"/>
      <c r="K221" s="3168"/>
      <c r="L221" s="3190"/>
      <c r="M221" s="3169"/>
      <c r="N221" s="3191"/>
      <c r="O221" s="1824"/>
      <c r="P221" s="3170"/>
      <c r="Q221" s="3170"/>
      <c r="R221" s="1824"/>
      <c r="S221" s="1824"/>
      <c r="T221" s="1647"/>
      <c r="U221" s="1555"/>
      <c r="V221" s="1555"/>
      <c r="W221" s="1555"/>
      <c r="X221" s="1555"/>
      <c r="Y221" s="2422"/>
      <c r="Z221" s="2422"/>
      <c r="AA221" s="1555"/>
      <c r="AB221" s="1555"/>
      <c r="AC221" s="1555"/>
      <c r="AD221" s="1767"/>
      <c r="AE221" s="3182"/>
      <c r="AF221" s="3183"/>
      <c r="AG221" s="2904"/>
      <c r="AH221" s="1518"/>
      <c r="AI221" s="1519"/>
      <c r="AJ221" s="1518"/>
      <c r="AK221" s="1518"/>
      <c r="AL221" s="1518"/>
      <c r="AM221" s="1518"/>
      <c r="AN221" s="1518"/>
      <c r="AO221" s="1518"/>
      <c r="AP221" s="1518"/>
      <c r="AQ221" s="1518"/>
      <c r="AR221" s="1518"/>
    </row>
    <row r="222" spans="1:44" s="1350" customFormat="1">
      <c r="A222" s="1599"/>
      <c r="B222" s="1647"/>
      <c r="C222" s="2288"/>
      <c r="D222" s="1919"/>
      <c r="E222" s="2039"/>
      <c r="F222" s="2039"/>
      <c r="G222" s="2807"/>
      <c r="H222" s="1647"/>
      <c r="I222" s="1647"/>
      <c r="J222" s="3189"/>
      <c r="K222" s="3168"/>
      <c r="L222" s="3190"/>
      <c r="M222" s="3169"/>
      <c r="N222" s="3191"/>
      <c r="O222" s="1824"/>
      <c r="P222" s="3170"/>
      <c r="Q222" s="3170"/>
      <c r="R222" s="1824"/>
      <c r="S222" s="1824"/>
      <c r="T222" s="1647"/>
      <c r="U222" s="1555"/>
      <c r="V222" s="1555"/>
      <c r="W222" s="1555"/>
      <c r="X222" s="1555"/>
      <c r="Y222" s="2422"/>
      <c r="Z222" s="2422"/>
      <c r="AA222" s="1555"/>
      <c r="AB222" s="1555"/>
      <c r="AC222" s="1555"/>
      <c r="AD222" s="1767"/>
      <c r="AE222" s="3182"/>
      <c r="AF222" s="3183"/>
      <c r="AG222" s="2904"/>
      <c r="AH222" s="1518"/>
      <c r="AI222" s="1519"/>
      <c r="AJ222" s="1518"/>
      <c r="AK222" s="1518"/>
      <c r="AL222" s="1518"/>
      <c r="AM222" s="1518"/>
      <c r="AN222" s="1518"/>
      <c r="AO222" s="1518"/>
      <c r="AP222" s="1518"/>
      <c r="AQ222" s="1518"/>
      <c r="AR222" s="1518"/>
    </row>
    <row r="223" spans="1:44" s="1350" customFormat="1">
      <c r="A223" s="1599"/>
      <c r="B223" s="1647"/>
      <c r="C223" s="2288"/>
      <c r="D223" s="1919"/>
      <c r="E223" s="2039"/>
      <c r="F223" s="2039"/>
      <c r="G223" s="2807"/>
      <c r="H223" s="1647"/>
      <c r="I223" s="1647"/>
      <c r="J223" s="3189"/>
      <c r="K223" s="3168"/>
      <c r="L223" s="3190"/>
      <c r="M223" s="3169"/>
      <c r="N223" s="3191"/>
      <c r="O223" s="1824"/>
      <c r="P223" s="3170"/>
      <c r="Q223" s="3170"/>
      <c r="R223" s="1824"/>
      <c r="S223" s="1824"/>
      <c r="T223" s="1647"/>
      <c r="U223" s="1555"/>
      <c r="V223" s="1555"/>
      <c r="W223" s="1555"/>
      <c r="X223" s="1555"/>
      <c r="Y223" s="2422"/>
      <c r="Z223" s="2422"/>
      <c r="AA223" s="1555"/>
      <c r="AB223" s="1555"/>
      <c r="AC223" s="1555"/>
      <c r="AD223" s="1767"/>
      <c r="AE223" s="3182"/>
      <c r="AF223" s="3183"/>
      <c r="AG223" s="2904"/>
      <c r="AH223" s="1518"/>
      <c r="AI223" s="1519"/>
      <c r="AJ223" s="1518"/>
      <c r="AK223" s="1518"/>
      <c r="AL223" s="1518"/>
      <c r="AM223" s="1518"/>
      <c r="AN223" s="1518"/>
      <c r="AO223" s="1518"/>
      <c r="AP223" s="1518"/>
      <c r="AQ223" s="1518"/>
      <c r="AR223" s="1518"/>
    </row>
    <row r="224" spans="1:44" s="1350" customFormat="1">
      <c r="A224" s="1599"/>
      <c r="B224" s="1647"/>
      <c r="C224" s="2288"/>
      <c r="D224" s="1919"/>
      <c r="E224" s="2039"/>
      <c r="F224" s="2039"/>
      <c r="G224" s="2807"/>
      <c r="H224" s="1647"/>
      <c r="I224" s="1647"/>
      <c r="J224" s="3189"/>
      <c r="K224" s="3168"/>
      <c r="L224" s="3190"/>
      <c r="M224" s="3169"/>
      <c r="N224" s="3191"/>
      <c r="O224" s="1824"/>
      <c r="P224" s="3170"/>
      <c r="Q224" s="3170"/>
      <c r="R224" s="1824"/>
      <c r="S224" s="1824"/>
      <c r="T224" s="1647"/>
      <c r="U224" s="1555"/>
      <c r="V224" s="1555"/>
      <c r="W224" s="1555"/>
      <c r="X224" s="1555"/>
      <c r="Y224" s="2422"/>
      <c r="Z224" s="2422"/>
      <c r="AA224" s="1555"/>
      <c r="AB224" s="1555"/>
      <c r="AC224" s="1555"/>
      <c r="AD224" s="1767"/>
      <c r="AE224" s="3182"/>
      <c r="AF224" s="3183"/>
      <c r="AG224" s="2904"/>
      <c r="AH224" s="1518"/>
      <c r="AI224" s="1519"/>
      <c r="AJ224" s="1518"/>
      <c r="AK224" s="1518"/>
      <c r="AL224" s="1518"/>
      <c r="AM224" s="1518"/>
      <c r="AN224" s="1518"/>
      <c r="AO224" s="1518"/>
      <c r="AP224" s="1518"/>
      <c r="AQ224" s="1518"/>
      <c r="AR224" s="1518"/>
    </row>
    <row r="225" spans="1:44" s="1350" customFormat="1">
      <c r="A225" s="1599"/>
      <c r="B225" s="1647"/>
      <c r="C225" s="2288"/>
      <c r="D225" s="1919"/>
      <c r="E225" s="2039"/>
      <c r="F225" s="2039"/>
      <c r="G225" s="2807"/>
      <c r="H225" s="1647"/>
      <c r="I225" s="1647"/>
      <c r="J225" s="3189"/>
      <c r="K225" s="3168"/>
      <c r="L225" s="3190"/>
      <c r="M225" s="3169"/>
      <c r="N225" s="3191"/>
      <c r="O225" s="1824"/>
      <c r="P225" s="3170"/>
      <c r="Q225" s="3170"/>
      <c r="R225" s="1824"/>
      <c r="S225" s="1824"/>
      <c r="T225" s="1647"/>
      <c r="U225" s="1555"/>
      <c r="V225" s="1555"/>
      <c r="W225" s="1555"/>
      <c r="X225" s="1555"/>
      <c r="Y225" s="2422"/>
      <c r="Z225" s="2422"/>
      <c r="AA225" s="1555"/>
      <c r="AB225" s="1555"/>
      <c r="AC225" s="1555"/>
      <c r="AD225" s="1767"/>
      <c r="AE225" s="3182"/>
      <c r="AF225" s="3183"/>
      <c r="AG225" s="2904"/>
      <c r="AH225" s="1518"/>
      <c r="AI225" s="1519"/>
      <c r="AJ225" s="1518"/>
      <c r="AK225" s="1518"/>
      <c r="AL225" s="1518"/>
      <c r="AM225" s="1518"/>
      <c r="AN225" s="1518"/>
      <c r="AO225" s="1518"/>
      <c r="AP225" s="1518"/>
      <c r="AQ225" s="1518"/>
      <c r="AR225" s="1518"/>
    </row>
    <row r="226" spans="1:44" s="1350" customFormat="1">
      <c r="A226" s="1599"/>
      <c r="B226" s="1647"/>
      <c r="C226" s="2288"/>
      <c r="D226" s="1919"/>
      <c r="E226" s="2039"/>
      <c r="F226" s="2039"/>
      <c r="G226" s="2807"/>
      <c r="H226" s="1647"/>
      <c r="I226" s="1647"/>
      <c r="J226" s="3189"/>
      <c r="K226" s="3168"/>
      <c r="L226" s="3190"/>
      <c r="M226" s="3169"/>
      <c r="N226" s="3191"/>
      <c r="O226" s="1824"/>
      <c r="P226" s="3170"/>
      <c r="Q226" s="3170"/>
      <c r="R226" s="1824"/>
      <c r="S226" s="1824"/>
      <c r="T226" s="1647"/>
      <c r="U226" s="1555"/>
      <c r="V226" s="1555"/>
      <c r="W226" s="1555"/>
      <c r="X226" s="1555"/>
      <c r="Y226" s="2422"/>
      <c r="Z226" s="2422"/>
      <c r="AA226" s="1555"/>
      <c r="AB226" s="1555"/>
      <c r="AC226" s="1555"/>
      <c r="AD226" s="1767"/>
      <c r="AE226" s="3182"/>
      <c r="AF226" s="3183"/>
      <c r="AG226" s="2904"/>
      <c r="AH226" s="1518"/>
      <c r="AI226" s="1519"/>
      <c r="AJ226" s="1518"/>
      <c r="AK226" s="1518"/>
      <c r="AL226" s="1518"/>
      <c r="AM226" s="1518"/>
      <c r="AN226" s="1518"/>
      <c r="AO226" s="1518"/>
      <c r="AP226" s="1518"/>
      <c r="AQ226" s="1518"/>
      <c r="AR226" s="1518"/>
    </row>
    <row r="227" spans="1:44" s="1350" customFormat="1">
      <c r="A227" s="1599"/>
      <c r="B227" s="1647"/>
      <c r="C227" s="2288"/>
      <c r="D227" s="1919"/>
      <c r="E227" s="2039"/>
      <c r="F227" s="2039"/>
      <c r="G227" s="2807"/>
      <c r="H227" s="1647"/>
      <c r="I227" s="1647"/>
      <c r="J227" s="3189"/>
      <c r="K227" s="3168"/>
      <c r="L227" s="3190"/>
      <c r="M227" s="3169"/>
      <c r="N227" s="3191"/>
      <c r="O227" s="1824"/>
      <c r="P227" s="3170"/>
      <c r="Q227" s="3170"/>
      <c r="R227" s="1824"/>
      <c r="S227" s="1824"/>
      <c r="T227" s="1647"/>
      <c r="U227" s="1555"/>
      <c r="V227" s="1555"/>
      <c r="W227" s="1555"/>
      <c r="X227" s="1555"/>
      <c r="Y227" s="2422"/>
      <c r="Z227" s="2422"/>
      <c r="AA227" s="1555"/>
      <c r="AB227" s="1555"/>
      <c r="AC227" s="1555"/>
      <c r="AD227" s="1767"/>
      <c r="AE227" s="3182"/>
      <c r="AF227" s="3183"/>
      <c r="AG227" s="2904"/>
      <c r="AH227" s="1518"/>
      <c r="AI227" s="1519"/>
      <c r="AJ227" s="1518"/>
      <c r="AK227" s="1518"/>
      <c r="AL227" s="1518"/>
      <c r="AM227" s="1518"/>
      <c r="AN227" s="1518"/>
      <c r="AO227" s="1518"/>
      <c r="AP227" s="1518"/>
      <c r="AQ227" s="1518"/>
      <c r="AR227" s="1518"/>
    </row>
    <row r="228" spans="1:44" s="1350" customFormat="1">
      <c r="A228" s="1599"/>
      <c r="B228" s="1647"/>
      <c r="C228" s="2288"/>
      <c r="D228" s="1919"/>
      <c r="E228" s="2039"/>
      <c r="F228" s="2039"/>
      <c r="G228" s="2807"/>
      <c r="H228" s="1647"/>
      <c r="I228" s="1647"/>
      <c r="J228" s="3189"/>
      <c r="K228" s="3168"/>
      <c r="L228" s="3190"/>
      <c r="M228" s="3169"/>
      <c r="N228" s="3191"/>
      <c r="O228" s="1824"/>
      <c r="P228" s="3170"/>
      <c r="Q228" s="3170"/>
      <c r="R228" s="1824"/>
      <c r="S228" s="1824"/>
      <c r="T228" s="1647"/>
      <c r="U228" s="1555"/>
      <c r="V228" s="1555"/>
      <c r="W228" s="1555"/>
      <c r="X228" s="1555"/>
      <c r="Y228" s="2422"/>
      <c r="Z228" s="2422"/>
      <c r="AA228" s="1555"/>
      <c r="AB228" s="1555"/>
      <c r="AC228" s="1555"/>
      <c r="AD228" s="1767"/>
      <c r="AE228" s="3182"/>
      <c r="AF228" s="3183"/>
      <c r="AG228" s="2904"/>
      <c r="AH228" s="1518"/>
      <c r="AI228" s="1519"/>
      <c r="AJ228" s="1518"/>
      <c r="AK228" s="1518"/>
      <c r="AL228" s="1518"/>
      <c r="AM228" s="1518"/>
      <c r="AN228" s="1518"/>
      <c r="AO228" s="1518"/>
      <c r="AP228" s="1518"/>
      <c r="AQ228" s="1518"/>
      <c r="AR228" s="1518"/>
    </row>
    <row r="229" spans="1:44" s="1350" customFormat="1">
      <c r="A229" s="1599"/>
      <c r="B229" s="1647"/>
      <c r="C229" s="2288"/>
      <c r="D229" s="1919"/>
      <c r="E229" s="2039"/>
      <c r="F229" s="2039"/>
      <c r="G229" s="2807"/>
      <c r="H229" s="1647"/>
      <c r="I229" s="1647"/>
      <c r="J229" s="3189"/>
      <c r="K229" s="3168"/>
      <c r="L229" s="3190"/>
      <c r="M229" s="3169"/>
      <c r="N229" s="3191"/>
      <c r="O229" s="1824"/>
      <c r="P229" s="3170"/>
      <c r="Q229" s="3170"/>
      <c r="R229" s="1824"/>
      <c r="S229" s="1824"/>
      <c r="T229" s="1647"/>
      <c r="U229" s="1555"/>
      <c r="V229" s="1555"/>
      <c r="W229" s="1555"/>
      <c r="X229" s="1555"/>
      <c r="Y229" s="2422"/>
      <c r="Z229" s="2422"/>
      <c r="AA229" s="1555"/>
      <c r="AB229" s="1555"/>
      <c r="AC229" s="1555"/>
      <c r="AD229" s="1767"/>
      <c r="AE229" s="3182"/>
      <c r="AF229" s="3183"/>
      <c r="AG229" s="2904"/>
      <c r="AH229" s="1518"/>
      <c r="AI229" s="1519"/>
      <c r="AJ229" s="1518"/>
      <c r="AK229" s="1518"/>
      <c r="AL229" s="1518"/>
      <c r="AM229" s="1518"/>
      <c r="AN229" s="1518"/>
      <c r="AO229" s="1518"/>
      <c r="AP229" s="1518"/>
      <c r="AQ229" s="1518"/>
      <c r="AR229" s="1518"/>
    </row>
    <row r="230" spans="1:44" s="1350" customFormat="1">
      <c r="A230" s="1599"/>
      <c r="B230" s="1647"/>
      <c r="C230" s="2288"/>
      <c r="D230" s="1919"/>
      <c r="E230" s="2039"/>
      <c r="F230" s="2039"/>
      <c r="G230" s="2807"/>
      <c r="H230" s="1647"/>
      <c r="I230" s="1647"/>
      <c r="J230" s="3189"/>
      <c r="K230" s="3168"/>
      <c r="L230" s="3190"/>
      <c r="M230" s="3169"/>
      <c r="N230" s="3191"/>
      <c r="O230" s="1824"/>
      <c r="P230" s="3170"/>
      <c r="Q230" s="3170"/>
      <c r="R230" s="1824"/>
      <c r="S230" s="1824"/>
      <c r="T230" s="1647"/>
      <c r="U230" s="1555"/>
      <c r="V230" s="1555"/>
      <c r="W230" s="1555"/>
      <c r="X230" s="1555"/>
      <c r="Y230" s="2422"/>
      <c r="Z230" s="2422"/>
      <c r="AA230" s="1555"/>
      <c r="AB230" s="1555"/>
      <c r="AC230" s="1555"/>
      <c r="AD230" s="1767"/>
      <c r="AE230" s="3182"/>
      <c r="AF230" s="3183"/>
      <c r="AG230" s="2904"/>
      <c r="AH230" s="1518"/>
      <c r="AI230" s="1519"/>
      <c r="AJ230" s="1518"/>
      <c r="AK230" s="1518"/>
      <c r="AL230" s="1518"/>
      <c r="AM230" s="1518"/>
      <c r="AN230" s="1518"/>
      <c r="AO230" s="1518"/>
      <c r="AP230" s="1518"/>
      <c r="AQ230" s="1518"/>
      <c r="AR230" s="1518"/>
    </row>
    <row r="231" spans="1:44" s="1350" customFormat="1">
      <c r="A231" s="1599"/>
      <c r="B231" s="1647"/>
      <c r="C231" s="2288"/>
      <c r="D231" s="1919"/>
      <c r="E231" s="2039"/>
      <c r="F231" s="2039"/>
      <c r="G231" s="2807"/>
      <c r="H231" s="1647"/>
      <c r="I231" s="1647"/>
      <c r="J231" s="3189"/>
      <c r="K231" s="3168"/>
      <c r="L231" s="3190"/>
      <c r="M231" s="3169"/>
      <c r="N231" s="3191"/>
      <c r="O231" s="1824"/>
      <c r="P231" s="3170"/>
      <c r="Q231" s="3170"/>
      <c r="R231" s="1824"/>
      <c r="S231" s="1824"/>
      <c r="T231" s="1647"/>
      <c r="U231" s="1555"/>
      <c r="V231" s="1555"/>
      <c r="W231" s="1555"/>
      <c r="X231" s="1555"/>
      <c r="Y231" s="2422"/>
      <c r="Z231" s="2422"/>
      <c r="AA231" s="1555"/>
      <c r="AB231" s="1555"/>
      <c r="AC231" s="1555"/>
      <c r="AD231" s="1767"/>
      <c r="AE231" s="3182"/>
      <c r="AF231" s="3183"/>
      <c r="AG231" s="2904"/>
      <c r="AH231" s="1518"/>
      <c r="AI231" s="1519"/>
      <c r="AJ231" s="1518"/>
      <c r="AK231" s="1518"/>
      <c r="AL231" s="1518"/>
      <c r="AM231" s="1518"/>
      <c r="AN231" s="1518"/>
      <c r="AO231" s="1518"/>
      <c r="AP231" s="1518"/>
      <c r="AQ231" s="1518"/>
      <c r="AR231" s="1518"/>
    </row>
    <row r="232" spans="1:44" s="1350" customFormat="1">
      <c r="A232" s="1599"/>
      <c r="B232" s="1647"/>
      <c r="C232" s="2288"/>
      <c r="D232" s="1919"/>
      <c r="E232" s="2039"/>
      <c r="F232" s="2039"/>
      <c r="G232" s="2807"/>
      <c r="H232" s="1647"/>
      <c r="I232" s="1647"/>
      <c r="J232" s="3189"/>
      <c r="K232" s="3168"/>
      <c r="L232" s="3190"/>
      <c r="M232" s="3169"/>
      <c r="N232" s="3191"/>
      <c r="O232" s="1824"/>
      <c r="P232" s="3170"/>
      <c r="Q232" s="3170"/>
      <c r="R232" s="1824"/>
      <c r="S232" s="1824"/>
      <c r="T232" s="1647"/>
      <c r="U232" s="1555"/>
      <c r="V232" s="1555"/>
      <c r="W232" s="1555"/>
      <c r="X232" s="1555"/>
      <c r="Y232" s="2422"/>
      <c r="Z232" s="2422"/>
      <c r="AA232" s="1555"/>
      <c r="AB232" s="1555"/>
      <c r="AC232" s="1555"/>
      <c r="AD232" s="1767"/>
      <c r="AE232" s="3182"/>
      <c r="AF232" s="3183"/>
      <c r="AG232" s="2904"/>
      <c r="AH232" s="1518"/>
      <c r="AI232" s="1519"/>
      <c r="AJ232" s="1518"/>
      <c r="AK232" s="1518"/>
      <c r="AL232" s="1518"/>
      <c r="AM232" s="1518"/>
      <c r="AN232" s="1518"/>
      <c r="AO232" s="1518"/>
      <c r="AP232" s="1518"/>
      <c r="AQ232" s="1518"/>
      <c r="AR232" s="1518"/>
    </row>
    <row r="233" spans="1:44" s="1350" customFormat="1">
      <c r="A233" s="1599"/>
      <c r="B233" s="1647"/>
      <c r="C233" s="2288"/>
      <c r="D233" s="1919"/>
      <c r="E233" s="2039"/>
      <c r="F233" s="2039"/>
      <c r="G233" s="2807"/>
      <c r="H233" s="1647"/>
      <c r="I233" s="1647"/>
      <c r="J233" s="3189"/>
      <c r="K233" s="3168"/>
      <c r="L233" s="3190"/>
      <c r="M233" s="3169"/>
      <c r="N233" s="3191"/>
      <c r="O233" s="1824"/>
      <c r="P233" s="3170"/>
      <c r="Q233" s="3170"/>
      <c r="R233" s="1824"/>
      <c r="S233" s="1824"/>
      <c r="T233" s="1647"/>
      <c r="U233" s="1555"/>
      <c r="V233" s="1555"/>
      <c r="W233" s="1555"/>
      <c r="X233" s="1555"/>
      <c r="Y233" s="2422"/>
      <c r="Z233" s="2422"/>
      <c r="AA233" s="1555"/>
      <c r="AB233" s="1555"/>
      <c r="AC233" s="1555"/>
      <c r="AD233" s="1767"/>
      <c r="AE233" s="3182"/>
      <c r="AF233" s="3183"/>
      <c r="AG233" s="2904"/>
      <c r="AH233" s="1518"/>
      <c r="AI233" s="1519"/>
      <c r="AJ233" s="1518"/>
      <c r="AK233" s="1518"/>
      <c r="AL233" s="1518"/>
      <c r="AM233" s="1518"/>
      <c r="AN233" s="1518"/>
      <c r="AO233" s="1518"/>
      <c r="AP233" s="1518"/>
      <c r="AQ233" s="1518"/>
      <c r="AR233" s="1518"/>
    </row>
    <row r="234" spans="1:44" s="1350" customFormat="1">
      <c r="A234" s="1599"/>
      <c r="B234" s="1647"/>
      <c r="C234" s="2288"/>
      <c r="D234" s="1919"/>
      <c r="E234" s="2039"/>
      <c r="F234" s="2039"/>
      <c r="G234" s="2807"/>
      <c r="H234" s="1647"/>
      <c r="I234" s="1647"/>
      <c r="J234" s="3189"/>
      <c r="K234" s="3168"/>
      <c r="L234" s="3190"/>
      <c r="M234" s="3169"/>
      <c r="N234" s="3191"/>
      <c r="O234" s="1824"/>
      <c r="P234" s="3170"/>
      <c r="Q234" s="3170"/>
      <c r="R234" s="1824"/>
      <c r="S234" s="1824"/>
      <c r="T234" s="1647"/>
      <c r="U234" s="1555"/>
      <c r="V234" s="1555"/>
      <c r="W234" s="1555"/>
      <c r="X234" s="1555"/>
      <c r="Y234" s="2422"/>
      <c r="Z234" s="2422"/>
      <c r="AA234" s="1555"/>
      <c r="AB234" s="1555"/>
      <c r="AC234" s="1555"/>
      <c r="AD234" s="1767"/>
      <c r="AE234" s="3182"/>
      <c r="AF234" s="3183"/>
      <c r="AG234" s="2904"/>
      <c r="AH234" s="1518"/>
      <c r="AI234" s="1519"/>
      <c r="AJ234" s="1518"/>
      <c r="AK234" s="1518"/>
      <c r="AL234" s="1518"/>
      <c r="AM234" s="1518"/>
      <c r="AN234" s="1518"/>
      <c r="AO234" s="1518"/>
      <c r="AP234" s="1518"/>
      <c r="AQ234" s="1518"/>
      <c r="AR234" s="1518"/>
    </row>
    <row r="235" spans="1:44" s="1350" customFormat="1">
      <c r="A235" s="1599"/>
      <c r="B235" s="1647"/>
      <c r="C235" s="2288"/>
      <c r="D235" s="1919"/>
      <c r="E235" s="2039"/>
      <c r="F235" s="2039"/>
      <c r="G235" s="2807"/>
      <c r="H235" s="1647"/>
      <c r="I235" s="1647"/>
      <c r="J235" s="3189"/>
      <c r="K235" s="3168"/>
      <c r="L235" s="3190"/>
      <c r="M235" s="3169"/>
      <c r="N235" s="3191"/>
      <c r="O235" s="1824"/>
      <c r="P235" s="3170"/>
      <c r="Q235" s="3170"/>
      <c r="R235" s="1824"/>
      <c r="S235" s="1824"/>
      <c r="T235" s="1647"/>
      <c r="U235" s="1555"/>
      <c r="V235" s="1555"/>
      <c r="W235" s="1555"/>
      <c r="X235" s="1555"/>
      <c r="Y235" s="2422"/>
      <c r="Z235" s="2422"/>
      <c r="AA235" s="1555"/>
      <c r="AB235" s="1555"/>
      <c r="AC235" s="1555"/>
      <c r="AD235" s="1767"/>
      <c r="AE235" s="3182"/>
      <c r="AF235" s="3183"/>
      <c r="AG235" s="2904"/>
      <c r="AH235" s="1518"/>
      <c r="AI235" s="1519"/>
      <c r="AJ235" s="1518"/>
      <c r="AK235" s="1518"/>
      <c r="AL235" s="1518"/>
      <c r="AM235" s="1518"/>
      <c r="AN235" s="1518"/>
      <c r="AO235" s="1518"/>
      <c r="AP235" s="1518"/>
      <c r="AQ235" s="1518"/>
      <c r="AR235" s="1518"/>
    </row>
    <row r="236" spans="1:44" s="1350" customFormat="1">
      <c r="A236" s="1599"/>
      <c r="B236" s="1647"/>
      <c r="C236" s="2288"/>
      <c r="D236" s="1919"/>
      <c r="E236" s="2039"/>
      <c r="F236" s="2039"/>
      <c r="G236" s="2807"/>
      <c r="H236" s="1647"/>
      <c r="I236" s="1647"/>
      <c r="J236" s="3189"/>
      <c r="K236" s="3168"/>
      <c r="L236" s="3190"/>
      <c r="M236" s="3169"/>
      <c r="N236" s="3191"/>
      <c r="O236" s="1824"/>
      <c r="P236" s="3170"/>
      <c r="Q236" s="3170"/>
      <c r="R236" s="1824"/>
      <c r="S236" s="1824"/>
      <c r="T236" s="1647"/>
      <c r="U236" s="1555"/>
      <c r="V236" s="1555"/>
      <c r="W236" s="1555"/>
      <c r="X236" s="1555"/>
      <c r="Y236" s="2422"/>
      <c r="Z236" s="2422"/>
      <c r="AA236" s="1555"/>
      <c r="AB236" s="1555"/>
      <c r="AC236" s="1555"/>
      <c r="AD236" s="1767"/>
      <c r="AE236" s="3182"/>
      <c r="AF236" s="3183"/>
      <c r="AG236" s="2904"/>
      <c r="AH236" s="1518"/>
      <c r="AI236" s="1519"/>
      <c r="AJ236" s="1518"/>
      <c r="AK236" s="1518"/>
      <c r="AL236" s="1518"/>
      <c r="AM236" s="1518"/>
      <c r="AN236" s="1518"/>
      <c r="AO236" s="1518"/>
      <c r="AP236" s="1518"/>
      <c r="AQ236" s="1518"/>
      <c r="AR236" s="1518"/>
    </row>
    <row r="237" spans="1:44" s="1350" customFormat="1">
      <c r="A237" s="1599"/>
      <c r="B237" s="1647"/>
      <c r="C237" s="2288"/>
      <c r="D237" s="1919"/>
      <c r="E237" s="2039"/>
      <c r="F237" s="2039"/>
      <c r="G237" s="2807"/>
      <c r="H237" s="1647"/>
      <c r="I237" s="1647"/>
      <c r="J237" s="3189"/>
      <c r="K237" s="3168"/>
      <c r="L237" s="3190"/>
      <c r="M237" s="3169"/>
      <c r="N237" s="3191"/>
      <c r="O237" s="1824"/>
      <c r="P237" s="3170"/>
      <c r="Q237" s="3170"/>
      <c r="R237" s="1824"/>
      <c r="S237" s="1824"/>
      <c r="T237" s="1647"/>
      <c r="U237" s="1555"/>
      <c r="V237" s="1555"/>
      <c r="W237" s="1555"/>
      <c r="X237" s="1555"/>
      <c r="Y237" s="2422"/>
      <c r="Z237" s="2422"/>
      <c r="AA237" s="1555"/>
      <c r="AB237" s="1555"/>
      <c r="AC237" s="1555"/>
      <c r="AD237" s="1767"/>
      <c r="AE237" s="3182"/>
      <c r="AF237" s="3183"/>
      <c r="AG237" s="2904"/>
      <c r="AH237" s="1518"/>
      <c r="AI237" s="1519"/>
      <c r="AJ237" s="1518"/>
      <c r="AK237" s="1518"/>
      <c r="AL237" s="1518"/>
      <c r="AM237" s="1518"/>
      <c r="AN237" s="1518"/>
      <c r="AO237" s="1518"/>
      <c r="AP237" s="1518"/>
      <c r="AQ237" s="1518"/>
      <c r="AR237" s="1518"/>
    </row>
    <row r="238" spans="1:44" s="1350" customFormat="1">
      <c r="A238" s="1599"/>
      <c r="B238" s="1647"/>
      <c r="C238" s="2288"/>
      <c r="D238" s="1919"/>
      <c r="E238" s="2039"/>
      <c r="F238" s="2039"/>
      <c r="G238" s="2807"/>
      <c r="H238" s="1647"/>
      <c r="I238" s="1647"/>
      <c r="J238" s="3189"/>
      <c r="K238" s="3168"/>
      <c r="L238" s="3190"/>
      <c r="M238" s="3169"/>
      <c r="N238" s="3191"/>
      <c r="O238" s="1824"/>
      <c r="P238" s="3170"/>
      <c r="Q238" s="3170"/>
      <c r="R238" s="1824"/>
      <c r="S238" s="1824"/>
      <c r="T238" s="1647"/>
      <c r="U238" s="1555"/>
      <c r="V238" s="1555"/>
      <c r="W238" s="1555"/>
      <c r="X238" s="1555"/>
      <c r="Y238" s="2422"/>
      <c r="Z238" s="2422"/>
      <c r="AA238" s="1555"/>
      <c r="AB238" s="1555"/>
      <c r="AC238" s="1555"/>
      <c r="AD238" s="1767"/>
      <c r="AE238" s="3182"/>
      <c r="AF238" s="3183"/>
      <c r="AG238" s="2904"/>
      <c r="AI238" s="1351"/>
    </row>
    <row r="239" spans="1:44" s="1350" customFormat="1">
      <c r="A239" s="1599"/>
      <c r="B239" s="1647"/>
      <c r="C239" s="2288"/>
      <c r="D239" s="1919"/>
      <c r="E239" s="2039"/>
      <c r="F239" s="2039"/>
      <c r="G239" s="2807"/>
      <c r="H239" s="1647"/>
      <c r="I239" s="1647"/>
      <c r="J239" s="3189"/>
      <c r="K239" s="3168"/>
      <c r="L239" s="3190"/>
      <c r="M239" s="3169"/>
      <c r="N239" s="3191"/>
      <c r="O239" s="1824"/>
      <c r="P239" s="3170"/>
      <c r="Q239" s="3170"/>
      <c r="R239" s="1824"/>
      <c r="S239" s="1824"/>
      <c r="T239" s="1647"/>
      <c r="U239" s="1555"/>
      <c r="V239" s="1555"/>
      <c r="W239" s="1555"/>
      <c r="X239" s="1555"/>
      <c r="Y239" s="2422"/>
      <c r="Z239" s="2422"/>
      <c r="AA239" s="1555"/>
      <c r="AB239" s="1555"/>
      <c r="AC239" s="1555"/>
      <c r="AD239" s="1767"/>
      <c r="AE239" s="3182"/>
      <c r="AF239" s="3183"/>
      <c r="AG239" s="2904"/>
      <c r="AI239" s="1351"/>
    </row>
    <row r="240" spans="1:44" s="1350" customFormat="1">
      <c r="A240" s="1599"/>
      <c r="B240" s="1647"/>
      <c r="C240" s="2288"/>
      <c r="D240" s="1919"/>
      <c r="E240" s="2039"/>
      <c r="F240" s="2039"/>
      <c r="G240" s="2807"/>
      <c r="H240" s="1647"/>
      <c r="I240" s="1647"/>
      <c r="J240" s="3189"/>
      <c r="K240" s="3168"/>
      <c r="L240" s="3190"/>
      <c r="M240" s="3169"/>
      <c r="N240" s="3191"/>
      <c r="O240" s="1824"/>
      <c r="P240" s="3170"/>
      <c r="Q240" s="3170"/>
      <c r="R240" s="1824"/>
      <c r="S240" s="1824"/>
      <c r="T240" s="1647"/>
      <c r="U240" s="1555"/>
      <c r="V240" s="1555"/>
      <c r="W240" s="1555"/>
      <c r="X240" s="1555"/>
      <c r="Y240" s="2422"/>
      <c r="Z240" s="2422"/>
      <c r="AA240" s="1555"/>
      <c r="AB240" s="1555"/>
      <c r="AC240" s="1555"/>
      <c r="AD240" s="1767"/>
      <c r="AE240" s="3182"/>
      <c r="AF240" s="3183"/>
      <c r="AG240" s="2904"/>
      <c r="AI240" s="1351"/>
    </row>
    <row r="241" spans="1:35" s="1350" customFormat="1">
      <c r="A241" s="1599"/>
      <c r="B241" s="1647"/>
      <c r="C241" s="2288"/>
      <c r="D241" s="1919"/>
      <c r="E241" s="2039"/>
      <c r="F241" s="2039"/>
      <c r="G241" s="2807"/>
      <c r="H241" s="1647"/>
      <c r="I241" s="1647"/>
      <c r="J241" s="3189"/>
      <c r="K241" s="3168"/>
      <c r="L241" s="3190"/>
      <c r="M241" s="3169"/>
      <c r="N241" s="3191"/>
      <c r="O241" s="1824"/>
      <c r="P241" s="3170"/>
      <c r="Q241" s="3170"/>
      <c r="R241" s="1824"/>
      <c r="S241" s="1824"/>
      <c r="T241" s="1647"/>
      <c r="U241" s="1555"/>
      <c r="V241" s="1555"/>
      <c r="W241" s="1555"/>
      <c r="X241" s="1555"/>
      <c r="Y241" s="2422"/>
      <c r="Z241" s="2422"/>
      <c r="AA241" s="1555"/>
      <c r="AB241" s="1555"/>
      <c r="AC241" s="1555"/>
      <c r="AD241" s="1767"/>
      <c r="AE241" s="3182"/>
      <c r="AF241" s="3183"/>
      <c r="AG241" s="2904"/>
      <c r="AI241" s="1351"/>
    </row>
    <row r="242" spans="1:35" s="1350" customFormat="1">
      <c r="A242" s="1599"/>
      <c r="B242" s="1647"/>
      <c r="C242" s="2288"/>
      <c r="D242" s="1919"/>
      <c r="E242" s="2039"/>
      <c r="F242" s="2039"/>
      <c r="G242" s="2807"/>
      <c r="H242" s="1647"/>
      <c r="I242" s="1647"/>
      <c r="J242" s="3189"/>
      <c r="K242" s="3168"/>
      <c r="L242" s="3190"/>
      <c r="M242" s="3169"/>
      <c r="N242" s="3191"/>
      <c r="O242" s="1824"/>
      <c r="P242" s="3170"/>
      <c r="Q242" s="3170"/>
      <c r="R242" s="1824"/>
      <c r="S242" s="1824"/>
      <c r="T242" s="1647"/>
      <c r="U242" s="1555"/>
      <c r="V242" s="1555"/>
      <c r="W242" s="1555"/>
      <c r="X242" s="1555"/>
      <c r="Y242" s="2422"/>
      <c r="Z242" s="2422"/>
      <c r="AA242" s="1555"/>
      <c r="AB242" s="1555"/>
      <c r="AC242" s="1555"/>
      <c r="AD242" s="1767"/>
      <c r="AE242" s="3182"/>
      <c r="AF242" s="3183"/>
      <c r="AG242" s="2904"/>
      <c r="AI242" s="1351"/>
    </row>
    <row r="243" spans="1:35" s="1350" customFormat="1">
      <c r="A243" s="1599"/>
      <c r="B243" s="1647"/>
      <c r="C243" s="2288"/>
      <c r="D243" s="1919"/>
      <c r="E243" s="2039"/>
      <c r="F243" s="2039"/>
      <c r="G243" s="2807"/>
      <c r="H243" s="1647"/>
      <c r="I243" s="1647"/>
      <c r="J243" s="3189"/>
      <c r="K243" s="3168"/>
      <c r="L243" s="3190"/>
      <c r="M243" s="3169"/>
      <c r="N243" s="3191"/>
      <c r="O243" s="1824"/>
      <c r="P243" s="3170"/>
      <c r="Q243" s="3170"/>
      <c r="R243" s="1824"/>
      <c r="S243" s="1824"/>
      <c r="T243" s="1647"/>
      <c r="U243" s="1555"/>
      <c r="V243" s="1555"/>
      <c r="W243" s="1555"/>
      <c r="X243" s="1555"/>
      <c r="Y243" s="2422"/>
      <c r="Z243" s="2422"/>
      <c r="AA243" s="1555"/>
      <c r="AB243" s="1555"/>
      <c r="AC243" s="1555"/>
      <c r="AD243" s="1767"/>
      <c r="AE243" s="3182"/>
      <c r="AF243" s="3183"/>
      <c r="AG243" s="2904"/>
      <c r="AI243" s="1351"/>
    </row>
    <row r="244" spans="1:35" s="1350" customFormat="1">
      <c r="A244" s="1599"/>
      <c r="B244" s="1647"/>
      <c r="C244" s="2288"/>
      <c r="D244" s="1919"/>
      <c r="E244" s="2039"/>
      <c r="F244" s="2039"/>
      <c r="G244" s="2807"/>
      <c r="H244" s="1647"/>
      <c r="I244" s="1647"/>
      <c r="J244" s="3189"/>
      <c r="K244" s="3168"/>
      <c r="L244" s="3190"/>
      <c r="M244" s="3169"/>
      <c r="N244" s="3191"/>
      <c r="O244" s="1824"/>
      <c r="P244" s="3170"/>
      <c r="Q244" s="3170"/>
      <c r="R244" s="1824"/>
      <c r="S244" s="1824"/>
      <c r="T244" s="1647"/>
      <c r="U244" s="1555"/>
      <c r="V244" s="1555"/>
      <c r="W244" s="1555"/>
      <c r="X244" s="1555"/>
      <c r="Y244" s="2422"/>
      <c r="Z244" s="2422"/>
      <c r="AA244" s="1555"/>
      <c r="AB244" s="1555"/>
      <c r="AC244" s="1555"/>
      <c r="AD244" s="1767"/>
      <c r="AE244" s="3182"/>
      <c r="AF244" s="3183"/>
      <c r="AG244" s="2904"/>
      <c r="AI244" s="1351"/>
    </row>
    <row r="245" spans="1:35" s="1350" customFormat="1">
      <c r="A245" s="1599"/>
      <c r="B245" s="1647"/>
      <c r="C245" s="2288"/>
      <c r="D245" s="1919"/>
      <c r="E245" s="2039"/>
      <c r="F245" s="2039"/>
      <c r="G245" s="2807"/>
      <c r="H245" s="1647"/>
      <c r="I245" s="1647"/>
      <c r="J245" s="3189"/>
      <c r="K245" s="3168"/>
      <c r="L245" s="3190"/>
      <c r="M245" s="3169"/>
      <c r="N245" s="3191"/>
      <c r="O245" s="1824"/>
      <c r="P245" s="3170"/>
      <c r="Q245" s="3170"/>
      <c r="R245" s="1824"/>
      <c r="S245" s="1824"/>
      <c r="T245" s="1647"/>
      <c r="U245" s="1555"/>
      <c r="V245" s="1555"/>
      <c r="W245" s="1555"/>
      <c r="X245" s="1555"/>
      <c r="Y245" s="2422"/>
      <c r="Z245" s="2422"/>
      <c r="AA245" s="1555"/>
      <c r="AB245" s="1555"/>
      <c r="AC245" s="1555"/>
      <c r="AD245" s="1767"/>
      <c r="AE245" s="3182"/>
      <c r="AF245" s="3183"/>
      <c r="AG245" s="2904"/>
      <c r="AI245" s="1351"/>
    </row>
    <row r="246" spans="1:35" s="1350" customFormat="1">
      <c r="A246" s="1599"/>
      <c r="B246" s="1647"/>
      <c r="C246" s="2288"/>
      <c r="D246" s="1919"/>
      <c r="E246" s="2039"/>
      <c r="F246" s="2039"/>
      <c r="G246" s="2807"/>
      <c r="H246" s="1647"/>
      <c r="I246" s="1647"/>
      <c r="J246" s="3189"/>
      <c r="K246" s="3168"/>
      <c r="L246" s="3190"/>
      <c r="M246" s="3169"/>
      <c r="N246" s="3191"/>
      <c r="O246" s="1824"/>
      <c r="P246" s="3170"/>
      <c r="Q246" s="3170"/>
      <c r="R246" s="1824"/>
      <c r="S246" s="1824"/>
      <c r="T246" s="1647"/>
      <c r="U246" s="1555"/>
      <c r="V246" s="1555"/>
      <c r="W246" s="1555"/>
      <c r="X246" s="1555"/>
      <c r="Y246" s="2422"/>
      <c r="Z246" s="2422"/>
      <c r="AA246" s="1555"/>
      <c r="AB246" s="1555"/>
      <c r="AC246" s="1555"/>
      <c r="AD246" s="1767"/>
      <c r="AE246" s="3182"/>
      <c r="AF246" s="3183"/>
      <c r="AG246" s="2904"/>
      <c r="AI246" s="1351"/>
    </row>
    <row r="247" spans="1:35" s="1350" customFormat="1">
      <c r="A247" s="1599"/>
      <c r="B247" s="1647"/>
      <c r="C247" s="2288"/>
      <c r="D247" s="1919"/>
      <c r="E247" s="2039"/>
      <c r="F247" s="2039"/>
      <c r="G247" s="2807"/>
      <c r="H247" s="1647"/>
      <c r="I247" s="1647"/>
      <c r="J247" s="3189"/>
      <c r="K247" s="3168"/>
      <c r="L247" s="3190"/>
      <c r="M247" s="3169"/>
      <c r="N247" s="3191"/>
      <c r="O247" s="1824"/>
      <c r="P247" s="3170"/>
      <c r="Q247" s="3170"/>
      <c r="R247" s="1824"/>
      <c r="S247" s="1824"/>
      <c r="T247" s="1647"/>
      <c r="U247" s="1555"/>
      <c r="V247" s="1555"/>
      <c r="W247" s="1555"/>
      <c r="X247" s="1555"/>
      <c r="Y247" s="2422"/>
      <c r="Z247" s="2422"/>
      <c r="AA247" s="1555"/>
      <c r="AB247" s="1555"/>
      <c r="AC247" s="1555"/>
      <c r="AD247" s="1767"/>
      <c r="AE247" s="3182"/>
      <c r="AF247" s="3183"/>
      <c r="AG247" s="2904"/>
      <c r="AI247" s="1351"/>
    </row>
    <row r="248" spans="1:35" s="1350" customFormat="1">
      <c r="A248" s="1599"/>
      <c r="B248" s="1647"/>
      <c r="C248" s="2288"/>
      <c r="D248" s="1919"/>
      <c r="E248" s="2039"/>
      <c r="F248" s="2039"/>
      <c r="G248" s="2807"/>
      <c r="H248" s="1647"/>
      <c r="I248" s="1647"/>
      <c r="J248" s="3189"/>
      <c r="K248" s="3168"/>
      <c r="L248" s="3190"/>
      <c r="M248" s="3169"/>
      <c r="N248" s="3191"/>
      <c r="O248" s="1824"/>
      <c r="P248" s="3170"/>
      <c r="Q248" s="3170"/>
      <c r="R248" s="1824"/>
      <c r="S248" s="1824"/>
      <c r="T248" s="1647"/>
      <c r="U248" s="1555"/>
      <c r="V248" s="1555"/>
      <c r="W248" s="1555"/>
      <c r="X248" s="1555"/>
      <c r="Y248" s="2422"/>
      <c r="Z248" s="2422"/>
      <c r="AA248" s="1555"/>
      <c r="AB248" s="1555"/>
      <c r="AC248" s="1555"/>
      <c r="AD248" s="1767"/>
      <c r="AE248" s="3182"/>
      <c r="AF248" s="3183"/>
      <c r="AG248" s="2904"/>
      <c r="AI248" s="1351"/>
    </row>
    <row r="249" spans="1:35" s="1350" customFormat="1">
      <c r="A249" s="1599"/>
      <c r="B249" s="1647"/>
      <c r="C249" s="2288"/>
      <c r="D249" s="1919"/>
      <c r="E249" s="2039"/>
      <c r="F249" s="2039"/>
      <c r="G249" s="2807"/>
      <c r="H249" s="1647"/>
      <c r="I249" s="1647"/>
      <c r="J249" s="3189"/>
      <c r="K249" s="3168"/>
      <c r="L249" s="3190"/>
      <c r="M249" s="3169"/>
      <c r="N249" s="3191"/>
      <c r="O249" s="1824"/>
      <c r="P249" s="3170"/>
      <c r="Q249" s="3170"/>
      <c r="R249" s="1824"/>
      <c r="S249" s="1824"/>
      <c r="T249" s="1647"/>
      <c r="U249" s="1555"/>
      <c r="V249" s="1555"/>
      <c r="W249" s="1555"/>
      <c r="X249" s="1555"/>
      <c r="Y249" s="2422"/>
      <c r="Z249" s="2422"/>
      <c r="AA249" s="1555"/>
      <c r="AB249" s="1555"/>
      <c r="AC249" s="1555"/>
      <c r="AD249" s="1767"/>
      <c r="AE249" s="3182"/>
      <c r="AF249" s="3183"/>
      <c r="AG249" s="2904"/>
      <c r="AI249" s="1351"/>
    </row>
    <row r="250" spans="1:35" s="1350" customFormat="1">
      <c r="A250" s="1599"/>
      <c r="B250" s="1647"/>
      <c r="C250" s="2288"/>
      <c r="D250" s="1919"/>
      <c r="E250" s="2039"/>
      <c r="F250" s="2039"/>
      <c r="G250" s="2807"/>
      <c r="H250" s="1647"/>
      <c r="I250" s="1647"/>
      <c r="J250" s="3189"/>
      <c r="K250" s="3168"/>
      <c r="L250" s="3190"/>
      <c r="M250" s="3169"/>
      <c r="N250" s="3191"/>
      <c r="O250" s="1824"/>
      <c r="P250" s="3170"/>
      <c r="Q250" s="3170"/>
      <c r="R250" s="1824"/>
      <c r="S250" s="1824"/>
      <c r="T250" s="1647"/>
      <c r="U250" s="1555"/>
      <c r="V250" s="1555"/>
      <c r="W250" s="1555"/>
      <c r="X250" s="1555"/>
      <c r="Y250" s="2422"/>
      <c r="Z250" s="2422"/>
      <c r="AA250" s="1555"/>
      <c r="AB250" s="1555"/>
      <c r="AC250" s="1555"/>
      <c r="AD250" s="1767"/>
      <c r="AE250" s="3182"/>
      <c r="AF250" s="3183"/>
      <c r="AG250" s="2904"/>
      <c r="AI250" s="1351"/>
    </row>
    <row r="251" spans="1:35" s="1350" customFormat="1">
      <c r="A251" s="1599"/>
      <c r="B251" s="1647"/>
      <c r="C251" s="2288"/>
      <c r="D251" s="1919"/>
      <c r="E251" s="2039"/>
      <c r="F251" s="2039"/>
      <c r="G251" s="2807"/>
      <c r="H251" s="1647"/>
      <c r="I251" s="1647"/>
      <c r="J251" s="3189"/>
      <c r="K251" s="3168"/>
      <c r="L251" s="3190"/>
      <c r="M251" s="3169"/>
      <c r="N251" s="3191"/>
      <c r="O251" s="1824"/>
      <c r="P251" s="3170"/>
      <c r="Q251" s="3170"/>
      <c r="R251" s="1824"/>
      <c r="S251" s="1824"/>
      <c r="T251" s="1647"/>
      <c r="U251" s="1555"/>
      <c r="V251" s="1555"/>
      <c r="W251" s="1555"/>
      <c r="X251" s="1555"/>
      <c r="Y251" s="2422"/>
      <c r="Z251" s="2422"/>
      <c r="AA251" s="1555"/>
      <c r="AB251" s="1555"/>
      <c r="AC251" s="1555"/>
      <c r="AD251" s="1767"/>
      <c r="AE251" s="3182"/>
      <c r="AF251" s="3183"/>
      <c r="AG251" s="2904"/>
      <c r="AI251" s="1351"/>
    </row>
    <row r="252" spans="1:35" s="1350" customFormat="1">
      <c r="A252" s="1599"/>
      <c r="B252" s="1647"/>
      <c r="C252" s="2288"/>
      <c r="D252" s="1919"/>
      <c r="E252" s="2039"/>
      <c r="F252" s="2039"/>
      <c r="G252" s="2807"/>
      <c r="H252" s="1647"/>
      <c r="I252" s="1647"/>
      <c r="J252" s="3189"/>
      <c r="K252" s="3168"/>
      <c r="L252" s="3190"/>
      <c r="M252" s="3169"/>
      <c r="N252" s="3191"/>
      <c r="O252" s="1824"/>
      <c r="P252" s="3170"/>
      <c r="Q252" s="3170"/>
      <c r="R252" s="1824"/>
      <c r="S252" s="1824"/>
      <c r="T252" s="1647"/>
      <c r="U252" s="1555"/>
      <c r="V252" s="1555"/>
      <c r="W252" s="1555"/>
      <c r="X252" s="1555"/>
      <c r="Y252" s="2422"/>
      <c r="Z252" s="2422"/>
      <c r="AA252" s="1555"/>
      <c r="AB252" s="1555"/>
      <c r="AC252" s="1555"/>
      <c r="AD252" s="1767"/>
      <c r="AE252" s="3182"/>
      <c r="AF252" s="3183"/>
      <c r="AG252" s="2904"/>
      <c r="AI252" s="1351"/>
    </row>
    <row r="253" spans="1:35" s="1350" customFormat="1">
      <c r="A253" s="1599"/>
      <c r="B253" s="1647"/>
      <c r="C253" s="2288"/>
      <c r="D253" s="1919"/>
      <c r="E253" s="2039"/>
      <c r="F253" s="2039"/>
      <c r="G253" s="2807"/>
      <c r="H253" s="1647"/>
      <c r="I253" s="1647"/>
      <c r="J253" s="3189"/>
      <c r="K253" s="3168"/>
      <c r="L253" s="3190"/>
      <c r="M253" s="3169"/>
      <c r="N253" s="3191"/>
      <c r="O253" s="1824"/>
      <c r="P253" s="3170"/>
      <c r="Q253" s="3170"/>
      <c r="R253" s="1824"/>
      <c r="S253" s="1824"/>
      <c r="T253" s="1647"/>
      <c r="U253" s="1555"/>
      <c r="V253" s="1555"/>
      <c r="W253" s="1555"/>
      <c r="X253" s="1555"/>
      <c r="Y253" s="2422"/>
      <c r="Z253" s="2422"/>
      <c r="AA253" s="1555"/>
      <c r="AB253" s="1555"/>
      <c r="AC253" s="1555"/>
      <c r="AD253" s="1767"/>
      <c r="AE253" s="3182"/>
      <c r="AF253" s="3183"/>
      <c r="AG253" s="2904"/>
      <c r="AI253" s="1351"/>
    </row>
    <row r="254" spans="1:35" s="1350" customFormat="1">
      <c r="A254" s="1599"/>
      <c r="B254" s="1647"/>
      <c r="C254" s="2288"/>
      <c r="D254" s="1919"/>
      <c r="E254" s="2039"/>
      <c r="F254" s="2039"/>
      <c r="G254" s="2807"/>
      <c r="H254" s="1647"/>
      <c r="I254" s="1647"/>
      <c r="J254" s="3189"/>
      <c r="K254" s="3168"/>
      <c r="L254" s="3190"/>
      <c r="M254" s="3169"/>
      <c r="N254" s="3191"/>
      <c r="O254" s="1824"/>
      <c r="P254" s="3170"/>
      <c r="Q254" s="3170"/>
      <c r="R254" s="1824"/>
      <c r="S254" s="1824"/>
      <c r="T254" s="1647"/>
      <c r="U254" s="1555"/>
      <c r="V254" s="1555"/>
      <c r="W254" s="1555"/>
      <c r="X254" s="1555"/>
      <c r="Y254" s="2422"/>
      <c r="Z254" s="2422"/>
      <c r="AA254" s="1555"/>
      <c r="AB254" s="1555"/>
      <c r="AC254" s="1555"/>
      <c r="AD254" s="1767"/>
      <c r="AE254" s="3182"/>
      <c r="AF254" s="3183"/>
      <c r="AG254" s="2904"/>
      <c r="AI254" s="1351"/>
    </row>
    <row r="255" spans="1:35" s="1350" customFormat="1">
      <c r="A255" s="1599"/>
      <c r="B255" s="1647"/>
      <c r="C255" s="2288"/>
      <c r="D255" s="1919"/>
      <c r="E255" s="2039"/>
      <c r="F255" s="2039"/>
      <c r="G255" s="2807"/>
      <c r="H255" s="1647"/>
      <c r="I255" s="1647"/>
      <c r="J255" s="3189"/>
      <c r="K255" s="3168"/>
      <c r="L255" s="3190"/>
      <c r="M255" s="3169"/>
      <c r="N255" s="3191"/>
      <c r="O255" s="1824"/>
      <c r="P255" s="3170"/>
      <c r="Q255" s="3170"/>
      <c r="R255" s="1824"/>
      <c r="S255" s="1824"/>
      <c r="T255" s="1647"/>
      <c r="U255" s="1555"/>
      <c r="V255" s="1555"/>
      <c r="W255" s="1555"/>
      <c r="X255" s="1555"/>
      <c r="Y255" s="2422"/>
      <c r="Z255" s="2422"/>
      <c r="AA255" s="1555"/>
      <c r="AB255" s="1555"/>
      <c r="AC255" s="1555"/>
      <c r="AD255" s="1767"/>
      <c r="AE255" s="3182"/>
      <c r="AF255" s="3183"/>
      <c r="AG255" s="2904"/>
      <c r="AI255" s="1351"/>
    </row>
    <row r="256" spans="1:35" s="1350" customFormat="1">
      <c r="A256" s="1599"/>
      <c r="B256" s="1647"/>
      <c r="C256" s="2288"/>
      <c r="D256" s="1919"/>
      <c r="E256" s="2039"/>
      <c r="F256" s="2039"/>
      <c r="G256" s="2807"/>
      <c r="H256" s="1647"/>
      <c r="I256" s="1647"/>
      <c r="J256" s="3189"/>
      <c r="K256" s="3168"/>
      <c r="L256" s="3190"/>
      <c r="M256" s="3169"/>
      <c r="N256" s="3191"/>
      <c r="O256" s="1824"/>
      <c r="P256" s="3170"/>
      <c r="Q256" s="3170"/>
      <c r="R256" s="1824"/>
      <c r="S256" s="1824"/>
      <c r="T256" s="1647"/>
      <c r="U256" s="1555"/>
      <c r="V256" s="1555"/>
      <c r="W256" s="1555"/>
      <c r="X256" s="1555"/>
      <c r="Y256" s="2422"/>
      <c r="Z256" s="2422"/>
      <c r="AA256" s="1555"/>
      <c r="AB256" s="1555"/>
      <c r="AC256" s="1555"/>
      <c r="AD256" s="1767"/>
      <c r="AE256" s="3182"/>
      <c r="AF256" s="3183"/>
      <c r="AG256" s="2904"/>
      <c r="AI256" s="1351"/>
    </row>
    <row r="257" spans="1:35" s="1350" customFormat="1">
      <c r="A257" s="1599"/>
      <c r="B257" s="1647"/>
      <c r="C257" s="2288"/>
      <c r="D257" s="1919"/>
      <c r="E257" s="2039"/>
      <c r="F257" s="2039"/>
      <c r="G257" s="2807"/>
      <c r="H257" s="1647"/>
      <c r="I257" s="1647"/>
      <c r="J257" s="3189"/>
      <c r="K257" s="3168"/>
      <c r="L257" s="3190"/>
      <c r="M257" s="3169"/>
      <c r="N257" s="3191"/>
      <c r="O257" s="1824"/>
      <c r="P257" s="3170"/>
      <c r="Q257" s="3170"/>
      <c r="R257" s="1824"/>
      <c r="S257" s="1824"/>
      <c r="T257" s="1647"/>
      <c r="U257" s="1555"/>
      <c r="V257" s="1555"/>
      <c r="W257" s="1555"/>
      <c r="X257" s="1555"/>
      <c r="Y257" s="2422"/>
      <c r="Z257" s="2422"/>
      <c r="AA257" s="1555"/>
      <c r="AB257" s="1555"/>
      <c r="AC257" s="1555"/>
      <c r="AD257" s="1767"/>
      <c r="AE257" s="3182"/>
      <c r="AF257" s="3183"/>
      <c r="AG257" s="2904"/>
      <c r="AI257" s="1351"/>
    </row>
    <row r="258" spans="1:35" s="1350" customFormat="1">
      <c r="A258" s="1599"/>
      <c r="B258" s="1647"/>
      <c r="C258" s="2288"/>
      <c r="D258" s="1919"/>
      <c r="E258" s="2039"/>
      <c r="F258" s="2039"/>
      <c r="G258" s="2807"/>
      <c r="H258" s="1647"/>
      <c r="I258" s="1647"/>
      <c r="J258" s="3189"/>
      <c r="K258" s="3168"/>
      <c r="L258" s="3190"/>
      <c r="M258" s="3169"/>
      <c r="N258" s="3191"/>
      <c r="O258" s="1824"/>
      <c r="P258" s="3170"/>
      <c r="Q258" s="3170"/>
      <c r="R258" s="1824"/>
      <c r="S258" s="1824"/>
      <c r="T258" s="1647"/>
      <c r="U258" s="1555"/>
      <c r="V258" s="1555"/>
      <c r="W258" s="1555"/>
      <c r="X258" s="1555"/>
      <c r="Y258" s="2422"/>
      <c r="Z258" s="2422"/>
      <c r="AA258" s="1555"/>
      <c r="AB258" s="1555"/>
      <c r="AC258" s="1555"/>
      <c r="AD258" s="1767"/>
      <c r="AE258" s="3182"/>
      <c r="AF258" s="3183"/>
      <c r="AG258" s="2904"/>
      <c r="AI258" s="1351"/>
    </row>
    <row r="259" spans="1:35" s="1350" customFormat="1">
      <c r="A259" s="1599"/>
      <c r="B259" s="1647"/>
      <c r="C259" s="2288"/>
      <c r="D259" s="1919"/>
      <c r="E259" s="2039"/>
      <c r="F259" s="2039"/>
      <c r="G259" s="2807"/>
      <c r="H259" s="1647"/>
      <c r="I259" s="1647"/>
      <c r="J259" s="3189"/>
      <c r="K259" s="3168"/>
      <c r="L259" s="3190"/>
      <c r="M259" s="3169"/>
      <c r="N259" s="3191"/>
      <c r="O259" s="1824"/>
      <c r="P259" s="3170"/>
      <c r="Q259" s="3170"/>
      <c r="R259" s="1824"/>
      <c r="S259" s="1824"/>
      <c r="T259" s="1647"/>
      <c r="U259" s="1555"/>
      <c r="V259" s="1555"/>
      <c r="W259" s="1555"/>
      <c r="X259" s="1555"/>
      <c r="Y259" s="2422"/>
      <c r="Z259" s="2422"/>
      <c r="AA259" s="1555"/>
      <c r="AB259" s="1555"/>
      <c r="AC259" s="1555"/>
      <c r="AD259" s="1767"/>
      <c r="AE259" s="3182"/>
      <c r="AF259" s="3183"/>
      <c r="AG259" s="2904"/>
      <c r="AI259" s="1351"/>
    </row>
    <row r="260" spans="1:35" s="1350" customFormat="1">
      <c r="A260" s="1599"/>
      <c r="B260" s="1647"/>
      <c r="C260" s="2288"/>
      <c r="D260" s="1919"/>
      <c r="E260" s="2039"/>
      <c r="F260" s="2039"/>
      <c r="G260" s="2807"/>
      <c r="H260" s="1647"/>
      <c r="I260" s="1647"/>
      <c r="J260" s="3189"/>
      <c r="K260" s="3168"/>
      <c r="L260" s="3190"/>
      <c r="M260" s="3169"/>
      <c r="N260" s="3191"/>
      <c r="O260" s="1824"/>
      <c r="P260" s="3170"/>
      <c r="Q260" s="3170"/>
      <c r="R260" s="1824"/>
      <c r="S260" s="1824"/>
      <c r="T260" s="1647"/>
      <c r="U260" s="1555"/>
      <c r="V260" s="1555"/>
      <c r="W260" s="1555"/>
      <c r="X260" s="1555"/>
      <c r="Y260" s="2422"/>
      <c r="Z260" s="2422"/>
      <c r="AA260" s="1555"/>
      <c r="AB260" s="1555"/>
      <c r="AC260" s="1555"/>
      <c r="AD260" s="1767"/>
      <c r="AE260" s="3182"/>
      <c r="AF260" s="3183"/>
      <c r="AG260" s="2904"/>
      <c r="AI260" s="1351"/>
    </row>
    <row r="261" spans="1:35" s="1350" customFormat="1">
      <c r="A261" s="1599"/>
      <c r="B261" s="1647"/>
      <c r="C261" s="2288"/>
      <c r="D261" s="1919"/>
      <c r="E261" s="2039"/>
      <c r="F261" s="2039"/>
      <c r="G261" s="2807"/>
      <c r="H261" s="1647"/>
      <c r="I261" s="1647"/>
      <c r="J261" s="3189"/>
      <c r="K261" s="3168"/>
      <c r="L261" s="3190"/>
      <c r="M261" s="3169"/>
      <c r="N261" s="3191"/>
      <c r="O261" s="1824"/>
      <c r="P261" s="3170"/>
      <c r="Q261" s="3170"/>
      <c r="R261" s="1824"/>
      <c r="S261" s="1824"/>
      <c r="T261" s="1647"/>
      <c r="U261" s="1555"/>
      <c r="V261" s="1555"/>
      <c r="W261" s="1555"/>
      <c r="X261" s="1555"/>
      <c r="Y261" s="2422"/>
      <c r="Z261" s="2422"/>
      <c r="AA261" s="1555"/>
      <c r="AB261" s="1555"/>
      <c r="AC261" s="1555"/>
      <c r="AD261" s="1767"/>
      <c r="AE261" s="3182"/>
      <c r="AF261" s="3183"/>
      <c r="AG261" s="2904"/>
      <c r="AI261" s="1351"/>
    </row>
    <row r="262" spans="1:35" s="1350" customFormat="1">
      <c r="A262" s="1599"/>
      <c r="B262" s="1647"/>
      <c r="C262" s="2288"/>
      <c r="D262" s="1919"/>
      <c r="E262" s="2039"/>
      <c r="F262" s="2039"/>
      <c r="G262" s="2807"/>
      <c r="H262" s="1647"/>
      <c r="I262" s="1647"/>
      <c r="J262" s="3189"/>
      <c r="K262" s="3168"/>
      <c r="L262" s="3190"/>
      <c r="M262" s="3169"/>
      <c r="N262" s="3191"/>
      <c r="O262" s="1824"/>
      <c r="P262" s="3170"/>
      <c r="Q262" s="3170"/>
      <c r="R262" s="1824"/>
      <c r="S262" s="1824"/>
      <c r="T262" s="1647"/>
      <c r="U262" s="1555"/>
      <c r="V262" s="1555"/>
      <c r="W262" s="1555"/>
      <c r="X262" s="1555"/>
      <c r="Y262" s="2422"/>
      <c r="Z262" s="2422"/>
      <c r="AA262" s="1555"/>
      <c r="AB262" s="1555"/>
      <c r="AC262" s="1555"/>
      <c r="AD262" s="1767"/>
      <c r="AE262" s="3182"/>
      <c r="AF262" s="3183"/>
      <c r="AG262" s="2904"/>
      <c r="AI262" s="1351"/>
    </row>
    <row r="263" spans="1:35" s="1350" customFormat="1">
      <c r="A263" s="1599"/>
      <c r="B263" s="1647"/>
      <c r="C263" s="2288"/>
      <c r="D263" s="1919"/>
      <c r="E263" s="2039"/>
      <c r="F263" s="2039"/>
      <c r="G263" s="2807"/>
      <c r="H263" s="1647"/>
      <c r="I263" s="1647"/>
      <c r="J263" s="3189"/>
      <c r="K263" s="3168"/>
      <c r="L263" s="3190"/>
      <c r="M263" s="3169"/>
      <c r="N263" s="3191"/>
      <c r="O263" s="1824"/>
      <c r="P263" s="3170"/>
      <c r="Q263" s="3170"/>
      <c r="R263" s="1824"/>
      <c r="S263" s="1824"/>
      <c r="T263" s="1647"/>
      <c r="U263" s="1555"/>
      <c r="V263" s="1555"/>
      <c r="W263" s="1555"/>
      <c r="X263" s="1555"/>
      <c r="Y263" s="2422"/>
      <c r="Z263" s="2422"/>
      <c r="AA263" s="1555"/>
      <c r="AB263" s="1555"/>
      <c r="AC263" s="1555"/>
      <c r="AD263" s="1767"/>
      <c r="AE263" s="3182"/>
      <c r="AF263" s="3183"/>
      <c r="AG263" s="2904"/>
      <c r="AI263" s="1351"/>
    </row>
    <row r="264" spans="1:35" s="1350" customFormat="1">
      <c r="A264" s="1599"/>
      <c r="B264" s="1647"/>
      <c r="C264" s="2288"/>
      <c r="D264" s="1919"/>
      <c r="E264" s="2039"/>
      <c r="F264" s="2039"/>
      <c r="G264" s="2807"/>
      <c r="H264" s="1647"/>
      <c r="I264" s="1647"/>
      <c r="J264" s="3189"/>
      <c r="K264" s="3168"/>
      <c r="L264" s="3190"/>
      <c r="M264" s="3169"/>
      <c r="N264" s="3191"/>
      <c r="O264" s="1824"/>
      <c r="P264" s="3170"/>
      <c r="Q264" s="3170"/>
      <c r="R264" s="1824"/>
      <c r="S264" s="1824"/>
      <c r="T264" s="1647"/>
      <c r="U264" s="1555"/>
      <c r="V264" s="1555"/>
      <c r="W264" s="1555"/>
      <c r="X264" s="1555"/>
      <c r="Y264" s="2422"/>
      <c r="Z264" s="2422"/>
      <c r="AA264" s="1555"/>
      <c r="AB264" s="1555"/>
      <c r="AC264" s="1555"/>
      <c r="AD264" s="1767"/>
      <c r="AE264" s="3182"/>
      <c r="AF264" s="3183"/>
      <c r="AG264" s="2904"/>
      <c r="AI264" s="1351"/>
    </row>
    <row r="265" spans="1:35" s="1350" customFormat="1">
      <c r="A265" s="1599"/>
      <c r="B265" s="1647"/>
      <c r="C265" s="2288"/>
      <c r="D265" s="1919"/>
      <c r="E265" s="2039"/>
      <c r="F265" s="2039"/>
      <c r="G265" s="2807"/>
      <c r="H265" s="1647"/>
      <c r="I265" s="1647"/>
      <c r="J265" s="3189"/>
      <c r="K265" s="3168"/>
      <c r="L265" s="3190"/>
      <c r="M265" s="3169"/>
      <c r="N265" s="3191"/>
      <c r="O265" s="1824"/>
      <c r="P265" s="3170"/>
      <c r="Q265" s="3170"/>
      <c r="R265" s="1824"/>
      <c r="S265" s="1824"/>
      <c r="T265" s="1647"/>
      <c r="U265" s="1555"/>
      <c r="V265" s="1555"/>
      <c r="W265" s="1555"/>
      <c r="X265" s="1555"/>
      <c r="Y265" s="2422"/>
      <c r="Z265" s="2422"/>
      <c r="AA265" s="1555"/>
      <c r="AB265" s="1555"/>
      <c r="AC265" s="1555"/>
      <c r="AD265" s="1767"/>
      <c r="AE265" s="3182"/>
      <c r="AF265" s="3183"/>
      <c r="AG265" s="2904"/>
      <c r="AI265" s="1351"/>
    </row>
    <row r="266" spans="1:35" s="1350" customFormat="1">
      <c r="A266" s="1599"/>
      <c r="B266" s="1647"/>
      <c r="C266" s="2288"/>
      <c r="D266" s="1919"/>
      <c r="E266" s="2039"/>
      <c r="F266" s="2039"/>
      <c r="G266" s="2807"/>
      <c r="H266" s="1647"/>
      <c r="I266" s="1647"/>
      <c r="J266" s="3189"/>
      <c r="K266" s="3168"/>
      <c r="L266" s="3190"/>
      <c r="M266" s="3169"/>
      <c r="N266" s="3191"/>
      <c r="O266" s="1824"/>
      <c r="P266" s="3170"/>
      <c r="Q266" s="3170"/>
      <c r="R266" s="1824"/>
      <c r="S266" s="1824"/>
      <c r="T266" s="1647"/>
      <c r="U266" s="1555"/>
      <c r="V266" s="1555"/>
      <c r="W266" s="1555"/>
      <c r="X266" s="1555"/>
      <c r="Y266" s="2422"/>
      <c r="Z266" s="2422"/>
      <c r="AA266" s="1555"/>
      <c r="AB266" s="1555"/>
      <c r="AC266" s="1555"/>
      <c r="AD266" s="1767"/>
      <c r="AE266" s="3182"/>
      <c r="AF266" s="3183"/>
      <c r="AG266" s="2904"/>
      <c r="AI266" s="1351"/>
    </row>
    <row r="267" spans="1:35" s="1350" customFormat="1">
      <c r="A267" s="1599"/>
      <c r="B267" s="1647"/>
      <c r="C267" s="2288"/>
      <c r="D267" s="1919"/>
      <c r="E267" s="2039"/>
      <c r="F267" s="2039"/>
      <c r="G267" s="2807"/>
      <c r="H267" s="1647"/>
      <c r="I267" s="1647"/>
      <c r="J267" s="3189"/>
      <c r="K267" s="3168"/>
      <c r="L267" s="3190"/>
      <c r="M267" s="3169"/>
      <c r="N267" s="3191"/>
      <c r="O267" s="1824"/>
      <c r="P267" s="3170"/>
      <c r="Q267" s="3170"/>
      <c r="R267" s="1824"/>
      <c r="S267" s="1824"/>
      <c r="T267" s="1647"/>
      <c r="U267" s="1555"/>
      <c r="V267" s="1555"/>
      <c r="W267" s="1555"/>
      <c r="X267" s="1555"/>
      <c r="Y267" s="2422"/>
      <c r="Z267" s="2422"/>
      <c r="AA267" s="1555"/>
      <c r="AB267" s="1555"/>
      <c r="AC267" s="1555"/>
      <c r="AD267" s="1767"/>
      <c r="AE267" s="3182"/>
      <c r="AF267" s="3183"/>
      <c r="AG267" s="2904"/>
      <c r="AI267" s="1351"/>
    </row>
    <row r="268" spans="1:35" s="1350" customFormat="1">
      <c r="A268" s="1599"/>
      <c r="B268" s="1647"/>
      <c r="C268" s="2288"/>
      <c r="D268" s="1919"/>
      <c r="E268" s="2039"/>
      <c r="F268" s="2039"/>
      <c r="G268" s="2807"/>
      <c r="H268" s="1647"/>
      <c r="I268" s="1647"/>
      <c r="J268" s="3189"/>
      <c r="K268" s="3168"/>
      <c r="L268" s="3190"/>
      <c r="M268" s="3169"/>
      <c r="N268" s="3191"/>
      <c r="O268" s="1824"/>
      <c r="P268" s="3170"/>
      <c r="Q268" s="3170"/>
      <c r="R268" s="1824"/>
      <c r="S268" s="1824"/>
      <c r="T268" s="1647"/>
      <c r="U268" s="1555"/>
      <c r="V268" s="1555"/>
      <c r="W268" s="1555"/>
      <c r="X268" s="1555"/>
      <c r="Y268" s="2422"/>
      <c r="Z268" s="2422"/>
      <c r="AA268" s="1555"/>
      <c r="AB268" s="1555"/>
      <c r="AC268" s="1555"/>
      <c r="AD268" s="1767"/>
      <c r="AE268" s="3182"/>
      <c r="AF268" s="3183"/>
      <c r="AG268" s="2904"/>
      <c r="AI268" s="1351"/>
    </row>
    <row r="269" spans="1:35" s="1350" customFormat="1">
      <c r="A269" s="1599"/>
      <c r="B269" s="1647"/>
      <c r="C269" s="2288"/>
      <c r="D269" s="1919"/>
      <c r="E269" s="2039"/>
      <c r="F269" s="2039"/>
      <c r="G269" s="2807"/>
      <c r="H269" s="1647"/>
      <c r="I269" s="1647"/>
      <c r="J269" s="3189"/>
      <c r="K269" s="3168"/>
      <c r="L269" s="3190"/>
      <c r="M269" s="3169"/>
      <c r="N269" s="3191"/>
      <c r="O269" s="1824"/>
      <c r="P269" s="3170"/>
      <c r="Q269" s="3170"/>
      <c r="R269" s="1824"/>
      <c r="S269" s="1824"/>
      <c r="T269" s="1647"/>
      <c r="U269" s="1555"/>
      <c r="V269" s="1555"/>
      <c r="W269" s="1555"/>
      <c r="X269" s="1555"/>
      <c r="Y269" s="2422"/>
      <c r="Z269" s="2422"/>
      <c r="AA269" s="1555"/>
      <c r="AB269" s="1555"/>
      <c r="AC269" s="1555"/>
      <c r="AD269" s="1767"/>
      <c r="AE269" s="3182"/>
      <c r="AF269" s="3183"/>
      <c r="AG269" s="2904"/>
      <c r="AI269" s="1351"/>
    </row>
    <row r="270" spans="1:35" s="1350" customFormat="1">
      <c r="A270" s="1599"/>
      <c r="B270" s="1647"/>
      <c r="C270" s="2288"/>
      <c r="D270" s="1919"/>
      <c r="E270" s="2039"/>
      <c r="F270" s="2039"/>
      <c r="G270" s="2807"/>
      <c r="H270" s="1647"/>
      <c r="I270" s="1647"/>
      <c r="J270" s="3189"/>
      <c r="K270" s="3168"/>
      <c r="L270" s="3190"/>
      <c r="M270" s="3169"/>
      <c r="N270" s="3191"/>
      <c r="O270" s="1824"/>
      <c r="P270" s="3170"/>
      <c r="Q270" s="3170"/>
      <c r="R270" s="1824"/>
      <c r="S270" s="1824"/>
      <c r="T270" s="1647"/>
      <c r="U270" s="1555"/>
      <c r="V270" s="1555"/>
      <c r="W270" s="1555"/>
      <c r="X270" s="1555"/>
      <c r="Y270" s="2422"/>
      <c r="Z270" s="2422"/>
      <c r="AA270" s="1555"/>
      <c r="AB270" s="1555"/>
      <c r="AC270" s="1555"/>
      <c r="AD270" s="1767"/>
      <c r="AE270" s="3182"/>
      <c r="AF270" s="3183"/>
      <c r="AG270" s="2904"/>
      <c r="AI270" s="1351"/>
    </row>
    <row r="271" spans="1:35" s="1350" customFormat="1">
      <c r="A271" s="1599"/>
      <c r="B271" s="1647"/>
      <c r="C271" s="2288"/>
      <c r="D271" s="1919"/>
      <c r="E271" s="2039"/>
      <c r="F271" s="2039"/>
      <c r="G271" s="2807"/>
      <c r="H271" s="1647"/>
      <c r="I271" s="1647"/>
      <c r="J271" s="3189"/>
      <c r="K271" s="3168"/>
      <c r="L271" s="3190"/>
      <c r="M271" s="3169"/>
      <c r="N271" s="3191"/>
      <c r="O271" s="1824"/>
      <c r="P271" s="3170"/>
      <c r="Q271" s="3170"/>
      <c r="R271" s="1824"/>
      <c r="S271" s="1824"/>
      <c r="T271" s="1647"/>
      <c r="U271" s="1555"/>
      <c r="V271" s="1555"/>
      <c r="W271" s="1555"/>
      <c r="X271" s="1555"/>
      <c r="Y271" s="2422"/>
      <c r="Z271" s="2422"/>
      <c r="AA271" s="1555"/>
      <c r="AB271" s="1555"/>
      <c r="AC271" s="1555"/>
      <c r="AD271" s="1767"/>
      <c r="AE271" s="3182"/>
      <c r="AF271" s="3183"/>
      <c r="AG271" s="2904"/>
      <c r="AI271" s="1351"/>
    </row>
    <row r="272" spans="1:35" s="1350" customFormat="1">
      <c r="A272" s="1599"/>
      <c r="B272" s="1647"/>
      <c r="C272" s="2288"/>
      <c r="D272" s="1919"/>
      <c r="E272" s="2039"/>
      <c r="F272" s="2039"/>
      <c r="G272" s="2807"/>
      <c r="H272" s="1647"/>
      <c r="I272" s="1647"/>
      <c r="J272" s="3189"/>
      <c r="K272" s="3168"/>
      <c r="L272" s="3190"/>
      <c r="M272" s="3169"/>
      <c r="N272" s="3191"/>
      <c r="O272" s="1824"/>
      <c r="P272" s="3170"/>
      <c r="Q272" s="3170"/>
      <c r="R272" s="1824"/>
      <c r="S272" s="1824"/>
      <c r="T272" s="1647"/>
      <c r="U272" s="1555"/>
      <c r="V272" s="1555"/>
      <c r="W272" s="1555"/>
      <c r="X272" s="1555"/>
      <c r="Y272" s="2422"/>
      <c r="Z272" s="2422"/>
      <c r="AA272" s="1555"/>
      <c r="AB272" s="1555"/>
      <c r="AC272" s="1555"/>
      <c r="AD272" s="1767"/>
      <c r="AE272" s="3182"/>
      <c r="AF272" s="3183"/>
      <c r="AG272" s="2904"/>
      <c r="AI272" s="1351"/>
    </row>
    <row r="273" spans="1:35" s="1350" customFormat="1">
      <c r="A273" s="1599"/>
      <c r="B273" s="1647"/>
      <c r="C273" s="2288"/>
      <c r="D273" s="1919"/>
      <c r="E273" s="2039"/>
      <c r="F273" s="2039"/>
      <c r="G273" s="2807"/>
      <c r="H273" s="1647"/>
      <c r="I273" s="1647"/>
      <c r="J273" s="3189"/>
      <c r="K273" s="3168"/>
      <c r="L273" s="3190"/>
      <c r="M273" s="3169"/>
      <c r="N273" s="3191"/>
      <c r="O273" s="1824"/>
      <c r="P273" s="3170"/>
      <c r="Q273" s="3170"/>
      <c r="R273" s="1824"/>
      <c r="S273" s="1824"/>
      <c r="T273" s="1647"/>
      <c r="U273" s="1555"/>
      <c r="V273" s="1555"/>
      <c r="W273" s="1555"/>
      <c r="X273" s="1555"/>
      <c r="Y273" s="2422"/>
      <c r="Z273" s="2422"/>
      <c r="AA273" s="1555"/>
      <c r="AB273" s="1555"/>
      <c r="AC273" s="1555"/>
      <c r="AD273" s="1767"/>
      <c r="AE273" s="3182"/>
      <c r="AF273" s="3183"/>
      <c r="AG273" s="2904"/>
      <c r="AI273" s="1351"/>
    </row>
    <row r="274" spans="1:35" s="1350" customFormat="1">
      <c r="A274" s="1599"/>
      <c r="B274" s="1647"/>
      <c r="C274" s="2288"/>
      <c r="D274" s="1919"/>
      <c r="E274" s="2039"/>
      <c r="F274" s="2039"/>
      <c r="G274" s="2807"/>
      <c r="H274" s="1647"/>
      <c r="I274" s="1647"/>
      <c r="J274" s="3189"/>
      <c r="K274" s="3168"/>
      <c r="L274" s="3190"/>
      <c r="M274" s="3169"/>
      <c r="N274" s="3191"/>
      <c r="O274" s="1824"/>
      <c r="P274" s="3170"/>
      <c r="Q274" s="3170"/>
      <c r="R274" s="1824"/>
      <c r="S274" s="1824"/>
      <c r="T274" s="1647"/>
      <c r="U274" s="1555"/>
      <c r="V274" s="1555"/>
      <c r="W274" s="1555"/>
      <c r="X274" s="1555"/>
      <c r="Y274" s="2422"/>
      <c r="Z274" s="2422"/>
      <c r="AA274" s="1555"/>
      <c r="AB274" s="1555"/>
      <c r="AC274" s="1555"/>
      <c r="AD274" s="1767"/>
      <c r="AE274" s="3182"/>
      <c r="AF274" s="3183"/>
      <c r="AG274" s="2904"/>
      <c r="AI274" s="1351"/>
    </row>
    <row r="275" spans="1:35" s="1350" customFormat="1">
      <c r="A275" s="1599"/>
      <c r="B275" s="1647"/>
      <c r="C275" s="2288"/>
      <c r="D275" s="1919"/>
      <c r="E275" s="2039"/>
      <c r="F275" s="2039"/>
      <c r="G275" s="2807"/>
      <c r="H275" s="1647"/>
      <c r="I275" s="1647"/>
      <c r="J275" s="3189"/>
      <c r="K275" s="3168"/>
      <c r="L275" s="3190"/>
      <c r="M275" s="3169"/>
      <c r="N275" s="3191"/>
      <c r="O275" s="1824"/>
      <c r="P275" s="3170"/>
      <c r="Q275" s="3170"/>
      <c r="R275" s="1824"/>
      <c r="S275" s="1824"/>
      <c r="T275" s="1647"/>
      <c r="U275" s="1555"/>
      <c r="V275" s="1555"/>
      <c r="W275" s="1555"/>
      <c r="X275" s="1555"/>
      <c r="Y275" s="2422"/>
      <c r="Z275" s="2422"/>
      <c r="AA275" s="1555"/>
      <c r="AB275" s="1555"/>
      <c r="AC275" s="1555"/>
      <c r="AD275" s="1767"/>
      <c r="AE275" s="3182"/>
      <c r="AF275" s="3183"/>
      <c r="AG275" s="2904"/>
      <c r="AI275" s="1351"/>
    </row>
    <row r="276" spans="1:35" s="1350" customFormat="1">
      <c r="A276" s="1599"/>
      <c r="B276" s="1647"/>
      <c r="C276" s="2288"/>
      <c r="D276" s="1919"/>
      <c r="E276" s="2039"/>
      <c r="F276" s="2039"/>
      <c r="G276" s="2807"/>
      <c r="H276" s="1647"/>
      <c r="I276" s="1647"/>
      <c r="J276" s="3189"/>
      <c r="K276" s="3168"/>
      <c r="L276" s="3190"/>
      <c r="M276" s="3169"/>
      <c r="N276" s="3191"/>
      <c r="O276" s="1824"/>
      <c r="P276" s="3170"/>
      <c r="Q276" s="3170"/>
      <c r="R276" s="1824"/>
      <c r="S276" s="1824"/>
      <c r="T276" s="1647"/>
      <c r="U276" s="1555"/>
      <c r="V276" s="1555"/>
      <c r="W276" s="1555"/>
      <c r="X276" s="1555"/>
      <c r="Y276" s="2422"/>
      <c r="Z276" s="2422"/>
      <c r="AA276" s="1555"/>
      <c r="AB276" s="1555"/>
      <c r="AC276" s="1555"/>
      <c r="AD276" s="1767"/>
      <c r="AE276" s="3182"/>
      <c r="AF276" s="3183"/>
      <c r="AG276" s="2904"/>
      <c r="AI276" s="1351"/>
    </row>
    <row r="277" spans="1:35" s="1350" customFormat="1">
      <c r="A277" s="1599"/>
      <c r="B277" s="1647"/>
      <c r="C277" s="2288"/>
      <c r="D277" s="1919"/>
      <c r="E277" s="2039"/>
      <c r="F277" s="2039"/>
      <c r="G277" s="2807"/>
      <c r="H277" s="1647"/>
      <c r="I277" s="1647"/>
      <c r="J277" s="3189"/>
      <c r="K277" s="3168"/>
      <c r="L277" s="3190"/>
      <c r="M277" s="3169"/>
      <c r="N277" s="3191"/>
      <c r="O277" s="1824"/>
      <c r="P277" s="3170"/>
      <c r="Q277" s="3170"/>
      <c r="R277" s="1824"/>
      <c r="S277" s="1824"/>
      <c r="T277" s="1647"/>
      <c r="U277" s="1555"/>
      <c r="V277" s="1555"/>
      <c r="W277" s="1555"/>
      <c r="X277" s="1555"/>
      <c r="Y277" s="2422"/>
      <c r="Z277" s="2422"/>
      <c r="AA277" s="1555"/>
      <c r="AB277" s="1555"/>
      <c r="AC277" s="1555"/>
      <c r="AD277" s="1767"/>
      <c r="AE277" s="3182"/>
      <c r="AF277" s="3183"/>
      <c r="AG277" s="2904"/>
      <c r="AI277" s="1351"/>
    </row>
    <row r="278" spans="1:35" s="1350" customFormat="1">
      <c r="A278" s="1599"/>
      <c r="B278" s="1647"/>
      <c r="C278" s="2288"/>
      <c r="D278" s="1919"/>
      <c r="E278" s="2039"/>
      <c r="F278" s="2039"/>
      <c r="G278" s="2807"/>
      <c r="H278" s="1647"/>
      <c r="I278" s="1647"/>
      <c r="J278" s="3189"/>
      <c r="K278" s="3168"/>
      <c r="L278" s="3190"/>
      <c r="M278" s="3169"/>
      <c r="N278" s="3191"/>
      <c r="O278" s="1824"/>
      <c r="P278" s="3170"/>
      <c r="Q278" s="3170"/>
      <c r="R278" s="1824"/>
      <c r="S278" s="1824"/>
      <c r="T278" s="1647"/>
      <c r="U278" s="1555"/>
      <c r="V278" s="1555"/>
      <c r="W278" s="1555"/>
      <c r="X278" s="1555"/>
      <c r="Y278" s="2422"/>
      <c r="Z278" s="2422"/>
      <c r="AA278" s="1555"/>
      <c r="AB278" s="1555"/>
      <c r="AC278" s="1555"/>
      <c r="AD278" s="1767"/>
      <c r="AE278" s="3182"/>
      <c r="AF278" s="3183"/>
      <c r="AG278" s="2904"/>
      <c r="AI278" s="1351"/>
    </row>
    <row r="279" spans="1:35" s="1350" customFormat="1">
      <c r="A279" s="1599"/>
      <c r="B279" s="1647"/>
      <c r="C279" s="2288"/>
      <c r="D279" s="1919"/>
      <c r="E279" s="2039"/>
      <c r="F279" s="2039"/>
      <c r="G279" s="2807"/>
      <c r="H279" s="1647"/>
      <c r="I279" s="1647"/>
      <c r="J279" s="3189"/>
      <c r="K279" s="3168"/>
      <c r="L279" s="3190"/>
      <c r="M279" s="3169"/>
      <c r="N279" s="3191"/>
      <c r="O279" s="1824"/>
      <c r="P279" s="3170"/>
      <c r="Q279" s="3170"/>
      <c r="R279" s="1824"/>
      <c r="S279" s="1824"/>
      <c r="T279" s="1647"/>
      <c r="U279" s="1555"/>
      <c r="V279" s="1555"/>
      <c r="W279" s="1555"/>
      <c r="X279" s="1555"/>
      <c r="Y279" s="2422"/>
      <c r="Z279" s="2422"/>
      <c r="AA279" s="1555"/>
      <c r="AB279" s="1555"/>
      <c r="AC279" s="1555"/>
      <c r="AD279" s="1767"/>
      <c r="AE279" s="3182"/>
      <c r="AF279" s="3183"/>
      <c r="AG279" s="2904"/>
      <c r="AI279" s="1351"/>
    </row>
    <row r="280" spans="1:35" s="1350" customFormat="1">
      <c r="A280" s="1599"/>
      <c r="B280" s="1647"/>
      <c r="C280" s="2288"/>
      <c r="D280" s="1919"/>
      <c r="E280" s="2039"/>
      <c r="F280" s="2039"/>
      <c r="G280" s="2807"/>
      <c r="H280" s="1647"/>
      <c r="I280" s="1647"/>
      <c r="J280" s="3189"/>
      <c r="K280" s="3168"/>
      <c r="L280" s="3190"/>
      <c r="M280" s="3169"/>
      <c r="N280" s="3191"/>
      <c r="O280" s="1824"/>
      <c r="P280" s="3170"/>
      <c r="Q280" s="3170"/>
      <c r="R280" s="1824"/>
      <c r="S280" s="1824"/>
      <c r="T280" s="1647"/>
      <c r="U280" s="1555"/>
      <c r="V280" s="1555"/>
      <c r="W280" s="1555"/>
      <c r="X280" s="1555"/>
      <c r="Y280" s="2422"/>
      <c r="Z280" s="2422"/>
      <c r="AA280" s="1555"/>
      <c r="AB280" s="1555"/>
      <c r="AC280" s="1555"/>
      <c r="AD280" s="1767"/>
      <c r="AE280" s="3182"/>
      <c r="AF280" s="3183"/>
      <c r="AG280" s="2904"/>
      <c r="AI280" s="1351"/>
    </row>
    <row r="281" spans="1:35" s="1350" customFormat="1">
      <c r="A281" s="1599"/>
      <c r="B281" s="1647"/>
      <c r="C281" s="2288"/>
      <c r="D281" s="1919"/>
      <c r="E281" s="2039"/>
      <c r="F281" s="2039"/>
      <c r="G281" s="2807"/>
      <c r="H281" s="1647"/>
      <c r="I281" s="1647"/>
      <c r="J281" s="3189"/>
      <c r="K281" s="3168"/>
      <c r="L281" s="3190"/>
      <c r="M281" s="3169"/>
      <c r="N281" s="3191"/>
      <c r="O281" s="1824"/>
      <c r="P281" s="3170"/>
      <c r="Q281" s="3170"/>
      <c r="R281" s="1824"/>
      <c r="S281" s="1824"/>
      <c r="T281" s="1647"/>
      <c r="U281" s="1555"/>
      <c r="V281" s="1555"/>
      <c r="W281" s="1555"/>
      <c r="X281" s="1555"/>
      <c r="Y281" s="2422"/>
      <c r="Z281" s="2422"/>
      <c r="AA281" s="1555"/>
      <c r="AB281" s="1555"/>
      <c r="AC281" s="1555"/>
      <c r="AD281" s="1767"/>
      <c r="AE281" s="3182"/>
      <c r="AF281" s="3183"/>
      <c r="AG281" s="2904"/>
      <c r="AI281" s="1351"/>
    </row>
    <row r="282" spans="1:35" s="1350" customFormat="1">
      <c r="A282" s="1599"/>
      <c r="B282" s="1647"/>
      <c r="C282" s="2288"/>
      <c r="D282" s="1919"/>
      <c r="E282" s="2039"/>
      <c r="F282" s="2039"/>
      <c r="G282" s="2807"/>
      <c r="H282" s="1647"/>
      <c r="I282" s="1647"/>
      <c r="J282" s="3189"/>
      <c r="K282" s="3168"/>
      <c r="L282" s="3190"/>
      <c r="M282" s="3169"/>
      <c r="N282" s="3191"/>
      <c r="O282" s="1824"/>
      <c r="P282" s="3170"/>
      <c r="Q282" s="3170"/>
      <c r="R282" s="1824"/>
      <c r="S282" s="1824"/>
      <c r="T282" s="1647"/>
      <c r="U282" s="1555"/>
      <c r="V282" s="1555"/>
      <c r="W282" s="1555"/>
      <c r="X282" s="1555"/>
      <c r="Y282" s="2422"/>
      <c r="Z282" s="2422"/>
      <c r="AA282" s="1555"/>
      <c r="AB282" s="1555"/>
      <c r="AC282" s="1555"/>
      <c r="AD282" s="1767"/>
      <c r="AE282" s="3182"/>
      <c r="AF282" s="3183"/>
      <c r="AG282" s="2904"/>
      <c r="AI282" s="1351"/>
    </row>
    <row r="283" spans="1:35" s="1350" customFormat="1">
      <c r="A283" s="1599"/>
      <c r="B283" s="1647"/>
      <c r="C283" s="2288"/>
      <c r="D283" s="1919"/>
      <c r="E283" s="2039"/>
      <c r="F283" s="2039"/>
      <c r="G283" s="2807"/>
      <c r="H283" s="1647"/>
      <c r="I283" s="1647"/>
      <c r="J283" s="3189"/>
      <c r="K283" s="3168"/>
      <c r="L283" s="3190"/>
      <c r="M283" s="3169"/>
      <c r="N283" s="3191"/>
      <c r="O283" s="1824"/>
      <c r="P283" s="3170"/>
      <c r="Q283" s="3170"/>
      <c r="R283" s="1824"/>
      <c r="S283" s="1824"/>
      <c r="T283" s="1647"/>
      <c r="U283" s="1555"/>
      <c r="V283" s="1555"/>
      <c r="W283" s="1555"/>
      <c r="X283" s="1555"/>
      <c r="Y283" s="2422"/>
      <c r="Z283" s="2422"/>
      <c r="AA283" s="1555"/>
      <c r="AB283" s="1555"/>
      <c r="AC283" s="1555"/>
      <c r="AD283" s="1767"/>
      <c r="AE283" s="3182"/>
      <c r="AF283" s="3183"/>
      <c r="AG283" s="2904"/>
      <c r="AI283" s="1351"/>
    </row>
    <row r="284" spans="1:35" s="1350" customFormat="1">
      <c r="A284" s="1599"/>
      <c r="B284" s="1647"/>
      <c r="C284" s="2288"/>
      <c r="D284" s="1919"/>
      <c r="E284" s="2039"/>
      <c r="F284" s="2039"/>
      <c r="G284" s="2807"/>
      <c r="H284" s="1647"/>
      <c r="I284" s="1647"/>
      <c r="J284" s="3189"/>
      <c r="K284" s="3168"/>
      <c r="L284" s="3190"/>
      <c r="M284" s="3169"/>
      <c r="N284" s="3191"/>
      <c r="O284" s="1824"/>
      <c r="P284" s="3170"/>
      <c r="Q284" s="3170"/>
      <c r="R284" s="1824"/>
      <c r="S284" s="1824"/>
      <c r="T284" s="1647"/>
      <c r="U284" s="1555"/>
      <c r="V284" s="1555"/>
      <c r="W284" s="1555"/>
      <c r="X284" s="1555"/>
      <c r="Y284" s="2422"/>
      <c r="Z284" s="2422"/>
      <c r="AA284" s="1555"/>
      <c r="AB284" s="1555"/>
      <c r="AC284" s="1555"/>
      <c r="AD284" s="1767"/>
      <c r="AE284" s="3182"/>
      <c r="AF284" s="3183"/>
      <c r="AG284" s="2904"/>
      <c r="AI284" s="1351"/>
    </row>
    <row r="285" spans="1:35" s="1350" customFormat="1">
      <c r="A285" s="1599"/>
      <c r="B285" s="1647"/>
      <c r="C285" s="2288"/>
      <c r="D285" s="1919"/>
      <c r="E285" s="2039"/>
      <c r="F285" s="2039"/>
      <c r="G285" s="2807"/>
      <c r="H285" s="1647"/>
      <c r="I285" s="1647"/>
      <c r="J285" s="3189"/>
      <c r="K285" s="3168"/>
      <c r="L285" s="3190"/>
      <c r="M285" s="3169"/>
      <c r="N285" s="3191"/>
      <c r="O285" s="1824"/>
      <c r="P285" s="3170"/>
      <c r="Q285" s="3170"/>
      <c r="R285" s="1824"/>
      <c r="S285" s="1824"/>
      <c r="T285" s="1647"/>
      <c r="U285" s="1555"/>
      <c r="V285" s="1555"/>
      <c r="W285" s="1555"/>
      <c r="X285" s="1555"/>
      <c r="Y285" s="2422"/>
      <c r="Z285" s="2422"/>
      <c r="AA285" s="1555"/>
      <c r="AB285" s="1555"/>
      <c r="AC285" s="1555"/>
      <c r="AD285" s="1767"/>
      <c r="AE285" s="3182"/>
      <c r="AF285" s="3183"/>
      <c r="AG285" s="2904"/>
      <c r="AI285" s="1351"/>
    </row>
    <row r="286" spans="1:35" s="1350" customFormat="1">
      <c r="A286" s="1599"/>
      <c r="B286" s="1647"/>
      <c r="C286" s="2288"/>
      <c r="D286" s="1919"/>
      <c r="E286" s="2039"/>
      <c r="F286" s="2039"/>
      <c r="G286" s="2807"/>
      <c r="H286" s="1647"/>
      <c r="I286" s="1647"/>
      <c r="J286" s="3189"/>
      <c r="K286" s="3168"/>
      <c r="L286" s="3190"/>
      <c r="M286" s="3169"/>
      <c r="N286" s="3191"/>
      <c r="O286" s="1824"/>
      <c r="P286" s="3170"/>
      <c r="Q286" s="3170"/>
      <c r="R286" s="1824"/>
      <c r="S286" s="1824"/>
      <c r="T286" s="1647"/>
      <c r="U286" s="1555"/>
      <c r="V286" s="1555"/>
      <c r="W286" s="1555"/>
      <c r="X286" s="1555"/>
      <c r="Y286" s="2422"/>
      <c r="Z286" s="2422"/>
      <c r="AA286" s="1555"/>
      <c r="AB286" s="1555"/>
      <c r="AC286" s="1555"/>
      <c r="AD286" s="1767"/>
      <c r="AE286" s="3182"/>
      <c r="AF286" s="3183"/>
      <c r="AG286" s="2904"/>
      <c r="AI286" s="1351"/>
    </row>
    <row r="287" spans="1:35" s="1350" customFormat="1">
      <c r="A287" s="1599"/>
      <c r="B287" s="1647"/>
      <c r="C287" s="2288"/>
      <c r="D287" s="1919"/>
      <c r="E287" s="2039"/>
      <c r="F287" s="2039"/>
      <c r="G287" s="2807"/>
      <c r="H287" s="1647"/>
      <c r="I287" s="1647"/>
      <c r="J287" s="3189"/>
      <c r="K287" s="3168"/>
      <c r="L287" s="3190"/>
      <c r="M287" s="3169"/>
      <c r="N287" s="3191"/>
      <c r="O287" s="1824"/>
      <c r="P287" s="3170"/>
      <c r="Q287" s="3170"/>
      <c r="R287" s="1824"/>
      <c r="S287" s="1824"/>
      <c r="T287" s="1647"/>
      <c r="U287" s="1555"/>
      <c r="V287" s="1555"/>
      <c r="W287" s="1555"/>
      <c r="X287" s="1555"/>
      <c r="Y287" s="2422"/>
      <c r="Z287" s="2422"/>
      <c r="AA287" s="1555"/>
      <c r="AB287" s="1555"/>
      <c r="AC287" s="1555"/>
      <c r="AD287" s="1767"/>
      <c r="AE287" s="3182"/>
      <c r="AF287" s="3183"/>
      <c r="AG287" s="2904"/>
      <c r="AI287" s="1351"/>
    </row>
    <row r="288" spans="1:35" s="1350" customFormat="1">
      <c r="A288" s="1599"/>
      <c r="B288" s="1647"/>
      <c r="C288" s="2288"/>
      <c r="D288" s="1919"/>
      <c r="E288" s="2039"/>
      <c r="F288" s="2039"/>
      <c r="G288" s="2807"/>
      <c r="H288" s="1647"/>
      <c r="I288" s="1647"/>
      <c r="J288" s="3189"/>
      <c r="K288" s="3168"/>
      <c r="L288" s="3190"/>
      <c r="M288" s="3169"/>
      <c r="N288" s="3191"/>
      <c r="O288" s="1824"/>
      <c r="P288" s="3170"/>
      <c r="Q288" s="3170"/>
      <c r="R288" s="1824"/>
      <c r="S288" s="1824"/>
      <c r="T288" s="1647"/>
      <c r="U288" s="1555"/>
      <c r="V288" s="1555"/>
      <c r="W288" s="1555"/>
      <c r="X288" s="1555"/>
      <c r="Y288" s="2422"/>
      <c r="Z288" s="2422"/>
      <c r="AA288" s="1555"/>
      <c r="AB288" s="1555"/>
      <c r="AC288" s="1555"/>
      <c r="AD288" s="1767"/>
      <c r="AE288" s="3182"/>
      <c r="AF288" s="3183"/>
      <c r="AG288" s="2904"/>
      <c r="AI288" s="1351"/>
    </row>
    <row r="289" spans="1:35" s="1350" customFormat="1">
      <c r="A289" s="1599"/>
      <c r="B289" s="1647"/>
      <c r="C289" s="2288"/>
      <c r="D289" s="1919"/>
      <c r="E289" s="2039"/>
      <c r="F289" s="2039"/>
      <c r="G289" s="2807"/>
      <c r="H289" s="1647"/>
      <c r="I289" s="1647"/>
      <c r="J289" s="3189"/>
      <c r="K289" s="3168"/>
      <c r="L289" s="3190"/>
      <c r="M289" s="3169"/>
      <c r="N289" s="3191"/>
      <c r="O289" s="1824"/>
      <c r="P289" s="3170"/>
      <c r="Q289" s="3170"/>
      <c r="R289" s="1824"/>
      <c r="S289" s="1824"/>
      <c r="T289" s="1647"/>
      <c r="U289" s="1555"/>
      <c r="V289" s="1555"/>
      <c r="W289" s="1555"/>
      <c r="X289" s="1555"/>
      <c r="Y289" s="2422"/>
      <c r="Z289" s="2422"/>
      <c r="AA289" s="1555"/>
      <c r="AB289" s="1555"/>
      <c r="AC289" s="1555"/>
      <c r="AD289" s="1767"/>
      <c r="AE289" s="3182"/>
      <c r="AF289" s="3183"/>
      <c r="AG289" s="2904"/>
      <c r="AI289" s="1351"/>
    </row>
    <row r="290" spans="1:35" s="1350" customFormat="1">
      <c r="A290" s="1599"/>
      <c r="B290" s="1647"/>
      <c r="C290" s="2288"/>
      <c r="D290" s="1919"/>
      <c r="E290" s="2039"/>
      <c r="F290" s="2039"/>
      <c r="G290" s="2807"/>
      <c r="H290" s="1647"/>
      <c r="I290" s="1647"/>
      <c r="J290" s="3189"/>
      <c r="K290" s="3168"/>
      <c r="L290" s="3190"/>
      <c r="M290" s="3169"/>
      <c r="N290" s="3191"/>
      <c r="O290" s="1824"/>
      <c r="P290" s="3170"/>
      <c r="Q290" s="3170"/>
      <c r="R290" s="1824"/>
      <c r="S290" s="1824"/>
      <c r="T290" s="1647"/>
      <c r="U290" s="1555"/>
      <c r="V290" s="1555"/>
      <c r="W290" s="1555"/>
      <c r="X290" s="1555"/>
      <c r="Y290" s="2422"/>
      <c r="Z290" s="2422"/>
      <c r="AA290" s="1555"/>
      <c r="AB290" s="1555"/>
      <c r="AC290" s="1555"/>
      <c r="AD290" s="1767"/>
      <c r="AE290" s="3182"/>
      <c r="AF290" s="3183"/>
      <c r="AG290" s="2904"/>
      <c r="AI290" s="1351"/>
    </row>
    <row r="291" spans="1:35" s="1350" customFormat="1">
      <c r="A291" s="1599"/>
      <c r="B291" s="1647"/>
      <c r="C291" s="2288"/>
      <c r="D291" s="1919"/>
      <c r="E291" s="2039"/>
      <c r="F291" s="2039"/>
      <c r="G291" s="2807"/>
      <c r="H291" s="1647"/>
      <c r="I291" s="1647"/>
      <c r="J291" s="3189"/>
      <c r="K291" s="3168"/>
      <c r="L291" s="3190"/>
      <c r="M291" s="3169"/>
      <c r="N291" s="3191"/>
      <c r="O291" s="1824"/>
      <c r="P291" s="3170"/>
      <c r="Q291" s="3170"/>
      <c r="R291" s="1824"/>
      <c r="S291" s="1824"/>
      <c r="T291" s="1647"/>
      <c r="U291" s="1555"/>
      <c r="V291" s="1555"/>
      <c r="W291" s="1555"/>
      <c r="X291" s="1555"/>
      <c r="Y291" s="2422"/>
      <c r="Z291" s="2422"/>
      <c r="AA291" s="1555"/>
      <c r="AB291" s="1555"/>
      <c r="AC291" s="1555"/>
      <c r="AD291" s="1767"/>
      <c r="AE291" s="3182"/>
      <c r="AF291" s="3183"/>
      <c r="AG291" s="2904"/>
      <c r="AI291" s="1351"/>
    </row>
    <row r="292" spans="1:35" s="1350" customFormat="1">
      <c r="A292" s="1599"/>
      <c r="B292" s="1647"/>
      <c r="C292" s="2288"/>
      <c r="D292" s="1919"/>
      <c r="E292" s="2039"/>
      <c r="F292" s="2039"/>
      <c r="G292" s="2807"/>
      <c r="H292" s="1647"/>
      <c r="I292" s="1647"/>
      <c r="J292" s="3189"/>
      <c r="K292" s="3168"/>
      <c r="L292" s="3190"/>
      <c r="M292" s="3169"/>
      <c r="N292" s="3191"/>
      <c r="O292" s="1824"/>
      <c r="P292" s="3170"/>
      <c r="Q292" s="3170"/>
      <c r="R292" s="1824"/>
      <c r="S292" s="1824"/>
      <c r="T292" s="1647"/>
      <c r="U292" s="1555"/>
      <c r="V292" s="1555"/>
      <c r="W292" s="1555"/>
      <c r="X292" s="1555"/>
      <c r="Y292" s="2422"/>
      <c r="Z292" s="2422"/>
      <c r="AA292" s="1555"/>
      <c r="AB292" s="1555"/>
      <c r="AC292" s="1555"/>
      <c r="AD292" s="1767"/>
      <c r="AE292" s="3182"/>
      <c r="AF292" s="3183"/>
      <c r="AG292" s="2904"/>
      <c r="AI292" s="1351"/>
    </row>
    <row r="293" spans="1:35" s="1350" customFormat="1">
      <c r="A293" s="1599"/>
      <c r="B293" s="1647"/>
      <c r="C293" s="2288"/>
      <c r="D293" s="1919"/>
      <c r="E293" s="2039"/>
      <c r="F293" s="2039"/>
      <c r="G293" s="2807"/>
      <c r="H293" s="1647"/>
      <c r="I293" s="1647"/>
      <c r="J293" s="3189"/>
      <c r="K293" s="3168"/>
      <c r="L293" s="3190"/>
      <c r="M293" s="3169"/>
      <c r="N293" s="3191"/>
      <c r="O293" s="1824"/>
      <c r="P293" s="3170"/>
      <c r="Q293" s="3170"/>
      <c r="R293" s="1824"/>
      <c r="S293" s="1824"/>
      <c r="T293" s="1647"/>
      <c r="U293" s="1555"/>
      <c r="V293" s="1555"/>
      <c r="W293" s="1555"/>
      <c r="X293" s="1555"/>
      <c r="Y293" s="2422"/>
      <c r="Z293" s="2422"/>
      <c r="AA293" s="1555"/>
      <c r="AB293" s="1555"/>
      <c r="AC293" s="1555"/>
      <c r="AD293" s="1767"/>
      <c r="AE293" s="3182"/>
      <c r="AF293" s="3183"/>
      <c r="AG293" s="2904"/>
      <c r="AI293" s="1351"/>
    </row>
    <row r="294" spans="1:35" s="1350" customFormat="1">
      <c r="A294" s="1599"/>
      <c r="B294" s="1647"/>
      <c r="C294" s="2288"/>
      <c r="D294" s="1919"/>
      <c r="E294" s="2039"/>
      <c r="F294" s="2039"/>
      <c r="G294" s="2807"/>
      <c r="H294" s="1647"/>
      <c r="I294" s="1647"/>
      <c r="J294" s="3189"/>
      <c r="K294" s="3168"/>
      <c r="L294" s="3190"/>
      <c r="M294" s="3169"/>
      <c r="N294" s="3191"/>
      <c r="O294" s="1824"/>
      <c r="P294" s="3170"/>
      <c r="Q294" s="3170"/>
      <c r="R294" s="1824"/>
      <c r="S294" s="1824"/>
      <c r="T294" s="1647"/>
      <c r="U294" s="1555"/>
      <c r="V294" s="1555"/>
      <c r="W294" s="1555"/>
      <c r="X294" s="1555"/>
      <c r="Y294" s="2422"/>
      <c r="Z294" s="2422"/>
      <c r="AA294" s="1555"/>
      <c r="AB294" s="1555"/>
      <c r="AC294" s="1555"/>
      <c r="AD294" s="1767"/>
      <c r="AE294" s="3182"/>
      <c r="AF294" s="3183"/>
      <c r="AG294" s="2904"/>
      <c r="AI294" s="1351"/>
    </row>
    <row r="295" spans="1:35" s="1350" customFormat="1">
      <c r="A295" s="1599"/>
      <c r="B295" s="1647"/>
      <c r="C295" s="2288"/>
      <c r="D295" s="1919"/>
      <c r="E295" s="2039"/>
      <c r="F295" s="2039"/>
      <c r="G295" s="2807"/>
      <c r="H295" s="1647"/>
      <c r="I295" s="1647"/>
      <c r="J295" s="3189"/>
      <c r="K295" s="3168"/>
      <c r="L295" s="3190"/>
      <c r="M295" s="3169"/>
      <c r="N295" s="3191"/>
      <c r="O295" s="1824"/>
      <c r="P295" s="3170"/>
      <c r="Q295" s="3170"/>
      <c r="R295" s="1824"/>
      <c r="S295" s="1824"/>
      <c r="T295" s="1647"/>
      <c r="U295" s="1555"/>
      <c r="V295" s="1555"/>
      <c r="W295" s="1555"/>
      <c r="X295" s="1555"/>
      <c r="Y295" s="2422"/>
      <c r="Z295" s="2422"/>
      <c r="AA295" s="1555"/>
      <c r="AB295" s="1555"/>
      <c r="AC295" s="1555"/>
      <c r="AD295" s="1767"/>
      <c r="AE295" s="3182"/>
      <c r="AF295" s="3183"/>
      <c r="AG295" s="2904"/>
      <c r="AI295" s="1351"/>
    </row>
    <row r="296" spans="1:35" s="1350" customFormat="1">
      <c r="A296" s="1599"/>
      <c r="B296" s="1647"/>
      <c r="C296" s="2288"/>
      <c r="D296" s="1919"/>
      <c r="E296" s="2039"/>
      <c r="F296" s="2039"/>
      <c r="G296" s="2807"/>
      <c r="H296" s="1647"/>
      <c r="I296" s="1647"/>
      <c r="J296" s="3189"/>
      <c r="K296" s="3168"/>
      <c r="L296" s="3190"/>
      <c r="M296" s="3169"/>
      <c r="N296" s="3191"/>
      <c r="O296" s="1824"/>
      <c r="P296" s="3170"/>
      <c r="Q296" s="3170"/>
      <c r="R296" s="1824"/>
      <c r="S296" s="1824"/>
      <c r="T296" s="1647"/>
      <c r="U296" s="1555"/>
      <c r="V296" s="1555"/>
      <c r="W296" s="1555"/>
      <c r="X296" s="1555"/>
      <c r="Y296" s="2422"/>
      <c r="Z296" s="2422"/>
      <c r="AA296" s="1555"/>
      <c r="AB296" s="1555"/>
      <c r="AC296" s="1555"/>
      <c r="AD296" s="1767"/>
      <c r="AE296" s="3182"/>
      <c r="AF296" s="3183"/>
      <c r="AG296" s="2904"/>
      <c r="AI296" s="1351"/>
    </row>
    <row r="297" spans="1:35" s="1350" customFormat="1">
      <c r="A297" s="1599"/>
      <c r="B297" s="1647"/>
      <c r="C297" s="2288"/>
      <c r="D297" s="1919"/>
      <c r="E297" s="2039"/>
      <c r="F297" s="2039"/>
      <c r="G297" s="2807"/>
      <c r="H297" s="1647"/>
      <c r="I297" s="1647"/>
      <c r="J297" s="3189"/>
      <c r="K297" s="3168"/>
      <c r="L297" s="3190"/>
      <c r="M297" s="3169"/>
      <c r="N297" s="3191"/>
      <c r="O297" s="1824"/>
      <c r="P297" s="3170"/>
      <c r="Q297" s="3170"/>
      <c r="R297" s="1824"/>
      <c r="S297" s="1824"/>
      <c r="T297" s="1647"/>
      <c r="U297" s="1555"/>
      <c r="V297" s="1555"/>
      <c r="W297" s="1555"/>
      <c r="X297" s="1555"/>
      <c r="Y297" s="2422"/>
      <c r="Z297" s="2422"/>
      <c r="AA297" s="1555"/>
      <c r="AB297" s="1555"/>
      <c r="AC297" s="1555"/>
      <c r="AD297" s="1767"/>
      <c r="AE297" s="3182"/>
      <c r="AF297" s="3183"/>
      <c r="AG297" s="2904"/>
      <c r="AI297" s="1351"/>
    </row>
    <row r="298" spans="1:35" s="1350" customFormat="1">
      <c r="A298" s="1599"/>
      <c r="B298" s="1647"/>
      <c r="C298" s="2288"/>
      <c r="D298" s="1919"/>
      <c r="E298" s="2039"/>
      <c r="F298" s="2039"/>
      <c r="G298" s="2807"/>
      <c r="H298" s="1647"/>
      <c r="I298" s="1647"/>
      <c r="J298" s="3189"/>
      <c r="K298" s="3168"/>
      <c r="L298" s="3190"/>
      <c r="M298" s="3169"/>
      <c r="N298" s="3191"/>
      <c r="O298" s="1824"/>
      <c r="P298" s="3170"/>
      <c r="Q298" s="3170"/>
      <c r="R298" s="1824"/>
      <c r="S298" s="1824"/>
      <c r="T298" s="1647"/>
      <c r="U298" s="1555"/>
      <c r="V298" s="1555"/>
      <c r="W298" s="1555"/>
      <c r="X298" s="1555"/>
      <c r="Y298" s="2422"/>
      <c r="Z298" s="2422"/>
      <c r="AA298" s="1555"/>
      <c r="AB298" s="1555"/>
      <c r="AC298" s="1555"/>
      <c r="AD298" s="1767"/>
      <c r="AE298" s="3182"/>
      <c r="AF298" s="3183"/>
      <c r="AG298" s="2904"/>
      <c r="AI298" s="1351"/>
    </row>
    <row r="299" spans="1:35" s="1350" customFormat="1">
      <c r="A299" s="1599"/>
      <c r="B299" s="1647"/>
      <c r="C299" s="2288"/>
      <c r="D299" s="1919"/>
      <c r="E299" s="2039"/>
      <c r="F299" s="2039"/>
      <c r="G299" s="2807"/>
      <c r="H299" s="1647"/>
      <c r="I299" s="1647"/>
      <c r="J299" s="3189"/>
      <c r="K299" s="3168"/>
      <c r="L299" s="3190"/>
      <c r="M299" s="3169"/>
      <c r="N299" s="3191"/>
      <c r="O299" s="1824"/>
      <c r="P299" s="3170"/>
      <c r="Q299" s="3170"/>
      <c r="R299" s="1824"/>
      <c r="S299" s="1824"/>
      <c r="T299" s="1647"/>
      <c r="U299" s="1555"/>
      <c r="V299" s="1555"/>
      <c r="W299" s="1555"/>
      <c r="X299" s="1555"/>
      <c r="Y299" s="2422"/>
      <c r="Z299" s="2422"/>
      <c r="AA299" s="1555"/>
      <c r="AB299" s="1555"/>
      <c r="AC299" s="1555"/>
      <c r="AD299" s="1767"/>
      <c r="AE299" s="3182"/>
      <c r="AF299" s="3183"/>
      <c r="AG299" s="2904"/>
      <c r="AI299" s="1351"/>
    </row>
    <row r="300" spans="1:35" s="1350" customFormat="1">
      <c r="A300" s="1599"/>
      <c r="B300" s="1647"/>
      <c r="C300" s="2288"/>
      <c r="D300" s="1919"/>
      <c r="E300" s="2039"/>
      <c r="F300" s="2039"/>
      <c r="G300" s="2807"/>
      <c r="H300" s="1647"/>
      <c r="I300" s="1647"/>
      <c r="J300" s="3189"/>
      <c r="K300" s="3168"/>
      <c r="L300" s="3190"/>
      <c r="M300" s="3169"/>
      <c r="N300" s="3191"/>
      <c r="O300" s="1824"/>
      <c r="P300" s="3170"/>
      <c r="Q300" s="3170"/>
      <c r="R300" s="1824"/>
      <c r="S300" s="1824"/>
      <c r="T300" s="1647"/>
      <c r="U300" s="1555"/>
      <c r="V300" s="1555"/>
      <c r="W300" s="1555"/>
      <c r="X300" s="1555"/>
      <c r="Y300" s="2422"/>
      <c r="Z300" s="2422"/>
      <c r="AA300" s="1555"/>
      <c r="AB300" s="1555"/>
      <c r="AC300" s="1555"/>
      <c r="AD300" s="1767"/>
      <c r="AE300" s="3182"/>
      <c r="AF300" s="3183"/>
      <c r="AG300" s="2904"/>
      <c r="AI300" s="1351"/>
    </row>
    <row r="301" spans="1:35" s="1350" customFormat="1">
      <c r="A301" s="1599"/>
      <c r="B301" s="1647"/>
      <c r="C301" s="2288"/>
      <c r="D301" s="1919"/>
      <c r="E301" s="2039"/>
      <c r="F301" s="2039"/>
      <c r="G301" s="2807"/>
      <c r="H301" s="1647"/>
      <c r="I301" s="1647"/>
      <c r="J301" s="3189"/>
      <c r="K301" s="3168"/>
      <c r="L301" s="3190"/>
      <c r="M301" s="3169"/>
      <c r="N301" s="3191"/>
      <c r="O301" s="1824"/>
      <c r="P301" s="3170"/>
      <c r="Q301" s="3170"/>
      <c r="R301" s="1824"/>
      <c r="S301" s="1824"/>
      <c r="T301" s="1647"/>
      <c r="U301" s="1555"/>
      <c r="V301" s="1555"/>
      <c r="W301" s="1555"/>
      <c r="X301" s="1555"/>
      <c r="Y301" s="2422"/>
      <c r="Z301" s="2422"/>
      <c r="AA301" s="1555"/>
      <c r="AB301" s="1555"/>
      <c r="AC301" s="1555"/>
      <c r="AD301" s="1767"/>
      <c r="AE301" s="3182"/>
      <c r="AF301" s="3183"/>
      <c r="AG301" s="2904"/>
      <c r="AI301" s="1351"/>
    </row>
    <row r="302" spans="1:35" s="1350" customFormat="1">
      <c r="A302" s="1599"/>
      <c r="B302" s="1647"/>
      <c r="C302" s="2288"/>
      <c r="D302" s="1919"/>
      <c r="E302" s="2039"/>
      <c r="F302" s="2039"/>
      <c r="G302" s="2807"/>
      <c r="H302" s="1647"/>
      <c r="I302" s="1647"/>
      <c r="J302" s="3189"/>
      <c r="K302" s="3168"/>
      <c r="L302" s="3190"/>
      <c r="M302" s="3169"/>
      <c r="N302" s="3191"/>
      <c r="O302" s="1824"/>
      <c r="P302" s="3170"/>
      <c r="Q302" s="3170"/>
      <c r="R302" s="1824"/>
      <c r="S302" s="1824"/>
      <c r="T302" s="1647"/>
      <c r="U302" s="1555"/>
      <c r="V302" s="1555"/>
      <c r="W302" s="1555"/>
      <c r="X302" s="1555"/>
      <c r="Y302" s="2422"/>
      <c r="Z302" s="2422"/>
      <c r="AA302" s="1555"/>
      <c r="AB302" s="1555"/>
      <c r="AC302" s="1555"/>
      <c r="AD302" s="1767"/>
      <c r="AE302" s="3182"/>
      <c r="AF302" s="3183"/>
      <c r="AG302" s="2904"/>
      <c r="AI302" s="1351"/>
    </row>
    <row r="303" spans="1:35" s="1350" customFormat="1">
      <c r="A303" s="1599"/>
      <c r="B303" s="1647"/>
      <c r="C303" s="2288"/>
      <c r="D303" s="1919"/>
      <c r="E303" s="2039"/>
      <c r="F303" s="2039"/>
      <c r="G303" s="2807"/>
      <c r="H303" s="1647"/>
      <c r="I303" s="1647"/>
      <c r="J303" s="3189"/>
      <c r="K303" s="3168"/>
      <c r="L303" s="3190"/>
      <c r="M303" s="3169"/>
      <c r="N303" s="3191"/>
      <c r="O303" s="1824"/>
      <c r="P303" s="3170"/>
      <c r="Q303" s="3170"/>
      <c r="R303" s="1824"/>
      <c r="S303" s="1824"/>
      <c r="T303" s="1647"/>
      <c r="U303" s="1555"/>
      <c r="V303" s="1555"/>
      <c r="W303" s="1555"/>
      <c r="X303" s="1555"/>
      <c r="Y303" s="2422"/>
      <c r="Z303" s="2422"/>
      <c r="AA303" s="1555"/>
      <c r="AB303" s="1555"/>
      <c r="AC303" s="1555"/>
      <c r="AD303" s="1767"/>
      <c r="AE303" s="3182"/>
      <c r="AF303" s="3183"/>
      <c r="AG303" s="2904"/>
      <c r="AI303" s="1351"/>
    </row>
    <row r="304" spans="1:35" s="1350" customFormat="1">
      <c r="A304" s="1599"/>
      <c r="B304" s="1647"/>
      <c r="C304" s="2288"/>
      <c r="D304" s="1919"/>
      <c r="E304" s="2039"/>
      <c r="F304" s="2039"/>
      <c r="G304" s="2807"/>
      <c r="H304" s="1647"/>
      <c r="I304" s="1647"/>
      <c r="J304" s="3189"/>
      <c r="K304" s="3168"/>
      <c r="L304" s="3190"/>
      <c r="M304" s="3169"/>
      <c r="N304" s="3191"/>
      <c r="O304" s="1824"/>
      <c r="P304" s="3170"/>
      <c r="Q304" s="3170"/>
      <c r="R304" s="1824"/>
      <c r="S304" s="1824"/>
      <c r="T304" s="1647"/>
      <c r="U304" s="1555"/>
      <c r="V304" s="1555"/>
      <c r="W304" s="1555"/>
      <c r="X304" s="1555"/>
      <c r="Y304" s="2422"/>
      <c r="Z304" s="2422"/>
      <c r="AA304" s="1555"/>
      <c r="AB304" s="1555"/>
      <c r="AC304" s="1555"/>
      <c r="AD304" s="1767"/>
      <c r="AE304" s="3182"/>
      <c r="AF304" s="3183"/>
      <c r="AG304" s="2904"/>
      <c r="AI304" s="1351"/>
    </row>
    <row r="305" spans="1:35" s="1350" customFormat="1">
      <c r="A305" s="1599"/>
      <c r="B305" s="1647"/>
      <c r="C305" s="2288"/>
      <c r="D305" s="1919"/>
      <c r="E305" s="2039"/>
      <c r="F305" s="2039"/>
      <c r="G305" s="2807"/>
      <c r="H305" s="1647"/>
      <c r="I305" s="1647"/>
      <c r="J305" s="3189"/>
      <c r="K305" s="3168"/>
      <c r="L305" s="3190"/>
      <c r="M305" s="3169"/>
      <c r="N305" s="3191"/>
      <c r="O305" s="1824"/>
      <c r="P305" s="3170"/>
      <c r="Q305" s="3170"/>
      <c r="R305" s="1824"/>
      <c r="S305" s="1824"/>
      <c r="T305" s="1647"/>
      <c r="U305" s="1555"/>
      <c r="V305" s="1555"/>
      <c r="W305" s="1555"/>
      <c r="X305" s="1555"/>
      <c r="Y305" s="2422"/>
      <c r="Z305" s="2422"/>
      <c r="AA305" s="1555"/>
      <c r="AB305" s="1555"/>
      <c r="AC305" s="1555"/>
      <c r="AD305" s="1767"/>
      <c r="AE305" s="3182"/>
      <c r="AF305" s="3183"/>
      <c r="AG305" s="2904"/>
      <c r="AI305" s="1351"/>
    </row>
    <row r="306" spans="1:35" s="1350" customFormat="1">
      <c r="A306" s="1599"/>
      <c r="B306" s="1647"/>
      <c r="C306" s="2288"/>
      <c r="D306" s="1919"/>
      <c r="E306" s="2039"/>
      <c r="F306" s="2039"/>
      <c r="G306" s="2807"/>
      <c r="H306" s="1647"/>
      <c r="I306" s="1647"/>
      <c r="J306" s="3189"/>
      <c r="K306" s="3168"/>
      <c r="L306" s="3190"/>
      <c r="M306" s="3169"/>
      <c r="N306" s="3191"/>
      <c r="O306" s="1824"/>
      <c r="P306" s="3170"/>
      <c r="Q306" s="3170"/>
      <c r="R306" s="1824"/>
      <c r="S306" s="1824"/>
      <c r="T306" s="1647"/>
      <c r="U306" s="1555"/>
      <c r="V306" s="1555"/>
      <c r="W306" s="1555"/>
      <c r="X306" s="1555"/>
      <c r="Y306" s="2422"/>
      <c r="Z306" s="2422"/>
      <c r="AA306" s="1555"/>
      <c r="AB306" s="1555"/>
      <c r="AC306" s="1555"/>
      <c r="AD306" s="1767"/>
      <c r="AE306" s="3182"/>
      <c r="AF306" s="3183"/>
      <c r="AG306" s="2904"/>
      <c r="AI306" s="1351"/>
    </row>
    <row r="307" spans="1:35" s="1350" customFormat="1">
      <c r="A307" s="1599"/>
      <c r="B307" s="1647"/>
      <c r="C307" s="2288"/>
      <c r="D307" s="1919"/>
      <c r="E307" s="2039"/>
      <c r="F307" s="2039"/>
      <c r="G307" s="2807"/>
      <c r="H307" s="1647"/>
      <c r="I307" s="1647"/>
      <c r="J307" s="3189"/>
      <c r="K307" s="3168"/>
      <c r="L307" s="3190"/>
      <c r="M307" s="3169"/>
      <c r="N307" s="3191"/>
      <c r="O307" s="1824"/>
      <c r="P307" s="3170"/>
      <c r="Q307" s="3170"/>
      <c r="R307" s="1824"/>
      <c r="S307" s="1824"/>
      <c r="T307" s="1647"/>
      <c r="U307" s="1555"/>
      <c r="V307" s="1555"/>
      <c r="W307" s="1555"/>
      <c r="X307" s="1555"/>
      <c r="Y307" s="2422"/>
      <c r="Z307" s="2422"/>
      <c r="AA307" s="1555"/>
      <c r="AB307" s="1555"/>
      <c r="AC307" s="1555"/>
      <c r="AD307" s="1767"/>
      <c r="AE307" s="3182"/>
      <c r="AF307" s="3183"/>
      <c r="AG307" s="2904"/>
      <c r="AI307" s="1351"/>
    </row>
    <row r="308" spans="1:35" s="1350" customFormat="1">
      <c r="A308" s="1599"/>
      <c r="B308" s="1647"/>
      <c r="C308" s="2288"/>
      <c r="D308" s="1919"/>
      <c r="E308" s="2039"/>
      <c r="F308" s="2039"/>
      <c r="G308" s="2807"/>
      <c r="H308" s="1647"/>
      <c r="I308" s="1647"/>
      <c r="J308" s="3189"/>
      <c r="K308" s="3168"/>
      <c r="L308" s="3190"/>
      <c r="M308" s="3169"/>
      <c r="N308" s="3191"/>
      <c r="O308" s="1824"/>
      <c r="P308" s="3170"/>
      <c r="Q308" s="3170"/>
      <c r="R308" s="1824"/>
      <c r="S308" s="1824"/>
      <c r="T308" s="1647"/>
      <c r="U308" s="1555"/>
      <c r="V308" s="1555"/>
      <c r="W308" s="1555"/>
      <c r="X308" s="1555"/>
      <c r="Y308" s="2422"/>
      <c r="Z308" s="2422"/>
      <c r="AA308" s="1555"/>
      <c r="AB308" s="1555"/>
      <c r="AC308" s="1555"/>
      <c r="AD308" s="1767"/>
      <c r="AE308" s="3182"/>
      <c r="AF308" s="3183"/>
      <c r="AG308" s="2904"/>
      <c r="AI308" s="1351"/>
    </row>
    <row r="309" spans="1:35" s="1350" customFormat="1">
      <c r="A309" s="1599"/>
      <c r="B309" s="1647"/>
      <c r="C309" s="2288"/>
      <c r="D309" s="1919"/>
      <c r="E309" s="2039"/>
      <c r="F309" s="2039"/>
      <c r="G309" s="2807"/>
      <c r="H309" s="1647"/>
      <c r="I309" s="1647"/>
      <c r="J309" s="3189"/>
      <c r="K309" s="3168"/>
      <c r="L309" s="3190"/>
      <c r="M309" s="3169"/>
      <c r="N309" s="3191"/>
      <c r="O309" s="1824"/>
      <c r="P309" s="3170"/>
      <c r="Q309" s="3170"/>
      <c r="R309" s="1824"/>
      <c r="S309" s="1824"/>
      <c r="T309" s="1647"/>
      <c r="U309" s="1555"/>
      <c r="V309" s="1555"/>
      <c r="W309" s="1555"/>
      <c r="X309" s="1555"/>
      <c r="Y309" s="2422"/>
      <c r="Z309" s="2422"/>
      <c r="AA309" s="1555"/>
      <c r="AB309" s="1555"/>
      <c r="AC309" s="1555"/>
      <c r="AD309" s="1767"/>
      <c r="AE309" s="3182"/>
      <c r="AF309" s="3183"/>
      <c r="AG309" s="2904"/>
      <c r="AI309" s="1351"/>
    </row>
    <row r="310" spans="1:35" s="1350" customFormat="1">
      <c r="A310" s="1599"/>
      <c r="B310" s="1647"/>
      <c r="C310" s="2288"/>
      <c r="D310" s="1919"/>
      <c r="E310" s="2039"/>
      <c r="F310" s="2039"/>
      <c r="G310" s="2807"/>
      <c r="H310" s="1647"/>
      <c r="I310" s="1647"/>
      <c r="J310" s="3189"/>
      <c r="K310" s="3168"/>
      <c r="L310" s="3190"/>
      <c r="M310" s="3169"/>
      <c r="N310" s="3191"/>
      <c r="O310" s="1824"/>
      <c r="P310" s="3170"/>
      <c r="Q310" s="3170"/>
      <c r="R310" s="1824"/>
      <c r="S310" s="1824"/>
      <c r="T310" s="1647"/>
      <c r="U310" s="1555"/>
      <c r="V310" s="1555"/>
      <c r="W310" s="1555"/>
      <c r="X310" s="1555"/>
      <c r="Y310" s="2422"/>
      <c r="Z310" s="2422"/>
      <c r="AA310" s="1555"/>
      <c r="AB310" s="1555"/>
      <c r="AC310" s="1555"/>
      <c r="AD310" s="1767"/>
      <c r="AE310" s="3182"/>
      <c r="AF310" s="3183"/>
      <c r="AG310" s="2904"/>
      <c r="AI310" s="1351"/>
    </row>
    <row r="311" spans="1:35" s="1350" customFormat="1">
      <c r="A311" s="1599"/>
      <c r="B311" s="1647"/>
      <c r="C311" s="2288"/>
      <c r="D311" s="1919"/>
      <c r="E311" s="2039"/>
      <c r="F311" s="2039"/>
      <c r="G311" s="2807"/>
      <c r="H311" s="1647"/>
      <c r="I311" s="1647"/>
      <c r="J311" s="3189"/>
      <c r="K311" s="3168"/>
      <c r="L311" s="3190"/>
      <c r="M311" s="3169"/>
      <c r="N311" s="3191"/>
      <c r="O311" s="1824"/>
      <c r="P311" s="3170"/>
      <c r="Q311" s="3170"/>
      <c r="R311" s="1824"/>
      <c r="S311" s="1824"/>
      <c r="T311" s="1647"/>
      <c r="U311" s="1555"/>
      <c r="V311" s="1555"/>
      <c r="W311" s="1555"/>
      <c r="X311" s="1555"/>
      <c r="Y311" s="2422"/>
      <c r="Z311" s="2422"/>
      <c r="AA311" s="1555"/>
      <c r="AB311" s="1555"/>
      <c r="AC311" s="1555"/>
      <c r="AD311" s="1767"/>
      <c r="AE311" s="3182"/>
      <c r="AF311" s="3183"/>
      <c r="AG311" s="2904"/>
      <c r="AI311" s="1351"/>
    </row>
    <row r="312" spans="1:35" s="1350" customFormat="1">
      <c r="A312" s="1599"/>
      <c r="B312" s="1647"/>
      <c r="C312" s="2288"/>
      <c r="D312" s="1919"/>
      <c r="E312" s="2039"/>
      <c r="F312" s="2039"/>
      <c r="G312" s="2807"/>
      <c r="H312" s="1647"/>
      <c r="I312" s="1647"/>
      <c r="J312" s="3189"/>
      <c r="K312" s="3168"/>
      <c r="L312" s="3190"/>
      <c r="M312" s="3169"/>
      <c r="N312" s="3191"/>
      <c r="O312" s="1824"/>
      <c r="P312" s="3170"/>
      <c r="Q312" s="3170"/>
      <c r="R312" s="1824"/>
      <c r="S312" s="1824"/>
      <c r="T312" s="1647"/>
      <c r="U312" s="1555"/>
      <c r="V312" s="1555"/>
      <c r="W312" s="1555"/>
      <c r="X312" s="1555"/>
      <c r="Y312" s="2422"/>
      <c r="Z312" s="2422"/>
      <c r="AA312" s="1555"/>
      <c r="AB312" s="1555"/>
      <c r="AC312" s="1555"/>
      <c r="AD312" s="1767"/>
      <c r="AE312" s="3182"/>
      <c r="AF312" s="3183"/>
      <c r="AG312" s="2904"/>
      <c r="AI312" s="1351"/>
    </row>
    <row r="313" spans="1:35" s="1350" customFormat="1">
      <c r="A313" s="1599"/>
      <c r="B313" s="1647"/>
      <c r="C313" s="2288"/>
      <c r="D313" s="1919"/>
      <c r="E313" s="2039"/>
      <c r="F313" s="2039"/>
      <c r="G313" s="2807"/>
      <c r="H313" s="1647"/>
      <c r="I313" s="1647"/>
      <c r="J313" s="3189"/>
      <c r="K313" s="3168"/>
      <c r="L313" s="3190"/>
      <c r="M313" s="3169"/>
      <c r="N313" s="3191"/>
      <c r="O313" s="1824"/>
      <c r="P313" s="3170"/>
      <c r="Q313" s="3170"/>
      <c r="R313" s="1824"/>
      <c r="S313" s="1824"/>
      <c r="T313" s="1647"/>
      <c r="U313" s="1555"/>
      <c r="V313" s="1555"/>
      <c r="W313" s="1555"/>
      <c r="X313" s="1555"/>
      <c r="Y313" s="2422"/>
      <c r="Z313" s="2422"/>
      <c r="AA313" s="1555"/>
      <c r="AB313" s="1555"/>
      <c r="AC313" s="1555"/>
      <c r="AD313" s="1767"/>
      <c r="AE313" s="3182"/>
      <c r="AF313" s="3183"/>
      <c r="AG313" s="2904"/>
      <c r="AI313" s="1351"/>
    </row>
    <row r="314" spans="1:35" s="1350" customFormat="1">
      <c r="A314" s="1599"/>
      <c r="B314" s="1647"/>
      <c r="C314" s="2288"/>
      <c r="D314" s="1919"/>
      <c r="E314" s="2039"/>
      <c r="F314" s="2039"/>
      <c r="G314" s="2807"/>
      <c r="H314" s="1647"/>
      <c r="I314" s="1647"/>
      <c r="J314" s="3189"/>
      <c r="K314" s="3168"/>
      <c r="L314" s="3190"/>
      <c r="M314" s="3169"/>
      <c r="N314" s="3191"/>
      <c r="O314" s="1824"/>
      <c r="P314" s="3170"/>
      <c r="Q314" s="3170"/>
      <c r="R314" s="1824"/>
      <c r="S314" s="1824"/>
      <c r="T314" s="1647"/>
      <c r="U314" s="1555"/>
      <c r="V314" s="1555"/>
      <c r="W314" s="1555"/>
      <c r="X314" s="1555"/>
      <c r="Y314" s="2422"/>
      <c r="Z314" s="2422"/>
      <c r="AA314" s="1555"/>
      <c r="AB314" s="1555"/>
      <c r="AC314" s="1555"/>
      <c r="AD314" s="1767"/>
      <c r="AE314" s="3182"/>
      <c r="AF314" s="3183"/>
      <c r="AG314" s="2904"/>
      <c r="AI314" s="1351"/>
    </row>
    <row r="315" spans="1:35" s="1350" customFormat="1">
      <c r="A315" s="1599"/>
      <c r="B315" s="1647"/>
      <c r="C315" s="2288"/>
      <c r="D315" s="1919"/>
      <c r="E315" s="2039"/>
      <c r="F315" s="2039"/>
      <c r="G315" s="2807"/>
      <c r="H315" s="1647"/>
      <c r="I315" s="1647"/>
      <c r="J315" s="3189"/>
      <c r="K315" s="3168"/>
      <c r="L315" s="3190"/>
      <c r="M315" s="3169"/>
      <c r="N315" s="3191"/>
      <c r="O315" s="1824"/>
      <c r="P315" s="3170"/>
      <c r="Q315" s="3170"/>
      <c r="R315" s="1824"/>
      <c r="S315" s="1824"/>
      <c r="T315" s="1647"/>
      <c r="U315" s="1555"/>
      <c r="V315" s="1555"/>
      <c r="W315" s="1555"/>
      <c r="X315" s="1555"/>
      <c r="Y315" s="2422"/>
      <c r="Z315" s="2422"/>
      <c r="AA315" s="1555"/>
      <c r="AB315" s="1555"/>
      <c r="AC315" s="1555"/>
      <c r="AD315" s="1767"/>
      <c r="AE315" s="3182"/>
      <c r="AF315" s="3183"/>
      <c r="AG315" s="2904"/>
      <c r="AI315" s="1351"/>
    </row>
    <row r="316" spans="1:35" s="1350" customFormat="1">
      <c r="A316" s="1599"/>
      <c r="B316" s="1647"/>
      <c r="C316" s="2288"/>
      <c r="D316" s="1919"/>
      <c r="E316" s="2039"/>
      <c r="F316" s="2039"/>
      <c r="G316" s="2807"/>
      <c r="H316" s="1647"/>
      <c r="I316" s="1647"/>
      <c r="J316" s="3189"/>
      <c r="K316" s="3168"/>
      <c r="L316" s="3190"/>
      <c r="M316" s="3169"/>
      <c r="N316" s="3191"/>
      <c r="O316" s="1824"/>
      <c r="P316" s="3170"/>
      <c r="Q316" s="3170"/>
      <c r="R316" s="1824"/>
      <c r="S316" s="1824"/>
      <c r="T316" s="1647"/>
      <c r="U316" s="1555"/>
      <c r="V316" s="1555"/>
      <c r="W316" s="1555"/>
      <c r="X316" s="1555"/>
      <c r="Y316" s="2422"/>
      <c r="Z316" s="2422"/>
      <c r="AA316" s="1555"/>
      <c r="AB316" s="1555"/>
      <c r="AC316" s="1555"/>
      <c r="AD316" s="1767"/>
      <c r="AE316" s="3182"/>
      <c r="AF316" s="3183"/>
      <c r="AG316" s="2904"/>
      <c r="AI316" s="1351"/>
    </row>
    <row r="317" spans="1:35" s="1350" customFormat="1">
      <c r="A317" s="1599"/>
      <c r="B317" s="1647"/>
      <c r="C317" s="2288"/>
      <c r="D317" s="1919"/>
      <c r="E317" s="2039"/>
      <c r="F317" s="2039"/>
      <c r="G317" s="2807"/>
      <c r="H317" s="1647"/>
      <c r="I317" s="1647"/>
      <c r="J317" s="3189"/>
      <c r="K317" s="3168"/>
      <c r="L317" s="3190"/>
      <c r="M317" s="3169"/>
      <c r="N317" s="3191"/>
      <c r="O317" s="1824"/>
      <c r="P317" s="3170"/>
      <c r="Q317" s="3170"/>
      <c r="R317" s="1824"/>
      <c r="S317" s="1824"/>
      <c r="T317" s="1647"/>
      <c r="U317" s="1555"/>
      <c r="V317" s="1555"/>
      <c r="W317" s="1555"/>
      <c r="X317" s="1555"/>
      <c r="Y317" s="2422"/>
      <c r="Z317" s="2422"/>
      <c r="AA317" s="1555"/>
      <c r="AB317" s="1555"/>
      <c r="AC317" s="1555"/>
      <c r="AD317" s="1767"/>
      <c r="AE317" s="3182"/>
      <c r="AF317" s="3183"/>
      <c r="AG317" s="2904"/>
      <c r="AI317" s="1351"/>
    </row>
    <row r="318" spans="1:35" s="1350" customFormat="1">
      <c r="A318" s="1599"/>
      <c r="B318" s="1647"/>
      <c r="C318" s="2288"/>
      <c r="D318" s="1919"/>
      <c r="E318" s="2039"/>
      <c r="F318" s="2039"/>
      <c r="G318" s="2807"/>
      <c r="H318" s="1647"/>
      <c r="I318" s="1647"/>
      <c r="J318" s="3189"/>
      <c r="K318" s="3168"/>
      <c r="L318" s="3190"/>
      <c r="M318" s="3169"/>
      <c r="N318" s="3191"/>
      <c r="O318" s="1824"/>
      <c r="P318" s="3170"/>
      <c r="Q318" s="3170"/>
      <c r="R318" s="1824"/>
      <c r="S318" s="1824"/>
      <c r="T318" s="1647"/>
      <c r="U318" s="1555"/>
      <c r="V318" s="1555"/>
      <c r="W318" s="1555"/>
      <c r="X318" s="1555"/>
      <c r="Y318" s="2422"/>
      <c r="Z318" s="2422"/>
      <c r="AA318" s="1555"/>
      <c r="AB318" s="1555"/>
      <c r="AC318" s="1555"/>
      <c r="AD318" s="1767"/>
      <c r="AE318" s="3182"/>
      <c r="AF318" s="3183"/>
      <c r="AG318" s="2904"/>
      <c r="AI318" s="1351"/>
    </row>
    <row r="319" spans="1:35" s="1350" customFormat="1">
      <c r="A319" s="1599"/>
      <c r="B319" s="1647"/>
      <c r="C319" s="2288"/>
      <c r="D319" s="1919"/>
      <c r="E319" s="2039"/>
      <c r="F319" s="2039"/>
      <c r="G319" s="2807"/>
      <c r="H319" s="1647"/>
      <c r="I319" s="1647"/>
      <c r="J319" s="3189"/>
      <c r="K319" s="3168"/>
      <c r="L319" s="3190"/>
      <c r="M319" s="3169"/>
      <c r="N319" s="3191"/>
      <c r="O319" s="1824"/>
      <c r="P319" s="3170"/>
      <c r="Q319" s="3170"/>
      <c r="R319" s="1824"/>
      <c r="S319" s="1824"/>
      <c r="T319" s="1647"/>
      <c r="U319" s="1555"/>
      <c r="V319" s="1555"/>
      <c r="W319" s="1555"/>
      <c r="X319" s="1555"/>
      <c r="Y319" s="2422"/>
      <c r="Z319" s="2422"/>
      <c r="AA319" s="1555"/>
      <c r="AB319" s="1555"/>
      <c r="AC319" s="1555"/>
      <c r="AD319" s="1767"/>
      <c r="AE319" s="3182"/>
      <c r="AF319" s="3183"/>
      <c r="AG319" s="2904"/>
      <c r="AI319" s="1351"/>
    </row>
    <row r="320" spans="1:35" s="1350" customFormat="1">
      <c r="A320" s="1599"/>
      <c r="B320" s="1647"/>
      <c r="C320" s="2288"/>
      <c r="D320" s="1919"/>
      <c r="E320" s="2039"/>
      <c r="F320" s="2039"/>
      <c r="G320" s="2807"/>
      <c r="H320" s="1647"/>
      <c r="I320" s="1647"/>
      <c r="J320" s="3189"/>
      <c r="K320" s="3168"/>
      <c r="L320" s="3190"/>
      <c r="M320" s="3169"/>
      <c r="N320" s="3191"/>
      <c r="O320" s="1824"/>
      <c r="P320" s="3170"/>
      <c r="Q320" s="3170"/>
      <c r="R320" s="1824"/>
      <c r="S320" s="1824"/>
      <c r="T320" s="1647"/>
      <c r="U320" s="1555"/>
      <c r="V320" s="1555"/>
      <c r="W320" s="1555"/>
      <c r="X320" s="1555"/>
      <c r="Y320" s="2422"/>
      <c r="Z320" s="2422"/>
      <c r="AA320" s="1555"/>
      <c r="AB320" s="1555"/>
      <c r="AC320" s="1555"/>
      <c r="AD320" s="1767"/>
      <c r="AE320" s="3182"/>
      <c r="AF320" s="3183"/>
      <c r="AG320" s="2904"/>
      <c r="AI320" s="1351"/>
    </row>
    <row r="321" spans="1:35" s="1350" customFormat="1">
      <c r="A321" s="1599"/>
      <c r="B321" s="1647"/>
      <c r="C321" s="2288"/>
      <c r="D321" s="1919"/>
      <c r="E321" s="2039"/>
      <c r="F321" s="2039"/>
      <c r="G321" s="2807"/>
      <c r="H321" s="1647"/>
      <c r="I321" s="1647"/>
      <c r="J321" s="3189"/>
      <c r="K321" s="3168"/>
      <c r="L321" s="3190"/>
      <c r="M321" s="3169"/>
      <c r="N321" s="3191"/>
      <c r="O321" s="1824"/>
      <c r="P321" s="3170"/>
      <c r="Q321" s="3170"/>
      <c r="R321" s="1824"/>
      <c r="S321" s="1824"/>
      <c r="T321" s="1647"/>
      <c r="U321" s="1555"/>
      <c r="V321" s="1555"/>
      <c r="W321" s="1555"/>
      <c r="X321" s="1555"/>
      <c r="Y321" s="2422"/>
      <c r="Z321" s="2422"/>
      <c r="AA321" s="1555"/>
      <c r="AB321" s="1555"/>
      <c r="AC321" s="1555"/>
      <c r="AD321" s="1767"/>
      <c r="AE321" s="3182"/>
      <c r="AF321" s="3183"/>
      <c r="AG321" s="2904"/>
      <c r="AI321" s="1351"/>
    </row>
    <row r="322" spans="1:35" s="1350" customFormat="1">
      <c r="A322" s="1599"/>
      <c r="B322" s="1647"/>
      <c r="C322" s="2288"/>
      <c r="D322" s="1919"/>
      <c r="E322" s="2039"/>
      <c r="F322" s="2039"/>
      <c r="G322" s="2807"/>
      <c r="H322" s="1647"/>
      <c r="I322" s="1647"/>
      <c r="J322" s="3189"/>
      <c r="K322" s="3168"/>
      <c r="L322" s="3190"/>
      <c r="M322" s="3169"/>
      <c r="N322" s="3191"/>
      <c r="O322" s="1824"/>
      <c r="P322" s="3170"/>
      <c r="Q322" s="3170"/>
      <c r="R322" s="1824"/>
      <c r="S322" s="1824"/>
      <c r="T322" s="1647"/>
      <c r="U322" s="1555"/>
      <c r="V322" s="1555"/>
      <c r="W322" s="1555"/>
      <c r="X322" s="1555"/>
      <c r="Y322" s="2422"/>
      <c r="Z322" s="2422"/>
      <c r="AA322" s="1555"/>
      <c r="AB322" s="1555"/>
      <c r="AC322" s="1555"/>
      <c r="AD322" s="1767"/>
      <c r="AE322" s="3182"/>
      <c r="AF322" s="3183"/>
      <c r="AG322" s="2904"/>
      <c r="AI322" s="1351"/>
    </row>
    <row r="323" spans="1:35" s="1350" customFormat="1">
      <c r="A323" s="1599"/>
      <c r="B323" s="1647"/>
      <c r="C323" s="2288"/>
      <c r="D323" s="1919"/>
      <c r="E323" s="2039"/>
      <c r="F323" s="2039"/>
      <c r="G323" s="2807"/>
      <c r="H323" s="1647"/>
      <c r="I323" s="1647"/>
      <c r="J323" s="3189"/>
      <c r="K323" s="3168"/>
      <c r="L323" s="3190"/>
      <c r="M323" s="3169"/>
      <c r="N323" s="3191"/>
      <c r="O323" s="1824"/>
      <c r="P323" s="3170"/>
      <c r="Q323" s="3170"/>
      <c r="R323" s="1824"/>
      <c r="S323" s="1824"/>
      <c r="T323" s="1647"/>
      <c r="U323" s="1555"/>
      <c r="V323" s="1555"/>
      <c r="W323" s="1555"/>
      <c r="X323" s="1555"/>
      <c r="Y323" s="2422"/>
      <c r="Z323" s="2422"/>
      <c r="AA323" s="1555"/>
      <c r="AB323" s="1555"/>
      <c r="AC323" s="1555"/>
      <c r="AD323" s="1767"/>
      <c r="AE323" s="3182"/>
      <c r="AF323" s="3183"/>
      <c r="AG323" s="2904"/>
      <c r="AI323" s="1351"/>
    </row>
    <row r="324" spans="1:35" s="1350" customFormat="1">
      <c r="A324" s="1599"/>
      <c r="B324" s="1647"/>
      <c r="C324" s="2288"/>
      <c r="D324" s="1919"/>
      <c r="E324" s="2039"/>
      <c r="F324" s="2039"/>
      <c r="G324" s="2807"/>
      <c r="H324" s="1647"/>
      <c r="I324" s="1647"/>
      <c r="J324" s="3189"/>
      <c r="K324" s="3168"/>
      <c r="L324" s="3190"/>
      <c r="M324" s="3169"/>
      <c r="N324" s="3191"/>
      <c r="O324" s="1824"/>
      <c r="P324" s="3170"/>
      <c r="Q324" s="3170"/>
      <c r="R324" s="1824"/>
      <c r="S324" s="1824"/>
      <c r="T324" s="1647"/>
      <c r="U324" s="1555"/>
      <c r="V324" s="1555"/>
      <c r="W324" s="1555"/>
      <c r="X324" s="1555"/>
      <c r="Y324" s="2422"/>
      <c r="Z324" s="2422"/>
      <c r="AA324" s="1555"/>
      <c r="AB324" s="1555"/>
      <c r="AC324" s="1555"/>
      <c r="AD324" s="1767"/>
      <c r="AE324" s="3182"/>
      <c r="AF324" s="3183"/>
      <c r="AG324" s="2904"/>
      <c r="AI324" s="1351"/>
    </row>
    <row r="325" spans="1:35" s="1350" customFormat="1">
      <c r="A325" s="1599"/>
      <c r="B325" s="1647"/>
      <c r="C325" s="2288"/>
      <c r="D325" s="1919"/>
      <c r="E325" s="2039"/>
      <c r="F325" s="2039"/>
      <c r="G325" s="2807"/>
      <c r="H325" s="1647"/>
      <c r="I325" s="1647"/>
      <c r="J325" s="3189"/>
      <c r="K325" s="3168"/>
      <c r="L325" s="3190"/>
      <c r="M325" s="3169"/>
      <c r="N325" s="3191"/>
      <c r="O325" s="1824"/>
      <c r="P325" s="3170"/>
      <c r="Q325" s="3170"/>
      <c r="R325" s="1824"/>
      <c r="S325" s="1824"/>
      <c r="T325" s="1647"/>
      <c r="U325" s="1555"/>
      <c r="V325" s="1555"/>
      <c r="W325" s="1555"/>
      <c r="X325" s="1555"/>
      <c r="Y325" s="2422"/>
      <c r="Z325" s="2422"/>
      <c r="AA325" s="1555"/>
      <c r="AB325" s="1555"/>
      <c r="AC325" s="1555"/>
      <c r="AD325" s="1767"/>
      <c r="AE325" s="3182"/>
      <c r="AF325" s="3183"/>
      <c r="AG325" s="2904"/>
      <c r="AI325" s="1351"/>
    </row>
    <row r="326" spans="1:35" s="1350" customFormat="1">
      <c r="A326" s="1599"/>
      <c r="B326" s="1647"/>
      <c r="C326" s="2288"/>
      <c r="D326" s="1919"/>
      <c r="E326" s="2039"/>
      <c r="F326" s="2039"/>
      <c r="G326" s="2807"/>
      <c r="H326" s="1647"/>
      <c r="I326" s="1647"/>
      <c r="J326" s="3189"/>
      <c r="K326" s="3168"/>
      <c r="L326" s="3190"/>
      <c r="M326" s="3169"/>
      <c r="N326" s="3191"/>
      <c r="O326" s="1824"/>
      <c r="P326" s="3170"/>
      <c r="Q326" s="3170"/>
      <c r="R326" s="1824"/>
      <c r="S326" s="1824"/>
      <c r="T326" s="1647"/>
      <c r="U326" s="1555"/>
      <c r="V326" s="1555"/>
      <c r="W326" s="1555"/>
      <c r="X326" s="1555"/>
      <c r="Y326" s="2422"/>
      <c r="Z326" s="2422"/>
      <c r="AA326" s="1555"/>
      <c r="AB326" s="1555"/>
      <c r="AC326" s="1555"/>
      <c r="AD326" s="1767"/>
      <c r="AE326" s="3182"/>
      <c r="AF326" s="3183"/>
      <c r="AG326" s="2904"/>
      <c r="AI326" s="1351"/>
    </row>
    <row r="327" spans="1:35" s="1350" customFormat="1">
      <c r="A327" s="1599"/>
      <c r="B327" s="1647"/>
      <c r="C327" s="2288"/>
      <c r="D327" s="1919"/>
      <c r="E327" s="2039"/>
      <c r="F327" s="2039"/>
      <c r="G327" s="2807"/>
      <c r="H327" s="1647"/>
      <c r="I327" s="1647"/>
      <c r="J327" s="3189"/>
      <c r="K327" s="3168"/>
      <c r="L327" s="3190"/>
      <c r="M327" s="3169"/>
      <c r="N327" s="3191"/>
      <c r="O327" s="1824"/>
      <c r="P327" s="3170"/>
      <c r="Q327" s="3170"/>
      <c r="R327" s="1824"/>
      <c r="S327" s="1824"/>
      <c r="T327" s="1647"/>
      <c r="U327" s="1555"/>
      <c r="V327" s="1555"/>
      <c r="W327" s="1555"/>
      <c r="X327" s="1555"/>
      <c r="Y327" s="2422"/>
      <c r="Z327" s="2422"/>
      <c r="AA327" s="1555"/>
      <c r="AB327" s="1555"/>
      <c r="AC327" s="1555"/>
      <c r="AD327" s="1767"/>
      <c r="AE327" s="3182"/>
      <c r="AF327" s="3183"/>
      <c r="AG327" s="2904"/>
      <c r="AI327" s="1351"/>
    </row>
    <row r="328" spans="1:35" s="1350" customFormat="1">
      <c r="A328" s="1599"/>
      <c r="B328" s="1647"/>
      <c r="C328" s="2288"/>
      <c r="D328" s="1919"/>
      <c r="E328" s="2039"/>
      <c r="F328" s="2039"/>
      <c r="G328" s="2807"/>
      <c r="H328" s="1647"/>
      <c r="I328" s="1647"/>
      <c r="J328" s="3189"/>
      <c r="K328" s="3168"/>
      <c r="L328" s="3190"/>
      <c r="M328" s="3169"/>
      <c r="N328" s="3191"/>
      <c r="O328" s="1824"/>
      <c r="P328" s="3170"/>
      <c r="Q328" s="3170"/>
      <c r="R328" s="1824"/>
      <c r="S328" s="1824"/>
      <c r="T328" s="1647"/>
      <c r="U328" s="1555"/>
      <c r="V328" s="1555"/>
      <c r="W328" s="1555"/>
      <c r="X328" s="1555"/>
      <c r="Y328" s="2422"/>
      <c r="Z328" s="2422"/>
      <c r="AA328" s="1555"/>
      <c r="AB328" s="1555"/>
      <c r="AC328" s="1555"/>
      <c r="AD328" s="1767"/>
      <c r="AE328" s="3182"/>
      <c r="AF328" s="3183"/>
      <c r="AG328" s="2904"/>
      <c r="AI328" s="1351"/>
    </row>
    <row r="329" spans="1:35" s="1350" customFormat="1">
      <c r="A329" s="1599"/>
      <c r="B329" s="1647"/>
      <c r="C329" s="2288"/>
      <c r="D329" s="1919"/>
      <c r="E329" s="2039"/>
      <c r="F329" s="2039"/>
      <c r="G329" s="2807"/>
      <c r="H329" s="1647"/>
      <c r="I329" s="1647"/>
      <c r="J329" s="3189"/>
      <c r="K329" s="3168"/>
      <c r="L329" s="3190"/>
      <c r="M329" s="3169"/>
      <c r="N329" s="3191"/>
      <c r="O329" s="1824"/>
      <c r="P329" s="3170"/>
      <c r="Q329" s="3170"/>
      <c r="R329" s="1824"/>
      <c r="S329" s="1824"/>
      <c r="T329" s="1647"/>
      <c r="U329" s="1555"/>
      <c r="V329" s="1555"/>
      <c r="W329" s="1555"/>
      <c r="X329" s="1555"/>
      <c r="Y329" s="2422"/>
      <c r="Z329" s="2422"/>
      <c r="AA329" s="1555"/>
      <c r="AB329" s="1555"/>
      <c r="AC329" s="1555"/>
      <c r="AD329" s="1767"/>
      <c r="AE329" s="3182"/>
      <c r="AF329" s="3183"/>
      <c r="AG329" s="2904"/>
      <c r="AI329" s="1351"/>
    </row>
    <row r="330" spans="1:35" s="1350" customFormat="1">
      <c r="A330" s="1599"/>
      <c r="B330" s="1647"/>
      <c r="C330" s="2288"/>
      <c r="D330" s="1919"/>
      <c r="E330" s="2039"/>
      <c r="F330" s="2039"/>
      <c r="G330" s="2807"/>
      <c r="H330" s="1647"/>
      <c r="I330" s="1647"/>
      <c r="J330" s="3189"/>
      <c r="K330" s="3168"/>
      <c r="L330" s="3190"/>
      <c r="M330" s="3169"/>
      <c r="N330" s="3191"/>
      <c r="O330" s="1824"/>
      <c r="P330" s="3170"/>
      <c r="Q330" s="3170"/>
      <c r="R330" s="1824"/>
      <c r="S330" s="1824"/>
      <c r="T330" s="1647"/>
      <c r="U330" s="1555"/>
      <c r="V330" s="1555"/>
      <c r="W330" s="1555"/>
      <c r="X330" s="1555"/>
      <c r="Y330" s="2422"/>
      <c r="Z330" s="2422"/>
      <c r="AA330" s="1555"/>
      <c r="AB330" s="1555"/>
      <c r="AC330" s="1555"/>
      <c r="AD330" s="1767"/>
      <c r="AE330" s="3182"/>
      <c r="AF330" s="3183"/>
      <c r="AG330" s="2904"/>
      <c r="AI330" s="1351"/>
    </row>
    <row r="331" spans="1:35" s="1350" customFormat="1">
      <c r="A331" s="1599"/>
      <c r="B331" s="1647"/>
      <c r="C331" s="2288"/>
      <c r="D331" s="1919"/>
      <c r="E331" s="2039"/>
      <c r="F331" s="2039"/>
      <c r="G331" s="2807"/>
      <c r="H331" s="1647"/>
      <c r="I331" s="1647"/>
      <c r="J331" s="3189"/>
      <c r="K331" s="3168"/>
      <c r="L331" s="3190"/>
      <c r="M331" s="3169"/>
      <c r="N331" s="3191"/>
      <c r="O331" s="1824"/>
      <c r="P331" s="3170"/>
      <c r="Q331" s="3170"/>
      <c r="R331" s="1824"/>
      <c r="S331" s="1824"/>
      <c r="T331" s="1647"/>
      <c r="U331" s="1555"/>
      <c r="V331" s="1555"/>
      <c r="W331" s="1555"/>
      <c r="X331" s="1555"/>
      <c r="Y331" s="2422"/>
      <c r="Z331" s="2422"/>
      <c r="AA331" s="1555"/>
      <c r="AB331" s="1555"/>
      <c r="AC331" s="1555"/>
      <c r="AD331" s="1767"/>
      <c r="AE331" s="3182"/>
      <c r="AF331" s="3183"/>
      <c r="AG331" s="2904"/>
      <c r="AI331" s="1351"/>
    </row>
    <row r="332" spans="1:35" s="1350" customFormat="1">
      <c r="A332" s="1599"/>
      <c r="B332" s="1647"/>
      <c r="C332" s="2288"/>
      <c r="D332" s="1919"/>
      <c r="E332" s="2039"/>
      <c r="F332" s="2039"/>
      <c r="G332" s="2807"/>
      <c r="H332" s="1647"/>
      <c r="I332" s="1647"/>
      <c r="J332" s="3189"/>
      <c r="K332" s="3168"/>
      <c r="L332" s="3190"/>
      <c r="M332" s="3169"/>
      <c r="N332" s="3191"/>
      <c r="O332" s="1824"/>
      <c r="P332" s="3170"/>
      <c r="Q332" s="3170"/>
      <c r="R332" s="1824"/>
      <c r="S332" s="1824"/>
      <c r="T332" s="1647"/>
      <c r="U332" s="1555"/>
      <c r="V332" s="1555"/>
      <c r="W332" s="1555"/>
      <c r="X332" s="1555"/>
      <c r="Y332" s="2422"/>
      <c r="Z332" s="2422"/>
      <c r="AA332" s="1555"/>
      <c r="AB332" s="1555"/>
      <c r="AC332" s="1555"/>
      <c r="AD332" s="1767"/>
      <c r="AE332" s="3182"/>
      <c r="AF332" s="3183"/>
      <c r="AG332" s="2904"/>
      <c r="AI332" s="1351"/>
    </row>
    <row r="333" spans="1:35" s="1350" customFormat="1">
      <c r="A333" s="1599"/>
      <c r="B333" s="1647"/>
      <c r="C333" s="2288"/>
      <c r="D333" s="1919"/>
      <c r="E333" s="2039"/>
      <c r="F333" s="2039"/>
      <c r="G333" s="2807"/>
      <c r="H333" s="1647"/>
      <c r="I333" s="1647"/>
      <c r="J333" s="3189"/>
      <c r="K333" s="3168"/>
      <c r="L333" s="3190"/>
      <c r="M333" s="3169"/>
      <c r="N333" s="3191"/>
      <c r="O333" s="1824"/>
      <c r="P333" s="3170"/>
      <c r="Q333" s="3170"/>
      <c r="R333" s="1824"/>
      <c r="S333" s="1824"/>
      <c r="T333" s="1647"/>
      <c r="U333" s="1555"/>
      <c r="V333" s="1555"/>
      <c r="W333" s="1555"/>
      <c r="X333" s="1555"/>
      <c r="Y333" s="2422"/>
      <c r="Z333" s="2422"/>
      <c r="AA333" s="1555"/>
      <c r="AB333" s="1555"/>
      <c r="AC333" s="1555"/>
      <c r="AD333" s="1767"/>
      <c r="AE333" s="3182"/>
      <c r="AF333" s="3183"/>
      <c r="AG333" s="2904"/>
      <c r="AI333" s="1351"/>
    </row>
    <row r="334" spans="1:35" s="1350" customFormat="1">
      <c r="A334" s="1599"/>
      <c r="B334" s="1647"/>
      <c r="C334" s="2288"/>
      <c r="D334" s="1919"/>
      <c r="E334" s="2039"/>
      <c r="F334" s="2039"/>
      <c r="G334" s="2807"/>
      <c r="H334" s="1647"/>
      <c r="I334" s="1647"/>
      <c r="J334" s="3189"/>
      <c r="K334" s="3168"/>
      <c r="L334" s="3190"/>
      <c r="M334" s="3169"/>
      <c r="N334" s="3191"/>
      <c r="O334" s="1824"/>
      <c r="P334" s="3170"/>
      <c r="Q334" s="3170"/>
      <c r="R334" s="1824"/>
      <c r="S334" s="1824"/>
      <c r="T334" s="1647"/>
      <c r="U334" s="1555"/>
      <c r="V334" s="1555"/>
      <c r="W334" s="1555"/>
      <c r="X334" s="1555"/>
      <c r="Y334" s="2422"/>
      <c r="Z334" s="2422"/>
      <c r="AA334" s="1555"/>
      <c r="AB334" s="1555"/>
      <c r="AC334" s="1555"/>
      <c r="AD334" s="1767"/>
      <c r="AE334" s="3182"/>
      <c r="AF334" s="3183"/>
      <c r="AG334" s="2904"/>
      <c r="AI334" s="1351"/>
    </row>
    <row r="335" spans="1:35" s="1350" customFormat="1">
      <c r="A335" s="1599"/>
      <c r="B335" s="1647"/>
      <c r="C335" s="2288"/>
      <c r="D335" s="1919"/>
      <c r="E335" s="2039"/>
      <c r="F335" s="2039"/>
      <c r="G335" s="2807"/>
      <c r="H335" s="1647"/>
      <c r="I335" s="1647"/>
      <c r="J335" s="3189"/>
      <c r="K335" s="3168"/>
      <c r="L335" s="3190"/>
      <c r="M335" s="3169"/>
      <c r="N335" s="3191"/>
      <c r="O335" s="1824"/>
      <c r="P335" s="3170"/>
      <c r="Q335" s="3170"/>
      <c r="R335" s="1824"/>
      <c r="S335" s="1824"/>
      <c r="T335" s="1647"/>
      <c r="U335" s="1555"/>
      <c r="V335" s="1555"/>
      <c r="W335" s="1555"/>
      <c r="X335" s="1555"/>
      <c r="Y335" s="2422"/>
      <c r="Z335" s="2422"/>
      <c r="AA335" s="1555"/>
      <c r="AB335" s="1555"/>
      <c r="AC335" s="1555"/>
      <c r="AD335" s="1767"/>
      <c r="AE335" s="3182"/>
      <c r="AF335" s="3183"/>
      <c r="AG335" s="2904"/>
      <c r="AI335" s="1351"/>
    </row>
    <row r="336" spans="1:35" s="1350" customFormat="1">
      <c r="A336" s="1599"/>
      <c r="B336" s="1647"/>
      <c r="C336" s="2288"/>
      <c r="D336" s="1919"/>
      <c r="E336" s="2039"/>
      <c r="F336" s="2039"/>
      <c r="G336" s="2807"/>
      <c r="H336" s="1647"/>
      <c r="I336" s="1647"/>
      <c r="J336" s="3189"/>
      <c r="K336" s="3168"/>
      <c r="L336" s="3190"/>
      <c r="M336" s="3169"/>
      <c r="N336" s="3191"/>
      <c r="O336" s="1824"/>
      <c r="P336" s="3170"/>
      <c r="Q336" s="3170"/>
      <c r="R336" s="1824"/>
      <c r="S336" s="1824"/>
      <c r="T336" s="1647"/>
      <c r="U336" s="1555"/>
      <c r="V336" s="1555"/>
      <c r="W336" s="1555"/>
      <c r="X336" s="1555"/>
      <c r="Y336" s="2422"/>
      <c r="Z336" s="2422"/>
      <c r="AA336" s="1555"/>
      <c r="AB336" s="1555"/>
      <c r="AC336" s="1555"/>
      <c r="AD336" s="1767"/>
      <c r="AE336" s="3182"/>
      <c r="AF336" s="3183"/>
      <c r="AG336" s="2904"/>
      <c r="AI336" s="1351"/>
    </row>
    <row r="337" spans="1:35" s="1350" customFormat="1">
      <c r="A337" s="1599"/>
      <c r="B337" s="1647"/>
      <c r="C337" s="2288"/>
      <c r="D337" s="1919"/>
      <c r="E337" s="2039"/>
      <c r="F337" s="2039"/>
      <c r="G337" s="2807"/>
      <c r="H337" s="1647"/>
      <c r="I337" s="1647"/>
      <c r="J337" s="3189"/>
      <c r="K337" s="3168"/>
      <c r="L337" s="3190"/>
      <c r="M337" s="3169"/>
      <c r="N337" s="3191"/>
      <c r="O337" s="1824"/>
      <c r="P337" s="3170"/>
      <c r="Q337" s="3170"/>
      <c r="R337" s="1824"/>
      <c r="S337" s="1824"/>
      <c r="T337" s="1647"/>
      <c r="U337" s="1555"/>
      <c r="V337" s="1555"/>
      <c r="W337" s="1555"/>
      <c r="X337" s="1555"/>
      <c r="Y337" s="2422"/>
      <c r="Z337" s="2422"/>
      <c r="AA337" s="1555"/>
      <c r="AB337" s="1555"/>
      <c r="AC337" s="1555"/>
      <c r="AD337" s="1767"/>
      <c r="AE337" s="3182"/>
      <c r="AF337" s="3183"/>
      <c r="AG337" s="2904"/>
      <c r="AI337" s="1351"/>
    </row>
    <row r="338" spans="1:35" s="1350" customFormat="1">
      <c r="A338" s="1599"/>
      <c r="B338" s="1647"/>
      <c r="C338" s="2288"/>
      <c r="D338" s="1919"/>
      <c r="E338" s="2039"/>
      <c r="F338" s="2039"/>
      <c r="G338" s="2807"/>
      <c r="H338" s="1647"/>
      <c r="I338" s="1647"/>
      <c r="J338" s="3189"/>
      <c r="K338" s="3168"/>
      <c r="L338" s="3190"/>
      <c r="M338" s="3169"/>
      <c r="N338" s="3191"/>
      <c r="O338" s="1824"/>
      <c r="P338" s="3170"/>
      <c r="Q338" s="3170"/>
      <c r="R338" s="1824"/>
      <c r="S338" s="1824"/>
      <c r="T338" s="1647"/>
      <c r="U338" s="1555"/>
      <c r="V338" s="1555"/>
      <c r="W338" s="1555"/>
      <c r="X338" s="1555"/>
      <c r="Y338" s="2422"/>
      <c r="Z338" s="2422"/>
      <c r="AA338" s="1555"/>
      <c r="AB338" s="1555"/>
      <c r="AC338" s="1555"/>
      <c r="AD338" s="1767"/>
      <c r="AE338" s="3182"/>
      <c r="AF338" s="3183"/>
      <c r="AG338" s="2904"/>
      <c r="AI338" s="1351"/>
    </row>
    <row r="339" spans="1:35" s="1350" customFormat="1">
      <c r="A339" s="1599"/>
      <c r="B339" s="1647"/>
      <c r="C339" s="2288"/>
      <c r="D339" s="1919"/>
      <c r="E339" s="2039"/>
      <c r="F339" s="2039"/>
      <c r="G339" s="2807"/>
      <c r="H339" s="1647"/>
      <c r="I339" s="1647"/>
      <c r="J339" s="3189"/>
      <c r="K339" s="3168"/>
      <c r="L339" s="3190"/>
      <c r="M339" s="3169"/>
      <c r="N339" s="3191"/>
      <c r="O339" s="1824"/>
      <c r="P339" s="3170"/>
      <c r="Q339" s="3170"/>
      <c r="R339" s="1824"/>
      <c r="S339" s="1824"/>
      <c r="T339" s="1647"/>
      <c r="U339" s="1555"/>
      <c r="V339" s="1555"/>
      <c r="W339" s="1555"/>
      <c r="X339" s="1555"/>
      <c r="Y339" s="2422"/>
      <c r="Z339" s="2422"/>
      <c r="AA339" s="1555"/>
      <c r="AB339" s="1555"/>
      <c r="AC339" s="1555"/>
      <c r="AD339" s="1767"/>
      <c r="AE339" s="3182"/>
      <c r="AF339" s="3183"/>
      <c r="AG339" s="2904"/>
      <c r="AI339" s="1351"/>
    </row>
    <row r="340" spans="1:35" s="1350" customFormat="1">
      <c r="A340" s="1599"/>
      <c r="B340" s="1647"/>
      <c r="C340" s="2288"/>
      <c r="D340" s="1919"/>
      <c r="E340" s="2039"/>
      <c r="F340" s="2039"/>
      <c r="G340" s="2807"/>
      <c r="H340" s="1647"/>
      <c r="I340" s="1647"/>
      <c r="J340" s="3189"/>
      <c r="K340" s="3168"/>
      <c r="L340" s="3190"/>
      <c r="M340" s="3169"/>
      <c r="N340" s="3191"/>
      <c r="O340" s="1824"/>
      <c r="P340" s="3170"/>
      <c r="Q340" s="3170"/>
      <c r="R340" s="1824"/>
      <c r="S340" s="1824"/>
      <c r="T340" s="1647"/>
      <c r="U340" s="1555"/>
      <c r="V340" s="1555"/>
      <c r="W340" s="1555"/>
      <c r="X340" s="1555"/>
      <c r="Y340" s="2422"/>
      <c r="Z340" s="2422"/>
      <c r="AA340" s="1555"/>
      <c r="AB340" s="1555"/>
      <c r="AC340" s="1555"/>
      <c r="AD340" s="1767"/>
      <c r="AE340" s="3182"/>
      <c r="AF340" s="3183"/>
      <c r="AG340" s="2904"/>
      <c r="AI340" s="1351"/>
    </row>
    <row r="341" spans="1:35" s="1350" customFormat="1">
      <c r="A341" s="1599"/>
      <c r="B341" s="1647"/>
      <c r="C341" s="2288"/>
      <c r="D341" s="1919"/>
      <c r="E341" s="2039"/>
      <c r="F341" s="2039"/>
      <c r="G341" s="2807"/>
      <c r="H341" s="1647"/>
      <c r="I341" s="1647"/>
      <c r="J341" s="3189"/>
      <c r="K341" s="3168"/>
      <c r="L341" s="3190"/>
      <c r="M341" s="3169"/>
      <c r="N341" s="3191"/>
      <c r="O341" s="1824"/>
      <c r="P341" s="3170"/>
      <c r="Q341" s="3170"/>
      <c r="R341" s="1824"/>
      <c r="S341" s="1824"/>
      <c r="T341" s="1647"/>
      <c r="U341" s="1555"/>
      <c r="V341" s="1555"/>
      <c r="W341" s="1555"/>
      <c r="X341" s="1555"/>
      <c r="Y341" s="2422"/>
      <c r="Z341" s="2422"/>
      <c r="AA341" s="1555"/>
      <c r="AB341" s="1555"/>
      <c r="AC341" s="1555"/>
      <c r="AD341" s="1767"/>
      <c r="AE341" s="3182"/>
      <c r="AF341" s="3183"/>
      <c r="AG341" s="2904"/>
      <c r="AI341" s="1351"/>
    </row>
    <row r="342" spans="1:35" s="1350" customFormat="1">
      <c r="A342" s="1599"/>
      <c r="B342" s="1647"/>
      <c r="C342" s="2288"/>
      <c r="D342" s="1919"/>
      <c r="E342" s="2039"/>
      <c r="F342" s="2039"/>
      <c r="G342" s="2807"/>
      <c r="H342" s="1647"/>
      <c r="I342" s="1647"/>
      <c r="J342" s="3189"/>
      <c r="K342" s="3168"/>
      <c r="L342" s="3190"/>
      <c r="M342" s="3169"/>
      <c r="N342" s="3191"/>
      <c r="O342" s="1824"/>
      <c r="P342" s="3170"/>
      <c r="Q342" s="3170"/>
      <c r="R342" s="1824"/>
      <c r="S342" s="1824"/>
      <c r="T342" s="1647"/>
      <c r="U342" s="1555"/>
      <c r="V342" s="1555"/>
      <c r="W342" s="1555"/>
      <c r="X342" s="1555"/>
      <c r="Y342" s="2422"/>
      <c r="Z342" s="2422"/>
      <c r="AA342" s="1555"/>
      <c r="AB342" s="1555"/>
      <c r="AC342" s="1555"/>
      <c r="AD342" s="1767"/>
      <c r="AE342" s="3182"/>
      <c r="AF342" s="3183"/>
      <c r="AG342" s="2904"/>
      <c r="AI342" s="1351"/>
    </row>
    <row r="343" spans="1:35" s="1350" customFormat="1">
      <c r="A343" s="1599"/>
      <c r="B343" s="1647"/>
      <c r="C343" s="2288"/>
      <c r="D343" s="1919"/>
      <c r="E343" s="2039"/>
      <c r="F343" s="2039"/>
      <c r="G343" s="2807"/>
      <c r="H343" s="1647"/>
      <c r="I343" s="1647"/>
      <c r="J343" s="3189"/>
      <c r="K343" s="3168"/>
      <c r="L343" s="3190"/>
      <c r="M343" s="3169"/>
      <c r="N343" s="3191"/>
      <c r="O343" s="1824"/>
      <c r="P343" s="3170"/>
      <c r="Q343" s="3170"/>
      <c r="R343" s="1824"/>
      <c r="S343" s="1824"/>
      <c r="T343" s="1647"/>
      <c r="U343" s="1555"/>
      <c r="V343" s="1555"/>
      <c r="W343" s="1555"/>
      <c r="X343" s="1555"/>
      <c r="Y343" s="2422"/>
      <c r="Z343" s="2422"/>
      <c r="AA343" s="1555"/>
      <c r="AB343" s="1555"/>
      <c r="AC343" s="1555"/>
      <c r="AD343" s="1767"/>
      <c r="AE343" s="3182"/>
      <c r="AF343" s="3183"/>
      <c r="AG343" s="2904"/>
      <c r="AI343" s="1351"/>
    </row>
    <row r="344" spans="1:35" s="1350" customFormat="1">
      <c r="A344" s="1599"/>
      <c r="B344" s="1647"/>
      <c r="C344" s="2288"/>
      <c r="D344" s="1919"/>
      <c r="E344" s="2039"/>
      <c r="F344" s="2039"/>
      <c r="G344" s="2807"/>
      <c r="H344" s="1647"/>
      <c r="I344" s="1647"/>
      <c r="J344" s="3189"/>
      <c r="K344" s="3168"/>
      <c r="L344" s="3190"/>
      <c r="M344" s="3169"/>
      <c r="N344" s="3191"/>
      <c r="O344" s="1824"/>
      <c r="P344" s="3170"/>
      <c r="Q344" s="3170"/>
      <c r="R344" s="1824"/>
      <c r="S344" s="1824"/>
      <c r="T344" s="1647"/>
      <c r="U344" s="1555"/>
      <c r="V344" s="1555"/>
      <c r="W344" s="1555"/>
      <c r="X344" s="1555"/>
      <c r="Y344" s="2422"/>
      <c r="Z344" s="2422"/>
      <c r="AA344" s="1555"/>
      <c r="AB344" s="1555"/>
      <c r="AC344" s="1555"/>
      <c r="AD344" s="1767"/>
      <c r="AE344" s="3182"/>
      <c r="AF344" s="3183"/>
      <c r="AG344" s="2904"/>
      <c r="AI344" s="1351"/>
    </row>
    <row r="345" spans="1:35" s="1350" customFormat="1">
      <c r="A345" s="1599"/>
      <c r="B345" s="1647"/>
      <c r="C345" s="2288"/>
      <c r="D345" s="1919"/>
      <c r="E345" s="2039"/>
      <c r="F345" s="2039"/>
      <c r="G345" s="2807"/>
      <c r="H345" s="1647"/>
      <c r="I345" s="1647"/>
      <c r="J345" s="3189"/>
      <c r="K345" s="3168"/>
      <c r="L345" s="3190"/>
      <c r="M345" s="3169"/>
      <c r="N345" s="3191"/>
      <c r="O345" s="1824"/>
      <c r="P345" s="3170"/>
      <c r="Q345" s="3170"/>
      <c r="R345" s="1824"/>
      <c r="S345" s="1824"/>
      <c r="T345" s="1647"/>
      <c r="U345" s="1555"/>
      <c r="V345" s="1555"/>
      <c r="W345" s="1555"/>
      <c r="X345" s="1555"/>
      <c r="Y345" s="2422"/>
      <c r="Z345" s="2422"/>
      <c r="AA345" s="1555"/>
      <c r="AB345" s="1555"/>
      <c r="AC345" s="1555"/>
      <c r="AD345" s="1767"/>
      <c r="AE345" s="3182"/>
      <c r="AF345" s="3183"/>
      <c r="AG345" s="2904"/>
      <c r="AI345" s="1351"/>
    </row>
    <row r="346" spans="1:35" s="1350" customFormat="1">
      <c r="A346" s="1599"/>
      <c r="B346" s="1647"/>
      <c r="C346" s="2288"/>
      <c r="D346" s="1919"/>
      <c r="E346" s="2039"/>
      <c r="F346" s="2039"/>
      <c r="G346" s="2807"/>
      <c r="H346" s="1647"/>
      <c r="I346" s="1647"/>
      <c r="J346" s="3189"/>
      <c r="K346" s="3168"/>
      <c r="L346" s="3190"/>
      <c r="M346" s="3169"/>
      <c r="N346" s="3191"/>
      <c r="O346" s="1824"/>
      <c r="P346" s="3170"/>
      <c r="Q346" s="3170"/>
      <c r="R346" s="1824"/>
      <c r="S346" s="1824"/>
      <c r="T346" s="1647"/>
      <c r="U346" s="1555"/>
      <c r="V346" s="1555"/>
      <c r="W346" s="1555"/>
      <c r="X346" s="1555"/>
      <c r="Y346" s="2422"/>
      <c r="Z346" s="2422"/>
      <c r="AA346" s="1555"/>
      <c r="AB346" s="1555"/>
      <c r="AC346" s="1555"/>
      <c r="AD346" s="1767"/>
      <c r="AE346" s="3182"/>
      <c r="AF346" s="3183"/>
      <c r="AG346" s="2904"/>
      <c r="AI346" s="1351"/>
    </row>
  </sheetData>
  <mergeCells count="216">
    <mergeCell ref="N154:O154"/>
    <mergeCell ref="A151:O151"/>
    <mergeCell ref="AD145:AD148"/>
    <mergeCell ref="A134:O134"/>
    <mergeCell ref="P155:P159"/>
    <mergeCell ref="R155:R159"/>
    <mergeCell ref="E145:E148"/>
    <mergeCell ref="R145:R148"/>
    <mergeCell ref="P145:P148"/>
    <mergeCell ref="B145:B148"/>
    <mergeCell ref="K145:K148"/>
    <mergeCell ref="F145:F148"/>
    <mergeCell ref="F138:F139"/>
    <mergeCell ref="B138:B139"/>
    <mergeCell ref="P138:P139"/>
    <mergeCell ref="F140:F141"/>
    <mergeCell ref="B140:B141"/>
    <mergeCell ref="K140:K141"/>
    <mergeCell ref="P140:P141"/>
    <mergeCell ref="E138:E139"/>
    <mergeCell ref="A37:O37"/>
    <mergeCell ref="A1:K1"/>
    <mergeCell ref="A3:R3"/>
    <mergeCell ref="D4:L4"/>
    <mergeCell ref="P8:P10"/>
    <mergeCell ref="K8:K10"/>
    <mergeCell ref="B8:B10"/>
    <mergeCell ref="F8:F10"/>
    <mergeCell ref="E8:E10"/>
    <mergeCell ref="R27:R29"/>
    <mergeCell ref="P27:P29"/>
    <mergeCell ref="P24:P26"/>
    <mergeCell ref="K24:K26"/>
    <mergeCell ref="P16:P18"/>
    <mergeCell ref="R24:R26"/>
    <mergeCell ref="K11:K13"/>
    <mergeCell ref="R16:R18"/>
    <mergeCell ref="A6:K6"/>
    <mergeCell ref="P11:P13"/>
    <mergeCell ref="R11:R13"/>
    <mergeCell ref="P14:P15"/>
    <mergeCell ref="R14:R15"/>
    <mergeCell ref="E14:E15"/>
    <mergeCell ref="B24:B26"/>
    <mergeCell ref="P50:P54"/>
    <mergeCell ref="B50:B51"/>
    <mergeCell ref="R57:R59"/>
    <mergeCell ref="K16:K18"/>
    <mergeCell ref="A67:O67"/>
    <mergeCell ref="E140:E141"/>
    <mergeCell ref="F142:F144"/>
    <mergeCell ref="K142:K144"/>
    <mergeCell ref="P142:P144"/>
    <mergeCell ref="B142:B144"/>
    <mergeCell ref="M86:O86"/>
    <mergeCell ref="E80:E85"/>
    <mergeCell ref="N65:O65"/>
    <mergeCell ref="F68:F73"/>
    <mergeCell ref="K80:K85"/>
    <mergeCell ref="K68:K73"/>
    <mergeCell ref="B57:B59"/>
    <mergeCell ref="R19:R22"/>
    <mergeCell ref="P57:P59"/>
    <mergeCell ref="P19:P22"/>
    <mergeCell ref="B19:B22"/>
    <mergeCell ref="B80:B85"/>
    <mergeCell ref="R68:R73"/>
    <mergeCell ref="R74:R76"/>
    <mergeCell ref="A32:O32"/>
    <mergeCell ref="E38:E39"/>
    <mergeCell ref="T42:T43"/>
    <mergeCell ref="T47:T49"/>
    <mergeCell ref="R42:R43"/>
    <mergeCell ref="T44:T46"/>
    <mergeCell ref="T50:T54"/>
    <mergeCell ref="R50:R54"/>
    <mergeCell ref="R44:R46"/>
    <mergeCell ref="R47:R49"/>
    <mergeCell ref="B47:B49"/>
    <mergeCell ref="K47:K49"/>
    <mergeCell ref="B44:B46"/>
    <mergeCell ref="F47:F49"/>
    <mergeCell ref="I44:I46"/>
    <mergeCell ref="E44:E46"/>
    <mergeCell ref="F42:F43"/>
    <mergeCell ref="B42:B43"/>
    <mergeCell ref="F44:F46"/>
    <mergeCell ref="K44:K46"/>
    <mergeCell ref="I42:I43"/>
    <mergeCell ref="P42:P43"/>
    <mergeCell ref="P44:P46"/>
    <mergeCell ref="P47:P49"/>
    <mergeCell ref="B11:B13"/>
    <mergeCell ref="F27:F29"/>
    <mergeCell ref="K27:K29"/>
    <mergeCell ref="E16:E18"/>
    <mergeCell ref="E19:E22"/>
    <mergeCell ref="E24:E26"/>
    <mergeCell ref="E11:E13"/>
    <mergeCell ref="F11:F13"/>
    <mergeCell ref="F19:F22"/>
    <mergeCell ref="K19:K22"/>
    <mergeCell ref="B27:B29"/>
    <mergeCell ref="F24:F26"/>
    <mergeCell ref="B16:B18"/>
    <mergeCell ref="B14:B15"/>
    <mergeCell ref="F14:F15"/>
    <mergeCell ref="K14:K15"/>
    <mergeCell ref="F16:F18"/>
    <mergeCell ref="E27:E29"/>
    <mergeCell ref="F50:F54"/>
    <mergeCell ref="E42:E43"/>
    <mergeCell ref="F96:F99"/>
    <mergeCell ref="K96:K99"/>
    <mergeCell ref="P96:P99"/>
    <mergeCell ref="B52:B54"/>
    <mergeCell ref="E50:E54"/>
    <mergeCell ref="I50:I54"/>
    <mergeCell ref="K50:K54"/>
    <mergeCell ref="E57:E59"/>
    <mergeCell ref="N55:O55"/>
    <mergeCell ref="K57:K59"/>
    <mergeCell ref="F57:F59"/>
    <mergeCell ref="K87:K88"/>
    <mergeCell ref="P87:P88"/>
    <mergeCell ref="B87:B88"/>
    <mergeCell ref="E87:E88"/>
    <mergeCell ref="F80:F85"/>
    <mergeCell ref="B74:B76"/>
    <mergeCell ref="K74:K76"/>
    <mergeCell ref="A60:O60"/>
    <mergeCell ref="K42:K43"/>
    <mergeCell ref="I47:I49"/>
    <mergeCell ref="E47:E49"/>
    <mergeCell ref="A101:O101"/>
    <mergeCell ref="E96:E99"/>
    <mergeCell ref="B68:B73"/>
    <mergeCell ref="P68:P73"/>
    <mergeCell ref="N95:O95"/>
    <mergeCell ref="F87:F88"/>
    <mergeCell ref="AD96:AD99"/>
    <mergeCell ref="R96:R99"/>
    <mergeCell ref="P102:P109"/>
    <mergeCell ref="B102:B105"/>
    <mergeCell ref="E102:E109"/>
    <mergeCell ref="F102:F109"/>
    <mergeCell ref="B106:B109"/>
    <mergeCell ref="K102:K109"/>
    <mergeCell ref="R102:R109"/>
    <mergeCell ref="R87:R88"/>
    <mergeCell ref="F74:F76"/>
    <mergeCell ref="P74:P76"/>
    <mergeCell ref="R80:R85"/>
    <mergeCell ref="P80:P82"/>
    <mergeCell ref="P83:P85"/>
    <mergeCell ref="A89:O89"/>
    <mergeCell ref="B93:B94"/>
    <mergeCell ref="B96:B99"/>
    <mergeCell ref="AD112:AD114"/>
    <mergeCell ref="F112:F114"/>
    <mergeCell ref="N135:O135"/>
    <mergeCell ref="N130:O130"/>
    <mergeCell ref="R142:R144"/>
    <mergeCell ref="R138:R139"/>
    <mergeCell ref="R140:R141"/>
    <mergeCell ref="N124:O124"/>
    <mergeCell ref="R112:R114"/>
    <mergeCell ref="A116:O116"/>
    <mergeCell ref="E112:E114"/>
    <mergeCell ref="K112:K114"/>
    <mergeCell ref="B112:B114"/>
    <mergeCell ref="P112:P114"/>
    <mergeCell ref="E142:E144"/>
    <mergeCell ref="K138:K139"/>
    <mergeCell ref="A125:O125"/>
    <mergeCell ref="N128:O128"/>
    <mergeCell ref="R118:R119"/>
    <mergeCell ref="P118:P119"/>
    <mergeCell ref="B118:B119"/>
    <mergeCell ref="E118:E119"/>
    <mergeCell ref="F118:F119"/>
    <mergeCell ref="K118:K119"/>
    <mergeCell ref="C166:D166"/>
    <mergeCell ref="Q155:Q159"/>
    <mergeCell ref="F161:F163"/>
    <mergeCell ref="K161:K163"/>
    <mergeCell ref="B161:B163"/>
    <mergeCell ref="P161:P163"/>
    <mergeCell ref="R161:R163"/>
    <mergeCell ref="E161:E163"/>
    <mergeCell ref="A164:O164"/>
    <mergeCell ref="E155:E159"/>
    <mergeCell ref="B155:B156"/>
    <mergeCell ref="B157:B159"/>
    <mergeCell ref="F155:F159"/>
    <mergeCell ref="K155:K159"/>
    <mergeCell ref="A167:A168"/>
    <mergeCell ref="E167:E168"/>
    <mergeCell ref="R167:R168"/>
    <mergeCell ref="Q167:Q168"/>
    <mergeCell ref="F169:F173"/>
    <mergeCell ref="K169:K173"/>
    <mergeCell ref="P169:P173"/>
    <mergeCell ref="B169:B173"/>
    <mergeCell ref="E169:E173"/>
    <mergeCell ref="B174:B175"/>
    <mergeCell ref="F174:F175"/>
    <mergeCell ref="K174:K175"/>
    <mergeCell ref="P174:P175"/>
    <mergeCell ref="R174:R175"/>
    <mergeCell ref="R169:R173"/>
    <mergeCell ref="Q169:Q173"/>
    <mergeCell ref="F167:F168"/>
    <mergeCell ref="B167:B168"/>
    <mergeCell ref="K167:K168"/>
    <mergeCell ref="P167:P168"/>
  </mergeCells>
  <conditionalFormatting sqref="N7 N9:N31">
    <cfRule type="duplicateValues" dxfId="11" priority="9"/>
  </conditionalFormatting>
  <conditionalFormatting sqref="O9">
    <cfRule type="duplicateValues" dxfId="10" priority="8"/>
  </conditionalFormatting>
  <conditionalFormatting sqref="N8">
    <cfRule type="duplicateValues" dxfId="9" priority="6"/>
  </conditionalFormatting>
  <conditionalFormatting sqref="N40">
    <cfRule type="duplicateValues" dxfId="8" priority="5"/>
  </conditionalFormatting>
  <conditionalFormatting sqref="O40">
    <cfRule type="duplicateValues" dxfId="7" priority="4"/>
  </conditionalFormatting>
  <conditionalFormatting sqref="N41:O41">
    <cfRule type="duplicateValues" dxfId="6" priority="3"/>
  </conditionalFormatting>
  <conditionalFormatting sqref="C1:C163 C165:C1048576">
    <cfRule type="duplicateValues" dxfId="5" priority="2"/>
  </conditionalFormatting>
  <conditionalFormatting sqref="C164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59"/>
  <sheetViews>
    <sheetView tabSelected="1" zoomScale="85" zoomScaleNormal="85" workbookViewId="0">
      <pane xSplit="14" ySplit="5" topLeftCell="AE69" activePane="bottomRight" state="frozen"/>
      <selection pane="topRight" activeCell="O1" sqref="O1"/>
      <selection pane="bottomLeft" activeCell="A6" sqref="A6"/>
      <selection pane="bottomRight" activeCell="L73" sqref="L73"/>
    </sheetView>
  </sheetViews>
  <sheetFormatPr defaultColWidth="10.33203125" defaultRowHeight="13.2"/>
  <cols>
    <col min="1" max="1" width="7" style="1" customWidth="1"/>
    <col min="2" max="2" width="12.33203125" style="6" customWidth="1"/>
    <col min="3" max="3" width="16.109375" style="4" customWidth="1"/>
    <col min="4" max="4" width="10.33203125" style="3" customWidth="1"/>
    <col min="5" max="5" width="21.33203125" style="4" customWidth="1"/>
    <col min="6" max="6" width="16.5546875" style="4" customWidth="1"/>
    <col min="7" max="7" width="7.109375" style="1" customWidth="1"/>
    <col min="8" max="8" width="5.109375" style="6" customWidth="1"/>
    <col min="9" max="9" width="6.88671875" style="6" customWidth="1"/>
    <col min="10" max="10" width="9.109375" style="11" customWidth="1"/>
    <col min="11" max="11" width="9" style="510" customWidth="1"/>
    <col min="12" max="12" width="19.109375" style="11" customWidth="1"/>
    <col min="13" max="13" width="19.109375" style="5" customWidth="1"/>
    <col min="14" max="14" width="21.88671875" style="5" customWidth="1"/>
    <col min="15" max="15" width="14.88671875" style="2606" customWidth="1"/>
    <col min="16" max="16" width="14.88671875" style="2608" customWidth="1"/>
    <col min="17" max="17" width="11.33203125" style="5" customWidth="1"/>
    <col min="18" max="18" width="11" style="5" hidden="1" customWidth="1"/>
    <col min="19" max="20" width="11.44140625" style="1" customWidth="1"/>
    <col min="21" max="21" width="13" style="6" customWidth="1"/>
    <col min="22" max="22" width="12.6640625" style="1877" customWidth="1"/>
    <col min="23" max="23" width="13.109375" style="1877" customWidth="1"/>
    <col min="24" max="24" width="13" style="1877" customWidth="1"/>
    <col min="25" max="25" width="11.88671875" style="1877" customWidth="1"/>
    <col min="26" max="27" width="15.33203125" style="1878" customWidth="1"/>
    <col min="28" max="28" width="14.6640625" style="1877" customWidth="1"/>
    <col min="29" max="29" width="16.33203125" style="1877" customWidth="1"/>
    <col min="30" max="30" width="19.44140625" style="1877" customWidth="1"/>
    <col min="31" max="31" width="42.109375" style="1911" customWidth="1"/>
    <col min="32" max="32" width="18.6640625" style="1912" customWidth="1"/>
    <col min="33" max="33" width="16.6640625" style="1881" customWidth="1"/>
    <col min="34" max="34" width="20.44140625" style="1913" customWidth="1"/>
    <col min="35" max="35" width="17" style="1350" customWidth="1"/>
    <col min="36" max="36" width="12.44140625" style="1393" customWidth="1"/>
    <col min="37" max="37" width="10" style="1393" customWidth="1"/>
    <col min="38" max="40" width="10.33203125" style="1393" customWidth="1"/>
    <col min="41" max="41" width="11.5546875" style="1393" customWidth="1"/>
    <col min="42" max="42" width="14.5546875" style="1393" customWidth="1"/>
    <col min="43" max="43" width="10.33203125" style="1393" customWidth="1"/>
    <col min="44" max="44" width="11.5546875" style="1393" customWidth="1"/>
    <col min="45" max="45" width="10.33203125" style="1393" customWidth="1"/>
    <col min="46" max="200" width="10.33203125" style="1393"/>
    <col min="201" max="201" width="7" style="1393" customWidth="1"/>
    <col min="202" max="202" width="13" style="1393" customWidth="1"/>
    <col min="203" max="203" width="14.109375" style="1393" customWidth="1"/>
    <col min="204" max="204" width="17.33203125" style="1393" customWidth="1"/>
    <col min="205" max="205" width="18.88671875" style="1393" customWidth="1"/>
    <col min="206" max="206" width="14.109375" style="1393" customWidth="1"/>
    <col min="207" max="207" width="21.5546875" style="1393" customWidth="1"/>
    <col min="208" max="209" width="14.109375" style="1393" customWidth="1"/>
    <col min="210" max="210" width="15" style="1393" customWidth="1"/>
    <col min="211" max="211" width="13.33203125" style="1393" customWidth="1"/>
    <col min="212" max="212" width="17" style="1393" customWidth="1"/>
    <col min="213" max="213" width="24.88671875" style="1393" customWidth="1"/>
    <col min="214" max="214" width="14.44140625" style="1393" customWidth="1"/>
    <col min="215" max="215" width="23.109375" style="1393" customWidth="1"/>
    <col min="216" max="216" width="13.109375" style="1393" customWidth="1"/>
    <col min="217" max="220" width="0" style="1393" hidden="1" customWidth="1"/>
    <col min="221" max="456" width="10.33203125" style="1393"/>
    <col min="457" max="457" width="7" style="1393" customWidth="1"/>
    <col min="458" max="458" width="13" style="1393" customWidth="1"/>
    <col min="459" max="459" width="14.109375" style="1393" customWidth="1"/>
    <col min="460" max="460" width="17.33203125" style="1393" customWidth="1"/>
    <col min="461" max="461" width="18.88671875" style="1393" customWidth="1"/>
    <col min="462" max="462" width="14.109375" style="1393" customWidth="1"/>
    <col min="463" max="463" width="21.5546875" style="1393" customWidth="1"/>
    <col min="464" max="465" width="14.109375" style="1393" customWidth="1"/>
    <col min="466" max="466" width="15" style="1393" customWidth="1"/>
    <col min="467" max="467" width="13.33203125" style="1393" customWidth="1"/>
    <col min="468" max="468" width="17" style="1393" customWidth="1"/>
    <col min="469" max="469" width="24.88671875" style="1393" customWidth="1"/>
    <col min="470" max="470" width="14.44140625" style="1393" customWidth="1"/>
    <col min="471" max="471" width="23.109375" style="1393" customWidth="1"/>
    <col min="472" max="472" width="13.109375" style="1393" customWidth="1"/>
    <col min="473" max="476" width="0" style="1393" hidden="1" customWidth="1"/>
    <col min="477" max="712" width="10.33203125" style="1393"/>
    <col min="713" max="713" width="7" style="1393" customWidth="1"/>
    <col min="714" max="714" width="13" style="1393" customWidth="1"/>
    <col min="715" max="715" width="14.109375" style="1393" customWidth="1"/>
    <col min="716" max="716" width="17.33203125" style="1393" customWidth="1"/>
    <col min="717" max="717" width="18.88671875" style="1393" customWidth="1"/>
    <col min="718" max="718" width="14.109375" style="1393" customWidth="1"/>
    <col min="719" max="719" width="21.5546875" style="1393" customWidth="1"/>
    <col min="720" max="721" width="14.109375" style="1393" customWidth="1"/>
    <col min="722" max="722" width="15" style="1393" customWidth="1"/>
    <col min="723" max="723" width="13.33203125" style="1393" customWidth="1"/>
    <col min="724" max="724" width="17" style="1393" customWidth="1"/>
    <col min="725" max="725" width="24.88671875" style="1393" customWidth="1"/>
    <col min="726" max="726" width="14.44140625" style="1393" customWidth="1"/>
    <col min="727" max="727" width="23.109375" style="1393" customWidth="1"/>
    <col min="728" max="728" width="13.109375" style="1393" customWidth="1"/>
    <col min="729" max="732" width="0" style="1393" hidden="1" customWidth="1"/>
    <col min="733" max="968" width="10.33203125" style="1393"/>
    <col min="969" max="969" width="7" style="1393" customWidth="1"/>
    <col min="970" max="970" width="13" style="1393" customWidth="1"/>
    <col min="971" max="971" width="14.109375" style="1393" customWidth="1"/>
    <col min="972" max="972" width="17.33203125" style="1393" customWidth="1"/>
    <col min="973" max="973" width="18.88671875" style="1393" customWidth="1"/>
    <col min="974" max="974" width="14.109375" style="1393" customWidth="1"/>
    <col min="975" max="975" width="21.5546875" style="1393" customWidth="1"/>
    <col min="976" max="977" width="14.109375" style="1393" customWidth="1"/>
    <col min="978" max="978" width="15" style="1393" customWidth="1"/>
    <col min="979" max="979" width="13.33203125" style="1393" customWidth="1"/>
    <col min="980" max="980" width="17" style="1393" customWidth="1"/>
    <col min="981" max="981" width="24.88671875" style="1393" customWidth="1"/>
    <col min="982" max="982" width="14.44140625" style="1393" customWidth="1"/>
    <col min="983" max="983" width="23.109375" style="1393" customWidth="1"/>
    <col min="984" max="984" width="13.109375" style="1393" customWidth="1"/>
    <col min="985" max="988" width="0" style="1393" hidden="1" customWidth="1"/>
    <col min="989" max="1224" width="10.33203125" style="1393"/>
    <col min="1225" max="1225" width="7" style="1393" customWidth="1"/>
    <col min="1226" max="1226" width="13" style="1393" customWidth="1"/>
    <col min="1227" max="1227" width="14.109375" style="1393" customWidth="1"/>
    <col min="1228" max="1228" width="17.33203125" style="1393" customWidth="1"/>
    <col min="1229" max="1229" width="18.88671875" style="1393" customWidth="1"/>
    <col min="1230" max="1230" width="14.109375" style="1393" customWidth="1"/>
    <col min="1231" max="1231" width="21.5546875" style="1393" customWidth="1"/>
    <col min="1232" max="1233" width="14.109375" style="1393" customWidth="1"/>
    <col min="1234" max="1234" width="15" style="1393" customWidth="1"/>
    <col min="1235" max="1235" width="13.33203125" style="1393" customWidth="1"/>
    <col min="1236" max="1236" width="17" style="1393" customWidth="1"/>
    <col min="1237" max="1237" width="24.88671875" style="1393" customWidth="1"/>
    <col min="1238" max="1238" width="14.44140625" style="1393" customWidth="1"/>
    <col min="1239" max="1239" width="23.109375" style="1393" customWidth="1"/>
    <col min="1240" max="1240" width="13.109375" style="1393" customWidth="1"/>
    <col min="1241" max="1244" width="0" style="1393" hidden="1" customWidth="1"/>
    <col min="1245" max="1480" width="10.33203125" style="1393"/>
    <col min="1481" max="1481" width="7" style="1393" customWidth="1"/>
    <col min="1482" max="1482" width="13" style="1393" customWidth="1"/>
    <col min="1483" max="1483" width="14.109375" style="1393" customWidth="1"/>
    <col min="1484" max="1484" width="17.33203125" style="1393" customWidth="1"/>
    <col min="1485" max="1485" width="18.88671875" style="1393" customWidth="1"/>
    <col min="1486" max="1486" width="14.109375" style="1393" customWidth="1"/>
    <col min="1487" max="1487" width="21.5546875" style="1393" customWidth="1"/>
    <col min="1488" max="1489" width="14.109375" style="1393" customWidth="1"/>
    <col min="1490" max="1490" width="15" style="1393" customWidth="1"/>
    <col min="1491" max="1491" width="13.33203125" style="1393" customWidth="1"/>
    <col min="1492" max="1492" width="17" style="1393" customWidth="1"/>
    <col min="1493" max="1493" width="24.88671875" style="1393" customWidth="1"/>
    <col min="1494" max="1494" width="14.44140625" style="1393" customWidth="1"/>
    <col min="1495" max="1495" width="23.109375" style="1393" customWidth="1"/>
    <col min="1496" max="1496" width="13.109375" style="1393" customWidth="1"/>
    <col min="1497" max="1500" width="0" style="1393" hidden="1" customWidth="1"/>
    <col min="1501" max="1736" width="10.33203125" style="1393"/>
    <col min="1737" max="1737" width="7" style="1393" customWidth="1"/>
    <col min="1738" max="1738" width="13" style="1393" customWidth="1"/>
    <col min="1739" max="1739" width="14.109375" style="1393" customWidth="1"/>
    <col min="1740" max="1740" width="17.33203125" style="1393" customWidth="1"/>
    <col min="1741" max="1741" width="18.88671875" style="1393" customWidth="1"/>
    <col min="1742" max="1742" width="14.109375" style="1393" customWidth="1"/>
    <col min="1743" max="1743" width="21.5546875" style="1393" customWidth="1"/>
    <col min="1744" max="1745" width="14.109375" style="1393" customWidth="1"/>
    <col min="1746" max="1746" width="15" style="1393" customWidth="1"/>
    <col min="1747" max="1747" width="13.33203125" style="1393" customWidth="1"/>
    <col min="1748" max="1748" width="17" style="1393" customWidth="1"/>
    <col min="1749" max="1749" width="24.88671875" style="1393" customWidth="1"/>
    <col min="1750" max="1750" width="14.44140625" style="1393" customWidth="1"/>
    <col min="1751" max="1751" width="23.109375" style="1393" customWidth="1"/>
    <col min="1752" max="1752" width="13.109375" style="1393" customWidth="1"/>
    <col min="1753" max="1756" width="0" style="1393" hidden="1" customWidth="1"/>
    <col min="1757" max="1992" width="10.33203125" style="1393"/>
    <col min="1993" max="1993" width="7" style="1393" customWidth="1"/>
    <col min="1994" max="1994" width="13" style="1393" customWidth="1"/>
    <col min="1995" max="1995" width="14.109375" style="1393" customWidth="1"/>
    <col min="1996" max="1996" width="17.33203125" style="1393" customWidth="1"/>
    <col min="1997" max="1997" width="18.88671875" style="1393" customWidth="1"/>
    <col min="1998" max="1998" width="14.109375" style="1393" customWidth="1"/>
    <col min="1999" max="1999" width="21.5546875" style="1393" customWidth="1"/>
    <col min="2000" max="2001" width="14.109375" style="1393" customWidth="1"/>
    <col min="2002" max="2002" width="15" style="1393" customWidth="1"/>
    <col min="2003" max="2003" width="13.33203125" style="1393" customWidth="1"/>
    <col min="2004" max="2004" width="17" style="1393" customWidth="1"/>
    <col min="2005" max="2005" width="24.88671875" style="1393" customWidth="1"/>
    <col min="2006" max="2006" width="14.44140625" style="1393" customWidth="1"/>
    <col min="2007" max="2007" width="23.109375" style="1393" customWidth="1"/>
    <col min="2008" max="2008" width="13.109375" style="1393" customWidth="1"/>
    <col min="2009" max="2012" width="0" style="1393" hidden="1" customWidth="1"/>
    <col min="2013" max="2248" width="10.33203125" style="1393"/>
    <col min="2249" max="2249" width="7" style="1393" customWidth="1"/>
    <col min="2250" max="2250" width="13" style="1393" customWidth="1"/>
    <col min="2251" max="2251" width="14.109375" style="1393" customWidth="1"/>
    <col min="2252" max="2252" width="17.33203125" style="1393" customWidth="1"/>
    <col min="2253" max="2253" width="18.88671875" style="1393" customWidth="1"/>
    <col min="2254" max="2254" width="14.109375" style="1393" customWidth="1"/>
    <col min="2255" max="2255" width="21.5546875" style="1393" customWidth="1"/>
    <col min="2256" max="2257" width="14.109375" style="1393" customWidth="1"/>
    <col min="2258" max="2258" width="15" style="1393" customWidth="1"/>
    <col min="2259" max="2259" width="13.33203125" style="1393" customWidth="1"/>
    <col min="2260" max="2260" width="17" style="1393" customWidth="1"/>
    <col min="2261" max="2261" width="24.88671875" style="1393" customWidth="1"/>
    <col min="2262" max="2262" width="14.44140625" style="1393" customWidth="1"/>
    <col min="2263" max="2263" width="23.109375" style="1393" customWidth="1"/>
    <col min="2264" max="2264" width="13.109375" style="1393" customWidth="1"/>
    <col min="2265" max="2268" width="0" style="1393" hidden="1" customWidth="1"/>
    <col min="2269" max="2504" width="10.33203125" style="1393"/>
    <col min="2505" max="2505" width="7" style="1393" customWidth="1"/>
    <col min="2506" max="2506" width="13" style="1393" customWidth="1"/>
    <col min="2507" max="2507" width="14.109375" style="1393" customWidth="1"/>
    <col min="2508" max="2508" width="17.33203125" style="1393" customWidth="1"/>
    <col min="2509" max="2509" width="18.88671875" style="1393" customWidth="1"/>
    <col min="2510" max="2510" width="14.109375" style="1393" customWidth="1"/>
    <col min="2511" max="2511" width="21.5546875" style="1393" customWidth="1"/>
    <col min="2512" max="2513" width="14.109375" style="1393" customWidth="1"/>
    <col min="2514" max="2514" width="15" style="1393" customWidth="1"/>
    <col min="2515" max="2515" width="13.33203125" style="1393" customWidth="1"/>
    <col min="2516" max="2516" width="17" style="1393" customWidth="1"/>
    <col min="2517" max="2517" width="24.88671875" style="1393" customWidth="1"/>
    <col min="2518" max="2518" width="14.44140625" style="1393" customWidth="1"/>
    <col min="2519" max="2519" width="23.109375" style="1393" customWidth="1"/>
    <col min="2520" max="2520" width="13.109375" style="1393" customWidth="1"/>
    <col min="2521" max="2524" width="0" style="1393" hidden="1" customWidth="1"/>
    <col min="2525" max="2760" width="10.33203125" style="1393"/>
    <col min="2761" max="2761" width="7" style="1393" customWidth="1"/>
    <col min="2762" max="2762" width="13" style="1393" customWidth="1"/>
    <col min="2763" max="2763" width="14.109375" style="1393" customWidth="1"/>
    <col min="2764" max="2764" width="17.33203125" style="1393" customWidth="1"/>
    <col min="2765" max="2765" width="18.88671875" style="1393" customWidth="1"/>
    <col min="2766" max="2766" width="14.109375" style="1393" customWidth="1"/>
    <col min="2767" max="2767" width="21.5546875" style="1393" customWidth="1"/>
    <col min="2768" max="2769" width="14.109375" style="1393" customWidth="1"/>
    <col min="2770" max="2770" width="15" style="1393" customWidth="1"/>
    <col min="2771" max="2771" width="13.33203125" style="1393" customWidth="1"/>
    <col min="2772" max="2772" width="17" style="1393" customWidth="1"/>
    <col min="2773" max="2773" width="24.88671875" style="1393" customWidth="1"/>
    <col min="2774" max="2774" width="14.44140625" style="1393" customWidth="1"/>
    <col min="2775" max="2775" width="23.109375" style="1393" customWidth="1"/>
    <col min="2776" max="2776" width="13.109375" style="1393" customWidth="1"/>
    <col min="2777" max="2780" width="0" style="1393" hidden="1" customWidth="1"/>
    <col min="2781" max="3016" width="10.33203125" style="1393"/>
    <col min="3017" max="3017" width="7" style="1393" customWidth="1"/>
    <col min="3018" max="3018" width="13" style="1393" customWidth="1"/>
    <col min="3019" max="3019" width="14.109375" style="1393" customWidth="1"/>
    <col min="3020" max="3020" width="17.33203125" style="1393" customWidth="1"/>
    <col min="3021" max="3021" width="18.88671875" style="1393" customWidth="1"/>
    <col min="3022" max="3022" width="14.109375" style="1393" customWidth="1"/>
    <col min="3023" max="3023" width="21.5546875" style="1393" customWidth="1"/>
    <col min="3024" max="3025" width="14.109375" style="1393" customWidth="1"/>
    <col min="3026" max="3026" width="15" style="1393" customWidth="1"/>
    <col min="3027" max="3027" width="13.33203125" style="1393" customWidth="1"/>
    <col min="3028" max="3028" width="17" style="1393" customWidth="1"/>
    <col min="3029" max="3029" width="24.88671875" style="1393" customWidth="1"/>
    <col min="3030" max="3030" width="14.44140625" style="1393" customWidth="1"/>
    <col min="3031" max="3031" width="23.109375" style="1393" customWidth="1"/>
    <col min="3032" max="3032" width="13.109375" style="1393" customWidth="1"/>
    <col min="3033" max="3036" width="0" style="1393" hidden="1" customWidth="1"/>
    <col min="3037" max="3272" width="10.33203125" style="1393"/>
    <col min="3273" max="3273" width="7" style="1393" customWidth="1"/>
    <col min="3274" max="3274" width="13" style="1393" customWidth="1"/>
    <col min="3275" max="3275" width="14.109375" style="1393" customWidth="1"/>
    <col min="3276" max="3276" width="17.33203125" style="1393" customWidth="1"/>
    <col min="3277" max="3277" width="18.88671875" style="1393" customWidth="1"/>
    <col min="3278" max="3278" width="14.109375" style="1393" customWidth="1"/>
    <col min="3279" max="3279" width="21.5546875" style="1393" customWidth="1"/>
    <col min="3280" max="3281" width="14.109375" style="1393" customWidth="1"/>
    <col min="3282" max="3282" width="15" style="1393" customWidth="1"/>
    <col min="3283" max="3283" width="13.33203125" style="1393" customWidth="1"/>
    <col min="3284" max="3284" width="17" style="1393" customWidth="1"/>
    <col min="3285" max="3285" width="24.88671875" style="1393" customWidth="1"/>
    <col min="3286" max="3286" width="14.44140625" style="1393" customWidth="1"/>
    <col min="3287" max="3287" width="23.109375" style="1393" customWidth="1"/>
    <col min="3288" max="3288" width="13.109375" style="1393" customWidth="1"/>
    <col min="3289" max="3292" width="0" style="1393" hidden="1" customWidth="1"/>
    <col min="3293" max="3528" width="10.33203125" style="1393"/>
    <col min="3529" max="3529" width="7" style="1393" customWidth="1"/>
    <col min="3530" max="3530" width="13" style="1393" customWidth="1"/>
    <col min="3531" max="3531" width="14.109375" style="1393" customWidth="1"/>
    <col min="3532" max="3532" width="17.33203125" style="1393" customWidth="1"/>
    <col min="3533" max="3533" width="18.88671875" style="1393" customWidth="1"/>
    <col min="3534" max="3534" width="14.109375" style="1393" customWidth="1"/>
    <col min="3535" max="3535" width="21.5546875" style="1393" customWidth="1"/>
    <col min="3536" max="3537" width="14.109375" style="1393" customWidth="1"/>
    <col min="3538" max="3538" width="15" style="1393" customWidth="1"/>
    <col min="3539" max="3539" width="13.33203125" style="1393" customWidth="1"/>
    <col min="3540" max="3540" width="17" style="1393" customWidth="1"/>
    <col min="3541" max="3541" width="24.88671875" style="1393" customWidth="1"/>
    <col min="3542" max="3542" width="14.44140625" style="1393" customWidth="1"/>
    <col min="3543" max="3543" width="23.109375" style="1393" customWidth="1"/>
    <col min="3544" max="3544" width="13.109375" style="1393" customWidth="1"/>
    <col min="3545" max="3548" width="0" style="1393" hidden="1" customWidth="1"/>
    <col min="3549" max="3784" width="10.33203125" style="1393"/>
    <col min="3785" max="3785" width="7" style="1393" customWidth="1"/>
    <col min="3786" max="3786" width="13" style="1393" customWidth="1"/>
    <col min="3787" max="3787" width="14.109375" style="1393" customWidth="1"/>
    <col min="3788" max="3788" width="17.33203125" style="1393" customWidth="1"/>
    <col min="3789" max="3789" width="18.88671875" style="1393" customWidth="1"/>
    <col min="3790" max="3790" width="14.109375" style="1393" customWidth="1"/>
    <col min="3791" max="3791" width="21.5546875" style="1393" customWidth="1"/>
    <col min="3792" max="3793" width="14.109375" style="1393" customWidth="1"/>
    <col min="3794" max="3794" width="15" style="1393" customWidth="1"/>
    <col min="3795" max="3795" width="13.33203125" style="1393" customWidth="1"/>
    <col min="3796" max="3796" width="17" style="1393" customWidth="1"/>
    <col min="3797" max="3797" width="24.88671875" style="1393" customWidth="1"/>
    <col min="3798" max="3798" width="14.44140625" style="1393" customWidth="1"/>
    <col min="3799" max="3799" width="23.109375" style="1393" customWidth="1"/>
    <col min="3800" max="3800" width="13.109375" style="1393" customWidth="1"/>
    <col min="3801" max="3804" width="0" style="1393" hidden="1" customWidth="1"/>
    <col min="3805" max="4040" width="10.33203125" style="1393"/>
    <col min="4041" max="4041" width="7" style="1393" customWidth="1"/>
    <col min="4042" max="4042" width="13" style="1393" customWidth="1"/>
    <col min="4043" max="4043" width="14.109375" style="1393" customWidth="1"/>
    <col min="4044" max="4044" width="17.33203125" style="1393" customWidth="1"/>
    <col min="4045" max="4045" width="18.88671875" style="1393" customWidth="1"/>
    <col min="4046" max="4046" width="14.109375" style="1393" customWidth="1"/>
    <col min="4047" max="4047" width="21.5546875" style="1393" customWidth="1"/>
    <col min="4048" max="4049" width="14.109375" style="1393" customWidth="1"/>
    <col min="4050" max="4050" width="15" style="1393" customWidth="1"/>
    <col min="4051" max="4051" width="13.33203125" style="1393" customWidth="1"/>
    <col min="4052" max="4052" width="17" style="1393" customWidth="1"/>
    <col min="4053" max="4053" width="24.88671875" style="1393" customWidth="1"/>
    <col min="4054" max="4054" width="14.44140625" style="1393" customWidth="1"/>
    <col min="4055" max="4055" width="23.109375" style="1393" customWidth="1"/>
    <col min="4056" max="4056" width="13.109375" style="1393" customWidth="1"/>
    <col min="4057" max="4060" width="0" style="1393" hidden="1" customWidth="1"/>
    <col min="4061" max="4296" width="10.33203125" style="1393"/>
    <col min="4297" max="4297" width="7" style="1393" customWidth="1"/>
    <col min="4298" max="4298" width="13" style="1393" customWidth="1"/>
    <col min="4299" max="4299" width="14.109375" style="1393" customWidth="1"/>
    <col min="4300" max="4300" width="17.33203125" style="1393" customWidth="1"/>
    <col min="4301" max="4301" width="18.88671875" style="1393" customWidth="1"/>
    <col min="4302" max="4302" width="14.109375" style="1393" customWidth="1"/>
    <col min="4303" max="4303" width="21.5546875" style="1393" customWidth="1"/>
    <col min="4304" max="4305" width="14.109375" style="1393" customWidth="1"/>
    <col min="4306" max="4306" width="15" style="1393" customWidth="1"/>
    <col min="4307" max="4307" width="13.33203125" style="1393" customWidth="1"/>
    <col min="4308" max="4308" width="17" style="1393" customWidth="1"/>
    <col min="4309" max="4309" width="24.88671875" style="1393" customWidth="1"/>
    <col min="4310" max="4310" width="14.44140625" style="1393" customWidth="1"/>
    <col min="4311" max="4311" width="23.109375" style="1393" customWidth="1"/>
    <col min="4312" max="4312" width="13.109375" style="1393" customWidth="1"/>
    <col min="4313" max="4316" width="0" style="1393" hidden="1" customWidth="1"/>
    <col min="4317" max="4552" width="10.33203125" style="1393"/>
    <col min="4553" max="4553" width="7" style="1393" customWidth="1"/>
    <col min="4554" max="4554" width="13" style="1393" customWidth="1"/>
    <col min="4555" max="4555" width="14.109375" style="1393" customWidth="1"/>
    <col min="4556" max="4556" width="17.33203125" style="1393" customWidth="1"/>
    <col min="4557" max="4557" width="18.88671875" style="1393" customWidth="1"/>
    <col min="4558" max="4558" width="14.109375" style="1393" customWidth="1"/>
    <col min="4559" max="4559" width="21.5546875" style="1393" customWidth="1"/>
    <col min="4560" max="4561" width="14.109375" style="1393" customWidth="1"/>
    <col min="4562" max="4562" width="15" style="1393" customWidth="1"/>
    <col min="4563" max="4563" width="13.33203125" style="1393" customWidth="1"/>
    <col min="4564" max="4564" width="17" style="1393" customWidth="1"/>
    <col min="4565" max="4565" width="24.88671875" style="1393" customWidth="1"/>
    <col min="4566" max="4566" width="14.44140625" style="1393" customWidth="1"/>
    <col min="4567" max="4567" width="23.109375" style="1393" customWidth="1"/>
    <col min="4568" max="4568" width="13.109375" style="1393" customWidth="1"/>
    <col min="4569" max="4572" width="0" style="1393" hidden="1" customWidth="1"/>
    <col min="4573" max="4808" width="10.33203125" style="1393"/>
    <col min="4809" max="4809" width="7" style="1393" customWidth="1"/>
    <col min="4810" max="4810" width="13" style="1393" customWidth="1"/>
    <col min="4811" max="4811" width="14.109375" style="1393" customWidth="1"/>
    <col min="4812" max="4812" width="17.33203125" style="1393" customWidth="1"/>
    <col min="4813" max="4813" width="18.88671875" style="1393" customWidth="1"/>
    <col min="4814" max="4814" width="14.109375" style="1393" customWidth="1"/>
    <col min="4815" max="4815" width="21.5546875" style="1393" customWidth="1"/>
    <col min="4816" max="4817" width="14.109375" style="1393" customWidth="1"/>
    <col min="4818" max="4818" width="15" style="1393" customWidth="1"/>
    <col min="4819" max="4819" width="13.33203125" style="1393" customWidth="1"/>
    <col min="4820" max="4820" width="17" style="1393" customWidth="1"/>
    <col min="4821" max="4821" width="24.88671875" style="1393" customWidth="1"/>
    <col min="4822" max="4822" width="14.44140625" style="1393" customWidth="1"/>
    <col min="4823" max="4823" width="23.109375" style="1393" customWidth="1"/>
    <col min="4824" max="4824" width="13.109375" style="1393" customWidth="1"/>
    <col min="4825" max="4828" width="0" style="1393" hidden="1" customWidth="1"/>
    <col min="4829" max="5064" width="10.33203125" style="1393"/>
    <col min="5065" max="5065" width="7" style="1393" customWidth="1"/>
    <col min="5066" max="5066" width="13" style="1393" customWidth="1"/>
    <col min="5067" max="5067" width="14.109375" style="1393" customWidth="1"/>
    <col min="5068" max="5068" width="17.33203125" style="1393" customWidth="1"/>
    <col min="5069" max="5069" width="18.88671875" style="1393" customWidth="1"/>
    <col min="5070" max="5070" width="14.109375" style="1393" customWidth="1"/>
    <col min="5071" max="5071" width="21.5546875" style="1393" customWidth="1"/>
    <col min="5072" max="5073" width="14.109375" style="1393" customWidth="1"/>
    <col min="5074" max="5074" width="15" style="1393" customWidth="1"/>
    <col min="5075" max="5075" width="13.33203125" style="1393" customWidth="1"/>
    <col min="5076" max="5076" width="17" style="1393" customWidth="1"/>
    <col min="5077" max="5077" width="24.88671875" style="1393" customWidth="1"/>
    <col min="5078" max="5078" width="14.44140625" style="1393" customWidth="1"/>
    <col min="5079" max="5079" width="23.109375" style="1393" customWidth="1"/>
    <col min="5080" max="5080" width="13.109375" style="1393" customWidth="1"/>
    <col min="5081" max="5084" width="0" style="1393" hidden="1" customWidth="1"/>
    <col min="5085" max="5320" width="10.33203125" style="1393"/>
    <col min="5321" max="5321" width="7" style="1393" customWidth="1"/>
    <col min="5322" max="5322" width="13" style="1393" customWidth="1"/>
    <col min="5323" max="5323" width="14.109375" style="1393" customWidth="1"/>
    <col min="5324" max="5324" width="17.33203125" style="1393" customWidth="1"/>
    <col min="5325" max="5325" width="18.88671875" style="1393" customWidth="1"/>
    <col min="5326" max="5326" width="14.109375" style="1393" customWidth="1"/>
    <col min="5327" max="5327" width="21.5546875" style="1393" customWidth="1"/>
    <col min="5328" max="5329" width="14.109375" style="1393" customWidth="1"/>
    <col min="5330" max="5330" width="15" style="1393" customWidth="1"/>
    <col min="5331" max="5331" width="13.33203125" style="1393" customWidth="1"/>
    <col min="5332" max="5332" width="17" style="1393" customWidth="1"/>
    <col min="5333" max="5333" width="24.88671875" style="1393" customWidth="1"/>
    <col min="5334" max="5334" width="14.44140625" style="1393" customWidth="1"/>
    <col min="5335" max="5335" width="23.109375" style="1393" customWidth="1"/>
    <col min="5336" max="5336" width="13.109375" style="1393" customWidth="1"/>
    <col min="5337" max="5340" width="0" style="1393" hidden="1" customWidth="1"/>
    <col min="5341" max="5576" width="10.33203125" style="1393"/>
    <col min="5577" max="5577" width="7" style="1393" customWidth="1"/>
    <col min="5578" max="5578" width="13" style="1393" customWidth="1"/>
    <col min="5579" max="5579" width="14.109375" style="1393" customWidth="1"/>
    <col min="5580" max="5580" width="17.33203125" style="1393" customWidth="1"/>
    <col min="5581" max="5581" width="18.88671875" style="1393" customWidth="1"/>
    <col min="5582" max="5582" width="14.109375" style="1393" customWidth="1"/>
    <col min="5583" max="5583" width="21.5546875" style="1393" customWidth="1"/>
    <col min="5584" max="5585" width="14.109375" style="1393" customWidth="1"/>
    <col min="5586" max="5586" width="15" style="1393" customWidth="1"/>
    <col min="5587" max="5587" width="13.33203125" style="1393" customWidth="1"/>
    <col min="5588" max="5588" width="17" style="1393" customWidth="1"/>
    <col min="5589" max="5589" width="24.88671875" style="1393" customWidth="1"/>
    <col min="5590" max="5590" width="14.44140625" style="1393" customWidth="1"/>
    <col min="5591" max="5591" width="23.109375" style="1393" customWidth="1"/>
    <col min="5592" max="5592" width="13.109375" style="1393" customWidth="1"/>
    <col min="5593" max="5596" width="0" style="1393" hidden="1" customWidth="1"/>
    <col min="5597" max="5832" width="10.33203125" style="1393"/>
    <col min="5833" max="5833" width="7" style="1393" customWidth="1"/>
    <col min="5834" max="5834" width="13" style="1393" customWidth="1"/>
    <col min="5835" max="5835" width="14.109375" style="1393" customWidth="1"/>
    <col min="5836" max="5836" width="17.33203125" style="1393" customWidth="1"/>
    <col min="5837" max="5837" width="18.88671875" style="1393" customWidth="1"/>
    <col min="5838" max="5838" width="14.109375" style="1393" customWidth="1"/>
    <col min="5839" max="5839" width="21.5546875" style="1393" customWidth="1"/>
    <col min="5840" max="5841" width="14.109375" style="1393" customWidth="1"/>
    <col min="5842" max="5842" width="15" style="1393" customWidth="1"/>
    <col min="5843" max="5843" width="13.33203125" style="1393" customWidth="1"/>
    <col min="5844" max="5844" width="17" style="1393" customWidth="1"/>
    <col min="5845" max="5845" width="24.88671875" style="1393" customWidth="1"/>
    <col min="5846" max="5846" width="14.44140625" style="1393" customWidth="1"/>
    <col min="5847" max="5847" width="23.109375" style="1393" customWidth="1"/>
    <col min="5848" max="5848" width="13.109375" style="1393" customWidth="1"/>
    <col min="5849" max="5852" width="0" style="1393" hidden="1" customWidth="1"/>
    <col min="5853" max="6088" width="10.33203125" style="1393"/>
    <col min="6089" max="6089" width="7" style="1393" customWidth="1"/>
    <col min="6090" max="6090" width="13" style="1393" customWidth="1"/>
    <col min="6091" max="6091" width="14.109375" style="1393" customWidth="1"/>
    <col min="6092" max="6092" width="17.33203125" style="1393" customWidth="1"/>
    <col min="6093" max="6093" width="18.88671875" style="1393" customWidth="1"/>
    <col min="6094" max="6094" width="14.109375" style="1393" customWidth="1"/>
    <col min="6095" max="6095" width="21.5546875" style="1393" customWidth="1"/>
    <col min="6096" max="6097" width="14.109375" style="1393" customWidth="1"/>
    <col min="6098" max="6098" width="15" style="1393" customWidth="1"/>
    <col min="6099" max="6099" width="13.33203125" style="1393" customWidth="1"/>
    <col min="6100" max="6100" width="17" style="1393" customWidth="1"/>
    <col min="6101" max="6101" width="24.88671875" style="1393" customWidth="1"/>
    <col min="6102" max="6102" width="14.44140625" style="1393" customWidth="1"/>
    <col min="6103" max="6103" width="23.109375" style="1393" customWidth="1"/>
    <col min="6104" max="6104" width="13.109375" style="1393" customWidth="1"/>
    <col min="6105" max="6108" width="0" style="1393" hidden="1" customWidth="1"/>
    <col min="6109" max="6344" width="10.33203125" style="1393"/>
    <col min="6345" max="6345" width="7" style="1393" customWidth="1"/>
    <col min="6346" max="6346" width="13" style="1393" customWidth="1"/>
    <col min="6347" max="6347" width="14.109375" style="1393" customWidth="1"/>
    <col min="6348" max="6348" width="17.33203125" style="1393" customWidth="1"/>
    <col min="6349" max="6349" width="18.88671875" style="1393" customWidth="1"/>
    <col min="6350" max="6350" width="14.109375" style="1393" customWidth="1"/>
    <col min="6351" max="6351" width="21.5546875" style="1393" customWidth="1"/>
    <col min="6352" max="6353" width="14.109375" style="1393" customWidth="1"/>
    <col min="6354" max="6354" width="15" style="1393" customWidth="1"/>
    <col min="6355" max="6355" width="13.33203125" style="1393" customWidth="1"/>
    <col min="6356" max="6356" width="17" style="1393" customWidth="1"/>
    <col min="6357" max="6357" width="24.88671875" style="1393" customWidth="1"/>
    <col min="6358" max="6358" width="14.44140625" style="1393" customWidth="1"/>
    <col min="6359" max="6359" width="23.109375" style="1393" customWidth="1"/>
    <col min="6360" max="6360" width="13.109375" style="1393" customWidth="1"/>
    <col min="6361" max="6364" width="0" style="1393" hidden="1" customWidth="1"/>
    <col min="6365" max="6600" width="10.33203125" style="1393"/>
    <col min="6601" max="6601" width="7" style="1393" customWidth="1"/>
    <col min="6602" max="6602" width="13" style="1393" customWidth="1"/>
    <col min="6603" max="6603" width="14.109375" style="1393" customWidth="1"/>
    <col min="6604" max="6604" width="17.33203125" style="1393" customWidth="1"/>
    <col min="6605" max="6605" width="18.88671875" style="1393" customWidth="1"/>
    <col min="6606" max="6606" width="14.109375" style="1393" customWidth="1"/>
    <col min="6607" max="6607" width="21.5546875" style="1393" customWidth="1"/>
    <col min="6608" max="6609" width="14.109375" style="1393" customWidth="1"/>
    <col min="6610" max="6610" width="15" style="1393" customWidth="1"/>
    <col min="6611" max="6611" width="13.33203125" style="1393" customWidth="1"/>
    <col min="6612" max="6612" width="17" style="1393" customWidth="1"/>
    <col min="6613" max="6613" width="24.88671875" style="1393" customWidth="1"/>
    <col min="6614" max="6614" width="14.44140625" style="1393" customWidth="1"/>
    <col min="6615" max="6615" width="23.109375" style="1393" customWidth="1"/>
    <col min="6616" max="6616" width="13.109375" style="1393" customWidth="1"/>
    <col min="6617" max="6620" width="0" style="1393" hidden="1" customWidth="1"/>
    <col min="6621" max="6856" width="10.33203125" style="1393"/>
    <col min="6857" max="6857" width="7" style="1393" customWidth="1"/>
    <col min="6858" max="6858" width="13" style="1393" customWidth="1"/>
    <col min="6859" max="6859" width="14.109375" style="1393" customWidth="1"/>
    <col min="6860" max="6860" width="17.33203125" style="1393" customWidth="1"/>
    <col min="6861" max="6861" width="18.88671875" style="1393" customWidth="1"/>
    <col min="6862" max="6862" width="14.109375" style="1393" customWidth="1"/>
    <col min="6863" max="6863" width="21.5546875" style="1393" customWidth="1"/>
    <col min="6864" max="6865" width="14.109375" style="1393" customWidth="1"/>
    <col min="6866" max="6866" width="15" style="1393" customWidth="1"/>
    <col min="6867" max="6867" width="13.33203125" style="1393" customWidth="1"/>
    <col min="6868" max="6868" width="17" style="1393" customWidth="1"/>
    <col min="6869" max="6869" width="24.88671875" style="1393" customWidth="1"/>
    <col min="6870" max="6870" width="14.44140625" style="1393" customWidth="1"/>
    <col min="6871" max="6871" width="23.109375" style="1393" customWidth="1"/>
    <col min="6872" max="6872" width="13.109375" style="1393" customWidth="1"/>
    <col min="6873" max="6876" width="0" style="1393" hidden="1" customWidth="1"/>
    <col min="6877" max="7112" width="10.33203125" style="1393"/>
    <col min="7113" max="7113" width="7" style="1393" customWidth="1"/>
    <col min="7114" max="7114" width="13" style="1393" customWidth="1"/>
    <col min="7115" max="7115" width="14.109375" style="1393" customWidth="1"/>
    <col min="7116" max="7116" width="17.33203125" style="1393" customWidth="1"/>
    <col min="7117" max="7117" width="18.88671875" style="1393" customWidth="1"/>
    <col min="7118" max="7118" width="14.109375" style="1393" customWidth="1"/>
    <col min="7119" max="7119" width="21.5546875" style="1393" customWidth="1"/>
    <col min="7120" max="7121" width="14.109375" style="1393" customWidth="1"/>
    <col min="7122" max="7122" width="15" style="1393" customWidth="1"/>
    <col min="7123" max="7123" width="13.33203125" style="1393" customWidth="1"/>
    <col min="7124" max="7124" width="17" style="1393" customWidth="1"/>
    <col min="7125" max="7125" width="24.88671875" style="1393" customWidth="1"/>
    <col min="7126" max="7126" width="14.44140625" style="1393" customWidth="1"/>
    <col min="7127" max="7127" width="23.109375" style="1393" customWidth="1"/>
    <col min="7128" max="7128" width="13.109375" style="1393" customWidth="1"/>
    <col min="7129" max="7132" width="0" style="1393" hidden="1" customWidth="1"/>
    <col min="7133" max="7368" width="10.33203125" style="1393"/>
    <col min="7369" max="7369" width="7" style="1393" customWidth="1"/>
    <col min="7370" max="7370" width="13" style="1393" customWidth="1"/>
    <col min="7371" max="7371" width="14.109375" style="1393" customWidth="1"/>
    <col min="7372" max="7372" width="17.33203125" style="1393" customWidth="1"/>
    <col min="7373" max="7373" width="18.88671875" style="1393" customWidth="1"/>
    <col min="7374" max="7374" width="14.109375" style="1393" customWidth="1"/>
    <col min="7375" max="7375" width="21.5546875" style="1393" customWidth="1"/>
    <col min="7376" max="7377" width="14.109375" style="1393" customWidth="1"/>
    <col min="7378" max="7378" width="15" style="1393" customWidth="1"/>
    <col min="7379" max="7379" width="13.33203125" style="1393" customWidth="1"/>
    <col min="7380" max="7380" width="17" style="1393" customWidth="1"/>
    <col min="7381" max="7381" width="24.88671875" style="1393" customWidth="1"/>
    <col min="7382" max="7382" width="14.44140625" style="1393" customWidth="1"/>
    <col min="7383" max="7383" width="23.109375" style="1393" customWidth="1"/>
    <col min="7384" max="7384" width="13.109375" style="1393" customWidth="1"/>
    <col min="7385" max="7388" width="0" style="1393" hidden="1" customWidth="1"/>
    <col min="7389" max="7624" width="10.33203125" style="1393"/>
    <col min="7625" max="7625" width="7" style="1393" customWidth="1"/>
    <col min="7626" max="7626" width="13" style="1393" customWidth="1"/>
    <col min="7627" max="7627" width="14.109375" style="1393" customWidth="1"/>
    <col min="7628" max="7628" width="17.33203125" style="1393" customWidth="1"/>
    <col min="7629" max="7629" width="18.88671875" style="1393" customWidth="1"/>
    <col min="7630" max="7630" width="14.109375" style="1393" customWidth="1"/>
    <col min="7631" max="7631" width="21.5546875" style="1393" customWidth="1"/>
    <col min="7632" max="7633" width="14.109375" style="1393" customWidth="1"/>
    <col min="7634" max="7634" width="15" style="1393" customWidth="1"/>
    <col min="7635" max="7635" width="13.33203125" style="1393" customWidth="1"/>
    <col min="7636" max="7636" width="17" style="1393" customWidth="1"/>
    <col min="7637" max="7637" width="24.88671875" style="1393" customWidth="1"/>
    <col min="7638" max="7638" width="14.44140625" style="1393" customWidth="1"/>
    <col min="7639" max="7639" width="23.109375" style="1393" customWidth="1"/>
    <col min="7640" max="7640" width="13.109375" style="1393" customWidth="1"/>
    <col min="7641" max="7644" width="0" style="1393" hidden="1" customWidth="1"/>
    <col min="7645" max="7880" width="10.33203125" style="1393"/>
    <col min="7881" max="7881" width="7" style="1393" customWidth="1"/>
    <col min="7882" max="7882" width="13" style="1393" customWidth="1"/>
    <col min="7883" max="7883" width="14.109375" style="1393" customWidth="1"/>
    <col min="7884" max="7884" width="17.33203125" style="1393" customWidth="1"/>
    <col min="7885" max="7885" width="18.88671875" style="1393" customWidth="1"/>
    <col min="7886" max="7886" width="14.109375" style="1393" customWidth="1"/>
    <col min="7887" max="7887" width="21.5546875" style="1393" customWidth="1"/>
    <col min="7888" max="7889" width="14.109375" style="1393" customWidth="1"/>
    <col min="7890" max="7890" width="15" style="1393" customWidth="1"/>
    <col min="7891" max="7891" width="13.33203125" style="1393" customWidth="1"/>
    <col min="7892" max="7892" width="17" style="1393" customWidth="1"/>
    <col min="7893" max="7893" width="24.88671875" style="1393" customWidth="1"/>
    <col min="7894" max="7894" width="14.44140625" style="1393" customWidth="1"/>
    <col min="7895" max="7895" width="23.109375" style="1393" customWidth="1"/>
    <col min="7896" max="7896" width="13.109375" style="1393" customWidth="1"/>
    <col min="7897" max="7900" width="0" style="1393" hidden="1" customWidth="1"/>
    <col min="7901" max="8136" width="10.33203125" style="1393"/>
    <col min="8137" max="8137" width="7" style="1393" customWidth="1"/>
    <col min="8138" max="8138" width="13" style="1393" customWidth="1"/>
    <col min="8139" max="8139" width="14.109375" style="1393" customWidth="1"/>
    <col min="8140" max="8140" width="17.33203125" style="1393" customWidth="1"/>
    <col min="8141" max="8141" width="18.88671875" style="1393" customWidth="1"/>
    <col min="8142" max="8142" width="14.109375" style="1393" customWidth="1"/>
    <col min="8143" max="8143" width="21.5546875" style="1393" customWidth="1"/>
    <col min="8144" max="8145" width="14.109375" style="1393" customWidth="1"/>
    <col min="8146" max="8146" width="15" style="1393" customWidth="1"/>
    <col min="8147" max="8147" width="13.33203125" style="1393" customWidth="1"/>
    <col min="8148" max="8148" width="17" style="1393" customWidth="1"/>
    <col min="8149" max="8149" width="24.88671875" style="1393" customWidth="1"/>
    <col min="8150" max="8150" width="14.44140625" style="1393" customWidth="1"/>
    <col min="8151" max="8151" width="23.109375" style="1393" customWidth="1"/>
    <col min="8152" max="8152" width="13.109375" style="1393" customWidth="1"/>
    <col min="8153" max="8156" width="0" style="1393" hidden="1" customWidth="1"/>
    <col min="8157" max="8392" width="10.33203125" style="1393"/>
    <col min="8393" max="8393" width="7" style="1393" customWidth="1"/>
    <col min="8394" max="8394" width="13" style="1393" customWidth="1"/>
    <col min="8395" max="8395" width="14.109375" style="1393" customWidth="1"/>
    <col min="8396" max="8396" width="17.33203125" style="1393" customWidth="1"/>
    <col min="8397" max="8397" width="18.88671875" style="1393" customWidth="1"/>
    <col min="8398" max="8398" width="14.109375" style="1393" customWidth="1"/>
    <col min="8399" max="8399" width="21.5546875" style="1393" customWidth="1"/>
    <col min="8400" max="8401" width="14.109375" style="1393" customWidth="1"/>
    <col min="8402" max="8402" width="15" style="1393" customWidth="1"/>
    <col min="8403" max="8403" width="13.33203125" style="1393" customWidth="1"/>
    <col min="8404" max="8404" width="17" style="1393" customWidth="1"/>
    <col min="8405" max="8405" width="24.88671875" style="1393" customWidth="1"/>
    <col min="8406" max="8406" width="14.44140625" style="1393" customWidth="1"/>
    <col min="8407" max="8407" width="23.109375" style="1393" customWidth="1"/>
    <col min="8408" max="8408" width="13.109375" style="1393" customWidth="1"/>
    <col min="8409" max="8412" width="0" style="1393" hidden="1" customWidth="1"/>
    <col min="8413" max="8648" width="10.33203125" style="1393"/>
    <col min="8649" max="8649" width="7" style="1393" customWidth="1"/>
    <col min="8650" max="8650" width="13" style="1393" customWidth="1"/>
    <col min="8651" max="8651" width="14.109375" style="1393" customWidth="1"/>
    <col min="8652" max="8652" width="17.33203125" style="1393" customWidth="1"/>
    <col min="8653" max="8653" width="18.88671875" style="1393" customWidth="1"/>
    <col min="8654" max="8654" width="14.109375" style="1393" customWidth="1"/>
    <col min="8655" max="8655" width="21.5546875" style="1393" customWidth="1"/>
    <col min="8656" max="8657" width="14.109375" style="1393" customWidth="1"/>
    <col min="8658" max="8658" width="15" style="1393" customWidth="1"/>
    <col min="8659" max="8659" width="13.33203125" style="1393" customWidth="1"/>
    <col min="8660" max="8660" width="17" style="1393" customWidth="1"/>
    <col min="8661" max="8661" width="24.88671875" style="1393" customWidth="1"/>
    <col min="8662" max="8662" width="14.44140625" style="1393" customWidth="1"/>
    <col min="8663" max="8663" width="23.109375" style="1393" customWidth="1"/>
    <col min="8664" max="8664" width="13.109375" style="1393" customWidth="1"/>
    <col min="8665" max="8668" width="0" style="1393" hidden="1" customWidth="1"/>
    <col min="8669" max="8904" width="10.33203125" style="1393"/>
    <col min="8905" max="8905" width="7" style="1393" customWidth="1"/>
    <col min="8906" max="8906" width="13" style="1393" customWidth="1"/>
    <col min="8907" max="8907" width="14.109375" style="1393" customWidth="1"/>
    <col min="8908" max="8908" width="17.33203125" style="1393" customWidth="1"/>
    <col min="8909" max="8909" width="18.88671875" style="1393" customWidth="1"/>
    <col min="8910" max="8910" width="14.109375" style="1393" customWidth="1"/>
    <col min="8911" max="8911" width="21.5546875" style="1393" customWidth="1"/>
    <col min="8912" max="8913" width="14.109375" style="1393" customWidth="1"/>
    <col min="8914" max="8914" width="15" style="1393" customWidth="1"/>
    <col min="8915" max="8915" width="13.33203125" style="1393" customWidth="1"/>
    <col min="8916" max="8916" width="17" style="1393" customWidth="1"/>
    <col min="8917" max="8917" width="24.88671875" style="1393" customWidth="1"/>
    <col min="8918" max="8918" width="14.44140625" style="1393" customWidth="1"/>
    <col min="8919" max="8919" width="23.109375" style="1393" customWidth="1"/>
    <col min="8920" max="8920" width="13.109375" style="1393" customWidth="1"/>
    <col min="8921" max="8924" width="0" style="1393" hidden="1" customWidth="1"/>
    <col min="8925" max="9160" width="10.33203125" style="1393"/>
    <col min="9161" max="9161" width="7" style="1393" customWidth="1"/>
    <col min="9162" max="9162" width="13" style="1393" customWidth="1"/>
    <col min="9163" max="9163" width="14.109375" style="1393" customWidth="1"/>
    <col min="9164" max="9164" width="17.33203125" style="1393" customWidth="1"/>
    <col min="9165" max="9165" width="18.88671875" style="1393" customWidth="1"/>
    <col min="9166" max="9166" width="14.109375" style="1393" customWidth="1"/>
    <col min="9167" max="9167" width="21.5546875" style="1393" customWidth="1"/>
    <col min="9168" max="9169" width="14.109375" style="1393" customWidth="1"/>
    <col min="9170" max="9170" width="15" style="1393" customWidth="1"/>
    <col min="9171" max="9171" width="13.33203125" style="1393" customWidth="1"/>
    <col min="9172" max="9172" width="17" style="1393" customWidth="1"/>
    <col min="9173" max="9173" width="24.88671875" style="1393" customWidth="1"/>
    <col min="9174" max="9174" width="14.44140625" style="1393" customWidth="1"/>
    <col min="9175" max="9175" width="23.109375" style="1393" customWidth="1"/>
    <col min="9176" max="9176" width="13.109375" style="1393" customWidth="1"/>
    <col min="9177" max="9180" width="0" style="1393" hidden="1" customWidth="1"/>
    <col min="9181" max="9416" width="10.33203125" style="1393"/>
    <col min="9417" max="9417" width="7" style="1393" customWidth="1"/>
    <col min="9418" max="9418" width="13" style="1393" customWidth="1"/>
    <col min="9419" max="9419" width="14.109375" style="1393" customWidth="1"/>
    <col min="9420" max="9420" width="17.33203125" style="1393" customWidth="1"/>
    <col min="9421" max="9421" width="18.88671875" style="1393" customWidth="1"/>
    <col min="9422" max="9422" width="14.109375" style="1393" customWidth="1"/>
    <col min="9423" max="9423" width="21.5546875" style="1393" customWidth="1"/>
    <col min="9424" max="9425" width="14.109375" style="1393" customWidth="1"/>
    <col min="9426" max="9426" width="15" style="1393" customWidth="1"/>
    <col min="9427" max="9427" width="13.33203125" style="1393" customWidth="1"/>
    <col min="9428" max="9428" width="17" style="1393" customWidth="1"/>
    <col min="9429" max="9429" width="24.88671875" style="1393" customWidth="1"/>
    <col min="9430" max="9430" width="14.44140625" style="1393" customWidth="1"/>
    <col min="9431" max="9431" width="23.109375" style="1393" customWidth="1"/>
    <col min="9432" max="9432" width="13.109375" style="1393" customWidth="1"/>
    <col min="9433" max="9436" width="0" style="1393" hidden="1" customWidth="1"/>
    <col min="9437" max="9672" width="10.33203125" style="1393"/>
    <col min="9673" max="9673" width="7" style="1393" customWidth="1"/>
    <col min="9674" max="9674" width="13" style="1393" customWidth="1"/>
    <col min="9675" max="9675" width="14.109375" style="1393" customWidth="1"/>
    <col min="9676" max="9676" width="17.33203125" style="1393" customWidth="1"/>
    <col min="9677" max="9677" width="18.88671875" style="1393" customWidth="1"/>
    <col min="9678" max="9678" width="14.109375" style="1393" customWidth="1"/>
    <col min="9679" max="9679" width="21.5546875" style="1393" customWidth="1"/>
    <col min="9680" max="9681" width="14.109375" style="1393" customWidth="1"/>
    <col min="9682" max="9682" width="15" style="1393" customWidth="1"/>
    <col min="9683" max="9683" width="13.33203125" style="1393" customWidth="1"/>
    <col min="9684" max="9684" width="17" style="1393" customWidth="1"/>
    <col min="9685" max="9685" width="24.88671875" style="1393" customWidth="1"/>
    <col min="9686" max="9686" width="14.44140625" style="1393" customWidth="1"/>
    <col min="9687" max="9687" width="23.109375" style="1393" customWidth="1"/>
    <col min="9688" max="9688" width="13.109375" style="1393" customWidth="1"/>
    <col min="9689" max="9692" width="0" style="1393" hidden="1" customWidth="1"/>
    <col min="9693" max="9928" width="10.33203125" style="1393"/>
    <col min="9929" max="9929" width="7" style="1393" customWidth="1"/>
    <col min="9930" max="9930" width="13" style="1393" customWidth="1"/>
    <col min="9931" max="9931" width="14.109375" style="1393" customWidth="1"/>
    <col min="9932" max="9932" width="17.33203125" style="1393" customWidth="1"/>
    <col min="9933" max="9933" width="18.88671875" style="1393" customWidth="1"/>
    <col min="9934" max="9934" width="14.109375" style="1393" customWidth="1"/>
    <col min="9935" max="9935" width="21.5546875" style="1393" customWidth="1"/>
    <col min="9936" max="9937" width="14.109375" style="1393" customWidth="1"/>
    <col min="9938" max="9938" width="15" style="1393" customWidth="1"/>
    <col min="9939" max="9939" width="13.33203125" style="1393" customWidth="1"/>
    <col min="9940" max="9940" width="17" style="1393" customWidth="1"/>
    <col min="9941" max="9941" width="24.88671875" style="1393" customWidth="1"/>
    <col min="9942" max="9942" width="14.44140625" style="1393" customWidth="1"/>
    <col min="9943" max="9943" width="23.109375" style="1393" customWidth="1"/>
    <col min="9944" max="9944" width="13.109375" style="1393" customWidth="1"/>
    <col min="9945" max="9948" width="0" style="1393" hidden="1" customWidth="1"/>
    <col min="9949" max="10184" width="10.33203125" style="1393"/>
    <col min="10185" max="10185" width="7" style="1393" customWidth="1"/>
    <col min="10186" max="10186" width="13" style="1393" customWidth="1"/>
    <col min="10187" max="10187" width="14.109375" style="1393" customWidth="1"/>
    <col min="10188" max="10188" width="17.33203125" style="1393" customWidth="1"/>
    <col min="10189" max="10189" width="18.88671875" style="1393" customWidth="1"/>
    <col min="10190" max="10190" width="14.109375" style="1393" customWidth="1"/>
    <col min="10191" max="10191" width="21.5546875" style="1393" customWidth="1"/>
    <col min="10192" max="10193" width="14.109375" style="1393" customWidth="1"/>
    <col min="10194" max="10194" width="15" style="1393" customWidth="1"/>
    <col min="10195" max="10195" width="13.33203125" style="1393" customWidth="1"/>
    <col min="10196" max="10196" width="17" style="1393" customWidth="1"/>
    <col min="10197" max="10197" width="24.88671875" style="1393" customWidth="1"/>
    <col min="10198" max="10198" width="14.44140625" style="1393" customWidth="1"/>
    <col min="10199" max="10199" width="23.109375" style="1393" customWidth="1"/>
    <col min="10200" max="10200" width="13.109375" style="1393" customWidth="1"/>
    <col min="10201" max="10204" width="0" style="1393" hidden="1" customWidth="1"/>
    <col min="10205" max="10440" width="10.33203125" style="1393"/>
    <col min="10441" max="10441" width="7" style="1393" customWidth="1"/>
    <col min="10442" max="10442" width="13" style="1393" customWidth="1"/>
    <col min="10443" max="10443" width="14.109375" style="1393" customWidth="1"/>
    <col min="10444" max="10444" width="17.33203125" style="1393" customWidth="1"/>
    <col min="10445" max="10445" width="18.88671875" style="1393" customWidth="1"/>
    <col min="10446" max="10446" width="14.109375" style="1393" customWidth="1"/>
    <col min="10447" max="10447" width="21.5546875" style="1393" customWidth="1"/>
    <col min="10448" max="10449" width="14.109375" style="1393" customWidth="1"/>
    <col min="10450" max="10450" width="15" style="1393" customWidth="1"/>
    <col min="10451" max="10451" width="13.33203125" style="1393" customWidth="1"/>
    <col min="10452" max="10452" width="17" style="1393" customWidth="1"/>
    <col min="10453" max="10453" width="24.88671875" style="1393" customWidth="1"/>
    <col min="10454" max="10454" width="14.44140625" style="1393" customWidth="1"/>
    <col min="10455" max="10455" width="23.109375" style="1393" customWidth="1"/>
    <col min="10456" max="10456" width="13.109375" style="1393" customWidth="1"/>
    <col min="10457" max="10460" width="0" style="1393" hidden="1" customWidth="1"/>
    <col min="10461" max="10696" width="10.33203125" style="1393"/>
    <col min="10697" max="10697" width="7" style="1393" customWidth="1"/>
    <col min="10698" max="10698" width="13" style="1393" customWidth="1"/>
    <col min="10699" max="10699" width="14.109375" style="1393" customWidth="1"/>
    <col min="10700" max="10700" width="17.33203125" style="1393" customWidth="1"/>
    <col min="10701" max="10701" width="18.88671875" style="1393" customWidth="1"/>
    <col min="10702" max="10702" width="14.109375" style="1393" customWidth="1"/>
    <col min="10703" max="10703" width="21.5546875" style="1393" customWidth="1"/>
    <col min="10704" max="10705" width="14.109375" style="1393" customWidth="1"/>
    <col min="10706" max="10706" width="15" style="1393" customWidth="1"/>
    <col min="10707" max="10707" width="13.33203125" style="1393" customWidth="1"/>
    <col min="10708" max="10708" width="17" style="1393" customWidth="1"/>
    <col min="10709" max="10709" width="24.88671875" style="1393" customWidth="1"/>
    <col min="10710" max="10710" width="14.44140625" style="1393" customWidth="1"/>
    <col min="10711" max="10711" width="23.109375" style="1393" customWidth="1"/>
    <col min="10712" max="10712" width="13.109375" style="1393" customWidth="1"/>
    <col min="10713" max="10716" width="0" style="1393" hidden="1" customWidth="1"/>
    <col min="10717" max="10952" width="10.33203125" style="1393"/>
    <col min="10953" max="10953" width="7" style="1393" customWidth="1"/>
    <col min="10954" max="10954" width="13" style="1393" customWidth="1"/>
    <col min="10955" max="10955" width="14.109375" style="1393" customWidth="1"/>
    <col min="10956" max="10956" width="17.33203125" style="1393" customWidth="1"/>
    <col min="10957" max="10957" width="18.88671875" style="1393" customWidth="1"/>
    <col min="10958" max="10958" width="14.109375" style="1393" customWidth="1"/>
    <col min="10959" max="10959" width="21.5546875" style="1393" customWidth="1"/>
    <col min="10960" max="10961" width="14.109375" style="1393" customWidth="1"/>
    <col min="10962" max="10962" width="15" style="1393" customWidth="1"/>
    <col min="10963" max="10963" width="13.33203125" style="1393" customWidth="1"/>
    <col min="10964" max="10964" width="17" style="1393" customWidth="1"/>
    <col min="10965" max="10965" width="24.88671875" style="1393" customWidth="1"/>
    <col min="10966" max="10966" width="14.44140625" style="1393" customWidth="1"/>
    <col min="10967" max="10967" width="23.109375" style="1393" customWidth="1"/>
    <col min="10968" max="10968" width="13.109375" style="1393" customWidth="1"/>
    <col min="10969" max="10972" width="0" style="1393" hidden="1" customWidth="1"/>
    <col min="10973" max="11208" width="10.33203125" style="1393"/>
    <col min="11209" max="11209" width="7" style="1393" customWidth="1"/>
    <col min="11210" max="11210" width="13" style="1393" customWidth="1"/>
    <col min="11211" max="11211" width="14.109375" style="1393" customWidth="1"/>
    <col min="11212" max="11212" width="17.33203125" style="1393" customWidth="1"/>
    <col min="11213" max="11213" width="18.88671875" style="1393" customWidth="1"/>
    <col min="11214" max="11214" width="14.109375" style="1393" customWidth="1"/>
    <col min="11215" max="11215" width="21.5546875" style="1393" customWidth="1"/>
    <col min="11216" max="11217" width="14.109375" style="1393" customWidth="1"/>
    <col min="11218" max="11218" width="15" style="1393" customWidth="1"/>
    <col min="11219" max="11219" width="13.33203125" style="1393" customWidth="1"/>
    <col min="11220" max="11220" width="17" style="1393" customWidth="1"/>
    <col min="11221" max="11221" width="24.88671875" style="1393" customWidth="1"/>
    <col min="11222" max="11222" width="14.44140625" style="1393" customWidth="1"/>
    <col min="11223" max="11223" width="23.109375" style="1393" customWidth="1"/>
    <col min="11224" max="11224" width="13.109375" style="1393" customWidth="1"/>
    <col min="11225" max="11228" width="0" style="1393" hidden="1" customWidth="1"/>
    <col min="11229" max="11464" width="10.33203125" style="1393"/>
    <col min="11465" max="11465" width="7" style="1393" customWidth="1"/>
    <col min="11466" max="11466" width="13" style="1393" customWidth="1"/>
    <col min="11467" max="11467" width="14.109375" style="1393" customWidth="1"/>
    <col min="11468" max="11468" width="17.33203125" style="1393" customWidth="1"/>
    <col min="11469" max="11469" width="18.88671875" style="1393" customWidth="1"/>
    <col min="11470" max="11470" width="14.109375" style="1393" customWidth="1"/>
    <col min="11471" max="11471" width="21.5546875" style="1393" customWidth="1"/>
    <col min="11472" max="11473" width="14.109375" style="1393" customWidth="1"/>
    <col min="11474" max="11474" width="15" style="1393" customWidth="1"/>
    <col min="11475" max="11475" width="13.33203125" style="1393" customWidth="1"/>
    <col min="11476" max="11476" width="17" style="1393" customWidth="1"/>
    <col min="11477" max="11477" width="24.88671875" style="1393" customWidth="1"/>
    <col min="11478" max="11478" width="14.44140625" style="1393" customWidth="1"/>
    <col min="11479" max="11479" width="23.109375" style="1393" customWidth="1"/>
    <col min="11480" max="11480" width="13.109375" style="1393" customWidth="1"/>
    <col min="11481" max="11484" width="0" style="1393" hidden="1" customWidth="1"/>
    <col min="11485" max="11720" width="10.33203125" style="1393"/>
    <col min="11721" max="11721" width="7" style="1393" customWidth="1"/>
    <col min="11722" max="11722" width="13" style="1393" customWidth="1"/>
    <col min="11723" max="11723" width="14.109375" style="1393" customWidth="1"/>
    <col min="11724" max="11724" width="17.33203125" style="1393" customWidth="1"/>
    <col min="11725" max="11725" width="18.88671875" style="1393" customWidth="1"/>
    <col min="11726" max="11726" width="14.109375" style="1393" customWidth="1"/>
    <col min="11727" max="11727" width="21.5546875" style="1393" customWidth="1"/>
    <col min="11728" max="11729" width="14.109375" style="1393" customWidth="1"/>
    <col min="11730" max="11730" width="15" style="1393" customWidth="1"/>
    <col min="11731" max="11731" width="13.33203125" style="1393" customWidth="1"/>
    <col min="11732" max="11732" width="17" style="1393" customWidth="1"/>
    <col min="11733" max="11733" width="24.88671875" style="1393" customWidth="1"/>
    <col min="11734" max="11734" width="14.44140625" style="1393" customWidth="1"/>
    <col min="11735" max="11735" width="23.109375" style="1393" customWidth="1"/>
    <col min="11736" max="11736" width="13.109375" style="1393" customWidth="1"/>
    <col min="11737" max="11740" width="0" style="1393" hidden="1" customWidth="1"/>
    <col min="11741" max="11976" width="10.33203125" style="1393"/>
    <col min="11977" max="11977" width="7" style="1393" customWidth="1"/>
    <col min="11978" max="11978" width="13" style="1393" customWidth="1"/>
    <col min="11979" max="11979" width="14.109375" style="1393" customWidth="1"/>
    <col min="11980" max="11980" width="17.33203125" style="1393" customWidth="1"/>
    <col min="11981" max="11981" width="18.88671875" style="1393" customWidth="1"/>
    <col min="11982" max="11982" width="14.109375" style="1393" customWidth="1"/>
    <col min="11983" max="11983" width="21.5546875" style="1393" customWidth="1"/>
    <col min="11984" max="11985" width="14.109375" style="1393" customWidth="1"/>
    <col min="11986" max="11986" width="15" style="1393" customWidth="1"/>
    <col min="11987" max="11987" width="13.33203125" style="1393" customWidth="1"/>
    <col min="11988" max="11988" width="17" style="1393" customWidth="1"/>
    <col min="11989" max="11989" width="24.88671875" style="1393" customWidth="1"/>
    <col min="11990" max="11990" width="14.44140625" style="1393" customWidth="1"/>
    <col min="11991" max="11991" width="23.109375" style="1393" customWidth="1"/>
    <col min="11992" max="11992" width="13.109375" style="1393" customWidth="1"/>
    <col min="11993" max="11996" width="0" style="1393" hidden="1" customWidth="1"/>
    <col min="11997" max="12232" width="10.33203125" style="1393"/>
    <col min="12233" max="12233" width="7" style="1393" customWidth="1"/>
    <col min="12234" max="12234" width="13" style="1393" customWidth="1"/>
    <col min="12235" max="12235" width="14.109375" style="1393" customWidth="1"/>
    <col min="12236" max="12236" width="17.33203125" style="1393" customWidth="1"/>
    <col min="12237" max="12237" width="18.88671875" style="1393" customWidth="1"/>
    <col min="12238" max="12238" width="14.109375" style="1393" customWidth="1"/>
    <col min="12239" max="12239" width="21.5546875" style="1393" customWidth="1"/>
    <col min="12240" max="12241" width="14.109375" style="1393" customWidth="1"/>
    <col min="12242" max="12242" width="15" style="1393" customWidth="1"/>
    <col min="12243" max="12243" width="13.33203125" style="1393" customWidth="1"/>
    <col min="12244" max="12244" width="17" style="1393" customWidth="1"/>
    <col min="12245" max="12245" width="24.88671875" style="1393" customWidth="1"/>
    <col min="12246" max="12246" width="14.44140625" style="1393" customWidth="1"/>
    <col min="12247" max="12247" width="23.109375" style="1393" customWidth="1"/>
    <col min="12248" max="12248" width="13.109375" style="1393" customWidth="1"/>
    <col min="12249" max="12252" width="0" style="1393" hidden="1" customWidth="1"/>
    <col min="12253" max="12488" width="10.33203125" style="1393"/>
    <col min="12489" max="12489" width="7" style="1393" customWidth="1"/>
    <col min="12490" max="12490" width="13" style="1393" customWidth="1"/>
    <col min="12491" max="12491" width="14.109375" style="1393" customWidth="1"/>
    <col min="12492" max="12492" width="17.33203125" style="1393" customWidth="1"/>
    <col min="12493" max="12493" width="18.88671875" style="1393" customWidth="1"/>
    <col min="12494" max="12494" width="14.109375" style="1393" customWidth="1"/>
    <col min="12495" max="12495" width="21.5546875" style="1393" customWidth="1"/>
    <col min="12496" max="12497" width="14.109375" style="1393" customWidth="1"/>
    <col min="12498" max="12498" width="15" style="1393" customWidth="1"/>
    <col min="12499" max="12499" width="13.33203125" style="1393" customWidth="1"/>
    <col min="12500" max="12500" width="17" style="1393" customWidth="1"/>
    <col min="12501" max="12501" width="24.88671875" style="1393" customWidth="1"/>
    <col min="12502" max="12502" width="14.44140625" style="1393" customWidth="1"/>
    <col min="12503" max="12503" width="23.109375" style="1393" customWidth="1"/>
    <col min="12504" max="12504" width="13.109375" style="1393" customWidth="1"/>
    <col min="12505" max="12508" width="0" style="1393" hidden="1" customWidth="1"/>
    <col min="12509" max="12744" width="10.33203125" style="1393"/>
    <col min="12745" max="12745" width="7" style="1393" customWidth="1"/>
    <col min="12746" max="12746" width="13" style="1393" customWidth="1"/>
    <col min="12747" max="12747" width="14.109375" style="1393" customWidth="1"/>
    <col min="12748" max="12748" width="17.33203125" style="1393" customWidth="1"/>
    <col min="12749" max="12749" width="18.88671875" style="1393" customWidth="1"/>
    <col min="12750" max="12750" width="14.109375" style="1393" customWidth="1"/>
    <col min="12751" max="12751" width="21.5546875" style="1393" customWidth="1"/>
    <col min="12752" max="12753" width="14.109375" style="1393" customWidth="1"/>
    <col min="12754" max="12754" width="15" style="1393" customWidth="1"/>
    <col min="12755" max="12755" width="13.33203125" style="1393" customWidth="1"/>
    <col min="12756" max="12756" width="17" style="1393" customWidth="1"/>
    <col min="12757" max="12757" width="24.88671875" style="1393" customWidth="1"/>
    <col min="12758" max="12758" width="14.44140625" style="1393" customWidth="1"/>
    <col min="12759" max="12759" width="23.109375" style="1393" customWidth="1"/>
    <col min="12760" max="12760" width="13.109375" style="1393" customWidth="1"/>
    <col min="12761" max="12764" width="0" style="1393" hidden="1" customWidth="1"/>
    <col min="12765" max="13000" width="10.33203125" style="1393"/>
    <col min="13001" max="13001" width="7" style="1393" customWidth="1"/>
    <col min="13002" max="13002" width="13" style="1393" customWidth="1"/>
    <col min="13003" max="13003" width="14.109375" style="1393" customWidth="1"/>
    <col min="13004" max="13004" width="17.33203125" style="1393" customWidth="1"/>
    <col min="13005" max="13005" width="18.88671875" style="1393" customWidth="1"/>
    <col min="13006" max="13006" width="14.109375" style="1393" customWidth="1"/>
    <col min="13007" max="13007" width="21.5546875" style="1393" customWidth="1"/>
    <col min="13008" max="13009" width="14.109375" style="1393" customWidth="1"/>
    <col min="13010" max="13010" width="15" style="1393" customWidth="1"/>
    <col min="13011" max="13011" width="13.33203125" style="1393" customWidth="1"/>
    <col min="13012" max="13012" width="17" style="1393" customWidth="1"/>
    <col min="13013" max="13013" width="24.88671875" style="1393" customWidth="1"/>
    <col min="13014" max="13014" width="14.44140625" style="1393" customWidth="1"/>
    <col min="13015" max="13015" width="23.109375" style="1393" customWidth="1"/>
    <col min="13016" max="13016" width="13.109375" style="1393" customWidth="1"/>
    <col min="13017" max="13020" width="0" style="1393" hidden="1" customWidth="1"/>
    <col min="13021" max="13256" width="10.33203125" style="1393"/>
    <col min="13257" max="13257" width="7" style="1393" customWidth="1"/>
    <col min="13258" max="13258" width="13" style="1393" customWidth="1"/>
    <col min="13259" max="13259" width="14.109375" style="1393" customWidth="1"/>
    <col min="13260" max="13260" width="17.33203125" style="1393" customWidth="1"/>
    <col min="13261" max="13261" width="18.88671875" style="1393" customWidth="1"/>
    <col min="13262" max="13262" width="14.109375" style="1393" customWidth="1"/>
    <col min="13263" max="13263" width="21.5546875" style="1393" customWidth="1"/>
    <col min="13264" max="13265" width="14.109375" style="1393" customWidth="1"/>
    <col min="13266" max="13266" width="15" style="1393" customWidth="1"/>
    <col min="13267" max="13267" width="13.33203125" style="1393" customWidth="1"/>
    <col min="13268" max="13268" width="17" style="1393" customWidth="1"/>
    <col min="13269" max="13269" width="24.88671875" style="1393" customWidth="1"/>
    <col min="13270" max="13270" width="14.44140625" style="1393" customWidth="1"/>
    <col min="13271" max="13271" width="23.109375" style="1393" customWidth="1"/>
    <col min="13272" max="13272" width="13.109375" style="1393" customWidth="1"/>
    <col min="13273" max="13276" width="0" style="1393" hidden="1" customWidth="1"/>
    <col min="13277" max="13512" width="10.33203125" style="1393"/>
    <col min="13513" max="13513" width="7" style="1393" customWidth="1"/>
    <col min="13514" max="13514" width="13" style="1393" customWidth="1"/>
    <col min="13515" max="13515" width="14.109375" style="1393" customWidth="1"/>
    <col min="13516" max="13516" width="17.33203125" style="1393" customWidth="1"/>
    <col min="13517" max="13517" width="18.88671875" style="1393" customWidth="1"/>
    <col min="13518" max="13518" width="14.109375" style="1393" customWidth="1"/>
    <col min="13519" max="13519" width="21.5546875" style="1393" customWidth="1"/>
    <col min="13520" max="13521" width="14.109375" style="1393" customWidth="1"/>
    <col min="13522" max="13522" width="15" style="1393" customWidth="1"/>
    <col min="13523" max="13523" width="13.33203125" style="1393" customWidth="1"/>
    <col min="13524" max="13524" width="17" style="1393" customWidth="1"/>
    <col min="13525" max="13525" width="24.88671875" style="1393" customWidth="1"/>
    <col min="13526" max="13526" width="14.44140625" style="1393" customWidth="1"/>
    <col min="13527" max="13527" width="23.109375" style="1393" customWidth="1"/>
    <col min="13528" max="13528" width="13.109375" style="1393" customWidth="1"/>
    <col min="13529" max="13532" width="0" style="1393" hidden="1" customWidth="1"/>
    <col min="13533" max="13768" width="10.33203125" style="1393"/>
    <col min="13769" max="13769" width="7" style="1393" customWidth="1"/>
    <col min="13770" max="13770" width="13" style="1393" customWidth="1"/>
    <col min="13771" max="13771" width="14.109375" style="1393" customWidth="1"/>
    <col min="13772" max="13772" width="17.33203125" style="1393" customWidth="1"/>
    <col min="13773" max="13773" width="18.88671875" style="1393" customWidth="1"/>
    <col min="13774" max="13774" width="14.109375" style="1393" customWidth="1"/>
    <col min="13775" max="13775" width="21.5546875" style="1393" customWidth="1"/>
    <col min="13776" max="13777" width="14.109375" style="1393" customWidth="1"/>
    <col min="13778" max="13778" width="15" style="1393" customWidth="1"/>
    <col min="13779" max="13779" width="13.33203125" style="1393" customWidth="1"/>
    <col min="13780" max="13780" width="17" style="1393" customWidth="1"/>
    <col min="13781" max="13781" width="24.88671875" style="1393" customWidth="1"/>
    <col min="13782" max="13782" width="14.44140625" style="1393" customWidth="1"/>
    <col min="13783" max="13783" width="23.109375" style="1393" customWidth="1"/>
    <col min="13784" max="13784" width="13.109375" style="1393" customWidth="1"/>
    <col min="13785" max="13788" width="0" style="1393" hidden="1" customWidth="1"/>
    <col min="13789" max="14024" width="10.33203125" style="1393"/>
    <col min="14025" max="14025" width="7" style="1393" customWidth="1"/>
    <col min="14026" max="14026" width="13" style="1393" customWidth="1"/>
    <col min="14027" max="14027" width="14.109375" style="1393" customWidth="1"/>
    <col min="14028" max="14028" width="17.33203125" style="1393" customWidth="1"/>
    <col min="14029" max="14029" width="18.88671875" style="1393" customWidth="1"/>
    <col min="14030" max="14030" width="14.109375" style="1393" customWidth="1"/>
    <col min="14031" max="14031" width="21.5546875" style="1393" customWidth="1"/>
    <col min="14032" max="14033" width="14.109375" style="1393" customWidth="1"/>
    <col min="14034" max="14034" width="15" style="1393" customWidth="1"/>
    <col min="14035" max="14035" width="13.33203125" style="1393" customWidth="1"/>
    <col min="14036" max="14036" width="17" style="1393" customWidth="1"/>
    <col min="14037" max="14037" width="24.88671875" style="1393" customWidth="1"/>
    <col min="14038" max="14038" width="14.44140625" style="1393" customWidth="1"/>
    <col min="14039" max="14039" width="23.109375" style="1393" customWidth="1"/>
    <col min="14040" max="14040" width="13.109375" style="1393" customWidth="1"/>
    <col min="14041" max="14044" width="0" style="1393" hidden="1" customWidth="1"/>
    <col min="14045" max="14280" width="10.33203125" style="1393"/>
    <col min="14281" max="14281" width="7" style="1393" customWidth="1"/>
    <col min="14282" max="14282" width="13" style="1393" customWidth="1"/>
    <col min="14283" max="14283" width="14.109375" style="1393" customWidth="1"/>
    <col min="14284" max="14284" width="17.33203125" style="1393" customWidth="1"/>
    <col min="14285" max="14285" width="18.88671875" style="1393" customWidth="1"/>
    <col min="14286" max="14286" width="14.109375" style="1393" customWidth="1"/>
    <col min="14287" max="14287" width="21.5546875" style="1393" customWidth="1"/>
    <col min="14288" max="14289" width="14.109375" style="1393" customWidth="1"/>
    <col min="14290" max="14290" width="15" style="1393" customWidth="1"/>
    <col min="14291" max="14291" width="13.33203125" style="1393" customWidth="1"/>
    <col min="14292" max="14292" width="17" style="1393" customWidth="1"/>
    <col min="14293" max="14293" width="24.88671875" style="1393" customWidth="1"/>
    <col min="14294" max="14294" width="14.44140625" style="1393" customWidth="1"/>
    <col min="14295" max="14295" width="23.109375" style="1393" customWidth="1"/>
    <col min="14296" max="14296" width="13.109375" style="1393" customWidth="1"/>
    <col min="14297" max="14300" width="0" style="1393" hidden="1" customWidth="1"/>
    <col min="14301" max="14536" width="10.33203125" style="1393"/>
    <col min="14537" max="14537" width="7" style="1393" customWidth="1"/>
    <col min="14538" max="14538" width="13" style="1393" customWidth="1"/>
    <col min="14539" max="14539" width="14.109375" style="1393" customWidth="1"/>
    <col min="14540" max="14540" width="17.33203125" style="1393" customWidth="1"/>
    <col min="14541" max="14541" width="18.88671875" style="1393" customWidth="1"/>
    <col min="14542" max="14542" width="14.109375" style="1393" customWidth="1"/>
    <col min="14543" max="14543" width="21.5546875" style="1393" customWidth="1"/>
    <col min="14544" max="14545" width="14.109375" style="1393" customWidth="1"/>
    <col min="14546" max="14546" width="15" style="1393" customWidth="1"/>
    <col min="14547" max="14547" width="13.33203125" style="1393" customWidth="1"/>
    <col min="14548" max="14548" width="17" style="1393" customWidth="1"/>
    <col min="14549" max="14549" width="24.88671875" style="1393" customWidth="1"/>
    <col min="14550" max="14550" width="14.44140625" style="1393" customWidth="1"/>
    <col min="14551" max="14551" width="23.109375" style="1393" customWidth="1"/>
    <col min="14552" max="14552" width="13.109375" style="1393" customWidth="1"/>
    <col min="14553" max="14556" width="0" style="1393" hidden="1" customWidth="1"/>
    <col min="14557" max="14792" width="10.33203125" style="1393"/>
    <col min="14793" max="14793" width="7" style="1393" customWidth="1"/>
    <col min="14794" max="14794" width="13" style="1393" customWidth="1"/>
    <col min="14795" max="14795" width="14.109375" style="1393" customWidth="1"/>
    <col min="14796" max="14796" width="17.33203125" style="1393" customWidth="1"/>
    <col min="14797" max="14797" width="18.88671875" style="1393" customWidth="1"/>
    <col min="14798" max="14798" width="14.109375" style="1393" customWidth="1"/>
    <col min="14799" max="14799" width="21.5546875" style="1393" customWidth="1"/>
    <col min="14800" max="14801" width="14.109375" style="1393" customWidth="1"/>
    <col min="14802" max="14802" width="15" style="1393" customWidth="1"/>
    <col min="14803" max="14803" width="13.33203125" style="1393" customWidth="1"/>
    <col min="14804" max="14804" width="17" style="1393" customWidth="1"/>
    <col min="14805" max="14805" width="24.88671875" style="1393" customWidth="1"/>
    <col min="14806" max="14806" width="14.44140625" style="1393" customWidth="1"/>
    <col min="14807" max="14807" width="23.109375" style="1393" customWidth="1"/>
    <col min="14808" max="14808" width="13.109375" style="1393" customWidth="1"/>
    <col min="14809" max="14812" width="0" style="1393" hidden="1" customWidth="1"/>
    <col min="14813" max="15048" width="10.33203125" style="1393"/>
    <col min="15049" max="15049" width="7" style="1393" customWidth="1"/>
    <col min="15050" max="15050" width="13" style="1393" customWidth="1"/>
    <col min="15051" max="15051" width="14.109375" style="1393" customWidth="1"/>
    <col min="15052" max="15052" width="17.33203125" style="1393" customWidth="1"/>
    <col min="15053" max="15053" width="18.88671875" style="1393" customWidth="1"/>
    <col min="15054" max="15054" width="14.109375" style="1393" customWidth="1"/>
    <col min="15055" max="15055" width="21.5546875" style="1393" customWidth="1"/>
    <col min="15056" max="15057" width="14.109375" style="1393" customWidth="1"/>
    <col min="15058" max="15058" width="15" style="1393" customWidth="1"/>
    <col min="15059" max="15059" width="13.33203125" style="1393" customWidth="1"/>
    <col min="15060" max="15060" width="17" style="1393" customWidth="1"/>
    <col min="15061" max="15061" width="24.88671875" style="1393" customWidth="1"/>
    <col min="15062" max="15062" width="14.44140625" style="1393" customWidth="1"/>
    <col min="15063" max="15063" width="23.109375" style="1393" customWidth="1"/>
    <col min="15064" max="15064" width="13.109375" style="1393" customWidth="1"/>
    <col min="15065" max="15068" width="0" style="1393" hidden="1" customWidth="1"/>
    <col min="15069" max="15304" width="10.33203125" style="1393"/>
    <col min="15305" max="15305" width="7" style="1393" customWidth="1"/>
    <col min="15306" max="15306" width="13" style="1393" customWidth="1"/>
    <col min="15307" max="15307" width="14.109375" style="1393" customWidth="1"/>
    <col min="15308" max="15308" width="17.33203125" style="1393" customWidth="1"/>
    <col min="15309" max="15309" width="18.88671875" style="1393" customWidth="1"/>
    <col min="15310" max="15310" width="14.109375" style="1393" customWidth="1"/>
    <col min="15311" max="15311" width="21.5546875" style="1393" customWidth="1"/>
    <col min="15312" max="15313" width="14.109375" style="1393" customWidth="1"/>
    <col min="15314" max="15314" width="15" style="1393" customWidth="1"/>
    <col min="15315" max="15315" width="13.33203125" style="1393" customWidth="1"/>
    <col min="15316" max="15316" width="17" style="1393" customWidth="1"/>
    <col min="15317" max="15317" width="24.88671875" style="1393" customWidth="1"/>
    <col min="15318" max="15318" width="14.44140625" style="1393" customWidth="1"/>
    <col min="15319" max="15319" width="23.109375" style="1393" customWidth="1"/>
    <col min="15320" max="15320" width="13.109375" style="1393" customWidth="1"/>
    <col min="15321" max="15324" width="0" style="1393" hidden="1" customWidth="1"/>
    <col min="15325" max="15560" width="10.33203125" style="1393"/>
    <col min="15561" max="15561" width="7" style="1393" customWidth="1"/>
    <col min="15562" max="15562" width="13" style="1393" customWidth="1"/>
    <col min="15563" max="15563" width="14.109375" style="1393" customWidth="1"/>
    <col min="15564" max="15564" width="17.33203125" style="1393" customWidth="1"/>
    <col min="15565" max="15565" width="18.88671875" style="1393" customWidth="1"/>
    <col min="15566" max="15566" width="14.109375" style="1393" customWidth="1"/>
    <col min="15567" max="15567" width="21.5546875" style="1393" customWidth="1"/>
    <col min="15568" max="15569" width="14.109375" style="1393" customWidth="1"/>
    <col min="15570" max="15570" width="15" style="1393" customWidth="1"/>
    <col min="15571" max="15571" width="13.33203125" style="1393" customWidth="1"/>
    <col min="15572" max="15572" width="17" style="1393" customWidth="1"/>
    <col min="15573" max="15573" width="24.88671875" style="1393" customWidth="1"/>
    <col min="15574" max="15574" width="14.44140625" style="1393" customWidth="1"/>
    <col min="15575" max="15575" width="23.109375" style="1393" customWidth="1"/>
    <col min="15576" max="15576" width="13.109375" style="1393" customWidth="1"/>
    <col min="15577" max="15580" width="0" style="1393" hidden="1" customWidth="1"/>
    <col min="15581" max="15816" width="10.33203125" style="1393"/>
    <col min="15817" max="15817" width="7" style="1393" customWidth="1"/>
    <col min="15818" max="15818" width="13" style="1393" customWidth="1"/>
    <col min="15819" max="15819" width="14.109375" style="1393" customWidth="1"/>
    <col min="15820" max="15820" width="17.33203125" style="1393" customWidth="1"/>
    <col min="15821" max="15821" width="18.88671875" style="1393" customWidth="1"/>
    <col min="15822" max="15822" width="14.109375" style="1393" customWidth="1"/>
    <col min="15823" max="15823" width="21.5546875" style="1393" customWidth="1"/>
    <col min="15824" max="15825" width="14.109375" style="1393" customWidth="1"/>
    <col min="15826" max="15826" width="15" style="1393" customWidth="1"/>
    <col min="15827" max="15827" width="13.33203125" style="1393" customWidth="1"/>
    <col min="15828" max="15828" width="17" style="1393" customWidth="1"/>
    <col min="15829" max="15829" width="24.88671875" style="1393" customWidth="1"/>
    <col min="15830" max="15830" width="14.44140625" style="1393" customWidth="1"/>
    <col min="15831" max="15831" width="23.109375" style="1393" customWidth="1"/>
    <col min="15832" max="15832" width="13.109375" style="1393" customWidth="1"/>
    <col min="15833" max="15836" width="0" style="1393" hidden="1" customWidth="1"/>
    <col min="15837" max="16072" width="10.33203125" style="1393"/>
    <col min="16073" max="16073" width="7" style="1393" customWidth="1"/>
    <col min="16074" max="16074" width="13" style="1393" customWidth="1"/>
    <col min="16075" max="16075" width="14.109375" style="1393" customWidth="1"/>
    <col min="16076" max="16076" width="17.33203125" style="1393" customWidth="1"/>
    <col min="16077" max="16077" width="18.88671875" style="1393" customWidth="1"/>
    <col min="16078" max="16078" width="14.109375" style="1393" customWidth="1"/>
    <col min="16079" max="16079" width="21.5546875" style="1393" customWidth="1"/>
    <col min="16080" max="16081" width="14.109375" style="1393" customWidth="1"/>
    <col min="16082" max="16082" width="15" style="1393" customWidth="1"/>
    <col min="16083" max="16083" width="13.33203125" style="1393" customWidth="1"/>
    <col min="16084" max="16084" width="17" style="1393" customWidth="1"/>
    <col min="16085" max="16085" width="24.88671875" style="1393" customWidth="1"/>
    <col min="16086" max="16086" width="14.44140625" style="1393" customWidth="1"/>
    <col min="16087" max="16087" width="23.109375" style="1393" customWidth="1"/>
    <col min="16088" max="16088" width="13.109375" style="1393" customWidth="1"/>
    <col min="16089" max="16092" width="0" style="1393" hidden="1" customWidth="1"/>
    <col min="16093" max="16384" width="10.33203125" style="1393"/>
  </cols>
  <sheetData>
    <row r="1" spans="1:57" s="1866" customFormat="1" ht="39.75" customHeight="1">
      <c r="A1" s="4083" t="s">
        <v>5346</v>
      </c>
      <c r="B1" s="4084"/>
      <c r="C1" s="4084"/>
      <c r="D1" s="4084"/>
      <c r="E1" s="4084"/>
      <c r="F1" s="4084"/>
      <c r="G1" s="4084"/>
      <c r="H1" s="4084"/>
      <c r="I1" s="4084"/>
      <c r="J1" s="4084"/>
      <c r="K1" s="4084"/>
      <c r="L1" s="4084"/>
      <c r="M1" s="4084"/>
      <c r="N1" s="1480"/>
      <c r="O1" s="2605"/>
      <c r="P1" s="1919"/>
      <c r="Q1" s="1480"/>
      <c r="R1" s="1480"/>
      <c r="S1" s="1662"/>
      <c r="T1" s="1662"/>
      <c r="U1" s="1479"/>
      <c r="V1" s="1860"/>
      <c r="W1" s="1860"/>
      <c r="X1" s="1860"/>
      <c r="Y1" s="1860"/>
      <c r="Z1" s="1861"/>
      <c r="AA1" s="1861"/>
      <c r="AB1" s="1860"/>
      <c r="AC1" s="1860"/>
      <c r="AD1" s="1860"/>
      <c r="AE1" s="1862"/>
      <c r="AF1" s="1863"/>
      <c r="AG1" s="1864"/>
      <c r="AH1" s="1865"/>
      <c r="AI1" s="1481"/>
    </row>
    <row r="2" spans="1:57" ht="12" customHeight="1">
      <c r="B2" s="1867"/>
      <c r="P2" s="1919"/>
      <c r="V2" s="1868"/>
      <c r="W2" s="1868"/>
      <c r="X2" s="1868"/>
      <c r="Y2" s="1868"/>
      <c r="Z2" s="1869"/>
      <c r="AA2" s="1869"/>
      <c r="AB2" s="1869"/>
      <c r="AC2" s="1869"/>
      <c r="AD2" s="1869"/>
      <c r="AE2" s="1870"/>
      <c r="AF2" s="1418">
        <f>(((G2*3450000+H2*3550000+I2*AJ2)+(AI2*$AI$4*(G2+H2))+(AK2*$AK$4*(G2+H2))+(AL2*$AL$4*(G2+H2))+(AM2*$AM$4*(G2+H2))+(AO2*$AO$4*(G2+H2))+(AP2*$AP$4)+(AQ2*$AQ$4*(G2+H2))+(AR2*$AR$4*(G2+H2)))*1.08)</f>
        <v>0</v>
      </c>
      <c r="AG2" s="1869"/>
      <c r="AH2" s="1871"/>
    </row>
    <row r="3" spans="1:57" s="1874" customFormat="1" ht="20.25" customHeight="1">
      <c r="A3" s="3708" t="s">
        <v>4373</v>
      </c>
      <c r="B3" s="3709"/>
      <c r="C3" s="3709"/>
      <c r="D3" s="3709"/>
      <c r="E3" s="3709"/>
      <c r="F3" s="3709"/>
      <c r="G3" s="3709"/>
      <c r="H3" s="3709"/>
      <c r="I3" s="3709"/>
      <c r="J3" s="3709"/>
      <c r="K3" s="3709"/>
      <c r="L3" s="3709"/>
      <c r="M3" s="3709"/>
      <c r="N3" s="3709"/>
      <c r="O3" s="3709"/>
      <c r="P3" s="3709"/>
      <c r="Q3" s="3709"/>
      <c r="R3" s="1872"/>
      <c r="S3" s="1872"/>
      <c r="T3" s="3582"/>
      <c r="U3" s="1873"/>
      <c r="V3" s="1873"/>
      <c r="W3" s="1873"/>
      <c r="X3" s="1873"/>
      <c r="Y3" s="1873"/>
      <c r="Z3" s="1873"/>
      <c r="AA3" s="1873"/>
      <c r="AB3" s="1873"/>
      <c r="AC3" s="1873"/>
      <c r="AD3" s="1873"/>
      <c r="AE3" s="1873"/>
      <c r="AF3" s="1873"/>
      <c r="AG3" s="1873"/>
      <c r="AH3" s="1873"/>
    </row>
    <row r="4" spans="1:57">
      <c r="B4" s="1875"/>
      <c r="C4" s="654" t="s">
        <v>4370</v>
      </c>
      <c r="D4" s="4063" t="s">
        <v>6195</v>
      </c>
      <c r="E4" s="4063"/>
      <c r="F4" s="4063"/>
      <c r="G4" s="4063"/>
      <c r="H4" s="4063"/>
      <c r="I4" s="4063"/>
      <c r="J4" s="4063"/>
      <c r="K4" s="4063"/>
      <c r="L4" s="4063"/>
      <c r="M4" s="4063"/>
      <c r="N4" s="1836"/>
      <c r="O4" s="2607"/>
      <c r="P4" s="2609"/>
      <c r="Q4" s="1836"/>
      <c r="R4" s="1876"/>
      <c r="AE4" s="1879"/>
      <c r="AF4" s="1880"/>
      <c r="AH4" s="1882"/>
      <c r="AI4" s="1772">
        <v>800000</v>
      </c>
      <c r="AJ4" s="1773"/>
      <c r="AK4" s="1774">
        <v>900000</v>
      </c>
      <c r="AL4" s="1774">
        <v>450000</v>
      </c>
      <c r="AM4" s="1774">
        <v>2500000</v>
      </c>
      <c r="AN4" s="1774">
        <v>1000000</v>
      </c>
      <c r="AO4" s="1774">
        <v>260000</v>
      </c>
      <c r="AP4" s="1774">
        <v>1000000</v>
      </c>
      <c r="AQ4" s="1883">
        <v>400000</v>
      </c>
      <c r="AR4" s="1883">
        <v>650000</v>
      </c>
      <c r="AS4" s="1883">
        <v>1500000</v>
      </c>
      <c r="AT4" s="1883">
        <v>1500000</v>
      </c>
    </row>
    <row r="5" spans="1:57" s="3629" customFormat="1" ht="104.25" customHeight="1">
      <c r="A5" s="1335" t="s">
        <v>2</v>
      </c>
      <c r="B5" s="1335" t="s">
        <v>2773</v>
      </c>
      <c r="C5" s="1335" t="s">
        <v>3</v>
      </c>
      <c r="D5" s="1335" t="s">
        <v>4</v>
      </c>
      <c r="E5" s="1335" t="s">
        <v>4400</v>
      </c>
      <c r="F5" s="1335" t="s">
        <v>4399</v>
      </c>
      <c r="G5" s="1335" t="s">
        <v>8</v>
      </c>
      <c r="H5" s="1335" t="s">
        <v>9</v>
      </c>
      <c r="I5" s="1335" t="s">
        <v>102</v>
      </c>
      <c r="J5" s="1335" t="s">
        <v>404</v>
      </c>
      <c r="K5" s="1335" t="s">
        <v>4497</v>
      </c>
      <c r="L5" s="1335" t="s">
        <v>4409</v>
      </c>
      <c r="M5" s="1335" t="s">
        <v>4612</v>
      </c>
      <c r="N5" s="1335" t="s">
        <v>4368</v>
      </c>
      <c r="O5" s="1335" t="s">
        <v>4402</v>
      </c>
      <c r="P5" s="1335" t="s">
        <v>5939</v>
      </c>
      <c r="Q5" s="1335" t="s">
        <v>4531</v>
      </c>
      <c r="R5" s="1335" t="s">
        <v>4617</v>
      </c>
      <c r="S5" s="1335" t="s">
        <v>4398</v>
      </c>
      <c r="T5" s="1335" t="s">
        <v>8099</v>
      </c>
      <c r="U5" s="1335" t="s">
        <v>1583</v>
      </c>
      <c r="V5" s="1335" t="s">
        <v>1291</v>
      </c>
      <c r="W5" s="1335" t="s">
        <v>190</v>
      </c>
      <c r="X5" s="1335" t="s">
        <v>191</v>
      </c>
      <c r="Y5" s="1340" t="s">
        <v>192</v>
      </c>
      <c r="Z5" s="1340" t="s">
        <v>193</v>
      </c>
      <c r="AA5" s="1340" t="s">
        <v>1313</v>
      </c>
      <c r="AB5" s="1335" t="s">
        <v>194</v>
      </c>
      <c r="AC5" s="1335" t="s">
        <v>4651</v>
      </c>
      <c r="AD5" s="1335" t="s">
        <v>195</v>
      </c>
      <c r="AE5" s="1341" t="s">
        <v>197</v>
      </c>
      <c r="AF5" s="1340" t="s">
        <v>198</v>
      </c>
      <c r="AG5" s="1335" t="s">
        <v>199</v>
      </c>
      <c r="AH5" s="1355" t="s">
        <v>200</v>
      </c>
      <c r="AI5" s="3628" t="s">
        <v>4655</v>
      </c>
      <c r="AJ5" s="1914" t="s">
        <v>4663</v>
      </c>
      <c r="AK5" s="1914" t="s">
        <v>4654</v>
      </c>
      <c r="AL5" s="1914" t="s">
        <v>4656</v>
      </c>
      <c r="AM5" s="1914" t="s">
        <v>4657</v>
      </c>
      <c r="AN5" s="1914" t="s">
        <v>5093</v>
      </c>
      <c r="AO5" s="1914" t="s">
        <v>4658</v>
      </c>
      <c r="AP5" s="1914" t="s">
        <v>4659</v>
      </c>
      <c r="AQ5" s="1914" t="s">
        <v>4660</v>
      </c>
      <c r="AR5" s="1914" t="s">
        <v>4662</v>
      </c>
      <c r="AS5" s="1914" t="s">
        <v>5480</v>
      </c>
      <c r="AT5" s="1914" t="s">
        <v>5679</v>
      </c>
    </row>
    <row r="6" spans="1:57" ht="15.6">
      <c r="A6" s="3752" t="s">
        <v>4302</v>
      </c>
      <c r="B6" s="3752"/>
      <c r="C6" s="3752"/>
      <c r="D6" s="3752"/>
      <c r="E6" s="3752"/>
      <c r="F6" s="3752"/>
      <c r="G6" s="3752"/>
      <c r="H6" s="3752"/>
      <c r="I6" s="3752"/>
      <c r="J6" s="3752"/>
      <c r="K6" s="3752"/>
      <c r="L6" s="3752"/>
      <c r="M6" s="3752"/>
      <c r="N6" s="3752"/>
      <c r="O6" s="2591"/>
      <c r="P6" s="2610"/>
      <c r="Q6" s="2594"/>
      <c r="R6" s="1884"/>
      <c r="S6" s="1885"/>
      <c r="T6" s="3626"/>
      <c r="U6" s="1886"/>
      <c r="V6" s="1887"/>
      <c r="W6" s="1888"/>
      <c r="X6" s="1888"/>
      <c r="Y6" s="1888"/>
      <c r="Z6" s="1889"/>
      <c r="AA6" s="1889"/>
      <c r="AB6" s="1888"/>
      <c r="AC6" s="1890"/>
      <c r="AD6" s="1890"/>
      <c r="AE6" s="1891"/>
      <c r="AF6" s="1892"/>
      <c r="AG6" s="1892"/>
      <c r="AH6" s="1892"/>
      <c r="AI6" s="1521"/>
      <c r="AJ6" s="1522"/>
      <c r="AK6" s="1523"/>
      <c r="AL6" s="1893"/>
      <c r="AM6" s="1893"/>
      <c r="AN6" s="1893"/>
      <c r="AO6" s="1893"/>
      <c r="AP6" s="1893"/>
      <c r="AQ6" s="1893"/>
      <c r="AR6" s="1893"/>
      <c r="AS6" s="1525"/>
      <c r="AT6" s="1525"/>
    </row>
    <row r="7" spans="1:57" ht="44.25" customHeight="1">
      <c r="A7" s="670">
        <v>1</v>
      </c>
      <c r="B7" s="2981" t="s">
        <v>4391</v>
      </c>
      <c r="C7" s="2064">
        <v>106854516531</v>
      </c>
      <c r="D7" s="699" t="s">
        <v>4334</v>
      </c>
      <c r="E7" s="2982" t="s">
        <v>4401</v>
      </c>
      <c r="F7" s="2983" t="s">
        <v>4641</v>
      </c>
      <c r="G7" s="445">
        <v>3</v>
      </c>
      <c r="H7" s="445"/>
      <c r="I7" s="445"/>
      <c r="J7" s="2984" t="s">
        <v>136</v>
      </c>
      <c r="K7" s="1436">
        <v>83084</v>
      </c>
      <c r="L7" s="522" t="s">
        <v>4371</v>
      </c>
      <c r="M7" s="2961" t="s">
        <v>4613</v>
      </c>
      <c r="N7" s="959" t="s">
        <v>4383</v>
      </c>
      <c r="O7" s="1397" t="s">
        <v>4390</v>
      </c>
      <c r="P7" s="2611"/>
      <c r="Q7" s="2595" t="s">
        <v>4389</v>
      </c>
      <c r="R7" s="1398"/>
      <c r="S7" s="1400" t="s">
        <v>2760</v>
      </c>
      <c r="T7" s="1587"/>
      <c r="U7" s="1405" t="s">
        <v>4618</v>
      </c>
      <c r="V7" s="1399"/>
      <c r="W7" s="1894">
        <v>1296000</v>
      </c>
      <c r="X7" s="1856">
        <f>850000*3</f>
        <v>2550000</v>
      </c>
      <c r="Y7" s="1399"/>
      <c r="Z7" s="1895"/>
      <c r="AA7" s="1858">
        <v>750000</v>
      </c>
      <c r="AB7" s="1399"/>
      <c r="AC7" s="1400"/>
      <c r="AD7" s="1416">
        <f>SUM(V7:AC7)</f>
        <v>4596000</v>
      </c>
      <c r="AE7" s="1896" t="s">
        <v>1596</v>
      </c>
      <c r="AF7" s="1418">
        <f>(((G7*3450000+H7*3550000+I7*AJ7)+(AI7*$AI$4*(G7+H7))+(AK7*$AK$4*(G7+H7))+(AL7*$AL$4*(G7+H7))+(AM7*$AM$4*(G7+H7))+(AO7*$AO$4*(G7+H7))+(AP7*$AP$4)+(AQ7*$AQ$4*(G7+H7))+(AR7*$AR$4*(G7+H7)))*1.08)</f>
        <v>17982000</v>
      </c>
      <c r="AG7" s="1624">
        <f>+AD7+AF7</f>
        <v>22578000</v>
      </c>
      <c r="AH7" s="1625"/>
      <c r="AI7" s="1524">
        <v>1</v>
      </c>
      <c r="AJ7" s="1626"/>
      <c r="AK7" s="1626">
        <v>1</v>
      </c>
      <c r="AL7" s="1626"/>
      <c r="AM7" s="1626"/>
      <c r="AN7" s="1626"/>
      <c r="AO7" s="1626"/>
      <c r="AP7" s="1626"/>
      <c r="AQ7" s="1626">
        <v>1</v>
      </c>
      <c r="AR7" s="1626"/>
      <c r="AS7" s="1525"/>
      <c r="AT7" s="1525"/>
      <c r="AU7" s="1897"/>
      <c r="AV7" s="1897"/>
      <c r="AW7" s="1897"/>
      <c r="AX7" s="1897"/>
      <c r="AY7" s="1897"/>
      <c r="AZ7" s="1897"/>
      <c r="BA7" s="1897"/>
      <c r="BB7" s="1897"/>
      <c r="BC7" s="1897"/>
      <c r="BD7" s="1897"/>
      <c r="BE7" s="1897"/>
    </row>
    <row r="8" spans="1:57" ht="75.75" customHeight="1">
      <c r="A8" s="326">
        <f t="shared" ref="A8:A71" si="0">+A7+1</f>
        <v>2</v>
      </c>
      <c r="B8" s="1406" t="s">
        <v>4725</v>
      </c>
      <c r="C8" s="1299">
        <v>106861190701</v>
      </c>
      <c r="D8" s="386" t="s">
        <v>4374</v>
      </c>
      <c r="E8" s="1385" t="s">
        <v>4401</v>
      </c>
      <c r="F8" s="1440" t="s">
        <v>4642</v>
      </c>
      <c r="G8" s="167">
        <v>6</v>
      </c>
      <c r="H8" s="167"/>
      <c r="I8" s="167"/>
      <c r="J8" s="86" t="s">
        <v>123</v>
      </c>
      <c r="K8" s="1436">
        <v>168158</v>
      </c>
      <c r="L8" s="820" t="s">
        <v>4392</v>
      </c>
      <c r="M8" s="1312" t="s">
        <v>4614</v>
      </c>
      <c r="N8" s="1515" t="s">
        <v>4650</v>
      </c>
      <c r="O8" s="2592" t="s">
        <v>4386</v>
      </c>
      <c r="P8" s="2612"/>
      <c r="Q8" s="2595" t="s">
        <v>4421</v>
      </c>
      <c r="R8" s="1398"/>
      <c r="S8" s="1380" t="s">
        <v>4387</v>
      </c>
      <c r="T8" s="3606"/>
      <c r="U8" s="1407" t="s">
        <v>4618</v>
      </c>
      <c r="V8" s="1622"/>
      <c r="W8" s="1894">
        <f>343440+343440+343440+343440+343440+343440</f>
        <v>2060640</v>
      </c>
      <c r="X8" s="1856">
        <f>6*1000000</f>
        <v>6000000</v>
      </c>
      <c r="Y8" s="1622"/>
      <c r="Z8" s="1736"/>
      <c r="AA8" s="1858">
        <v>1500000</v>
      </c>
      <c r="AB8" s="1399"/>
      <c r="AC8" s="1709"/>
      <c r="AD8" s="1416">
        <f t="shared" ref="AD8:AD45" si="1">SUM(V8:AC8)</f>
        <v>9560640</v>
      </c>
      <c r="AE8" s="1896" t="s">
        <v>4388</v>
      </c>
      <c r="AF8" s="1418">
        <f>(((G8*3450000+H8*3550000+I8*AJ8)+(AI8*$AI$4*(G8+H8))+(AK8*$AK$4*(G8+H8))+(AL8*$AL$4*(G8+H8))+(AM8*$AM$4*(G8+H8))+(AO8*$AO$4*(G8+H8))+(AP8*$AP$4)+(AQ8*$AQ$4*(G8+H8))+(AR8*$AR$4*(G8+H8)))*1.08)</f>
        <v>35056800</v>
      </c>
      <c r="AG8" s="1624">
        <f t="shared" ref="AG8:AG17" si="2">+AD8+AF8</f>
        <v>44617440</v>
      </c>
      <c r="AH8" s="1625"/>
      <c r="AI8" s="1524">
        <v>1</v>
      </c>
      <c r="AJ8" s="1626"/>
      <c r="AK8" s="1626">
        <v>1</v>
      </c>
      <c r="AL8" s="1626"/>
      <c r="AM8" s="1626"/>
      <c r="AN8" s="1626"/>
      <c r="AO8" s="1626">
        <v>1</v>
      </c>
      <c r="AP8" s="1626"/>
      <c r="AQ8" s="1626"/>
      <c r="AR8" s="1626"/>
      <c r="AS8" s="1525"/>
      <c r="AT8" s="1525"/>
      <c r="AU8" s="1897"/>
      <c r="AV8" s="1897"/>
      <c r="AW8" s="1897"/>
      <c r="AX8" s="1897"/>
      <c r="AY8" s="1897"/>
      <c r="AZ8" s="1897"/>
      <c r="BA8" s="1897"/>
      <c r="BB8" s="1897"/>
      <c r="BC8" s="1897"/>
      <c r="BD8" s="1897"/>
      <c r="BE8" s="1897"/>
    </row>
    <row r="9" spans="1:57" s="1350" customFormat="1" ht="24" customHeight="1">
      <c r="A9" s="326">
        <v>3</v>
      </c>
      <c r="B9" s="1539" t="s">
        <v>4515</v>
      </c>
      <c r="C9" s="166">
        <v>106890064520</v>
      </c>
      <c r="D9" s="386" t="s">
        <v>4483</v>
      </c>
      <c r="E9" s="117" t="s">
        <v>4444</v>
      </c>
      <c r="F9" s="1208" t="s">
        <v>4643</v>
      </c>
      <c r="G9" s="167">
        <v>1</v>
      </c>
      <c r="H9" s="167"/>
      <c r="I9" s="167"/>
      <c r="J9" s="780"/>
      <c r="K9" s="1267">
        <v>27910</v>
      </c>
      <c r="L9" s="1898"/>
      <c r="M9" s="577" t="s">
        <v>4615</v>
      </c>
      <c r="N9" s="707" t="s">
        <v>4520</v>
      </c>
      <c r="O9" s="2592" t="s">
        <v>4499</v>
      </c>
      <c r="P9" s="2613"/>
      <c r="Q9" s="2596" t="s">
        <v>4672</v>
      </c>
      <c r="R9" s="1899" t="s">
        <v>4673</v>
      </c>
      <c r="S9" s="1663" t="s">
        <v>287</v>
      </c>
      <c r="T9" s="2673"/>
      <c r="U9" s="1404" t="s">
        <v>4619</v>
      </c>
      <c r="V9" s="1622"/>
      <c r="W9" s="1735">
        <v>432000</v>
      </c>
      <c r="X9" s="1856">
        <v>999000</v>
      </c>
      <c r="Y9" s="1622"/>
      <c r="Z9" s="1736"/>
      <c r="AA9" s="1858">
        <v>250000</v>
      </c>
      <c r="AB9" s="1399"/>
      <c r="AC9" s="1623"/>
      <c r="AD9" s="1416">
        <f t="shared" si="1"/>
        <v>1681000</v>
      </c>
      <c r="AE9" s="1690"/>
      <c r="AF9" s="1418">
        <f>(((G9*3450000+H9*3550000+I9*AJ9)+(AI9*$AI$4*(G9+H9))+(AK9*$AK$4*(G9+H9))+(AL9*$AL$4*(G9+H9))+(AM9*$AM$4*(G9+H9))+(AO9*$AO$4*(G9+H9))+(AP9*$AP$4)+(AQ9*$AQ$4*(G9+H9))+(AR9*$AR$4*(G9+H9)))*1.08)</f>
        <v>5562000</v>
      </c>
      <c r="AG9" s="1624">
        <f t="shared" si="2"/>
        <v>7243000</v>
      </c>
      <c r="AH9" s="1625"/>
      <c r="AI9" s="1524">
        <v>1</v>
      </c>
      <c r="AJ9" s="1626"/>
      <c r="AK9" s="1525">
        <v>1</v>
      </c>
      <c r="AL9" s="1525"/>
      <c r="AM9" s="1525"/>
      <c r="AN9" s="1525"/>
      <c r="AO9" s="1525"/>
      <c r="AP9" s="1525"/>
      <c r="AQ9" s="1525"/>
      <c r="AR9" s="1525"/>
      <c r="AS9" s="1525"/>
      <c r="AT9" s="1525"/>
      <c r="AU9" s="1518"/>
      <c r="AV9" s="1518"/>
      <c r="AW9" s="1518"/>
      <c r="AX9" s="1518"/>
      <c r="AY9" s="1518"/>
      <c r="AZ9" s="1518"/>
      <c r="BA9" s="1518"/>
      <c r="BB9" s="1518"/>
      <c r="BC9" s="1518"/>
      <c r="BD9" s="1518"/>
      <c r="BE9" s="1518"/>
    </row>
    <row r="10" spans="1:57" s="1350" customFormat="1" ht="15" customHeight="1">
      <c r="A10" s="326">
        <f t="shared" si="0"/>
        <v>4</v>
      </c>
      <c r="B10" s="1859"/>
      <c r="C10" s="166">
        <v>106874862730</v>
      </c>
      <c r="D10" s="386" t="s">
        <v>4421</v>
      </c>
      <c r="E10" s="47"/>
      <c r="F10" s="1208" t="s">
        <v>4644</v>
      </c>
      <c r="G10" s="4085" t="s">
        <v>4450</v>
      </c>
      <c r="H10" s="4086"/>
      <c r="I10" s="4087"/>
      <c r="J10" s="780"/>
      <c r="K10" s="1436">
        <v>1912.4</v>
      </c>
      <c r="L10" s="1436" t="s">
        <v>4451</v>
      </c>
      <c r="M10" s="154" t="s">
        <v>4616</v>
      </c>
      <c r="N10" s="707"/>
      <c r="O10" s="2592"/>
      <c r="P10" s="2613"/>
      <c r="Q10" s="2597"/>
      <c r="R10" s="1621"/>
      <c r="S10" s="165"/>
      <c r="T10" s="2674"/>
      <c r="U10" s="1404" t="s">
        <v>4620</v>
      </c>
      <c r="V10" s="1622"/>
      <c r="W10" s="1622"/>
      <c r="X10" s="1622"/>
      <c r="Y10" s="1622"/>
      <c r="Z10" s="1736"/>
      <c r="AA10" s="1710"/>
      <c r="AB10" s="1399"/>
      <c r="AC10" s="1623"/>
      <c r="AD10" s="1416">
        <f t="shared" si="1"/>
        <v>0</v>
      </c>
      <c r="AE10" s="1690"/>
      <c r="AF10" s="1418">
        <f>800000*1.08</f>
        <v>864000</v>
      </c>
      <c r="AG10" s="1624">
        <f t="shared" si="2"/>
        <v>864000</v>
      </c>
      <c r="AH10" s="1625"/>
      <c r="AI10" s="1524"/>
      <c r="AJ10" s="1626"/>
      <c r="AK10" s="1525"/>
      <c r="AL10" s="1525"/>
      <c r="AM10" s="1525"/>
      <c r="AN10" s="1525"/>
      <c r="AO10" s="1525"/>
      <c r="AP10" s="1525"/>
      <c r="AQ10" s="1525"/>
      <c r="AR10" s="1525"/>
      <c r="AS10" s="1525"/>
      <c r="AT10" s="1525"/>
      <c r="AU10" s="1518"/>
      <c r="AV10" s="1518"/>
      <c r="AW10" s="1518"/>
      <c r="AX10" s="1518"/>
      <c r="AY10" s="1518"/>
      <c r="AZ10" s="1518"/>
      <c r="BA10" s="1518"/>
      <c r="BB10" s="1518"/>
      <c r="BC10" s="1518"/>
      <c r="BD10" s="1518"/>
      <c r="BE10" s="1518"/>
    </row>
    <row r="11" spans="1:57" ht="15.6">
      <c r="A11" s="4081" t="s">
        <v>4675</v>
      </c>
      <c r="B11" s="4081"/>
      <c r="C11" s="4081"/>
      <c r="D11" s="4081"/>
      <c r="E11" s="4081"/>
      <c r="F11" s="4081"/>
      <c r="G11" s="4081"/>
      <c r="H11" s="4081"/>
      <c r="I11" s="4081"/>
      <c r="J11" s="4081"/>
      <c r="K11" s="4081"/>
      <c r="L11" s="4081"/>
      <c r="M11" s="4081"/>
      <c r="N11" s="4081"/>
      <c r="O11" s="2591"/>
      <c r="P11" s="2610"/>
      <c r="Q11" s="2594"/>
      <c r="R11" s="1884"/>
      <c r="S11" s="1885"/>
      <c r="T11" s="3626"/>
      <c r="U11" s="1886"/>
      <c r="V11" s="1887"/>
      <c r="W11" s="1888">
        <f>SUM(W7:W10)</f>
        <v>3788640</v>
      </c>
      <c r="X11" s="1888">
        <f>SUM(X7:X10)</f>
        <v>9549000</v>
      </c>
      <c r="Y11" s="1888"/>
      <c r="Z11" s="1889"/>
      <c r="AA11" s="1889">
        <f>SUM(AA7:AA10)</f>
        <v>2500000</v>
      </c>
      <c r="AB11" s="1888"/>
      <c r="AC11" s="1890"/>
      <c r="AD11" s="1890">
        <f>SUM(AD7:AD10)</f>
        <v>15837640</v>
      </c>
      <c r="AE11" s="1891"/>
      <c r="AF11" s="1892">
        <f>SUM(AF7:AF10)</f>
        <v>59464800</v>
      </c>
      <c r="AG11" s="1892">
        <f>SUM(AG7:AG10)</f>
        <v>75302440</v>
      </c>
      <c r="AH11" s="1892"/>
      <c r="AI11" s="1521"/>
      <c r="AJ11" s="1522"/>
      <c r="AK11" s="1523"/>
      <c r="AL11" s="1893"/>
      <c r="AM11" s="1893"/>
      <c r="AN11" s="1893"/>
      <c r="AO11" s="1893"/>
      <c r="AP11" s="1893"/>
      <c r="AQ11" s="1893"/>
      <c r="AR11" s="1893"/>
      <c r="AS11" s="1525"/>
      <c r="AT11" s="1525"/>
    </row>
    <row r="12" spans="1:57" s="1350" customFormat="1" ht="106.2">
      <c r="A12" s="326">
        <v>1</v>
      </c>
      <c r="B12" s="666" t="s">
        <v>4840</v>
      </c>
      <c r="C12" s="1997">
        <v>106959854631</v>
      </c>
      <c r="D12" s="386" t="s">
        <v>4885</v>
      </c>
      <c r="E12" s="1385" t="s">
        <v>4401</v>
      </c>
      <c r="F12" s="348" t="s">
        <v>4932</v>
      </c>
      <c r="G12" s="167">
        <v>8</v>
      </c>
      <c r="H12" s="167"/>
      <c r="I12" s="167"/>
      <c r="J12" s="1721" t="s">
        <v>4879</v>
      </c>
      <c r="K12" s="1436" t="s">
        <v>4911</v>
      </c>
      <c r="L12" s="1750" t="s">
        <v>4882</v>
      </c>
      <c r="M12" s="154" t="s">
        <v>4816</v>
      </c>
      <c r="N12" s="1618" t="s">
        <v>4883</v>
      </c>
      <c r="O12" s="2592" t="s">
        <v>4880</v>
      </c>
      <c r="P12" s="2613"/>
      <c r="Q12" s="2597"/>
      <c r="R12" s="1621"/>
      <c r="S12" s="165" t="s">
        <v>2760</v>
      </c>
      <c r="T12" s="2674"/>
      <c r="U12" s="1407" t="s">
        <v>4909</v>
      </c>
      <c r="V12" s="1622"/>
      <c r="W12" s="1735">
        <v>3456000</v>
      </c>
      <c r="X12" s="1856">
        <f>999000*8</f>
        <v>7992000</v>
      </c>
      <c r="Y12" s="1622"/>
      <c r="Z12" s="1736"/>
      <c r="AA12" s="1858">
        <v>2000000</v>
      </c>
      <c r="AB12" s="1622"/>
      <c r="AC12" s="1623"/>
      <c r="AD12" s="1416">
        <f>SUM(V12:AC12)</f>
        <v>13448000</v>
      </c>
      <c r="AE12" s="1637" t="s">
        <v>4907</v>
      </c>
      <c r="AF12" s="1418">
        <f>(((G12*3450000+H12*3550000+I12*AJ12)+(AI12*$AI$4*(G12+H12))+(AK12*$AK$4*(G12+H12))+(AL12*$AL$4*(G12+H12))+(AM12*$AM$4*(G12+H12))+(AO12*$AO$4*(G12+H12))+(AP12*$AP$4)+(AQ12*$AQ$4*(G12+H12))+(AR12*$AR$4*(G12+H12)))*1.08)</f>
        <v>29808000.000000004</v>
      </c>
      <c r="AG12" s="1624">
        <f t="shared" si="2"/>
        <v>43256000</v>
      </c>
      <c r="AH12" s="1625"/>
      <c r="AI12" s="1524"/>
      <c r="AJ12" s="1626"/>
      <c r="AK12" s="1525"/>
      <c r="AL12" s="1525"/>
      <c r="AM12" s="1525"/>
      <c r="AN12" s="1525"/>
      <c r="AO12" s="1525"/>
      <c r="AP12" s="1525"/>
      <c r="AQ12" s="1525"/>
      <c r="AR12" s="1525"/>
      <c r="AS12" s="1525"/>
      <c r="AT12" s="1525"/>
      <c r="AU12" s="1518"/>
      <c r="AV12" s="1518"/>
      <c r="AW12" s="1518"/>
      <c r="AX12" s="1518"/>
      <c r="AY12" s="1518"/>
      <c r="AZ12" s="1518"/>
      <c r="BA12" s="1518"/>
      <c r="BB12" s="1518"/>
      <c r="BC12" s="1518"/>
      <c r="BD12" s="1518"/>
      <c r="BE12" s="1518"/>
    </row>
    <row r="13" spans="1:57" ht="15.6">
      <c r="A13" s="4081" t="s">
        <v>4935</v>
      </c>
      <c r="B13" s="4081"/>
      <c r="C13" s="4081"/>
      <c r="D13" s="4081"/>
      <c r="E13" s="4081"/>
      <c r="F13" s="4081"/>
      <c r="G13" s="4081"/>
      <c r="H13" s="4081"/>
      <c r="I13" s="4081"/>
      <c r="J13" s="4081"/>
      <c r="K13" s="4081"/>
      <c r="L13" s="4081"/>
      <c r="M13" s="4081"/>
      <c r="N13" s="4081"/>
      <c r="O13" s="2591"/>
      <c r="P13" s="2610"/>
      <c r="Q13" s="2594"/>
      <c r="R13" s="1884"/>
      <c r="S13" s="1885"/>
      <c r="T13" s="3626"/>
      <c r="U13" s="1886"/>
      <c r="V13" s="1887"/>
      <c r="W13" s="1888"/>
      <c r="X13" s="1888"/>
      <c r="Y13" s="1888"/>
      <c r="Z13" s="1889"/>
      <c r="AA13" s="1889"/>
      <c r="AB13" s="1888"/>
      <c r="AC13" s="1890"/>
      <c r="AD13" s="1890">
        <f ca="1">SUM(AD11:AD15)</f>
        <v>19293640</v>
      </c>
      <c r="AE13" s="1891"/>
      <c r="AF13" s="1892">
        <f ca="1">SUM(AF11:AF15)</f>
        <v>107537995.44000001</v>
      </c>
      <c r="AG13" s="1892">
        <f ca="1">SUM(AG11:AG15)</f>
        <v>126831635.44</v>
      </c>
      <c r="AH13" s="1892"/>
      <c r="AI13" s="1521"/>
      <c r="AJ13" s="1522"/>
      <c r="AK13" s="1523"/>
      <c r="AL13" s="1893"/>
      <c r="AM13" s="1893"/>
      <c r="AN13" s="1893"/>
      <c r="AO13" s="1893"/>
      <c r="AP13" s="1893"/>
      <c r="AQ13" s="1893"/>
      <c r="AR13" s="1893"/>
      <c r="AS13" s="1525"/>
      <c r="AT13" s="1525"/>
    </row>
    <row r="14" spans="1:57" s="1350" customFormat="1" ht="27">
      <c r="A14" s="1288">
        <v>1</v>
      </c>
      <c r="B14" s="1720" t="s">
        <v>4936</v>
      </c>
      <c r="C14" s="1431">
        <v>106966811010</v>
      </c>
      <c r="D14" s="1312" t="s">
        <v>4840</v>
      </c>
      <c r="E14" s="1568" t="s">
        <v>4972</v>
      </c>
      <c r="F14" s="1723" t="s">
        <v>4987</v>
      </c>
      <c r="G14" s="1321">
        <v>2</v>
      </c>
      <c r="H14" s="1372"/>
      <c r="I14" s="1313"/>
      <c r="J14" s="1267" t="s">
        <v>123</v>
      </c>
      <c r="K14" s="1436" t="s">
        <v>5089</v>
      </c>
      <c r="L14" s="1436" t="s">
        <v>4842</v>
      </c>
      <c r="M14" s="154" t="s">
        <v>4862</v>
      </c>
      <c r="N14" s="1618" t="s">
        <v>4843</v>
      </c>
      <c r="O14" s="2592" t="s">
        <v>4931</v>
      </c>
      <c r="P14" s="2614"/>
      <c r="Q14" s="2598" t="s">
        <v>4952</v>
      </c>
      <c r="R14" s="1900" t="s">
        <v>4887</v>
      </c>
      <c r="S14" s="1664" t="s">
        <v>4908</v>
      </c>
      <c r="T14" s="2674"/>
      <c r="U14" s="1407" t="s">
        <v>4910</v>
      </c>
      <c r="V14" s="1781" t="s">
        <v>5102</v>
      </c>
      <c r="W14" s="1735">
        <v>1382400</v>
      </c>
      <c r="X14" s="1856">
        <f>1130000+1184000+20000</f>
        <v>2334000</v>
      </c>
      <c r="Y14" s="1709"/>
      <c r="Z14" s="1710"/>
      <c r="AA14" s="1858">
        <v>500000</v>
      </c>
      <c r="AB14" s="1709"/>
      <c r="AC14" s="1623"/>
      <c r="AD14" s="1416">
        <f t="shared" si="1"/>
        <v>4216400</v>
      </c>
      <c r="AE14" s="1713" t="s">
        <v>4955</v>
      </c>
      <c r="AF14" s="1418">
        <f t="shared" ref="AF14:AF19" si="3">(((G14*3450000+H14*3550000+I14*AJ14)+(AI14*$AI$4*(G14+H14))+(AK14*$AK$4*(G14+H14))+(AL14*$AL$4*(G14+H14))+(AM14*$AM$4*(G14+H14))+(AN14*$AN$4*(G14+H14))+(AO14*$AO$4*(G14+H14))+(AP14*$AP$4)+(AQ14*$AQ$4*(G14+H14))+(AR14*$AR$4*(G14+H14)))*1.08)</f>
        <v>13392000</v>
      </c>
      <c r="AG14" s="1624">
        <f>+AD14+AF14</f>
        <v>17608400</v>
      </c>
      <c r="AH14" s="1625"/>
      <c r="AI14" s="1524">
        <v>1</v>
      </c>
      <c r="AJ14" s="1626"/>
      <c r="AK14" s="1525"/>
      <c r="AL14" s="1525">
        <v>1</v>
      </c>
      <c r="AM14" s="1525"/>
      <c r="AN14" s="1525">
        <v>1</v>
      </c>
      <c r="AO14" s="1525"/>
      <c r="AP14" s="1525">
        <v>1</v>
      </c>
      <c r="AQ14" s="1525"/>
      <c r="AR14" s="1525"/>
      <c r="AS14" s="1525"/>
      <c r="AT14" s="1525"/>
      <c r="AU14" s="1518"/>
      <c r="AV14" s="1518"/>
      <c r="AW14" s="1518"/>
      <c r="AX14" s="1518"/>
      <c r="AY14" s="1518"/>
      <c r="AZ14" s="1518"/>
      <c r="BA14" s="1518"/>
      <c r="BB14" s="1518"/>
      <c r="BC14" s="1518"/>
      <c r="BD14" s="1518"/>
      <c r="BE14" s="1518"/>
    </row>
    <row r="15" spans="1:57" s="1350" customFormat="1" ht="40.200000000000003">
      <c r="A15" s="670">
        <v>2</v>
      </c>
      <c r="B15" s="1712" t="s">
        <v>4891</v>
      </c>
      <c r="C15" s="2064">
        <v>106970880920</v>
      </c>
      <c r="D15" s="699" t="s">
        <v>4913</v>
      </c>
      <c r="E15" s="1206" t="s">
        <v>4858</v>
      </c>
      <c r="F15" s="1724" t="s">
        <v>4998</v>
      </c>
      <c r="G15" s="1321">
        <v>3</v>
      </c>
      <c r="H15" s="1298"/>
      <c r="I15" s="445"/>
      <c r="J15" s="1267" t="s">
        <v>123</v>
      </c>
      <c r="K15" s="1436" t="s">
        <v>5090</v>
      </c>
      <c r="L15" s="1436" t="s">
        <v>4857</v>
      </c>
      <c r="M15" s="577" t="s">
        <v>4861</v>
      </c>
      <c r="N15" s="1618" t="s">
        <v>4951</v>
      </c>
      <c r="O15" s="2590" t="s">
        <v>4931</v>
      </c>
      <c r="P15" s="2614"/>
      <c r="Q15" s="2598" t="s">
        <v>2877</v>
      </c>
      <c r="R15" s="1900" t="s">
        <v>4887</v>
      </c>
      <c r="S15" s="1778" t="s">
        <v>2760</v>
      </c>
      <c r="T15" s="1778"/>
      <c r="U15" s="1407" t="s">
        <v>4909</v>
      </c>
      <c r="V15" s="1781" t="s">
        <v>5102</v>
      </c>
      <c r="W15" s="1735">
        <v>1296000</v>
      </c>
      <c r="X15" s="1856">
        <f>999000*3</f>
        <v>2997000</v>
      </c>
      <c r="Y15" s="1623"/>
      <c r="Z15" s="1692"/>
      <c r="AA15" s="1858">
        <v>750000</v>
      </c>
      <c r="AB15" s="1623"/>
      <c r="AC15" s="1623"/>
      <c r="AD15" s="1416">
        <f>SUM(V15:AC15)</f>
        <v>5043000</v>
      </c>
      <c r="AE15" s="1901"/>
      <c r="AF15" s="1418">
        <f t="shared" si="3"/>
        <v>16686000.000000002</v>
      </c>
      <c r="AG15" s="1624">
        <f t="shared" si="2"/>
        <v>21729000</v>
      </c>
      <c r="AH15" s="1625"/>
      <c r="AI15" s="1524">
        <v>1</v>
      </c>
      <c r="AJ15" s="1626"/>
      <c r="AK15" s="1525">
        <v>1</v>
      </c>
      <c r="AL15" s="1525"/>
      <c r="AM15" s="1525"/>
      <c r="AN15" s="1525"/>
      <c r="AO15" s="1525"/>
      <c r="AP15" s="1525"/>
      <c r="AQ15" s="1525"/>
      <c r="AR15" s="1525"/>
      <c r="AS15" s="1525"/>
      <c r="AT15" s="1525"/>
      <c r="AU15" s="1518"/>
      <c r="AV15" s="1518"/>
      <c r="AW15" s="1518"/>
      <c r="AX15" s="1518"/>
      <c r="AY15" s="1518"/>
      <c r="AZ15" s="1518"/>
      <c r="BA15" s="1518"/>
      <c r="BB15" s="1518"/>
      <c r="BC15" s="1518"/>
      <c r="BD15" s="1518"/>
      <c r="BE15" s="1518"/>
    </row>
    <row r="16" spans="1:57" s="1350" customFormat="1" ht="40.200000000000003">
      <c r="A16" s="326">
        <v>3</v>
      </c>
      <c r="B16" s="1734" t="s">
        <v>4991</v>
      </c>
      <c r="C16" s="1997">
        <v>106985788010</v>
      </c>
      <c r="D16" s="386" t="s">
        <v>4936</v>
      </c>
      <c r="E16" s="1206" t="s">
        <v>4858</v>
      </c>
      <c r="F16" s="1724" t="s">
        <v>4999</v>
      </c>
      <c r="G16" s="1321">
        <v>3</v>
      </c>
      <c r="H16" s="728"/>
      <c r="I16" s="167"/>
      <c r="J16" s="1267" t="s">
        <v>123</v>
      </c>
      <c r="K16" s="1436" t="s">
        <v>5091</v>
      </c>
      <c r="L16" s="1436" t="s">
        <v>4953</v>
      </c>
      <c r="M16" s="577" t="s">
        <v>4954</v>
      </c>
      <c r="N16" s="1618" t="s">
        <v>5004</v>
      </c>
      <c r="O16" s="2592" t="s">
        <v>4891</v>
      </c>
      <c r="P16" s="2613"/>
      <c r="Q16" s="2597"/>
      <c r="R16" s="1621"/>
      <c r="S16" s="1778" t="s">
        <v>2760</v>
      </c>
      <c r="T16" s="1778"/>
      <c r="U16" s="1407" t="s">
        <v>4909</v>
      </c>
      <c r="V16" s="1781" t="s">
        <v>5102</v>
      </c>
      <c r="W16" s="1735">
        <v>1296000</v>
      </c>
      <c r="X16" s="1856">
        <f>1700000+850000</f>
        <v>2550000</v>
      </c>
      <c r="Y16" s="1622"/>
      <c r="Z16" s="1736"/>
      <c r="AA16" s="1858">
        <v>750000</v>
      </c>
      <c r="AB16" s="1622"/>
      <c r="AC16" s="1623"/>
      <c r="AD16" s="1416">
        <f>SUM(V16:AC16)</f>
        <v>4596000</v>
      </c>
      <c r="AE16" s="1690"/>
      <c r="AF16" s="1418">
        <f t="shared" si="3"/>
        <v>16686000.000000002</v>
      </c>
      <c r="AG16" s="1624">
        <f>+AD16+AF16</f>
        <v>21282000</v>
      </c>
      <c r="AH16" s="1625"/>
      <c r="AI16" s="1524">
        <v>1</v>
      </c>
      <c r="AJ16" s="1626"/>
      <c r="AK16" s="1525">
        <v>1</v>
      </c>
      <c r="AL16" s="1525"/>
      <c r="AM16" s="1525"/>
      <c r="AN16" s="1525"/>
      <c r="AO16" s="1525"/>
      <c r="AP16" s="1525"/>
      <c r="AQ16" s="1525"/>
      <c r="AR16" s="1525"/>
      <c r="AS16" s="1525"/>
      <c r="AT16" s="1525"/>
      <c r="AU16" s="1518"/>
      <c r="AV16" s="1518"/>
      <c r="AW16" s="1518"/>
      <c r="AX16" s="1518"/>
      <c r="AY16" s="1518"/>
      <c r="AZ16" s="1518"/>
      <c r="BA16" s="1518"/>
      <c r="BB16" s="1518"/>
      <c r="BC16" s="1518"/>
      <c r="BD16" s="1518"/>
      <c r="BE16" s="1518"/>
    </row>
    <row r="17" spans="1:57" s="1350" customFormat="1" ht="45.75" customHeight="1">
      <c r="A17" s="326">
        <f>+A16+1</f>
        <v>4</v>
      </c>
      <c r="B17" s="1406" t="s">
        <v>5062</v>
      </c>
      <c r="C17" s="1997">
        <v>107004088810</v>
      </c>
      <c r="D17" s="386" t="s">
        <v>5022</v>
      </c>
      <c r="E17" s="1206" t="s">
        <v>4858</v>
      </c>
      <c r="F17" s="348" t="s">
        <v>5044</v>
      </c>
      <c r="G17" s="445">
        <v>3</v>
      </c>
      <c r="H17" s="167"/>
      <c r="I17" s="167"/>
      <c r="J17" s="1267" t="s">
        <v>123</v>
      </c>
      <c r="K17" s="1436" t="s">
        <v>5092</v>
      </c>
      <c r="L17" s="1436" t="s">
        <v>4956</v>
      </c>
      <c r="M17" s="577" t="s">
        <v>4957</v>
      </c>
      <c r="N17" s="1618" t="s">
        <v>5040</v>
      </c>
      <c r="O17" s="2592" t="s">
        <v>5022</v>
      </c>
      <c r="P17" s="2613"/>
      <c r="Q17" s="2599" t="s">
        <v>5052</v>
      </c>
      <c r="R17" s="1902" t="s">
        <v>4887</v>
      </c>
      <c r="S17" s="1778" t="s">
        <v>2760</v>
      </c>
      <c r="T17" s="1778"/>
      <c r="U17" s="1407" t="s">
        <v>4909</v>
      </c>
      <c r="V17" s="1781" t="s">
        <v>5102</v>
      </c>
      <c r="W17" s="1735">
        <v>1491000</v>
      </c>
      <c r="X17" s="1856">
        <f>1000000*3</f>
        <v>3000000</v>
      </c>
      <c r="Y17" s="1622"/>
      <c r="Z17" s="1736"/>
      <c r="AA17" s="1858">
        <v>750000</v>
      </c>
      <c r="AB17" s="1622"/>
      <c r="AC17" s="1709"/>
      <c r="AD17" s="1416">
        <f t="shared" si="1"/>
        <v>5241000</v>
      </c>
      <c r="AE17" s="1690" t="s">
        <v>5130</v>
      </c>
      <c r="AF17" s="1418">
        <f t="shared" si="3"/>
        <v>16686000.000000002</v>
      </c>
      <c r="AG17" s="1624">
        <f t="shared" si="2"/>
        <v>21927000</v>
      </c>
      <c r="AH17" s="1625"/>
      <c r="AI17" s="1524">
        <v>1</v>
      </c>
      <c r="AJ17" s="1626"/>
      <c r="AK17" s="1525">
        <v>1</v>
      </c>
      <c r="AL17" s="1525"/>
      <c r="AM17" s="1525"/>
      <c r="AN17" s="1525"/>
      <c r="AO17" s="1525"/>
      <c r="AP17" s="1525"/>
      <c r="AQ17" s="1525"/>
      <c r="AR17" s="1525"/>
      <c r="AS17" s="1525"/>
      <c r="AT17" s="1525"/>
      <c r="AU17" s="1518"/>
      <c r="AV17" s="1518"/>
      <c r="AW17" s="1518"/>
      <c r="AX17" s="1518"/>
      <c r="AY17" s="1518"/>
      <c r="AZ17" s="1518"/>
      <c r="BA17" s="1518"/>
      <c r="BB17" s="1518"/>
      <c r="BC17" s="1518"/>
      <c r="BD17" s="1518"/>
      <c r="BE17" s="1518"/>
    </row>
    <row r="18" spans="1:57" s="1350" customFormat="1" ht="37.5" customHeight="1">
      <c r="A18" s="326">
        <v>5</v>
      </c>
      <c r="B18" s="666" t="s">
        <v>5052</v>
      </c>
      <c r="C18" s="1997">
        <v>107013375120</v>
      </c>
      <c r="D18" s="386" t="s">
        <v>5037</v>
      </c>
      <c r="E18" s="117" t="s">
        <v>4858</v>
      </c>
      <c r="F18" s="348" t="s">
        <v>5083</v>
      </c>
      <c r="G18" s="167">
        <v>3</v>
      </c>
      <c r="H18" s="167"/>
      <c r="I18" s="167"/>
      <c r="J18" s="1267" t="s">
        <v>123</v>
      </c>
      <c r="K18" s="1771">
        <v>83916</v>
      </c>
      <c r="L18" s="1436" t="s">
        <v>4973</v>
      </c>
      <c r="M18" s="154" t="s">
        <v>4974</v>
      </c>
      <c r="N18" s="1618" t="s">
        <v>5064</v>
      </c>
      <c r="O18" s="2592" t="s">
        <v>5037</v>
      </c>
      <c r="P18" s="2613"/>
      <c r="Q18" s="2600" t="s">
        <v>5113</v>
      </c>
      <c r="R18" s="1855" t="s">
        <v>5114</v>
      </c>
      <c r="S18" s="1778" t="s">
        <v>2760</v>
      </c>
      <c r="T18" s="1778"/>
      <c r="U18" s="1407" t="s">
        <v>4909</v>
      </c>
      <c r="V18" s="1622"/>
      <c r="W18" s="1735">
        <v>1491000</v>
      </c>
      <c r="X18" s="1856">
        <v>2900000</v>
      </c>
      <c r="Y18" s="1622"/>
      <c r="Z18" s="1857"/>
      <c r="AA18" s="1858">
        <v>750000</v>
      </c>
      <c r="AB18" s="1622"/>
      <c r="AC18" s="1709"/>
      <c r="AD18" s="1416">
        <f t="shared" si="1"/>
        <v>5141000</v>
      </c>
      <c r="AE18" s="1690"/>
      <c r="AF18" s="1418">
        <f t="shared" si="3"/>
        <v>16686000.000000002</v>
      </c>
      <c r="AG18" s="1624">
        <f t="shared" ref="AG18:AG45" si="4">+AD18+AF18</f>
        <v>21827000</v>
      </c>
      <c r="AH18" s="1625"/>
      <c r="AI18" s="1524">
        <v>1</v>
      </c>
      <c r="AJ18" s="1626"/>
      <c r="AK18" s="1525">
        <v>1</v>
      </c>
      <c r="AL18" s="1525"/>
      <c r="AM18" s="1525"/>
      <c r="AN18" s="1525"/>
      <c r="AO18" s="1525"/>
      <c r="AP18" s="1525"/>
      <c r="AQ18" s="1525"/>
      <c r="AR18" s="1525"/>
      <c r="AS18" s="1525"/>
      <c r="AT18" s="1525"/>
      <c r="AU18" s="1518"/>
      <c r="AV18" s="1518"/>
      <c r="AW18" s="1518"/>
      <c r="AX18" s="1518"/>
      <c r="AY18" s="1518"/>
      <c r="AZ18" s="1518"/>
      <c r="BA18" s="1518"/>
      <c r="BB18" s="1518"/>
      <c r="BC18" s="1518"/>
      <c r="BD18" s="1518"/>
      <c r="BE18" s="1518"/>
    </row>
    <row r="19" spans="1:57" s="1350" customFormat="1" ht="27">
      <c r="A19" s="326">
        <v>6</v>
      </c>
      <c r="B19" s="1406" t="s">
        <v>5118</v>
      </c>
      <c r="C19" s="1997">
        <v>107023977210</v>
      </c>
      <c r="D19" s="386" t="s">
        <v>5094</v>
      </c>
      <c r="E19" s="117" t="s">
        <v>4858</v>
      </c>
      <c r="F19" s="1928" t="s">
        <v>5124</v>
      </c>
      <c r="G19" s="167">
        <v>2</v>
      </c>
      <c r="H19" s="167"/>
      <c r="I19" s="167"/>
      <c r="J19" s="86" t="s">
        <v>123</v>
      </c>
      <c r="K19" s="1771" t="s">
        <v>5109</v>
      </c>
      <c r="L19" s="1436" t="s">
        <v>5143</v>
      </c>
      <c r="M19" s="154" t="s">
        <v>5042</v>
      </c>
      <c r="N19" s="1618" t="s">
        <v>5110</v>
      </c>
      <c r="O19" s="2592" t="s">
        <v>5041</v>
      </c>
      <c r="P19" s="2613"/>
      <c r="Q19" s="2600" t="s">
        <v>5111</v>
      </c>
      <c r="R19" s="1855" t="s">
        <v>5112</v>
      </c>
      <c r="S19" s="1778" t="s">
        <v>2760</v>
      </c>
      <c r="T19" s="1778"/>
      <c r="U19" s="1407" t="s">
        <v>4909</v>
      </c>
      <c r="V19" s="1622"/>
      <c r="W19" s="1735">
        <v>994000</v>
      </c>
      <c r="X19" s="1856">
        <v>1740000</v>
      </c>
      <c r="Y19" s="1622"/>
      <c r="Z19" s="1857"/>
      <c r="AA19" s="1858">
        <v>500000</v>
      </c>
      <c r="AB19" s="1622"/>
      <c r="AC19" s="1709"/>
      <c r="AD19" s="1416">
        <f t="shared" si="1"/>
        <v>3234000</v>
      </c>
      <c r="AE19" s="1690" t="s">
        <v>5251</v>
      </c>
      <c r="AF19" s="1418">
        <f t="shared" si="3"/>
        <v>11124000</v>
      </c>
      <c r="AG19" s="1624">
        <f t="shared" si="4"/>
        <v>14358000</v>
      </c>
      <c r="AH19" s="1625"/>
      <c r="AI19" s="1524">
        <v>1</v>
      </c>
      <c r="AJ19" s="1626"/>
      <c r="AK19" s="1525">
        <v>1</v>
      </c>
      <c r="AL19" s="1525"/>
      <c r="AM19" s="1525"/>
      <c r="AN19" s="1525"/>
      <c r="AO19" s="1525"/>
      <c r="AP19" s="1525"/>
      <c r="AQ19" s="1525"/>
      <c r="AR19" s="1525"/>
      <c r="AS19" s="1525"/>
      <c r="AT19" s="1525"/>
      <c r="AU19" s="1518"/>
      <c r="AV19" s="1518"/>
      <c r="AW19" s="1518"/>
      <c r="AX19" s="1518"/>
      <c r="AY19" s="1518"/>
      <c r="AZ19" s="1518"/>
      <c r="BA19" s="1518"/>
      <c r="BB19" s="1518"/>
      <c r="BC19" s="1518"/>
      <c r="BD19" s="1518"/>
      <c r="BE19" s="1518"/>
    </row>
    <row r="20" spans="1:57" s="1350" customFormat="1" ht="15.6">
      <c r="A20" s="326">
        <f t="shared" si="0"/>
        <v>7</v>
      </c>
      <c r="B20" s="1859"/>
      <c r="C20" s="1997">
        <v>107011124840</v>
      </c>
      <c r="D20" s="386" t="s">
        <v>4952</v>
      </c>
      <c r="E20" s="47"/>
      <c r="F20" s="348" t="s">
        <v>5234</v>
      </c>
      <c r="G20" s="4085" t="s">
        <v>4450</v>
      </c>
      <c r="H20" s="4086"/>
      <c r="I20" s="4087"/>
      <c r="J20" s="2043"/>
      <c r="K20" s="1436"/>
      <c r="L20" s="1436" t="s">
        <v>5046</v>
      </c>
      <c r="M20" s="154" t="s">
        <v>5047</v>
      </c>
      <c r="N20" s="707"/>
      <c r="O20" s="2592"/>
      <c r="P20" s="2613"/>
      <c r="Q20" s="2597"/>
      <c r="R20" s="1621"/>
      <c r="S20" s="165"/>
      <c r="T20" s="2674"/>
      <c r="U20" s="1404" t="s">
        <v>5048</v>
      </c>
      <c r="V20" s="1622"/>
      <c r="W20" s="1622"/>
      <c r="X20" s="1622"/>
      <c r="Y20" s="1622"/>
      <c r="Z20" s="1857"/>
      <c r="AA20" s="1903"/>
      <c r="AB20" s="1622"/>
      <c r="AC20" s="1709"/>
      <c r="AD20" s="1416">
        <f t="shared" si="1"/>
        <v>0</v>
      </c>
      <c r="AE20" s="1690"/>
      <c r="AF20" s="1418">
        <f>800000*1.08</f>
        <v>864000</v>
      </c>
      <c r="AG20" s="1624">
        <f t="shared" si="4"/>
        <v>864000</v>
      </c>
      <c r="AH20" s="1625"/>
      <c r="AI20" s="1524"/>
      <c r="AJ20" s="1626"/>
      <c r="AK20" s="1525"/>
      <c r="AL20" s="1525"/>
      <c r="AM20" s="1525"/>
      <c r="AN20" s="1525"/>
      <c r="AO20" s="1525"/>
      <c r="AP20" s="1525"/>
      <c r="AQ20" s="1525"/>
      <c r="AR20" s="1525"/>
      <c r="AS20" s="1525"/>
      <c r="AT20" s="1525"/>
      <c r="AU20" s="1518"/>
      <c r="AV20" s="1518"/>
      <c r="AW20" s="1518"/>
      <c r="AX20" s="1518"/>
      <c r="AY20" s="1518"/>
      <c r="AZ20" s="1518"/>
      <c r="BA20" s="1518"/>
      <c r="BB20" s="1518"/>
      <c r="BC20" s="1518"/>
      <c r="BD20" s="1518"/>
      <c r="BE20" s="1518"/>
    </row>
    <row r="21" spans="1:57" ht="15.6">
      <c r="A21" s="4081" t="s">
        <v>5220</v>
      </c>
      <c r="B21" s="4081"/>
      <c r="C21" s="4081"/>
      <c r="D21" s="4081"/>
      <c r="E21" s="4081"/>
      <c r="F21" s="4081"/>
      <c r="G21" s="4081"/>
      <c r="H21" s="4081"/>
      <c r="I21" s="4081"/>
      <c r="J21" s="4081"/>
      <c r="K21" s="4081"/>
      <c r="L21" s="4081"/>
      <c r="M21" s="4081"/>
      <c r="N21" s="4081"/>
      <c r="O21" s="2591"/>
      <c r="P21" s="2610"/>
      <c r="Q21" s="2594"/>
      <c r="R21" s="1884"/>
      <c r="S21" s="1885"/>
      <c r="T21" s="3626"/>
      <c r="U21" s="1886"/>
      <c r="V21" s="1887"/>
      <c r="W21" s="1888"/>
      <c r="X21" s="1888"/>
      <c r="Y21" s="1888"/>
      <c r="Z21" s="1889"/>
      <c r="AA21" s="1889"/>
      <c r="AB21" s="1888"/>
      <c r="AC21" s="1890"/>
      <c r="AD21" s="1890">
        <f ca="1">SUM(AD19:AD23)</f>
        <v>19293640</v>
      </c>
      <c r="AE21" s="1891"/>
      <c r="AF21" s="1892">
        <f ca="1">SUM(AF19:AF23)</f>
        <v>107537995.44000001</v>
      </c>
      <c r="AG21" s="1892">
        <f ca="1">SUM(AG19:AG23)</f>
        <v>126831635.44</v>
      </c>
      <c r="AH21" s="1892"/>
      <c r="AI21" s="1521"/>
      <c r="AJ21" s="1522"/>
      <c r="AK21" s="1523"/>
      <c r="AL21" s="1893"/>
      <c r="AM21" s="1893"/>
      <c r="AN21" s="1893"/>
      <c r="AO21" s="1893"/>
      <c r="AP21" s="1893"/>
      <c r="AQ21" s="1893"/>
      <c r="AR21" s="1893"/>
      <c r="AS21" s="1525"/>
      <c r="AT21" s="1525"/>
    </row>
    <row r="22" spans="1:57" s="1350" customFormat="1" ht="27">
      <c r="A22" s="326">
        <v>1</v>
      </c>
      <c r="B22" s="666" t="s">
        <v>5272</v>
      </c>
      <c r="C22" s="166">
        <v>107075197021</v>
      </c>
      <c r="D22" s="386" t="s">
        <v>5284</v>
      </c>
      <c r="E22" s="117" t="s">
        <v>4858</v>
      </c>
      <c r="F22" s="348" t="s">
        <v>5357</v>
      </c>
      <c r="G22" s="167">
        <v>2</v>
      </c>
      <c r="H22" s="167"/>
      <c r="I22" s="167"/>
      <c r="J22" s="715" t="s">
        <v>136</v>
      </c>
      <c r="K22" s="1771">
        <f>28020*2</f>
        <v>56040</v>
      </c>
      <c r="L22" s="1436" t="s">
        <v>5301</v>
      </c>
      <c r="M22" s="154" t="s">
        <v>5302</v>
      </c>
      <c r="N22" s="1618" t="s">
        <v>5303</v>
      </c>
      <c r="O22" s="2592" t="s">
        <v>5287</v>
      </c>
      <c r="P22" s="2613"/>
      <c r="Q22" s="2597"/>
      <c r="R22" s="1621"/>
      <c r="S22" s="1778" t="s">
        <v>2760</v>
      </c>
      <c r="T22" s="1778"/>
      <c r="U22" s="2144"/>
      <c r="V22" s="1622"/>
      <c r="W22" s="1735">
        <v>994000</v>
      </c>
      <c r="X22" s="1856">
        <f>1000000*2</f>
        <v>2000000</v>
      </c>
      <c r="Y22" s="1622"/>
      <c r="Z22" s="1857"/>
      <c r="AA22" s="1858">
        <v>500000</v>
      </c>
      <c r="AB22" s="1622"/>
      <c r="AC22" s="1709"/>
      <c r="AD22" s="1416">
        <f t="shared" si="1"/>
        <v>3494000</v>
      </c>
      <c r="AE22" s="1690" t="s">
        <v>5307</v>
      </c>
      <c r="AF22" s="1418">
        <f>(((G22*3450000+H22*3550000+I22*AJ22)+(AI22*$AI$4*(G22+H22))+(AK22*$AK$4*(G22+H22))+(AL22*$AL$4*(G22+H22))+(AM22*$AM$4*(G22+H22))+(AN22*$AN$4*(G22+H22))+(AO22*$AO$4*(G22+H22))+(AP22*$AP$4)+(AQ22*$AQ$4*(G22+H22))+(AR22*$AR$4*(G22+H22))+(AS22*$AS$4)))*1.08</f>
        <v>11988000</v>
      </c>
      <c r="AG22" s="1624">
        <f t="shared" si="4"/>
        <v>15482000</v>
      </c>
      <c r="AH22" s="1625"/>
      <c r="AI22" s="1524">
        <v>1</v>
      </c>
      <c r="AJ22" s="1626"/>
      <c r="AK22" s="1525">
        <v>1</v>
      </c>
      <c r="AL22" s="1525"/>
      <c r="AM22" s="1525"/>
      <c r="AN22" s="1525"/>
      <c r="AO22" s="1525"/>
      <c r="AP22" s="1525"/>
      <c r="AQ22" s="1525">
        <v>1</v>
      </c>
      <c r="AR22" s="1525"/>
      <c r="AS22" s="1525"/>
      <c r="AT22" s="1525"/>
      <c r="AU22" s="1393"/>
      <c r="AV22" s="1518"/>
      <c r="AW22" s="1518"/>
      <c r="AX22" s="1518"/>
      <c r="AY22" s="1518"/>
      <c r="AZ22" s="1518"/>
      <c r="BA22" s="1518"/>
      <c r="BB22" s="1518"/>
      <c r="BC22" s="1518"/>
      <c r="BD22" s="1518"/>
      <c r="BE22" s="1518"/>
    </row>
    <row r="23" spans="1:57" s="1350" customFormat="1" ht="15.6">
      <c r="A23" s="326">
        <f t="shared" si="0"/>
        <v>2</v>
      </c>
      <c r="B23" s="666" t="s">
        <v>5468</v>
      </c>
      <c r="C23" s="166">
        <v>107088761401</v>
      </c>
      <c r="D23" s="386" t="s">
        <v>5374</v>
      </c>
      <c r="E23" s="117" t="s">
        <v>4858</v>
      </c>
      <c r="F23" s="1208" t="s">
        <v>5378</v>
      </c>
      <c r="G23" s="167"/>
      <c r="H23" s="167">
        <v>1</v>
      </c>
      <c r="I23" s="167"/>
      <c r="J23" s="780"/>
      <c r="K23" s="1771"/>
      <c r="L23" s="1436" t="s">
        <v>5323</v>
      </c>
      <c r="M23" s="154" t="s">
        <v>5334</v>
      </c>
      <c r="N23" s="707" t="s">
        <v>5327</v>
      </c>
      <c r="O23" s="2592" t="s">
        <v>5272</v>
      </c>
      <c r="P23" s="2613"/>
      <c r="Q23" s="2599" t="s">
        <v>5393</v>
      </c>
      <c r="R23" s="1902">
        <v>3</v>
      </c>
      <c r="S23" s="1778" t="s">
        <v>2760</v>
      </c>
      <c r="T23" s="1778"/>
      <c r="U23" s="2144"/>
      <c r="V23" s="1735">
        <v>789000</v>
      </c>
      <c r="W23" s="1735">
        <v>1509000</v>
      </c>
      <c r="X23" s="1856">
        <v>1500000</v>
      </c>
      <c r="Y23" s="1622"/>
      <c r="Z23" s="1857"/>
      <c r="AA23" s="1858">
        <v>500000</v>
      </c>
      <c r="AB23" s="1735">
        <f>3808945+3577096+4644816</f>
        <v>12030857</v>
      </c>
      <c r="AC23" s="1709"/>
      <c r="AD23" s="1416">
        <f>SUM(V23:AC23)</f>
        <v>16328857</v>
      </c>
      <c r="AE23" s="2280" t="s">
        <v>5553</v>
      </c>
      <c r="AF23" s="1418">
        <f>(((G23*3450000+H23*3550000+I23*AJ23)+(AI23*$AI$4*(G23+H23))+(AK23*$AK$4*(G23+H23))+(AL23*$AL$4*(G23+H23))+(AM23*$AM$4*(G23+H23))+(AN23*$AN$4*(G23+H23))+(AO23*$AO$4*(G23+H23))+(AP23*$AP$4)+(AQ23*$AQ$4*(G23+H23))+(AR23*$AR$4*(G23+H23))+(AS23*$AS$4)))*1.08</f>
        <v>6318000</v>
      </c>
      <c r="AG23" s="1624">
        <f>+AD23+AF23</f>
        <v>22646857</v>
      </c>
      <c r="AH23" s="1625"/>
      <c r="AI23" s="1524">
        <v>1</v>
      </c>
      <c r="AJ23" s="1626"/>
      <c r="AK23" s="1525"/>
      <c r="AL23" s="1525"/>
      <c r="AM23" s="1525"/>
      <c r="AN23" s="1525"/>
      <c r="AO23" s="1525"/>
      <c r="AP23" s="1525"/>
      <c r="AQ23" s="1525"/>
      <c r="AR23" s="1525"/>
      <c r="AS23" s="1525">
        <v>1</v>
      </c>
      <c r="AT23" s="1525">
        <v>1</v>
      </c>
      <c r="AU23" s="1518"/>
      <c r="AV23" s="1518"/>
      <c r="AW23" s="1518"/>
      <c r="AX23" s="1518"/>
      <c r="AY23" s="1518"/>
      <c r="AZ23" s="1518"/>
      <c r="BA23" s="1518"/>
      <c r="BB23" s="1518"/>
      <c r="BC23" s="1518"/>
      <c r="BD23" s="1518"/>
      <c r="BE23" s="1518"/>
    </row>
    <row r="24" spans="1:57" s="1350" customFormat="1" ht="33.75" customHeight="1">
      <c r="A24" s="326">
        <f t="shared" si="0"/>
        <v>3</v>
      </c>
      <c r="B24" s="666" t="s">
        <v>5517</v>
      </c>
      <c r="C24" s="166">
        <v>107116428050</v>
      </c>
      <c r="D24" s="386" t="s">
        <v>5393</v>
      </c>
      <c r="E24" s="1568" t="s">
        <v>4972</v>
      </c>
      <c r="F24" s="348" t="s">
        <v>5487</v>
      </c>
      <c r="G24" s="167">
        <v>2</v>
      </c>
      <c r="H24" s="167"/>
      <c r="I24" s="167"/>
      <c r="J24" s="2160"/>
      <c r="K24" s="1771">
        <v>46280</v>
      </c>
      <c r="L24" s="1436" t="s">
        <v>5362</v>
      </c>
      <c r="M24" s="154" t="s">
        <v>5364</v>
      </c>
      <c r="N24" s="1618" t="s">
        <v>5363</v>
      </c>
      <c r="O24" s="2592" t="s">
        <v>5431</v>
      </c>
      <c r="P24" s="2614"/>
      <c r="Q24" s="2601" t="s">
        <v>5501</v>
      </c>
      <c r="R24" s="577">
        <v>3</v>
      </c>
      <c r="S24" s="1380" t="s">
        <v>5430</v>
      </c>
      <c r="T24" s="3606"/>
      <c r="U24" s="1404"/>
      <c r="V24" s="1622"/>
      <c r="W24" s="1735">
        <v>3110400</v>
      </c>
      <c r="X24" s="1856">
        <f>950000*2</f>
        <v>1900000</v>
      </c>
      <c r="Y24" s="1622"/>
      <c r="Z24" s="1857"/>
      <c r="AA24" s="1735">
        <v>250000</v>
      </c>
      <c r="AB24" s="1622"/>
      <c r="AC24" s="1709"/>
      <c r="AD24" s="1416">
        <f t="shared" si="1"/>
        <v>5260400</v>
      </c>
      <c r="AE24" s="1690" t="s">
        <v>5379</v>
      </c>
      <c r="AF24" s="1418">
        <f>(((G24*3450000+H24*3550000+I24*AJ24)+(AI24*$AI$4*(G24+H24))+(AK24*$AK$4*(G24+H24))+(AL24*$AL$4*(G24+H24))+(AM24*$AM$4*(G24+H24))+(AN24*$AN$4*(G24+H24))+(AO24*$AO$4*(G24+H24))+(AP24*$AP$4)+(AQ24*$AQ$4*(G24+H24))+(AR24*$AR$4*(G24+H24))+(AS24*$AS$4)))*1.08</f>
        <v>17193600</v>
      </c>
      <c r="AG24" s="1624">
        <f t="shared" si="4"/>
        <v>22454000</v>
      </c>
      <c r="AH24" s="1418"/>
      <c r="AI24" s="1524">
        <v>1</v>
      </c>
      <c r="AJ24" s="1626"/>
      <c r="AK24" s="1525"/>
      <c r="AL24" s="1525">
        <v>1</v>
      </c>
      <c r="AM24" s="1525">
        <v>1</v>
      </c>
      <c r="AN24" s="1525"/>
      <c r="AO24" s="1525">
        <v>1</v>
      </c>
      <c r="AP24" s="1525">
        <v>1</v>
      </c>
      <c r="AQ24" s="1525"/>
      <c r="AR24" s="1525"/>
      <c r="AS24" s="1525"/>
      <c r="AT24" s="1525"/>
      <c r="AU24" s="1518"/>
      <c r="AV24" s="1518"/>
      <c r="AW24" s="1518"/>
      <c r="AX24" s="1518"/>
      <c r="AY24" s="1518"/>
      <c r="AZ24" s="1518"/>
      <c r="BA24" s="1518"/>
      <c r="BB24" s="1518"/>
      <c r="BC24" s="1518"/>
      <c r="BD24" s="1518"/>
      <c r="BE24" s="1518"/>
    </row>
    <row r="25" spans="1:57" s="1350" customFormat="1" ht="33.75" customHeight="1">
      <c r="A25" s="326">
        <f t="shared" si="0"/>
        <v>4</v>
      </c>
      <c r="B25" s="666" t="s">
        <v>5449</v>
      </c>
      <c r="C25" s="166">
        <v>107107548441</v>
      </c>
      <c r="D25" s="386" t="s">
        <v>5393</v>
      </c>
      <c r="E25" s="1568" t="s">
        <v>5543</v>
      </c>
      <c r="F25" s="348" t="s">
        <v>5488</v>
      </c>
      <c r="G25" s="167">
        <v>1</v>
      </c>
      <c r="H25" s="2166"/>
      <c r="I25" s="2166"/>
      <c r="J25" s="715" t="s">
        <v>136</v>
      </c>
      <c r="K25" s="1771">
        <v>20920</v>
      </c>
      <c r="L25" s="1436" t="s">
        <v>5352</v>
      </c>
      <c r="M25" s="154" t="s">
        <v>5353</v>
      </c>
      <c r="N25" s="707" t="s">
        <v>5354</v>
      </c>
      <c r="O25" s="2592" t="s">
        <v>5333</v>
      </c>
      <c r="P25" s="2614"/>
      <c r="Q25" s="2392" t="s">
        <v>5449</v>
      </c>
      <c r="R25" s="577">
        <v>7</v>
      </c>
      <c r="S25" s="1778" t="s">
        <v>2760</v>
      </c>
      <c r="T25" s="1778"/>
      <c r="U25" s="1404"/>
      <c r="V25" s="1735">
        <v>265000</v>
      </c>
      <c r="W25" s="1735">
        <v>497000</v>
      </c>
      <c r="X25" s="1856">
        <v>900000</v>
      </c>
      <c r="Y25" s="1622"/>
      <c r="Z25" s="1857"/>
      <c r="AA25" s="1735">
        <v>250000</v>
      </c>
      <c r="AB25" s="1622"/>
      <c r="AC25" s="1709"/>
      <c r="AD25" s="1416">
        <f t="shared" si="1"/>
        <v>1912000</v>
      </c>
      <c r="AE25" s="1690"/>
      <c r="AF25" s="1418">
        <f>(((G25*3450000+H25*3550000+I25*AJ25)+(AI25*$AI$4*(G25+H25))+(AK25*$AK$4*(G25+H25))+(AL25*$AL$4*(G25+H25))+(AM25*$AM$4*(G25+H25))+(AN25*$AN$4*(G25+H25))+(AO25*$AO$4*(G25+H25))+(AP25*$AP$4)+(AQ25*$AQ$4*(G25+H25))+(AR25*$AR$4*(G25+H25))+(AS25*$AS$4)))*1.08</f>
        <v>5022000</v>
      </c>
      <c r="AG25" s="1624">
        <f t="shared" si="4"/>
        <v>6934000</v>
      </c>
      <c r="AH25" s="1625"/>
      <c r="AI25" s="1524">
        <v>1</v>
      </c>
      <c r="AJ25" s="1626"/>
      <c r="AK25" s="1525"/>
      <c r="AL25" s="1525"/>
      <c r="AM25" s="1525"/>
      <c r="AN25" s="1525"/>
      <c r="AO25" s="1525"/>
      <c r="AP25" s="1525"/>
      <c r="AQ25" s="1525">
        <v>1</v>
      </c>
      <c r="AR25" s="1525"/>
      <c r="AS25" s="1525"/>
      <c r="AT25" s="1525"/>
      <c r="AU25" s="1518"/>
      <c r="AV25" s="1518"/>
      <c r="AW25" s="1518"/>
      <c r="AX25" s="1518"/>
      <c r="AY25" s="1518"/>
      <c r="AZ25" s="1518"/>
      <c r="BA25" s="1518"/>
      <c r="BB25" s="1518"/>
      <c r="BC25" s="1518"/>
      <c r="BD25" s="1518"/>
      <c r="BE25" s="1518"/>
    </row>
    <row r="26" spans="1:57" s="1350" customFormat="1" ht="15" customHeight="1">
      <c r="A26" s="326">
        <f t="shared" si="0"/>
        <v>5</v>
      </c>
      <c r="B26" s="1859"/>
      <c r="C26" s="166">
        <v>107121491300</v>
      </c>
      <c r="D26" s="386" t="s">
        <v>5431</v>
      </c>
      <c r="E26" s="47"/>
      <c r="F26" s="348" t="s">
        <v>5499</v>
      </c>
      <c r="G26" s="4085" t="s">
        <v>4450</v>
      </c>
      <c r="H26" s="4088"/>
      <c r="I26" s="4089"/>
      <c r="J26" s="780"/>
      <c r="K26" s="1771"/>
      <c r="L26" s="1436" t="s">
        <v>5475</v>
      </c>
      <c r="M26" s="154" t="s">
        <v>5474</v>
      </c>
      <c r="N26" s="707"/>
      <c r="O26" s="2592"/>
      <c r="P26" s="2614"/>
      <c r="Q26" s="2392"/>
      <c r="R26" s="577"/>
      <c r="S26" s="165"/>
      <c r="T26" s="2674"/>
      <c r="U26" s="1404"/>
      <c r="V26" s="1622"/>
      <c r="W26" s="1622"/>
      <c r="X26" s="1622"/>
      <c r="Y26" s="1622"/>
      <c r="Z26" s="1857"/>
      <c r="AA26" s="1903"/>
      <c r="AB26" s="1622"/>
      <c r="AC26" s="1709"/>
      <c r="AD26" s="1416">
        <f t="shared" si="1"/>
        <v>0</v>
      </c>
      <c r="AE26" s="1690"/>
      <c r="AF26" s="1418">
        <f>800000*1.08</f>
        <v>864000</v>
      </c>
      <c r="AG26" s="1624">
        <f t="shared" si="4"/>
        <v>864000</v>
      </c>
      <c r="AH26" s="1625"/>
      <c r="AI26" s="1524"/>
      <c r="AJ26" s="1626"/>
      <c r="AK26" s="1525"/>
      <c r="AL26" s="1525"/>
      <c r="AM26" s="1525"/>
      <c r="AN26" s="1525"/>
      <c r="AO26" s="1525"/>
      <c r="AP26" s="1525"/>
      <c r="AQ26" s="1525"/>
      <c r="AR26" s="1525"/>
      <c r="AS26" s="1525"/>
      <c r="AT26" s="1525"/>
      <c r="AU26" s="1518"/>
      <c r="AV26" s="1518"/>
      <c r="AW26" s="1518"/>
      <c r="AX26" s="1518"/>
      <c r="AY26" s="1518"/>
      <c r="AZ26" s="1518"/>
      <c r="BA26" s="1518"/>
      <c r="BB26" s="1518"/>
      <c r="BC26" s="1518"/>
      <c r="BD26" s="1518"/>
      <c r="BE26" s="1518"/>
    </row>
    <row r="27" spans="1:57" s="1350" customFormat="1">
      <c r="A27" s="326">
        <f t="shared" si="0"/>
        <v>6</v>
      </c>
      <c r="B27" s="1859"/>
      <c r="C27" s="2164" t="s">
        <v>5481</v>
      </c>
      <c r="D27" s="386" t="s">
        <v>5460</v>
      </c>
      <c r="E27" s="47"/>
      <c r="F27" s="348" t="s">
        <v>5500</v>
      </c>
      <c r="G27" s="4085" t="s">
        <v>4450</v>
      </c>
      <c r="H27" s="4086"/>
      <c r="I27" s="4087"/>
      <c r="J27" s="780"/>
      <c r="K27" s="2147"/>
      <c r="L27" s="1436" t="s">
        <v>5476</v>
      </c>
      <c r="M27" s="154" t="s">
        <v>5477</v>
      </c>
      <c r="N27" s="707"/>
      <c r="O27" s="2592"/>
      <c r="P27" s="2614"/>
      <c r="Q27" s="2392"/>
      <c r="R27" s="577"/>
      <c r="S27" s="165"/>
      <c r="T27" s="2674"/>
      <c r="U27" s="1404"/>
      <c r="V27" s="1622"/>
      <c r="W27" s="1622"/>
      <c r="X27" s="1622"/>
      <c r="Y27" s="1622"/>
      <c r="Z27" s="1857"/>
      <c r="AA27" s="1903"/>
      <c r="AB27" s="1622"/>
      <c r="AC27" s="1709"/>
      <c r="AD27" s="1416">
        <f t="shared" si="1"/>
        <v>0</v>
      </c>
      <c r="AE27" s="1690"/>
      <c r="AF27" s="1418">
        <f>800000*1.08</f>
        <v>864000</v>
      </c>
      <c r="AG27" s="1624">
        <f t="shared" si="4"/>
        <v>864000</v>
      </c>
      <c r="AH27" s="1625"/>
      <c r="AI27" s="1524"/>
      <c r="AJ27" s="1626"/>
      <c r="AK27" s="1525"/>
      <c r="AL27" s="1525"/>
      <c r="AM27" s="1525"/>
      <c r="AN27" s="1525"/>
      <c r="AO27" s="1525"/>
      <c r="AP27" s="1525"/>
      <c r="AQ27" s="1525"/>
      <c r="AR27" s="1525"/>
      <c r="AS27" s="1525"/>
      <c r="AT27" s="1525"/>
      <c r="AU27" s="1518"/>
      <c r="AV27" s="1518"/>
      <c r="AW27" s="1518"/>
      <c r="AX27" s="1518"/>
      <c r="AY27" s="1518"/>
      <c r="AZ27" s="1518"/>
      <c r="BA27" s="1518"/>
      <c r="BB27" s="1518"/>
      <c r="BC27" s="1518"/>
      <c r="BD27" s="1518"/>
      <c r="BE27" s="1518"/>
    </row>
    <row r="28" spans="1:57" ht="15.6">
      <c r="A28" s="4081" t="s">
        <v>5485</v>
      </c>
      <c r="B28" s="4081"/>
      <c r="C28" s="4081"/>
      <c r="D28" s="4081"/>
      <c r="E28" s="4081"/>
      <c r="F28" s="4081"/>
      <c r="G28" s="4081"/>
      <c r="H28" s="4081"/>
      <c r="I28" s="4081"/>
      <c r="J28" s="4081"/>
      <c r="K28" s="4081"/>
      <c r="L28" s="4081"/>
      <c r="M28" s="4081"/>
      <c r="N28" s="4081"/>
      <c r="O28" s="2591"/>
      <c r="P28" s="2610"/>
      <c r="Q28" s="2594"/>
      <c r="R28" s="1884"/>
      <c r="S28" s="1885"/>
      <c r="T28" s="3626"/>
      <c r="U28" s="1886"/>
      <c r="V28" s="1887"/>
      <c r="W28" s="1888"/>
      <c r="X28" s="1888"/>
      <c r="Y28" s="1888"/>
      <c r="Z28" s="1889"/>
      <c r="AA28" s="1889"/>
      <c r="AB28" s="1888"/>
      <c r="AC28" s="1890"/>
      <c r="AD28" s="1890">
        <f>SUM(AD22:AD27)</f>
        <v>26995257</v>
      </c>
      <c r="AE28" s="2169"/>
      <c r="AF28" s="1892">
        <f>SUM(AF22:AF27)</f>
        <v>42249600</v>
      </c>
      <c r="AG28" s="1892">
        <f>SUM(AG22:AG27)</f>
        <v>69244857</v>
      </c>
      <c r="AH28" s="1892"/>
      <c r="AI28" s="1521"/>
      <c r="AJ28" s="1522"/>
      <c r="AK28" s="2167"/>
      <c r="AL28" s="1893"/>
      <c r="AM28" s="1893"/>
      <c r="AN28" s="1893"/>
      <c r="AO28" s="1893"/>
      <c r="AP28" s="1893"/>
      <c r="AQ28" s="1893"/>
      <c r="AR28" s="1893"/>
      <c r="AS28" s="1525"/>
      <c r="AT28" s="1525"/>
    </row>
    <row r="29" spans="1:57" s="1350" customFormat="1" ht="42.75" customHeight="1">
      <c r="A29" s="326">
        <v>1</v>
      </c>
      <c r="B29" s="1406" t="s">
        <v>5638</v>
      </c>
      <c r="C29" s="1997">
        <v>107158772820</v>
      </c>
      <c r="D29" s="386" t="s">
        <v>5526</v>
      </c>
      <c r="E29" s="117" t="s">
        <v>4444</v>
      </c>
      <c r="F29" s="1208" t="s">
        <v>5639</v>
      </c>
      <c r="G29" s="167">
        <v>1</v>
      </c>
      <c r="H29" s="167"/>
      <c r="I29" s="1745"/>
      <c r="J29" s="2337" t="s">
        <v>123</v>
      </c>
      <c r="K29" s="2148">
        <v>27260</v>
      </c>
      <c r="L29" s="1711" t="s">
        <v>5566</v>
      </c>
      <c r="M29" s="154" t="s">
        <v>5568</v>
      </c>
      <c r="N29" s="707" t="s">
        <v>5567</v>
      </c>
      <c r="O29" s="2592" t="s">
        <v>5526</v>
      </c>
      <c r="P29" s="2614"/>
      <c r="Q29" s="2392"/>
      <c r="R29" s="577"/>
      <c r="S29" s="165" t="s">
        <v>4813</v>
      </c>
      <c r="T29" s="2674"/>
      <c r="U29" s="1404" t="s">
        <v>5698</v>
      </c>
      <c r="V29" s="1414"/>
      <c r="W29" s="1735">
        <v>497000</v>
      </c>
      <c r="X29" s="2343">
        <v>999000</v>
      </c>
      <c r="Y29" s="1622"/>
      <c r="Z29" s="1857"/>
      <c r="AA29" s="2419">
        <v>250000</v>
      </c>
      <c r="AB29" s="1622"/>
      <c r="AC29" s="1709"/>
      <c r="AD29" s="1416">
        <f t="shared" si="1"/>
        <v>1746000</v>
      </c>
      <c r="AE29" s="2341" t="s">
        <v>5808</v>
      </c>
      <c r="AF29" s="1418">
        <f t="shared" ref="AF29:AF35" si="5">(((G29*3450000+H29*3550000+I29*AJ29)+(AI29*$AI$4*(G29+H29))+(AK29*$AK$4*(G29+H29))+(AL29*$AL$4*(G29+H29))+(AM29*$AM$4*(G29+H29))+(AN29*$AN$4*(G29+H29))+(AO29*$AO$4*(G29+H29))+(AP29*$AP$4)+(AQ29*$AQ$4*(G29+H29))+(AR29*$AR$4*(G29+H29))+(AS29*$AS$4)+(AT29*$AT$4)))*1.08</f>
        <v>8802000</v>
      </c>
      <c r="AG29" s="1624">
        <f t="shared" si="4"/>
        <v>10548000</v>
      </c>
      <c r="AH29" s="1625"/>
      <c r="AI29" s="1524">
        <v>1</v>
      </c>
      <c r="AJ29" s="1626"/>
      <c r="AK29" s="1525">
        <v>1</v>
      </c>
      <c r="AL29" s="1525"/>
      <c r="AM29" s="1525"/>
      <c r="AN29" s="1525"/>
      <c r="AO29" s="1525"/>
      <c r="AP29" s="1525"/>
      <c r="AQ29" s="1525"/>
      <c r="AR29" s="1525"/>
      <c r="AS29" s="1525">
        <v>1</v>
      </c>
      <c r="AT29" s="1525">
        <v>1</v>
      </c>
      <c r="AU29" s="1518"/>
      <c r="AV29" s="1518"/>
      <c r="AW29" s="1518"/>
      <c r="AX29" s="1518"/>
      <c r="AY29" s="1518"/>
      <c r="AZ29" s="1518"/>
      <c r="BA29" s="1518"/>
      <c r="BB29" s="1518"/>
      <c r="BC29" s="1518"/>
      <c r="BD29" s="1518"/>
      <c r="BE29" s="1518"/>
    </row>
    <row r="30" spans="1:57" s="1350" customFormat="1" ht="93">
      <c r="A30" s="326">
        <f t="shared" si="0"/>
        <v>2</v>
      </c>
      <c r="B30" s="1406" t="s">
        <v>5682</v>
      </c>
      <c r="C30" s="1997">
        <v>107170873610</v>
      </c>
      <c r="D30" s="386" t="s">
        <v>5607</v>
      </c>
      <c r="E30" s="117" t="s">
        <v>4858</v>
      </c>
      <c r="F30" s="1208" t="s">
        <v>5640</v>
      </c>
      <c r="G30" s="167">
        <v>7</v>
      </c>
      <c r="H30" s="167"/>
      <c r="I30" s="2446"/>
      <c r="J30" s="2337" t="s">
        <v>123</v>
      </c>
      <c r="K30" s="2148">
        <v>195156</v>
      </c>
      <c r="L30" s="1711" t="s">
        <v>5609</v>
      </c>
      <c r="M30" s="154" t="s">
        <v>5611</v>
      </c>
      <c r="N30" s="1618" t="s">
        <v>5610</v>
      </c>
      <c r="O30" s="2592" t="s">
        <v>5638</v>
      </c>
      <c r="P30" s="2614"/>
      <c r="Q30" s="2392" t="s">
        <v>5657</v>
      </c>
      <c r="R30" s="577"/>
      <c r="S30" s="165" t="s">
        <v>4813</v>
      </c>
      <c r="T30" s="2674"/>
      <c r="U30" s="1404" t="s">
        <v>4909</v>
      </c>
      <c r="V30" s="1735">
        <v>460000</v>
      </c>
      <c r="W30" s="1735">
        <v>3479000</v>
      </c>
      <c r="X30" s="2343">
        <f>900000*7</f>
        <v>6300000</v>
      </c>
      <c r="Y30" s="1622"/>
      <c r="Z30" s="1857"/>
      <c r="AA30" s="2419">
        <v>1750000</v>
      </c>
      <c r="AB30" s="1622"/>
      <c r="AC30" s="1709"/>
      <c r="AD30" s="1416">
        <f t="shared" si="1"/>
        <v>11989000</v>
      </c>
      <c r="AE30" s="1690"/>
      <c r="AF30" s="1418">
        <f t="shared" si="5"/>
        <v>38934000</v>
      </c>
      <c r="AG30" s="1624">
        <f t="shared" si="4"/>
        <v>50923000</v>
      </c>
      <c r="AH30" s="1625"/>
      <c r="AI30" s="1524">
        <v>1</v>
      </c>
      <c r="AJ30" s="1626"/>
      <c r="AK30" s="1525">
        <v>1</v>
      </c>
      <c r="AL30" s="1525"/>
      <c r="AM30" s="1525"/>
      <c r="AN30" s="2157"/>
      <c r="AO30" s="2157"/>
      <c r="AP30" s="2157"/>
      <c r="AQ30" s="2157"/>
      <c r="AR30" s="2157"/>
      <c r="AS30" s="1525"/>
      <c r="AT30" s="1525"/>
      <c r="AU30" s="1518"/>
      <c r="AV30" s="1518"/>
      <c r="AW30" s="1518"/>
      <c r="AX30" s="1518"/>
      <c r="AY30" s="1518"/>
      <c r="AZ30" s="1518"/>
      <c r="BA30" s="1518"/>
      <c r="BB30" s="1518"/>
      <c r="BC30" s="1518"/>
      <c r="BD30" s="1518"/>
      <c r="BE30" s="1518"/>
    </row>
    <row r="31" spans="1:57" s="1350" customFormat="1" ht="66.599999999999994">
      <c r="A31" s="326">
        <f t="shared" si="0"/>
        <v>3</v>
      </c>
      <c r="B31" s="666" t="s">
        <v>4841</v>
      </c>
      <c r="C31" s="1997">
        <v>107179346260</v>
      </c>
      <c r="D31" s="386" t="s">
        <v>5638</v>
      </c>
      <c r="E31" s="117" t="s">
        <v>4444</v>
      </c>
      <c r="F31" s="1208" t="s">
        <v>5793</v>
      </c>
      <c r="G31" s="167">
        <v>2</v>
      </c>
      <c r="H31" s="167"/>
      <c r="I31" s="445"/>
      <c r="J31" s="2337" t="s">
        <v>123</v>
      </c>
      <c r="K31" s="2148">
        <v>54130</v>
      </c>
      <c r="L31" s="1771">
        <v>147500544372</v>
      </c>
      <c r="M31" s="154" t="s">
        <v>5611</v>
      </c>
      <c r="N31" s="1618" t="s">
        <v>5658</v>
      </c>
      <c r="O31" s="2592" t="s">
        <v>5654</v>
      </c>
      <c r="P31" s="2614"/>
      <c r="Q31" s="2392" t="s">
        <v>5656</v>
      </c>
      <c r="R31" s="577"/>
      <c r="S31" s="165" t="s">
        <v>4813</v>
      </c>
      <c r="T31" s="2674"/>
      <c r="U31" s="1404" t="s">
        <v>5698</v>
      </c>
      <c r="V31" s="1622"/>
      <c r="W31" s="1735">
        <v>1454000</v>
      </c>
      <c r="X31" s="2343">
        <f>870000*2</f>
        <v>1740000</v>
      </c>
      <c r="Y31" s="1622"/>
      <c r="Z31" s="1857"/>
      <c r="AA31" s="2419">
        <v>500000</v>
      </c>
      <c r="AB31" s="1622"/>
      <c r="AC31" s="1709"/>
      <c r="AD31" s="1416">
        <f t="shared" si="1"/>
        <v>3694000</v>
      </c>
      <c r="AE31" s="2341" t="s">
        <v>5809</v>
      </c>
      <c r="AF31" s="1418">
        <f t="shared" si="5"/>
        <v>14364000.000000002</v>
      </c>
      <c r="AG31" s="2163">
        <f t="shared" si="4"/>
        <v>18058000</v>
      </c>
      <c r="AH31" s="2162"/>
      <c r="AI31" s="2161">
        <v>1</v>
      </c>
      <c r="AJ31" s="2156"/>
      <c r="AK31" s="2157">
        <v>1</v>
      </c>
      <c r="AL31" s="2157"/>
      <c r="AM31" s="2157"/>
      <c r="AN31" s="2157"/>
      <c r="AO31" s="2157"/>
      <c r="AP31" s="2157"/>
      <c r="AQ31" s="2157"/>
      <c r="AR31" s="2157"/>
      <c r="AS31" s="1525">
        <v>1</v>
      </c>
      <c r="AT31" s="1525">
        <v>1</v>
      </c>
      <c r="AU31" s="1518"/>
      <c r="AV31" s="1518"/>
      <c r="AW31" s="1518"/>
      <c r="AX31" s="1518"/>
      <c r="AY31" s="1518"/>
      <c r="AZ31" s="1518"/>
      <c r="BA31" s="1518"/>
      <c r="BB31" s="1518"/>
      <c r="BC31" s="1518"/>
      <c r="BD31" s="1518"/>
      <c r="BE31" s="1518"/>
    </row>
    <row r="32" spans="1:57" s="1350" customFormat="1" ht="40.200000000000003">
      <c r="A32" s="326">
        <f t="shared" si="0"/>
        <v>4</v>
      </c>
      <c r="B32" s="1582" t="s">
        <v>5749</v>
      </c>
      <c r="C32" s="1997">
        <v>107190508020</v>
      </c>
      <c r="D32" s="386" t="s">
        <v>5655</v>
      </c>
      <c r="E32" s="117" t="s">
        <v>4401</v>
      </c>
      <c r="F32" s="348" t="s">
        <v>5770</v>
      </c>
      <c r="G32" s="167">
        <v>3</v>
      </c>
      <c r="H32" s="167"/>
      <c r="I32" s="167"/>
      <c r="J32" s="2337" t="s">
        <v>123</v>
      </c>
      <c r="K32" s="2148">
        <v>79742</v>
      </c>
      <c r="L32" s="2307" t="s">
        <v>5616</v>
      </c>
      <c r="M32" s="2465" t="s">
        <v>5617</v>
      </c>
      <c r="N32" s="2604" t="s">
        <v>5694</v>
      </c>
      <c r="O32" s="2592" t="s">
        <v>5733</v>
      </c>
      <c r="P32" s="2612"/>
      <c r="Q32" s="2602" t="s">
        <v>5734</v>
      </c>
      <c r="R32" s="2152">
        <v>7</v>
      </c>
      <c r="S32" s="165" t="s">
        <v>4813</v>
      </c>
      <c r="T32" s="3627"/>
      <c r="U32" s="2153" t="s">
        <v>4909</v>
      </c>
      <c r="V32" s="2154"/>
      <c r="W32" s="1735">
        <v>1491000</v>
      </c>
      <c r="X32" s="2343">
        <f>999000*3</f>
        <v>2997000</v>
      </c>
      <c r="Y32" s="2154"/>
      <c r="Z32" s="2155"/>
      <c r="AA32" s="2419">
        <v>750000</v>
      </c>
      <c r="AB32" s="2154"/>
      <c r="AC32" s="2154"/>
      <c r="AD32" s="1416">
        <f t="shared" si="1"/>
        <v>5238000</v>
      </c>
      <c r="AE32" s="2444"/>
      <c r="AF32" s="1418">
        <f t="shared" si="5"/>
        <v>17982000</v>
      </c>
      <c r="AG32" s="2163">
        <f t="shared" si="4"/>
        <v>23220000</v>
      </c>
      <c r="AH32" s="2162"/>
      <c r="AI32" s="2157">
        <v>1</v>
      </c>
      <c r="AJ32" s="2157"/>
      <c r="AK32" s="2157">
        <v>1</v>
      </c>
      <c r="AL32" s="1518"/>
      <c r="AM32" s="1518"/>
      <c r="AN32" s="2157"/>
      <c r="AO32" s="2157"/>
      <c r="AP32" s="2157"/>
      <c r="AQ32" s="2157">
        <v>1</v>
      </c>
      <c r="AR32" s="2157"/>
      <c r="AS32" s="1525"/>
      <c r="AT32" s="1525"/>
      <c r="AU32" s="1518"/>
      <c r="AV32" s="1518"/>
      <c r="AW32" s="1518"/>
      <c r="AX32" s="1518"/>
      <c r="AY32" s="1518"/>
      <c r="AZ32" s="1518"/>
      <c r="BA32" s="1518"/>
      <c r="BB32" s="1518"/>
      <c r="BC32" s="1518"/>
      <c r="BD32" s="1518"/>
      <c r="BE32" s="1518"/>
    </row>
    <row r="33" spans="1:57" s="1350" customFormat="1" ht="40.200000000000003">
      <c r="A33" s="326">
        <f t="shared" si="0"/>
        <v>5</v>
      </c>
      <c r="B33" s="2450" t="s">
        <v>5802</v>
      </c>
      <c r="C33" s="2039">
        <v>107194681050</v>
      </c>
      <c r="D33" s="1616" t="s">
        <v>5685</v>
      </c>
      <c r="E33" s="117" t="s">
        <v>4401</v>
      </c>
      <c r="F33" s="2416" t="s">
        <v>5794</v>
      </c>
      <c r="G33" s="167">
        <v>3</v>
      </c>
      <c r="H33" s="167"/>
      <c r="I33" s="167"/>
      <c r="J33" s="2337" t="s">
        <v>123</v>
      </c>
      <c r="K33" s="2148">
        <v>81097</v>
      </c>
      <c r="L33" s="2307" t="s">
        <v>5700</v>
      </c>
      <c r="M33" s="2465" t="s">
        <v>5701</v>
      </c>
      <c r="N33" s="2604" t="s">
        <v>5702</v>
      </c>
      <c r="O33" s="2592" t="s">
        <v>5749</v>
      </c>
      <c r="P33" s="2612"/>
      <c r="Q33" s="2602"/>
      <c r="R33" s="2346"/>
      <c r="S33" s="165" t="s">
        <v>4813</v>
      </c>
      <c r="T33" s="3627"/>
      <c r="U33" s="2153" t="s">
        <v>4909</v>
      </c>
      <c r="V33" s="2154"/>
      <c r="W33" s="1735">
        <v>2181000</v>
      </c>
      <c r="X33" s="2343">
        <f>999000+1998000</f>
        <v>2997000</v>
      </c>
      <c r="Y33" s="2154"/>
      <c r="Z33" s="2155"/>
      <c r="AA33" s="2419">
        <v>750000</v>
      </c>
      <c r="AB33" s="2154"/>
      <c r="AC33" s="2154"/>
      <c r="AD33" s="1416">
        <f t="shared" si="1"/>
        <v>5928000</v>
      </c>
      <c r="AE33" s="2418"/>
      <c r="AF33" s="2358">
        <f t="shared" si="5"/>
        <v>16686000.000000002</v>
      </c>
      <c r="AG33" s="2163">
        <f t="shared" si="4"/>
        <v>22614000</v>
      </c>
      <c r="AH33" s="2162"/>
      <c r="AI33" s="2157">
        <v>1</v>
      </c>
      <c r="AJ33" s="2157"/>
      <c r="AK33" s="2157">
        <v>1</v>
      </c>
      <c r="AL33" s="1518"/>
      <c r="AM33" s="1518"/>
      <c r="AN33" s="2157"/>
      <c r="AO33" s="2157"/>
      <c r="AP33" s="2157"/>
      <c r="AQ33" s="2157"/>
      <c r="AR33" s="2157"/>
      <c r="AS33" s="1525"/>
      <c r="AT33" s="1525"/>
      <c r="AU33" s="1518"/>
      <c r="AV33" s="1518"/>
      <c r="AW33" s="1518"/>
      <c r="AX33" s="1518"/>
      <c r="AY33" s="1518"/>
      <c r="AZ33" s="1518"/>
      <c r="BA33" s="1518"/>
      <c r="BB33" s="1518"/>
      <c r="BC33" s="1518"/>
      <c r="BD33" s="1518"/>
      <c r="BE33" s="1518"/>
    </row>
    <row r="34" spans="1:57" s="1350" customFormat="1" ht="72" customHeight="1">
      <c r="A34" s="326">
        <v>6</v>
      </c>
      <c r="B34" s="2450" t="s">
        <v>5802</v>
      </c>
      <c r="C34" s="1997">
        <v>107198155300</v>
      </c>
      <c r="D34" s="2193" t="s">
        <v>5656</v>
      </c>
      <c r="E34" s="2467" t="s">
        <v>4444</v>
      </c>
      <c r="F34" s="2468" t="s">
        <v>5795</v>
      </c>
      <c r="G34" s="167">
        <v>2</v>
      </c>
      <c r="H34" s="167"/>
      <c r="I34" s="167"/>
      <c r="J34" s="2337" t="s">
        <v>123</v>
      </c>
      <c r="K34" s="2148">
        <v>55010</v>
      </c>
      <c r="L34" s="2307" t="s">
        <v>5711</v>
      </c>
      <c r="M34" s="2465" t="s">
        <v>5713</v>
      </c>
      <c r="N34" s="2604" t="s">
        <v>5712</v>
      </c>
      <c r="O34" s="2592" t="s">
        <v>5749</v>
      </c>
      <c r="P34" s="2613"/>
      <c r="Q34" s="2603"/>
      <c r="R34" s="1579"/>
      <c r="S34" s="165" t="s">
        <v>4813</v>
      </c>
      <c r="T34" s="2674"/>
      <c r="U34" s="1404" t="s">
        <v>5698</v>
      </c>
      <c r="V34" s="1414"/>
      <c r="W34" s="1735">
        <v>1454000</v>
      </c>
      <c r="X34" s="2343">
        <v>1998000</v>
      </c>
      <c r="Y34" s="1579"/>
      <c r="Z34" s="1579"/>
      <c r="AA34" s="2419">
        <v>500000</v>
      </c>
      <c r="AB34" s="2470"/>
      <c r="AC34" s="1579"/>
      <c r="AD34" s="1416">
        <f t="shared" si="1"/>
        <v>3952000</v>
      </c>
      <c r="AE34" s="2444" t="s">
        <v>5810</v>
      </c>
      <c r="AF34" s="2358">
        <f>(((G34*3450000+H34*3550000+I34*AJ34)+(AI34*$AI$4*(G34+H34))+(AK34*$AK$4*(G34+H34))+(AL34*$AL$4*(G34+H34))+(AM34*$AM$4*(G34+H34))+(AN34*$AN$4*(G34+H34))+(AO34*$AO$4*(G34+H34))+(AP34*$AP$4)+(AQ34*$AQ$4*(G34+H34))+(AR34*$AR$4*(G34+H34))+(AS34*$AS$4)+(AT34*$AT$4)))*1.08</f>
        <v>13824000</v>
      </c>
      <c r="AG34" s="2163">
        <f t="shared" si="4"/>
        <v>17776000</v>
      </c>
      <c r="AH34" s="2162"/>
      <c r="AI34" s="2157">
        <v>1</v>
      </c>
      <c r="AJ34" s="2157"/>
      <c r="AK34" s="2157">
        <v>1</v>
      </c>
      <c r="AL34" s="1525"/>
      <c r="AM34" s="1525"/>
      <c r="AN34" s="2157"/>
      <c r="AO34" s="2157"/>
      <c r="AP34" s="2157">
        <v>1</v>
      </c>
      <c r="AQ34" s="2157"/>
      <c r="AR34" s="2157"/>
      <c r="AS34" s="1525">
        <v>1</v>
      </c>
      <c r="AT34" s="1525"/>
      <c r="AU34" s="1518"/>
      <c r="AV34" s="1518"/>
      <c r="AW34" s="1518"/>
      <c r="AX34" s="1518"/>
      <c r="AY34" s="1518"/>
      <c r="AZ34" s="1518"/>
      <c r="BA34" s="1518"/>
      <c r="BB34" s="1518"/>
      <c r="BC34" s="1518"/>
      <c r="BD34" s="1518"/>
      <c r="BE34" s="1518"/>
    </row>
    <row r="35" spans="1:57" s="1350" customFormat="1" ht="26.4">
      <c r="A35" s="326">
        <f t="shared" si="0"/>
        <v>7</v>
      </c>
      <c r="B35" s="2450" t="s">
        <v>5657</v>
      </c>
      <c r="C35" s="166">
        <v>107199228730</v>
      </c>
      <c r="D35" s="46" t="s">
        <v>5656</v>
      </c>
      <c r="E35" s="1568" t="s">
        <v>4972</v>
      </c>
      <c r="F35" s="2417" t="s">
        <v>5796</v>
      </c>
      <c r="G35" s="167">
        <v>2</v>
      </c>
      <c r="H35" s="167"/>
      <c r="I35" s="167"/>
      <c r="J35" s="2337" t="s">
        <v>123</v>
      </c>
      <c r="K35" s="2148">
        <v>46280</v>
      </c>
      <c r="L35" s="2391">
        <v>253766449</v>
      </c>
      <c r="M35" s="1587" t="s">
        <v>5750</v>
      </c>
      <c r="N35" s="2604" t="s">
        <v>5751</v>
      </c>
      <c r="O35" s="2592" t="s">
        <v>5656</v>
      </c>
      <c r="P35" s="2613"/>
      <c r="Q35" s="2603"/>
      <c r="R35" s="1579"/>
      <c r="S35" s="1663" t="s">
        <v>5699</v>
      </c>
      <c r="T35" s="2673"/>
      <c r="U35" s="1404" t="s">
        <v>2937</v>
      </c>
      <c r="V35" s="1579"/>
      <c r="W35" s="1735">
        <v>3110400</v>
      </c>
      <c r="X35" s="2343">
        <f>1000000+900000</f>
        <v>1900000</v>
      </c>
      <c r="Y35" s="1414"/>
      <c r="Z35" s="1579"/>
      <c r="AA35" s="1735">
        <v>250000</v>
      </c>
      <c r="AB35" s="1579"/>
      <c r="AC35" s="1579"/>
      <c r="AD35" s="1416">
        <f>SUM(V35:AC35)</f>
        <v>5260400</v>
      </c>
      <c r="AE35" s="2445"/>
      <c r="AF35" s="2358">
        <f t="shared" si="5"/>
        <v>16632000.000000002</v>
      </c>
      <c r="AG35" s="2163">
        <f t="shared" si="4"/>
        <v>21892400</v>
      </c>
      <c r="AH35" s="2162"/>
      <c r="AI35" s="2157">
        <v>1</v>
      </c>
      <c r="AJ35" s="2157"/>
      <c r="AK35" s="2157"/>
      <c r="AL35" s="1525">
        <v>1</v>
      </c>
      <c r="AM35" s="1525">
        <v>1</v>
      </c>
      <c r="AN35" s="1525"/>
      <c r="AO35" s="1525"/>
      <c r="AP35" s="1525">
        <v>1</v>
      </c>
      <c r="AQ35" s="1525"/>
      <c r="AR35" s="1525"/>
      <c r="AS35" s="1525"/>
      <c r="AT35" s="1525"/>
      <c r="AU35" s="1518"/>
      <c r="AV35" s="1518"/>
      <c r="AW35" s="1518"/>
      <c r="AX35" s="1518"/>
      <c r="AY35" s="1518"/>
      <c r="AZ35" s="1518"/>
      <c r="BA35" s="1518"/>
      <c r="BB35" s="1518"/>
      <c r="BC35" s="1518"/>
      <c r="BD35" s="1518"/>
      <c r="BE35" s="1518"/>
    </row>
    <row r="36" spans="1:57" ht="15.6">
      <c r="A36" s="4081" t="s">
        <v>5776</v>
      </c>
      <c r="B36" s="4081"/>
      <c r="C36" s="4081"/>
      <c r="D36" s="4081"/>
      <c r="E36" s="4081"/>
      <c r="F36" s="4081"/>
      <c r="G36" s="4081"/>
      <c r="H36" s="4081"/>
      <c r="I36" s="4081"/>
      <c r="J36" s="4081"/>
      <c r="K36" s="4081"/>
      <c r="L36" s="4081"/>
      <c r="M36" s="4081"/>
      <c r="N36" s="4081"/>
      <c r="O36" s="2591"/>
      <c r="P36" s="2610"/>
      <c r="Q36" s="2594"/>
      <c r="R36" s="1884"/>
      <c r="S36" s="1885"/>
      <c r="T36" s="3626"/>
      <c r="U36" s="1886"/>
      <c r="V36" s="1887"/>
      <c r="W36" s="1888"/>
      <c r="X36" s="1888"/>
      <c r="Y36" s="1888"/>
      <c r="Z36" s="1889"/>
      <c r="AA36" s="1889"/>
      <c r="AB36" s="1888"/>
      <c r="AC36" s="1890"/>
      <c r="AD36" s="1892">
        <f>SUM(AD29:AD35)</f>
        <v>37807400</v>
      </c>
      <c r="AE36" s="2169"/>
      <c r="AF36" s="1892">
        <f>SUM(AF29:AF35)</f>
        <v>127224000</v>
      </c>
      <c r="AG36" s="1892">
        <f>SUM(AG29:AG35)</f>
        <v>165031400</v>
      </c>
      <c r="AH36" s="1892"/>
      <c r="AI36" s="1521"/>
      <c r="AJ36" s="1522"/>
      <c r="AK36" s="2167"/>
      <c r="AL36" s="1893"/>
      <c r="AM36" s="1893"/>
      <c r="AN36" s="1893"/>
      <c r="AO36" s="1893"/>
      <c r="AP36" s="1893"/>
      <c r="AQ36" s="1893"/>
      <c r="AR36" s="1893"/>
      <c r="AS36" s="1525"/>
      <c r="AT36" s="1525"/>
    </row>
    <row r="37" spans="1:57" s="1350" customFormat="1" ht="42.75" customHeight="1">
      <c r="A37" s="326">
        <v>1</v>
      </c>
      <c r="B37" s="1406"/>
      <c r="C37" s="1997">
        <v>107158772820</v>
      </c>
      <c r="D37" s="386" t="s">
        <v>5526</v>
      </c>
      <c r="E37" s="117" t="s">
        <v>4444</v>
      </c>
      <c r="F37" s="1208" t="s">
        <v>6176</v>
      </c>
      <c r="G37" s="167"/>
      <c r="H37" s="167"/>
      <c r="I37" s="1745"/>
      <c r="J37" s="2298"/>
      <c r="K37" s="2148">
        <v>27260</v>
      </c>
      <c r="L37" s="1711" t="s">
        <v>5566</v>
      </c>
      <c r="M37" s="154" t="s">
        <v>5568</v>
      </c>
      <c r="N37" s="707"/>
      <c r="O37" s="2592"/>
      <c r="P37" s="2614"/>
      <c r="Q37" s="2392"/>
      <c r="R37" s="577"/>
      <c r="S37" s="165"/>
      <c r="T37" s="2674"/>
      <c r="U37" s="1407"/>
      <c r="V37" s="1414"/>
      <c r="W37" s="1414"/>
      <c r="X37" s="1414"/>
      <c r="Y37" s="1414"/>
      <c r="Z37" s="1736"/>
      <c r="AA37" s="2470"/>
      <c r="AB37" s="1622"/>
      <c r="AC37" s="1709"/>
      <c r="AD37" s="1416">
        <f>SUM(V37:AC37)</f>
        <v>0</v>
      </c>
      <c r="AE37" s="1690" t="s">
        <v>5880</v>
      </c>
      <c r="AF37" s="1418">
        <f>+(1000000*1.03)*1.08</f>
        <v>1112400</v>
      </c>
      <c r="AG37" s="1624">
        <f>+AD37+AF37</f>
        <v>1112400</v>
      </c>
      <c r="AH37" s="1625"/>
      <c r="AI37" s="1524"/>
      <c r="AJ37" s="1626"/>
      <c r="AK37" s="1525"/>
      <c r="AL37" s="1525"/>
      <c r="AM37" s="1525"/>
      <c r="AN37" s="1525"/>
      <c r="AO37" s="1525"/>
      <c r="AP37" s="1525"/>
      <c r="AQ37" s="1525"/>
      <c r="AR37" s="1525"/>
      <c r="AS37" s="1525"/>
      <c r="AT37" s="1525"/>
      <c r="AU37" s="1518"/>
      <c r="AV37" s="1518"/>
      <c r="AW37" s="1518"/>
      <c r="AX37" s="1518"/>
      <c r="AY37" s="1518"/>
      <c r="AZ37" s="1518"/>
      <c r="BA37" s="1518"/>
      <c r="BB37" s="1518"/>
      <c r="BC37" s="1518"/>
      <c r="BD37" s="1518"/>
      <c r="BE37" s="1518"/>
    </row>
    <row r="38" spans="1:57" s="1350" customFormat="1" ht="15.6">
      <c r="A38" s="326">
        <v>2</v>
      </c>
      <c r="B38" s="666"/>
      <c r="C38" s="1997">
        <v>107179346260</v>
      </c>
      <c r="D38" s="386" t="s">
        <v>5638</v>
      </c>
      <c r="E38" s="117" t="s">
        <v>4444</v>
      </c>
      <c r="F38" s="1208" t="s">
        <v>6177</v>
      </c>
      <c r="G38" s="167"/>
      <c r="H38" s="167"/>
      <c r="I38" s="445"/>
      <c r="J38" s="2298"/>
      <c r="K38" s="2148">
        <v>54130</v>
      </c>
      <c r="L38" s="1771">
        <v>147500544372</v>
      </c>
      <c r="M38" s="154" t="s">
        <v>5611</v>
      </c>
      <c r="N38" s="1618"/>
      <c r="O38" s="2592"/>
      <c r="P38" s="2614"/>
      <c r="Q38" s="2392"/>
      <c r="R38" s="577"/>
      <c r="S38" s="165"/>
      <c r="T38" s="2674"/>
      <c r="U38" s="1407"/>
      <c r="V38" s="1414"/>
      <c r="W38" s="1414"/>
      <c r="X38" s="1414"/>
      <c r="Y38" s="1414"/>
      <c r="Z38" s="1736"/>
      <c r="AA38" s="2470"/>
      <c r="AB38" s="1622"/>
      <c r="AC38" s="1709"/>
      <c r="AD38" s="1416">
        <f>SUM(V38:AC38)</f>
        <v>0</v>
      </c>
      <c r="AE38" s="2630" t="s">
        <v>5893</v>
      </c>
      <c r="AF38" s="1418">
        <f>+(6000000*1.03)*1.08</f>
        <v>6674400</v>
      </c>
      <c r="AG38" s="2163">
        <f>+AD38+AF38</f>
        <v>6674400</v>
      </c>
      <c r="AH38" s="2162"/>
      <c r="AI38" s="2161"/>
      <c r="AJ38" s="2156"/>
      <c r="AK38" s="2157"/>
      <c r="AL38" s="2157"/>
      <c r="AM38" s="2157"/>
      <c r="AN38" s="2157"/>
      <c r="AO38" s="2157"/>
      <c r="AP38" s="2157"/>
      <c r="AQ38" s="2157"/>
      <c r="AR38" s="2157"/>
      <c r="AS38" s="1525"/>
      <c r="AT38" s="1525"/>
      <c r="AU38" s="1518"/>
      <c r="AV38" s="1518"/>
      <c r="AW38" s="1518"/>
      <c r="AX38" s="1518"/>
      <c r="AY38" s="1518"/>
      <c r="AZ38" s="1518"/>
      <c r="BA38" s="1518"/>
      <c r="BB38" s="1518"/>
      <c r="BC38" s="1518"/>
      <c r="BD38" s="1518"/>
      <c r="BE38" s="1518"/>
    </row>
    <row r="39" spans="1:57" s="1350" customFormat="1" ht="39.6">
      <c r="A39" s="326">
        <v>3</v>
      </c>
      <c r="B39" s="666" t="s">
        <v>5848</v>
      </c>
      <c r="C39" s="166">
        <v>107218630410</v>
      </c>
      <c r="D39" s="386" t="s">
        <v>5802</v>
      </c>
      <c r="E39" s="117" t="s">
        <v>4401</v>
      </c>
      <c r="F39" s="348" t="s">
        <v>5902</v>
      </c>
      <c r="G39" s="167">
        <v>3</v>
      </c>
      <c r="H39" s="167"/>
      <c r="I39" s="167"/>
      <c r="J39" s="2631" t="s">
        <v>123</v>
      </c>
      <c r="K39" s="1436" t="s">
        <v>6011</v>
      </c>
      <c r="L39" s="2391" t="s">
        <v>5845</v>
      </c>
      <c r="M39" s="577" t="s">
        <v>5844</v>
      </c>
      <c r="N39" s="2604" t="s">
        <v>5846</v>
      </c>
      <c r="O39" s="2590" t="s">
        <v>5798</v>
      </c>
      <c r="P39" s="2614" t="s">
        <v>5983</v>
      </c>
      <c r="Q39" s="2392" t="s">
        <v>5848</v>
      </c>
      <c r="R39" s="577"/>
      <c r="S39" s="165" t="s">
        <v>4813</v>
      </c>
      <c r="T39" s="3627"/>
      <c r="U39" s="2624" t="s">
        <v>4909</v>
      </c>
      <c r="V39" s="1622"/>
      <c r="W39" s="1735">
        <v>2181000</v>
      </c>
      <c r="X39" s="2669">
        <v>3000000</v>
      </c>
      <c r="Y39" s="1622"/>
      <c r="Z39" s="1857"/>
      <c r="AA39" s="1735">
        <v>750000</v>
      </c>
      <c r="AB39" s="1622"/>
      <c r="AC39" s="1709"/>
      <c r="AD39" s="1416">
        <f>SUM(V39:AC39)</f>
        <v>5931000</v>
      </c>
      <c r="AE39" s="2818"/>
      <c r="AF39" s="1418">
        <f>(((G39*3450000+H39*3550000+I39*AJ39)+(AI39*$AI$4*(G39+H39))+(AK39*$AK$4*(G39+H39))+(AL39*$AL$4*(G39+H39))+(AM39*$AM$4*(G39+H39))+(AN39*$AN$4*(G39+H39))+(AO39*$AO$4*(G39+H39))+(AP39*$AP$4)+(AQ39*$AQ$4*(G39+H39))+(AR39*$AR$4*(G39+H39))+(AS39*$AS$4)))*1.08</f>
        <v>16686000.000000002</v>
      </c>
      <c r="AG39" s="1624">
        <f t="shared" si="4"/>
        <v>22617000</v>
      </c>
      <c r="AH39" s="1625"/>
      <c r="AI39" s="2157">
        <v>1</v>
      </c>
      <c r="AJ39" s="2157"/>
      <c r="AK39" s="2157">
        <v>1</v>
      </c>
      <c r="AL39" s="1525"/>
      <c r="AM39" s="1525"/>
      <c r="AN39" s="1525"/>
      <c r="AO39" s="1525"/>
      <c r="AP39" s="1525"/>
      <c r="AQ39" s="1525"/>
      <c r="AR39" s="1525"/>
      <c r="AS39" s="1525"/>
      <c r="AT39" s="1525"/>
      <c r="AU39" s="1518"/>
      <c r="AV39" s="1518"/>
      <c r="AW39" s="1518"/>
      <c r="AX39" s="1518"/>
      <c r="AY39" s="1518"/>
      <c r="AZ39" s="1518"/>
      <c r="BA39" s="1518"/>
      <c r="BB39" s="1518"/>
      <c r="BC39" s="1518"/>
      <c r="BD39" s="1518"/>
      <c r="BE39" s="1518"/>
    </row>
    <row r="40" spans="1:57" s="1350" customFormat="1" ht="40.200000000000003">
      <c r="A40" s="326">
        <f t="shared" si="0"/>
        <v>4</v>
      </c>
      <c r="B40" s="2450" t="s">
        <v>5930</v>
      </c>
      <c r="C40" s="166">
        <v>107248527740</v>
      </c>
      <c r="D40" s="386" t="s">
        <v>5913</v>
      </c>
      <c r="E40" s="1295" t="s">
        <v>4401</v>
      </c>
      <c r="F40" s="2635" t="s">
        <v>5932</v>
      </c>
      <c r="G40" s="167">
        <v>3</v>
      </c>
      <c r="H40" s="167"/>
      <c r="I40" s="167"/>
      <c r="J40" s="2636" t="s">
        <v>123</v>
      </c>
      <c r="K40" s="1665" t="s">
        <v>5912</v>
      </c>
      <c r="L40" s="2637" t="s">
        <v>5797</v>
      </c>
      <c r="M40" s="1399" t="s">
        <v>5907</v>
      </c>
      <c r="N40" s="2604" t="s">
        <v>5906</v>
      </c>
      <c r="O40" s="2593" t="s">
        <v>5876</v>
      </c>
      <c r="P40" s="2613" t="s">
        <v>6037</v>
      </c>
      <c r="Q40" s="2638" t="s">
        <v>5931</v>
      </c>
      <c r="R40" s="522"/>
      <c r="S40" s="2639" t="s">
        <v>4813</v>
      </c>
      <c r="T40" s="3627"/>
      <c r="U40" s="2640" t="s">
        <v>4909</v>
      </c>
      <c r="V40" s="2641"/>
      <c r="W40" s="2642">
        <v>1491000</v>
      </c>
      <c r="X40" s="2669">
        <f>1998000+999000</f>
        <v>2997000</v>
      </c>
      <c r="Y40" s="2641"/>
      <c r="Z40" s="2643"/>
      <c r="AA40" s="2644">
        <v>750000</v>
      </c>
      <c r="AB40" s="2641"/>
      <c r="AC40" s="2641"/>
      <c r="AD40" s="2645">
        <f t="shared" si="1"/>
        <v>5238000</v>
      </c>
      <c r="AE40" s="2818"/>
      <c r="AF40" s="2646">
        <f>(((G40*3450000+H40*3550000+I40*AJ40)+(AI40*$AI$4*(G40+H40))+(AK40*$AK$4*(G40+H40))+(AL40*$AL$4*(G40+H40))+(AM40*$AM$4*(G40+H40))+(AN40*$AN$4*(G40+H40))+(AO40*$AO$4*(G40+H40))+(AP40*$AP$4)+(AQ40*$AQ$4*(G40+H40))+(AR40*$AR$4*(G40+H40))+(AS40*$AS$4)))*1.08</f>
        <v>16686000.000000002</v>
      </c>
      <c r="AG40" s="2647">
        <f t="shared" si="4"/>
        <v>21924000</v>
      </c>
      <c r="AH40" s="2648"/>
      <c r="AI40" s="2157">
        <v>1</v>
      </c>
      <c r="AJ40" s="2157"/>
      <c r="AK40" s="2157">
        <v>1</v>
      </c>
      <c r="AL40" s="1525"/>
      <c r="AM40" s="1525"/>
      <c r="AN40" s="1525"/>
      <c r="AO40" s="1525"/>
      <c r="AP40" s="1525"/>
      <c r="AQ40" s="1525"/>
      <c r="AR40" s="1525"/>
      <c r="AS40" s="1525"/>
      <c r="AT40" s="1525"/>
      <c r="AU40" s="1518"/>
      <c r="AV40" s="1518"/>
      <c r="AW40" s="1518"/>
      <c r="AX40" s="1518"/>
      <c r="AY40" s="1518"/>
      <c r="AZ40" s="1518"/>
      <c r="BA40" s="1518"/>
      <c r="BB40" s="1518"/>
      <c r="BC40" s="1518"/>
      <c r="BD40" s="1518"/>
      <c r="BE40" s="1518"/>
    </row>
    <row r="41" spans="1:57" s="1350" customFormat="1" ht="53.4">
      <c r="A41" s="326">
        <f t="shared" si="0"/>
        <v>5</v>
      </c>
      <c r="B41" s="1406" t="s">
        <v>5992</v>
      </c>
      <c r="C41" s="166">
        <v>107257725260</v>
      </c>
      <c r="D41" s="386" t="s">
        <v>5930</v>
      </c>
      <c r="E41" s="1578" t="s">
        <v>4401</v>
      </c>
      <c r="F41" s="2653" t="s">
        <v>5991</v>
      </c>
      <c r="G41" s="1444">
        <v>4</v>
      </c>
      <c r="H41" s="1444"/>
      <c r="I41" s="1444"/>
      <c r="J41" s="2654" t="s">
        <v>123</v>
      </c>
      <c r="K41" s="2655" t="s">
        <v>5953</v>
      </c>
      <c r="L41" s="2656" t="s">
        <v>5969</v>
      </c>
      <c r="M41" s="1405" t="s">
        <v>5908</v>
      </c>
      <c r="N41" s="2604" t="s">
        <v>5968</v>
      </c>
      <c r="O41" s="2657" t="s">
        <v>5930</v>
      </c>
      <c r="P41" s="2613" t="s">
        <v>6014</v>
      </c>
      <c r="Q41" s="1405" t="s">
        <v>5957</v>
      </c>
      <c r="R41" s="1405"/>
      <c r="S41" s="2627" t="s">
        <v>4813</v>
      </c>
      <c r="T41" s="2674"/>
      <c r="U41" s="1407" t="s">
        <v>4909</v>
      </c>
      <c r="V41" s="2628"/>
      <c r="W41" s="2658">
        <v>1988000</v>
      </c>
      <c r="X41" s="2669">
        <f>1740000*2</f>
        <v>3480000</v>
      </c>
      <c r="Y41" s="2628"/>
      <c r="Z41" s="2275"/>
      <c r="AA41" s="2659">
        <v>1000000</v>
      </c>
      <c r="AB41" s="2628"/>
      <c r="AC41" s="2628"/>
      <c r="AD41" s="2660">
        <f t="shared" si="1"/>
        <v>6468000</v>
      </c>
      <c r="AE41" s="2818"/>
      <c r="AF41" s="1544">
        <f t="shared" ref="AF41:AF54" si="6">(((G41*3450000+H41*3550000+I41*AJ41)+(AI41*$AI$4*(G41+H41))+(AK41*$AK$4*(G41+H41))+(AL41*$AL$4*(G41+H41))+(AM41*$AM$4*(G41+H41))+(AN41*$AN$4*(G41+H41))+(AO41*$AO$4*(G41+H41))+(AP41*$AP$4)+(AQ41*$AQ$4*(G41+H41))+(AR41*$AR$4*(G41+H41))+(AS41*$AS$4)))*1.08</f>
        <v>22248000</v>
      </c>
      <c r="AG41" s="2661">
        <f t="shared" si="4"/>
        <v>28716000</v>
      </c>
      <c r="AH41" s="2629"/>
      <c r="AI41" s="2161">
        <v>1</v>
      </c>
      <c r="AJ41" s="1626"/>
      <c r="AK41" s="1525">
        <v>1</v>
      </c>
      <c r="AL41" s="1525"/>
      <c r="AM41" s="1525"/>
      <c r="AN41" s="1525"/>
      <c r="AO41" s="1525"/>
      <c r="AP41" s="1525"/>
      <c r="AQ41" s="1525"/>
      <c r="AR41" s="1525"/>
      <c r="AS41" s="1525"/>
      <c r="AT41" s="1525"/>
      <c r="AU41" s="1518"/>
      <c r="AV41" s="1518"/>
      <c r="AW41" s="1518"/>
      <c r="AX41" s="1518"/>
      <c r="AY41" s="1518"/>
      <c r="AZ41" s="1518"/>
      <c r="BA41" s="1518"/>
      <c r="BB41" s="1518"/>
      <c r="BC41" s="1518"/>
      <c r="BD41" s="1518"/>
      <c r="BE41" s="1518"/>
    </row>
    <row r="42" spans="1:57" s="1350" customFormat="1" ht="40.200000000000003">
      <c r="A42" s="326">
        <f t="shared" si="0"/>
        <v>6</v>
      </c>
      <c r="B42" s="2687" t="s">
        <v>5994</v>
      </c>
      <c r="C42" s="1633">
        <v>107261139160</v>
      </c>
      <c r="D42" s="1530" t="s">
        <v>5966</v>
      </c>
      <c r="E42" s="2633" t="s">
        <v>5996</v>
      </c>
      <c r="F42" s="2873" t="s">
        <v>6007</v>
      </c>
      <c r="G42" s="1444">
        <v>2</v>
      </c>
      <c r="H42" s="1444"/>
      <c r="I42" s="1444"/>
      <c r="J42" s="2654" t="s">
        <v>123</v>
      </c>
      <c r="K42" s="2655" t="s">
        <v>5089</v>
      </c>
      <c r="L42" s="2655" t="s">
        <v>5904</v>
      </c>
      <c r="M42" s="1405" t="s">
        <v>5967</v>
      </c>
      <c r="N42" s="2622" t="s">
        <v>5905</v>
      </c>
      <c r="O42" s="2657" t="s">
        <v>5931</v>
      </c>
      <c r="P42" s="2613" t="s">
        <v>6057</v>
      </c>
      <c r="Q42" s="1405" t="s">
        <v>5994</v>
      </c>
      <c r="R42" s="1405"/>
      <c r="S42" s="2662" t="s">
        <v>5995</v>
      </c>
      <c r="T42" s="2673"/>
      <c r="U42" s="1407" t="s">
        <v>6012</v>
      </c>
      <c r="V42" s="2628"/>
      <c r="W42" s="2658">
        <v>1588000</v>
      </c>
      <c r="X42" s="2669">
        <f>1235000+980000+185000</f>
        <v>2400000</v>
      </c>
      <c r="Y42" s="2628"/>
      <c r="Z42" s="2275"/>
      <c r="AA42" s="2659">
        <v>500000</v>
      </c>
      <c r="AB42" s="2628"/>
      <c r="AC42" s="2628"/>
      <c r="AD42" s="2660">
        <f t="shared" si="1"/>
        <v>4488000</v>
      </c>
      <c r="AE42" s="2630"/>
      <c r="AF42" s="1544">
        <f>(((G42*3450000+H42*3550000+I42*AJ42)+(AI42*$AI$4*(G42+H42))+(AK42*$AK$4*(G42+H42))+(AL42*$AL$4*(G42+H42))+(AM42*$AM$4*(G42+H42))+(AN42*$AN$4*(G42+H42))+(AO42*$AO$4*(G42+H42))+(AP42*$AP$4)+(AQ42*$AQ$4*(G42+H42))+(AR42*$AR$4*(G42+H42))+(AS42*$AS$4)))*1.08</f>
        <v>13392000</v>
      </c>
      <c r="AG42" s="2661">
        <f t="shared" si="4"/>
        <v>17880000</v>
      </c>
      <c r="AH42" s="2629"/>
      <c r="AI42" s="2161">
        <v>1</v>
      </c>
      <c r="AJ42" s="1626"/>
      <c r="AK42" s="1525"/>
      <c r="AL42" s="1525">
        <v>1</v>
      </c>
      <c r="AM42" s="1525"/>
      <c r="AN42" s="1525">
        <v>1</v>
      </c>
      <c r="AO42" s="1525"/>
      <c r="AP42" s="1525">
        <v>1</v>
      </c>
      <c r="AQ42" s="1525"/>
      <c r="AR42" s="1525"/>
      <c r="AS42" s="1525"/>
      <c r="AT42" s="1525"/>
      <c r="AU42" s="1518"/>
      <c r="AV42" s="1518"/>
      <c r="AW42" s="1518"/>
      <c r="AX42" s="1518"/>
      <c r="AY42" s="1518"/>
      <c r="AZ42" s="1518"/>
      <c r="BA42" s="1518"/>
      <c r="BB42" s="1518"/>
      <c r="BC42" s="1518"/>
      <c r="BD42" s="1518"/>
      <c r="BE42" s="1518"/>
    </row>
    <row r="43" spans="1:57" s="1350" customFormat="1" ht="17.25" customHeight="1">
      <c r="A43" s="326">
        <f t="shared" si="0"/>
        <v>7</v>
      </c>
      <c r="B43" s="2632"/>
      <c r="C43" s="1633">
        <v>107266445420</v>
      </c>
      <c r="D43" s="1530" t="s">
        <v>5931</v>
      </c>
      <c r="E43" s="1424"/>
      <c r="F43" s="2653" t="s">
        <v>6013</v>
      </c>
      <c r="G43" s="4082" t="s">
        <v>4450</v>
      </c>
      <c r="H43" s="4082"/>
      <c r="I43" s="4082"/>
      <c r="J43" s="2654" t="s">
        <v>123</v>
      </c>
      <c r="K43" s="2655"/>
      <c r="L43" s="2655" t="s">
        <v>6006</v>
      </c>
      <c r="M43" s="1405" t="s">
        <v>6005</v>
      </c>
      <c r="N43" s="1442"/>
      <c r="O43" s="2657"/>
      <c r="P43" s="2613"/>
      <c r="Q43" s="1405"/>
      <c r="R43" s="1405"/>
      <c r="S43" s="2627"/>
      <c r="T43" s="2674"/>
      <c r="U43" s="1404"/>
      <c r="V43" s="2628"/>
      <c r="W43" s="2628"/>
      <c r="X43" s="2628"/>
      <c r="Y43" s="2628"/>
      <c r="Z43" s="2275"/>
      <c r="AA43" s="2275"/>
      <c r="AB43" s="2628"/>
      <c r="AC43" s="2628"/>
      <c r="AD43" s="2660">
        <f t="shared" si="1"/>
        <v>0</v>
      </c>
      <c r="AE43" s="2630" t="s">
        <v>4950</v>
      </c>
      <c r="AF43" s="1544">
        <f>800000*1.08</f>
        <v>864000</v>
      </c>
      <c r="AG43" s="2661">
        <f t="shared" si="4"/>
        <v>864000</v>
      </c>
      <c r="AH43" s="2629"/>
      <c r="AI43" s="2634">
        <v>1</v>
      </c>
      <c r="AJ43" s="1626"/>
      <c r="AK43" s="1525"/>
      <c r="AL43" s="1525"/>
      <c r="AM43" s="1525"/>
      <c r="AN43" s="1525"/>
      <c r="AO43" s="1525"/>
      <c r="AP43" s="1525"/>
      <c r="AQ43" s="1525"/>
      <c r="AR43" s="1525"/>
      <c r="AS43" s="1525"/>
      <c r="AT43" s="1525"/>
      <c r="AU43" s="1518"/>
      <c r="AV43" s="1518"/>
      <c r="AW43" s="1518"/>
      <c r="AX43" s="1518"/>
      <c r="AY43" s="1518"/>
      <c r="AZ43" s="1518"/>
      <c r="BA43" s="1518"/>
      <c r="BB43" s="1518"/>
      <c r="BC43" s="1518"/>
      <c r="BD43" s="1518"/>
      <c r="BE43" s="1518"/>
    </row>
    <row r="44" spans="1:57" s="1350" customFormat="1" ht="39.6">
      <c r="A44" s="326">
        <f t="shared" si="0"/>
        <v>8</v>
      </c>
      <c r="B44" s="2723" t="s">
        <v>6033</v>
      </c>
      <c r="C44" s="1633">
        <v>107274212360</v>
      </c>
      <c r="D44" s="1530" t="s">
        <v>6020</v>
      </c>
      <c r="E44" s="2649" t="s">
        <v>4444</v>
      </c>
      <c r="F44" s="2650" t="s">
        <v>6104</v>
      </c>
      <c r="G44" s="445">
        <v>2</v>
      </c>
      <c r="H44" s="445"/>
      <c r="I44" s="445"/>
      <c r="J44" s="2654" t="s">
        <v>123</v>
      </c>
      <c r="K44" s="1436" t="s">
        <v>6032</v>
      </c>
      <c r="L44" s="2655" t="s">
        <v>6027</v>
      </c>
      <c r="M44" s="1405" t="s">
        <v>6029</v>
      </c>
      <c r="N44" s="2622" t="s">
        <v>6028</v>
      </c>
      <c r="O44" s="2657" t="s">
        <v>6018</v>
      </c>
      <c r="P44" s="2613" t="s">
        <v>6108</v>
      </c>
      <c r="Q44" s="2392" t="s">
        <v>6033</v>
      </c>
      <c r="R44" s="577"/>
      <c r="S44" s="2627" t="s">
        <v>4813</v>
      </c>
      <c r="T44" s="2674"/>
      <c r="U44" s="1407" t="s">
        <v>5698</v>
      </c>
      <c r="V44" s="1623"/>
      <c r="W44" s="2658">
        <v>1454000</v>
      </c>
      <c r="X44" s="2669">
        <f>870000*2</f>
        <v>1740000</v>
      </c>
      <c r="Y44" s="1623"/>
      <c r="Z44" s="2651"/>
      <c r="AA44" s="1735">
        <v>500000</v>
      </c>
      <c r="AB44" s="1623"/>
      <c r="AC44" s="1623"/>
      <c r="AD44" s="1416">
        <f>SUM(V44:AC44)</f>
        <v>3694000</v>
      </c>
      <c r="AE44" s="2679" t="s">
        <v>6034</v>
      </c>
      <c r="AF44" s="1545">
        <f>(((G44*3450000+H44*3550000+I44*AJ44)+(AI44*$AI$4*(G44+H44))+(AK44*$AK$4*(G44+H44))+(AL44*$AL$4*(G44+H44))+(AM44*$AM$4*(G44+H44))+(AN44*$AN$4*(G44+H44))+(AO44*$AO$4*(G44+H44))+(AP44*$AP$4)+(AQ44*$AQ$4*(G44+H44))+(AR44*$AR$4*(G44+H44))+(AS44*$AS$4)))*1.08</f>
        <v>12744000</v>
      </c>
      <c r="AG44" s="1624">
        <f>+AD44+AF44</f>
        <v>16438000</v>
      </c>
      <c r="AH44" s="2652"/>
      <c r="AI44" s="1524">
        <v>1</v>
      </c>
      <c r="AJ44" s="1626"/>
      <c r="AK44" s="1525">
        <v>1</v>
      </c>
      <c r="AL44" s="1525"/>
      <c r="AM44" s="1525"/>
      <c r="AN44" s="1525"/>
      <c r="AO44" s="1525"/>
      <c r="AP44" s="1525"/>
      <c r="AQ44" s="1525"/>
      <c r="AR44" s="1525"/>
      <c r="AS44" s="1525">
        <v>1</v>
      </c>
      <c r="AT44" s="1525"/>
      <c r="AU44" s="1518"/>
      <c r="AV44" s="1518"/>
      <c r="AW44" s="1518"/>
      <c r="AX44" s="1518"/>
      <c r="AY44" s="1518"/>
      <c r="AZ44" s="1518"/>
      <c r="BA44" s="1518"/>
      <c r="BB44" s="1518"/>
      <c r="BC44" s="1518"/>
      <c r="BD44" s="1518"/>
      <c r="BE44" s="1518"/>
    </row>
    <row r="45" spans="1:57" s="1350" customFormat="1" ht="39.6">
      <c r="A45" s="326">
        <f t="shared" si="0"/>
        <v>9</v>
      </c>
      <c r="B45" s="666" t="s">
        <v>6122</v>
      </c>
      <c r="C45" s="166">
        <v>107286379540</v>
      </c>
      <c r="D45" s="386" t="s">
        <v>6090</v>
      </c>
      <c r="E45" s="2633" t="s">
        <v>5543</v>
      </c>
      <c r="F45" s="2650" t="s">
        <v>6157</v>
      </c>
      <c r="G45" s="167">
        <v>3</v>
      </c>
      <c r="H45" s="167"/>
      <c r="I45" s="167"/>
      <c r="J45" s="2654" t="s">
        <v>123</v>
      </c>
      <c r="K45" s="1904" t="s">
        <v>6089</v>
      </c>
      <c r="L45" s="1436" t="s">
        <v>6087</v>
      </c>
      <c r="M45" s="959" t="s">
        <v>6109</v>
      </c>
      <c r="N45" s="1618" t="s">
        <v>6088</v>
      </c>
      <c r="O45" s="2592" t="s">
        <v>6090</v>
      </c>
      <c r="P45" s="2614" t="s">
        <v>6159</v>
      </c>
      <c r="Q45" s="2392" t="s">
        <v>6158</v>
      </c>
      <c r="R45" s="577"/>
      <c r="S45" s="2627" t="s">
        <v>4813</v>
      </c>
      <c r="T45" s="2674"/>
      <c r="U45" s="1407" t="s">
        <v>4909</v>
      </c>
      <c r="V45" s="1622"/>
      <c r="W45" s="2658">
        <v>1491000</v>
      </c>
      <c r="X45" s="2669">
        <f>900000*2</f>
        <v>1800000</v>
      </c>
      <c r="Y45" s="1622"/>
      <c r="Z45" s="1857"/>
      <c r="AA45" s="1735">
        <v>750000</v>
      </c>
      <c r="AB45" s="1622"/>
      <c r="AC45" s="1709"/>
      <c r="AD45" s="1416">
        <f t="shared" si="1"/>
        <v>4041000</v>
      </c>
      <c r="AE45" s="1690"/>
      <c r="AF45" s="1418">
        <f t="shared" si="6"/>
        <v>16686000.000000002</v>
      </c>
      <c r="AG45" s="1624">
        <f t="shared" si="4"/>
        <v>20727000</v>
      </c>
      <c r="AH45" s="1625"/>
      <c r="AI45" s="1524">
        <v>1</v>
      </c>
      <c r="AJ45" s="1626"/>
      <c r="AK45" s="1525">
        <v>1</v>
      </c>
      <c r="AL45" s="1525"/>
      <c r="AM45" s="1525"/>
      <c r="AN45" s="1525"/>
      <c r="AO45" s="1525"/>
      <c r="AP45" s="1525"/>
      <c r="AQ45" s="1525"/>
      <c r="AR45" s="1525"/>
      <c r="AS45" s="1525"/>
      <c r="AT45" s="1525"/>
      <c r="AU45" s="1518"/>
      <c r="AV45" s="1518"/>
      <c r="AW45" s="1518"/>
      <c r="AX45" s="1518"/>
      <c r="AY45" s="1518"/>
      <c r="AZ45" s="1518"/>
      <c r="BA45" s="1518"/>
      <c r="BB45" s="1518"/>
      <c r="BC45" s="1518"/>
      <c r="BD45" s="1518"/>
      <c r="BE45" s="1518"/>
    </row>
    <row r="46" spans="1:57" ht="15.6">
      <c r="A46" s="4081" t="s">
        <v>6100</v>
      </c>
      <c r="B46" s="4081"/>
      <c r="C46" s="4081"/>
      <c r="D46" s="4081"/>
      <c r="E46" s="4081"/>
      <c r="F46" s="4081"/>
      <c r="G46" s="4081"/>
      <c r="H46" s="4081"/>
      <c r="I46" s="4081"/>
      <c r="J46" s="4081"/>
      <c r="K46" s="4081"/>
      <c r="L46" s="4081"/>
      <c r="M46" s="4081"/>
      <c r="N46" s="4081"/>
      <c r="O46" s="2591"/>
      <c r="P46" s="2610"/>
      <c r="Q46" s="2594"/>
      <c r="R46" s="1884"/>
      <c r="S46" s="1885"/>
      <c r="T46" s="3626"/>
      <c r="U46" s="1886"/>
      <c r="V46" s="1887"/>
      <c r="W46" s="1888"/>
      <c r="X46" s="1888"/>
      <c r="Y46" s="1888"/>
      <c r="Z46" s="1889"/>
      <c r="AA46" s="1889"/>
      <c r="AB46" s="1888"/>
      <c r="AC46" s="1890"/>
      <c r="AD46" s="1892">
        <f>SUM(AD37:AD45)</f>
        <v>29860000</v>
      </c>
      <c r="AE46" s="2169"/>
      <c r="AF46" s="1892">
        <f>SUM(AF37:AF45)</f>
        <v>107092800</v>
      </c>
      <c r="AG46" s="1892">
        <f>SUM(AG39:AG45)</f>
        <v>129166000</v>
      </c>
      <c r="AH46" s="1892"/>
      <c r="AI46" s="1521"/>
      <c r="AJ46" s="1522"/>
      <c r="AK46" s="2167"/>
      <c r="AL46" s="1893"/>
      <c r="AM46" s="1893"/>
      <c r="AN46" s="1893"/>
      <c r="AO46" s="1893"/>
      <c r="AP46" s="1893"/>
      <c r="AQ46" s="1893"/>
      <c r="AR46" s="1893"/>
      <c r="AS46" s="1525"/>
      <c r="AT46" s="1525"/>
    </row>
    <row r="47" spans="1:57" s="1350" customFormat="1" ht="39.6">
      <c r="A47" s="326">
        <v>1</v>
      </c>
      <c r="B47" s="666" t="s">
        <v>6122</v>
      </c>
      <c r="C47" s="166">
        <v>107286379540</v>
      </c>
      <c r="D47" s="386" t="s">
        <v>6090</v>
      </c>
      <c r="E47" s="2633" t="s">
        <v>5543</v>
      </c>
      <c r="F47" s="2943" t="s">
        <v>6321</v>
      </c>
      <c r="G47" s="167">
        <v>3</v>
      </c>
      <c r="H47" s="167"/>
      <c r="I47" s="167"/>
      <c r="J47" s="2654" t="s">
        <v>123</v>
      </c>
      <c r="K47" s="1904" t="s">
        <v>6089</v>
      </c>
      <c r="L47" s="1436" t="s">
        <v>6087</v>
      </c>
      <c r="M47" s="959" t="s">
        <v>6109</v>
      </c>
      <c r="N47" s="1618" t="s">
        <v>6088</v>
      </c>
      <c r="O47" s="2592"/>
      <c r="P47" s="2614" t="s">
        <v>6159</v>
      </c>
      <c r="Q47" s="2392"/>
      <c r="R47" s="577"/>
      <c r="S47" s="2627" t="s">
        <v>4813</v>
      </c>
      <c r="T47" s="2674"/>
      <c r="U47" s="1407"/>
      <c r="V47" s="1622"/>
      <c r="W47" s="2658">
        <v>230000</v>
      </c>
      <c r="X47" s="2669">
        <v>900000</v>
      </c>
      <c r="Y47" s="1622"/>
      <c r="Z47" s="1857"/>
      <c r="AA47" s="1414"/>
      <c r="AB47" s="1622"/>
      <c r="AC47" s="1709"/>
      <c r="AD47" s="1416">
        <f t="shared" ref="AD47" si="7">SUM(V47:AC47)</f>
        <v>1130000</v>
      </c>
      <c r="AE47" s="1637"/>
      <c r="AF47" s="1418"/>
      <c r="AG47" s="1624">
        <f t="shared" ref="AG47" si="8">+AD47+AF47</f>
        <v>1130000</v>
      </c>
      <c r="AH47" s="1625"/>
      <c r="AI47" s="1524">
        <v>1</v>
      </c>
      <c r="AJ47" s="1626"/>
      <c r="AK47" s="1525">
        <v>1</v>
      </c>
      <c r="AL47" s="1525"/>
      <c r="AM47" s="1525"/>
      <c r="AN47" s="1525"/>
      <c r="AO47" s="1525"/>
      <c r="AP47" s="1525"/>
      <c r="AQ47" s="1525"/>
      <c r="AR47" s="1525"/>
      <c r="AS47" s="1525"/>
      <c r="AT47" s="1525"/>
      <c r="AU47" s="1518"/>
      <c r="AV47" s="1518"/>
      <c r="AW47" s="1518"/>
      <c r="AX47" s="1518"/>
      <c r="AY47" s="1518"/>
      <c r="AZ47" s="1518"/>
      <c r="BA47" s="1518"/>
      <c r="BB47" s="1518"/>
      <c r="BC47" s="1518"/>
      <c r="BD47" s="1518"/>
      <c r="BE47" s="1518"/>
    </row>
    <row r="48" spans="1:57" s="1350" customFormat="1" ht="39.6">
      <c r="A48" s="326">
        <v>2</v>
      </c>
      <c r="B48" s="2450" t="s">
        <v>6192</v>
      </c>
      <c r="C48" s="166">
        <v>107298121341</v>
      </c>
      <c r="D48" s="386" t="s">
        <v>6124</v>
      </c>
      <c r="E48" s="2633" t="s">
        <v>5543</v>
      </c>
      <c r="F48" s="348" t="s">
        <v>6240</v>
      </c>
      <c r="G48" s="167">
        <v>1</v>
      </c>
      <c r="H48" s="167"/>
      <c r="I48" s="167"/>
      <c r="J48" s="2654" t="s">
        <v>123</v>
      </c>
      <c r="K48" s="1436" t="s">
        <v>6225</v>
      </c>
      <c r="L48" s="1436" t="s">
        <v>6102</v>
      </c>
      <c r="M48" s="154" t="s">
        <v>6183</v>
      </c>
      <c r="N48" s="707" t="s">
        <v>6103</v>
      </c>
      <c r="O48" s="2592" t="s">
        <v>6060</v>
      </c>
      <c r="P48" s="2614" t="s">
        <v>5944</v>
      </c>
      <c r="Q48" s="2392" t="s">
        <v>6184</v>
      </c>
      <c r="R48" s="577"/>
      <c r="S48" s="2627" t="s">
        <v>4813</v>
      </c>
      <c r="T48" s="2674"/>
      <c r="U48" s="1407" t="s">
        <v>4909</v>
      </c>
      <c r="V48" s="1622"/>
      <c r="W48" s="2658">
        <v>845000</v>
      </c>
      <c r="X48" s="2669">
        <v>1000000</v>
      </c>
      <c r="Y48" s="1622"/>
      <c r="Z48" s="1857"/>
      <c r="AA48" s="2915">
        <v>250000</v>
      </c>
      <c r="AB48" s="1622"/>
      <c r="AC48" s="1709"/>
      <c r="AD48" s="1416">
        <f>SUM(V48:AC48)</f>
        <v>2095000</v>
      </c>
      <c r="AE48" s="2341" t="s">
        <v>6521</v>
      </c>
      <c r="AF48" s="1418">
        <f t="shared" si="6"/>
        <v>6210000</v>
      </c>
      <c r="AG48" s="1624">
        <f t="shared" ref="AG48:AG54" si="9">+AD48+AF48</f>
        <v>8305000</v>
      </c>
      <c r="AH48" s="1625"/>
      <c r="AI48" s="1524">
        <v>1</v>
      </c>
      <c r="AJ48" s="1626"/>
      <c r="AK48" s="1525"/>
      <c r="AL48" s="1525"/>
      <c r="AM48" s="1525"/>
      <c r="AN48" s="1525"/>
      <c r="AO48" s="1525"/>
      <c r="AP48" s="1525"/>
      <c r="AQ48" s="1525"/>
      <c r="AR48" s="1525"/>
      <c r="AS48" s="1525">
        <v>1</v>
      </c>
      <c r="AT48" s="1525"/>
      <c r="AU48" s="1518"/>
      <c r="AV48" s="1518"/>
      <c r="AW48" s="1518"/>
      <c r="AX48" s="1518"/>
      <c r="AY48" s="1518"/>
      <c r="AZ48" s="1518"/>
      <c r="BA48" s="1518"/>
      <c r="BB48" s="1518"/>
      <c r="BC48" s="1518"/>
      <c r="BD48" s="1518"/>
      <c r="BE48" s="1518"/>
    </row>
    <row r="49" spans="1:57" s="1350" customFormat="1" ht="39.6">
      <c r="A49" s="326">
        <f t="shared" si="0"/>
        <v>3</v>
      </c>
      <c r="B49" s="2450" t="s">
        <v>6383</v>
      </c>
      <c r="C49" s="166">
        <v>107344495860</v>
      </c>
      <c r="D49" s="386">
        <v>45968</v>
      </c>
      <c r="E49" s="117" t="s">
        <v>4401</v>
      </c>
      <c r="F49" s="1208" t="s">
        <v>6348</v>
      </c>
      <c r="G49" s="167">
        <v>3</v>
      </c>
      <c r="H49" s="167"/>
      <c r="I49" s="167"/>
      <c r="J49" s="2654" t="s">
        <v>123</v>
      </c>
      <c r="K49" s="1436" t="s">
        <v>6350</v>
      </c>
      <c r="L49" s="1436" t="s">
        <v>6256</v>
      </c>
      <c r="M49" s="154" t="s">
        <v>6320</v>
      </c>
      <c r="N49" s="1618" t="s">
        <v>6339</v>
      </c>
      <c r="O49" s="2592" t="s">
        <v>6342</v>
      </c>
      <c r="P49" s="2614" t="s">
        <v>6391</v>
      </c>
      <c r="Q49" s="2392" t="s">
        <v>6392</v>
      </c>
      <c r="R49" s="577"/>
      <c r="S49" s="2627" t="s">
        <v>4813</v>
      </c>
      <c r="T49" s="2674"/>
      <c r="U49" s="1407" t="s">
        <v>6349</v>
      </c>
      <c r="V49" s="1622"/>
      <c r="W49" s="2658">
        <v>1491000</v>
      </c>
      <c r="X49" s="2669">
        <f>850000*3</f>
        <v>2550000</v>
      </c>
      <c r="Y49" s="1622"/>
      <c r="Z49" s="1857"/>
      <c r="AA49" s="2915">
        <v>750000</v>
      </c>
      <c r="AB49" s="1622"/>
      <c r="AC49" s="1709"/>
      <c r="AD49" s="1416">
        <f>SUM(V49:AC49)</f>
        <v>4791000</v>
      </c>
      <c r="AE49" s="1637"/>
      <c r="AF49" s="1418">
        <f t="shared" si="6"/>
        <v>16686000.000000002</v>
      </c>
      <c r="AG49" s="1624">
        <f t="shared" si="9"/>
        <v>21477000</v>
      </c>
      <c r="AH49" s="1625"/>
      <c r="AI49" s="1524">
        <v>1</v>
      </c>
      <c r="AJ49" s="1626"/>
      <c r="AK49" s="1525">
        <v>1</v>
      </c>
      <c r="AL49" s="1525"/>
      <c r="AM49" s="1525"/>
      <c r="AN49" s="1525"/>
      <c r="AO49" s="1525"/>
      <c r="AP49" s="1525"/>
      <c r="AQ49" s="1525"/>
      <c r="AR49" s="1525"/>
      <c r="AS49" s="1525"/>
      <c r="AT49" s="1525"/>
      <c r="AU49" s="1518"/>
      <c r="AV49" s="1518"/>
      <c r="AW49" s="1518"/>
      <c r="AX49" s="1518"/>
      <c r="AY49" s="1518"/>
      <c r="AZ49" s="1518"/>
      <c r="BA49" s="1518"/>
      <c r="BB49" s="1518"/>
      <c r="BC49" s="1518"/>
      <c r="BD49" s="1518"/>
      <c r="BE49" s="1518"/>
    </row>
    <row r="50" spans="1:57" s="1350" customFormat="1" ht="26.4">
      <c r="A50" s="326">
        <f t="shared" si="0"/>
        <v>4</v>
      </c>
      <c r="B50" s="2450" t="s">
        <v>6449</v>
      </c>
      <c r="C50" s="166">
        <v>107360089210</v>
      </c>
      <c r="D50" s="386" t="s">
        <v>6375</v>
      </c>
      <c r="E50" s="2633" t="s">
        <v>5996</v>
      </c>
      <c r="F50" s="348" t="s">
        <v>6402</v>
      </c>
      <c r="G50" s="167">
        <v>2</v>
      </c>
      <c r="H50" s="167"/>
      <c r="I50" s="167"/>
      <c r="J50" s="2654" t="s">
        <v>123</v>
      </c>
      <c r="K50" s="1436" t="s">
        <v>5089</v>
      </c>
      <c r="L50" s="1436" t="s">
        <v>6283</v>
      </c>
      <c r="M50" s="959" t="s">
        <v>6376</v>
      </c>
      <c r="N50" s="1618" t="s">
        <v>6374</v>
      </c>
      <c r="O50" s="2592" t="s">
        <v>6375</v>
      </c>
      <c r="P50" s="2614" t="s">
        <v>6450</v>
      </c>
      <c r="Q50" s="2392"/>
      <c r="R50" s="577"/>
      <c r="S50" s="2662" t="s">
        <v>6418</v>
      </c>
      <c r="T50" s="2673"/>
      <c r="U50" s="1407" t="s">
        <v>6012</v>
      </c>
      <c r="V50" s="1622"/>
      <c r="W50" s="2658">
        <v>3110400</v>
      </c>
      <c r="X50" s="2669">
        <f>950000*2</f>
        <v>1900000</v>
      </c>
      <c r="Y50" s="1622"/>
      <c r="Z50" s="2928">
        <v>10834816</v>
      </c>
      <c r="AA50" s="1735">
        <v>250000</v>
      </c>
      <c r="AB50" s="1622"/>
      <c r="AC50" s="1709"/>
      <c r="AD50" s="1416">
        <f>SUM(V50:AC50)</f>
        <v>16095216</v>
      </c>
      <c r="AE50" s="1637"/>
      <c r="AF50" s="1418">
        <f t="shared" si="6"/>
        <v>16632000.000000002</v>
      </c>
      <c r="AG50" s="1624">
        <f t="shared" si="9"/>
        <v>32727216</v>
      </c>
      <c r="AH50" s="1625"/>
      <c r="AI50" s="1524">
        <v>1</v>
      </c>
      <c r="AJ50" s="1626"/>
      <c r="AK50" s="1525"/>
      <c r="AL50" s="1525">
        <v>1</v>
      </c>
      <c r="AM50" s="1525">
        <v>1</v>
      </c>
      <c r="AN50" s="1525"/>
      <c r="AO50" s="1525"/>
      <c r="AP50" s="1525">
        <v>1</v>
      </c>
      <c r="AQ50" s="1525"/>
      <c r="AR50" s="1525"/>
      <c r="AS50" s="1525"/>
      <c r="AT50" s="1525"/>
      <c r="AU50" s="1518"/>
      <c r="AV50" s="1518"/>
      <c r="AW50" s="1518"/>
      <c r="AX50" s="1518"/>
      <c r="AY50" s="1518"/>
      <c r="AZ50" s="1518"/>
      <c r="BA50" s="1518"/>
      <c r="BB50" s="1518"/>
      <c r="BC50" s="1518"/>
      <c r="BD50" s="1518"/>
      <c r="BE50" s="1518"/>
    </row>
    <row r="51" spans="1:57" s="1350" customFormat="1" ht="26.4">
      <c r="A51" s="326">
        <f t="shared" si="0"/>
        <v>5</v>
      </c>
      <c r="B51" s="1509" t="s">
        <v>6499</v>
      </c>
      <c r="C51" s="166">
        <v>107380033240</v>
      </c>
      <c r="D51" s="386" t="s">
        <v>6441</v>
      </c>
      <c r="E51" s="117" t="s">
        <v>4401</v>
      </c>
      <c r="F51" s="348" t="s">
        <v>6515</v>
      </c>
      <c r="G51" s="167">
        <v>2</v>
      </c>
      <c r="H51" s="167"/>
      <c r="I51" s="167"/>
      <c r="J51" s="2654" t="s">
        <v>123</v>
      </c>
      <c r="K51" s="1436" t="s">
        <v>5109</v>
      </c>
      <c r="L51" s="1436" t="s">
        <v>6358</v>
      </c>
      <c r="M51" s="154" t="s">
        <v>6463</v>
      </c>
      <c r="N51" s="1618" t="s">
        <v>6455</v>
      </c>
      <c r="O51" s="2592" t="s">
        <v>6493</v>
      </c>
      <c r="P51" s="2614" t="s">
        <v>6517</v>
      </c>
      <c r="Q51" s="2392" t="s">
        <v>6505</v>
      </c>
      <c r="R51" s="577"/>
      <c r="S51" s="2627" t="s">
        <v>4813</v>
      </c>
      <c r="T51" s="2674"/>
      <c r="U51" s="1407" t="s">
        <v>6349</v>
      </c>
      <c r="V51" s="1622"/>
      <c r="W51" s="2658">
        <v>994000</v>
      </c>
      <c r="X51" s="2669">
        <v>850000</v>
      </c>
      <c r="Y51" s="1622"/>
      <c r="Z51" s="1857"/>
      <c r="AA51" s="2915">
        <v>500000</v>
      </c>
      <c r="AB51" s="1622"/>
      <c r="AC51" s="1709"/>
      <c r="AD51" s="1416">
        <f>SUM(V51:AC51)</f>
        <v>2344000</v>
      </c>
      <c r="AE51" s="1896"/>
      <c r="AF51" s="1418">
        <f t="shared" si="6"/>
        <v>11124000</v>
      </c>
      <c r="AG51" s="1624">
        <f t="shared" si="9"/>
        <v>13468000</v>
      </c>
      <c r="AH51" s="1625"/>
      <c r="AI51" s="1524">
        <v>1</v>
      </c>
      <c r="AJ51" s="1626"/>
      <c r="AK51" s="1525">
        <v>1</v>
      </c>
      <c r="AL51" s="1525"/>
      <c r="AM51" s="1525"/>
      <c r="AN51" s="1525"/>
      <c r="AO51" s="1525"/>
      <c r="AP51" s="1525"/>
      <c r="AQ51" s="1525"/>
      <c r="AR51" s="1525"/>
      <c r="AS51" s="1525"/>
      <c r="AT51" s="1525"/>
      <c r="AU51" s="1518"/>
      <c r="AV51" s="1518"/>
      <c r="AW51" s="1518"/>
      <c r="AX51" s="1518"/>
      <c r="AY51" s="1518"/>
      <c r="AZ51" s="1518"/>
      <c r="BA51" s="1518"/>
      <c r="BB51" s="1518"/>
      <c r="BC51" s="1518"/>
      <c r="BD51" s="1518"/>
      <c r="BE51" s="1518"/>
    </row>
    <row r="52" spans="1:57" ht="15.6">
      <c r="A52" s="4081" t="s">
        <v>6485</v>
      </c>
      <c r="B52" s="4081"/>
      <c r="C52" s="4081"/>
      <c r="D52" s="4081"/>
      <c r="E52" s="4081"/>
      <c r="F52" s="4081"/>
      <c r="G52" s="4081"/>
      <c r="H52" s="4081"/>
      <c r="I52" s="4081"/>
      <c r="J52" s="4081"/>
      <c r="K52" s="4081"/>
      <c r="L52" s="4081"/>
      <c r="M52" s="4081"/>
      <c r="N52" s="4081"/>
      <c r="O52" s="2591"/>
      <c r="P52" s="2610"/>
      <c r="Q52" s="2594"/>
      <c r="R52" s="1884"/>
      <c r="S52" s="1885"/>
      <c r="T52" s="3626"/>
      <c r="U52" s="1886"/>
      <c r="V52" s="1887"/>
      <c r="W52" s="1888"/>
      <c r="X52" s="1888"/>
      <c r="Y52" s="1888"/>
      <c r="Z52" s="1889"/>
      <c r="AA52" s="1889"/>
      <c r="AB52" s="1888"/>
      <c r="AC52" s="2495"/>
      <c r="AD52" s="1892">
        <f>SUM(AD47:AD51)</f>
        <v>26455216</v>
      </c>
      <c r="AE52" s="2169"/>
      <c r="AF52" s="1892">
        <f>SUM(AF47:AF51)</f>
        <v>50652000</v>
      </c>
      <c r="AG52" s="1892">
        <f>SUM(AG45:AG51)</f>
        <v>227000216</v>
      </c>
      <c r="AH52" s="1892"/>
      <c r="AI52" s="1521"/>
      <c r="AJ52" s="1522"/>
      <c r="AK52" s="2167"/>
      <c r="AL52" s="1893"/>
      <c r="AM52" s="1893"/>
      <c r="AN52" s="1893"/>
      <c r="AO52" s="1893"/>
      <c r="AP52" s="1893"/>
      <c r="AQ52" s="1893"/>
      <c r="AR52" s="1893"/>
      <c r="AS52" s="1525"/>
      <c r="AT52" s="1525"/>
    </row>
    <row r="53" spans="1:57" s="1350" customFormat="1" ht="26.4">
      <c r="A53" s="326"/>
      <c r="B53" s="1509"/>
      <c r="C53" s="166">
        <v>107380033240</v>
      </c>
      <c r="D53" s="386" t="s">
        <v>6441</v>
      </c>
      <c r="E53" s="117" t="s">
        <v>4401</v>
      </c>
      <c r="F53" s="348" t="s">
        <v>6686</v>
      </c>
      <c r="G53" s="167">
        <v>2</v>
      </c>
      <c r="H53" s="167"/>
      <c r="I53" s="167"/>
      <c r="J53" s="2654" t="s">
        <v>123</v>
      </c>
      <c r="K53" s="1436" t="s">
        <v>5109</v>
      </c>
      <c r="L53" s="1436" t="s">
        <v>6358</v>
      </c>
      <c r="M53" s="154" t="s">
        <v>6463</v>
      </c>
      <c r="N53" s="1618" t="s">
        <v>6455</v>
      </c>
      <c r="O53" s="2592" t="s">
        <v>6493</v>
      </c>
      <c r="P53" s="2614" t="s">
        <v>6517</v>
      </c>
      <c r="Q53" s="2392"/>
      <c r="R53" s="577"/>
      <c r="S53" s="2627"/>
      <c r="T53" s="2674"/>
      <c r="U53" s="1407"/>
      <c r="V53" s="1622"/>
      <c r="X53" s="2669">
        <v>850000</v>
      </c>
      <c r="Y53" s="1622"/>
      <c r="Z53" s="1857"/>
      <c r="AA53" s="1710"/>
      <c r="AB53" s="1622"/>
      <c r="AC53" s="1709"/>
      <c r="AD53" s="1416">
        <f t="shared" ref="AD53" si="10">SUM(V53:AC53)</f>
        <v>850000</v>
      </c>
      <c r="AE53" s="1896" t="s">
        <v>6544</v>
      </c>
      <c r="AF53" s="1418"/>
      <c r="AG53" s="1624">
        <f t="shared" ref="AG53" si="11">+AD53+AF53</f>
        <v>850000</v>
      </c>
      <c r="AH53" s="1625"/>
      <c r="AI53" s="1524"/>
      <c r="AJ53" s="1626"/>
      <c r="AK53" s="1525"/>
      <c r="AL53" s="1525"/>
      <c r="AM53" s="1525"/>
      <c r="AN53" s="1525"/>
      <c r="AO53" s="1525"/>
      <c r="AP53" s="1525"/>
      <c r="AQ53" s="1525"/>
      <c r="AR53" s="1525"/>
      <c r="AS53" s="1525"/>
      <c r="AT53" s="1525"/>
      <c r="AU53" s="1518"/>
      <c r="AV53" s="1518"/>
      <c r="AW53" s="1518"/>
      <c r="AX53" s="1518"/>
      <c r="AY53" s="1518"/>
      <c r="AZ53" s="1518"/>
      <c r="BA53" s="1518"/>
      <c r="BB53" s="1518"/>
      <c r="BC53" s="1518"/>
      <c r="BD53" s="1518"/>
      <c r="BE53" s="1518"/>
    </row>
    <row r="54" spans="1:57" s="1350" customFormat="1" ht="41.25" customHeight="1">
      <c r="A54" s="326">
        <f t="shared" si="0"/>
        <v>1</v>
      </c>
      <c r="B54" s="2450" t="s">
        <v>6678</v>
      </c>
      <c r="C54" s="166">
        <v>107420569910</v>
      </c>
      <c r="D54" s="386" t="s">
        <v>6601</v>
      </c>
      <c r="E54" s="2649" t="s">
        <v>4444</v>
      </c>
      <c r="F54" s="348" t="s">
        <v>6670</v>
      </c>
      <c r="G54" s="167">
        <v>2</v>
      </c>
      <c r="H54" s="167"/>
      <c r="I54" s="167"/>
      <c r="J54" s="3020" t="s">
        <v>136</v>
      </c>
      <c r="K54" s="1957">
        <f>54740/2</f>
        <v>27370</v>
      </c>
      <c r="L54" s="3161" t="s">
        <v>6554</v>
      </c>
      <c r="M54" s="1587" t="s">
        <v>6664</v>
      </c>
      <c r="N54" s="2362" t="s">
        <v>6582</v>
      </c>
      <c r="O54" s="1612" t="s">
        <v>6555</v>
      </c>
      <c r="P54" s="2614" t="s">
        <v>6681</v>
      </c>
      <c r="Q54" s="1587" t="s">
        <v>6663</v>
      </c>
      <c r="R54" s="1587"/>
      <c r="S54" s="2627" t="s">
        <v>4813</v>
      </c>
      <c r="T54" s="2674"/>
      <c r="U54" s="1407" t="s">
        <v>4909</v>
      </c>
      <c r="V54" s="2775"/>
      <c r="W54" s="2658">
        <v>1454000</v>
      </c>
      <c r="X54" s="2669">
        <f>910000*2</f>
        <v>1820000</v>
      </c>
      <c r="Y54" s="2775"/>
      <c r="Z54" s="2774"/>
      <c r="AA54" s="2916">
        <v>500000</v>
      </c>
      <c r="AB54" s="2775"/>
      <c r="AC54" s="2775"/>
      <c r="AD54" s="2948">
        <f t="shared" ref="AD54:AD59" si="12">SUM(V54:AC54)</f>
        <v>3774000</v>
      </c>
      <c r="AE54" s="2341" t="s">
        <v>6667</v>
      </c>
      <c r="AF54" s="1418">
        <f t="shared" si="6"/>
        <v>13608000</v>
      </c>
      <c r="AG54" s="1624">
        <f t="shared" si="9"/>
        <v>17382000</v>
      </c>
      <c r="AH54" s="1625"/>
      <c r="AI54" s="1524">
        <v>1</v>
      </c>
      <c r="AJ54" s="1626"/>
      <c r="AK54" s="1525">
        <v>1</v>
      </c>
      <c r="AL54" s="1525"/>
      <c r="AM54" s="1525"/>
      <c r="AN54" s="1525"/>
      <c r="AO54" s="1525"/>
      <c r="AP54" s="1525"/>
      <c r="AQ54" s="1525">
        <v>1</v>
      </c>
      <c r="AR54" s="1525"/>
      <c r="AS54" s="1525">
        <v>1</v>
      </c>
      <c r="AT54" s="1525"/>
      <c r="AU54" s="1518"/>
      <c r="AV54" s="1518"/>
      <c r="AW54" s="1518"/>
      <c r="AX54" s="1518"/>
      <c r="AY54" s="1518"/>
      <c r="AZ54" s="1518"/>
      <c r="BA54" s="1518"/>
      <c r="BB54" s="1518"/>
      <c r="BC54" s="1518"/>
      <c r="BD54" s="1518"/>
      <c r="BE54" s="1518"/>
    </row>
    <row r="55" spans="1:57" s="1350" customFormat="1" ht="26.4">
      <c r="A55" s="326">
        <f t="shared" si="0"/>
        <v>2</v>
      </c>
      <c r="B55" s="2450" t="s">
        <v>6714</v>
      </c>
      <c r="C55" s="166">
        <v>107437375250</v>
      </c>
      <c r="D55" s="386" t="s">
        <v>6527</v>
      </c>
      <c r="E55" s="117" t="s">
        <v>4401</v>
      </c>
      <c r="F55" s="348" t="s">
        <v>6679</v>
      </c>
      <c r="G55" s="167">
        <v>1</v>
      </c>
      <c r="H55" s="167"/>
      <c r="I55" s="167"/>
      <c r="J55" s="2654" t="s">
        <v>123</v>
      </c>
      <c r="K55" s="3035" t="s">
        <v>6675</v>
      </c>
      <c r="L55" s="3035" t="s">
        <v>6596</v>
      </c>
      <c r="M55" s="1697" t="s">
        <v>6673</v>
      </c>
      <c r="N55" s="2362" t="s">
        <v>6674</v>
      </c>
      <c r="O55" s="1612" t="s">
        <v>6683</v>
      </c>
      <c r="P55" s="2614" t="s">
        <v>5942</v>
      </c>
      <c r="Q55" s="1587" t="s">
        <v>6694</v>
      </c>
      <c r="R55" s="1566"/>
      <c r="S55" s="2627" t="s">
        <v>4813</v>
      </c>
      <c r="T55" s="2674"/>
      <c r="U55" s="1407" t="s">
        <v>6349</v>
      </c>
      <c r="V55" s="1566"/>
      <c r="W55" s="2658">
        <v>497000</v>
      </c>
      <c r="X55" s="2669">
        <v>999000</v>
      </c>
      <c r="Y55" s="1566"/>
      <c r="Z55" s="1566"/>
      <c r="AA55" s="2916">
        <v>250000</v>
      </c>
      <c r="AB55" s="1566"/>
      <c r="AC55" s="1566"/>
      <c r="AD55" s="2948">
        <f t="shared" si="12"/>
        <v>1746000</v>
      </c>
      <c r="AE55" s="2828"/>
      <c r="AF55" s="1418">
        <f t="shared" ref="AF55:AF72" si="13">(((G55*3450000+H55*3550000+I55*AJ55)+(AI55*$AI$4*(G55+H55))+(AK55*$AK$4*(G55+H55))+(AL55*$AL$4*(G55+H55))+(AM55*$AM$4*(G55+H55))+(AN55*$AN$4*(G55+H55))+(AO55*$AO$4*(G55+H55))+(AP55*$AP$4)+(AQ55*$AQ$4*(G55+H55))+(AR55*$AR$4*(G55+H55))+(AS55*$AS$4)))*1.08</f>
        <v>5562000</v>
      </c>
      <c r="AG55" s="1624">
        <f t="shared" ref="AG55:AG72" si="14">+AD55+AF55</f>
        <v>7308000</v>
      </c>
      <c r="AH55" s="1625"/>
      <c r="AI55" s="1524">
        <v>1</v>
      </c>
      <c r="AJ55" s="2828"/>
      <c r="AK55" s="1525" t="s">
        <v>973</v>
      </c>
      <c r="AL55" s="2828"/>
      <c r="AM55" s="2828"/>
      <c r="AN55" s="1525"/>
      <c r="AO55" s="1525"/>
      <c r="AP55" s="1525"/>
      <c r="AQ55" s="1525"/>
      <c r="AR55" s="1525"/>
      <c r="AS55" s="1525"/>
      <c r="AT55" s="1525"/>
      <c r="AU55" s="1518"/>
      <c r="AV55" s="1518"/>
      <c r="AW55" s="1518"/>
      <c r="AX55" s="1518"/>
      <c r="AY55" s="1518"/>
      <c r="AZ55" s="1518"/>
      <c r="BA55" s="1518"/>
      <c r="BB55" s="1518"/>
      <c r="BC55" s="1518"/>
      <c r="BD55" s="1518"/>
      <c r="BE55" s="1518"/>
    </row>
    <row r="56" spans="1:57" s="1350" customFormat="1">
      <c r="A56" s="326">
        <f t="shared" si="0"/>
        <v>3</v>
      </c>
      <c r="B56" s="1859"/>
      <c r="C56" s="166">
        <v>107446040330</v>
      </c>
      <c r="D56" s="46" t="s">
        <v>6653</v>
      </c>
      <c r="E56" s="47"/>
      <c r="F56" s="348" t="s">
        <v>6711</v>
      </c>
      <c r="G56" s="4082" t="s">
        <v>4450</v>
      </c>
      <c r="H56" s="4082"/>
      <c r="I56" s="4082"/>
      <c r="J56" s="2654" t="s">
        <v>123</v>
      </c>
      <c r="K56" s="1436"/>
      <c r="L56" s="1436" t="s">
        <v>6701</v>
      </c>
      <c r="M56" s="577" t="s">
        <v>6702</v>
      </c>
      <c r="N56" s="707"/>
      <c r="O56" s="2590"/>
      <c r="P56" s="2614"/>
      <c r="Q56" s="2392"/>
      <c r="R56" s="577"/>
      <c r="S56" s="1778"/>
      <c r="T56" s="1778"/>
      <c r="U56" s="1404"/>
      <c r="V56" s="1622"/>
      <c r="W56" s="1622"/>
      <c r="X56" s="1622"/>
      <c r="Y56" s="1622"/>
      <c r="Z56" s="1857"/>
      <c r="AA56" s="1903"/>
      <c r="AB56" s="1622"/>
      <c r="AC56" s="1709"/>
      <c r="AD56" s="2948">
        <f t="shared" si="12"/>
        <v>0</v>
      </c>
      <c r="AE56" s="1690"/>
      <c r="AF56" s="1418">
        <f>800000*1.08</f>
        <v>864000</v>
      </c>
      <c r="AG56" s="1624">
        <f t="shared" si="14"/>
        <v>864000</v>
      </c>
      <c r="AH56" s="1625"/>
      <c r="AI56" s="1524">
        <v>1</v>
      </c>
      <c r="AJ56" s="1626"/>
      <c r="AK56" s="1525"/>
      <c r="AL56" s="1525"/>
      <c r="AM56" s="1525"/>
      <c r="AN56" s="1525"/>
      <c r="AO56" s="1525"/>
      <c r="AP56" s="1525"/>
      <c r="AQ56" s="1525"/>
      <c r="AR56" s="1525"/>
      <c r="AS56" s="1525"/>
      <c r="AT56" s="1525"/>
      <c r="AU56" s="1518"/>
      <c r="AV56" s="1518"/>
      <c r="AW56" s="1518"/>
      <c r="AX56" s="1518"/>
      <c r="AY56" s="1518"/>
      <c r="AZ56" s="1518"/>
      <c r="BA56" s="1518"/>
      <c r="BB56" s="1518"/>
      <c r="BC56" s="1518"/>
      <c r="BD56" s="1518"/>
      <c r="BE56" s="1518"/>
    </row>
    <row r="57" spans="1:57" s="1350" customFormat="1" ht="26.4">
      <c r="A57" s="326">
        <f t="shared" si="0"/>
        <v>4</v>
      </c>
      <c r="B57" s="666" t="s">
        <v>6642</v>
      </c>
      <c r="C57" s="166">
        <v>107453198641</v>
      </c>
      <c r="D57" s="386" t="s">
        <v>6740</v>
      </c>
      <c r="E57" s="117" t="s">
        <v>4401</v>
      </c>
      <c r="F57" s="348" t="s">
        <v>6806</v>
      </c>
      <c r="G57" s="167">
        <v>2</v>
      </c>
      <c r="H57" s="167"/>
      <c r="I57" s="167"/>
      <c r="J57" s="2654" t="s">
        <v>123</v>
      </c>
      <c r="K57" s="3069" t="s">
        <v>6720</v>
      </c>
      <c r="L57" s="3069" t="s">
        <v>6718</v>
      </c>
      <c r="M57" s="3054" t="s">
        <v>6745</v>
      </c>
      <c r="N57" s="2362" t="s">
        <v>6719</v>
      </c>
      <c r="O57" s="1612" t="s">
        <v>6663</v>
      </c>
      <c r="P57" s="2614" t="s">
        <v>6803</v>
      </c>
      <c r="Q57" s="1587" t="s">
        <v>6807</v>
      </c>
      <c r="R57" s="1587"/>
      <c r="S57" s="2627" t="s">
        <v>4813</v>
      </c>
      <c r="T57" s="2674"/>
      <c r="U57" s="1407" t="s">
        <v>6349</v>
      </c>
      <c r="V57" s="2775"/>
      <c r="W57" s="2658">
        <v>994000</v>
      </c>
      <c r="X57" s="2669">
        <v>1998000</v>
      </c>
      <c r="Y57" s="2775"/>
      <c r="Z57" s="2774"/>
      <c r="AA57" s="2409">
        <v>500000</v>
      </c>
      <c r="AB57" s="2775"/>
      <c r="AC57" s="2775"/>
      <c r="AD57" s="2948">
        <f t="shared" si="12"/>
        <v>3492000</v>
      </c>
      <c r="AE57" s="1690"/>
      <c r="AF57" s="1418">
        <f>(((G57*3450000+H57*3550000+I57*AJ57)+(AI57*$AI$4*(G57+H57))+(AK57*$AK$4*(G57+H57))+(AL57*$AL$4*(G57+H57))+(AM57*$AM$4*(G57+H57))+(AN57*$AN$4*(G57+H57))+(AO57*$AO$4*(G57+H57))+(AP57*$AP$4)+(AQ57*$AQ$4*(G57+H57))+(AR57*$AR$4*(G57+H57))+(AS57*$AS$4)))*1.08</f>
        <v>11124000</v>
      </c>
      <c r="AG57" s="1624">
        <f>+AD57+AF57</f>
        <v>14616000</v>
      </c>
      <c r="AH57" s="1625"/>
      <c r="AI57" s="1524">
        <v>1</v>
      </c>
      <c r="AJ57" s="1626"/>
      <c r="AK57" s="1525">
        <v>1</v>
      </c>
      <c r="AL57" s="1525"/>
      <c r="AM57" s="1525"/>
      <c r="AN57" s="1525"/>
      <c r="AO57" s="1525"/>
      <c r="AP57" s="1525"/>
      <c r="AQ57" s="1525"/>
      <c r="AR57" s="1525"/>
      <c r="AS57" s="1525"/>
      <c r="AT57" s="1525"/>
      <c r="AU57" s="1518"/>
      <c r="AV57" s="1518"/>
      <c r="AW57" s="1518"/>
      <c r="AX57" s="1518"/>
      <c r="AY57" s="1518"/>
      <c r="AZ57" s="1518"/>
      <c r="BA57" s="1518"/>
      <c r="BB57" s="1518"/>
      <c r="BC57" s="1518"/>
      <c r="BD57" s="1518"/>
      <c r="BE57" s="1518"/>
    </row>
    <row r="58" spans="1:57" s="1350" customFormat="1">
      <c r="A58" s="326">
        <f t="shared" si="0"/>
        <v>5</v>
      </c>
      <c r="B58" s="1859"/>
      <c r="C58" s="166">
        <v>107465968850</v>
      </c>
      <c r="D58" s="46" t="s">
        <v>6642</v>
      </c>
      <c r="E58" s="47"/>
      <c r="F58" s="348" t="s">
        <v>6850</v>
      </c>
      <c r="G58" s="4082" t="s">
        <v>4450</v>
      </c>
      <c r="H58" s="4082"/>
      <c r="I58" s="4082"/>
      <c r="J58" s="2654" t="s">
        <v>123</v>
      </c>
      <c r="K58" s="1436"/>
      <c r="L58" s="1436" t="s">
        <v>6809</v>
      </c>
      <c r="M58" s="577" t="s">
        <v>6808</v>
      </c>
      <c r="N58" s="707"/>
      <c r="O58" s="2590"/>
      <c r="P58" s="2614"/>
      <c r="Q58" s="2392"/>
      <c r="R58" s="577"/>
      <c r="S58" s="1778"/>
      <c r="T58" s="1778"/>
      <c r="U58" s="1404"/>
      <c r="V58" s="1622"/>
      <c r="W58" s="1622"/>
      <c r="X58" s="1622"/>
      <c r="Y58" s="1622"/>
      <c r="Z58" s="1857"/>
      <c r="AA58" s="1903"/>
      <c r="AB58" s="1622"/>
      <c r="AC58" s="1709"/>
      <c r="AD58" s="2948">
        <f t="shared" si="12"/>
        <v>0</v>
      </c>
      <c r="AE58" s="1690"/>
      <c r="AF58" s="1418">
        <f>800000*1.08</f>
        <v>864000</v>
      </c>
      <c r="AG58" s="1624">
        <f t="shared" ref="AG58" si="15">+AD58+AF58</f>
        <v>864000</v>
      </c>
      <c r="AH58" s="1625"/>
      <c r="AI58" s="1524">
        <v>1</v>
      </c>
      <c r="AJ58" s="1626"/>
      <c r="AK58" s="1525"/>
      <c r="AL58" s="1525"/>
      <c r="AM58" s="1525"/>
      <c r="AN58" s="1525"/>
      <c r="AO58" s="1525"/>
      <c r="AP58" s="1525"/>
      <c r="AQ58" s="1525"/>
      <c r="AR58" s="1525"/>
      <c r="AS58" s="1525"/>
      <c r="AT58" s="1525"/>
      <c r="AU58" s="1518"/>
      <c r="AV58" s="1518"/>
      <c r="AW58" s="1518"/>
      <c r="AX58" s="1518"/>
      <c r="AY58" s="1518"/>
      <c r="AZ58" s="1518"/>
      <c r="BA58" s="1518"/>
      <c r="BB58" s="1518"/>
      <c r="BC58" s="1518"/>
      <c r="BD58" s="1518"/>
      <c r="BE58" s="1518"/>
    </row>
    <row r="59" spans="1:57" s="1350" customFormat="1">
      <c r="A59" s="326">
        <f t="shared" si="0"/>
        <v>6</v>
      </c>
      <c r="B59" s="1859"/>
      <c r="C59" s="166">
        <v>107465913660</v>
      </c>
      <c r="D59" s="46" t="s">
        <v>6642</v>
      </c>
      <c r="E59" s="47"/>
      <c r="F59" s="348" t="s">
        <v>6849</v>
      </c>
      <c r="G59" s="4082" t="s">
        <v>4450</v>
      </c>
      <c r="H59" s="4082"/>
      <c r="I59" s="4082"/>
      <c r="J59" s="2654" t="s">
        <v>123</v>
      </c>
      <c r="K59" s="1436"/>
      <c r="L59" s="1436" t="s">
        <v>6810</v>
      </c>
      <c r="M59" s="154" t="s">
        <v>6811</v>
      </c>
      <c r="N59" s="707"/>
      <c r="O59" s="2592"/>
      <c r="P59" s="2614"/>
      <c r="Q59" s="2392"/>
      <c r="R59" s="577"/>
      <c r="S59" s="165"/>
      <c r="T59" s="2674"/>
      <c r="U59" s="1404"/>
      <c r="V59" s="1622"/>
      <c r="W59" s="1622"/>
      <c r="X59" s="1622"/>
      <c r="Y59" s="1622"/>
      <c r="Z59" s="1857"/>
      <c r="AA59" s="1903"/>
      <c r="AB59" s="1622"/>
      <c r="AC59" s="1709"/>
      <c r="AD59" s="2948">
        <f t="shared" si="12"/>
        <v>0</v>
      </c>
      <c r="AE59" s="1690"/>
      <c r="AF59" s="1418">
        <f>800000*1.08</f>
        <v>864000</v>
      </c>
      <c r="AG59" s="1624">
        <f t="shared" si="14"/>
        <v>864000</v>
      </c>
      <c r="AH59" s="1625"/>
      <c r="AI59" s="1524"/>
      <c r="AJ59" s="1626"/>
      <c r="AK59" s="1525"/>
      <c r="AL59" s="1525"/>
      <c r="AM59" s="1525"/>
      <c r="AN59" s="1525"/>
      <c r="AO59" s="1525"/>
      <c r="AP59" s="1525"/>
      <c r="AQ59" s="1525"/>
      <c r="AR59" s="1525"/>
      <c r="AS59" s="1525"/>
      <c r="AT59" s="1525"/>
      <c r="AU59" s="1518"/>
      <c r="AV59" s="1518"/>
      <c r="AW59" s="1518"/>
      <c r="AX59" s="1518"/>
      <c r="AY59" s="1518"/>
      <c r="AZ59" s="1518"/>
      <c r="BA59" s="1518"/>
      <c r="BB59" s="1518"/>
      <c r="BC59" s="1518"/>
      <c r="BD59" s="1518"/>
      <c r="BE59" s="1518"/>
    </row>
    <row r="60" spans="1:57" ht="15.6">
      <c r="A60" s="4081" t="s">
        <v>6848</v>
      </c>
      <c r="B60" s="4081"/>
      <c r="C60" s="4081"/>
      <c r="D60" s="4081"/>
      <c r="E60" s="4081"/>
      <c r="F60" s="4081"/>
      <c r="G60" s="4081"/>
      <c r="H60" s="4081"/>
      <c r="I60" s="4081"/>
      <c r="J60" s="4081"/>
      <c r="K60" s="4081"/>
      <c r="L60" s="4081"/>
      <c r="M60" s="4081"/>
      <c r="N60" s="4081"/>
      <c r="O60" s="2591"/>
      <c r="P60" s="2610"/>
      <c r="Q60" s="2594"/>
      <c r="R60" s="1884"/>
      <c r="S60" s="1885"/>
      <c r="T60" s="3626"/>
      <c r="U60" s="1886"/>
      <c r="V60" s="1887"/>
      <c r="W60" s="1888"/>
      <c r="X60" s="1888"/>
      <c r="Y60" s="1888"/>
      <c r="Z60" s="1889"/>
      <c r="AA60" s="1889"/>
      <c r="AB60" s="1888"/>
      <c r="AC60" s="2495"/>
      <c r="AD60" s="1892">
        <f>SUM(AD53:AD59)</f>
        <v>9862000</v>
      </c>
      <c r="AE60" s="2169"/>
      <c r="AF60" s="1892">
        <f>SUM(AF53:AF59)</f>
        <v>32886000</v>
      </c>
      <c r="AG60" s="1892">
        <f>SUM(AG53:AG59)</f>
        <v>42748000</v>
      </c>
      <c r="AH60" s="1892"/>
      <c r="AI60" s="1521"/>
      <c r="AJ60" s="1522"/>
      <c r="AK60" s="2167"/>
      <c r="AL60" s="1893"/>
      <c r="AM60" s="1893"/>
      <c r="AN60" s="1893"/>
      <c r="AO60" s="1893"/>
      <c r="AP60" s="1893"/>
      <c r="AQ60" s="1893"/>
      <c r="AR60" s="1893"/>
      <c r="AS60" s="1525"/>
      <c r="AT60" s="1525"/>
    </row>
    <row r="61" spans="1:57" s="1350" customFormat="1" ht="41.25" customHeight="1">
      <c r="A61" s="326"/>
      <c r="B61" s="2450"/>
      <c r="C61" s="166">
        <v>107420569910</v>
      </c>
      <c r="D61" s="386" t="s">
        <v>6601</v>
      </c>
      <c r="E61" s="2649" t="s">
        <v>4444</v>
      </c>
      <c r="F61" s="348" t="s">
        <v>7118</v>
      </c>
      <c r="G61" s="167">
        <v>2</v>
      </c>
      <c r="H61" s="167"/>
      <c r="I61" s="167"/>
      <c r="J61" s="3020" t="s">
        <v>136</v>
      </c>
      <c r="K61" s="1957">
        <f>54740/2</f>
        <v>27370</v>
      </c>
      <c r="L61" s="3210" t="s">
        <v>6554</v>
      </c>
      <c r="M61" s="1587" t="s">
        <v>6664</v>
      </c>
      <c r="N61" s="2362" t="s">
        <v>6582</v>
      </c>
      <c r="O61" s="1612" t="s">
        <v>6555</v>
      </c>
      <c r="P61" s="2614" t="s">
        <v>6681</v>
      </c>
      <c r="Q61" s="1587" t="s">
        <v>6663</v>
      </c>
      <c r="R61" s="1587"/>
      <c r="S61" s="2627" t="s">
        <v>4813</v>
      </c>
      <c r="T61" s="2674"/>
      <c r="U61" s="1407" t="s">
        <v>4909</v>
      </c>
      <c r="V61" s="2775"/>
      <c r="W61" s="2658">
        <v>1454000</v>
      </c>
      <c r="X61" s="1414"/>
      <c r="Y61" s="2201"/>
      <c r="Z61" s="2202"/>
      <c r="AA61" s="2202"/>
      <c r="AB61" s="2201"/>
      <c r="AC61" s="2775"/>
      <c r="AD61" s="2948">
        <f t="shared" ref="AD61" si="16">SUM(V61:AC61)</f>
        <v>1454000</v>
      </c>
      <c r="AE61" s="2341"/>
      <c r="AF61" s="1418"/>
      <c r="AG61" s="1624">
        <f t="shared" ref="AG61" si="17">+AD61+AF61</f>
        <v>1454000</v>
      </c>
      <c r="AH61" s="1625"/>
      <c r="AI61" s="1524">
        <v>1</v>
      </c>
      <c r="AJ61" s="1626"/>
      <c r="AK61" s="1525">
        <v>1</v>
      </c>
      <c r="AL61" s="1525"/>
      <c r="AM61" s="1525"/>
      <c r="AN61" s="1525"/>
      <c r="AO61" s="1525"/>
      <c r="AP61" s="1525"/>
      <c r="AQ61" s="1525">
        <v>1</v>
      </c>
      <c r="AR61" s="1525"/>
      <c r="AS61" s="1525">
        <v>1</v>
      </c>
      <c r="AT61" s="1525"/>
      <c r="AU61" s="1518"/>
      <c r="AV61" s="1518"/>
      <c r="AW61" s="1518"/>
      <c r="AX61" s="1518"/>
      <c r="AY61" s="1518"/>
      <c r="AZ61" s="1518"/>
      <c r="BA61" s="1518"/>
      <c r="BB61" s="1518"/>
      <c r="BC61" s="1518"/>
      <c r="BD61" s="1518"/>
      <c r="BE61" s="1518"/>
    </row>
    <row r="62" spans="1:57" s="1350" customFormat="1" ht="52.8">
      <c r="A62" s="326">
        <v>1</v>
      </c>
      <c r="B62" s="2450" t="s">
        <v>6883</v>
      </c>
      <c r="C62" s="166">
        <v>107474841460</v>
      </c>
      <c r="D62" s="386" t="s">
        <v>6826</v>
      </c>
      <c r="E62" s="3329" t="s">
        <v>4444</v>
      </c>
      <c r="F62" s="348" t="s">
        <v>6887</v>
      </c>
      <c r="G62" s="167">
        <v>2</v>
      </c>
      <c r="H62" s="167"/>
      <c r="I62" s="167"/>
      <c r="J62" s="2654" t="s">
        <v>123</v>
      </c>
      <c r="K62" s="1436" t="s">
        <v>6835</v>
      </c>
      <c r="L62" s="1436" t="s">
        <v>6734</v>
      </c>
      <c r="M62" s="1587" t="s">
        <v>6833</v>
      </c>
      <c r="N62" s="1618" t="s">
        <v>6834</v>
      </c>
      <c r="O62" s="2592" t="s">
        <v>6825</v>
      </c>
      <c r="P62" s="2614" t="s">
        <v>6885</v>
      </c>
      <c r="Q62" s="2392" t="s">
        <v>6857</v>
      </c>
      <c r="R62" s="577"/>
      <c r="S62" s="2627" t="s">
        <v>4813</v>
      </c>
      <c r="T62" s="2674"/>
      <c r="U62" s="1407" t="s">
        <v>7035</v>
      </c>
      <c r="V62" s="1622"/>
      <c r="W62" s="2658">
        <v>994000</v>
      </c>
      <c r="X62" s="2669">
        <f>999000*2</f>
        <v>1998000</v>
      </c>
      <c r="Y62" s="1622"/>
      <c r="Z62" s="1857"/>
      <c r="AA62" s="2409">
        <v>500000</v>
      </c>
      <c r="AB62" s="1622"/>
      <c r="AC62" s="1709"/>
      <c r="AD62" s="1416">
        <f>SUM(V62:AC62)</f>
        <v>3492000</v>
      </c>
      <c r="AE62" s="2341" t="s">
        <v>7052</v>
      </c>
      <c r="AF62" s="1418">
        <f>(((G62*3450000+H62*3550000+I62*AJ62)+(AI62*$AI$4*(G62+H62))+(AK62*$AK$4*(G62+H62))+(AL62*$AL$4*(G62+H62))+(AM62*$AM$4*(G62+H62))+(AN62*$AN$4*(G62+H62))+(AO62*$AO$4*(G62+H62))+(AP62*$AP$4)+(AQ62*$AQ$4*(G62+H62))+(AR62*$AR$4*(G62+H62))+(AS62*$AS$4)))*1.08-972000</f>
        <v>11772000</v>
      </c>
      <c r="AG62" s="1624">
        <f>+AD62+AF62</f>
        <v>15264000</v>
      </c>
      <c r="AH62" s="2274" t="s">
        <v>7024</v>
      </c>
      <c r="AI62" s="1524">
        <v>1</v>
      </c>
      <c r="AJ62" s="1626"/>
      <c r="AK62" s="1525">
        <v>1</v>
      </c>
      <c r="AL62" s="1525"/>
      <c r="AM62" s="1525"/>
      <c r="AN62" s="1525"/>
      <c r="AO62" s="1525"/>
      <c r="AP62" s="1525"/>
      <c r="AQ62" s="1525"/>
      <c r="AR62" s="1525"/>
      <c r="AS62" s="1525">
        <v>1</v>
      </c>
      <c r="AT62" s="1525"/>
      <c r="AU62" s="1518"/>
      <c r="AV62" s="1518"/>
      <c r="AW62" s="1518"/>
      <c r="AX62" s="1518"/>
      <c r="AY62" s="1518"/>
      <c r="AZ62" s="1518"/>
      <c r="BA62" s="1518"/>
      <c r="BB62" s="1518"/>
      <c r="BC62" s="1518"/>
      <c r="BD62" s="1518"/>
      <c r="BE62" s="1518"/>
    </row>
    <row r="63" spans="1:57" s="1350" customFormat="1" ht="26.4">
      <c r="A63" s="326">
        <f t="shared" si="0"/>
        <v>2</v>
      </c>
      <c r="B63" s="1509" t="s">
        <v>6926</v>
      </c>
      <c r="C63" s="166">
        <v>107493607430</v>
      </c>
      <c r="D63" s="386" t="s">
        <v>6883</v>
      </c>
      <c r="E63" s="117" t="s">
        <v>4401</v>
      </c>
      <c r="F63" s="348" t="s">
        <v>6927</v>
      </c>
      <c r="G63" s="167">
        <v>1</v>
      </c>
      <c r="H63" s="167"/>
      <c r="I63" s="167"/>
      <c r="J63" s="2654" t="s">
        <v>123</v>
      </c>
      <c r="K63" s="1436" t="s">
        <v>6895</v>
      </c>
      <c r="L63" s="1436" t="s">
        <v>6893</v>
      </c>
      <c r="M63" s="154" t="s">
        <v>6896</v>
      </c>
      <c r="N63" s="3195" t="s">
        <v>6894</v>
      </c>
      <c r="O63" s="2592" t="s">
        <v>6807</v>
      </c>
      <c r="P63" s="2614" t="s">
        <v>5942</v>
      </c>
      <c r="Q63" s="2392"/>
      <c r="R63" s="577"/>
      <c r="S63" s="2627" t="s">
        <v>4813</v>
      </c>
      <c r="T63" s="2674"/>
      <c r="U63" s="1407" t="s">
        <v>6349</v>
      </c>
      <c r="V63" s="2669">
        <v>230000</v>
      </c>
      <c r="W63" s="2658">
        <v>497000</v>
      </c>
      <c r="X63" s="2669">
        <v>1000000</v>
      </c>
      <c r="Y63" s="1622"/>
      <c r="Z63" s="1857"/>
      <c r="AA63" s="2915">
        <v>250000</v>
      </c>
      <c r="AB63" s="1622"/>
      <c r="AC63" s="1709"/>
      <c r="AD63" s="1416">
        <f>SUM(V63:AC63)</f>
        <v>1977000</v>
      </c>
      <c r="AE63" s="1690"/>
      <c r="AF63" s="1418">
        <f t="shared" ref="AF63:AF65" si="18">(((G63*3450000+H63*3550000+I63*AJ63)+(AI63*$AI$4*(G63+H63))+(AK63*$AK$4*(G63+H63))+(AL63*$AL$4*(G63+H63))+(AM63*$AM$4*(G63+H63))+(AN63*$AN$4*(G63+H63))+(AO63*$AO$4*(G63+H63))+(AP63*$AP$4)+(AQ63*$AQ$4*(G63+H63))+(AR63*$AR$4*(G63+H63))+(AS63*$AS$4)))*1.08</f>
        <v>5562000</v>
      </c>
      <c r="AG63" s="1624">
        <f t="shared" si="14"/>
        <v>7539000</v>
      </c>
      <c r="AH63" s="2274" t="s">
        <v>6054</v>
      </c>
      <c r="AI63" s="1524">
        <v>1</v>
      </c>
      <c r="AJ63" s="1626"/>
      <c r="AK63" s="1525">
        <v>1</v>
      </c>
      <c r="AL63" s="1525"/>
      <c r="AM63" s="1525"/>
      <c r="AN63" s="1525"/>
      <c r="AO63" s="1525"/>
      <c r="AP63" s="1525"/>
      <c r="AQ63" s="1525"/>
      <c r="AR63" s="1525"/>
      <c r="AS63" s="1525"/>
      <c r="AT63" s="1525"/>
      <c r="AU63" s="1518"/>
      <c r="AV63" s="1518"/>
      <c r="AW63" s="1518"/>
      <c r="AX63" s="1518"/>
      <c r="AY63" s="1518"/>
      <c r="AZ63" s="1518"/>
      <c r="BA63" s="1518"/>
      <c r="BB63" s="1518"/>
      <c r="BC63" s="1518"/>
      <c r="BD63" s="1518"/>
      <c r="BE63" s="1518"/>
    </row>
    <row r="64" spans="1:57" s="1350" customFormat="1" ht="52.8">
      <c r="A64" s="326">
        <f t="shared" si="0"/>
        <v>3</v>
      </c>
      <c r="B64" s="2450" t="s">
        <v>6974</v>
      </c>
      <c r="C64" s="166">
        <v>107497437720</v>
      </c>
      <c r="D64" s="386" t="s">
        <v>6889</v>
      </c>
      <c r="E64" s="3329" t="s">
        <v>4444</v>
      </c>
      <c r="F64" s="348" t="s">
        <v>7013</v>
      </c>
      <c r="G64" s="167">
        <v>4</v>
      </c>
      <c r="H64" s="167"/>
      <c r="I64" s="167"/>
      <c r="J64" s="2654" t="s">
        <v>123</v>
      </c>
      <c r="K64" s="1436" t="s">
        <v>6970</v>
      </c>
      <c r="L64" s="1436" t="s">
        <v>6891</v>
      </c>
      <c r="M64" s="154" t="s">
        <v>6902</v>
      </c>
      <c r="N64" s="1618" t="s">
        <v>6892</v>
      </c>
      <c r="O64" s="2592" t="s">
        <v>6847</v>
      </c>
      <c r="P64" s="2614" t="s">
        <v>6987</v>
      </c>
      <c r="Q64" s="2392" t="s">
        <v>6977</v>
      </c>
      <c r="R64" s="577"/>
      <c r="S64" s="2627" t="s">
        <v>4813</v>
      </c>
      <c r="T64" s="2674"/>
      <c r="U64" s="1407" t="s">
        <v>4909</v>
      </c>
      <c r="V64" s="2658">
        <v>460000</v>
      </c>
      <c r="W64" s="2658">
        <v>1988000</v>
      </c>
      <c r="X64" s="2669">
        <v>4000000</v>
      </c>
      <c r="Y64" s="1622"/>
      <c r="Z64" s="1857"/>
      <c r="AA64" s="2915">
        <v>1000000</v>
      </c>
      <c r="AB64" s="1622"/>
      <c r="AC64" s="1709"/>
      <c r="AD64" s="1416">
        <f>SUM(V64:AC64)</f>
        <v>7448000</v>
      </c>
      <c r="AE64" s="2341" t="s">
        <v>6903</v>
      </c>
      <c r="AF64" s="1418">
        <f t="shared" si="18"/>
        <v>23868000</v>
      </c>
      <c r="AG64" s="1624">
        <f t="shared" si="14"/>
        <v>31316000</v>
      </c>
      <c r="AH64" s="2274" t="s">
        <v>7025</v>
      </c>
      <c r="AI64" s="1524">
        <v>1</v>
      </c>
      <c r="AJ64" s="1626"/>
      <c r="AK64" s="1525">
        <v>1</v>
      </c>
      <c r="AL64" s="1525"/>
      <c r="AM64" s="1525"/>
      <c r="AN64" s="1525"/>
      <c r="AO64" s="1525"/>
      <c r="AP64" s="1525"/>
      <c r="AQ64" s="1525"/>
      <c r="AR64" s="1525"/>
      <c r="AS64" s="1525">
        <v>1</v>
      </c>
      <c r="AT64" s="1525"/>
      <c r="AU64" s="1518"/>
      <c r="AV64" s="1518"/>
      <c r="AW64" s="1518"/>
      <c r="AX64" s="1518"/>
      <c r="AY64" s="1518"/>
      <c r="AZ64" s="1518"/>
      <c r="BA64" s="1518"/>
      <c r="BB64" s="1518"/>
      <c r="BC64" s="1518"/>
      <c r="BD64" s="1518"/>
      <c r="BE64" s="1518"/>
    </row>
    <row r="65" spans="1:57" s="1350" customFormat="1" ht="26.4">
      <c r="A65" s="326">
        <f t="shared" si="0"/>
        <v>4</v>
      </c>
      <c r="B65" s="1406" t="s">
        <v>7080</v>
      </c>
      <c r="C65" s="166">
        <v>107533806810</v>
      </c>
      <c r="D65" s="386" t="s">
        <v>7031</v>
      </c>
      <c r="E65" s="2649" t="s">
        <v>7034</v>
      </c>
      <c r="F65" s="348" t="s">
        <v>7059</v>
      </c>
      <c r="G65" s="167">
        <v>2</v>
      </c>
      <c r="H65" s="167"/>
      <c r="I65" s="167"/>
      <c r="J65" s="2654" t="s">
        <v>123</v>
      </c>
      <c r="K65" s="1436" t="s">
        <v>7033</v>
      </c>
      <c r="L65" s="1436" t="s">
        <v>6967</v>
      </c>
      <c r="M65" s="154" t="s">
        <v>7043</v>
      </c>
      <c r="N65" s="1618" t="s">
        <v>7032</v>
      </c>
      <c r="O65" s="2592" t="s">
        <v>7044</v>
      </c>
      <c r="P65" s="2614" t="s">
        <v>7104</v>
      </c>
      <c r="Q65" s="2392" t="s">
        <v>7000</v>
      </c>
      <c r="R65" s="577"/>
      <c r="S65" s="1663" t="s">
        <v>7051</v>
      </c>
      <c r="T65" s="2673"/>
      <c r="U65" s="1407" t="s">
        <v>4910</v>
      </c>
      <c r="V65" s="1622"/>
      <c r="W65" s="2658">
        <v>1588000</v>
      </c>
      <c r="X65" s="2669">
        <v>2000000</v>
      </c>
      <c r="Y65" s="1622"/>
      <c r="Z65" s="1857"/>
      <c r="AA65" s="2915">
        <v>500000</v>
      </c>
      <c r="AB65" s="1622"/>
      <c r="AC65" s="3219">
        <f>315000*2</f>
        <v>630000</v>
      </c>
      <c r="AD65" s="1416">
        <f>SUM(V65:AC65)</f>
        <v>4718000</v>
      </c>
      <c r="AE65" s="2341" t="s">
        <v>7082</v>
      </c>
      <c r="AF65" s="1418">
        <f t="shared" si="18"/>
        <v>12420000</v>
      </c>
      <c r="AG65" s="1624">
        <f t="shared" si="14"/>
        <v>17138000</v>
      </c>
      <c r="AH65" s="2274"/>
      <c r="AI65" s="1524">
        <v>1</v>
      </c>
      <c r="AJ65" s="1626"/>
      <c r="AK65" s="1525"/>
      <c r="AL65" s="1525"/>
      <c r="AM65" s="1525"/>
      <c r="AN65" s="1525">
        <v>1</v>
      </c>
      <c r="AO65" s="1525"/>
      <c r="AP65" s="1525">
        <v>1</v>
      </c>
      <c r="AQ65" s="1525"/>
      <c r="AR65" s="1525"/>
      <c r="AS65" s="1525"/>
      <c r="AT65" s="1525"/>
      <c r="AU65" s="1518"/>
      <c r="AV65" s="1518"/>
      <c r="AW65" s="1518"/>
      <c r="AX65" s="1518"/>
      <c r="AY65" s="1518"/>
      <c r="AZ65" s="1518"/>
      <c r="BA65" s="1518"/>
      <c r="BB65" s="1518"/>
      <c r="BC65" s="1518"/>
      <c r="BD65" s="1518"/>
      <c r="BE65" s="1518"/>
    </row>
    <row r="66" spans="1:57" ht="15.6">
      <c r="A66" s="4081" t="s">
        <v>7096</v>
      </c>
      <c r="B66" s="4081"/>
      <c r="C66" s="4081"/>
      <c r="D66" s="4081"/>
      <c r="E66" s="4081"/>
      <c r="F66" s="4081"/>
      <c r="G66" s="4081"/>
      <c r="H66" s="4081"/>
      <c r="I66" s="4081"/>
      <c r="J66" s="4081"/>
      <c r="K66" s="4081"/>
      <c r="L66" s="4081"/>
      <c r="M66" s="4081"/>
      <c r="N66" s="4081"/>
      <c r="O66" s="2591"/>
      <c r="P66" s="2610"/>
      <c r="Q66" s="2594"/>
      <c r="R66" s="1884"/>
      <c r="S66" s="1885"/>
      <c r="T66" s="3626"/>
      <c r="U66" s="1886"/>
      <c r="V66" s="1887"/>
      <c r="W66" s="1888"/>
      <c r="X66" s="1888"/>
      <c r="Y66" s="1888"/>
      <c r="Z66" s="1889"/>
      <c r="AA66" s="1889"/>
      <c r="AB66" s="1888"/>
      <c r="AC66" s="2495"/>
      <c r="AD66" s="1892">
        <f>SUM(AD58:AD65)</f>
        <v>28951000</v>
      </c>
      <c r="AE66" s="2169"/>
      <c r="AF66" s="1892">
        <f>SUM(AF61:AF65)</f>
        <v>53622000</v>
      </c>
      <c r="AG66" s="1892">
        <f>SUM(AG58:AG65)</f>
        <v>117187000</v>
      </c>
      <c r="AH66" s="1892"/>
      <c r="AI66" s="1521"/>
      <c r="AJ66" s="1522"/>
      <c r="AK66" s="2167"/>
      <c r="AL66" s="1893"/>
      <c r="AM66" s="1893"/>
      <c r="AN66" s="1893"/>
      <c r="AO66" s="1893"/>
      <c r="AP66" s="1893"/>
      <c r="AQ66" s="1893"/>
      <c r="AR66" s="1893"/>
      <c r="AS66" s="1525"/>
      <c r="AT66" s="1525"/>
    </row>
    <row r="67" spans="1:57" s="1350" customFormat="1" ht="52.8">
      <c r="A67" s="326">
        <v>1</v>
      </c>
      <c r="B67" s="666" t="s">
        <v>7167</v>
      </c>
      <c r="C67" s="166">
        <v>107568858720</v>
      </c>
      <c r="D67" s="386" t="s">
        <v>7174</v>
      </c>
      <c r="E67" s="117" t="s">
        <v>4401</v>
      </c>
      <c r="F67" s="348" t="s">
        <v>7215</v>
      </c>
      <c r="G67" s="167">
        <v>4</v>
      </c>
      <c r="H67" s="167"/>
      <c r="I67" s="167"/>
      <c r="J67" s="2654" t="s">
        <v>123</v>
      </c>
      <c r="K67" s="1436" t="s">
        <v>7171</v>
      </c>
      <c r="L67" s="1436" t="s">
        <v>7169</v>
      </c>
      <c r="M67" s="154" t="s">
        <v>7178</v>
      </c>
      <c r="N67" s="1618" t="s">
        <v>7170</v>
      </c>
      <c r="O67" s="2592" t="s">
        <v>7199</v>
      </c>
      <c r="P67" s="2614" t="s">
        <v>7386</v>
      </c>
      <c r="Q67" s="2392" t="s">
        <v>7109</v>
      </c>
      <c r="R67" s="577"/>
      <c r="S67" s="2627" t="s">
        <v>4813</v>
      </c>
      <c r="T67" s="2674"/>
      <c r="U67" s="1407" t="s">
        <v>4909</v>
      </c>
      <c r="V67" s="3278">
        <v>230000</v>
      </c>
      <c r="W67" s="3278">
        <v>1988000</v>
      </c>
      <c r="X67" s="3278">
        <v>4000000</v>
      </c>
      <c r="Y67" s="1622"/>
      <c r="Z67" s="1857"/>
      <c r="AA67" s="2915">
        <v>1000000</v>
      </c>
      <c r="AB67" s="1622"/>
      <c r="AC67" s="1709"/>
      <c r="AD67" s="1416">
        <f t="shared" ref="AD67:AD74" si="19">SUM(V67:AC67)</f>
        <v>7218000</v>
      </c>
      <c r="AE67" s="1690" t="s">
        <v>7392</v>
      </c>
      <c r="AF67" s="1418">
        <f t="shared" si="13"/>
        <v>22248000</v>
      </c>
      <c r="AG67" s="1624">
        <f t="shared" si="14"/>
        <v>29466000</v>
      </c>
      <c r="AH67" s="3294"/>
      <c r="AI67" s="1524">
        <v>1</v>
      </c>
      <c r="AJ67" s="1626"/>
      <c r="AK67" s="1525">
        <v>1</v>
      </c>
      <c r="AL67" s="1525"/>
      <c r="AM67" s="1525"/>
      <c r="AN67" s="1525"/>
      <c r="AO67" s="1525"/>
      <c r="AP67" s="1525"/>
      <c r="AQ67" s="1525"/>
      <c r="AR67" s="1525"/>
      <c r="AS67" s="1525"/>
      <c r="AT67" s="1525"/>
      <c r="AU67" s="1518"/>
      <c r="AV67" s="1518"/>
      <c r="AW67" s="1518"/>
      <c r="AX67" s="1518"/>
      <c r="AY67" s="1518"/>
      <c r="AZ67" s="1518"/>
      <c r="BA67" s="1518"/>
      <c r="BB67" s="1518"/>
      <c r="BC67" s="1518"/>
      <c r="BD67" s="1518"/>
      <c r="BE67" s="1518"/>
    </row>
    <row r="68" spans="1:57" s="1350" customFormat="1" ht="39.6">
      <c r="A68" s="326">
        <f t="shared" si="0"/>
        <v>2</v>
      </c>
      <c r="B68" s="2450" t="s">
        <v>7279</v>
      </c>
      <c r="C68" s="3358">
        <v>107585094851</v>
      </c>
      <c r="D68" s="386" t="s">
        <v>7224</v>
      </c>
      <c r="E68" s="3329" t="s">
        <v>4444</v>
      </c>
      <c r="F68" s="348" t="s">
        <v>7301</v>
      </c>
      <c r="G68" s="167">
        <v>3</v>
      </c>
      <c r="H68" s="167"/>
      <c r="I68" s="167"/>
      <c r="J68" s="2654" t="s">
        <v>123</v>
      </c>
      <c r="K68" s="1771">
        <v>82155</v>
      </c>
      <c r="L68" s="1436" t="s">
        <v>7175</v>
      </c>
      <c r="M68" s="154" t="s">
        <v>7259</v>
      </c>
      <c r="N68" s="1618" t="s">
        <v>7258</v>
      </c>
      <c r="O68" s="2592" t="s">
        <v>7257</v>
      </c>
      <c r="P68" s="2614" t="s">
        <v>7328</v>
      </c>
      <c r="Q68" s="2392" t="s">
        <v>7279</v>
      </c>
      <c r="R68" s="577"/>
      <c r="S68" s="2627" t="s">
        <v>4813</v>
      </c>
      <c r="T68" s="2674"/>
      <c r="U68" s="1407" t="s">
        <v>7035</v>
      </c>
      <c r="W68" s="3278">
        <v>2181000</v>
      </c>
      <c r="X68" s="3278">
        <f>870000*3</f>
        <v>2610000</v>
      </c>
      <c r="Y68" s="1622"/>
      <c r="Z68" s="1857"/>
      <c r="AA68" s="2915">
        <v>750000</v>
      </c>
      <c r="AB68" s="1622"/>
      <c r="AC68" s="1709"/>
      <c r="AD68" s="1416">
        <f t="shared" si="19"/>
        <v>5541000</v>
      </c>
      <c r="AE68" s="2341" t="s">
        <v>7282</v>
      </c>
      <c r="AF68" s="1418">
        <f t="shared" si="13"/>
        <v>18306000</v>
      </c>
      <c r="AG68" s="1624">
        <f t="shared" si="14"/>
        <v>23847000</v>
      </c>
      <c r="AH68" s="3294"/>
      <c r="AI68" s="1524">
        <v>1</v>
      </c>
      <c r="AJ68" s="1626"/>
      <c r="AK68" s="1525">
        <v>1</v>
      </c>
      <c r="AL68" s="1525"/>
      <c r="AM68" s="1525"/>
      <c r="AN68" s="1525"/>
      <c r="AO68" s="1525"/>
      <c r="AP68" s="1525"/>
      <c r="AQ68" s="1525"/>
      <c r="AR68" s="1525"/>
      <c r="AS68" s="1525">
        <v>1</v>
      </c>
      <c r="AT68" s="1525"/>
      <c r="AU68" s="1518"/>
      <c r="AV68" s="1518"/>
      <c r="AW68" s="1518"/>
      <c r="AX68" s="1518"/>
      <c r="AY68" s="1518"/>
      <c r="AZ68" s="1518"/>
      <c r="BA68" s="1518"/>
      <c r="BB68" s="1518"/>
      <c r="BC68" s="1518"/>
      <c r="BD68" s="1518"/>
      <c r="BE68" s="1518"/>
    </row>
    <row r="69" spans="1:57" s="1350" customFormat="1" ht="39.6">
      <c r="A69" s="326">
        <f t="shared" si="0"/>
        <v>3</v>
      </c>
      <c r="B69" s="666" t="s">
        <v>7400</v>
      </c>
      <c r="C69" s="166">
        <v>107611750630</v>
      </c>
      <c r="D69" s="386" t="s">
        <v>7263</v>
      </c>
      <c r="E69" s="117" t="s">
        <v>4401</v>
      </c>
      <c r="F69" s="348" t="s">
        <v>7378</v>
      </c>
      <c r="G69" s="167">
        <v>3</v>
      </c>
      <c r="H69" s="1745"/>
      <c r="I69" s="1745"/>
      <c r="J69" s="2654" t="s">
        <v>123</v>
      </c>
      <c r="K69" s="1771" t="s">
        <v>7346</v>
      </c>
      <c r="L69" s="1665" t="s">
        <v>7336</v>
      </c>
      <c r="M69" s="154" t="s">
        <v>7345</v>
      </c>
      <c r="N69" s="1618" t="s">
        <v>7335</v>
      </c>
      <c r="O69" s="2592" t="s">
        <v>7373</v>
      </c>
      <c r="P69" s="2614" t="s">
        <v>7443</v>
      </c>
      <c r="Q69" s="2392" t="s">
        <v>7393</v>
      </c>
      <c r="R69" s="1566"/>
      <c r="S69" s="2627" t="s">
        <v>4813</v>
      </c>
      <c r="T69" s="2674"/>
      <c r="U69" s="1407" t="s">
        <v>4909</v>
      </c>
      <c r="V69" s="1566"/>
      <c r="W69" s="3278">
        <v>1491000</v>
      </c>
      <c r="X69" s="3278">
        <f>870000*3</f>
        <v>2610000</v>
      </c>
      <c r="Y69" s="1622"/>
      <c r="Z69" s="2651"/>
      <c r="AA69" s="2915">
        <v>750000</v>
      </c>
      <c r="AB69" s="1623"/>
      <c r="AC69" s="1623"/>
      <c r="AD69" s="1416">
        <f t="shared" si="19"/>
        <v>4851000</v>
      </c>
      <c r="AE69" s="1901"/>
      <c r="AF69" s="1418">
        <f>(((G69*3450000+H69*3550000+I69*AJ69)+(AI69*$AI$4*(G69+H69))+(AK69*$AK$4*(G69+H69))+(AL69*$AL$4*(G69+H69))+(AM69*$AM$4*(G69+H69))+(AN69*$AN$4*(G69+H69))+(AO69*$AO$4*(G69+H69))+(AP69*$AP$4)+(AQ69*$AQ$4*(G69+H69))+(AR69*$AR$4*(G69+H69))+(AS69*$AS$4)))*1.08</f>
        <v>16686000.000000002</v>
      </c>
      <c r="AG69" s="1624">
        <f>+AD69+AF69</f>
        <v>21537000</v>
      </c>
      <c r="AH69" s="3294"/>
      <c r="AI69" s="1524">
        <v>1</v>
      </c>
      <c r="AJ69" s="3295"/>
      <c r="AK69" s="2157">
        <v>1</v>
      </c>
      <c r="AL69" s="1525"/>
      <c r="AM69" s="1525"/>
      <c r="AN69" s="1525"/>
      <c r="AO69" s="1525"/>
      <c r="AP69" s="1525"/>
      <c r="AQ69" s="1525"/>
      <c r="AR69" s="1525"/>
      <c r="AS69" s="1525"/>
      <c r="AT69" s="1525"/>
      <c r="AU69" s="1518"/>
      <c r="AV69" s="1518"/>
      <c r="AW69" s="1518"/>
      <c r="AX69" s="1518"/>
      <c r="AY69" s="1518"/>
      <c r="AZ69" s="1518"/>
      <c r="BA69" s="1518"/>
      <c r="BB69" s="1518"/>
      <c r="BC69" s="1518"/>
      <c r="BD69" s="1518"/>
      <c r="BE69" s="1518"/>
    </row>
    <row r="70" spans="1:57" s="1350" customFormat="1" ht="39.6">
      <c r="A70" s="326">
        <f t="shared" si="0"/>
        <v>4</v>
      </c>
      <c r="B70" s="666" t="s">
        <v>7413</v>
      </c>
      <c r="C70" s="166">
        <v>107614525430</v>
      </c>
      <c r="D70" s="46" t="s">
        <v>7331</v>
      </c>
      <c r="E70" s="117" t="s">
        <v>4401</v>
      </c>
      <c r="F70" s="348" t="s">
        <v>7379</v>
      </c>
      <c r="G70" s="167">
        <v>3</v>
      </c>
      <c r="H70" s="167"/>
      <c r="I70" s="167"/>
      <c r="J70" s="2654" t="s">
        <v>123</v>
      </c>
      <c r="K70" s="1665" t="s">
        <v>7360</v>
      </c>
      <c r="L70" s="3296" t="s">
        <v>7329</v>
      </c>
      <c r="M70" s="154" t="s">
        <v>7359</v>
      </c>
      <c r="N70" s="1515" t="s">
        <v>7469</v>
      </c>
      <c r="O70" s="2592" t="s">
        <v>7373</v>
      </c>
      <c r="P70" s="2614" t="s">
        <v>7442</v>
      </c>
      <c r="Q70" s="2392" t="s">
        <v>7394</v>
      </c>
      <c r="R70" s="2678"/>
      <c r="S70" s="2627" t="s">
        <v>4813</v>
      </c>
      <c r="T70" s="2674"/>
      <c r="U70" s="1407" t="s">
        <v>4909</v>
      </c>
      <c r="V70" s="2678"/>
      <c r="W70" s="3278">
        <v>1491000</v>
      </c>
      <c r="X70" s="3278">
        <f>999000*3</f>
        <v>2997000</v>
      </c>
      <c r="Y70" s="2678"/>
      <c r="Z70" s="2678"/>
      <c r="AA70" s="2915">
        <v>750000</v>
      </c>
      <c r="AB70" s="2678"/>
      <c r="AC70" s="2678"/>
      <c r="AD70" s="1416">
        <f t="shared" si="19"/>
        <v>5238000</v>
      </c>
      <c r="AE70" s="2678"/>
      <c r="AF70" s="1418">
        <f t="shared" si="13"/>
        <v>16686000.000000002</v>
      </c>
      <c r="AG70" s="1624">
        <f t="shared" si="14"/>
        <v>21924000</v>
      </c>
      <c r="AH70" s="3294"/>
      <c r="AI70" s="1525">
        <v>1</v>
      </c>
      <c r="AJ70" s="1525"/>
      <c r="AK70" s="1525">
        <v>1</v>
      </c>
      <c r="AL70" s="1525"/>
      <c r="AM70" s="2634"/>
      <c r="AN70" s="1525"/>
      <c r="AO70" s="1525"/>
      <c r="AP70" s="1525"/>
      <c r="AQ70" s="1525"/>
      <c r="AR70" s="1525"/>
      <c r="AS70" s="1525"/>
      <c r="AT70" s="1525"/>
      <c r="AU70" s="1518"/>
      <c r="AV70" s="1518"/>
      <c r="AW70" s="1518"/>
      <c r="AX70" s="1518"/>
      <c r="AY70" s="1518"/>
      <c r="AZ70" s="1518"/>
      <c r="BA70" s="1518"/>
      <c r="BB70" s="1518"/>
      <c r="BC70" s="1518"/>
      <c r="BD70" s="1518"/>
      <c r="BE70" s="1518"/>
    </row>
    <row r="71" spans="1:57" s="1350" customFormat="1" ht="26.4">
      <c r="A71" s="326">
        <f t="shared" si="0"/>
        <v>5</v>
      </c>
      <c r="B71" s="666" t="s">
        <v>7444</v>
      </c>
      <c r="C71" s="166">
        <v>107622350730</v>
      </c>
      <c r="D71" s="386" t="s">
        <v>7373</v>
      </c>
      <c r="E71" s="117" t="s">
        <v>4401</v>
      </c>
      <c r="F71" s="2416" t="s">
        <v>7418</v>
      </c>
      <c r="G71" s="1745">
        <v>2</v>
      </c>
      <c r="H71" s="1745"/>
      <c r="I71" s="1745"/>
      <c r="J71" s="2654" t="s">
        <v>123</v>
      </c>
      <c r="K71" s="3296" t="s">
        <v>7406</v>
      </c>
      <c r="L71" s="3299" t="s">
        <v>7397</v>
      </c>
      <c r="M71" s="1587" t="s">
        <v>7405</v>
      </c>
      <c r="N71" s="2362" t="s">
        <v>7398</v>
      </c>
      <c r="O71" s="2592" t="s">
        <v>7421</v>
      </c>
      <c r="P71" s="2614" t="s">
        <v>7457</v>
      </c>
      <c r="Q71" s="1566"/>
      <c r="R71" s="577"/>
      <c r="S71" s="2627" t="s">
        <v>4813</v>
      </c>
      <c r="T71" s="2674"/>
      <c r="U71" s="1407" t="s">
        <v>7035</v>
      </c>
      <c r="V71" s="1622"/>
      <c r="W71" s="3278">
        <v>994000</v>
      </c>
      <c r="X71" s="3278">
        <v>1900000</v>
      </c>
      <c r="Y71" s="1622"/>
      <c r="Z71" s="1857"/>
      <c r="AA71" s="2915">
        <v>500000</v>
      </c>
      <c r="AB71" s="1622"/>
      <c r="AC71" s="1709"/>
      <c r="AD71" s="1416">
        <f t="shared" si="19"/>
        <v>3394000</v>
      </c>
      <c r="AE71" s="1690"/>
      <c r="AF71" s="1418">
        <f t="shared" ref="AF71" si="20">(((G71*3450000+H71*3550000+I71*AJ71)+(AI71*$AI$4*(G71+H71))+(AK71*$AK$4*(G71+H71))+(AL71*$AL$4*(G71+H71))+(AM71*$AM$4*(G71+H71))+(AN71*$AN$4*(G71+H71))+(AO71*$AO$4*(G71+H71))+(AP71*$AP$4)+(AQ71*$AQ$4*(G71+H71))+(AR71*$AR$4*(G71+H71))+(AS71*$AS$4)))*1.08</f>
        <v>11124000</v>
      </c>
      <c r="AG71" s="1624">
        <f t="shared" ref="AG71" si="21">+AD71+AF71</f>
        <v>14518000</v>
      </c>
      <c r="AH71" s="3294"/>
      <c r="AI71" s="1525">
        <v>1</v>
      </c>
      <c r="AJ71" s="1626"/>
      <c r="AK71" s="1525">
        <v>1</v>
      </c>
      <c r="AL71" s="1525"/>
      <c r="AM71" s="1525"/>
      <c r="AN71" s="1525"/>
      <c r="AO71" s="1525"/>
      <c r="AP71" s="1525"/>
      <c r="AQ71" s="1525"/>
      <c r="AR71" s="1525"/>
      <c r="AS71" s="1525"/>
      <c r="AT71" s="1525"/>
      <c r="AU71" s="1518"/>
      <c r="AV71" s="1518"/>
      <c r="AW71" s="1518"/>
      <c r="AX71" s="1518"/>
      <c r="AY71" s="1518"/>
      <c r="AZ71" s="1518"/>
      <c r="BA71" s="1518"/>
      <c r="BB71" s="1518"/>
      <c r="BC71" s="1518"/>
      <c r="BD71" s="1518"/>
      <c r="BE71" s="1518"/>
    </row>
    <row r="72" spans="1:57" s="1350" customFormat="1" ht="26.4">
      <c r="A72" s="326">
        <f t="shared" ref="A72:A73" si="22">+A71+1</f>
        <v>6</v>
      </c>
      <c r="B72" s="2450" t="s">
        <v>7472</v>
      </c>
      <c r="C72" s="166">
        <v>107622876430</v>
      </c>
      <c r="D72" s="386" t="s">
        <v>7373</v>
      </c>
      <c r="E72" s="2649" t="s">
        <v>7034</v>
      </c>
      <c r="F72" s="2416" t="s">
        <v>7419</v>
      </c>
      <c r="G72" s="1745">
        <v>2</v>
      </c>
      <c r="H72" s="1745"/>
      <c r="I72" s="1745"/>
      <c r="J72" s="2654" t="s">
        <v>123</v>
      </c>
      <c r="K72" s="3296" t="s">
        <v>5089</v>
      </c>
      <c r="L72" s="3299" t="s">
        <v>7382</v>
      </c>
      <c r="M72" s="1587" t="s">
        <v>7407</v>
      </c>
      <c r="N72" s="2362" t="s">
        <v>7384</v>
      </c>
      <c r="O72" s="2592" t="s">
        <v>7441</v>
      </c>
      <c r="P72" s="2614" t="s">
        <v>7535</v>
      </c>
      <c r="Q72" s="2392"/>
      <c r="R72" s="577"/>
      <c r="S72" s="1778" t="s">
        <v>7051</v>
      </c>
      <c r="T72" s="1778"/>
      <c r="U72" s="1407" t="s">
        <v>4909</v>
      </c>
      <c r="V72" s="1623"/>
      <c r="W72" s="3278">
        <v>1588000</v>
      </c>
      <c r="X72" s="3278">
        <f>2000000+235000+285000</f>
        <v>2520000</v>
      </c>
      <c r="Y72" s="1622"/>
      <c r="Z72" s="1857"/>
      <c r="AA72" s="2915">
        <v>500000</v>
      </c>
      <c r="AB72" s="1622"/>
      <c r="AC72" s="1709"/>
      <c r="AD72" s="1416">
        <f t="shared" si="19"/>
        <v>4608000</v>
      </c>
      <c r="AE72" s="1690" t="s">
        <v>7417</v>
      </c>
      <c r="AF72" s="1418">
        <f t="shared" si="13"/>
        <v>13392000</v>
      </c>
      <c r="AG72" s="1624">
        <f t="shared" si="14"/>
        <v>18000000</v>
      </c>
      <c r="AH72" s="3294"/>
      <c r="AI72" s="1525">
        <v>1</v>
      </c>
      <c r="AJ72" s="1525"/>
      <c r="AK72" s="1525"/>
      <c r="AL72" s="1525">
        <v>1</v>
      </c>
      <c r="AM72" s="1525"/>
      <c r="AN72" s="1525">
        <v>1</v>
      </c>
      <c r="AO72" s="1525"/>
      <c r="AP72" s="1525">
        <v>1</v>
      </c>
      <c r="AQ72" s="1525"/>
      <c r="AR72" s="1525"/>
      <c r="AS72" s="1525"/>
      <c r="AT72" s="1525"/>
      <c r="AU72" s="1518"/>
      <c r="AV72" s="1518"/>
      <c r="AW72" s="1518"/>
      <c r="AX72" s="1518"/>
      <c r="AY72" s="1518"/>
      <c r="AZ72" s="1518"/>
      <c r="BA72" s="1518"/>
      <c r="BB72" s="1518"/>
      <c r="BC72" s="1518"/>
      <c r="BD72" s="1518"/>
      <c r="BE72" s="1518"/>
    </row>
    <row r="73" spans="1:57" s="1350" customFormat="1" ht="52.8">
      <c r="A73" s="326">
        <f t="shared" si="22"/>
        <v>7</v>
      </c>
      <c r="B73" s="2450" t="s">
        <v>7557</v>
      </c>
      <c r="C73" s="3468">
        <v>107628656701</v>
      </c>
      <c r="D73" s="386" t="s">
        <v>7387</v>
      </c>
      <c r="E73" s="3329" t="s">
        <v>4444</v>
      </c>
      <c r="F73" s="2416" t="s">
        <v>7437</v>
      </c>
      <c r="G73" s="1745">
        <v>1</v>
      </c>
      <c r="H73" s="1745"/>
      <c r="I73" s="1745"/>
      <c r="J73" s="3020" t="s">
        <v>136</v>
      </c>
      <c r="K73" s="3328" t="s">
        <v>7509</v>
      </c>
      <c r="L73" s="3343" t="s">
        <v>7395</v>
      </c>
      <c r="M73" s="1587" t="s">
        <v>7435</v>
      </c>
      <c r="N73" s="2362" t="s">
        <v>7396</v>
      </c>
      <c r="O73" s="2592" t="s">
        <v>7444</v>
      </c>
      <c r="P73" s="2614" t="s">
        <v>6255</v>
      </c>
      <c r="Q73" s="1566"/>
      <c r="R73" s="577"/>
      <c r="S73" s="2627" t="s">
        <v>4813</v>
      </c>
      <c r="T73" s="2674"/>
      <c r="U73" s="1407" t="s">
        <v>7035</v>
      </c>
      <c r="V73" s="1622"/>
      <c r="W73" s="3278">
        <v>1594000</v>
      </c>
      <c r="X73" s="3278">
        <v>999000</v>
      </c>
      <c r="Y73" s="1622"/>
      <c r="Z73" s="1857"/>
      <c r="AA73" s="2915">
        <v>250000</v>
      </c>
      <c r="AB73" s="1622"/>
      <c r="AC73" s="1709"/>
      <c r="AD73" s="1416">
        <f t="shared" si="19"/>
        <v>2843000</v>
      </c>
      <c r="AE73" s="2341" t="s">
        <v>7547</v>
      </c>
      <c r="AF73" s="1418">
        <f>(((G73*3450000+H73*3550000+I73*AJ73)+(AI73*$AI$4*(G73+H73))+(AK73*$AK$4*(G73+H73))+(AL73*$AL$4*(G73+H73))+(AM73*$AM$4*(G73+H73))+(AN73*$AN$4*(G73+H73))+(AO73*$AO$4*(G73+H73))+(AP73*$AP$4)+(AQ73*$AQ$4*(G73+H73))+(AR73*$AR$4*(G73+H73))+(AS73*$AS$4)))*1.08+((2500000*1.03)*1.08)</f>
        <v>10395000</v>
      </c>
      <c r="AG73" s="1624">
        <f>+AD73+AF73</f>
        <v>13238000</v>
      </c>
      <c r="AH73" s="3333"/>
      <c r="AI73" s="1524">
        <v>1</v>
      </c>
      <c r="AJ73" s="1626"/>
      <c r="AK73" s="1525">
        <v>1</v>
      </c>
      <c r="AL73" s="1525"/>
      <c r="AM73" s="1525"/>
      <c r="AN73" s="1525"/>
      <c r="AO73" s="1525"/>
      <c r="AP73" s="1525"/>
      <c r="AQ73" s="1525">
        <v>1</v>
      </c>
      <c r="AR73" s="1525"/>
      <c r="AS73" s="1525">
        <v>1</v>
      </c>
      <c r="AT73" s="1525"/>
      <c r="AU73" s="1518"/>
      <c r="AV73" s="1518"/>
      <c r="AW73" s="1518"/>
      <c r="AX73" s="1518"/>
      <c r="AY73" s="1518"/>
      <c r="AZ73" s="1518"/>
      <c r="BA73" s="1518"/>
      <c r="BB73" s="1518"/>
      <c r="BC73" s="1518"/>
      <c r="BD73" s="1518"/>
      <c r="BE73" s="1518"/>
    </row>
    <row r="74" spans="1:57" s="1350" customFormat="1" ht="39.6">
      <c r="A74" s="326">
        <f>+A73+1</f>
        <v>8</v>
      </c>
      <c r="B74" s="2450" t="s">
        <v>7558</v>
      </c>
      <c r="C74" s="166">
        <v>107653248510</v>
      </c>
      <c r="D74" s="386" t="s">
        <v>7508</v>
      </c>
      <c r="E74" s="117" t="s">
        <v>4401</v>
      </c>
      <c r="F74" s="348" t="s">
        <v>7595</v>
      </c>
      <c r="G74" s="167">
        <v>3</v>
      </c>
      <c r="H74" s="1745"/>
      <c r="I74" s="1745"/>
      <c r="J74" s="2654" t="s">
        <v>123</v>
      </c>
      <c r="K74" s="3328" t="s">
        <v>7552</v>
      </c>
      <c r="L74" s="3577" t="s">
        <v>7554</v>
      </c>
      <c r="M74" s="1587" t="s">
        <v>7551</v>
      </c>
      <c r="N74" s="2362" t="s">
        <v>7522</v>
      </c>
      <c r="O74" s="1612" t="s">
        <v>7508</v>
      </c>
      <c r="P74" s="2614" t="s">
        <v>7613</v>
      </c>
      <c r="Q74" s="2392" t="s">
        <v>7558</v>
      </c>
      <c r="R74" s="577"/>
      <c r="S74" s="2627" t="s">
        <v>4813</v>
      </c>
      <c r="T74" s="2674"/>
      <c r="U74" s="1407" t="s">
        <v>4909</v>
      </c>
      <c r="V74" s="1622"/>
      <c r="W74" s="3278">
        <v>1491000</v>
      </c>
      <c r="X74" s="3278">
        <f>870000*3</f>
        <v>2610000</v>
      </c>
      <c r="Y74" s="1622"/>
      <c r="Z74" s="1857"/>
      <c r="AA74" s="3387">
        <v>750000</v>
      </c>
      <c r="AB74" s="1622"/>
      <c r="AC74" s="1709"/>
      <c r="AD74" s="1416">
        <f t="shared" si="19"/>
        <v>4851000</v>
      </c>
      <c r="AE74" s="1896" t="s">
        <v>7651</v>
      </c>
      <c r="AF74" s="1418">
        <f>(((G74*3450000+H74*3550000+I74*AJ74)+(AI74*$AI$4*(G74+H74))+(AK74*$AK$4*(G74+H74))+(AL74*$AL$4*(G74+H74))+(AM74*$AM$4*(G74+H74))+(AN74*$AN$4*(G74+H74))+(AO74*$AO$4*(G74+H74))+(AP74*$AP$4)+(AQ74*$AQ$4*(G74+H74))+(AR74*$AR$4*(G74+H74))+(AS74*$AS$4)))*1.08</f>
        <v>16686000.000000002</v>
      </c>
      <c r="AG74" s="1624">
        <f>+AD74+AF74</f>
        <v>21537000</v>
      </c>
      <c r="AH74" s="3333"/>
      <c r="AI74" s="1524">
        <v>1</v>
      </c>
      <c r="AJ74" s="1525"/>
      <c r="AK74" s="1525">
        <v>1</v>
      </c>
      <c r="AL74" s="1525"/>
      <c r="AM74" s="1525"/>
      <c r="AN74" s="1525"/>
      <c r="AO74" s="1525"/>
      <c r="AP74" s="1525"/>
      <c r="AQ74" s="1525"/>
      <c r="AR74" s="1525"/>
      <c r="AS74" s="1525"/>
      <c r="AT74" s="1525"/>
      <c r="AU74" s="1518"/>
      <c r="AV74" s="1518"/>
      <c r="AW74" s="1518"/>
      <c r="AX74" s="1518"/>
      <c r="AY74" s="1518"/>
      <c r="AZ74" s="1518"/>
      <c r="BA74" s="1518"/>
      <c r="BB74" s="1518"/>
      <c r="BC74" s="1518"/>
      <c r="BD74" s="1518"/>
      <c r="BE74" s="1518"/>
    </row>
    <row r="75" spans="1:57" s="1350" customFormat="1" ht="39.6">
      <c r="A75" s="326">
        <f>+A74+1</f>
        <v>9</v>
      </c>
      <c r="B75" s="3357" t="s">
        <v>7394</v>
      </c>
      <c r="C75" s="2039">
        <v>107653352220</v>
      </c>
      <c r="D75" s="386" t="s">
        <v>7508</v>
      </c>
      <c r="E75" s="117" t="s">
        <v>4401</v>
      </c>
      <c r="F75" s="348" t="s">
        <v>7596</v>
      </c>
      <c r="G75" s="167">
        <v>3</v>
      </c>
      <c r="H75" s="1745"/>
      <c r="I75" s="1745"/>
      <c r="J75" s="2654" t="s">
        <v>123</v>
      </c>
      <c r="K75" s="3328" t="s">
        <v>7555</v>
      </c>
      <c r="L75" s="3340" t="s">
        <v>7553</v>
      </c>
      <c r="M75" s="1587" t="s">
        <v>7556</v>
      </c>
      <c r="N75" s="2362" t="s">
        <v>7523</v>
      </c>
      <c r="O75" s="1612" t="s">
        <v>7508</v>
      </c>
      <c r="P75" s="2614" t="s">
        <v>7600</v>
      </c>
      <c r="Q75" s="2392" t="s">
        <v>7569</v>
      </c>
      <c r="R75" s="577"/>
      <c r="S75" s="2627" t="s">
        <v>4813</v>
      </c>
      <c r="T75" s="2674"/>
      <c r="U75" s="1407" t="s">
        <v>4909</v>
      </c>
      <c r="V75" s="1622"/>
      <c r="W75" s="3278">
        <v>1491000</v>
      </c>
      <c r="X75" s="3278">
        <v>3000000</v>
      </c>
      <c r="Y75" s="1622"/>
      <c r="Z75" s="1857"/>
      <c r="AA75" s="3387">
        <v>750000</v>
      </c>
      <c r="AB75" s="1622"/>
      <c r="AD75" s="1416">
        <f>SUM(V75:AB75)</f>
        <v>5241000</v>
      </c>
      <c r="AE75" s="1690"/>
      <c r="AF75" s="1418">
        <f>(((G75*3450000+H75*3550000+I75*AJ75)+(AI75*$AI$4*(G75+H75))+(AK75*$AK$4*(G75+H75))+(AL75*$AL$4*(G75+H75))+(AM75*$AM$4*(G75+H75))+(AN75*$AN$4*(G75+H75))+(AO75*$AO$4*(G75+H75))+(AP75*$AP$4)+(AQ75*$AQ$4*(G75+H75))+(AR75*$AR$4*(G75+H75))+(AS75*$AS$4)))*1.08</f>
        <v>16686000.000000002</v>
      </c>
      <c r="AG75" s="1624">
        <f>+AD75+AF75</f>
        <v>21927000</v>
      </c>
      <c r="AH75" s="1906"/>
      <c r="AI75" s="1524">
        <v>1</v>
      </c>
      <c r="AJ75" s="1626"/>
      <c r="AK75" s="1525">
        <v>1</v>
      </c>
      <c r="AL75" s="1525"/>
      <c r="AM75" s="1525"/>
      <c r="AN75" s="1525"/>
      <c r="AO75" s="1525"/>
      <c r="AP75" s="1525"/>
      <c r="AQ75" s="1525"/>
      <c r="AR75" s="1525"/>
      <c r="AS75" s="1525"/>
      <c r="AT75" s="1525"/>
      <c r="AU75" s="1518"/>
      <c r="AV75" s="1518"/>
      <c r="AW75" s="1518"/>
      <c r="AX75" s="1518"/>
      <c r="AY75" s="1518"/>
      <c r="AZ75" s="1518"/>
      <c r="BA75" s="1518"/>
      <c r="BB75" s="1518"/>
      <c r="BC75" s="1518"/>
      <c r="BD75" s="1518"/>
      <c r="BE75" s="1518"/>
    </row>
    <row r="76" spans="1:57" s="1350" customFormat="1">
      <c r="A76" s="1611">
        <v>10</v>
      </c>
      <c r="B76" s="3349"/>
      <c r="C76" s="3342">
        <v>107657809010</v>
      </c>
      <c r="D76" s="1616" t="s">
        <v>7550</v>
      </c>
      <c r="E76" s="1919"/>
      <c r="F76" s="2416" t="s">
        <v>7616</v>
      </c>
      <c r="G76" s="4174" t="s">
        <v>4450</v>
      </c>
      <c r="H76" s="4174"/>
      <c r="I76" s="4174"/>
      <c r="J76" s="3350"/>
      <c r="K76" s="3343"/>
      <c r="L76" s="3347" t="s">
        <v>7614</v>
      </c>
      <c r="M76" s="1587" t="s">
        <v>7615</v>
      </c>
      <c r="N76" s="2362"/>
      <c r="O76" s="2592"/>
      <c r="P76" s="2614"/>
      <c r="Q76" s="2392"/>
      <c r="R76" s="577"/>
      <c r="S76" s="2674"/>
      <c r="T76" s="2674"/>
      <c r="U76" s="2084"/>
      <c r="V76" s="2775"/>
      <c r="W76" s="2201"/>
      <c r="X76" s="3351"/>
      <c r="Y76" s="2201"/>
      <c r="Z76" s="2202"/>
      <c r="AA76" s="2202"/>
      <c r="AB76" s="2775"/>
      <c r="AC76" s="1623"/>
      <c r="AD76" s="1416"/>
      <c r="AE76" s="2776"/>
      <c r="AF76" s="1418">
        <f>800000*1.08</f>
        <v>864000</v>
      </c>
      <c r="AG76" s="1624">
        <f>+AD76+AF76</f>
        <v>864000</v>
      </c>
      <c r="AH76" s="2779"/>
      <c r="AI76" s="2675"/>
      <c r="AJ76" s="2676"/>
      <c r="AK76" s="2677"/>
      <c r="AL76" s="2677"/>
      <c r="AM76" s="2677"/>
      <c r="AN76" s="2677"/>
      <c r="AO76" s="2677"/>
      <c r="AP76" s="2677"/>
      <c r="AQ76" s="2677"/>
      <c r="AR76" s="2677"/>
      <c r="AS76" s="1525"/>
      <c r="AT76" s="1525"/>
      <c r="AU76" s="1518"/>
      <c r="AV76" s="1518"/>
      <c r="AW76" s="1518"/>
      <c r="AX76" s="1518"/>
      <c r="AY76" s="1518"/>
      <c r="AZ76" s="1518"/>
      <c r="BA76" s="1518"/>
      <c r="BB76" s="1518"/>
      <c r="BC76" s="1518"/>
      <c r="BD76" s="1518"/>
      <c r="BE76" s="1518"/>
    </row>
    <row r="77" spans="1:57" ht="15.6">
      <c r="A77" s="4081" t="s">
        <v>7545</v>
      </c>
      <c r="B77" s="4081"/>
      <c r="C77" s="4081"/>
      <c r="D77" s="4081"/>
      <c r="E77" s="4081"/>
      <c r="F77" s="4081"/>
      <c r="G77" s="4081"/>
      <c r="H77" s="4081"/>
      <c r="I77" s="4081"/>
      <c r="J77" s="4081"/>
      <c r="K77" s="4081"/>
      <c r="L77" s="4081"/>
      <c r="M77" s="4081"/>
      <c r="N77" s="4081"/>
      <c r="O77" s="2591"/>
      <c r="P77" s="2610"/>
      <c r="Q77" s="2594"/>
      <c r="R77" s="1884"/>
      <c r="S77" s="1885"/>
      <c r="T77" s="3626"/>
      <c r="U77" s="1886"/>
      <c r="V77" s="1887"/>
      <c r="W77" s="1888"/>
      <c r="X77" s="1888"/>
      <c r="Y77" s="1888"/>
      <c r="Z77" s="1889"/>
      <c r="AA77" s="1889"/>
      <c r="AB77" s="1888"/>
      <c r="AC77" s="2495"/>
      <c r="AD77" s="1892">
        <f>SUM(AD68:AD75)</f>
        <v>36567000</v>
      </c>
      <c r="AE77" s="2169"/>
      <c r="AF77" s="1892">
        <f>SUM(AF67:AF76)</f>
        <v>143073000</v>
      </c>
      <c r="AG77" s="1892">
        <f>SUM(AG68:AG75)</f>
        <v>156528000</v>
      </c>
      <c r="AH77" s="1892"/>
      <c r="AI77" s="1521"/>
      <c r="AJ77" s="1522"/>
      <c r="AK77" s="2167"/>
      <c r="AL77" s="1893"/>
      <c r="AM77" s="1893"/>
      <c r="AN77" s="1893"/>
      <c r="AO77" s="1893"/>
      <c r="AP77" s="1893"/>
      <c r="AQ77" s="1893"/>
      <c r="AR77" s="1893"/>
      <c r="AS77" s="1525"/>
      <c r="AT77" s="1525"/>
    </row>
    <row r="78" spans="1:57" s="1350" customFormat="1" ht="39.6">
      <c r="A78" s="326">
        <v>1</v>
      </c>
      <c r="B78" s="666" t="s">
        <v>7464</v>
      </c>
      <c r="C78" s="3468">
        <v>107652950420</v>
      </c>
      <c r="D78" s="386" t="s">
        <v>7508</v>
      </c>
      <c r="E78" s="3329" t="s">
        <v>7034</v>
      </c>
      <c r="F78" s="348" t="s">
        <v>7688</v>
      </c>
      <c r="G78" s="167">
        <v>1</v>
      </c>
      <c r="H78" s="1745"/>
      <c r="I78" s="1745"/>
      <c r="J78" s="2654" t="s">
        <v>123</v>
      </c>
      <c r="K78" s="3428" t="s">
        <v>7549</v>
      </c>
      <c r="L78" s="3513" t="s">
        <v>7383</v>
      </c>
      <c r="M78" s="1587" t="s">
        <v>7548</v>
      </c>
      <c r="N78" s="2851" t="s">
        <v>7525</v>
      </c>
      <c r="O78" s="1612" t="s">
        <v>7508</v>
      </c>
      <c r="P78" s="2614" t="s">
        <v>5972</v>
      </c>
      <c r="Q78" s="2392" t="s">
        <v>7558</v>
      </c>
      <c r="R78" s="577"/>
      <c r="S78" s="2627" t="s">
        <v>4813</v>
      </c>
      <c r="T78" s="2674"/>
      <c r="U78" s="1407" t="s">
        <v>7035</v>
      </c>
      <c r="V78" s="1414"/>
      <c r="W78" s="3463">
        <v>1197000</v>
      </c>
      <c r="X78" s="3462">
        <v>870000</v>
      </c>
      <c r="Y78" s="1622"/>
      <c r="Z78" s="1857"/>
      <c r="AA78" s="2915">
        <v>250000</v>
      </c>
      <c r="AB78" s="3463">
        <v>165000</v>
      </c>
      <c r="AC78" s="1709"/>
      <c r="AD78" s="1416">
        <f t="shared" ref="AD78:AD88" si="23">SUM(V78:AC78)</f>
        <v>2482000</v>
      </c>
      <c r="AE78" s="2341" t="s">
        <v>7570</v>
      </c>
      <c r="AF78" s="1418">
        <f>(((G78*3450000+H78*3550000+I78*AJ78)+(AI78*$AI$4*(G78+H78))+(AK78*$AK$4*(G78+H78))+(AL78*$AL$4*(G78+H78))+(AM78*$AM$4*(G78+H78))+(AN78*$AN$4*(G78+H78))+(AO78*$AO$4*(G78+H78))+(AP78*$AP$4)+(AQ78*$AQ$4*(G78+H78))+(AR78*$AR$4*(G78+H78))+(AS78*$AS$4)))*1.08</f>
        <v>7182000.0000000009</v>
      </c>
      <c r="AG78" s="1624">
        <f t="shared" ref="AG78:AG79" si="24">+AD78+AF78</f>
        <v>9664000</v>
      </c>
      <c r="AH78" s="1906"/>
      <c r="AI78" s="1524">
        <v>1</v>
      </c>
      <c r="AJ78" s="1626"/>
      <c r="AK78" s="1525">
        <v>1</v>
      </c>
      <c r="AL78" s="1525"/>
      <c r="AM78" s="1525"/>
      <c r="AN78" s="1525"/>
      <c r="AO78" s="1525"/>
      <c r="AP78" s="1525"/>
      <c r="AQ78" s="1525"/>
      <c r="AR78" s="1525"/>
      <c r="AS78" s="1525">
        <v>1</v>
      </c>
      <c r="AT78" s="1525"/>
      <c r="AU78" s="1518"/>
      <c r="AV78" s="1518"/>
      <c r="AW78" s="1518"/>
      <c r="AX78" s="1518"/>
      <c r="AY78" s="1518"/>
      <c r="AZ78" s="1518"/>
      <c r="BA78" s="1518"/>
      <c r="BB78" s="1518"/>
      <c r="BC78" s="1518"/>
      <c r="BD78" s="1518"/>
      <c r="BE78" s="1518"/>
    </row>
    <row r="79" spans="1:57" s="1350" customFormat="1" ht="52.8">
      <c r="A79" s="326">
        <f>+A78+1</f>
        <v>2</v>
      </c>
      <c r="B79" s="2450" t="s">
        <v>7720</v>
      </c>
      <c r="C79" s="3468">
        <v>107654261301</v>
      </c>
      <c r="D79" s="386" t="s">
        <v>7508</v>
      </c>
      <c r="E79" s="3329" t="s">
        <v>4444</v>
      </c>
      <c r="F79" s="348" t="s">
        <v>7689</v>
      </c>
      <c r="G79" s="1745">
        <v>3</v>
      </c>
      <c r="H79" s="1745"/>
      <c r="I79" s="1745"/>
      <c r="J79" s="3020" t="s">
        <v>136</v>
      </c>
      <c r="K79" s="3058" t="s">
        <v>7568</v>
      </c>
      <c r="L79" s="3428" t="s">
        <v>7566</v>
      </c>
      <c r="M79" s="1587" t="s">
        <v>7567</v>
      </c>
      <c r="N79" s="2362" t="s">
        <v>7524</v>
      </c>
      <c r="O79" s="1612" t="s">
        <v>7508</v>
      </c>
      <c r="P79" s="2614" t="s">
        <v>7743</v>
      </c>
      <c r="Q79" s="2392" t="s">
        <v>7702</v>
      </c>
      <c r="R79" s="577"/>
      <c r="S79" s="2627" t="s">
        <v>4813</v>
      </c>
      <c r="T79" s="2674"/>
      <c r="U79" s="1407" t="s">
        <v>7035</v>
      </c>
      <c r="V79" s="3463">
        <f>1620000+429000</f>
        <v>2049000</v>
      </c>
      <c r="W79" s="3463">
        <v>3591000</v>
      </c>
      <c r="X79" s="3462">
        <f>1000000+(870000*2)</f>
        <v>2740000</v>
      </c>
      <c r="Y79" s="1622"/>
      <c r="Z79" s="1857"/>
      <c r="AA79" s="1504">
        <v>750000</v>
      </c>
      <c r="AB79" s="3463">
        <f>495000+852000</f>
        <v>1347000</v>
      </c>
      <c r="AC79" s="1709"/>
      <c r="AD79" s="1416">
        <f t="shared" si="23"/>
        <v>10477000</v>
      </c>
      <c r="AE79" s="2341" t="s">
        <v>7710</v>
      </c>
      <c r="AF79" s="1418">
        <f>(((G79*3450000+H79*3550000+I79*AJ79)+(AI79*$AI$4*(G79+H79))+(AK79*$AK$4*(G79+H79))+(AL79*$AL$4*(G79+H79))+(AM79*$AM$4*(G79+H79))+(AN79*$AN$4*(G79+H79))+(AO79*$AO$4*(G79+H79))+(AP79*$AP$4)+(AQ79*$AQ$4*(G79+H79))+(AR79*$AR$4*(G79+H79))+(AS79*$AS$4)))*1.08+(9000000*1.03*1.08)</f>
        <v>29613600</v>
      </c>
      <c r="AG79" s="1624">
        <f t="shared" si="24"/>
        <v>40090600</v>
      </c>
      <c r="AH79" s="3333"/>
      <c r="AI79" s="1524">
        <v>1</v>
      </c>
      <c r="AJ79" s="1626"/>
      <c r="AK79" s="1525">
        <v>1</v>
      </c>
      <c r="AL79" s="1525"/>
      <c r="AM79" s="1525"/>
      <c r="AN79" s="1525"/>
      <c r="AO79" s="1525"/>
      <c r="AP79" s="1525"/>
      <c r="AQ79" s="1525">
        <v>1</v>
      </c>
      <c r="AR79" s="1525"/>
      <c r="AS79" s="1525">
        <v>1</v>
      </c>
      <c r="AT79" s="1525"/>
      <c r="AU79" s="1518"/>
      <c r="AV79" s="1518"/>
      <c r="AW79" s="1518"/>
      <c r="AX79" s="1518"/>
      <c r="AY79" s="1518"/>
      <c r="AZ79" s="1518"/>
      <c r="BA79" s="1518"/>
      <c r="BB79" s="1518"/>
      <c r="BC79" s="1518"/>
      <c r="BD79" s="1518"/>
      <c r="BE79" s="1518"/>
    </row>
    <row r="80" spans="1:57" s="1350" customFormat="1" ht="52.8">
      <c r="A80" s="326">
        <f t="shared" ref="A80:A96" si="25">+A79+1</f>
        <v>3</v>
      </c>
      <c r="B80" s="2450" t="s">
        <v>7716</v>
      </c>
      <c r="C80" s="166">
        <v>107655766960</v>
      </c>
      <c r="D80" s="386" t="s">
        <v>7464</v>
      </c>
      <c r="E80" s="117" t="s">
        <v>4401</v>
      </c>
      <c r="F80" s="2416" t="s">
        <v>7703</v>
      </c>
      <c r="G80" s="1745">
        <v>4</v>
      </c>
      <c r="H80" s="1745"/>
      <c r="I80" s="1745"/>
      <c r="J80" s="2654" t="s">
        <v>123</v>
      </c>
      <c r="K80" s="3058" t="s">
        <v>7668</v>
      </c>
      <c r="L80" s="3431" t="s">
        <v>7515</v>
      </c>
      <c r="M80" s="1587" t="s">
        <v>7669</v>
      </c>
      <c r="N80" s="2362" t="s">
        <v>7516</v>
      </c>
      <c r="O80" s="1612" t="s">
        <v>7690</v>
      </c>
      <c r="P80" s="2614" t="s">
        <v>7853</v>
      </c>
      <c r="Q80" s="2392" t="s">
        <v>7711</v>
      </c>
      <c r="R80" s="577"/>
      <c r="S80" s="2627" t="s">
        <v>4813</v>
      </c>
      <c r="T80" s="2674"/>
      <c r="U80" s="1407" t="s">
        <v>4909</v>
      </c>
      <c r="V80" s="3463">
        <v>350000</v>
      </c>
      <c r="W80" s="3463">
        <v>1988000</v>
      </c>
      <c r="X80" s="3462">
        <f>999000*4</f>
        <v>3996000</v>
      </c>
      <c r="Y80" s="1622"/>
      <c r="Z80" s="1857"/>
      <c r="AA80" s="2915">
        <v>1000000</v>
      </c>
      <c r="AB80" s="1622"/>
      <c r="AC80" s="1709"/>
      <c r="AD80" s="1416">
        <f t="shared" si="23"/>
        <v>7334000</v>
      </c>
      <c r="AE80" s="1690"/>
      <c r="AF80" s="1418">
        <f>(((G80*3450000+H80*3550000+I80*AJ80)+(AI80*$AI$4*(G80+H80))+(AK80*$AK$4*(G80+H80))+(AL80*$AL$4*(G80+H80))+(AM80*$AM$4*(G80+H80))+(AN80*$AN$4*(G80+H80))+(AO80*$AO$4*(G80+H80))+(AP80*$AP$4)+(AQ80*$AQ$4*(G80+H80))+(AR80*$AR$4*(G80+H80))+(AS80*$AS$4)))*1.08</f>
        <v>22248000</v>
      </c>
      <c r="AG80" s="1624">
        <f t="shared" ref="AG80:AG85" si="26">+AD80+AF80</f>
        <v>29582000</v>
      </c>
      <c r="AH80" s="3333"/>
      <c r="AI80" s="1524">
        <v>1</v>
      </c>
      <c r="AJ80" s="1626"/>
      <c r="AK80" s="1525">
        <v>1</v>
      </c>
      <c r="AL80" s="1525"/>
      <c r="AM80" s="1525"/>
      <c r="AN80" s="1525"/>
      <c r="AO80" s="1525"/>
      <c r="AP80" s="1525"/>
      <c r="AQ80" s="1525"/>
      <c r="AR80" s="1525"/>
      <c r="AS80" s="1525"/>
      <c r="AT80" s="1525"/>
      <c r="AU80" s="1518"/>
      <c r="AV80" s="1518"/>
      <c r="AW80" s="1518"/>
      <c r="AX80" s="1518"/>
      <c r="AY80" s="1518"/>
      <c r="AZ80" s="1518"/>
      <c r="BA80" s="1518"/>
      <c r="BB80" s="1518"/>
      <c r="BC80" s="1518"/>
      <c r="BD80" s="1518"/>
      <c r="BE80" s="1518"/>
    </row>
    <row r="81" spans="1:57" s="1350" customFormat="1" ht="39" customHeight="1">
      <c r="A81" s="326">
        <f t="shared" si="25"/>
        <v>4</v>
      </c>
      <c r="B81" s="2450" t="s">
        <v>7758</v>
      </c>
      <c r="C81" s="3468">
        <v>107673095720</v>
      </c>
      <c r="D81" s="386" t="s">
        <v>7464</v>
      </c>
      <c r="E81" s="3329" t="s">
        <v>7034</v>
      </c>
      <c r="F81" s="348" t="s">
        <v>7790</v>
      </c>
      <c r="G81" s="1745">
        <v>1</v>
      </c>
      <c r="H81" s="1745"/>
      <c r="I81" s="1745"/>
      <c r="J81" s="2654" t="s">
        <v>123</v>
      </c>
      <c r="K81" s="3375" t="s">
        <v>7549</v>
      </c>
      <c r="L81" s="3426" t="s">
        <v>7513</v>
      </c>
      <c r="M81" s="1587" t="s">
        <v>7667</v>
      </c>
      <c r="N81" s="3415" t="s">
        <v>7517</v>
      </c>
      <c r="O81" s="1612" t="s">
        <v>7690</v>
      </c>
      <c r="P81" s="2614" t="s">
        <v>7780</v>
      </c>
      <c r="Q81" s="2392" t="s">
        <v>7711</v>
      </c>
      <c r="R81" s="577"/>
      <c r="S81" s="2627" t="s">
        <v>4813</v>
      </c>
      <c r="T81" s="2674"/>
      <c r="U81" s="1407" t="s">
        <v>7035</v>
      </c>
      <c r="V81" s="1622"/>
      <c r="W81" s="3463">
        <v>847000</v>
      </c>
      <c r="X81" s="3462">
        <v>999000</v>
      </c>
      <c r="Y81" s="1622"/>
      <c r="Z81" s="1857"/>
      <c r="AA81" s="2915">
        <v>250000</v>
      </c>
      <c r="AB81" s="1622"/>
      <c r="AC81" s="1709"/>
      <c r="AD81" s="1416">
        <f t="shared" si="23"/>
        <v>2096000</v>
      </c>
      <c r="AE81" s="2341" t="s">
        <v>7570</v>
      </c>
      <c r="AF81" s="1418">
        <f t="shared" ref="AF81:AF85" si="27">(((G81*3450000+H81*3550000+I81*AJ81)+(AI81*$AI$4*(G81+H81))+(AK81*$AK$4*(G81+H81))+(AL81*$AL$4*(G81+H81))+(AM81*$AM$4*(G81+H81))+(AN81*$AN$4*(G81+H81))+(AO81*$AO$4*(G81+H81))+(AP81*$AP$4)+(AQ81*$AQ$4*(G81+H81))+(AR81*$AR$4*(G81+H81))+(AS81*$AS$4)))*1.08</f>
        <v>7182000.0000000009</v>
      </c>
      <c r="AG81" s="1624">
        <f t="shared" si="26"/>
        <v>9278000</v>
      </c>
      <c r="AH81" s="3333"/>
      <c r="AI81" s="1524">
        <v>1</v>
      </c>
      <c r="AJ81" s="1626"/>
      <c r="AK81" s="1525">
        <v>1</v>
      </c>
      <c r="AL81" s="1525"/>
      <c r="AM81" s="1525"/>
      <c r="AN81" s="1525"/>
      <c r="AO81" s="1525"/>
      <c r="AP81" s="1525"/>
      <c r="AQ81" s="1525"/>
      <c r="AR81" s="1525"/>
      <c r="AS81" s="1525">
        <v>1</v>
      </c>
      <c r="AT81" s="1525"/>
      <c r="AU81" s="1518"/>
      <c r="AV81" s="1518"/>
      <c r="AW81" s="1518"/>
      <c r="AX81" s="1518"/>
      <c r="AY81" s="1518"/>
      <c r="AZ81" s="1518"/>
      <c r="BA81" s="1518"/>
      <c r="BB81" s="1518"/>
      <c r="BC81" s="1518"/>
      <c r="BD81" s="1518"/>
      <c r="BE81" s="1518"/>
    </row>
    <row r="82" spans="1:57" s="1350" customFormat="1" ht="26.4">
      <c r="A82" s="326">
        <f t="shared" si="25"/>
        <v>5</v>
      </c>
      <c r="B82" s="2450" t="s">
        <v>7742</v>
      </c>
      <c r="C82" s="166">
        <v>107685948310</v>
      </c>
      <c r="D82" s="386" t="s">
        <v>7700</v>
      </c>
      <c r="E82" s="117" t="s">
        <v>4401</v>
      </c>
      <c r="F82" s="348" t="s">
        <v>7749</v>
      </c>
      <c r="G82" s="1745">
        <v>1</v>
      </c>
      <c r="H82" s="1745"/>
      <c r="I82" s="1745"/>
      <c r="J82" s="2654" t="s">
        <v>123</v>
      </c>
      <c r="K82" s="3431" t="s">
        <v>6675</v>
      </c>
      <c r="L82" s="2187" t="s">
        <v>7520</v>
      </c>
      <c r="M82" s="1587" t="s">
        <v>7715</v>
      </c>
      <c r="N82" s="3411" t="s">
        <v>7521</v>
      </c>
      <c r="O82" s="1612" t="s">
        <v>7690</v>
      </c>
      <c r="P82" s="2614" t="s">
        <v>5972</v>
      </c>
      <c r="Q82" s="2392" t="s">
        <v>7711</v>
      </c>
      <c r="R82" s="577"/>
      <c r="S82" s="2627" t="s">
        <v>4813</v>
      </c>
      <c r="T82" s="2674"/>
      <c r="U82" s="1407" t="s">
        <v>4909</v>
      </c>
      <c r="V82" s="1622"/>
      <c r="W82" s="3463">
        <v>847000</v>
      </c>
      <c r="X82" s="3463">
        <v>1000000</v>
      </c>
      <c r="Y82" s="1622"/>
      <c r="Z82" s="1857"/>
      <c r="AA82" s="2915">
        <v>250000</v>
      </c>
      <c r="AB82" s="1622"/>
      <c r="AC82" s="1709"/>
      <c r="AD82" s="1416">
        <f t="shared" ref="AD82" si="28">SUM(V82:AC82)</f>
        <v>2097000</v>
      </c>
      <c r="AE82" s="1690"/>
      <c r="AF82" s="1418">
        <f t="shared" ref="AF82" si="29">(((G82*3450000+H82*3550000+I82*AJ82)+(AI82*$AI$4*(G82+H82))+(AK82*$AK$4*(G82+H82))+(AL82*$AL$4*(G82+H82))+(AM82*$AM$4*(G82+H82))+(AN82*$AN$4*(G82+H82))+(AO82*$AO$4*(G82+H82))+(AP82*$AP$4)+(AQ82*$AQ$4*(G82+H82))+(AR82*$AR$4*(G82+H82))+(AS82*$AS$4)))*1.08</f>
        <v>5562000</v>
      </c>
      <c r="AG82" s="1624">
        <f t="shared" ref="AG82" si="30">+AD82+AF82</f>
        <v>7659000</v>
      </c>
      <c r="AH82" s="3333"/>
      <c r="AI82" s="1524">
        <v>1</v>
      </c>
      <c r="AJ82" s="1626"/>
      <c r="AK82" s="1525">
        <v>1</v>
      </c>
      <c r="AL82" s="1525"/>
      <c r="AM82" s="1525"/>
      <c r="AN82" s="1525"/>
      <c r="AO82" s="1525"/>
      <c r="AP82" s="1525"/>
      <c r="AQ82" s="1525"/>
      <c r="AR82" s="1525"/>
      <c r="AS82" s="1525"/>
      <c r="AT82" s="1525"/>
      <c r="AU82" s="1518"/>
      <c r="AV82" s="1518"/>
      <c r="AW82" s="1518"/>
      <c r="AX82" s="1518"/>
      <c r="AY82" s="1518"/>
      <c r="AZ82" s="1518"/>
      <c r="BA82" s="1518"/>
      <c r="BB82" s="1518"/>
      <c r="BC82" s="1518"/>
      <c r="BD82" s="1518"/>
      <c r="BE82" s="1518"/>
    </row>
    <row r="83" spans="1:57" s="1350" customFormat="1" ht="66">
      <c r="A83" s="326">
        <f t="shared" si="25"/>
        <v>6</v>
      </c>
      <c r="B83" s="2450" t="s">
        <v>7783</v>
      </c>
      <c r="C83" s="166">
        <v>107685962530</v>
      </c>
      <c r="D83" s="386" t="s">
        <v>7700</v>
      </c>
      <c r="E83" s="117" t="s">
        <v>4401</v>
      </c>
      <c r="F83" s="348" t="s">
        <v>7791</v>
      </c>
      <c r="G83" s="1745">
        <v>5</v>
      </c>
      <c r="H83" s="1745"/>
      <c r="I83" s="1745"/>
      <c r="J83" s="2654" t="s">
        <v>123</v>
      </c>
      <c r="K83" s="3431" t="s">
        <v>7719</v>
      </c>
      <c r="L83" s="2187" t="s">
        <v>7518</v>
      </c>
      <c r="M83" s="1587" t="s">
        <v>7718</v>
      </c>
      <c r="N83" s="3323" t="s">
        <v>7519</v>
      </c>
      <c r="O83" s="3404" t="s">
        <v>7742</v>
      </c>
      <c r="P83" s="2614" t="s">
        <v>7799</v>
      </c>
      <c r="Q83" s="2392" t="s">
        <v>7784</v>
      </c>
      <c r="R83" s="577"/>
      <c r="S83" s="2627" t="s">
        <v>4813</v>
      </c>
      <c r="T83" s="2674"/>
      <c r="U83" s="1407" t="s">
        <v>4909</v>
      </c>
      <c r="V83" s="1623"/>
      <c r="W83" s="3463">
        <v>2485000</v>
      </c>
      <c r="X83" s="3464">
        <f>999000*4+850000</f>
        <v>4846000</v>
      </c>
      <c r="Y83" s="1623"/>
      <c r="Z83" s="2651"/>
      <c r="AA83" s="1503">
        <v>1250000</v>
      </c>
      <c r="AB83" s="1623"/>
      <c r="AC83" s="1623"/>
      <c r="AD83" s="1416">
        <f>SUM(V83:AC83)</f>
        <v>8581000</v>
      </c>
      <c r="AE83" s="1901"/>
      <c r="AF83" s="1418">
        <f>(((G83*3450000+H83*3550000+I83*AJ83)+(AI83*$AI$4*(G83+H83))+(AK83*$AK$4*(G83+H83))+(AL83*$AL$4*(G83+H83))+(AM83*$AM$4*(G83+H83))+(AN83*$AN$4*(G83+H83))+(AO83*$AO$4*(G83+H83))+(AP83*$AP$4)+(AQ83*$AQ$4*(G83+H83))+(AR83*$AR$4*(G83+H83))+(AS83*$AS$4)))*1.08</f>
        <v>27810000</v>
      </c>
      <c r="AG83" s="1624">
        <f>+AD83+AF83</f>
        <v>36391000</v>
      </c>
      <c r="AH83" s="3333"/>
      <c r="AI83" s="1524">
        <v>1</v>
      </c>
      <c r="AJ83" s="1626"/>
      <c r="AK83" s="1525">
        <v>1</v>
      </c>
      <c r="AL83" s="1525"/>
      <c r="AM83" s="1525"/>
      <c r="AN83" s="1525"/>
      <c r="AO83" s="1525"/>
      <c r="AP83" s="1525"/>
      <c r="AQ83" s="1525"/>
      <c r="AR83" s="1525"/>
      <c r="AS83" s="1525"/>
      <c r="AT83" s="1525"/>
      <c r="AU83" s="1518"/>
      <c r="AV83" s="1518"/>
      <c r="AW83" s="1518"/>
      <c r="AX83" s="1518"/>
      <c r="AY83" s="1518"/>
      <c r="AZ83" s="1518"/>
      <c r="BA83" s="1518"/>
      <c r="BB83" s="1518"/>
      <c r="BC83" s="1518"/>
      <c r="BD83" s="1518"/>
      <c r="BE83" s="1518"/>
    </row>
    <row r="84" spans="1:57" s="1350" customFormat="1" ht="52.8">
      <c r="A84" s="326">
        <f t="shared" si="25"/>
        <v>7</v>
      </c>
      <c r="B84" s="2450" t="s">
        <v>7773</v>
      </c>
      <c r="C84" s="166">
        <v>107688672120</v>
      </c>
      <c r="D84" s="386" t="s">
        <v>7720</v>
      </c>
      <c r="E84" s="117" t="s">
        <v>4858</v>
      </c>
      <c r="F84" s="348" t="s">
        <v>7768</v>
      </c>
      <c r="G84" s="1745">
        <v>4</v>
      </c>
      <c r="H84" s="1745"/>
      <c r="I84" s="1745"/>
      <c r="J84" s="2654" t="s">
        <v>123</v>
      </c>
      <c r="K84" s="3431" t="s">
        <v>7732</v>
      </c>
      <c r="L84" s="3431" t="s">
        <v>7737</v>
      </c>
      <c r="M84" s="1587" t="s">
        <v>7731</v>
      </c>
      <c r="N84" s="2362" t="s">
        <v>7648</v>
      </c>
      <c r="O84" s="1612" t="s">
        <v>7680</v>
      </c>
      <c r="P84" s="2614" t="s">
        <v>7800</v>
      </c>
      <c r="Q84" s="2392" t="s">
        <v>7631</v>
      </c>
      <c r="R84" s="577"/>
      <c r="S84" s="3429" t="s">
        <v>2947</v>
      </c>
      <c r="T84" s="2199"/>
      <c r="U84" s="1407" t="s">
        <v>4909</v>
      </c>
      <c r="V84" s="1622"/>
      <c r="W84" s="3463">
        <f>401000*4</f>
        <v>1604000</v>
      </c>
      <c r="X84" s="3462">
        <f>1000000*4</f>
        <v>4000000</v>
      </c>
      <c r="Y84" s="1622"/>
      <c r="Z84" s="1857"/>
      <c r="AA84" s="2915">
        <v>1000000</v>
      </c>
      <c r="AB84" s="1622"/>
      <c r="AC84" s="1709"/>
      <c r="AD84" s="1416">
        <f>SUM(V84:AC84)</f>
        <v>6604000</v>
      </c>
      <c r="AE84" s="1690"/>
      <c r="AF84" s="1418">
        <f>(((G84*3450000+H84*3550000+I84*AJ84)+(AI84*$AI$4*(G84+H84))+(AK84*$AK$4*(G84+H84))+(AL84*$AL$4*(G84+H84))+(AM84*$AM$4*(G84+H84))+(AN84*$AN$4*(G84+H84))+(AO84*$AO$4*(G84+H84))+(AP84*$AP$4)+(AQ84*$AQ$4*(G84+H84))+(AR84*$AR$4*(G84+H84))+(AS84*$AS$4)))*1.08</f>
        <v>23371200</v>
      </c>
      <c r="AG84" s="1624">
        <f>+AD84+AF84</f>
        <v>29975200</v>
      </c>
      <c r="AH84" s="3333"/>
      <c r="AI84" s="1524">
        <v>1</v>
      </c>
      <c r="AJ84" s="1626"/>
      <c r="AK84" s="1525">
        <v>1</v>
      </c>
      <c r="AL84" s="1525"/>
      <c r="AM84" s="1525"/>
      <c r="AN84" s="1525"/>
      <c r="AO84" s="1525">
        <v>1</v>
      </c>
      <c r="AP84" s="1525"/>
      <c r="AQ84" s="1525"/>
      <c r="AR84" s="1525"/>
      <c r="AS84" s="1525"/>
      <c r="AT84" s="1525"/>
      <c r="AU84" s="1518"/>
      <c r="AV84" s="1518"/>
      <c r="AW84" s="1518"/>
      <c r="AX84" s="1518"/>
      <c r="AY84" s="1518"/>
      <c r="AZ84" s="1518"/>
      <c r="BA84" s="1518"/>
      <c r="BB84" s="1518"/>
      <c r="BC84" s="1518"/>
      <c r="BD84" s="1518"/>
      <c r="BE84" s="1518"/>
    </row>
    <row r="85" spans="1:57" s="1350" customFormat="1" ht="39.6">
      <c r="A85" s="326">
        <f t="shared" si="25"/>
        <v>8</v>
      </c>
      <c r="B85" s="2450" t="s">
        <v>7711</v>
      </c>
      <c r="C85" s="3468">
        <v>107695577361</v>
      </c>
      <c r="D85" s="386" t="s">
        <v>7742</v>
      </c>
      <c r="E85" s="3329" t="s">
        <v>4444</v>
      </c>
      <c r="F85" s="3409" t="s">
        <v>7807</v>
      </c>
      <c r="G85" s="1745">
        <v>2</v>
      </c>
      <c r="H85" s="1745"/>
      <c r="I85" s="1745"/>
      <c r="J85" s="2654" t="s">
        <v>123</v>
      </c>
      <c r="K85" s="3431" t="s">
        <v>7767</v>
      </c>
      <c r="L85" s="3541" t="s">
        <v>7766</v>
      </c>
      <c r="M85" s="2824" t="s">
        <v>8042</v>
      </c>
      <c r="N85" s="2362" t="s">
        <v>7514</v>
      </c>
      <c r="O85" s="1612" t="s">
        <v>7742</v>
      </c>
      <c r="P85" s="2614" t="s">
        <v>7877</v>
      </c>
      <c r="Q85" s="2392" t="s">
        <v>7792</v>
      </c>
      <c r="R85" s="1566"/>
      <c r="S85" s="2627" t="s">
        <v>4813</v>
      </c>
      <c r="T85" s="2199"/>
      <c r="U85" s="1407" t="s">
        <v>7035</v>
      </c>
      <c r="V85" s="1566"/>
      <c r="W85" s="3463">
        <v>2394000</v>
      </c>
      <c r="X85" s="3462">
        <f>870000*2</f>
        <v>1740000</v>
      </c>
      <c r="Y85" s="1566"/>
      <c r="Z85" s="1414"/>
      <c r="AA85" s="2915">
        <v>500000</v>
      </c>
      <c r="AB85" s="3463">
        <f>220000+220000</f>
        <v>440000</v>
      </c>
      <c r="AC85" s="1566"/>
      <c r="AD85" s="1416">
        <f t="shared" si="23"/>
        <v>5074000</v>
      </c>
      <c r="AE85" s="2341" t="s">
        <v>7778</v>
      </c>
      <c r="AF85" s="1418">
        <f t="shared" si="27"/>
        <v>12744000</v>
      </c>
      <c r="AG85" s="1624">
        <f t="shared" si="26"/>
        <v>17818000</v>
      </c>
      <c r="AH85" s="3333"/>
      <c r="AI85" s="1524">
        <v>1</v>
      </c>
      <c r="AJ85" s="1626"/>
      <c r="AK85" s="1525">
        <v>1</v>
      </c>
      <c r="AL85" s="2634"/>
      <c r="AM85" s="1525"/>
      <c r="AN85" s="1525"/>
      <c r="AO85" s="1525"/>
      <c r="AP85" s="1525"/>
      <c r="AQ85" s="1525"/>
      <c r="AR85" s="1525"/>
      <c r="AS85" s="1525">
        <v>1</v>
      </c>
      <c r="AT85" s="1525"/>
      <c r="AU85" s="1518"/>
      <c r="AV85" s="1518"/>
      <c r="AW85" s="1518"/>
      <c r="AX85" s="1518"/>
      <c r="AY85" s="1518"/>
      <c r="AZ85" s="1518"/>
      <c r="BA85" s="1518"/>
      <c r="BB85" s="1518"/>
      <c r="BC85" s="1518"/>
      <c r="BD85" s="1518"/>
      <c r="BE85" s="1518"/>
    </row>
    <row r="86" spans="1:57" s="1350" customFormat="1" ht="26.4">
      <c r="A86" s="326">
        <f t="shared" si="25"/>
        <v>9</v>
      </c>
      <c r="B86" s="2450" t="s">
        <v>7696</v>
      </c>
      <c r="C86" s="166">
        <v>107696240300</v>
      </c>
      <c r="D86" s="386" t="s">
        <v>7742</v>
      </c>
      <c r="E86" s="2649" t="s">
        <v>7034</v>
      </c>
      <c r="F86" s="348" t="s">
        <v>7808</v>
      </c>
      <c r="G86" s="1745">
        <v>2</v>
      </c>
      <c r="H86" s="1745"/>
      <c r="I86" s="1745"/>
      <c r="J86" s="2654" t="s">
        <v>123</v>
      </c>
      <c r="K86" s="3431" t="s">
        <v>5089</v>
      </c>
      <c r="L86" s="3541" t="s">
        <v>7751</v>
      </c>
      <c r="M86" s="1587" t="s">
        <v>7753</v>
      </c>
      <c r="N86" s="2362" t="s">
        <v>7752</v>
      </c>
      <c r="O86" s="1612" t="s">
        <v>7776</v>
      </c>
      <c r="P86" s="2614" t="s">
        <v>6885</v>
      </c>
      <c r="Q86" s="2392" t="s">
        <v>7711</v>
      </c>
      <c r="R86" s="577"/>
      <c r="S86" s="3430" t="s">
        <v>7051</v>
      </c>
      <c r="T86" s="671"/>
      <c r="U86" s="1404" t="s">
        <v>2937</v>
      </c>
      <c r="V86" s="1622"/>
      <c r="W86" s="3463">
        <v>2592000</v>
      </c>
      <c r="X86" s="3462">
        <f>365000+1000000+1049000</f>
        <v>2414000</v>
      </c>
      <c r="Y86" s="1622"/>
      <c r="Z86" s="1857"/>
      <c r="AA86" s="2915">
        <v>500000</v>
      </c>
      <c r="AB86" s="1622"/>
      <c r="AC86" s="1709"/>
      <c r="AD86" s="1416">
        <f>SUM(V86:AC86)</f>
        <v>5506000</v>
      </c>
      <c r="AE86" s="1690"/>
      <c r="AF86" s="1418">
        <f>(((G86*3450000+H86*3550000+I86*AJ86)+(AI86*$AI$4*(G86+H86))+(AK86*$AK$4*(G86+H86))+(AL86*$AL$4*(G86+H86))+(AM86*$AM$4*(G86+H86))+(AN86*$AN$4*(G86+H86))+(AO86*$AO$4*(G86+H86))+(AP86*$AP$4)+(AQ86*$AQ$4*(G86+H86))+(AR86*$AR$4*(G86+H86))+(AS86*$AS$4)))*1.08</f>
        <v>13392000</v>
      </c>
      <c r="AG86" s="1624">
        <f>+AD86+AF86</f>
        <v>18898000</v>
      </c>
      <c r="AH86" s="3333"/>
      <c r="AI86" s="1524">
        <v>1</v>
      </c>
      <c r="AJ86" s="1626"/>
      <c r="AK86" s="1525"/>
      <c r="AL86" s="1525">
        <v>1</v>
      </c>
      <c r="AM86" s="1525"/>
      <c r="AN86" s="1525">
        <v>1</v>
      </c>
      <c r="AO86" s="1525"/>
      <c r="AP86" s="1525">
        <v>1</v>
      </c>
      <c r="AQ86" s="1525"/>
      <c r="AR86" s="1525"/>
      <c r="AS86" s="1525"/>
      <c r="AT86" s="1525"/>
      <c r="AU86" s="1518"/>
      <c r="AV86" s="1518"/>
      <c r="AW86" s="1518"/>
      <c r="AX86" s="1518"/>
      <c r="AY86" s="1518"/>
      <c r="AZ86" s="1518"/>
      <c r="BA86" s="1518"/>
      <c r="BB86" s="1518"/>
      <c r="BC86" s="1518"/>
      <c r="BD86" s="1518"/>
      <c r="BE86" s="1518"/>
    </row>
    <row r="87" spans="1:57" s="1350" customFormat="1" ht="26.4">
      <c r="A87" s="326">
        <f t="shared" si="25"/>
        <v>10</v>
      </c>
      <c r="B87" s="3469" t="s">
        <v>7844</v>
      </c>
      <c r="C87" s="166">
        <v>107719298150</v>
      </c>
      <c r="D87" s="46" t="s">
        <v>7696</v>
      </c>
      <c r="E87" s="117" t="s">
        <v>4858</v>
      </c>
      <c r="F87" s="348" t="s">
        <v>7891</v>
      </c>
      <c r="G87" s="1745">
        <v>2</v>
      </c>
      <c r="H87" s="1745"/>
      <c r="I87" s="1745"/>
      <c r="J87" s="2654" t="s">
        <v>123</v>
      </c>
      <c r="K87" s="3509" t="s">
        <v>5109</v>
      </c>
      <c r="L87" s="3541" t="s">
        <v>7816</v>
      </c>
      <c r="M87" s="1587" t="s">
        <v>7860</v>
      </c>
      <c r="N87" s="2362" t="s">
        <v>7817</v>
      </c>
      <c r="O87" s="1612" t="s">
        <v>7711</v>
      </c>
      <c r="P87" s="2614" t="s">
        <v>6517</v>
      </c>
      <c r="Q87" s="2392" t="s">
        <v>7879</v>
      </c>
      <c r="R87" s="577"/>
      <c r="S87" s="2627" t="s">
        <v>4813</v>
      </c>
      <c r="T87" s="2199"/>
      <c r="U87" s="1407" t="s">
        <v>4909</v>
      </c>
      <c r="V87" s="1622"/>
      <c r="W87" s="3463">
        <v>994000</v>
      </c>
      <c r="X87" s="3462">
        <f>999000*2</f>
        <v>1998000</v>
      </c>
      <c r="Y87" s="1622"/>
      <c r="Z87" s="1857"/>
      <c r="AA87" s="2915">
        <v>500000</v>
      </c>
      <c r="AB87" s="1622"/>
      <c r="AC87" s="1709"/>
      <c r="AD87" s="1416">
        <f t="shared" si="23"/>
        <v>3492000</v>
      </c>
      <c r="AE87" s="1690"/>
      <c r="AF87" s="1418">
        <f>(((G87*3450000+H87*3550000+I87*AJ87)+(AI87*$AI$4*(G87+H87))+(AK87*$AK$4*(G87+H87))+(AL87*$AL$4*(G87+H87))+(AM87*$AM$4*(G87+H87))+(AN87*$AN$4*(G87+H87))+(AO87*$AO$4*(G87+H87))+(AP87*$AP$4)+(AQ87*$AQ$4*(G87+H87))+(AR87*$AR$4*(G87+H87))+(AS87*$AS$4)))*1.08</f>
        <v>11124000</v>
      </c>
      <c r="AG87" s="1624">
        <f>+AD87+AF87</f>
        <v>14616000</v>
      </c>
      <c r="AH87" s="1906"/>
      <c r="AI87" s="1524">
        <v>1</v>
      </c>
      <c r="AJ87" s="1626"/>
      <c r="AK87" s="1525">
        <v>1</v>
      </c>
      <c r="AL87" s="1525"/>
      <c r="AM87" s="1525"/>
      <c r="AN87" s="1525"/>
      <c r="AO87" s="1525"/>
      <c r="AP87" s="1525"/>
      <c r="AQ87" s="1525"/>
      <c r="AR87" s="1525"/>
      <c r="AS87" s="1525"/>
      <c r="AT87" s="1525"/>
      <c r="AU87" s="1518"/>
      <c r="AV87" s="1518"/>
      <c r="AW87" s="1518"/>
      <c r="AX87" s="1518"/>
      <c r="AY87" s="1518"/>
      <c r="AZ87" s="1518"/>
      <c r="BA87" s="1518"/>
      <c r="BB87" s="1518"/>
      <c r="BC87" s="1518"/>
      <c r="BD87" s="1518"/>
      <c r="BE87" s="1518"/>
    </row>
    <row r="88" spans="1:57" s="1350" customFormat="1" ht="26.4">
      <c r="A88" s="326">
        <f t="shared" si="25"/>
        <v>11</v>
      </c>
      <c r="B88" s="3469" t="s">
        <v>7844</v>
      </c>
      <c r="C88" s="166">
        <v>107718170560</v>
      </c>
      <c r="D88" s="46" t="s">
        <v>7696</v>
      </c>
      <c r="E88" s="2649" t="s">
        <v>7034</v>
      </c>
      <c r="F88" s="348" t="s">
        <v>7892</v>
      </c>
      <c r="G88" s="1745">
        <v>1</v>
      </c>
      <c r="H88" s="1745"/>
      <c r="I88" s="1745"/>
      <c r="J88" s="2654" t="s">
        <v>123</v>
      </c>
      <c r="K88" s="3509" t="s">
        <v>7859</v>
      </c>
      <c r="L88" s="3541" t="s">
        <v>7818</v>
      </c>
      <c r="M88" s="1587" t="s">
        <v>7858</v>
      </c>
      <c r="N88" s="3508" t="s">
        <v>7819</v>
      </c>
      <c r="O88" s="1612" t="s">
        <v>7711</v>
      </c>
      <c r="P88" s="2614" t="s">
        <v>6056</v>
      </c>
      <c r="Q88" s="2392" t="s">
        <v>7879</v>
      </c>
      <c r="R88" s="577"/>
      <c r="S88" s="2627" t="s">
        <v>4813</v>
      </c>
      <c r="T88" s="2674"/>
      <c r="U88" s="1407" t="s">
        <v>4909</v>
      </c>
      <c r="V88" s="1622"/>
      <c r="W88" s="3463">
        <v>497000</v>
      </c>
      <c r="X88" s="3462">
        <f>999000+10000</f>
        <v>1009000</v>
      </c>
      <c r="Y88" s="1622"/>
      <c r="Z88" s="1857"/>
      <c r="AA88" s="2915">
        <v>250000</v>
      </c>
      <c r="AB88" s="1622"/>
      <c r="AC88" s="1709"/>
      <c r="AD88" s="1416">
        <f t="shared" si="23"/>
        <v>1756000</v>
      </c>
      <c r="AE88" s="1690"/>
      <c r="AF88" s="1418">
        <f>(((G88*3450000+H88*3550000+I88*AJ88)+(AI88*$AI$4*(G88+H88))+(AK88*$AK$4*(G88+H88))+(AL88*$AL$4*(G88+H88))+(AM88*$AM$4*(G88+H88))+(AN88*$AN$4*(G88+H88))+(AO88*$AO$4*(G88+H88))+(AP88*$AP$4)+(AQ88*$AQ$4*(G88+H88))+(AR88*$AR$4*(G88+H88))+(AS88*$AS$4)))*1.08</f>
        <v>4590000</v>
      </c>
      <c r="AG88" s="1624">
        <f t="shared" ref="AG88:AG89" si="31">+AD88+AF88</f>
        <v>6346000</v>
      </c>
      <c r="AH88" s="1906"/>
      <c r="AI88" s="1524">
        <v>1</v>
      </c>
      <c r="AJ88" s="1626"/>
      <c r="AK88" s="1525"/>
      <c r="AL88" s="1525"/>
      <c r="AM88" s="1525"/>
      <c r="AN88" s="1525"/>
      <c r="AO88" s="1525"/>
      <c r="AP88" s="1525"/>
      <c r="AQ88" s="1525"/>
      <c r="AR88" s="1525"/>
      <c r="AS88" s="1525"/>
      <c r="AT88" s="1525"/>
      <c r="AU88" s="1518"/>
      <c r="AV88" s="1518"/>
      <c r="AW88" s="1518"/>
      <c r="AX88" s="1518"/>
      <c r="AY88" s="1518"/>
      <c r="AZ88" s="1518"/>
      <c r="BA88" s="1518"/>
      <c r="BB88" s="1518"/>
      <c r="BC88" s="1518"/>
      <c r="BD88" s="1518"/>
      <c r="BE88" s="1518"/>
    </row>
    <row r="89" spans="1:57" s="1350" customFormat="1">
      <c r="A89" s="1611"/>
      <c r="B89" s="3469"/>
      <c r="C89" s="2039">
        <v>107747247420</v>
      </c>
      <c r="D89" s="1616" t="s">
        <v>7954</v>
      </c>
      <c r="E89" s="2649"/>
      <c r="F89" s="2416" t="s">
        <v>7990</v>
      </c>
      <c r="G89" s="4082" t="s">
        <v>4450</v>
      </c>
      <c r="H89" s="4082"/>
      <c r="I89" s="4082"/>
      <c r="J89" s="3350" t="s">
        <v>108</v>
      </c>
      <c r="K89" s="3521"/>
      <c r="L89" s="3521"/>
      <c r="M89" s="1587" t="s">
        <v>7988</v>
      </c>
      <c r="N89" s="3520"/>
      <c r="O89" s="2592"/>
      <c r="P89" s="2614"/>
      <c r="Q89" s="2392"/>
      <c r="R89" s="577"/>
      <c r="S89" s="2674"/>
      <c r="T89" s="2674"/>
      <c r="U89" s="2084"/>
      <c r="V89" s="2775"/>
      <c r="W89" s="2202"/>
      <c r="X89" s="2775"/>
      <c r="Y89" s="2775"/>
      <c r="Z89" s="2774"/>
      <c r="AA89" s="2202"/>
      <c r="AB89" s="2775"/>
      <c r="AC89" s="1623"/>
      <c r="AD89" s="1416"/>
      <c r="AE89" s="2776"/>
      <c r="AF89" s="1418">
        <f>800000*1.08</f>
        <v>864000</v>
      </c>
      <c r="AG89" s="1624">
        <f t="shared" si="31"/>
        <v>864000</v>
      </c>
      <c r="AH89" s="2779"/>
      <c r="AI89" s="2675"/>
      <c r="AJ89" s="2676"/>
      <c r="AK89" s="2677"/>
      <c r="AL89" s="2677"/>
      <c r="AM89" s="2677"/>
      <c r="AN89" s="2677"/>
      <c r="AO89" s="2677"/>
      <c r="AP89" s="2677"/>
      <c r="AQ89" s="2677"/>
      <c r="AR89" s="2677"/>
      <c r="AS89" s="1525"/>
      <c r="AT89" s="1525"/>
      <c r="AU89" s="1518"/>
      <c r="AV89" s="1518"/>
      <c r="AW89" s="1518"/>
      <c r="AX89" s="1518"/>
      <c r="AY89" s="1518"/>
      <c r="AZ89" s="1518"/>
      <c r="BA89" s="1518"/>
      <c r="BB89" s="1518"/>
      <c r="BC89" s="1518"/>
      <c r="BD89" s="1518"/>
      <c r="BE89" s="1518"/>
    </row>
    <row r="90" spans="1:57" ht="15.6">
      <c r="A90" s="4081" t="s">
        <v>7970</v>
      </c>
      <c r="B90" s="4081"/>
      <c r="C90" s="4081"/>
      <c r="D90" s="4081"/>
      <c r="E90" s="4081"/>
      <c r="F90" s="4081"/>
      <c r="G90" s="4081"/>
      <c r="H90" s="4081"/>
      <c r="I90" s="4081"/>
      <c r="J90" s="4081"/>
      <c r="K90" s="4081"/>
      <c r="L90" s="4081"/>
      <c r="M90" s="4081"/>
      <c r="N90" s="4081"/>
      <c r="O90" s="2591"/>
      <c r="P90" s="2610"/>
      <c r="Q90" s="2594"/>
      <c r="R90" s="1884"/>
      <c r="S90" s="1885"/>
      <c r="T90" s="3626"/>
      <c r="U90" s="1886"/>
      <c r="V90" s="1887"/>
      <c r="W90" s="1888"/>
      <c r="X90" s="1888"/>
      <c r="Y90" s="1888"/>
      <c r="Z90" s="1889"/>
      <c r="AA90" s="1889"/>
      <c r="AB90" s="1888"/>
      <c r="AC90" s="2495"/>
      <c r="AD90" s="1892">
        <f>SUM(AD80:AD87)</f>
        <v>40784000</v>
      </c>
      <c r="AE90" s="2169"/>
      <c r="AF90" s="1892">
        <f>SUM(AF78:AF89)</f>
        <v>165682800</v>
      </c>
      <c r="AG90" s="1892"/>
      <c r="AH90" s="1892"/>
      <c r="AI90" s="1521"/>
      <c r="AJ90" s="1522"/>
      <c r="AK90" s="2167"/>
      <c r="AL90" s="1893"/>
      <c r="AM90" s="1893"/>
      <c r="AN90" s="1893"/>
      <c r="AO90" s="1893"/>
      <c r="AP90" s="1893"/>
      <c r="AQ90" s="1893"/>
      <c r="AR90" s="1893"/>
      <c r="AS90" s="1525"/>
      <c r="AT90" s="1525"/>
    </row>
    <row r="91" spans="1:57" s="1350" customFormat="1" ht="66">
      <c r="A91" s="326">
        <v>1</v>
      </c>
      <c r="B91" s="666" t="s">
        <v>8090</v>
      </c>
      <c r="C91" s="166">
        <v>107751369460</v>
      </c>
      <c r="D91" s="386" t="s">
        <v>7955</v>
      </c>
      <c r="E91" s="117" t="s">
        <v>4858</v>
      </c>
      <c r="F91" s="348" t="s">
        <v>8061</v>
      </c>
      <c r="G91" s="1745">
        <v>5</v>
      </c>
      <c r="H91" s="1745"/>
      <c r="I91" s="1745"/>
      <c r="J91" s="2654" t="s">
        <v>123</v>
      </c>
      <c r="K91" s="3058" t="s">
        <v>8063</v>
      </c>
      <c r="L91" s="3665" t="s">
        <v>7956</v>
      </c>
      <c r="M91" s="1350" t="s">
        <v>8062</v>
      </c>
      <c r="N91" s="1731" t="s">
        <v>8089</v>
      </c>
      <c r="O91" s="1612" t="s">
        <v>7985</v>
      </c>
      <c r="P91" s="2614" t="s">
        <v>8112</v>
      </c>
      <c r="Q91" s="2392"/>
      <c r="R91" s="577"/>
      <c r="S91" s="2627" t="s">
        <v>4813</v>
      </c>
      <c r="T91" s="2673" t="s">
        <v>8106</v>
      </c>
      <c r="U91" s="1407" t="s">
        <v>4909</v>
      </c>
      <c r="V91" s="1622"/>
      <c r="W91" s="3463">
        <v>2485000</v>
      </c>
      <c r="X91" s="1735">
        <f>972000*5</f>
        <v>4860000</v>
      </c>
      <c r="Y91" s="1622"/>
      <c r="Z91" s="1857"/>
      <c r="AA91" s="3663">
        <v>1250000</v>
      </c>
      <c r="AC91" s="1709"/>
      <c r="AD91" s="1416">
        <f t="shared" ref="AD91:AD105" si="32">SUM(V91:AC91)</f>
        <v>8595000</v>
      </c>
      <c r="AE91" s="1896" t="s">
        <v>8064</v>
      </c>
      <c r="AF91" s="1418">
        <f>(((G91*3450000+H91*3550000+I91*AJ91)+(AI91*$AI$4*(G91+H91))+(AK91*$AK$4*(G91+H91))+(AL91*$AL$4*(G91+H91))+(AM91*$AM$4*(G91+H91))+(AN91*$AN$4*(G91+H91))+(AO91*$AO$4*(G91+H91))+(AP91*$AP$4)+(AQ91*$AQ$4*(G91+H91))+(AR91*$AR$4*(G91+H91))+(AS91*$AS$4)))*1.08</f>
        <v>18630000</v>
      </c>
      <c r="AG91" s="1624">
        <f t="shared" ref="AG91" si="33">+AD91+AF91</f>
        <v>27225000</v>
      </c>
      <c r="AH91" s="1906"/>
      <c r="AI91" s="1524"/>
      <c r="AJ91" s="1626"/>
      <c r="AK91" s="1525"/>
      <c r="AL91" s="1525"/>
      <c r="AM91" s="1525"/>
      <c r="AN91" s="1525"/>
      <c r="AO91" s="1525"/>
      <c r="AP91" s="1525"/>
      <c r="AQ91" s="1525"/>
      <c r="AR91" s="1525"/>
      <c r="AS91" s="1525"/>
      <c r="AT91" s="1525"/>
      <c r="AU91" s="1518"/>
      <c r="AV91" s="1518"/>
      <c r="AW91" s="1518"/>
      <c r="AX91" s="1518"/>
      <c r="AY91" s="1518"/>
      <c r="AZ91" s="1518"/>
      <c r="BA91" s="1518"/>
      <c r="BB91" s="1518"/>
      <c r="BC91" s="1518"/>
      <c r="BD91" s="1518"/>
      <c r="BE91" s="1518"/>
    </row>
    <row r="92" spans="1:57" s="1350" customFormat="1" ht="52.8">
      <c r="A92" s="326">
        <f t="shared" si="25"/>
        <v>2</v>
      </c>
      <c r="B92" s="3675" t="s">
        <v>8224</v>
      </c>
      <c r="C92" s="3293">
        <v>107776554910</v>
      </c>
      <c r="D92" s="386" t="s">
        <v>8125</v>
      </c>
      <c r="E92" s="3638" t="s">
        <v>7034</v>
      </c>
      <c r="F92" s="348" t="s">
        <v>8214</v>
      </c>
      <c r="G92" s="1745">
        <v>1</v>
      </c>
      <c r="H92" s="1745"/>
      <c r="I92" s="1745"/>
      <c r="J92" s="2654" t="s">
        <v>123</v>
      </c>
      <c r="K92" s="3058" t="s">
        <v>8129</v>
      </c>
      <c r="L92" s="3665" t="s">
        <v>8126</v>
      </c>
      <c r="M92" s="1587" t="s">
        <v>8127</v>
      </c>
      <c r="N92" s="3664" t="s">
        <v>8130</v>
      </c>
      <c r="O92" s="1612" t="s">
        <v>8113</v>
      </c>
      <c r="P92" s="2614"/>
      <c r="Q92" s="2392" t="s">
        <v>8258</v>
      </c>
      <c r="R92" s="577"/>
      <c r="S92" s="2627" t="s">
        <v>4813</v>
      </c>
      <c r="T92" s="2673" t="s">
        <v>8142</v>
      </c>
      <c r="U92" s="1407" t="s">
        <v>7035</v>
      </c>
      <c r="V92" s="1622"/>
      <c r="W92" s="1622"/>
      <c r="X92" s="1622"/>
      <c r="Y92" s="1622"/>
      <c r="Z92" s="1857"/>
      <c r="AA92" s="2915">
        <v>250000</v>
      </c>
      <c r="AB92" s="3659">
        <f>132015+198022</f>
        <v>330037</v>
      </c>
      <c r="AC92" s="1709"/>
      <c r="AD92" s="1416">
        <f t="shared" si="32"/>
        <v>580037</v>
      </c>
      <c r="AE92" s="2341" t="s">
        <v>8253</v>
      </c>
      <c r="AF92" s="1418">
        <f t="shared" ref="AF92:AF107" si="34">(((G92*3450000+H92*3550000+I92*AJ92)+(AI92*$AI$4*(G92+H92))+(AK92*$AK$4*(G92+H92))+(AL92*$AL$4*(G92+H92))+(AM92*$AM$4*(G92+H92))+(AN92*$AN$4*(G92+H92))+(AO92*$AO$4*(G92+H92))+(AP92*$AP$4)+(AQ92*$AQ$4*(G92+H92))+(AR92*$AR$4*(G92+H92))+(AS92*$AS$4)))*1.08</f>
        <v>3726000.0000000005</v>
      </c>
      <c r="AG92" s="1624">
        <f t="shared" ref="AG92:AG107" si="35">+AD92+AF92</f>
        <v>4306037</v>
      </c>
      <c r="AH92" s="1906"/>
      <c r="AI92" s="1524"/>
      <c r="AJ92" s="1626"/>
      <c r="AK92" s="1525"/>
      <c r="AL92" s="1525"/>
      <c r="AM92" s="1525"/>
      <c r="AN92" s="1525"/>
      <c r="AO92" s="1525"/>
      <c r="AP92" s="1525"/>
      <c r="AQ92" s="1525"/>
      <c r="AR92" s="1525"/>
      <c r="AS92" s="1525"/>
      <c r="AT92" s="1525"/>
      <c r="AU92" s="1518"/>
      <c r="AV92" s="1518"/>
      <c r="AW92" s="1518"/>
      <c r="AX92" s="1518"/>
      <c r="AY92" s="1518"/>
      <c r="AZ92" s="1518"/>
      <c r="BA92" s="1518"/>
      <c r="BB92" s="1518"/>
      <c r="BC92" s="1518"/>
      <c r="BD92" s="1518"/>
      <c r="BE92" s="1518"/>
    </row>
    <row r="93" spans="1:57" s="1350" customFormat="1" ht="21.75" customHeight="1">
      <c r="A93" s="326">
        <f t="shared" si="25"/>
        <v>3</v>
      </c>
      <c r="B93" s="1859"/>
      <c r="C93" s="2196">
        <v>107782855350</v>
      </c>
      <c r="D93" s="1616" t="s">
        <v>8153</v>
      </c>
      <c r="F93" s="2206" t="s">
        <v>8215</v>
      </c>
      <c r="G93" s="4078" t="s">
        <v>4450</v>
      </c>
      <c r="H93" s="4079"/>
      <c r="I93" s="4080"/>
      <c r="J93" s="2654" t="s">
        <v>123</v>
      </c>
      <c r="K93" s="3642"/>
      <c r="L93" s="3665">
        <v>122500041064011</v>
      </c>
      <c r="M93" s="1587" t="s">
        <v>8154</v>
      </c>
      <c r="N93" s="3641"/>
      <c r="O93" s="1612"/>
      <c r="P93" s="2614"/>
      <c r="Q93" s="2392"/>
      <c r="R93" s="577"/>
      <c r="S93" s="2674"/>
      <c r="T93" s="2673"/>
      <c r="U93" s="2084"/>
      <c r="V93" s="2775"/>
      <c r="W93" s="2775"/>
      <c r="X93" s="2775"/>
      <c r="Y93" s="2775"/>
      <c r="Z93" s="2774"/>
      <c r="AA93" s="2774"/>
      <c r="AB93" s="2775"/>
      <c r="AC93" s="2775"/>
      <c r="AD93" s="1416"/>
      <c r="AE93" s="3467"/>
      <c r="AF93" s="2358"/>
      <c r="AG93" s="1624"/>
      <c r="AH93" s="2779"/>
      <c r="AI93" s="1524"/>
      <c r="AJ93" s="1626"/>
      <c r="AK93" s="1525"/>
      <c r="AL93" s="1525"/>
      <c r="AM93" s="1525"/>
      <c r="AN93" s="1525"/>
      <c r="AO93" s="1525"/>
      <c r="AP93" s="1525"/>
      <c r="AQ93" s="1525"/>
      <c r="AR93" s="1525"/>
      <c r="AS93" s="1525"/>
      <c r="AT93" s="1525"/>
      <c r="AU93" s="1518"/>
      <c r="AV93" s="1518"/>
      <c r="AW93" s="1518"/>
      <c r="AX93" s="1518"/>
      <c r="AY93" s="1518"/>
      <c r="AZ93" s="1518"/>
      <c r="BA93" s="1518"/>
      <c r="BB93" s="1518"/>
      <c r="BC93" s="1518"/>
      <c r="BD93" s="1518"/>
      <c r="BE93" s="1518"/>
    </row>
    <row r="94" spans="1:57" s="1350" customFormat="1" ht="79.2">
      <c r="A94" s="326">
        <f t="shared" si="25"/>
        <v>4</v>
      </c>
      <c r="B94" s="3676" t="s">
        <v>8268</v>
      </c>
      <c r="C94" s="166">
        <v>107804507050</v>
      </c>
      <c r="D94" s="46" t="s">
        <v>8229</v>
      </c>
      <c r="E94" s="117" t="s">
        <v>4858</v>
      </c>
      <c r="F94" s="709"/>
      <c r="G94" s="1745">
        <v>6</v>
      </c>
      <c r="H94" s="1745"/>
      <c r="I94" s="1745"/>
      <c r="J94" s="2654" t="s">
        <v>123</v>
      </c>
      <c r="K94" s="3058" t="s">
        <v>8238</v>
      </c>
      <c r="L94" s="3424" t="s">
        <v>8235</v>
      </c>
      <c r="M94" s="1587" t="s">
        <v>8237</v>
      </c>
      <c r="N94" s="2362" t="s">
        <v>8236</v>
      </c>
      <c r="O94" s="1612" t="s">
        <v>4793</v>
      </c>
      <c r="P94" s="2614"/>
      <c r="Q94" s="2392"/>
      <c r="R94" s="577"/>
      <c r="S94" s="3667" t="s">
        <v>2947</v>
      </c>
      <c r="T94" s="2674"/>
      <c r="U94" s="1407" t="s">
        <v>4909</v>
      </c>
      <c r="V94" s="1622"/>
      <c r="W94" s="1622"/>
      <c r="X94" s="1622"/>
      <c r="Y94" s="1622"/>
      <c r="Z94" s="1857"/>
      <c r="AA94" s="1903"/>
      <c r="AB94" s="1622"/>
      <c r="AC94" s="1709"/>
      <c r="AD94" s="1416">
        <f t="shared" si="32"/>
        <v>0</v>
      </c>
      <c r="AE94" s="1690"/>
      <c r="AF94" s="1418">
        <f t="shared" si="34"/>
        <v>22356000</v>
      </c>
      <c r="AG94" s="1624">
        <f t="shared" si="35"/>
        <v>22356000</v>
      </c>
      <c r="AH94" s="1906"/>
      <c r="AI94" s="1524"/>
      <c r="AJ94" s="1626"/>
      <c r="AK94" s="1525"/>
      <c r="AL94" s="1525"/>
      <c r="AM94" s="1525"/>
      <c r="AN94" s="1525"/>
      <c r="AO94" s="1525"/>
      <c r="AP94" s="1525"/>
      <c r="AQ94" s="1525"/>
      <c r="AR94" s="1525"/>
      <c r="AS94" s="1525"/>
      <c r="AT94" s="1525"/>
      <c r="AU94" s="1518"/>
      <c r="AV94" s="1518"/>
      <c r="AW94" s="1518"/>
      <c r="AX94" s="1518"/>
      <c r="AY94" s="1518"/>
      <c r="AZ94" s="1518"/>
      <c r="BA94" s="1518"/>
      <c r="BB94" s="1518"/>
      <c r="BC94" s="1518"/>
      <c r="BD94" s="1518"/>
      <c r="BE94" s="1518"/>
    </row>
    <row r="95" spans="1:57" s="1350" customFormat="1" ht="26.4">
      <c r="A95" s="326">
        <f t="shared" si="25"/>
        <v>5</v>
      </c>
      <c r="B95" s="3677" t="s">
        <v>8269</v>
      </c>
      <c r="C95" s="166"/>
      <c r="D95" s="46"/>
      <c r="E95" s="2467" t="s">
        <v>7034</v>
      </c>
      <c r="F95" s="709"/>
      <c r="G95" s="1745">
        <v>2</v>
      </c>
      <c r="H95" s="1745"/>
      <c r="I95" s="1745"/>
      <c r="J95" s="1645"/>
      <c r="K95" s="3058" t="s">
        <v>7033</v>
      </c>
      <c r="L95" s="3424" t="s">
        <v>8155</v>
      </c>
      <c r="M95" s="2515"/>
      <c r="N95" s="2362" t="s">
        <v>8259</v>
      </c>
      <c r="O95" s="1612" t="s">
        <v>8156</v>
      </c>
      <c r="P95" s="2614"/>
      <c r="Q95" s="2392" t="s">
        <v>8261</v>
      </c>
      <c r="R95" s="577"/>
      <c r="S95" s="3674" t="s">
        <v>7051</v>
      </c>
      <c r="T95" s="2673" t="s">
        <v>8260</v>
      </c>
      <c r="U95" s="1404" t="s">
        <v>2937</v>
      </c>
      <c r="V95" s="1622"/>
      <c r="W95" s="1622"/>
      <c r="X95" s="1622"/>
      <c r="Y95" s="1622"/>
      <c r="Z95" s="1857"/>
      <c r="AA95" s="1903"/>
      <c r="AB95" s="1622"/>
      <c r="AC95" s="1709"/>
      <c r="AD95" s="1416">
        <f t="shared" si="32"/>
        <v>0</v>
      </c>
      <c r="AE95" s="1690"/>
      <c r="AF95" s="1418">
        <f t="shared" si="34"/>
        <v>7452000.0000000009</v>
      </c>
      <c r="AG95" s="1624">
        <f t="shared" si="35"/>
        <v>7452000.0000000009</v>
      </c>
      <c r="AH95" s="1906"/>
      <c r="AI95" s="1524"/>
      <c r="AJ95" s="1626"/>
      <c r="AK95" s="1525"/>
      <c r="AL95" s="1525"/>
      <c r="AM95" s="1525"/>
      <c r="AN95" s="1525"/>
      <c r="AO95" s="1525"/>
      <c r="AP95" s="1525"/>
      <c r="AQ95" s="1525"/>
      <c r="AR95" s="1525"/>
      <c r="AS95" s="1525"/>
      <c r="AT95" s="1525"/>
      <c r="AU95" s="1518"/>
      <c r="AV95" s="1518"/>
      <c r="AW95" s="1518"/>
      <c r="AX95" s="1518"/>
      <c r="AY95" s="1518"/>
      <c r="AZ95" s="1518"/>
      <c r="BA95" s="1518"/>
      <c r="BB95" s="1518"/>
      <c r="BC95" s="1518"/>
      <c r="BD95" s="1518"/>
      <c r="BE95" s="1518"/>
    </row>
    <row r="96" spans="1:57" s="1350" customFormat="1">
      <c r="A96" s="326">
        <f t="shared" si="25"/>
        <v>6</v>
      </c>
      <c r="B96" s="295"/>
      <c r="C96" s="166"/>
      <c r="D96" s="46"/>
      <c r="E96" s="47"/>
      <c r="F96" s="709"/>
      <c r="G96" s="1745"/>
      <c r="H96" s="1745"/>
      <c r="I96" s="1745"/>
      <c r="J96" s="1645"/>
      <c r="K96" s="3058"/>
      <c r="L96" s="3666"/>
      <c r="M96" s="1566"/>
      <c r="N96" s="1566"/>
      <c r="O96" s="1566"/>
      <c r="P96" s="2614"/>
      <c r="Q96" s="1566"/>
      <c r="R96" s="1566"/>
      <c r="S96" s="1566"/>
      <c r="T96" s="1566"/>
      <c r="U96" s="1566"/>
      <c r="V96" s="1566"/>
      <c r="W96" s="1566"/>
      <c r="X96" s="1566"/>
      <c r="Y96" s="1566"/>
      <c r="Z96" s="1566"/>
      <c r="AA96" s="1566"/>
      <c r="AB96" s="1566"/>
      <c r="AC96" s="1566"/>
      <c r="AD96" s="1416">
        <f t="shared" si="32"/>
        <v>0</v>
      </c>
      <c r="AE96" s="1566"/>
      <c r="AF96" s="1418">
        <f t="shared" si="34"/>
        <v>0</v>
      </c>
      <c r="AG96" s="1624">
        <f t="shared" si="35"/>
        <v>0</v>
      </c>
      <c r="AH96" s="1566"/>
      <c r="AI96" s="1566"/>
      <c r="AJ96" s="1566"/>
      <c r="AK96" s="1566"/>
      <c r="AL96" s="2634"/>
      <c r="AM96" s="1525"/>
      <c r="AN96" s="1525"/>
      <c r="AO96" s="1525"/>
      <c r="AP96" s="1525"/>
      <c r="AQ96" s="1525"/>
      <c r="AR96" s="1525"/>
      <c r="AS96" s="1525"/>
      <c r="AT96" s="1525"/>
      <c r="AU96" s="1518"/>
      <c r="AV96" s="1518"/>
      <c r="AW96" s="1518"/>
      <c r="AX96" s="1518"/>
      <c r="AY96" s="1518"/>
      <c r="AZ96" s="1518"/>
      <c r="BA96" s="1518"/>
      <c r="BB96" s="1518"/>
      <c r="BC96" s="1518"/>
      <c r="BD96" s="1518"/>
      <c r="BE96" s="1518"/>
    </row>
    <row r="97" spans="1:57" s="1350" customFormat="1">
      <c r="A97" s="326">
        <f t="shared" ref="A97:A135" si="36">+A96+1</f>
        <v>7</v>
      </c>
      <c r="B97" s="295"/>
      <c r="C97" s="166"/>
      <c r="D97" s="46"/>
      <c r="E97" s="47"/>
      <c r="F97" s="709"/>
      <c r="G97" s="1745"/>
      <c r="H97" s="1745"/>
      <c r="I97" s="1745"/>
      <c r="J97" s="1645"/>
      <c r="K97" s="3058"/>
      <c r="L97" s="3043"/>
      <c r="M97" s="2824"/>
      <c r="N97" s="2851"/>
      <c r="O97" s="3549"/>
      <c r="P97" s="2614"/>
      <c r="Q97" s="2392"/>
      <c r="R97" s="577"/>
      <c r="S97" s="1778"/>
      <c r="T97" s="1778"/>
      <c r="U97" s="807"/>
      <c r="V97" s="1623"/>
      <c r="W97" s="1623"/>
      <c r="X97" s="1623"/>
      <c r="Y97" s="3550"/>
      <c r="Z97" s="2651"/>
      <c r="AA97" s="2651"/>
      <c r="AB97" s="1623"/>
      <c r="AC97" s="1623"/>
      <c r="AD97" s="1416">
        <f t="shared" si="32"/>
        <v>0</v>
      </c>
      <c r="AE97" s="1901"/>
      <c r="AF97" s="1418">
        <f t="shared" si="34"/>
        <v>0</v>
      </c>
      <c r="AG97" s="1624">
        <f t="shared" si="35"/>
        <v>0</v>
      </c>
      <c r="AH97" s="3289"/>
      <c r="AI97" s="2675"/>
      <c r="AJ97" s="2676"/>
      <c r="AK97" s="2677"/>
      <c r="AL97" s="1525"/>
      <c r="AM97" s="1525"/>
      <c r="AN97" s="1525"/>
      <c r="AO97" s="1525"/>
      <c r="AP97" s="1525"/>
      <c r="AQ97" s="1525"/>
      <c r="AR97" s="1525"/>
      <c r="AS97" s="1525"/>
      <c r="AT97" s="1525"/>
      <c r="AU97" s="1518"/>
      <c r="AV97" s="1518"/>
      <c r="AW97" s="1518"/>
      <c r="AX97" s="1518"/>
      <c r="AY97" s="1518"/>
      <c r="AZ97" s="1518"/>
      <c r="BA97" s="1518"/>
      <c r="BB97" s="1518"/>
      <c r="BC97" s="1518"/>
      <c r="BD97" s="1518"/>
      <c r="BE97" s="1518"/>
    </row>
    <row r="98" spans="1:57" s="1350" customFormat="1">
      <c r="A98" s="326">
        <f t="shared" si="36"/>
        <v>8</v>
      </c>
      <c r="B98" s="295"/>
      <c r="C98" s="166"/>
      <c r="D98" s="46"/>
      <c r="E98" s="47"/>
      <c r="F98" s="709"/>
      <c r="G98" s="445"/>
      <c r="H98" s="445"/>
      <c r="I98" s="445"/>
      <c r="J98" s="3043"/>
      <c r="K98" s="1436"/>
      <c r="L98" s="3524"/>
      <c r="M98" s="577"/>
      <c r="N98" s="707"/>
      <c r="O98" s="2590"/>
      <c r="P98" s="2614"/>
      <c r="Q98" s="2392"/>
      <c r="R98" s="577"/>
      <c r="S98" s="165"/>
      <c r="T98" s="2674"/>
      <c r="U98" s="1404"/>
      <c r="V98" s="1622"/>
      <c r="W98" s="1622"/>
      <c r="X98" s="1622"/>
      <c r="Y98" s="1622"/>
      <c r="Z98" s="1857"/>
      <c r="AA98" s="1903"/>
      <c r="AB98" s="1622"/>
      <c r="AC98" s="1709"/>
      <c r="AD98" s="1416">
        <f t="shared" si="32"/>
        <v>0</v>
      </c>
      <c r="AE98" s="1690"/>
      <c r="AF98" s="1418">
        <f t="shared" si="34"/>
        <v>0</v>
      </c>
      <c r="AG98" s="1624">
        <f t="shared" si="35"/>
        <v>0</v>
      </c>
      <c r="AH98" s="1906"/>
      <c r="AI98" s="1524"/>
      <c r="AJ98" s="1626"/>
      <c r="AK98" s="1525"/>
      <c r="AL98" s="1525"/>
      <c r="AM98" s="1525"/>
      <c r="AN98" s="1525"/>
      <c r="AO98" s="1525"/>
      <c r="AP98" s="1525"/>
      <c r="AQ98" s="1525"/>
      <c r="AR98" s="1525"/>
      <c r="AS98" s="1525"/>
      <c r="AT98" s="1525"/>
      <c r="AU98" s="1518"/>
      <c r="AV98" s="1518"/>
      <c r="AW98" s="1518"/>
      <c r="AX98" s="1518"/>
      <c r="AY98" s="1518"/>
      <c r="AZ98" s="1518"/>
      <c r="BA98" s="1518"/>
      <c r="BB98" s="1518"/>
      <c r="BC98" s="1518"/>
      <c r="BD98" s="1518"/>
      <c r="BE98" s="1518"/>
    </row>
    <row r="99" spans="1:57" s="1350" customFormat="1">
      <c r="A99" s="326">
        <f t="shared" si="36"/>
        <v>9</v>
      </c>
      <c r="B99" s="295"/>
      <c r="C99" s="166"/>
      <c r="D99" s="46"/>
      <c r="E99" s="47"/>
      <c r="F99" s="709"/>
      <c r="G99" s="167"/>
      <c r="H99" s="167"/>
      <c r="I99" s="167"/>
      <c r="J99" s="780"/>
      <c r="K99" s="1436"/>
      <c r="L99" s="1904"/>
      <c r="M99" s="154"/>
      <c r="N99" s="707"/>
      <c r="O99" s="2592"/>
      <c r="P99" s="2614"/>
      <c r="Q99" s="2392"/>
      <c r="R99" s="577"/>
      <c r="S99" s="165"/>
      <c r="T99" s="2674"/>
      <c r="U99" s="1404"/>
      <c r="V99" s="1622"/>
      <c r="W99" s="1622"/>
      <c r="X99" s="1622"/>
      <c r="Y99" s="1622"/>
      <c r="Z99" s="1857"/>
      <c r="AA99" s="1903"/>
      <c r="AB99" s="1622"/>
      <c r="AC99" s="1709"/>
      <c r="AD99" s="1416">
        <f t="shared" si="32"/>
        <v>0</v>
      </c>
      <c r="AE99" s="1690"/>
      <c r="AF99" s="1418">
        <f t="shared" si="34"/>
        <v>0</v>
      </c>
      <c r="AG99" s="1624">
        <f t="shared" si="35"/>
        <v>0</v>
      </c>
      <c r="AH99" s="1906"/>
      <c r="AI99" s="1524"/>
      <c r="AJ99" s="1626"/>
      <c r="AK99" s="1525"/>
      <c r="AL99" s="1525"/>
      <c r="AM99" s="1525"/>
      <c r="AN99" s="1525"/>
      <c r="AO99" s="1525"/>
      <c r="AP99" s="1525"/>
      <c r="AQ99" s="1525"/>
      <c r="AR99" s="1525"/>
      <c r="AS99" s="1525"/>
      <c r="AT99" s="1525"/>
      <c r="AU99" s="1518"/>
      <c r="AV99" s="1518"/>
      <c r="AW99" s="1518"/>
      <c r="AX99" s="1518"/>
      <c r="AY99" s="1518"/>
      <c r="AZ99" s="1518"/>
      <c r="BA99" s="1518"/>
      <c r="BB99" s="1518"/>
      <c r="BC99" s="1518"/>
      <c r="BD99" s="1518"/>
      <c r="BE99" s="1518"/>
    </row>
    <row r="100" spans="1:57" s="1350" customFormat="1">
      <c r="A100" s="326">
        <f t="shared" si="36"/>
        <v>10</v>
      </c>
      <c r="B100" s="295"/>
      <c r="C100" s="166"/>
      <c r="D100" s="46"/>
      <c r="E100" s="47"/>
      <c r="F100" s="709"/>
      <c r="G100" s="167"/>
      <c r="H100" s="167"/>
      <c r="I100" s="167"/>
      <c r="J100" s="780"/>
      <c r="K100" s="1436"/>
      <c r="L100" s="1904"/>
      <c r="M100" s="154"/>
      <c r="N100" s="707"/>
      <c r="O100" s="2592"/>
      <c r="P100" s="2614"/>
      <c r="Q100" s="2392"/>
      <c r="R100" s="577"/>
      <c r="S100" s="165"/>
      <c r="T100" s="2674"/>
      <c r="U100" s="1404"/>
      <c r="V100" s="1622"/>
      <c r="W100" s="1622"/>
      <c r="X100" s="1622"/>
      <c r="Y100" s="1622"/>
      <c r="Z100" s="1857"/>
      <c r="AA100" s="1903"/>
      <c r="AB100" s="1622"/>
      <c r="AC100" s="1709"/>
      <c r="AD100" s="1416">
        <f t="shared" si="32"/>
        <v>0</v>
      </c>
      <c r="AE100" s="1690"/>
      <c r="AF100" s="1418">
        <f t="shared" si="34"/>
        <v>0</v>
      </c>
      <c r="AG100" s="1624">
        <f t="shared" si="35"/>
        <v>0</v>
      </c>
      <c r="AH100" s="1906"/>
      <c r="AI100" s="1524"/>
      <c r="AJ100" s="1626"/>
      <c r="AK100" s="1525"/>
      <c r="AL100" s="1525"/>
      <c r="AM100" s="1525"/>
      <c r="AN100" s="1525"/>
      <c r="AO100" s="1525"/>
      <c r="AP100" s="1525"/>
      <c r="AQ100" s="1525"/>
      <c r="AR100" s="1525"/>
      <c r="AS100" s="1525"/>
      <c r="AT100" s="1525"/>
      <c r="AU100" s="1518"/>
      <c r="AV100" s="1518"/>
      <c r="AW100" s="1518"/>
      <c r="AX100" s="1518"/>
      <c r="AY100" s="1518"/>
      <c r="AZ100" s="1518"/>
      <c r="BA100" s="1518"/>
      <c r="BB100" s="1518"/>
      <c r="BC100" s="1518"/>
      <c r="BD100" s="1518"/>
      <c r="BE100" s="1518"/>
    </row>
    <row r="101" spans="1:57" s="1350" customFormat="1">
      <c r="A101" s="326">
        <f t="shared" si="36"/>
        <v>11</v>
      </c>
      <c r="B101" s="295"/>
      <c r="C101" s="166"/>
      <c r="D101" s="46"/>
      <c r="E101" s="47"/>
      <c r="F101" s="709"/>
      <c r="G101" s="167"/>
      <c r="H101" s="1566"/>
      <c r="I101" s="1566"/>
      <c r="J101" s="1566"/>
      <c r="K101" s="1566"/>
      <c r="L101" s="1566"/>
      <c r="M101" s="1566"/>
      <c r="N101" s="1566"/>
      <c r="O101" s="1566"/>
      <c r="P101" s="2614"/>
      <c r="Q101" s="1566"/>
      <c r="R101" s="1566"/>
      <c r="S101" s="1566"/>
      <c r="T101" s="1566"/>
      <c r="U101" s="1566"/>
      <c r="V101" s="1566"/>
      <c r="W101" s="1566"/>
      <c r="X101" s="1566"/>
      <c r="Y101" s="1566"/>
      <c r="Z101" s="1566"/>
      <c r="AA101" s="1566"/>
      <c r="AB101" s="1566"/>
      <c r="AC101" s="1566"/>
      <c r="AD101" s="1416">
        <f t="shared" si="32"/>
        <v>0</v>
      </c>
      <c r="AE101" s="1566"/>
      <c r="AF101" s="1418">
        <f t="shared" si="34"/>
        <v>0</v>
      </c>
      <c r="AG101" s="1624">
        <f t="shared" si="35"/>
        <v>0</v>
      </c>
      <c r="AH101" s="1906"/>
      <c r="AI101" s="1524"/>
      <c r="AJ101" s="1626"/>
      <c r="AK101" s="1525"/>
      <c r="AL101" s="1525"/>
      <c r="AM101" s="1525"/>
      <c r="AN101" s="1525"/>
      <c r="AO101" s="1525"/>
      <c r="AP101" s="1525"/>
      <c r="AQ101" s="1525"/>
      <c r="AR101" s="1525"/>
      <c r="AS101" s="1525"/>
      <c r="AT101" s="1525"/>
      <c r="AU101" s="1518"/>
      <c r="AV101" s="1518"/>
      <c r="AW101" s="1518"/>
      <c r="AX101" s="1518"/>
      <c r="AY101" s="1518"/>
      <c r="AZ101" s="1518"/>
      <c r="BA101" s="1518"/>
      <c r="BB101" s="1518"/>
      <c r="BC101" s="1518"/>
      <c r="BD101" s="1518"/>
      <c r="BE101" s="1518"/>
    </row>
    <row r="102" spans="1:57" s="1350" customFormat="1">
      <c r="A102" s="326">
        <f t="shared" si="36"/>
        <v>12</v>
      </c>
      <c r="B102" s="295"/>
      <c r="C102" s="166"/>
      <c r="D102" s="46"/>
      <c r="E102" s="47"/>
      <c r="F102" s="709"/>
      <c r="G102" s="167"/>
      <c r="H102" s="445"/>
      <c r="I102" s="445"/>
      <c r="J102" s="3043"/>
      <c r="K102" s="1436"/>
      <c r="L102" s="1904"/>
      <c r="M102" s="577"/>
      <c r="N102" s="3236"/>
      <c r="O102" s="2590"/>
      <c r="P102" s="2614"/>
      <c r="Q102" s="2392"/>
      <c r="R102" s="577"/>
      <c r="S102" s="1778"/>
      <c r="T102" s="1778"/>
      <c r="U102" s="807"/>
      <c r="V102" s="1623"/>
      <c r="W102" s="1623"/>
      <c r="X102" s="1623"/>
      <c r="Y102" s="1623"/>
      <c r="Z102" s="2651"/>
      <c r="AA102" s="2651"/>
      <c r="AB102" s="1623"/>
      <c r="AC102" s="1623"/>
      <c r="AD102" s="1416">
        <f t="shared" si="32"/>
        <v>0</v>
      </c>
      <c r="AE102" s="1901"/>
      <c r="AF102" s="1418">
        <f t="shared" si="34"/>
        <v>0</v>
      </c>
      <c r="AG102" s="1624">
        <f t="shared" si="35"/>
        <v>0</v>
      </c>
      <c r="AH102" s="1906"/>
      <c r="AI102" s="1524"/>
      <c r="AJ102" s="1626"/>
      <c r="AK102" s="1525"/>
      <c r="AL102" s="1525"/>
      <c r="AM102" s="1525"/>
      <c r="AN102" s="1525"/>
      <c r="AO102" s="1525"/>
      <c r="AP102" s="1525"/>
      <c r="AQ102" s="1525"/>
      <c r="AR102" s="1525"/>
      <c r="AS102" s="1525"/>
      <c r="AT102" s="1525"/>
      <c r="AU102" s="1518"/>
      <c r="AV102" s="1518"/>
      <c r="AW102" s="1518"/>
      <c r="AX102" s="1518"/>
      <c r="AY102" s="1518"/>
      <c r="AZ102" s="1518"/>
      <c r="BA102" s="1518"/>
      <c r="BB102" s="1518"/>
      <c r="BC102" s="1518"/>
      <c r="BD102" s="1518"/>
      <c r="BE102" s="1518"/>
    </row>
    <row r="103" spans="1:57" s="1350" customFormat="1">
      <c r="A103" s="326">
        <f t="shared" si="36"/>
        <v>13</v>
      </c>
      <c r="B103" s="295"/>
      <c r="C103" s="166"/>
      <c r="D103" s="46"/>
      <c r="E103" s="47"/>
      <c r="F103" s="709"/>
      <c r="G103" s="167"/>
      <c r="H103" s="167"/>
      <c r="I103" s="167"/>
      <c r="J103" s="780"/>
      <c r="K103" s="1436"/>
      <c r="L103" s="1904"/>
      <c r="M103" s="154"/>
      <c r="N103" s="3236"/>
      <c r="O103" s="2592"/>
      <c r="P103" s="2614"/>
      <c r="Q103" s="2392"/>
      <c r="R103" s="577"/>
      <c r="S103" s="165"/>
      <c r="T103" s="2674"/>
      <c r="U103" s="1404"/>
      <c r="V103" s="1622"/>
      <c r="W103" s="1622"/>
      <c r="X103" s="1622"/>
      <c r="Y103" s="1622"/>
      <c r="Z103" s="1857"/>
      <c r="AA103" s="1903"/>
      <c r="AB103" s="1622"/>
      <c r="AC103" s="1709"/>
      <c r="AD103" s="1416">
        <f t="shared" si="32"/>
        <v>0</v>
      </c>
      <c r="AE103" s="1690"/>
      <c r="AF103" s="1418">
        <f t="shared" si="34"/>
        <v>0</v>
      </c>
      <c r="AG103" s="1624">
        <f t="shared" si="35"/>
        <v>0</v>
      </c>
      <c r="AH103" s="1906"/>
      <c r="AI103" s="1524"/>
      <c r="AJ103" s="1626"/>
      <c r="AK103" s="1525"/>
      <c r="AL103" s="1525"/>
      <c r="AM103" s="1525"/>
      <c r="AN103" s="1525"/>
      <c r="AO103" s="1525"/>
      <c r="AP103" s="1525"/>
      <c r="AQ103" s="1525"/>
      <c r="AR103" s="1525"/>
      <c r="AS103" s="1525"/>
      <c r="AT103" s="1525"/>
      <c r="AU103" s="1518"/>
      <c r="AV103" s="1518"/>
      <c r="AW103" s="1518"/>
      <c r="AX103" s="1518"/>
      <c r="AY103" s="1518"/>
      <c r="AZ103" s="1518"/>
      <c r="BA103" s="1518"/>
      <c r="BB103" s="1518"/>
      <c r="BC103" s="1518"/>
      <c r="BD103" s="1518"/>
      <c r="BE103" s="1518"/>
    </row>
    <row r="104" spans="1:57" s="1350" customFormat="1">
      <c r="A104" s="326">
        <f t="shared" si="36"/>
        <v>14</v>
      </c>
      <c r="B104" s="295"/>
      <c r="C104" s="166"/>
      <c r="D104" s="46"/>
      <c r="E104" s="47"/>
      <c r="F104" s="709"/>
      <c r="G104" s="167"/>
      <c r="H104" s="167"/>
      <c r="I104" s="167"/>
      <c r="J104" s="780"/>
      <c r="K104" s="1436"/>
      <c r="L104" s="1904"/>
      <c r="M104" s="154"/>
      <c r="N104" s="3236"/>
      <c r="O104" s="2592"/>
      <c r="P104" s="2614"/>
      <c r="Q104" s="2392"/>
      <c r="R104" s="577"/>
      <c r="S104" s="165"/>
      <c r="T104" s="2674"/>
      <c r="U104" s="1404"/>
      <c r="V104" s="1622"/>
      <c r="W104" s="1622"/>
      <c r="X104" s="1622"/>
      <c r="Y104" s="1622"/>
      <c r="Z104" s="1857"/>
      <c r="AA104" s="1903"/>
      <c r="AB104" s="1622"/>
      <c r="AC104" s="1709"/>
      <c r="AD104" s="1416">
        <f t="shared" si="32"/>
        <v>0</v>
      </c>
      <c r="AE104" s="1690"/>
      <c r="AF104" s="1418">
        <f t="shared" si="34"/>
        <v>0</v>
      </c>
      <c r="AG104" s="1624">
        <f t="shared" si="35"/>
        <v>0</v>
      </c>
      <c r="AH104" s="1906"/>
      <c r="AI104" s="1524"/>
      <c r="AJ104" s="1626"/>
      <c r="AK104" s="1525"/>
      <c r="AL104" s="1525"/>
      <c r="AM104" s="1525"/>
      <c r="AN104" s="1525"/>
      <c r="AO104" s="1525"/>
      <c r="AP104" s="1525"/>
      <c r="AQ104" s="1525"/>
      <c r="AR104" s="1525"/>
      <c r="AS104" s="1525"/>
      <c r="AT104" s="1525"/>
      <c r="AU104" s="1518"/>
      <c r="AV104" s="1518"/>
      <c r="AW104" s="1518"/>
      <c r="AX104" s="1518"/>
      <c r="AY104" s="1518"/>
      <c r="AZ104" s="1518"/>
      <c r="BA104" s="1518"/>
      <c r="BB104" s="1518"/>
      <c r="BC104" s="1518"/>
      <c r="BD104" s="1518"/>
      <c r="BE104" s="1518"/>
    </row>
    <row r="105" spans="1:57" s="1350" customFormat="1">
      <c r="A105" s="326">
        <f t="shared" si="36"/>
        <v>15</v>
      </c>
      <c r="B105" s="295"/>
      <c r="C105" s="166"/>
      <c r="D105" s="46"/>
      <c r="E105" s="47"/>
      <c r="F105" s="709"/>
      <c r="G105" s="167"/>
      <c r="H105" s="167"/>
      <c r="I105" s="167"/>
      <c r="J105" s="780"/>
      <c r="K105" s="1436"/>
      <c r="L105" s="1904"/>
      <c r="M105" s="154"/>
      <c r="N105" s="707"/>
      <c r="O105" s="2592"/>
      <c r="P105" s="2614"/>
      <c r="Q105" s="2392"/>
      <c r="R105" s="577"/>
      <c r="S105" s="165"/>
      <c r="T105" s="2674"/>
      <c r="U105" s="1404"/>
      <c r="V105" s="1622"/>
      <c r="W105" s="1622"/>
      <c r="X105" s="1622"/>
      <c r="Y105" s="1622"/>
      <c r="Z105" s="1857"/>
      <c r="AA105" s="1903"/>
      <c r="AB105" s="1622"/>
      <c r="AC105" s="1709"/>
      <c r="AD105" s="1416">
        <f t="shared" si="32"/>
        <v>0</v>
      </c>
      <c r="AE105" s="1690"/>
      <c r="AF105" s="1418">
        <f t="shared" si="34"/>
        <v>0</v>
      </c>
      <c r="AG105" s="1624">
        <f t="shared" si="35"/>
        <v>0</v>
      </c>
      <c r="AH105" s="1906"/>
      <c r="AI105" s="1524"/>
      <c r="AJ105" s="1626"/>
      <c r="AK105" s="1525"/>
      <c r="AL105" s="1525"/>
      <c r="AM105" s="1525"/>
      <c r="AN105" s="1525"/>
      <c r="AO105" s="1525"/>
      <c r="AP105" s="1525"/>
      <c r="AQ105" s="1525"/>
      <c r="AR105" s="1525"/>
      <c r="AS105" s="1525"/>
      <c r="AT105" s="1525"/>
      <c r="AU105" s="1518"/>
      <c r="AV105" s="1518"/>
      <c r="AW105" s="1518"/>
      <c r="AX105" s="1518"/>
      <c r="AY105" s="1518"/>
      <c r="AZ105" s="1518"/>
      <c r="BA105" s="1518"/>
      <c r="BB105" s="1518"/>
      <c r="BC105" s="1518"/>
      <c r="BD105" s="1518"/>
      <c r="BE105" s="1518"/>
    </row>
    <row r="106" spans="1:57" s="1350" customFormat="1">
      <c r="A106" s="326">
        <f t="shared" si="36"/>
        <v>16</v>
      </c>
      <c r="B106" s="295"/>
      <c r="C106" s="166"/>
      <c r="D106" s="46"/>
      <c r="E106" s="47"/>
      <c r="F106" s="709"/>
      <c r="G106" s="167"/>
      <c r="H106" s="167"/>
      <c r="I106" s="167"/>
      <c r="J106" s="780"/>
      <c r="K106" s="1436"/>
      <c r="L106" s="1904"/>
      <c r="M106" s="154"/>
      <c r="N106" s="707"/>
      <c r="O106" s="2592"/>
      <c r="P106" s="2614"/>
      <c r="Q106" s="2392"/>
      <c r="R106" s="577"/>
      <c r="S106" s="165"/>
      <c r="T106" s="2674"/>
      <c r="U106" s="1404"/>
      <c r="V106" s="1622"/>
      <c r="W106" s="1622"/>
      <c r="X106" s="1622"/>
      <c r="Y106" s="1622"/>
      <c r="Z106" s="1857"/>
      <c r="AA106" s="1903"/>
      <c r="AB106" s="1622"/>
      <c r="AC106" s="1709"/>
      <c r="AD106" s="1622"/>
      <c r="AE106" s="1690"/>
      <c r="AF106" s="1418">
        <f t="shared" si="34"/>
        <v>0</v>
      </c>
      <c r="AG106" s="1624">
        <f t="shared" si="35"/>
        <v>0</v>
      </c>
      <c r="AH106" s="1906"/>
      <c r="AI106" s="1524"/>
      <c r="AJ106" s="1626"/>
      <c r="AK106" s="1525"/>
      <c r="AL106" s="1525"/>
      <c r="AM106" s="1525"/>
      <c r="AN106" s="1525"/>
      <c r="AO106" s="1525"/>
      <c r="AP106" s="1525"/>
      <c r="AQ106" s="1525"/>
      <c r="AR106" s="1525"/>
      <c r="AS106" s="1525"/>
      <c r="AT106" s="1525"/>
      <c r="AU106" s="1518"/>
      <c r="AV106" s="1518"/>
      <c r="AW106" s="1518"/>
      <c r="AX106" s="1518"/>
      <c r="AY106" s="1518"/>
      <c r="AZ106" s="1518"/>
      <c r="BA106" s="1518"/>
      <c r="BB106" s="1518"/>
      <c r="BC106" s="1518"/>
      <c r="BD106" s="1518"/>
      <c r="BE106" s="1518"/>
    </row>
    <row r="107" spans="1:57" s="1350" customFormat="1">
      <c r="A107" s="326">
        <f t="shared" si="36"/>
        <v>17</v>
      </c>
      <c r="B107" s="295"/>
      <c r="C107" s="166"/>
      <c r="D107" s="46"/>
      <c r="E107" s="47"/>
      <c r="F107" s="709"/>
      <c r="G107" s="167"/>
      <c r="H107" s="167"/>
      <c r="I107" s="167"/>
      <c r="J107" s="780"/>
      <c r="K107" s="1436"/>
      <c r="L107" s="1904"/>
      <c r="M107" s="154"/>
      <c r="N107" s="3236"/>
      <c r="O107" s="2592"/>
      <c r="P107" s="2614"/>
      <c r="Q107" s="2392"/>
      <c r="R107" s="577"/>
      <c r="S107" s="165"/>
      <c r="T107" s="2674"/>
      <c r="U107" s="1404"/>
      <c r="V107" s="1622"/>
      <c r="W107" s="1622"/>
      <c r="X107" s="1622"/>
      <c r="Y107" s="1622"/>
      <c r="Z107" s="1857"/>
      <c r="AA107" s="1903"/>
      <c r="AB107" s="1622"/>
      <c r="AC107" s="1709"/>
      <c r="AD107" s="1622"/>
      <c r="AE107" s="1690"/>
      <c r="AF107" s="1418">
        <f t="shared" si="34"/>
        <v>0</v>
      </c>
      <c r="AG107" s="1624">
        <f t="shared" si="35"/>
        <v>0</v>
      </c>
      <c r="AH107" s="1906"/>
      <c r="AI107" s="1524"/>
      <c r="AJ107" s="1626"/>
      <c r="AK107" s="1525"/>
      <c r="AL107" s="1525"/>
      <c r="AM107" s="1525"/>
      <c r="AN107" s="1525"/>
      <c r="AO107" s="1525"/>
      <c r="AP107" s="1525"/>
      <c r="AQ107" s="1525"/>
      <c r="AR107" s="1525"/>
      <c r="AS107" s="1525"/>
      <c r="AT107" s="1525"/>
      <c r="AU107" s="1518"/>
      <c r="AV107" s="1518"/>
      <c r="AW107" s="1518"/>
      <c r="AX107" s="1518"/>
      <c r="AY107" s="1518"/>
      <c r="AZ107" s="1518"/>
      <c r="BA107" s="1518"/>
      <c r="BB107" s="1518"/>
      <c r="BC107" s="1518"/>
      <c r="BD107" s="1518"/>
      <c r="BE107" s="1518"/>
    </row>
    <row r="108" spans="1:57" s="1350" customFormat="1">
      <c r="A108" s="326">
        <f t="shared" si="36"/>
        <v>18</v>
      </c>
      <c r="B108" s="295"/>
      <c r="C108" s="166"/>
      <c r="D108" s="46"/>
      <c r="E108" s="47"/>
      <c r="F108" s="709"/>
      <c r="G108" s="167"/>
      <c r="H108" s="167"/>
      <c r="I108" s="167"/>
      <c r="J108" s="780"/>
      <c r="K108" s="1436"/>
      <c r="L108" s="1904"/>
      <c r="M108" s="154"/>
      <c r="N108" s="707"/>
      <c r="O108" s="2592"/>
      <c r="P108" s="2614"/>
      <c r="Q108" s="2392"/>
      <c r="R108" s="577"/>
      <c r="S108" s="165"/>
      <c r="T108" s="2674"/>
      <c r="U108" s="1404"/>
      <c r="V108" s="1622"/>
      <c r="W108" s="1622"/>
      <c r="X108" s="1622"/>
      <c r="Y108" s="1622"/>
      <c r="Z108" s="1857"/>
      <c r="AA108" s="1903"/>
      <c r="AB108" s="1622"/>
      <c r="AC108" s="1709"/>
      <c r="AD108" s="1622"/>
      <c r="AE108" s="1690"/>
      <c r="AF108" s="1880"/>
      <c r="AG108" s="1905"/>
      <c r="AH108" s="1906"/>
      <c r="AI108" s="1524"/>
      <c r="AJ108" s="1626"/>
      <c r="AK108" s="1525"/>
      <c r="AL108" s="1525"/>
      <c r="AM108" s="1525"/>
      <c r="AN108" s="1525"/>
      <c r="AO108" s="1525"/>
      <c r="AP108" s="1525"/>
      <c r="AQ108" s="1525"/>
      <c r="AR108" s="1525"/>
      <c r="AS108" s="1525"/>
      <c r="AT108" s="1525"/>
      <c r="AU108" s="1518"/>
      <c r="AV108" s="1518"/>
      <c r="AW108" s="1518"/>
      <c r="AX108" s="1518"/>
      <c r="AY108" s="1518"/>
      <c r="AZ108" s="1518"/>
      <c r="BA108" s="1518"/>
      <c r="BB108" s="1518"/>
      <c r="BC108" s="1518"/>
      <c r="BD108" s="1518"/>
      <c r="BE108" s="1518"/>
    </row>
    <row r="109" spans="1:57" s="1350" customFormat="1">
      <c r="A109" s="326">
        <f t="shared" si="36"/>
        <v>19</v>
      </c>
      <c r="B109" s="295"/>
      <c r="C109" s="166"/>
      <c r="D109" s="46"/>
      <c r="E109" s="47"/>
      <c r="F109" s="709"/>
      <c r="G109" s="167"/>
      <c r="H109" s="167"/>
      <c r="I109" s="167"/>
      <c r="J109" s="780"/>
      <c r="K109" s="1436"/>
      <c r="L109" s="1904"/>
      <c r="M109" s="154"/>
      <c r="N109" s="707"/>
      <c r="O109" s="2592"/>
      <c r="P109" s="2614"/>
      <c r="Q109" s="2392"/>
      <c r="R109" s="577"/>
      <c r="S109" s="165"/>
      <c r="T109" s="2674"/>
      <c r="U109" s="1404"/>
      <c r="V109" s="1622"/>
      <c r="W109" s="1622"/>
      <c r="X109" s="1622"/>
      <c r="Y109" s="1622"/>
      <c r="Z109" s="1857"/>
      <c r="AA109" s="1903"/>
      <c r="AB109" s="1622"/>
      <c r="AC109" s="1709"/>
      <c r="AD109" s="1622"/>
      <c r="AE109" s="1690"/>
      <c r="AF109" s="1880"/>
      <c r="AG109" s="1905"/>
      <c r="AH109" s="1906"/>
      <c r="AI109" s="1524"/>
      <c r="AJ109" s="1626"/>
      <c r="AK109" s="1525"/>
      <c r="AL109" s="1525"/>
      <c r="AM109" s="1525"/>
      <c r="AN109" s="1525"/>
      <c r="AO109" s="1525"/>
      <c r="AP109" s="1525"/>
      <c r="AQ109" s="1525"/>
      <c r="AR109" s="1525"/>
      <c r="AS109" s="1525"/>
      <c r="AT109" s="1525"/>
      <c r="AU109" s="1518"/>
      <c r="AV109" s="1518"/>
      <c r="AW109" s="1518"/>
      <c r="AX109" s="1518"/>
      <c r="AY109" s="1518"/>
      <c r="AZ109" s="1518"/>
      <c r="BA109" s="1518"/>
      <c r="BB109" s="1518"/>
      <c r="BC109" s="1518"/>
      <c r="BD109" s="1518"/>
      <c r="BE109" s="1518"/>
    </row>
    <row r="110" spans="1:57" s="1350" customFormat="1">
      <c r="A110" s="326">
        <f t="shared" si="36"/>
        <v>20</v>
      </c>
      <c r="B110" s="295"/>
      <c r="C110" s="166"/>
      <c r="D110" s="46"/>
      <c r="E110" s="47"/>
      <c r="F110" s="709"/>
      <c r="G110" s="167"/>
      <c r="H110" s="167"/>
      <c r="I110" s="167"/>
      <c r="J110" s="780"/>
      <c r="K110" s="1436"/>
      <c r="L110" s="3524"/>
      <c r="M110" s="154"/>
      <c r="N110" s="707"/>
      <c r="O110" s="2592"/>
      <c r="P110" s="2614"/>
      <c r="Q110" s="2392"/>
      <c r="R110" s="577"/>
      <c r="S110" s="165"/>
      <c r="T110" s="2674"/>
      <c r="U110" s="1404"/>
      <c r="V110" s="1622"/>
      <c r="W110" s="1622"/>
      <c r="X110" s="1622"/>
      <c r="Y110" s="1622"/>
      <c r="Z110" s="1857"/>
      <c r="AA110" s="1903"/>
      <c r="AB110" s="1622"/>
      <c r="AC110" s="1709"/>
      <c r="AD110" s="1622"/>
      <c r="AE110" s="1690"/>
      <c r="AF110" s="1880"/>
      <c r="AG110" s="1905"/>
      <c r="AH110" s="1906"/>
      <c r="AI110" s="1524"/>
      <c r="AJ110" s="1626"/>
      <c r="AK110" s="1525"/>
      <c r="AL110" s="1525"/>
      <c r="AM110" s="1525"/>
      <c r="AN110" s="1525"/>
      <c r="AO110" s="1525"/>
      <c r="AP110" s="1525"/>
      <c r="AQ110" s="1525"/>
      <c r="AR110" s="1525"/>
      <c r="AS110" s="1525"/>
      <c r="AT110" s="1525"/>
      <c r="AU110" s="1518"/>
      <c r="AV110" s="1518"/>
      <c r="AW110" s="1518"/>
      <c r="AX110" s="1518"/>
      <c r="AY110" s="1518"/>
      <c r="AZ110" s="1518"/>
      <c r="BA110" s="1518"/>
      <c r="BB110" s="1518"/>
      <c r="BC110" s="1518"/>
      <c r="BD110" s="1518"/>
      <c r="BE110" s="1518"/>
    </row>
    <row r="111" spans="1:57" s="1350" customFormat="1">
      <c r="A111" s="326">
        <f t="shared" si="36"/>
        <v>21</v>
      </c>
      <c r="B111" s="295"/>
      <c r="C111" s="166"/>
      <c r="D111" s="46"/>
      <c r="E111" s="47"/>
      <c r="F111" s="709"/>
      <c r="G111" s="167"/>
      <c r="H111" s="167"/>
      <c r="I111" s="167"/>
      <c r="J111" s="780"/>
      <c r="K111" s="1436"/>
      <c r="L111" s="1904"/>
      <c r="M111" s="154"/>
      <c r="N111" s="707"/>
      <c r="O111" s="2592"/>
      <c r="P111" s="2614"/>
      <c r="Q111" s="2392"/>
      <c r="R111" s="577"/>
      <c r="S111" s="165"/>
      <c r="T111" s="2674"/>
      <c r="U111" s="1404"/>
      <c r="V111" s="1622"/>
      <c r="W111" s="1622"/>
      <c r="X111" s="1622"/>
      <c r="Y111" s="1622"/>
      <c r="Z111" s="1857"/>
      <c r="AA111" s="1903"/>
      <c r="AB111" s="1622"/>
      <c r="AC111" s="1709"/>
      <c r="AD111" s="1622"/>
      <c r="AE111" s="1690"/>
      <c r="AF111" s="1880"/>
      <c r="AG111" s="1905"/>
      <c r="AH111" s="1906"/>
      <c r="AI111" s="1524"/>
      <c r="AJ111" s="1626"/>
      <c r="AK111" s="1525"/>
      <c r="AL111" s="1525"/>
      <c r="AM111" s="1525"/>
      <c r="AN111" s="1525"/>
      <c r="AO111" s="1525"/>
      <c r="AP111" s="1525"/>
      <c r="AQ111" s="1525"/>
      <c r="AR111" s="1525"/>
      <c r="AS111" s="1525"/>
      <c r="AT111" s="1525"/>
      <c r="AU111" s="1518"/>
      <c r="AV111" s="1518"/>
      <c r="AW111" s="1518"/>
      <c r="AX111" s="1518"/>
      <c r="AY111" s="1518"/>
      <c r="AZ111" s="1518"/>
      <c r="BA111" s="1518"/>
      <c r="BB111" s="1518"/>
      <c r="BC111" s="1518"/>
      <c r="BD111" s="1518"/>
      <c r="BE111" s="1518"/>
    </row>
    <row r="112" spans="1:57" s="1350" customFormat="1">
      <c r="A112" s="326">
        <f t="shared" si="36"/>
        <v>22</v>
      </c>
      <c r="B112" s="295"/>
      <c r="C112" s="166"/>
      <c r="D112" s="46"/>
      <c r="E112" s="47"/>
      <c r="F112" s="709"/>
      <c r="G112" s="167"/>
      <c r="H112" s="167"/>
      <c r="I112" s="167"/>
      <c r="J112" s="780"/>
      <c r="K112" s="1436"/>
      <c r="L112" s="1904"/>
      <c r="M112" s="154"/>
      <c r="N112" s="707"/>
      <c r="O112" s="2592"/>
      <c r="P112" s="2614"/>
      <c r="Q112" s="2392"/>
      <c r="R112" s="577"/>
      <c r="S112" s="165"/>
      <c r="T112" s="2674"/>
      <c r="U112" s="1404"/>
      <c r="V112" s="1622"/>
      <c r="W112" s="1622"/>
      <c r="X112" s="1622"/>
      <c r="Y112" s="1622"/>
      <c r="Z112" s="1857"/>
      <c r="AA112" s="1903"/>
      <c r="AB112" s="1622"/>
      <c r="AC112" s="1709"/>
      <c r="AD112" s="1622"/>
      <c r="AE112" s="1690"/>
      <c r="AF112" s="1880"/>
      <c r="AG112" s="1905"/>
      <c r="AH112" s="1906"/>
      <c r="AI112" s="1524"/>
      <c r="AJ112" s="1626"/>
      <c r="AK112" s="1525"/>
      <c r="AL112" s="1525"/>
      <c r="AM112" s="1525"/>
      <c r="AN112" s="1525"/>
      <c r="AO112" s="1525"/>
      <c r="AP112" s="1525"/>
      <c r="AQ112" s="1525"/>
      <c r="AR112" s="1525"/>
      <c r="AS112" s="1525"/>
      <c r="AT112" s="1525"/>
      <c r="AU112" s="1518"/>
      <c r="AV112" s="1518"/>
      <c r="AW112" s="1518"/>
      <c r="AX112" s="1518"/>
      <c r="AY112" s="1518"/>
      <c r="AZ112" s="1518"/>
      <c r="BA112" s="1518"/>
      <c r="BB112" s="1518"/>
      <c r="BC112" s="1518"/>
      <c r="BD112" s="1518"/>
      <c r="BE112" s="1518"/>
    </row>
    <row r="113" spans="1:57" s="1350" customFormat="1">
      <c r="A113" s="326">
        <f t="shared" si="36"/>
        <v>23</v>
      </c>
      <c r="B113" s="295"/>
      <c r="C113" s="166"/>
      <c r="D113" s="46"/>
      <c r="E113" s="47"/>
      <c r="F113" s="709"/>
      <c r="G113" s="167"/>
      <c r="H113" s="167"/>
      <c r="I113" s="167"/>
      <c r="J113" s="780"/>
      <c r="K113" s="1436"/>
      <c r="L113" s="1904"/>
      <c r="M113" s="154"/>
      <c r="N113" s="707"/>
      <c r="O113" s="2592"/>
      <c r="P113" s="2614"/>
      <c r="Q113" s="2392"/>
      <c r="R113" s="577"/>
      <c r="S113" s="165"/>
      <c r="T113" s="2674"/>
      <c r="U113" s="1404"/>
      <c r="V113" s="1622"/>
      <c r="W113" s="1622"/>
      <c r="X113" s="1622"/>
      <c r="Y113" s="1622"/>
      <c r="Z113" s="1857"/>
      <c r="AA113" s="1903"/>
      <c r="AB113" s="1622"/>
      <c r="AC113" s="1709"/>
      <c r="AD113" s="1622"/>
      <c r="AE113" s="1690"/>
      <c r="AF113" s="1880"/>
      <c r="AG113" s="1905"/>
      <c r="AH113" s="1906"/>
      <c r="AI113" s="1524"/>
      <c r="AJ113" s="1626"/>
      <c r="AK113" s="1525"/>
      <c r="AL113" s="1525"/>
      <c r="AM113" s="1525"/>
      <c r="AN113" s="1525"/>
      <c r="AO113" s="1525"/>
      <c r="AP113" s="1525"/>
      <c r="AQ113" s="1525"/>
      <c r="AR113" s="1525"/>
      <c r="AS113" s="1525"/>
      <c r="AT113" s="1525"/>
      <c r="AU113" s="1518"/>
      <c r="AV113" s="1518"/>
      <c r="AW113" s="1518"/>
      <c r="AX113" s="1518"/>
      <c r="AY113" s="1518"/>
      <c r="AZ113" s="1518"/>
      <c r="BA113" s="1518"/>
      <c r="BB113" s="1518"/>
      <c r="BC113" s="1518"/>
      <c r="BD113" s="1518"/>
      <c r="BE113" s="1518"/>
    </row>
    <row r="114" spans="1:57" s="1350" customFormat="1">
      <c r="A114" s="326">
        <f t="shared" si="36"/>
        <v>24</v>
      </c>
      <c r="B114" s="295"/>
      <c r="C114" s="166"/>
      <c r="D114" s="46"/>
      <c r="E114" s="47"/>
      <c r="F114" s="709"/>
      <c r="G114" s="167"/>
      <c r="H114" s="167"/>
      <c r="I114" s="167"/>
      <c r="J114" s="780"/>
      <c r="K114" s="1436"/>
      <c r="L114" s="1904"/>
      <c r="M114" s="154"/>
      <c r="N114" s="707"/>
      <c r="O114" s="2592"/>
      <c r="P114" s="2614"/>
      <c r="Q114" s="2392"/>
      <c r="R114" s="577"/>
      <c r="S114" s="165"/>
      <c r="T114" s="2674"/>
      <c r="U114" s="1404"/>
      <c r="V114" s="1622"/>
      <c r="W114" s="1622"/>
      <c r="X114" s="1622"/>
      <c r="Y114" s="1622"/>
      <c r="Z114" s="1857"/>
      <c r="AA114" s="1903"/>
      <c r="AB114" s="1622"/>
      <c r="AC114" s="1709"/>
      <c r="AD114" s="1622"/>
      <c r="AE114" s="1690"/>
      <c r="AF114" s="1880"/>
      <c r="AG114" s="1905"/>
      <c r="AH114" s="1906"/>
      <c r="AI114" s="1524"/>
      <c r="AJ114" s="1626"/>
      <c r="AK114" s="1525"/>
      <c r="AL114" s="1525"/>
      <c r="AM114" s="1525"/>
      <c r="AN114" s="1525"/>
      <c r="AO114" s="1525"/>
      <c r="AP114" s="1525"/>
      <c r="AQ114" s="1525"/>
      <c r="AR114" s="1525"/>
      <c r="AS114" s="1525"/>
      <c r="AT114" s="1525"/>
      <c r="AU114" s="1518"/>
      <c r="AV114" s="1518"/>
      <c r="AW114" s="1518"/>
      <c r="AX114" s="1518"/>
      <c r="AY114" s="1518"/>
      <c r="AZ114" s="1518"/>
      <c r="BA114" s="1518"/>
      <c r="BB114" s="1518"/>
      <c r="BC114" s="1518"/>
      <c r="BD114" s="1518"/>
      <c r="BE114" s="1518"/>
    </row>
    <row r="115" spans="1:57" s="1350" customFormat="1">
      <c r="A115" s="326">
        <f t="shared" si="36"/>
        <v>25</v>
      </c>
      <c r="B115" s="295"/>
      <c r="C115" s="166"/>
      <c r="D115" s="46"/>
      <c r="E115" s="47"/>
      <c r="F115" s="709"/>
      <c r="G115" s="167"/>
      <c r="H115" s="167"/>
      <c r="I115" s="167"/>
      <c r="J115" s="780"/>
      <c r="K115" s="1436"/>
      <c r="L115" s="1904"/>
      <c r="M115" s="154"/>
      <c r="N115" s="707"/>
      <c r="O115" s="2592"/>
      <c r="P115" s="2614"/>
      <c r="Q115" s="2392"/>
      <c r="R115" s="577"/>
      <c r="S115" s="165"/>
      <c r="T115" s="2674"/>
      <c r="U115" s="1404"/>
      <c r="V115" s="1622"/>
      <c r="W115" s="1622"/>
      <c r="X115" s="1622"/>
      <c r="Y115" s="1622"/>
      <c r="Z115" s="1857"/>
      <c r="AA115" s="1903"/>
      <c r="AB115" s="1622"/>
      <c r="AC115" s="1709"/>
      <c r="AD115" s="1622"/>
      <c r="AE115" s="1690"/>
      <c r="AF115" s="1880"/>
      <c r="AG115" s="1905"/>
      <c r="AH115" s="1906"/>
      <c r="AI115" s="1524"/>
      <c r="AJ115" s="1626"/>
      <c r="AK115" s="1525"/>
      <c r="AL115" s="1525"/>
      <c r="AM115" s="1525"/>
      <c r="AN115" s="1525"/>
      <c r="AO115" s="1525"/>
      <c r="AP115" s="1525"/>
      <c r="AQ115" s="1525"/>
      <c r="AR115" s="1525"/>
      <c r="AS115" s="1525"/>
      <c r="AT115" s="1525"/>
      <c r="AU115" s="1518"/>
      <c r="AV115" s="1518"/>
      <c r="AW115" s="1518"/>
      <c r="AX115" s="1518"/>
      <c r="AY115" s="1518"/>
      <c r="AZ115" s="1518"/>
      <c r="BA115" s="1518"/>
      <c r="BB115" s="1518"/>
      <c r="BC115" s="1518"/>
      <c r="BD115" s="1518"/>
      <c r="BE115" s="1518"/>
    </row>
    <row r="116" spans="1:57" s="1350" customFormat="1">
      <c r="A116" s="326">
        <f t="shared" si="36"/>
        <v>26</v>
      </c>
      <c r="B116" s="295"/>
      <c r="C116" s="166"/>
      <c r="D116" s="46"/>
      <c r="E116" s="47"/>
      <c r="F116" s="709"/>
      <c r="G116" s="167"/>
      <c r="H116" s="167"/>
      <c r="I116" s="167"/>
      <c r="J116" s="780"/>
      <c r="K116" s="1436"/>
      <c r="L116" s="1904"/>
      <c r="M116" s="154"/>
      <c r="N116" s="707"/>
      <c r="O116" s="2592"/>
      <c r="P116" s="2614"/>
      <c r="Q116" s="2392"/>
      <c r="R116" s="577"/>
      <c r="S116" s="165"/>
      <c r="T116" s="2674"/>
      <c r="U116" s="1404"/>
      <c r="V116" s="1622"/>
      <c r="W116" s="1622"/>
      <c r="X116" s="1622"/>
      <c r="Y116" s="1622"/>
      <c r="Z116" s="1857"/>
      <c r="AA116" s="1903"/>
      <c r="AB116" s="1622"/>
      <c r="AC116" s="1709"/>
      <c r="AD116" s="1622"/>
      <c r="AE116" s="1690"/>
      <c r="AF116" s="1880"/>
      <c r="AG116" s="1905"/>
      <c r="AH116" s="1906"/>
      <c r="AI116" s="1524"/>
      <c r="AJ116" s="1626"/>
      <c r="AK116" s="1525"/>
      <c r="AL116" s="1525"/>
      <c r="AM116" s="1525"/>
      <c r="AN116" s="1525"/>
      <c r="AO116" s="1525"/>
      <c r="AP116" s="1525"/>
      <c r="AQ116" s="1525"/>
      <c r="AR116" s="1525"/>
      <c r="AS116" s="1525"/>
      <c r="AT116" s="1525"/>
      <c r="AU116" s="1518"/>
      <c r="AV116" s="1518"/>
      <c r="AW116" s="1518"/>
      <c r="AX116" s="1518"/>
      <c r="AY116" s="1518"/>
      <c r="AZ116" s="1518"/>
      <c r="BA116" s="1518"/>
      <c r="BB116" s="1518"/>
      <c r="BC116" s="1518"/>
      <c r="BD116" s="1518"/>
      <c r="BE116" s="1518"/>
    </row>
    <row r="117" spans="1:57" s="1350" customFormat="1">
      <c r="A117" s="326">
        <f t="shared" si="36"/>
        <v>27</v>
      </c>
      <c r="B117" s="295"/>
      <c r="C117" s="166"/>
      <c r="D117" s="46"/>
      <c r="E117" s="47"/>
      <c r="F117" s="709"/>
      <c r="G117" s="167"/>
      <c r="H117" s="167"/>
      <c r="I117" s="167"/>
      <c r="J117" s="780"/>
      <c r="K117" s="1436"/>
      <c r="L117" s="1904"/>
      <c r="M117" s="154"/>
      <c r="N117" s="707"/>
      <c r="O117" s="2592"/>
      <c r="P117" s="2614"/>
      <c r="Q117" s="2392"/>
      <c r="R117" s="577"/>
      <c r="S117" s="165"/>
      <c r="T117" s="2674"/>
      <c r="U117" s="1404"/>
      <c r="V117" s="1622"/>
      <c r="W117" s="1622"/>
      <c r="X117" s="1622"/>
      <c r="Y117" s="1622"/>
      <c r="Z117" s="1857"/>
      <c r="AA117" s="1903"/>
      <c r="AB117" s="1622"/>
      <c r="AC117" s="1709"/>
      <c r="AD117" s="1622"/>
      <c r="AE117" s="1690"/>
      <c r="AF117" s="1880"/>
      <c r="AG117" s="1905"/>
      <c r="AH117" s="1906"/>
      <c r="AI117" s="1524"/>
      <c r="AJ117" s="1626"/>
      <c r="AK117" s="1525"/>
      <c r="AL117" s="1525"/>
      <c r="AM117" s="1525"/>
      <c r="AN117" s="1525"/>
      <c r="AO117" s="1525"/>
      <c r="AP117" s="1525"/>
      <c r="AQ117" s="1525"/>
      <c r="AR117" s="1525"/>
      <c r="AS117" s="1525"/>
      <c r="AT117" s="1525"/>
      <c r="AU117" s="1518"/>
      <c r="AV117" s="1518"/>
      <c r="AW117" s="1518"/>
      <c r="AX117" s="1518"/>
      <c r="AY117" s="1518"/>
      <c r="AZ117" s="1518"/>
      <c r="BA117" s="1518"/>
      <c r="BB117" s="1518"/>
      <c r="BC117" s="1518"/>
      <c r="BD117" s="1518"/>
      <c r="BE117" s="1518"/>
    </row>
    <row r="118" spans="1:57" s="1350" customFormat="1">
      <c r="A118" s="326">
        <f t="shared" si="36"/>
        <v>28</v>
      </c>
      <c r="B118" s="295"/>
      <c r="C118" s="166"/>
      <c r="D118" s="46"/>
      <c r="E118" s="47"/>
      <c r="F118" s="709"/>
      <c r="G118" s="167"/>
      <c r="H118" s="167"/>
      <c r="I118" s="167"/>
      <c r="J118" s="780"/>
      <c r="K118" s="1436"/>
      <c r="L118" s="1904"/>
      <c r="M118" s="154"/>
      <c r="N118" s="707"/>
      <c r="O118" s="2592"/>
      <c r="P118" s="2614"/>
      <c r="Q118" s="2392"/>
      <c r="R118" s="577"/>
      <c r="S118" s="165"/>
      <c r="T118" s="2674"/>
      <c r="U118" s="1404"/>
      <c r="V118" s="1622"/>
      <c r="W118" s="1622"/>
      <c r="X118" s="1622"/>
      <c r="Y118" s="1622"/>
      <c r="Z118" s="1857"/>
      <c r="AA118" s="1903"/>
      <c r="AB118" s="1622"/>
      <c r="AC118" s="1709"/>
      <c r="AD118" s="1622"/>
      <c r="AE118" s="1690"/>
      <c r="AF118" s="1880"/>
      <c r="AG118" s="1905"/>
      <c r="AH118" s="1906"/>
      <c r="AI118" s="1524"/>
      <c r="AJ118" s="1626"/>
      <c r="AK118" s="1525"/>
      <c r="AL118" s="1525"/>
      <c r="AM118" s="1525"/>
      <c r="AN118" s="1525"/>
      <c r="AO118" s="1525"/>
      <c r="AP118" s="1525"/>
      <c r="AQ118" s="1525"/>
      <c r="AR118" s="1525"/>
      <c r="AS118" s="1525"/>
      <c r="AT118" s="1525"/>
      <c r="AU118" s="1518"/>
      <c r="AV118" s="1518"/>
      <c r="AW118" s="1518"/>
      <c r="AX118" s="1518"/>
      <c r="AY118" s="1518"/>
      <c r="AZ118" s="1518"/>
      <c r="BA118" s="1518"/>
      <c r="BB118" s="1518"/>
      <c r="BC118" s="1518"/>
      <c r="BD118" s="1518"/>
      <c r="BE118" s="1518"/>
    </row>
    <row r="119" spans="1:57" s="1350" customFormat="1">
      <c r="A119" s="326">
        <f t="shared" si="36"/>
        <v>29</v>
      </c>
      <c r="B119" s="295"/>
      <c r="C119" s="166"/>
      <c r="D119" s="46"/>
      <c r="E119" s="47"/>
      <c r="F119" s="709"/>
      <c r="G119" s="167"/>
      <c r="H119" s="167"/>
      <c r="I119" s="167"/>
      <c r="J119" s="780"/>
      <c r="K119" s="1436"/>
      <c r="L119" s="1904"/>
      <c r="M119" s="154"/>
      <c r="N119" s="707"/>
      <c r="O119" s="2592"/>
      <c r="P119" s="2614"/>
      <c r="Q119" s="2392"/>
      <c r="R119" s="577"/>
      <c r="S119" s="165"/>
      <c r="T119" s="2674"/>
      <c r="U119" s="1404"/>
      <c r="V119" s="1622"/>
      <c r="W119" s="1622"/>
      <c r="X119" s="1622"/>
      <c r="Y119" s="1622"/>
      <c r="Z119" s="1857"/>
      <c r="AA119" s="1903"/>
      <c r="AB119" s="1622"/>
      <c r="AC119" s="1709"/>
      <c r="AD119" s="1622"/>
      <c r="AE119" s="1690"/>
      <c r="AF119" s="1880"/>
      <c r="AG119" s="1905"/>
      <c r="AH119" s="1906"/>
      <c r="AI119" s="1524"/>
      <c r="AJ119" s="1626"/>
      <c r="AK119" s="1525"/>
      <c r="AL119" s="1525"/>
      <c r="AM119" s="1525"/>
      <c r="AN119" s="1525"/>
      <c r="AO119" s="1525"/>
      <c r="AP119" s="1525"/>
      <c r="AQ119" s="1525"/>
      <c r="AR119" s="1525"/>
      <c r="AS119" s="1525"/>
      <c r="AT119" s="1525"/>
      <c r="AU119" s="1518"/>
      <c r="AV119" s="1518"/>
      <c r="AW119" s="1518"/>
      <c r="AX119" s="1518"/>
      <c r="AY119" s="1518"/>
      <c r="AZ119" s="1518"/>
      <c r="BA119" s="1518"/>
      <c r="BB119" s="1518"/>
      <c r="BC119" s="1518"/>
      <c r="BD119" s="1518"/>
      <c r="BE119" s="1518"/>
    </row>
    <row r="120" spans="1:57" s="1350" customFormat="1">
      <c r="A120" s="326">
        <f t="shared" si="36"/>
        <v>30</v>
      </c>
      <c r="B120" s="295"/>
      <c r="C120" s="166"/>
      <c r="D120" s="46"/>
      <c r="E120" s="47"/>
      <c r="F120" s="709"/>
      <c r="G120" s="167"/>
      <c r="H120" s="167"/>
      <c r="I120" s="167"/>
      <c r="J120" s="780"/>
      <c r="K120" s="1436"/>
      <c r="L120" s="1904"/>
      <c r="M120" s="154"/>
      <c r="N120" s="707"/>
      <c r="O120" s="2592"/>
      <c r="P120" s="2614"/>
      <c r="Q120" s="2392"/>
      <c r="R120" s="577"/>
      <c r="S120" s="165"/>
      <c r="T120" s="2674"/>
      <c r="U120" s="1404"/>
      <c r="V120" s="1622"/>
      <c r="W120" s="1622"/>
      <c r="X120" s="1622"/>
      <c r="Y120" s="1622"/>
      <c r="Z120" s="1857"/>
      <c r="AA120" s="1903"/>
      <c r="AB120" s="1622"/>
      <c r="AC120" s="1709"/>
      <c r="AD120" s="1622"/>
      <c r="AE120" s="1690"/>
      <c r="AF120" s="1880"/>
      <c r="AG120" s="1905"/>
      <c r="AH120" s="1906"/>
      <c r="AI120" s="1524"/>
      <c r="AJ120" s="1626"/>
      <c r="AK120" s="1525"/>
      <c r="AL120" s="1525"/>
      <c r="AM120" s="1525"/>
      <c r="AN120" s="1525"/>
      <c r="AO120" s="1525"/>
      <c r="AP120" s="1525"/>
      <c r="AQ120" s="1525"/>
      <c r="AR120" s="1525"/>
      <c r="AS120" s="1525"/>
      <c r="AT120" s="1525"/>
      <c r="AU120" s="1518"/>
      <c r="AV120" s="1518"/>
      <c r="AW120" s="1518"/>
      <c r="AX120" s="1518"/>
      <c r="AY120" s="1518"/>
      <c r="AZ120" s="1518"/>
      <c r="BA120" s="1518"/>
      <c r="BB120" s="1518"/>
      <c r="BC120" s="1518"/>
      <c r="BD120" s="1518"/>
      <c r="BE120" s="1518"/>
    </row>
    <row r="121" spans="1:57" s="1350" customFormat="1">
      <c r="A121" s="326">
        <f t="shared" si="36"/>
        <v>31</v>
      </c>
      <c r="B121" s="295"/>
      <c r="C121" s="166"/>
      <c r="D121" s="46"/>
      <c r="E121" s="47"/>
      <c r="F121" s="709"/>
      <c r="G121" s="167"/>
      <c r="H121" s="167"/>
      <c r="I121" s="167"/>
      <c r="J121" s="780"/>
      <c r="K121" s="1436"/>
      <c r="L121" s="1904"/>
      <c r="M121" s="154"/>
      <c r="N121" s="707"/>
      <c r="O121" s="2592"/>
      <c r="P121" s="2614"/>
      <c r="Q121" s="2392"/>
      <c r="R121" s="577"/>
      <c r="S121" s="165"/>
      <c r="T121" s="2674"/>
      <c r="U121" s="1404"/>
      <c r="V121" s="1622"/>
      <c r="W121" s="1622"/>
      <c r="X121" s="1622"/>
      <c r="Y121" s="1622"/>
      <c r="Z121" s="1857"/>
      <c r="AA121" s="1903"/>
      <c r="AB121" s="1622"/>
      <c r="AC121" s="1709"/>
      <c r="AD121" s="1622"/>
      <c r="AE121" s="1690"/>
      <c r="AF121" s="1880"/>
      <c r="AG121" s="1905"/>
      <c r="AH121" s="1906"/>
      <c r="AI121" s="1524"/>
      <c r="AJ121" s="1626"/>
      <c r="AK121" s="1525"/>
      <c r="AL121" s="1525"/>
      <c r="AM121" s="1525"/>
      <c r="AN121" s="1525"/>
      <c r="AO121" s="1525"/>
      <c r="AP121" s="1525"/>
      <c r="AQ121" s="1525"/>
      <c r="AR121" s="1525"/>
      <c r="AS121" s="1525"/>
      <c r="AT121" s="1525"/>
      <c r="AU121" s="1518"/>
      <c r="AV121" s="1518"/>
      <c r="AW121" s="1518"/>
      <c r="AX121" s="1518"/>
      <c r="AY121" s="1518"/>
      <c r="AZ121" s="1518"/>
      <c r="BA121" s="1518"/>
      <c r="BB121" s="1518"/>
      <c r="BC121" s="1518"/>
      <c r="BD121" s="1518"/>
      <c r="BE121" s="1518"/>
    </row>
    <row r="122" spans="1:57" s="1350" customFormat="1">
      <c r="A122" s="326">
        <f t="shared" si="36"/>
        <v>32</v>
      </c>
      <c r="B122" s="295"/>
      <c r="C122" s="166"/>
      <c r="D122" s="46"/>
      <c r="E122" s="47"/>
      <c r="F122" s="709"/>
      <c r="G122" s="167"/>
      <c r="H122" s="167"/>
      <c r="I122" s="167"/>
      <c r="J122" s="780"/>
      <c r="K122" s="1436"/>
      <c r="L122" s="1904"/>
      <c r="M122" s="154"/>
      <c r="N122" s="707"/>
      <c r="O122" s="2592"/>
      <c r="P122" s="2614"/>
      <c r="Q122" s="2392"/>
      <c r="R122" s="577"/>
      <c r="S122" s="165"/>
      <c r="T122" s="2674"/>
      <c r="U122" s="1404"/>
      <c r="V122" s="1622"/>
      <c r="W122" s="1622"/>
      <c r="X122" s="1622"/>
      <c r="Y122" s="1622"/>
      <c r="Z122" s="1857"/>
      <c r="AA122" s="1903"/>
      <c r="AB122" s="1622"/>
      <c r="AC122" s="1709"/>
      <c r="AD122" s="1622"/>
      <c r="AE122" s="1690"/>
      <c r="AF122" s="1880"/>
      <c r="AG122" s="1905"/>
      <c r="AH122" s="1906"/>
      <c r="AI122" s="1524"/>
      <c r="AJ122" s="1626"/>
      <c r="AK122" s="1525"/>
      <c r="AL122" s="1525"/>
      <c r="AM122" s="1525"/>
      <c r="AN122" s="1525"/>
      <c r="AO122" s="1525"/>
      <c r="AP122" s="1525"/>
      <c r="AQ122" s="1525"/>
      <c r="AR122" s="1525"/>
      <c r="AS122" s="1525"/>
      <c r="AT122" s="1525"/>
      <c r="AU122" s="1518"/>
      <c r="AV122" s="1518"/>
      <c r="AW122" s="1518"/>
      <c r="AX122" s="1518"/>
      <c r="AY122" s="1518"/>
      <c r="AZ122" s="1518"/>
      <c r="BA122" s="1518"/>
      <c r="BB122" s="1518"/>
      <c r="BC122" s="1518"/>
      <c r="BD122" s="1518"/>
      <c r="BE122" s="1518"/>
    </row>
    <row r="123" spans="1:57" s="1350" customFormat="1">
      <c r="A123" s="326">
        <f t="shared" si="36"/>
        <v>33</v>
      </c>
      <c r="B123" s="295"/>
      <c r="C123" s="166"/>
      <c r="D123" s="46"/>
      <c r="E123" s="47"/>
      <c r="F123" s="709"/>
      <c r="G123" s="167"/>
      <c r="H123" s="167"/>
      <c r="I123" s="167"/>
      <c r="J123" s="780"/>
      <c r="K123" s="1436"/>
      <c r="L123" s="1904"/>
      <c r="M123" s="154"/>
      <c r="N123" s="707"/>
      <c r="O123" s="2592"/>
      <c r="P123" s="2614"/>
      <c r="Q123" s="2392"/>
      <c r="R123" s="577"/>
      <c r="S123" s="165"/>
      <c r="T123" s="2674"/>
      <c r="U123" s="1404"/>
      <c r="V123" s="1622"/>
      <c r="W123" s="1622"/>
      <c r="X123" s="1622"/>
      <c r="Y123" s="1622"/>
      <c r="Z123" s="1857"/>
      <c r="AA123" s="1903"/>
      <c r="AB123" s="1622"/>
      <c r="AC123" s="1709"/>
      <c r="AD123" s="1622"/>
      <c r="AE123" s="1690"/>
      <c r="AF123" s="1880"/>
      <c r="AG123" s="1905"/>
      <c r="AH123" s="1906"/>
      <c r="AI123" s="1524"/>
      <c r="AJ123" s="1626"/>
      <c r="AK123" s="1525"/>
      <c r="AL123" s="1525"/>
      <c r="AM123" s="1525"/>
      <c r="AN123" s="1525"/>
      <c r="AO123" s="1525"/>
      <c r="AP123" s="1525"/>
      <c r="AQ123" s="1525"/>
      <c r="AR123" s="1525"/>
      <c r="AS123" s="1525"/>
      <c r="AT123" s="1525"/>
      <c r="AU123" s="1518"/>
      <c r="AV123" s="1518"/>
      <c r="AW123" s="1518"/>
      <c r="AX123" s="1518"/>
      <c r="AY123" s="1518"/>
      <c r="AZ123" s="1518"/>
      <c r="BA123" s="1518"/>
      <c r="BB123" s="1518"/>
      <c r="BC123" s="1518"/>
      <c r="BD123" s="1518"/>
      <c r="BE123" s="1518"/>
    </row>
    <row r="124" spans="1:57" s="1350" customFormat="1">
      <c r="A124" s="326">
        <f t="shared" si="36"/>
        <v>34</v>
      </c>
      <c r="B124" s="295"/>
      <c r="C124" s="166"/>
      <c r="D124" s="46"/>
      <c r="E124" s="47"/>
      <c r="F124" s="709"/>
      <c r="G124" s="167"/>
      <c r="H124" s="167"/>
      <c r="I124" s="167"/>
      <c r="J124" s="780"/>
      <c r="K124" s="1436"/>
      <c r="L124" s="1904"/>
      <c r="M124" s="154"/>
      <c r="N124" s="707"/>
      <c r="O124" s="2592"/>
      <c r="P124" s="2614"/>
      <c r="Q124" s="2392"/>
      <c r="R124" s="577"/>
      <c r="S124" s="165"/>
      <c r="T124" s="2674"/>
      <c r="U124" s="1404"/>
      <c r="V124" s="1622"/>
      <c r="W124" s="1622"/>
      <c r="X124" s="1622"/>
      <c r="Y124" s="1622"/>
      <c r="Z124" s="1857"/>
      <c r="AA124" s="1903"/>
      <c r="AB124" s="1622"/>
      <c r="AC124" s="1709"/>
      <c r="AD124" s="1622"/>
      <c r="AE124" s="1690"/>
      <c r="AF124" s="1880"/>
      <c r="AG124" s="1905"/>
      <c r="AH124" s="1906"/>
      <c r="AI124" s="1524"/>
      <c r="AJ124" s="1626"/>
      <c r="AK124" s="1525"/>
      <c r="AL124" s="1525"/>
      <c r="AM124" s="1525"/>
      <c r="AN124" s="1525"/>
      <c r="AO124" s="1525"/>
      <c r="AP124" s="1525"/>
      <c r="AQ124" s="1525"/>
      <c r="AR124" s="1525"/>
      <c r="AS124" s="1525"/>
      <c r="AT124" s="1525"/>
      <c r="AU124" s="1518"/>
      <c r="AV124" s="1518"/>
      <c r="AW124" s="1518"/>
      <c r="AX124" s="1518"/>
      <c r="AY124" s="1518"/>
      <c r="AZ124" s="1518"/>
      <c r="BA124" s="1518"/>
      <c r="BB124" s="1518"/>
      <c r="BC124" s="1518"/>
      <c r="BD124" s="1518"/>
      <c r="BE124" s="1518"/>
    </row>
    <row r="125" spans="1:57" s="1350" customFormat="1">
      <c r="A125" s="326">
        <f t="shared" si="36"/>
        <v>35</v>
      </c>
      <c r="B125" s="295"/>
      <c r="C125" s="166"/>
      <c r="D125" s="46"/>
      <c r="E125" s="47"/>
      <c r="F125" s="709"/>
      <c r="G125" s="167"/>
      <c r="H125" s="167"/>
      <c r="I125" s="167"/>
      <c r="J125" s="780"/>
      <c r="K125" s="1436"/>
      <c r="L125" s="1904"/>
      <c r="M125" s="154"/>
      <c r="N125" s="707"/>
      <c r="O125" s="2592"/>
      <c r="P125" s="2614"/>
      <c r="Q125" s="2392"/>
      <c r="R125" s="577"/>
      <c r="S125" s="165"/>
      <c r="T125" s="2674"/>
      <c r="U125" s="1404"/>
      <c r="V125" s="1622"/>
      <c r="W125" s="1622"/>
      <c r="X125" s="1622"/>
      <c r="Y125" s="1622"/>
      <c r="Z125" s="1857"/>
      <c r="AA125" s="1903"/>
      <c r="AB125" s="1622"/>
      <c r="AC125" s="1709"/>
      <c r="AD125" s="1622"/>
      <c r="AE125" s="1690"/>
      <c r="AF125" s="1880"/>
      <c r="AG125" s="1905"/>
      <c r="AH125" s="1906"/>
      <c r="AI125" s="1524"/>
      <c r="AJ125" s="1626"/>
      <c r="AK125" s="1525"/>
      <c r="AL125" s="1525"/>
      <c r="AM125" s="1525"/>
      <c r="AN125" s="1525"/>
      <c r="AO125" s="1525"/>
      <c r="AP125" s="1525"/>
      <c r="AQ125" s="1525"/>
      <c r="AR125" s="1525"/>
      <c r="AS125" s="1525"/>
      <c r="AT125" s="1525"/>
      <c r="AU125" s="1518"/>
      <c r="AV125" s="1518"/>
      <c r="AW125" s="1518"/>
      <c r="AX125" s="1518"/>
      <c r="AY125" s="1518"/>
      <c r="AZ125" s="1518"/>
      <c r="BA125" s="1518"/>
      <c r="BB125" s="1518"/>
      <c r="BC125" s="1518"/>
      <c r="BD125" s="1518"/>
      <c r="BE125" s="1518"/>
    </row>
    <row r="126" spans="1:57" s="1350" customFormat="1">
      <c r="A126" s="326">
        <f t="shared" si="36"/>
        <v>36</v>
      </c>
      <c r="B126" s="295"/>
      <c r="C126" s="166"/>
      <c r="D126" s="46"/>
      <c r="E126" s="47"/>
      <c r="F126" s="709"/>
      <c r="G126" s="167"/>
      <c r="H126" s="167"/>
      <c r="I126" s="167"/>
      <c r="J126" s="780"/>
      <c r="K126" s="1436"/>
      <c r="L126" s="1904"/>
      <c r="M126" s="154"/>
      <c r="N126" s="707"/>
      <c r="O126" s="2592"/>
      <c r="P126" s="2614"/>
      <c r="Q126" s="2392"/>
      <c r="R126" s="577"/>
      <c r="S126" s="165"/>
      <c r="T126" s="2674"/>
      <c r="U126" s="1404"/>
      <c r="V126" s="1622"/>
      <c r="W126" s="1622"/>
      <c r="X126" s="1622"/>
      <c r="Y126" s="1622"/>
      <c r="Z126" s="1857"/>
      <c r="AA126" s="1903"/>
      <c r="AB126" s="1622"/>
      <c r="AC126" s="1709"/>
      <c r="AD126" s="1622"/>
      <c r="AE126" s="1690"/>
      <c r="AF126" s="1880"/>
      <c r="AG126" s="1905"/>
      <c r="AH126" s="1906"/>
      <c r="AI126" s="1524"/>
      <c r="AJ126" s="1626"/>
      <c r="AK126" s="1525"/>
      <c r="AL126" s="1525"/>
      <c r="AM126" s="1525"/>
      <c r="AN126" s="1525"/>
      <c r="AO126" s="1525"/>
      <c r="AP126" s="1525"/>
      <c r="AQ126" s="1525"/>
      <c r="AR126" s="1525"/>
      <c r="AS126" s="1525"/>
      <c r="AT126" s="1525"/>
      <c r="AU126" s="1518"/>
      <c r="AV126" s="1518"/>
      <c r="AW126" s="1518"/>
      <c r="AX126" s="1518"/>
      <c r="AY126" s="1518"/>
      <c r="AZ126" s="1518"/>
      <c r="BA126" s="1518"/>
      <c r="BB126" s="1518"/>
      <c r="BC126" s="1518"/>
      <c r="BD126" s="1518"/>
      <c r="BE126" s="1518"/>
    </row>
    <row r="127" spans="1:57" s="1350" customFormat="1">
      <c r="A127" s="326">
        <f t="shared" si="36"/>
        <v>37</v>
      </c>
      <c r="B127" s="295"/>
      <c r="C127" s="166"/>
      <c r="D127" s="46"/>
      <c r="E127" s="47"/>
      <c r="F127" s="709"/>
      <c r="G127" s="167"/>
      <c r="H127" s="167"/>
      <c r="I127" s="167"/>
      <c r="J127" s="780"/>
      <c r="K127" s="1436"/>
      <c r="L127" s="1904"/>
      <c r="M127" s="154"/>
      <c r="N127" s="707"/>
      <c r="O127" s="2592"/>
      <c r="P127" s="2614"/>
      <c r="Q127" s="2392"/>
      <c r="R127" s="577"/>
      <c r="S127" s="165"/>
      <c r="T127" s="2674"/>
      <c r="U127" s="1404"/>
      <c r="V127" s="1622"/>
      <c r="W127" s="1622"/>
      <c r="X127" s="1622"/>
      <c r="Y127" s="1622"/>
      <c r="Z127" s="1857"/>
      <c r="AA127" s="1903"/>
      <c r="AB127" s="1622"/>
      <c r="AC127" s="1709"/>
      <c r="AD127" s="1622"/>
      <c r="AE127" s="1690"/>
      <c r="AF127" s="1880"/>
      <c r="AG127" s="1905"/>
      <c r="AH127" s="1906"/>
      <c r="AI127" s="1524"/>
      <c r="AJ127" s="1626"/>
      <c r="AK127" s="1525"/>
      <c r="AL127" s="1525"/>
      <c r="AM127" s="1525"/>
      <c r="AN127" s="1525"/>
      <c r="AO127" s="1525"/>
      <c r="AP127" s="1525"/>
      <c r="AQ127" s="1525"/>
      <c r="AR127" s="1525"/>
      <c r="AS127" s="1525"/>
      <c r="AT127" s="1525"/>
      <c r="AU127" s="1518"/>
      <c r="AV127" s="1518"/>
      <c r="AW127" s="1518"/>
      <c r="AX127" s="1518"/>
      <c r="AY127" s="1518"/>
      <c r="AZ127" s="1518"/>
      <c r="BA127" s="1518"/>
      <c r="BB127" s="1518"/>
      <c r="BC127" s="1518"/>
      <c r="BD127" s="1518"/>
      <c r="BE127" s="1518"/>
    </row>
    <row r="128" spans="1:57" s="1350" customFormat="1">
      <c r="A128" s="326">
        <f t="shared" si="36"/>
        <v>38</v>
      </c>
      <c r="B128" s="295"/>
      <c r="C128" s="166"/>
      <c r="D128" s="46"/>
      <c r="E128" s="47"/>
      <c r="F128" s="709"/>
      <c r="G128" s="167"/>
      <c r="H128" s="167"/>
      <c r="I128" s="167"/>
      <c r="J128" s="780"/>
      <c r="K128" s="1436"/>
      <c r="L128" s="1904"/>
      <c r="M128" s="154"/>
      <c r="N128" s="707"/>
      <c r="O128" s="2592"/>
      <c r="P128" s="2614"/>
      <c r="Q128" s="2392"/>
      <c r="R128" s="577"/>
      <c r="S128" s="165"/>
      <c r="T128" s="2674"/>
      <c r="U128" s="1404"/>
      <c r="V128" s="1622"/>
      <c r="W128" s="1622"/>
      <c r="X128" s="1622"/>
      <c r="Y128" s="1622"/>
      <c r="Z128" s="1857"/>
      <c r="AA128" s="1903"/>
      <c r="AB128" s="1622"/>
      <c r="AC128" s="1709"/>
      <c r="AD128" s="1622"/>
      <c r="AE128" s="1690"/>
      <c r="AF128" s="1880"/>
      <c r="AG128" s="1905"/>
      <c r="AH128" s="1906"/>
      <c r="AI128" s="1524"/>
      <c r="AJ128" s="1626"/>
      <c r="AK128" s="1525"/>
      <c r="AL128" s="1525"/>
      <c r="AM128" s="1525"/>
      <c r="AN128" s="1525"/>
      <c r="AO128" s="1525"/>
      <c r="AP128" s="1525"/>
      <c r="AQ128" s="1525"/>
      <c r="AR128" s="1525"/>
      <c r="AS128" s="1525"/>
      <c r="AT128" s="1525"/>
      <c r="AU128" s="1518"/>
      <c r="AV128" s="1518"/>
      <c r="AW128" s="1518"/>
      <c r="AX128" s="1518"/>
      <c r="AY128" s="1518"/>
      <c r="AZ128" s="1518"/>
      <c r="BA128" s="1518"/>
      <c r="BB128" s="1518"/>
      <c r="BC128" s="1518"/>
      <c r="BD128" s="1518"/>
      <c r="BE128" s="1518"/>
    </row>
    <row r="129" spans="1:57" s="1350" customFormat="1">
      <c r="A129" s="326">
        <f t="shared" si="36"/>
        <v>39</v>
      </c>
      <c r="B129" s="295"/>
      <c r="C129" s="166"/>
      <c r="D129" s="46"/>
      <c r="E129" s="47"/>
      <c r="F129" s="709"/>
      <c r="G129" s="167"/>
      <c r="H129" s="167"/>
      <c r="I129" s="167"/>
      <c r="J129" s="780"/>
      <c r="K129" s="1436"/>
      <c r="L129" s="1904"/>
      <c r="M129" s="154"/>
      <c r="N129" s="707"/>
      <c r="O129" s="2592"/>
      <c r="P129" s="2614"/>
      <c r="Q129" s="2392"/>
      <c r="R129" s="577"/>
      <c r="S129" s="165"/>
      <c r="T129" s="2674"/>
      <c r="U129" s="1404"/>
      <c r="V129" s="1622"/>
      <c r="W129" s="1622"/>
      <c r="X129" s="1622"/>
      <c r="Y129" s="1622"/>
      <c r="Z129" s="1857"/>
      <c r="AA129" s="1903"/>
      <c r="AB129" s="1622"/>
      <c r="AC129" s="1709"/>
      <c r="AD129" s="1622"/>
      <c r="AE129" s="1690"/>
      <c r="AF129" s="1880"/>
      <c r="AG129" s="1905"/>
      <c r="AH129" s="1906"/>
      <c r="AI129" s="1524"/>
      <c r="AJ129" s="1626"/>
      <c r="AK129" s="1525"/>
      <c r="AL129" s="1525"/>
      <c r="AM129" s="1525"/>
      <c r="AN129" s="1525"/>
      <c r="AO129" s="1525"/>
      <c r="AP129" s="1525"/>
      <c r="AQ129" s="1525"/>
      <c r="AR129" s="1525"/>
      <c r="AS129" s="1525"/>
      <c r="AT129" s="1525"/>
      <c r="AU129" s="1518"/>
      <c r="AV129" s="1518"/>
      <c r="AW129" s="1518"/>
      <c r="AX129" s="1518"/>
      <c r="AY129" s="1518"/>
      <c r="AZ129" s="1518"/>
      <c r="BA129" s="1518"/>
      <c r="BB129" s="1518"/>
      <c r="BC129" s="1518"/>
      <c r="BD129" s="1518"/>
      <c r="BE129" s="1518"/>
    </row>
    <row r="130" spans="1:57" s="1350" customFormat="1">
      <c r="A130" s="326">
        <f t="shared" si="36"/>
        <v>40</v>
      </c>
      <c r="B130" s="295"/>
      <c r="C130" s="166"/>
      <c r="D130" s="46"/>
      <c r="E130" s="47"/>
      <c r="F130" s="709"/>
      <c r="G130" s="167"/>
      <c r="H130" s="167"/>
      <c r="I130" s="167"/>
      <c r="J130" s="780"/>
      <c r="K130" s="1436"/>
      <c r="L130" s="1904"/>
      <c r="M130" s="154"/>
      <c r="N130" s="707"/>
      <c r="O130" s="2592"/>
      <c r="P130" s="2614"/>
      <c r="Q130" s="2392"/>
      <c r="R130" s="577"/>
      <c r="S130" s="165"/>
      <c r="T130" s="2674"/>
      <c r="U130" s="1404"/>
      <c r="V130" s="1622"/>
      <c r="W130" s="1622"/>
      <c r="X130" s="1622"/>
      <c r="Y130" s="1622"/>
      <c r="Z130" s="1857"/>
      <c r="AA130" s="1903"/>
      <c r="AB130" s="1622"/>
      <c r="AC130" s="1709"/>
      <c r="AD130" s="1622"/>
      <c r="AE130" s="1690"/>
      <c r="AF130" s="1880"/>
      <c r="AG130" s="1905"/>
      <c r="AH130" s="1906"/>
      <c r="AI130" s="1524"/>
      <c r="AJ130" s="1626"/>
      <c r="AK130" s="1525"/>
      <c r="AL130" s="1525"/>
      <c r="AM130" s="1525"/>
      <c r="AN130" s="1525"/>
      <c r="AO130" s="1525"/>
      <c r="AP130" s="1525"/>
      <c r="AQ130" s="1525"/>
      <c r="AR130" s="1525"/>
      <c r="AS130" s="1525"/>
      <c r="AT130" s="1525"/>
      <c r="AU130" s="1518"/>
      <c r="AV130" s="1518"/>
      <c r="AW130" s="1518"/>
      <c r="AX130" s="1518"/>
      <c r="AY130" s="1518"/>
      <c r="AZ130" s="1518"/>
      <c r="BA130" s="1518"/>
      <c r="BB130" s="1518"/>
      <c r="BC130" s="1518"/>
      <c r="BD130" s="1518"/>
      <c r="BE130" s="1518"/>
    </row>
    <row r="131" spans="1:57" s="1350" customFormat="1">
      <c r="A131" s="326">
        <f t="shared" si="36"/>
        <v>41</v>
      </c>
      <c r="B131" s="295"/>
      <c r="C131" s="166"/>
      <c r="D131" s="46"/>
      <c r="E131" s="47"/>
      <c r="F131" s="709"/>
      <c r="G131" s="167"/>
      <c r="H131" s="167"/>
      <c r="I131" s="167"/>
      <c r="J131" s="780"/>
      <c r="K131" s="1436"/>
      <c r="L131" s="1904"/>
      <c r="M131" s="154"/>
      <c r="N131" s="707"/>
      <c r="O131" s="2592"/>
      <c r="P131" s="2614"/>
      <c r="Q131" s="2392"/>
      <c r="R131" s="577"/>
      <c r="S131" s="165"/>
      <c r="T131" s="2674"/>
      <c r="U131" s="1404"/>
      <c r="V131" s="1622"/>
      <c r="W131" s="1622"/>
      <c r="X131" s="1622"/>
      <c r="Y131" s="1622"/>
      <c r="Z131" s="1857"/>
      <c r="AA131" s="1903"/>
      <c r="AB131" s="1622"/>
      <c r="AC131" s="1709"/>
      <c r="AD131" s="1622"/>
      <c r="AE131" s="1690"/>
      <c r="AF131" s="1880"/>
      <c r="AG131" s="1905"/>
      <c r="AH131" s="1906"/>
      <c r="AI131" s="1524"/>
      <c r="AJ131" s="1626"/>
      <c r="AK131" s="1525"/>
      <c r="AL131" s="1525"/>
      <c r="AM131" s="1525"/>
      <c r="AN131" s="1525"/>
      <c r="AO131" s="1525"/>
      <c r="AP131" s="1525"/>
      <c r="AQ131" s="1525"/>
      <c r="AR131" s="1525"/>
      <c r="AS131" s="1525"/>
      <c r="AT131" s="1525"/>
      <c r="AU131" s="1518"/>
      <c r="AV131" s="1518"/>
      <c r="AW131" s="1518"/>
      <c r="AX131" s="1518"/>
      <c r="AY131" s="1518"/>
      <c r="AZ131" s="1518"/>
      <c r="BA131" s="1518"/>
      <c r="BB131" s="1518"/>
      <c r="BC131" s="1518"/>
      <c r="BD131" s="1518"/>
      <c r="BE131" s="1518"/>
    </row>
    <row r="132" spans="1:57" s="1350" customFormat="1">
      <c r="A132" s="326">
        <f t="shared" si="36"/>
        <v>42</v>
      </c>
      <c r="B132" s="295"/>
      <c r="C132" s="166"/>
      <c r="D132" s="46"/>
      <c r="E132" s="47"/>
      <c r="F132" s="709"/>
      <c r="G132" s="167"/>
      <c r="H132" s="167"/>
      <c r="I132" s="167"/>
      <c r="J132" s="780"/>
      <c r="K132" s="1436"/>
      <c r="L132" s="1904"/>
      <c r="M132" s="154"/>
      <c r="N132" s="707"/>
      <c r="O132" s="2592"/>
      <c r="P132" s="2614"/>
      <c r="Q132" s="2392"/>
      <c r="R132" s="577"/>
      <c r="S132" s="165"/>
      <c r="T132" s="2674"/>
      <c r="U132" s="1404"/>
      <c r="V132" s="1622"/>
      <c r="W132" s="1622"/>
      <c r="X132" s="1622"/>
      <c r="Y132" s="1622"/>
      <c r="Z132" s="1857"/>
      <c r="AA132" s="1903"/>
      <c r="AB132" s="1622"/>
      <c r="AC132" s="1709"/>
      <c r="AD132" s="1622"/>
      <c r="AE132" s="1690"/>
      <c r="AF132" s="1880"/>
      <c r="AG132" s="1905"/>
      <c r="AH132" s="1906"/>
      <c r="AI132" s="1524"/>
      <c r="AJ132" s="1626"/>
      <c r="AK132" s="1525"/>
      <c r="AL132" s="1525"/>
      <c r="AM132" s="1525"/>
      <c r="AN132" s="1525"/>
      <c r="AO132" s="1525"/>
      <c r="AP132" s="1525"/>
      <c r="AQ132" s="1525"/>
      <c r="AR132" s="1525"/>
      <c r="AS132" s="1525"/>
      <c r="AT132" s="1525"/>
      <c r="AU132" s="1518"/>
      <c r="AV132" s="1518"/>
      <c r="AW132" s="1518"/>
      <c r="AX132" s="1518"/>
      <c r="AY132" s="1518"/>
      <c r="AZ132" s="1518"/>
      <c r="BA132" s="1518"/>
      <c r="BB132" s="1518"/>
      <c r="BC132" s="1518"/>
      <c r="BD132" s="1518"/>
      <c r="BE132" s="1518"/>
    </row>
    <row r="133" spans="1:57" s="1350" customFormat="1">
      <c r="A133" s="326">
        <f t="shared" si="36"/>
        <v>43</v>
      </c>
      <c r="B133" s="295"/>
      <c r="C133" s="166"/>
      <c r="D133" s="46"/>
      <c r="E133" s="47"/>
      <c r="F133" s="709"/>
      <c r="G133" s="167"/>
      <c r="H133" s="167"/>
      <c r="I133" s="167"/>
      <c r="J133" s="780"/>
      <c r="K133" s="1436"/>
      <c r="L133" s="1904"/>
      <c r="M133" s="154"/>
      <c r="N133" s="707"/>
      <c r="O133" s="2592"/>
      <c r="P133" s="2614"/>
      <c r="Q133" s="2392"/>
      <c r="R133" s="577"/>
      <c r="S133" s="165"/>
      <c r="T133" s="2674"/>
      <c r="U133" s="1404"/>
      <c r="V133" s="1622"/>
      <c r="W133" s="1622"/>
      <c r="X133" s="1622"/>
      <c r="Y133" s="1622"/>
      <c r="Z133" s="1857"/>
      <c r="AA133" s="1903"/>
      <c r="AB133" s="1622"/>
      <c r="AC133" s="1709"/>
      <c r="AD133" s="1622"/>
      <c r="AE133" s="1690"/>
      <c r="AF133" s="1880"/>
      <c r="AG133" s="1905"/>
      <c r="AH133" s="1906"/>
      <c r="AI133" s="1524"/>
      <c r="AJ133" s="1626"/>
      <c r="AK133" s="1525"/>
      <c r="AL133" s="1525"/>
      <c r="AM133" s="1525"/>
      <c r="AN133" s="1525"/>
      <c r="AO133" s="1525"/>
      <c r="AP133" s="1525"/>
      <c r="AQ133" s="1525"/>
      <c r="AR133" s="1525"/>
      <c r="AS133" s="1525"/>
      <c r="AT133" s="1525"/>
      <c r="AU133" s="1518"/>
      <c r="AV133" s="1518"/>
      <c r="AW133" s="1518"/>
      <c r="AX133" s="1518"/>
      <c r="AY133" s="1518"/>
      <c r="AZ133" s="1518"/>
      <c r="BA133" s="1518"/>
      <c r="BB133" s="1518"/>
      <c r="BC133" s="1518"/>
      <c r="BD133" s="1518"/>
      <c r="BE133" s="1518"/>
    </row>
    <row r="134" spans="1:57" s="1350" customFormat="1">
      <c r="A134" s="326">
        <f t="shared" si="36"/>
        <v>44</v>
      </c>
      <c r="B134" s="295"/>
      <c r="C134" s="166"/>
      <c r="D134" s="46"/>
      <c r="E134" s="47"/>
      <c r="F134" s="709"/>
      <c r="G134" s="167"/>
      <c r="H134" s="167"/>
      <c r="I134" s="167"/>
      <c r="J134" s="1297"/>
      <c r="K134" s="1665"/>
      <c r="L134" s="1907"/>
      <c r="M134" s="154"/>
      <c r="N134" s="707"/>
      <c r="O134" s="2592"/>
      <c r="P134" s="2614"/>
      <c r="Q134" s="2392"/>
      <c r="R134" s="577"/>
      <c r="S134" s="165"/>
      <c r="T134" s="2674"/>
      <c r="U134" s="1404"/>
      <c r="V134" s="1709"/>
      <c r="W134" s="1709"/>
      <c r="X134" s="1709"/>
      <c r="Y134" s="1709"/>
      <c r="Z134" s="1903"/>
      <c r="AA134" s="1903"/>
      <c r="AB134" s="1709"/>
      <c r="AC134" s="1709"/>
      <c r="AD134" s="1709"/>
      <c r="AE134" s="1908"/>
      <c r="AF134" s="1909"/>
      <c r="AG134" s="1910"/>
      <c r="AH134" s="1906"/>
      <c r="AI134" s="1524"/>
      <c r="AJ134" s="1626"/>
      <c r="AK134" s="1525"/>
      <c r="AL134" s="1525"/>
      <c r="AM134" s="1525"/>
      <c r="AN134" s="1525"/>
      <c r="AO134" s="1525"/>
      <c r="AP134" s="1525"/>
      <c r="AQ134" s="1525"/>
      <c r="AR134" s="1525"/>
      <c r="AS134" s="1525"/>
      <c r="AT134" s="1525"/>
      <c r="AU134" s="1518"/>
      <c r="AV134" s="1518"/>
      <c r="AW134" s="1518"/>
      <c r="AX134" s="1518"/>
      <c r="AY134" s="1518"/>
      <c r="AZ134" s="1518"/>
      <c r="BA134" s="1518"/>
      <c r="BB134" s="1518"/>
      <c r="BC134" s="1518"/>
      <c r="BD134" s="1518"/>
      <c r="BE134" s="1518"/>
    </row>
    <row r="135" spans="1:57" s="1350" customFormat="1">
      <c r="A135" s="1301">
        <f t="shared" si="36"/>
        <v>45</v>
      </c>
      <c r="B135" s="1356"/>
      <c r="C135" s="166"/>
      <c r="D135" s="46"/>
      <c r="E135" s="47"/>
      <c r="F135" s="709"/>
      <c r="G135" s="1321"/>
      <c r="H135" s="1321"/>
      <c r="I135" s="1321"/>
      <c r="J135" s="1371"/>
      <c r="K135" s="1436"/>
      <c r="L135" s="1904"/>
      <c r="M135" s="154"/>
      <c r="N135" s="707"/>
      <c r="O135" s="2592"/>
      <c r="P135" s="2614"/>
      <c r="Q135" s="2392"/>
      <c r="R135" s="577"/>
      <c r="S135" s="165"/>
      <c r="T135" s="2674"/>
      <c r="U135" s="1404"/>
      <c r="V135" s="1709"/>
      <c r="W135" s="1709"/>
      <c r="X135" s="1709"/>
      <c r="Y135" s="1709"/>
      <c r="Z135" s="1903"/>
      <c r="AA135" s="1903"/>
      <c r="AB135" s="1709"/>
      <c r="AC135" s="1709"/>
      <c r="AD135" s="1709"/>
      <c r="AE135" s="1908"/>
      <c r="AF135" s="1909"/>
      <c r="AG135" s="1910"/>
      <c r="AH135" s="1906"/>
      <c r="AI135" s="1524"/>
      <c r="AJ135" s="1626"/>
      <c r="AK135" s="1525"/>
      <c r="AL135" s="1525"/>
      <c r="AM135" s="1525"/>
      <c r="AN135" s="1525"/>
      <c r="AO135" s="1525"/>
      <c r="AP135" s="1525"/>
      <c r="AQ135" s="1525"/>
      <c r="AR135" s="1525"/>
      <c r="AS135" s="1525"/>
      <c r="AT135" s="1525"/>
      <c r="AU135" s="1518"/>
      <c r="AV135" s="1518"/>
      <c r="AW135" s="1518"/>
      <c r="AX135" s="1518"/>
      <c r="AY135" s="1518"/>
      <c r="AZ135" s="1518"/>
      <c r="BA135" s="1518"/>
      <c r="BB135" s="1518"/>
      <c r="BC135" s="1518"/>
      <c r="BD135" s="1518"/>
      <c r="BE135" s="1518"/>
    </row>
    <row r="136" spans="1:57" s="1350" customFormat="1">
      <c r="A136" s="1"/>
      <c r="B136" s="6"/>
      <c r="C136" s="4"/>
      <c r="D136" s="3"/>
      <c r="E136" s="4"/>
      <c r="F136" s="4"/>
      <c r="G136" s="1"/>
      <c r="H136" s="6"/>
      <c r="I136" s="6"/>
      <c r="J136" s="11"/>
      <c r="K136" s="510"/>
      <c r="L136" s="11"/>
      <c r="M136" s="5"/>
      <c r="N136" s="5"/>
      <c r="O136" s="2606"/>
      <c r="P136" s="2608"/>
      <c r="Q136" s="5"/>
      <c r="R136" s="5"/>
      <c r="S136" s="1"/>
      <c r="T136" s="1"/>
      <c r="U136" s="6"/>
      <c r="V136" s="1877"/>
      <c r="W136" s="1877"/>
      <c r="X136" s="1877"/>
      <c r="Y136" s="1877"/>
      <c r="Z136" s="1878"/>
      <c r="AA136" s="1878"/>
      <c r="AB136" s="1877"/>
      <c r="AC136" s="1877"/>
      <c r="AD136" s="1877"/>
      <c r="AE136" s="1911"/>
      <c r="AF136" s="1912"/>
      <c r="AG136" s="1881"/>
      <c r="AH136" s="1913"/>
      <c r="AI136" s="1518"/>
      <c r="AJ136" s="1897"/>
      <c r="AK136" s="1518"/>
      <c r="AL136" s="1518"/>
      <c r="AM136" s="1518"/>
      <c r="AN136" s="1518"/>
      <c r="AO136" s="1518"/>
      <c r="AP136" s="1518"/>
      <c r="AQ136" s="1518"/>
      <c r="AR136" s="1518"/>
      <c r="AS136" s="1518"/>
      <c r="AT136" s="1518"/>
      <c r="AU136" s="1518"/>
      <c r="AV136" s="1518"/>
      <c r="AW136" s="1518"/>
      <c r="AX136" s="1518"/>
      <c r="AY136" s="1518"/>
      <c r="AZ136" s="1518"/>
      <c r="BA136" s="1518"/>
      <c r="BB136" s="1518"/>
      <c r="BC136" s="1518"/>
      <c r="BD136" s="1518"/>
      <c r="BE136" s="1518"/>
    </row>
    <row r="137" spans="1:57" s="1350" customFormat="1">
      <c r="A137" s="1"/>
      <c r="B137" s="6"/>
      <c r="C137" s="4"/>
      <c r="D137" s="3"/>
      <c r="E137" s="4"/>
      <c r="F137" s="4"/>
      <c r="G137" s="1"/>
      <c r="H137" s="6"/>
      <c r="I137" s="6"/>
      <c r="J137" s="11"/>
      <c r="K137" s="510"/>
      <c r="L137" s="11"/>
      <c r="M137" s="5"/>
      <c r="N137" s="5"/>
      <c r="O137" s="2606"/>
      <c r="P137" s="2608"/>
      <c r="Q137" s="5"/>
      <c r="R137" s="5"/>
      <c r="S137" s="1"/>
      <c r="T137" s="1"/>
      <c r="U137" s="6"/>
      <c r="V137" s="1877"/>
      <c r="W137" s="1877"/>
      <c r="X137" s="1877"/>
      <c r="Y137" s="1877"/>
      <c r="Z137" s="1878"/>
      <c r="AA137" s="1878"/>
      <c r="AB137" s="1877"/>
      <c r="AC137" s="1877"/>
      <c r="AD137" s="1877"/>
      <c r="AE137" s="1911"/>
      <c r="AF137" s="1912"/>
      <c r="AG137" s="1881"/>
      <c r="AH137" s="1913"/>
      <c r="AI137" s="1518"/>
      <c r="AJ137" s="1897"/>
      <c r="AK137" s="1518"/>
      <c r="AL137" s="1518"/>
      <c r="AM137" s="1518"/>
      <c r="AN137" s="1518"/>
      <c r="AO137" s="1518"/>
      <c r="AP137" s="1518"/>
      <c r="AQ137" s="1518"/>
      <c r="AR137" s="1518"/>
      <c r="AS137" s="1518"/>
      <c r="AT137" s="1518"/>
      <c r="AU137" s="1518"/>
      <c r="AV137" s="1518"/>
      <c r="AW137" s="1518"/>
      <c r="AX137" s="1518"/>
      <c r="AY137" s="1518"/>
      <c r="AZ137" s="1518"/>
      <c r="BA137" s="1518"/>
      <c r="BB137" s="1518"/>
      <c r="BC137" s="1518"/>
      <c r="BD137" s="1518"/>
      <c r="BE137" s="1518"/>
    </row>
    <row r="138" spans="1:57" s="1350" customFormat="1">
      <c r="A138" s="1"/>
      <c r="B138" s="6"/>
      <c r="C138" s="4"/>
      <c r="D138" s="3"/>
      <c r="E138" s="4"/>
      <c r="F138" s="4"/>
      <c r="G138" s="1"/>
      <c r="H138" s="6"/>
      <c r="I138" s="6"/>
      <c r="J138" s="11"/>
      <c r="K138" s="510"/>
      <c r="L138" s="11"/>
      <c r="M138" s="5"/>
      <c r="N138" s="5"/>
      <c r="O138" s="2606"/>
      <c r="P138" s="2608"/>
      <c r="Q138" s="5"/>
      <c r="R138" s="5"/>
      <c r="S138" s="1"/>
      <c r="T138" s="1"/>
      <c r="U138" s="6"/>
      <c r="V138" s="1877"/>
      <c r="W138" s="1877"/>
      <c r="X138" s="1877"/>
      <c r="Y138" s="1877"/>
      <c r="Z138" s="1878"/>
      <c r="AA138" s="1878"/>
      <c r="AB138" s="1877"/>
      <c r="AC138" s="1877"/>
      <c r="AD138" s="1877"/>
      <c r="AE138" s="1911"/>
      <c r="AF138" s="1912"/>
      <c r="AG138" s="1881"/>
      <c r="AH138" s="1913"/>
      <c r="AI138" s="1518"/>
      <c r="AJ138" s="1897"/>
      <c r="AK138" s="1518"/>
      <c r="AL138" s="1518"/>
      <c r="AM138" s="1518"/>
      <c r="AN138" s="1518"/>
      <c r="AO138" s="1518"/>
      <c r="AP138" s="1518"/>
      <c r="AQ138" s="1518"/>
      <c r="AR138" s="1518"/>
      <c r="AS138" s="1518"/>
      <c r="AT138" s="1518"/>
      <c r="AU138" s="1518"/>
      <c r="AV138" s="1518"/>
      <c r="AW138" s="1518"/>
      <c r="AX138" s="1518"/>
      <c r="AY138" s="1518"/>
      <c r="AZ138" s="1518"/>
      <c r="BA138" s="1518"/>
      <c r="BB138" s="1518"/>
      <c r="BC138" s="1518"/>
      <c r="BD138" s="1518"/>
      <c r="BE138" s="1518"/>
    </row>
    <row r="139" spans="1:57" s="1350" customFormat="1">
      <c r="A139" s="1"/>
      <c r="B139" s="6"/>
      <c r="C139" s="4"/>
      <c r="D139" s="3"/>
      <c r="E139" s="4"/>
      <c r="F139" s="4"/>
      <c r="G139" s="1"/>
      <c r="H139" s="6"/>
      <c r="I139" s="6"/>
      <c r="J139" s="11"/>
      <c r="K139" s="510"/>
      <c r="L139" s="11"/>
      <c r="M139" s="5"/>
      <c r="N139" s="5"/>
      <c r="O139" s="2606"/>
      <c r="P139" s="2608"/>
      <c r="Q139" s="5"/>
      <c r="R139" s="5"/>
      <c r="S139" s="1"/>
      <c r="T139" s="1"/>
      <c r="U139" s="6"/>
      <c r="V139" s="1877"/>
      <c r="W139" s="1877"/>
      <c r="X139" s="1877"/>
      <c r="Y139" s="1877"/>
      <c r="Z139" s="1878"/>
      <c r="AA139" s="1878"/>
      <c r="AB139" s="1877"/>
      <c r="AC139" s="1877"/>
      <c r="AD139" s="1877"/>
      <c r="AE139" s="1911"/>
      <c r="AF139" s="1912"/>
      <c r="AG139" s="1881"/>
      <c r="AH139" s="1913"/>
      <c r="AI139" s="1518"/>
      <c r="AJ139" s="1897"/>
      <c r="AK139" s="1518"/>
      <c r="AL139" s="1518"/>
      <c r="AM139" s="1518"/>
      <c r="AN139" s="1518"/>
      <c r="AO139" s="1518"/>
      <c r="AP139" s="1518"/>
      <c r="AQ139" s="1518"/>
      <c r="AR139" s="1518"/>
      <c r="AS139" s="1518"/>
      <c r="AT139" s="1518"/>
      <c r="AU139" s="1518"/>
      <c r="AV139" s="1518"/>
      <c r="AW139" s="1518"/>
      <c r="AX139" s="1518"/>
      <c r="AY139" s="1518"/>
      <c r="AZ139" s="1518"/>
      <c r="BA139" s="1518"/>
      <c r="BB139" s="1518"/>
      <c r="BC139" s="1518"/>
      <c r="BD139" s="1518"/>
      <c r="BE139" s="1518"/>
    </row>
    <row r="140" spans="1:57" s="1350" customFormat="1">
      <c r="A140" s="1"/>
      <c r="B140" s="6"/>
      <c r="C140" s="4"/>
      <c r="D140" s="3"/>
      <c r="E140" s="4"/>
      <c r="F140" s="4"/>
      <c r="G140" s="1"/>
      <c r="H140" s="6"/>
      <c r="I140" s="6"/>
      <c r="J140" s="11"/>
      <c r="K140" s="510"/>
      <c r="L140" s="11"/>
      <c r="M140" s="5"/>
      <c r="N140" s="5"/>
      <c r="O140" s="2606"/>
      <c r="P140" s="2608"/>
      <c r="Q140" s="5"/>
      <c r="R140" s="5"/>
      <c r="S140" s="1"/>
      <c r="T140" s="1"/>
      <c r="U140" s="6"/>
      <c r="V140" s="1877"/>
      <c r="W140" s="1877"/>
      <c r="X140" s="1877"/>
      <c r="Y140" s="1877"/>
      <c r="Z140" s="1878"/>
      <c r="AA140" s="1878"/>
      <c r="AB140" s="1877"/>
      <c r="AC140" s="1877"/>
      <c r="AD140" s="1877"/>
      <c r="AE140" s="1911"/>
      <c r="AF140" s="1912"/>
      <c r="AG140" s="1881"/>
      <c r="AH140" s="1913"/>
      <c r="AI140" s="1518"/>
      <c r="AJ140" s="1897"/>
      <c r="AK140" s="1518"/>
      <c r="AL140" s="1518"/>
      <c r="AM140" s="1518"/>
      <c r="AN140" s="1518"/>
      <c r="AO140" s="1518"/>
      <c r="AP140" s="1518"/>
      <c r="AQ140" s="1518"/>
      <c r="AR140" s="1518"/>
      <c r="AS140" s="1518"/>
      <c r="AT140" s="1518"/>
      <c r="AU140" s="1518"/>
      <c r="AV140" s="1518"/>
      <c r="AW140" s="1518"/>
      <c r="AX140" s="1518"/>
      <c r="AY140" s="1518"/>
      <c r="AZ140" s="1518"/>
      <c r="BA140" s="1518"/>
      <c r="BB140" s="1518"/>
      <c r="BC140" s="1518"/>
      <c r="BD140" s="1518"/>
      <c r="BE140" s="1518"/>
    </row>
    <row r="141" spans="1:57" s="1350" customFormat="1">
      <c r="A141" s="1"/>
      <c r="B141" s="6"/>
      <c r="C141" s="4"/>
      <c r="D141" s="3"/>
      <c r="E141" s="4"/>
      <c r="F141" s="4"/>
      <c r="G141" s="1"/>
      <c r="H141" s="6"/>
      <c r="I141" s="6"/>
      <c r="J141" s="11"/>
      <c r="K141" s="510"/>
      <c r="L141" s="11"/>
      <c r="M141" s="5"/>
      <c r="N141" s="5"/>
      <c r="O141" s="2606"/>
      <c r="P141" s="2608"/>
      <c r="Q141" s="5"/>
      <c r="R141" s="5"/>
      <c r="S141" s="1"/>
      <c r="T141" s="1"/>
      <c r="U141" s="6"/>
      <c r="V141" s="1877"/>
      <c r="W141" s="1877"/>
      <c r="X141" s="1877"/>
      <c r="Y141" s="1877"/>
      <c r="Z141" s="1878"/>
      <c r="AA141" s="1878"/>
      <c r="AB141" s="1877"/>
      <c r="AC141" s="1877"/>
      <c r="AD141" s="1877"/>
      <c r="AE141" s="1911"/>
      <c r="AF141" s="1912"/>
      <c r="AG141" s="1881"/>
      <c r="AH141" s="1913"/>
      <c r="AI141" s="1518"/>
      <c r="AJ141" s="1897"/>
      <c r="AK141" s="1518"/>
      <c r="AL141" s="1518"/>
      <c r="AM141" s="1518"/>
      <c r="AN141" s="1518"/>
      <c r="AO141" s="1518"/>
      <c r="AP141" s="1518"/>
      <c r="AQ141" s="1518"/>
      <c r="AR141" s="1518"/>
      <c r="AS141" s="1518"/>
      <c r="AT141" s="1518"/>
      <c r="AU141" s="1518"/>
      <c r="AV141" s="1518"/>
      <c r="AW141" s="1518"/>
      <c r="AX141" s="1518"/>
      <c r="AY141" s="1518"/>
      <c r="AZ141" s="1518"/>
      <c r="BA141" s="1518"/>
      <c r="BB141" s="1518"/>
      <c r="BC141" s="1518"/>
      <c r="BD141" s="1518"/>
      <c r="BE141" s="1518"/>
    </row>
    <row r="142" spans="1:57" s="1350" customFormat="1">
      <c r="A142" s="1"/>
      <c r="B142" s="6"/>
      <c r="C142" s="4"/>
      <c r="D142" s="3"/>
      <c r="E142" s="4"/>
      <c r="F142" s="4"/>
      <c r="G142" s="1"/>
      <c r="H142" s="6"/>
      <c r="I142" s="6"/>
      <c r="J142" s="11"/>
      <c r="K142" s="510"/>
      <c r="L142" s="11"/>
      <c r="M142" s="5"/>
      <c r="N142" s="5"/>
      <c r="O142" s="2606"/>
      <c r="P142" s="2608"/>
      <c r="Q142" s="5"/>
      <c r="R142" s="5"/>
      <c r="S142" s="1"/>
      <c r="T142" s="1"/>
      <c r="U142" s="6"/>
      <c r="V142" s="1877"/>
      <c r="W142" s="1877"/>
      <c r="X142" s="1877"/>
      <c r="Y142" s="1877"/>
      <c r="Z142" s="1878"/>
      <c r="AA142" s="1878"/>
      <c r="AB142" s="1877"/>
      <c r="AC142" s="1877"/>
      <c r="AD142" s="1877"/>
      <c r="AE142" s="1911"/>
      <c r="AF142" s="1912"/>
      <c r="AG142" s="1881"/>
      <c r="AH142" s="1913"/>
      <c r="AI142" s="1518"/>
      <c r="AJ142" s="1897"/>
      <c r="AK142" s="1518"/>
      <c r="AL142" s="1518"/>
      <c r="AM142" s="1518"/>
      <c r="AN142" s="1518"/>
      <c r="AO142" s="1518"/>
      <c r="AP142" s="1518"/>
      <c r="AQ142" s="1518"/>
      <c r="AR142" s="1518"/>
      <c r="AS142" s="1518"/>
      <c r="AT142" s="1518"/>
      <c r="AU142" s="1518"/>
      <c r="AV142" s="1518"/>
      <c r="AW142" s="1518"/>
      <c r="AX142" s="1518"/>
      <c r="AY142" s="1518"/>
      <c r="AZ142" s="1518"/>
      <c r="BA142" s="1518"/>
      <c r="BB142" s="1518"/>
      <c r="BC142" s="1518"/>
      <c r="BD142" s="1518"/>
      <c r="BE142" s="1518"/>
    </row>
    <row r="143" spans="1:57" s="1350" customFormat="1">
      <c r="A143" s="1"/>
      <c r="B143" s="6"/>
      <c r="C143" s="4"/>
      <c r="D143" s="3"/>
      <c r="E143" s="4"/>
      <c r="F143" s="4"/>
      <c r="G143" s="1"/>
      <c r="H143" s="6"/>
      <c r="I143" s="6"/>
      <c r="J143" s="11"/>
      <c r="K143" s="510"/>
      <c r="L143" s="11"/>
      <c r="M143" s="5"/>
      <c r="N143" s="5"/>
      <c r="O143" s="2606"/>
      <c r="P143" s="2608"/>
      <c r="Q143" s="5"/>
      <c r="R143" s="5"/>
      <c r="S143" s="1"/>
      <c r="T143" s="1"/>
      <c r="U143" s="6"/>
      <c r="V143" s="1877"/>
      <c r="W143" s="1877"/>
      <c r="X143" s="1877"/>
      <c r="Y143" s="1877"/>
      <c r="Z143" s="1878"/>
      <c r="AA143" s="1878"/>
      <c r="AB143" s="1877"/>
      <c r="AC143" s="1877"/>
      <c r="AD143" s="1877"/>
      <c r="AE143" s="1911"/>
      <c r="AF143" s="1912"/>
      <c r="AG143" s="1881"/>
      <c r="AH143" s="1913"/>
      <c r="AI143" s="1518"/>
      <c r="AJ143" s="1897"/>
      <c r="AK143" s="1518"/>
      <c r="AL143" s="1518"/>
      <c r="AM143" s="1518"/>
      <c r="AN143" s="1518"/>
      <c r="AO143" s="1518"/>
      <c r="AP143" s="1518"/>
      <c r="AQ143" s="1518"/>
      <c r="AR143" s="1518"/>
      <c r="AS143" s="1518"/>
      <c r="AT143" s="1518"/>
      <c r="AU143" s="1518"/>
      <c r="AV143" s="1518"/>
      <c r="AW143" s="1518"/>
      <c r="AX143" s="1518"/>
      <c r="AY143" s="1518"/>
      <c r="AZ143" s="1518"/>
      <c r="BA143" s="1518"/>
      <c r="BB143" s="1518"/>
      <c r="BC143" s="1518"/>
      <c r="BD143" s="1518"/>
      <c r="BE143" s="1518"/>
    </row>
    <row r="144" spans="1:57" s="1350" customFormat="1">
      <c r="A144" s="1"/>
      <c r="B144" s="6"/>
      <c r="C144" s="4"/>
      <c r="D144" s="3"/>
      <c r="E144" s="4"/>
      <c r="F144" s="4"/>
      <c r="G144" s="1"/>
      <c r="H144" s="6"/>
      <c r="I144" s="6"/>
      <c r="J144" s="11"/>
      <c r="K144" s="510"/>
      <c r="L144" s="11"/>
      <c r="M144" s="5"/>
      <c r="N144" s="5"/>
      <c r="O144" s="2606"/>
      <c r="P144" s="2608"/>
      <c r="Q144" s="5"/>
      <c r="R144" s="5"/>
      <c r="S144" s="1"/>
      <c r="T144" s="1"/>
      <c r="U144" s="6"/>
      <c r="V144" s="1877"/>
      <c r="W144" s="1877"/>
      <c r="X144" s="1877"/>
      <c r="Y144" s="1877"/>
      <c r="Z144" s="1878"/>
      <c r="AA144" s="1878"/>
      <c r="AB144" s="1877"/>
      <c r="AC144" s="1877"/>
      <c r="AD144" s="1877"/>
      <c r="AE144" s="1911"/>
      <c r="AF144" s="1912"/>
      <c r="AG144" s="1881"/>
      <c r="AH144" s="1913"/>
      <c r="AI144" s="1518"/>
      <c r="AJ144" s="1897"/>
      <c r="AK144" s="1518"/>
      <c r="AL144" s="1518"/>
      <c r="AM144" s="1518"/>
      <c r="AN144" s="1518"/>
      <c r="AO144" s="1518"/>
      <c r="AP144" s="1518"/>
      <c r="AQ144" s="1518"/>
      <c r="AR144" s="1518"/>
      <c r="AS144" s="1518"/>
      <c r="AT144" s="1518"/>
      <c r="AU144" s="1518"/>
      <c r="AV144" s="1518"/>
      <c r="AW144" s="1518"/>
      <c r="AX144" s="1518"/>
      <c r="AY144" s="1518"/>
      <c r="AZ144" s="1518"/>
      <c r="BA144" s="1518"/>
      <c r="BB144" s="1518"/>
      <c r="BC144" s="1518"/>
      <c r="BD144" s="1518"/>
      <c r="BE144" s="1518"/>
    </row>
    <row r="145" spans="1:57" s="1350" customFormat="1">
      <c r="A145" s="1"/>
      <c r="B145" s="6"/>
      <c r="C145" s="4"/>
      <c r="D145" s="3"/>
      <c r="E145" s="4"/>
      <c r="F145" s="4"/>
      <c r="G145" s="1"/>
      <c r="H145" s="6"/>
      <c r="I145" s="6"/>
      <c r="J145" s="11"/>
      <c r="K145" s="510"/>
      <c r="L145" s="11"/>
      <c r="M145" s="5"/>
      <c r="N145" s="5"/>
      <c r="O145" s="2606"/>
      <c r="P145" s="2608"/>
      <c r="Q145" s="5"/>
      <c r="R145" s="5"/>
      <c r="S145" s="1"/>
      <c r="T145" s="1"/>
      <c r="U145" s="6"/>
      <c r="V145" s="1877"/>
      <c r="W145" s="1877"/>
      <c r="X145" s="1877"/>
      <c r="Y145" s="1877"/>
      <c r="Z145" s="1878"/>
      <c r="AA145" s="1878"/>
      <c r="AB145" s="1877"/>
      <c r="AC145" s="1877"/>
      <c r="AD145" s="1877"/>
      <c r="AE145" s="1911"/>
      <c r="AF145" s="1912"/>
      <c r="AG145" s="1881"/>
      <c r="AH145" s="1913"/>
      <c r="AI145" s="1518"/>
      <c r="AJ145" s="1897"/>
      <c r="AK145" s="1518"/>
      <c r="AL145" s="1518"/>
      <c r="AM145" s="1518"/>
      <c r="AN145" s="1518"/>
      <c r="AO145" s="1518"/>
      <c r="AP145" s="1518"/>
      <c r="AQ145" s="1518"/>
      <c r="AR145" s="1518"/>
      <c r="AS145" s="1518"/>
      <c r="AT145" s="1518"/>
      <c r="AU145" s="1518"/>
      <c r="AV145" s="1518"/>
      <c r="AW145" s="1518"/>
      <c r="AX145" s="1518"/>
      <c r="AY145" s="1518"/>
      <c r="AZ145" s="1518"/>
      <c r="BA145" s="1518"/>
      <c r="BB145" s="1518"/>
      <c r="BC145" s="1518"/>
      <c r="BD145" s="1518"/>
      <c r="BE145" s="1518"/>
    </row>
    <row r="146" spans="1:57" s="1350" customFormat="1">
      <c r="A146" s="1"/>
      <c r="B146" s="6"/>
      <c r="C146" s="4"/>
      <c r="D146" s="3"/>
      <c r="E146" s="4"/>
      <c r="F146" s="4"/>
      <c r="G146" s="1"/>
      <c r="H146" s="6"/>
      <c r="I146" s="6"/>
      <c r="J146" s="11"/>
      <c r="K146" s="510"/>
      <c r="L146" s="11"/>
      <c r="M146" s="5"/>
      <c r="N146" s="5"/>
      <c r="O146" s="2606"/>
      <c r="P146" s="2608"/>
      <c r="Q146" s="5"/>
      <c r="R146" s="5"/>
      <c r="S146" s="1"/>
      <c r="T146" s="1"/>
      <c r="U146" s="6"/>
      <c r="V146" s="1877"/>
      <c r="W146" s="1877"/>
      <c r="X146" s="1877"/>
      <c r="Y146" s="1877"/>
      <c r="Z146" s="1878"/>
      <c r="AA146" s="1878"/>
      <c r="AB146" s="1877"/>
      <c r="AC146" s="1877"/>
      <c r="AD146" s="1877"/>
      <c r="AE146" s="1911"/>
      <c r="AF146" s="1912"/>
      <c r="AG146" s="1881"/>
      <c r="AH146" s="1913"/>
      <c r="AI146" s="1518"/>
      <c r="AJ146" s="1897"/>
      <c r="AK146" s="1518"/>
      <c r="AL146" s="1518"/>
      <c r="AM146" s="1518"/>
      <c r="AN146" s="1518"/>
      <c r="AO146" s="1518"/>
      <c r="AP146" s="1518"/>
      <c r="AQ146" s="1518"/>
      <c r="AR146" s="1518"/>
      <c r="AS146" s="1518"/>
      <c r="AT146" s="1518"/>
      <c r="AU146" s="1518"/>
      <c r="AV146" s="1518"/>
      <c r="AW146" s="1518"/>
      <c r="AX146" s="1518"/>
      <c r="AY146" s="1518"/>
      <c r="AZ146" s="1518"/>
      <c r="BA146" s="1518"/>
      <c r="BB146" s="1518"/>
      <c r="BC146" s="1518"/>
      <c r="BD146" s="1518"/>
      <c r="BE146" s="1518"/>
    </row>
    <row r="147" spans="1:57" s="1350" customFormat="1">
      <c r="A147" s="1"/>
      <c r="B147" s="6"/>
      <c r="C147" s="4"/>
      <c r="D147" s="3"/>
      <c r="E147" s="4"/>
      <c r="F147" s="4"/>
      <c r="G147" s="1"/>
      <c r="H147" s="6"/>
      <c r="I147" s="6"/>
      <c r="J147" s="11"/>
      <c r="K147" s="510"/>
      <c r="L147" s="11"/>
      <c r="M147" s="5"/>
      <c r="N147" s="5"/>
      <c r="O147" s="2606"/>
      <c r="P147" s="2608"/>
      <c r="Q147" s="5"/>
      <c r="R147" s="5"/>
      <c r="S147" s="1"/>
      <c r="T147" s="1"/>
      <c r="U147" s="6"/>
      <c r="V147" s="1877"/>
      <c r="W147" s="1877"/>
      <c r="X147" s="1877"/>
      <c r="Y147" s="1877"/>
      <c r="Z147" s="1878"/>
      <c r="AA147" s="1878"/>
      <c r="AB147" s="1877"/>
      <c r="AC147" s="1877"/>
      <c r="AD147" s="1877"/>
      <c r="AE147" s="1911"/>
      <c r="AF147" s="1912"/>
      <c r="AG147" s="1881"/>
      <c r="AH147" s="1913"/>
      <c r="AI147" s="1518"/>
      <c r="AJ147" s="1897"/>
      <c r="AK147" s="1518"/>
      <c r="AL147" s="1518"/>
      <c r="AM147" s="1518"/>
      <c r="AN147" s="1518"/>
      <c r="AO147" s="1518"/>
      <c r="AP147" s="1518"/>
      <c r="AQ147" s="1518"/>
      <c r="AR147" s="1518"/>
      <c r="AS147" s="1518"/>
      <c r="AT147" s="1518"/>
      <c r="AU147" s="1518"/>
      <c r="AV147" s="1518"/>
      <c r="AW147" s="1518"/>
      <c r="AX147" s="1518"/>
      <c r="AY147" s="1518"/>
      <c r="AZ147" s="1518"/>
      <c r="BA147" s="1518"/>
      <c r="BB147" s="1518"/>
      <c r="BC147" s="1518"/>
      <c r="BD147" s="1518"/>
      <c r="BE147" s="1518"/>
    </row>
    <row r="148" spans="1:57" s="1350" customFormat="1">
      <c r="A148" s="1"/>
      <c r="B148" s="6"/>
      <c r="C148" s="4"/>
      <c r="D148" s="3"/>
      <c r="E148" s="4"/>
      <c r="F148" s="4"/>
      <c r="G148" s="1"/>
      <c r="H148" s="6"/>
      <c r="I148" s="6"/>
      <c r="J148" s="11"/>
      <c r="K148" s="510"/>
      <c r="L148" s="11"/>
      <c r="M148" s="5"/>
      <c r="N148" s="5"/>
      <c r="O148" s="2606"/>
      <c r="P148" s="2608"/>
      <c r="Q148" s="5"/>
      <c r="R148" s="5"/>
      <c r="S148" s="1"/>
      <c r="T148" s="1"/>
      <c r="U148" s="6"/>
      <c r="V148" s="1877"/>
      <c r="W148" s="1877"/>
      <c r="X148" s="1877"/>
      <c r="Y148" s="1877"/>
      <c r="Z148" s="1878"/>
      <c r="AA148" s="1878"/>
      <c r="AB148" s="1877"/>
      <c r="AC148" s="1877"/>
      <c r="AD148" s="1877"/>
      <c r="AE148" s="1911"/>
      <c r="AF148" s="1912"/>
      <c r="AG148" s="1881"/>
      <c r="AH148" s="1913"/>
      <c r="AI148" s="1518"/>
      <c r="AJ148" s="1897"/>
      <c r="AK148" s="1518"/>
      <c r="AL148" s="1518"/>
      <c r="AM148" s="1518"/>
      <c r="AN148" s="1518"/>
      <c r="AO148" s="1518"/>
      <c r="AP148" s="1518"/>
      <c r="AQ148" s="1518"/>
      <c r="AR148" s="1518"/>
      <c r="AS148" s="1518"/>
      <c r="AT148" s="1518"/>
      <c r="AU148" s="1518"/>
      <c r="AV148" s="1518"/>
      <c r="AW148" s="1518"/>
      <c r="AX148" s="1518"/>
      <c r="AY148" s="1518"/>
      <c r="AZ148" s="1518"/>
      <c r="BA148" s="1518"/>
      <c r="BB148" s="1518"/>
      <c r="BC148" s="1518"/>
      <c r="BD148" s="1518"/>
      <c r="BE148" s="1518"/>
    </row>
    <row r="149" spans="1:57" s="1350" customFormat="1">
      <c r="A149" s="1"/>
      <c r="B149" s="6"/>
      <c r="C149" s="4"/>
      <c r="D149" s="3"/>
      <c r="E149" s="4"/>
      <c r="F149" s="4"/>
      <c r="G149" s="1"/>
      <c r="H149" s="6"/>
      <c r="I149" s="6"/>
      <c r="J149" s="11"/>
      <c r="K149" s="510"/>
      <c r="L149" s="11"/>
      <c r="M149" s="5"/>
      <c r="N149" s="5"/>
      <c r="O149" s="2606"/>
      <c r="P149" s="2608"/>
      <c r="Q149" s="5"/>
      <c r="R149" s="5"/>
      <c r="S149" s="1"/>
      <c r="T149" s="1"/>
      <c r="U149" s="6"/>
      <c r="V149" s="1877"/>
      <c r="W149" s="1877"/>
      <c r="X149" s="1877"/>
      <c r="Y149" s="1877"/>
      <c r="Z149" s="1878"/>
      <c r="AA149" s="1878"/>
      <c r="AB149" s="1877"/>
      <c r="AC149" s="1877"/>
      <c r="AD149" s="1877"/>
      <c r="AE149" s="1911"/>
      <c r="AF149" s="1912"/>
      <c r="AG149" s="1881"/>
      <c r="AH149" s="1913"/>
      <c r="AI149" s="1518"/>
      <c r="AJ149" s="1897"/>
      <c r="AK149" s="1518"/>
      <c r="AL149" s="1518"/>
      <c r="AM149" s="1518"/>
      <c r="AN149" s="1518"/>
      <c r="AO149" s="1518"/>
      <c r="AP149" s="1518"/>
      <c r="AQ149" s="1518"/>
      <c r="AR149" s="1518"/>
      <c r="AS149" s="1518"/>
      <c r="AT149" s="1518"/>
      <c r="AU149" s="1518"/>
      <c r="AV149" s="1518"/>
      <c r="AW149" s="1518"/>
      <c r="AX149" s="1518"/>
      <c r="AY149" s="1518"/>
      <c r="AZ149" s="1518"/>
      <c r="BA149" s="1518"/>
      <c r="BB149" s="1518"/>
      <c r="BC149" s="1518"/>
      <c r="BD149" s="1518"/>
      <c r="BE149" s="1518"/>
    </row>
    <row r="150" spans="1:57" s="1350" customFormat="1">
      <c r="A150" s="1"/>
      <c r="B150" s="6"/>
      <c r="C150" s="4"/>
      <c r="D150" s="3"/>
      <c r="E150" s="4"/>
      <c r="F150" s="4"/>
      <c r="G150" s="1"/>
      <c r="H150" s="6"/>
      <c r="I150" s="6"/>
      <c r="J150" s="11"/>
      <c r="K150" s="510"/>
      <c r="L150" s="11"/>
      <c r="M150" s="5"/>
      <c r="N150" s="5"/>
      <c r="O150" s="2606"/>
      <c r="P150" s="2608"/>
      <c r="Q150" s="5"/>
      <c r="R150" s="5"/>
      <c r="S150" s="1"/>
      <c r="T150" s="1"/>
      <c r="U150" s="6"/>
      <c r="V150" s="1877"/>
      <c r="W150" s="1877"/>
      <c r="X150" s="1877"/>
      <c r="Y150" s="1877"/>
      <c r="Z150" s="1878"/>
      <c r="AA150" s="1878"/>
      <c r="AB150" s="1877"/>
      <c r="AC150" s="1877"/>
      <c r="AD150" s="1877"/>
      <c r="AE150" s="1911"/>
      <c r="AF150" s="1912"/>
      <c r="AG150" s="1881"/>
      <c r="AH150" s="1913"/>
      <c r="AI150" s="1518"/>
      <c r="AJ150" s="1897"/>
      <c r="AK150" s="1518"/>
      <c r="AL150" s="1518"/>
      <c r="AM150" s="1518"/>
      <c r="AN150" s="1518"/>
      <c r="AO150" s="1518"/>
      <c r="AP150" s="1518"/>
      <c r="AQ150" s="1518"/>
      <c r="AR150" s="1518"/>
      <c r="AS150" s="1518"/>
      <c r="AT150" s="1518"/>
      <c r="AU150" s="1518"/>
      <c r="AV150" s="1518"/>
      <c r="AW150" s="1518"/>
      <c r="AX150" s="1518"/>
      <c r="AY150" s="1518"/>
      <c r="AZ150" s="1518"/>
      <c r="BA150" s="1518"/>
      <c r="BB150" s="1518"/>
      <c r="BC150" s="1518"/>
      <c r="BD150" s="1518"/>
      <c r="BE150" s="1518"/>
    </row>
    <row r="151" spans="1:57" s="1350" customFormat="1">
      <c r="A151" s="1"/>
      <c r="B151" s="6"/>
      <c r="C151" s="4"/>
      <c r="D151" s="3"/>
      <c r="E151" s="4"/>
      <c r="F151" s="4"/>
      <c r="G151" s="1"/>
      <c r="H151" s="6"/>
      <c r="I151" s="6"/>
      <c r="J151" s="11"/>
      <c r="K151" s="510"/>
      <c r="L151" s="11"/>
      <c r="M151" s="5"/>
      <c r="N151" s="5"/>
      <c r="O151" s="2606"/>
      <c r="P151" s="2608"/>
      <c r="Q151" s="5"/>
      <c r="R151" s="5"/>
      <c r="S151" s="1"/>
      <c r="T151" s="1"/>
      <c r="U151" s="6"/>
      <c r="V151" s="1877"/>
      <c r="W151" s="1877"/>
      <c r="X151" s="1877"/>
      <c r="Y151" s="1877"/>
      <c r="Z151" s="1878"/>
      <c r="AA151" s="1878"/>
      <c r="AB151" s="1877"/>
      <c r="AC151" s="1877"/>
      <c r="AD151" s="1877"/>
      <c r="AE151" s="1911"/>
      <c r="AF151" s="1912"/>
      <c r="AG151" s="1881"/>
      <c r="AH151" s="1913"/>
      <c r="AI151" s="1518"/>
      <c r="AJ151" s="1897"/>
      <c r="AK151" s="1518"/>
      <c r="AL151" s="1518"/>
      <c r="AM151" s="1518"/>
      <c r="AN151" s="1518"/>
      <c r="AO151" s="1518"/>
      <c r="AP151" s="1518"/>
      <c r="AQ151" s="1518"/>
      <c r="AR151" s="1518"/>
      <c r="AS151" s="1518"/>
      <c r="AT151" s="1518"/>
      <c r="AU151" s="1518"/>
      <c r="AV151" s="1518"/>
      <c r="AW151" s="1518"/>
      <c r="AX151" s="1518"/>
      <c r="AY151" s="1518"/>
      <c r="AZ151" s="1518"/>
      <c r="BA151" s="1518"/>
      <c r="BB151" s="1518"/>
      <c r="BC151" s="1518"/>
      <c r="BD151" s="1518"/>
      <c r="BE151" s="1518"/>
    </row>
    <row r="152" spans="1:57" s="1350" customFormat="1">
      <c r="A152" s="1"/>
      <c r="B152" s="6"/>
      <c r="C152" s="4"/>
      <c r="D152" s="3"/>
      <c r="E152" s="4"/>
      <c r="F152" s="4"/>
      <c r="G152" s="1"/>
      <c r="H152" s="6"/>
      <c r="I152" s="6"/>
      <c r="J152" s="11"/>
      <c r="K152" s="510"/>
      <c r="L152" s="11"/>
      <c r="M152" s="5"/>
      <c r="N152" s="5"/>
      <c r="O152" s="2606"/>
      <c r="P152" s="2608"/>
      <c r="Q152" s="5"/>
      <c r="R152" s="5"/>
      <c r="S152" s="1"/>
      <c r="T152" s="1"/>
      <c r="U152" s="6"/>
      <c r="V152" s="1877"/>
      <c r="W152" s="1877"/>
      <c r="X152" s="1877"/>
      <c r="Y152" s="1877"/>
      <c r="Z152" s="1878"/>
      <c r="AA152" s="1878"/>
      <c r="AB152" s="1877"/>
      <c r="AC152" s="1877"/>
      <c r="AD152" s="1877"/>
      <c r="AE152" s="1911"/>
      <c r="AF152" s="1912"/>
      <c r="AG152" s="1881"/>
      <c r="AH152" s="1913"/>
      <c r="AI152" s="1518"/>
      <c r="AJ152" s="1897"/>
      <c r="AK152" s="1518"/>
      <c r="AL152" s="1518"/>
      <c r="AM152" s="1518"/>
      <c r="AN152" s="1518"/>
      <c r="AO152" s="1518"/>
      <c r="AP152" s="1518"/>
      <c r="AQ152" s="1518"/>
      <c r="AR152" s="1518"/>
      <c r="AS152" s="1518"/>
      <c r="AT152" s="1518"/>
      <c r="AU152" s="1518"/>
      <c r="AV152" s="1518"/>
      <c r="AW152" s="1518"/>
      <c r="AX152" s="1518"/>
      <c r="AY152" s="1518"/>
      <c r="AZ152" s="1518"/>
      <c r="BA152" s="1518"/>
      <c r="BB152" s="1518"/>
      <c r="BC152" s="1518"/>
      <c r="BD152" s="1518"/>
      <c r="BE152" s="1518"/>
    </row>
    <row r="153" spans="1:57" s="1350" customFormat="1">
      <c r="A153" s="1"/>
      <c r="B153" s="6"/>
      <c r="C153" s="4"/>
      <c r="D153" s="3"/>
      <c r="E153" s="4"/>
      <c r="F153" s="4"/>
      <c r="G153" s="1"/>
      <c r="H153" s="6"/>
      <c r="I153" s="6"/>
      <c r="J153" s="11"/>
      <c r="K153" s="510"/>
      <c r="L153" s="11"/>
      <c r="M153" s="5"/>
      <c r="N153" s="5"/>
      <c r="O153" s="2606"/>
      <c r="P153" s="2608"/>
      <c r="Q153" s="5"/>
      <c r="R153" s="5"/>
      <c r="S153" s="1"/>
      <c r="T153" s="1"/>
      <c r="U153" s="6"/>
      <c r="V153" s="1877"/>
      <c r="W153" s="1877"/>
      <c r="X153" s="1877"/>
      <c r="Y153" s="1877"/>
      <c r="Z153" s="1878"/>
      <c r="AA153" s="1878"/>
      <c r="AB153" s="1877"/>
      <c r="AC153" s="1877"/>
      <c r="AD153" s="1877"/>
      <c r="AE153" s="1911"/>
      <c r="AF153" s="1912"/>
      <c r="AG153" s="1881"/>
      <c r="AH153" s="1913"/>
      <c r="AI153" s="1518"/>
      <c r="AJ153" s="1897"/>
      <c r="AK153" s="1518"/>
      <c r="AL153" s="1518"/>
      <c r="AM153" s="1518"/>
      <c r="AN153" s="1518"/>
      <c r="AO153" s="1518"/>
      <c r="AP153" s="1518"/>
      <c r="AQ153" s="1518"/>
      <c r="AR153" s="1518"/>
      <c r="AS153" s="1518"/>
      <c r="AT153" s="1518"/>
      <c r="AU153" s="1518"/>
      <c r="AV153" s="1518"/>
      <c r="AW153" s="1518"/>
      <c r="AX153" s="1518"/>
      <c r="AY153" s="1518"/>
      <c r="AZ153" s="1518"/>
      <c r="BA153" s="1518"/>
      <c r="BB153" s="1518"/>
      <c r="BC153" s="1518"/>
      <c r="BD153" s="1518"/>
      <c r="BE153" s="1518"/>
    </row>
    <row r="154" spans="1:57" s="1350" customFormat="1">
      <c r="A154" s="1"/>
      <c r="B154" s="6"/>
      <c r="C154" s="4"/>
      <c r="D154" s="3"/>
      <c r="E154" s="4"/>
      <c r="F154" s="4"/>
      <c r="G154" s="1"/>
      <c r="H154" s="6"/>
      <c r="I154" s="6"/>
      <c r="J154" s="11"/>
      <c r="K154" s="510"/>
      <c r="L154" s="11"/>
      <c r="M154" s="5"/>
      <c r="N154" s="5"/>
      <c r="O154" s="2606"/>
      <c r="P154" s="2608"/>
      <c r="Q154" s="5"/>
      <c r="R154" s="5"/>
      <c r="S154" s="1"/>
      <c r="T154" s="1"/>
      <c r="U154" s="6"/>
      <c r="V154" s="1877"/>
      <c r="W154" s="1877"/>
      <c r="X154" s="1877"/>
      <c r="Y154" s="1877"/>
      <c r="Z154" s="1878"/>
      <c r="AA154" s="1878"/>
      <c r="AB154" s="1877"/>
      <c r="AC154" s="1877"/>
      <c r="AD154" s="1877"/>
      <c r="AE154" s="1911"/>
      <c r="AF154" s="1912"/>
      <c r="AG154" s="1881"/>
      <c r="AH154" s="1913"/>
      <c r="AI154" s="1518"/>
      <c r="AJ154" s="1897"/>
      <c r="AK154" s="1518"/>
      <c r="AL154" s="1518"/>
      <c r="AM154" s="1518"/>
      <c r="AN154" s="1518"/>
      <c r="AO154" s="1518"/>
      <c r="AP154" s="1518"/>
      <c r="AQ154" s="1518"/>
      <c r="AR154" s="1518"/>
      <c r="AS154" s="1518"/>
      <c r="AT154" s="1518"/>
      <c r="AU154" s="1518"/>
      <c r="AV154" s="1518"/>
      <c r="AW154" s="1518"/>
      <c r="AX154" s="1518"/>
      <c r="AY154" s="1518"/>
      <c r="AZ154" s="1518"/>
      <c r="BA154" s="1518"/>
      <c r="BB154" s="1518"/>
      <c r="BC154" s="1518"/>
      <c r="BD154" s="1518"/>
      <c r="BE154" s="1518"/>
    </row>
    <row r="155" spans="1:57" s="1350" customFormat="1">
      <c r="A155" s="1"/>
      <c r="B155" s="6"/>
      <c r="C155" s="4"/>
      <c r="D155" s="3"/>
      <c r="E155" s="4"/>
      <c r="F155" s="4"/>
      <c r="G155" s="1"/>
      <c r="H155" s="6"/>
      <c r="I155" s="6"/>
      <c r="J155" s="11"/>
      <c r="K155" s="510"/>
      <c r="L155" s="11"/>
      <c r="M155" s="5"/>
      <c r="N155" s="5"/>
      <c r="O155" s="2606"/>
      <c r="P155" s="2608"/>
      <c r="Q155" s="5"/>
      <c r="R155" s="5"/>
      <c r="S155" s="1"/>
      <c r="T155" s="1"/>
      <c r="U155" s="6"/>
      <c r="V155" s="1877"/>
      <c r="W155" s="1877"/>
      <c r="X155" s="1877"/>
      <c r="Y155" s="1877"/>
      <c r="Z155" s="1878"/>
      <c r="AA155" s="1878"/>
      <c r="AB155" s="1877"/>
      <c r="AC155" s="1877"/>
      <c r="AD155" s="1877"/>
      <c r="AE155" s="1911"/>
      <c r="AF155" s="1912"/>
      <c r="AG155" s="1881"/>
      <c r="AH155" s="1913"/>
      <c r="AI155" s="1518"/>
      <c r="AJ155" s="1897"/>
      <c r="AK155" s="1518"/>
      <c r="AL155" s="1518"/>
      <c r="AM155" s="1518"/>
      <c r="AN155" s="1518"/>
      <c r="AO155" s="1518"/>
      <c r="AP155" s="1518"/>
      <c r="AQ155" s="1518"/>
      <c r="AR155" s="1518"/>
      <c r="AS155" s="1518"/>
      <c r="AT155" s="1518"/>
      <c r="AU155" s="1518"/>
      <c r="AV155" s="1518"/>
      <c r="AW155" s="1518"/>
      <c r="AX155" s="1518"/>
      <c r="AY155" s="1518"/>
      <c r="AZ155" s="1518"/>
      <c r="BA155" s="1518"/>
      <c r="BB155" s="1518"/>
      <c r="BC155" s="1518"/>
      <c r="BD155" s="1518"/>
      <c r="BE155" s="1518"/>
    </row>
    <row r="156" spans="1:57" s="1350" customFormat="1">
      <c r="A156" s="1"/>
      <c r="B156" s="6"/>
      <c r="C156" s="4"/>
      <c r="D156" s="3"/>
      <c r="E156" s="4"/>
      <c r="F156" s="4"/>
      <c r="G156" s="1"/>
      <c r="H156" s="6"/>
      <c r="I156" s="6"/>
      <c r="J156" s="11"/>
      <c r="K156" s="510"/>
      <c r="L156" s="11"/>
      <c r="M156" s="5"/>
      <c r="N156" s="5"/>
      <c r="O156" s="2606"/>
      <c r="P156" s="2608"/>
      <c r="Q156" s="5"/>
      <c r="R156" s="5"/>
      <c r="S156" s="1"/>
      <c r="T156" s="1"/>
      <c r="U156" s="6"/>
      <c r="V156" s="1877"/>
      <c r="W156" s="1877"/>
      <c r="X156" s="1877"/>
      <c r="Y156" s="1877"/>
      <c r="Z156" s="1878"/>
      <c r="AA156" s="1878"/>
      <c r="AB156" s="1877"/>
      <c r="AC156" s="1877"/>
      <c r="AD156" s="1877"/>
      <c r="AE156" s="1911"/>
      <c r="AF156" s="1912"/>
      <c r="AG156" s="1881"/>
      <c r="AH156" s="1913"/>
      <c r="AI156" s="1518"/>
      <c r="AJ156" s="1897"/>
      <c r="AK156" s="1518"/>
      <c r="AL156" s="1518"/>
      <c r="AM156" s="1518"/>
      <c r="AN156" s="1518"/>
      <c r="AO156" s="1518"/>
      <c r="AP156" s="1518"/>
      <c r="AQ156" s="1518"/>
      <c r="AR156" s="1518"/>
      <c r="AS156" s="1518"/>
      <c r="AT156" s="1518"/>
      <c r="AU156" s="1518"/>
      <c r="AV156" s="1518"/>
      <c r="AW156" s="1518"/>
      <c r="AX156" s="1518"/>
      <c r="AY156" s="1518"/>
      <c r="AZ156" s="1518"/>
      <c r="BA156" s="1518"/>
      <c r="BB156" s="1518"/>
      <c r="BC156" s="1518"/>
      <c r="BD156" s="1518"/>
      <c r="BE156" s="1518"/>
    </row>
    <row r="157" spans="1:57" s="1350" customFormat="1">
      <c r="A157" s="1"/>
      <c r="B157" s="6"/>
      <c r="C157" s="4"/>
      <c r="D157" s="3"/>
      <c r="E157" s="4"/>
      <c r="F157" s="4"/>
      <c r="G157" s="1"/>
      <c r="H157" s="6"/>
      <c r="I157" s="6"/>
      <c r="J157" s="11"/>
      <c r="K157" s="510"/>
      <c r="L157" s="11"/>
      <c r="M157" s="5"/>
      <c r="N157" s="5"/>
      <c r="O157" s="2606"/>
      <c r="P157" s="2608"/>
      <c r="Q157" s="5"/>
      <c r="R157" s="5"/>
      <c r="S157" s="1"/>
      <c r="T157" s="1"/>
      <c r="U157" s="6"/>
      <c r="V157" s="1877"/>
      <c r="W157" s="1877"/>
      <c r="X157" s="1877"/>
      <c r="Y157" s="1877"/>
      <c r="Z157" s="1878"/>
      <c r="AA157" s="1878"/>
      <c r="AB157" s="1877"/>
      <c r="AC157" s="1877"/>
      <c r="AD157" s="1877"/>
      <c r="AE157" s="1911"/>
      <c r="AF157" s="1912"/>
      <c r="AG157" s="1881"/>
      <c r="AH157" s="1913"/>
      <c r="AI157" s="1518"/>
      <c r="AJ157" s="1897"/>
      <c r="AK157" s="1518"/>
      <c r="AL157" s="1518"/>
      <c r="AM157" s="1518"/>
      <c r="AN157" s="1518"/>
      <c r="AO157" s="1518"/>
      <c r="AP157" s="1518"/>
      <c r="AQ157" s="1518"/>
      <c r="AR157" s="1518"/>
      <c r="AS157" s="1518"/>
      <c r="AT157" s="1518"/>
      <c r="AU157" s="1518"/>
      <c r="AV157" s="1518"/>
      <c r="AW157" s="1518"/>
      <c r="AX157" s="1518"/>
      <c r="AY157" s="1518"/>
      <c r="AZ157" s="1518"/>
      <c r="BA157" s="1518"/>
      <c r="BB157" s="1518"/>
      <c r="BC157" s="1518"/>
      <c r="BD157" s="1518"/>
      <c r="BE157" s="1518"/>
    </row>
    <row r="158" spans="1:57" s="1350" customFormat="1">
      <c r="A158" s="1"/>
      <c r="B158" s="6"/>
      <c r="C158" s="4"/>
      <c r="D158" s="3"/>
      <c r="E158" s="4"/>
      <c r="F158" s="4"/>
      <c r="G158" s="1"/>
      <c r="H158" s="6"/>
      <c r="I158" s="6"/>
      <c r="J158" s="11"/>
      <c r="K158" s="510"/>
      <c r="L158" s="11"/>
      <c r="M158" s="5"/>
      <c r="N158" s="5"/>
      <c r="O158" s="2606"/>
      <c r="P158" s="2608"/>
      <c r="Q158" s="5"/>
      <c r="R158" s="5"/>
      <c r="S158" s="1"/>
      <c r="T158" s="1"/>
      <c r="U158" s="6"/>
      <c r="V158" s="1877"/>
      <c r="W158" s="1877"/>
      <c r="X158" s="1877"/>
      <c r="Y158" s="1877"/>
      <c r="Z158" s="1878"/>
      <c r="AA158" s="1878"/>
      <c r="AB158" s="1877"/>
      <c r="AC158" s="1877"/>
      <c r="AD158" s="1877"/>
      <c r="AE158" s="1911"/>
      <c r="AF158" s="1912"/>
      <c r="AG158" s="1881"/>
      <c r="AH158" s="1913"/>
      <c r="AI158" s="1518"/>
      <c r="AJ158" s="1897"/>
      <c r="AK158" s="1518"/>
      <c r="AL158" s="1518"/>
      <c r="AM158" s="1518"/>
      <c r="AN158" s="1518"/>
      <c r="AO158" s="1518"/>
      <c r="AP158" s="1518"/>
      <c r="AQ158" s="1518"/>
      <c r="AR158" s="1518"/>
      <c r="AS158" s="1518"/>
      <c r="AT158" s="1518"/>
      <c r="AU158" s="1518"/>
      <c r="AV158" s="1518"/>
      <c r="AW158" s="1518"/>
      <c r="AX158" s="1518"/>
      <c r="AY158" s="1518"/>
      <c r="AZ158" s="1518"/>
      <c r="BA158" s="1518"/>
      <c r="BB158" s="1518"/>
      <c r="BC158" s="1518"/>
      <c r="BD158" s="1518"/>
      <c r="BE158" s="1518"/>
    </row>
    <row r="159" spans="1:57" s="1350" customFormat="1">
      <c r="A159" s="1"/>
      <c r="B159" s="6"/>
      <c r="C159" s="4"/>
      <c r="D159" s="3"/>
      <c r="E159" s="4"/>
      <c r="F159" s="4"/>
      <c r="G159" s="1"/>
      <c r="H159" s="6"/>
      <c r="I159" s="6"/>
      <c r="J159" s="11"/>
      <c r="K159" s="510"/>
      <c r="L159" s="11"/>
      <c r="M159" s="5"/>
      <c r="N159" s="5"/>
      <c r="O159" s="2606"/>
      <c r="P159" s="2608"/>
      <c r="Q159" s="5"/>
      <c r="R159" s="5"/>
      <c r="S159" s="1"/>
      <c r="T159" s="1"/>
      <c r="U159" s="6"/>
      <c r="V159" s="1877"/>
      <c r="W159" s="1877"/>
      <c r="X159" s="1877"/>
      <c r="Y159" s="1877"/>
      <c r="Z159" s="1878"/>
      <c r="AA159" s="1878"/>
      <c r="AB159" s="1877"/>
      <c r="AC159" s="1877"/>
      <c r="AD159" s="1877"/>
      <c r="AE159" s="1911"/>
      <c r="AF159" s="1912"/>
      <c r="AG159" s="1881"/>
      <c r="AH159" s="1913"/>
      <c r="AI159" s="1518"/>
      <c r="AJ159" s="1897"/>
      <c r="AK159" s="1518"/>
      <c r="AL159" s="1518"/>
      <c r="AM159" s="1518"/>
      <c r="AN159" s="1518"/>
      <c r="AO159" s="1518"/>
      <c r="AP159" s="1518"/>
      <c r="AQ159" s="1518"/>
      <c r="AR159" s="1518"/>
      <c r="AS159" s="1518"/>
      <c r="AT159" s="1518"/>
      <c r="AU159" s="1518"/>
      <c r="AV159" s="1518"/>
      <c r="AW159" s="1518"/>
      <c r="AX159" s="1518"/>
      <c r="AY159" s="1518"/>
      <c r="AZ159" s="1518"/>
      <c r="BA159" s="1518"/>
      <c r="BB159" s="1518"/>
      <c r="BC159" s="1518"/>
      <c r="BD159" s="1518"/>
      <c r="BE159" s="1518"/>
    </row>
    <row r="160" spans="1:57" s="1350" customFormat="1">
      <c r="A160" s="1"/>
      <c r="B160" s="6"/>
      <c r="C160" s="4"/>
      <c r="D160" s="3"/>
      <c r="E160" s="4"/>
      <c r="F160" s="4"/>
      <c r="G160" s="1"/>
      <c r="H160" s="6"/>
      <c r="I160" s="6"/>
      <c r="J160" s="11"/>
      <c r="K160" s="510"/>
      <c r="L160" s="11"/>
      <c r="M160" s="5"/>
      <c r="N160" s="5"/>
      <c r="O160" s="2606"/>
      <c r="P160" s="2608"/>
      <c r="Q160" s="5"/>
      <c r="R160" s="5"/>
      <c r="S160" s="1"/>
      <c r="T160" s="1"/>
      <c r="U160" s="6"/>
      <c r="V160" s="1877"/>
      <c r="W160" s="1877"/>
      <c r="X160" s="1877"/>
      <c r="Y160" s="1877"/>
      <c r="Z160" s="1878"/>
      <c r="AA160" s="1878"/>
      <c r="AB160" s="1877"/>
      <c r="AC160" s="1877"/>
      <c r="AD160" s="1877"/>
      <c r="AE160" s="1911"/>
      <c r="AF160" s="1912"/>
      <c r="AG160" s="1881"/>
      <c r="AH160" s="1913"/>
      <c r="AI160" s="1518"/>
      <c r="AJ160" s="1897"/>
      <c r="AK160" s="1518"/>
      <c r="AL160" s="1518"/>
      <c r="AM160" s="1518"/>
      <c r="AN160" s="1518"/>
      <c r="AO160" s="1518"/>
      <c r="AP160" s="1518"/>
      <c r="AQ160" s="1518"/>
      <c r="AR160" s="1518"/>
      <c r="AS160" s="1518"/>
      <c r="AT160" s="1518"/>
      <c r="AU160" s="1518"/>
      <c r="AV160" s="1518"/>
      <c r="AW160" s="1518"/>
      <c r="AX160" s="1518"/>
      <c r="AY160" s="1518"/>
      <c r="AZ160" s="1518"/>
      <c r="BA160" s="1518"/>
      <c r="BB160" s="1518"/>
      <c r="BC160" s="1518"/>
      <c r="BD160" s="1518"/>
      <c r="BE160" s="1518"/>
    </row>
    <row r="161" spans="1:57" s="1350" customFormat="1">
      <c r="A161" s="1"/>
      <c r="B161" s="6"/>
      <c r="C161" s="4"/>
      <c r="D161" s="3"/>
      <c r="E161" s="4"/>
      <c r="F161" s="4"/>
      <c r="G161" s="1"/>
      <c r="H161" s="6"/>
      <c r="I161" s="6"/>
      <c r="J161" s="11"/>
      <c r="K161" s="510"/>
      <c r="L161" s="11"/>
      <c r="M161" s="5"/>
      <c r="N161" s="5"/>
      <c r="O161" s="2606"/>
      <c r="P161" s="2608"/>
      <c r="Q161" s="5"/>
      <c r="R161" s="5"/>
      <c r="S161" s="1"/>
      <c r="T161" s="1"/>
      <c r="U161" s="6"/>
      <c r="V161" s="1877"/>
      <c r="W161" s="1877"/>
      <c r="X161" s="1877"/>
      <c r="Y161" s="1877"/>
      <c r="Z161" s="1878"/>
      <c r="AA161" s="1878"/>
      <c r="AB161" s="1877"/>
      <c r="AC161" s="1877"/>
      <c r="AD161" s="1877"/>
      <c r="AE161" s="1911"/>
      <c r="AF161" s="1912"/>
      <c r="AG161" s="1881"/>
      <c r="AH161" s="1913"/>
      <c r="AI161" s="1518"/>
      <c r="AJ161" s="1897"/>
      <c r="AK161" s="1518"/>
      <c r="AL161" s="1518"/>
      <c r="AM161" s="1518"/>
      <c r="AN161" s="1518"/>
      <c r="AO161" s="1518"/>
      <c r="AP161" s="1518"/>
      <c r="AQ161" s="1518"/>
      <c r="AR161" s="1518"/>
      <c r="AS161" s="1518"/>
      <c r="AT161" s="1518"/>
      <c r="AU161" s="1518"/>
      <c r="AV161" s="1518"/>
      <c r="AW161" s="1518"/>
      <c r="AX161" s="1518"/>
      <c r="AY161" s="1518"/>
      <c r="AZ161" s="1518"/>
      <c r="BA161" s="1518"/>
      <c r="BB161" s="1518"/>
      <c r="BC161" s="1518"/>
      <c r="BD161" s="1518"/>
      <c r="BE161" s="1518"/>
    </row>
    <row r="162" spans="1:57" s="1350" customFormat="1">
      <c r="A162" s="1"/>
      <c r="B162" s="6"/>
      <c r="C162" s="4"/>
      <c r="D162" s="3"/>
      <c r="E162" s="4"/>
      <c r="F162" s="4"/>
      <c r="G162" s="1"/>
      <c r="H162" s="6"/>
      <c r="I162" s="6"/>
      <c r="J162" s="11"/>
      <c r="K162" s="510"/>
      <c r="L162" s="11"/>
      <c r="M162" s="5"/>
      <c r="N162" s="5"/>
      <c r="O162" s="2606"/>
      <c r="P162" s="2608"/>
      <c r="Q162" s="5"/>
      <c r="R162" s="5"/>
      <c r="S162" s="1"/>
      <c r="T162" s="1"/>
      <c r="U162" s="6"/>
      <c r="V162" s="1877"/>
      <c r="W162" s="1877"/>
      <c r="X162" s="1877"/>
      <c r="Y162" s="1877"/>
      <c r="Z162" s="1878"/>
      <c r="AA162" s="1878"/>
      <c r="AB162" s="1877"/>
      <c r="AC162" s="1877"/>
      <c r="AD162" s="1877"/>
      <c r="AE162" s="1911"/>
      <c r="AF162" s="1912"/>
      <c r="AG162" s="1881"/>
      <c r="AH162" s="1913"/>
      <c r="AI162" s="1518"/>
      <c r="AJ162" s="1897"/>
      <c r="AK162" s="1518"/>
      <c r="AL162" s="1518"/>
      <c r="AM162" s="1518"/>
      <c r="AN162" s="1518"/>
      <c r="AO162" s="1518"/>
      <c r="AP162" s="1518"/>
      <c r="AQ162" s="1518"/>
      <c r="AR162" s="1518"/>
      <c r="AS162" s="1518"/>
      <c r="AT162" s="1518"/>
      <c r="AU162" s="1518"/>
      <c r="AV162" s="1518"/>
      <c r="AW162" s="1518"/>
      <c r="AX162" s="1518"/>
      <c r="AY162" s="1518"/>
      <c r="AZ162" s="1518"/>
      <c r="BA162" s="1518"/>
      <c r="BB162" s="1518"/>
      <c r="BC162" s="1518"/>
      <c r="BD162" s="1518"/>
      <c r="BE162" s="1518"/>
    </row>
    <row r="163" spans="1:57" s="1350" customFormat="1">
      <c r="A163" s="1"/>
      <c r="B163" s="6"/>
      <c r="C163" s="4"/>
      <c r="D163" s="3"/>
      <c r="E163" s="4"/>
      <c r="F163" s="4"/>
      <c r="G163" s="1"/>
      <c r="H163" s="6"/>
      <c r="I163" s="6"/>
      <c r="J163" s="11"/>
      <c r="K163" s="510"/>
      <c r="L163" s="11"/>
      <c r="M163" s="5"/>
      <c r="N163" s="5"/>
      <c r="O163" s="2606"/>
      <c r="P163" s="2608"/>
      <c r="Q163" s="5"/>
      <c r="R163" s="5"/>
      <c r="S163" s="1"/>
      <c r="T163" s="1"/>
      <c r="U163" s="6"/>
      <c r="V163" s="1877"/>
      <c r="W163" s="1877"/>
      <c r="X163" s="1877"/>
      <c r="Y163" s="1877"/>
      <c r="Z163" s="1878"/>
      <c r="AA163" s="1878"/>
      <c r="AB163" s="1877"/>
      <c r="AC163" s="1877"/>
      <c r="AD163" s="1877"/>
      <c r="AE163" s="1911"/>
      <c r="AF163" s="1912"/>
      <c r="AG163" s="1881"/>
      <c r="AH163" s="1913"/>
      <c r="AI163" s="1518"/>
      <c r="AJ163" s="1897"/>
      <c r="AK163" s="1518"/>
      <c r="AL163" s="1518"/>
      <c r="AM163" s="1518"/>
      <c r="AN163" s="1518"/>
      <c r="AO163" s="1518"/>
      <c r="AP163" s="1518"/>
      <c r="AQ163" s="1518"/>
      <c r="AR163" s="1518"/>
      <c r="AS163" s="1518"/>
      <c r="AT163" s="1518"/>
      <c r="AU163" s="1518"/>
      <c r="AV163" s="1518"/>
      <c r="AW163" s="1518"/>
      <c r="AX163" s="1518"/>
      <c r="AY163" s="1518"/>
      <c r="AZ163" s="1518"/>
      <c r="BA163" s="1518"/>
      <c r="BB163" s="1518"/>
      <c r="BC163" s="1518"/>
      <c r="BD163" s="1518"/>
      <c r="BE163" s="1518"/>
    </row>
    <row r="164" spans="1:57" s="1350" customFormat="1">
      <c r="A164" s="1"/>
      <c r="B164" s="6"/>
      <c r="C164" s="4"/>
      <c r="D164" s="3"/>
      <c r="E164" s="4"/>
      <c r="F164" s="4"/>
      <c r="G164" s="1"/>
      <c r="H164" s="6"/>
      <c r="I164" s="6"/>
      <c r="J164" s="11"/>
      <c r="K164" s="510"/>
      <c r="L164" s="11"/>
      <c r="M164" s="5"/>
      <c r="N164" s="5"/>
      <c r="O164" s="2606"/>
      <c r="P164" s="2608"/>
      <c r="Q164" s="5"/>
      <c r="R164" s="5"/>
      <c r="S164" s="1"/>
      <c r="T164" s="1"/>
      <c r="U164" s="6"/>
      <c r="V164" s="1877"/>
      <c r="W164" s="1877"/>
      <c r="X164" s="1877"/>
      <c r="Y164" s="1877"/>
      <c r="Z164" s="1878"/>
      <c r="AA164" s="1878"/>
      <c r="AB164" s="1877"/>
      <c r="AC164" s="1877"/>
      <c r="AD164" s="1877"/>
      <c r="AE164" s="1911"/>
      <c r="AF164" s="1912"/>
      <c r="AG164" s="1881"/>
      <c r="AH164" s="1913"/>
      <c r="AI164" s="1518"/>
      <c r="AJ164" s="1897"/>
      <c r="AK164" s="1518"/>
      <c r="AL164" s="1518"/>
      <c r="AM164" s="1518"/>
      <c r="AN164" s="1518"/>
      <c r="AO164" s="1518"/>
      <c r="AP164" s="1518"/>
      <c r="AQ164" s="1518"/>
      <c r="AR164" s="1518"/>
      <c r="AS164" s="1518"/>
      <c r="AT164" s="1518"/>
      <c r="AU164" s="1518"/>
      <c r="AV164" s="1518"/>
      <c r="AW164" s="1518"/>
      <c r="AX164" s="1518"/>
      <c r="AY164" s="1518"/>
      <c r="AZ164" s="1518"/>
      <c r="BA164" s="1518"/>
      <c r="BB164" s="1518"/>
      <c r="BC164" s="1518"/>
      <c r="BD164" s="1518"/>
      <c r="BE164" s="1518"/>
    </row>
    <row r="165" spans="1:57" s="1350" customFormat="1">
      <c r="A165" s="1"/>
      <c r="B165" s="6"/>
      <c r="C165" s="4"/>
      <c r="D165" s="3"/>
      <c r="E165" s="4"/>
      <c r="F165" s="4"/>
      <c r="G165" s="1"/>
      <c r="H165" s="6"/>
      <c r="I165" s="6"/>
      <c r="J165" s="11"/>
      <c r="K165" s="510"/>
      <c r="L165" s="11"/>
      <c r="M165" s="5"/>
      <c r="N165" s="5"/>
      <c r="O165" s="2606"/>
      <c r="P165" s="2608"/>
      <c r="Q165" s="5"/>
      <c r="R165" s="5"/>
      <c r="S165" s="1"/>
      <c r="T165" s="1"/>
      <c r="U165" s="6"/>
      <c r="V165" s="1877"/>
      <c r="W165" s="1877"/>
      <c r="X165" s="1877"/>
      <c r="Y165" s="1877"/>
      <c r="Z165" s="1878"/>
      <c r="AA165" s="1878"/>
      <c r="AB165" s="1877"/>
      <c r="AC165" s="1877"/>
      <c r="AD165" s="1877"/>
      <c r="AE165" s="1911"/>
      <c r="AF165" s="1912"/>
      <c r="AG165" s="1881"/>
      <c r="AH165" s="1913"/>
      <c r="AI165" s="1518"/>
      <c r="AJ165" s="1897"/>
      <c r="AK165" s="1518"/>
      <c r="AL165" s="1518"/>
      <c r="AM165" s="1518"/>
      <c r="AN165" s="1518"/>
      <c r="AO165" s="1518"/>
      <c r="AP165" s="1518"/>
      <c r="AQ165" s="1518"/>
      <c r="AR165" s="1518"/>
      <c r="AS165" s="1518"/>
      <c r="AT165" s="1518"/>
      <c r="AU165" s="1518"/>
      <c r="AV165" s="1518"/>
      <c r="AW165" s="1518"/>
      <c r="AX165" s="1518"/>
      <c r="AY165" s="1518"/>
      <c r="AZ165" s="1518"/>
      <c r="BA165" s="1518"/>
      <c r="BB165" s="1518"/>
      <c r="BC165" s="1518"/>
      <c r="BD165" s="1518"/>
      <c r="BE165" s="1518"/>
    </row>
    <row r="166" spans="1:57" s="1350" customFormat="1">
      <c r="A166" s="1"/>
      <c r="B166" s="6"/>
      <c r="C166" s="4"/>
      <c r="D166" s="3"/>
      <c r="E166" s="4"/>
      <c r="F166" s="4"/>
      <c r="G166" s="1"/>
      <c r="H166" s="6"/>
      <c r="I166" s="6"/>
      <c r="J166" s="11"/>
      <c r="K166" s="510"/>
      <c r="L166" s="11"/>
      <c r="M166" s="5"/>
      <c r="N166" s="5"/>
      <c r="O166" s="2606"/>
      <c r="P166" s="2608"/>
      <c r="Q166" s="5"/>
      <c r="R166" s="5"/>
      <c r="S166" s="1"/>
      <c r="T166" s="1"/>
      <c r="U166" s="6"/>
      <c r="V166" s="1877"/>
      <c r="W166" s="1877"/>
      <c r="X166" s="1877"/>
      <c r="Y166" s="1877"/>
      <c r="Z166" s="1878"/>
      <c r="AA166" s="1878"/>
      <c r="AB166" s="1877"/>
      <c r="AC166" s="1877"/>
      <c r="AD166" s="1877"/>
      <c r="AE166" s="1911"/>
      <c r="AF166" s="1912"/>
      <c r="AG166" s="1881"/>
      <c r="AH166" s="1913"/>
      <c r="AI166" s="1518"/>
      <c r="AJ166" s="1897"/>
      <c r="AK166" s="1518"/>
      <c r="AL166" s="1518"/>
      <c r="AM166" s="1518"/>
      <c r="AN166" s="1518"/>
      <c r="AO166" s="1518"/>
      <c r="AP166" s="1518"/>
      <c r="AQ166" s="1518"/>
      <c r="AR166" s="1518"/>
      <c r="AS166" s="1518"/>
      <c r="AT166" s="1518"/>
      <c r="AU166" s="1518"/>
      <c r="AV166" s="1518"/>
      <c r="AW166" s="1518"/>
      <c r="AX166" s="1518"/>
      <c r="AY166" s="1518"/>
      <c r="AZ166" s="1518"/>
      <c r="BA166" s="1518"/>
      <c r="BB166" s="1518"/>
      <c r="BC166" s="1518"/>
      <c r="BD166" s="1518"/>
      <c r="BE166" s="1518"/>
    </row>
    <row r="167" spans="1:57" s="1350" customFormat="1">
      <c r="A167" s="1"/>
      <c r="B167" s="6"/>
      <c r="C167" s="4"/>
      <c r="D167" s="3"/>
      <c r="E167" s="4"/>
      <c r="F167" s="4"/>
      <c r="G167" s="1"/>
      <c r="H167" s="6"/>
      <c r="I167" s="6"/>
      <c r="J167" s="11"/>
      <c r="K167" s="510"/>
      <c r="L167" s="11"/>
      <c r="M167" s="5"/>
      <c r="N167" s="5"/>
      <c r="O167" s="2606"/>
      <c r="P167" s="2608"/>
      <c r="Q167" s="5"/>
      <c r="R167" s="5"/>
      <c r="S167" s="1"/>
      <c r="T167" s="1"/>
      <c r="U167" s="6"/>
      <c r="V167" s="1877"/>
      <c r="W167" s="1877"/>
      <c r="X167" s="1877"/>
      <c r="Y167" s="1877"/>
      <c r="Z167" s="1878"/>
      <c r="AA167" s="1878"/>
      <c r="AB167" s="1877"/>
      <c r="AC167" s="1877"/>
      <c r="AD167" s="1877"/>
      <c r="AE167" s="1911"/>
      <c r="AF167" s="1912"/>
      <c r="AG167" s="1881"/>
      <c r="AH167" s="1913"/>
      <c r="AI167" s="1518"/>
      <c r="AJ167" s="1897"/>
      <c r="AK167" s="1518"/>
      <c r="AL167" s="1518"/>
      <c r="AM167" s="1518"/>
      <c r="AN167" s="1518"/>
      <c r="AO167" s="1518"/>
      <c r="AP167" s="1518"/>
      <c r="AQ167" s="1518"/>
      <c r="AR167" s="1518"/>
      <c r="AS167" s="1518"/>
      <c r="AT167" s="1518"/>
      <c r="AU167" s="1518"/>
      <c r="AV167" s="1518"/>
      <c r="AW167" s="1518"/>
      <c r="AX167" s="1518"/>
      <c r="AY167" s="1518"/>
      <c r="AZ167" s="1518"/>
      <c r="BA167" s="1518"/>
      <c r="BB167" s="1518"/>
      <c r="BC167" s="1518"/>
      <c r="BD167" s="1518"/>
      <c r="BE167" s="1518"/>
    </row>
    <row r="168" spans="1:57" s="1350" customFormat="1">
      <c r="A168" s="1"/>
      <c r="B168" s="6"/>
      <c r="C168" s="4"/>
      <c r="D168" s="3"/>
      <c r="E168" s="4"/>
      <c r="F168" s="4"/>
      <c r="G168" s="1"/>
      <c r="H168" s="6"/>
      <c r="I168" s="6"/>
      <c r="J168" s="11"/>
      <c r="K168" s="510"/>
      <c r="L168" s="11"/>
      <c r="M168" s="5"/>
      <c r="N168" s="5"/>
      <c r="O168" s="2606"/>
      <c r="P168" s="2608"/>
      <c r="Q168" s="5"/>
      <c r="R168" s="5"/>
      <c r="S168" s="1"/>
      <c r="T168" s="1"/>
      <c r="U168" s="6"/>
      <c r="V168" s="1877"/>
      <c r="W168" s="1877"/>
      <c r="X168" s="1877"/>
      <c r="Y168" s="1877"/>
      <c r="Z168" s="1878"/>
      <c r="AA168" s="1878"/>
      <c r="AB168" s="1877"/>
      <c r="AC168" s="1877"/>
      <c r="AD168" s="1877"/>
      <c r="AE168" s="1911"/>
      <c r="AF168" s="1912"/>
      <c r="AG168" s="1881"/>
      <c r="AH168" s="1913"/>
      <c r="AI168" s="1518"/>
      <c r="AJ168" s="1897"/>
      <c r="AK168" s="1518"/>
      <c r="AL168" s="1518"/>
      <c r="AM168" s="1518"/>
      <c r="AN168" s="1518"/>
      <c r="AO168" s="1518"/>
      <c r="AP168" s="1518"/>
      <c r="AQ168" s="1518"/>
      <c r="AR168" s="1518"/>
      <c r="AS168" s="1518"/>
      <c r="AT168" s="1518"/>
      <c r="AU168" s="1518"/>
      <c r="AV168" s="1518"/>
      <c r="AW168" s="1518"/>
      <c r="AX168" s="1518"/>
      <c r="AY168" s="1518"/>
      <c r="AZ168" s="1518"/>
      <c r="BA168" s="1518"/>
      <c r="BB168" s="1518"/>
      <c r="BC168" s="1518"/>
      <c r="BD168" s="1518"/>
      <c r="BE168" s="1518"/>
    </row>
    <row r="169" spans="1:57" s="1350" customFormat="1">
      <c r="A169" s="1"/>
      <c r="B169" s="6"/>
      <c r="C169" s="4"/>
      <c r="D169" s="3"/>
      <c r="E169" s="4"/>
      <c r="F169" s="4"/>
      <c r="G169" s="1"/>
      <c r="H169" s="6"/>
      <c r="I169" s="6"/>
      <c r="J169" s="11"/>
      <c r="K169" s="510"/>
      <c r="L169" s="11"/>
      <c r="M169" s="5"/>
      <c r="N169" s="5"/>
      <c r="O169" s="2606"/>
      <c r="P169" s="2608"/>
      <c r="Q169" s="5"/>
      <c r="R169" s="5"/>
      <c r="S169" s="1"/>
      <c r="T169" s="1"/>
      <c r="U169" s="6"/>
      <c r="V169" s="1877"/>
      <c r="W169" s="1877"/>
      <c r="X169" s="1877"/>
      <c r="Y169" s="1877"/>
      <c r="Z169" s="1878"/>
      <c r="AA169" s="1878"/>
      <c r="AB169" s="1877"/>
      <c r="AC169" s="1877"/>
      <c r="AD169" s="1877"/>
      <c r="AE169" s="1911"/>
      <c r="AF169" s="1912"/>
      <c r="AG169" s="1881"/>
      <c r="AH169" s="1913"/>
      <c r="AI169" s="1518"/>
      <c r="AJ169" s="1897"/>
      <c r="AK169" s="1518"/>
      <c r="AL169" s="1518"/>
      <c r="AM169" s="1518"/>
      <c r="AN169" s="1518"/>
      <c r="AO169" s="1518"/>
      <c r="AP169" s="1518"/>
      <c r="AQ169" s="1518"/>
      <c r="AR169" s="1518"/>
      <c r="AS169" s="1518"/>
      <c r="AT169" s="1518"/>
      <c r="AU169" s="1518"/>
      <c r="AV169" s="1518"/>
      <c r="AW169" s="1518"/>
      <c r="AX169" s="1518"/>
      <c r="AY169" s="1518"/>
      <c r="AZ169" s="1518"/>
      <c r="BA169" s="1518"/>
      <c r="BB169" s="1518"/>
      <c r="BC169" s="1518"/>
      <c r="BD169" s="1518"/>
      <c r="BE169" s="1518"/>
    </row>
    <row r="170" spans="1:57" s="1350" customFormat="1">
      <c r="A170" s="1"/>
      <c r="B170" s="6"/>
      <c r="C170" s="4"/>
      <c r="D170" s="3"/>
      <c r="E170" s="4"/>
      <c r="F170" s="4"/>
      <c r="G170" s="1"/>
      <c r="H170" s="6"/>
      <c r="I170" s="6"/>
      <c r="J170" s="11"/>
      <c r="K170" s="510"/>
      <c r="L170" s="11"/>
      <c r="M170" s="5"/>
      <c r="N170" s="5"/>
      <c r="O170" s="2606"/>
      <c r="P170" s="2608"/>
      <c r="Q170" s="5"/>
      <c r="R170" s="5"/>
      <c r="S170" s="1"/>
      <c r="T170" s="1"/>
      <c r="U170" s="6"/>
      <c r="V170" s="1877"/>
      <c r="W170" s="1877"/>
      <c r="X170" s="1877"/>
      <c r="Y170" s="1877"/>
      <c r="Z170" s="1878"/>
      <c r="AA170" s="1878"/>
      <c r="AB170" s="1877"/>
      <c r="AC170" s="1877"/>
      <c r="AD170" s="1877"/>
      <c r="AE170" s="1911"/>
      <c r="AF170" s="1912"/>
      <c r="AG170" s="1881"/>
      <c r="AH170" s="1913"/>
      <c r="AI170" s="1518"/>
      <c r="AJ170" s="1897"/>
      <c r="AK170" s="1518"/>
      <c r="AL170" s="1518"/>
      <c r="AM170" s="1518"/>
      <c r="AN170" s="1518"/>
      <c r="AO170" s="1518"/>
      <c r="AP170" s="1518"/>
      <c r="AQ170" s="1518"/>
      <c r="AR170" s="1518"/>
      <c r="AS170" s="1518"/>
      <c r="AT170" s="1518"/>
      <c r="AU170" s="1518"/>
      <c r="AV170" s="1518"/>
      <c r="AW170" s="1518"/>
      <c r="AX170" s="1518"/>
      <c r="AY170" s="1518"/>
      <c r="AZ170" s="1518"/>
      <c r="BA170" s="1518"/>
      <c r="BB170" s="1518"/>
      <c r="BC170" s="1518"/>
      <c r="BD170" s="1518"/>
      <c r="BE170" s="1518"/>
    </row>
    <row r="171" spans="1:57" s="1350" customFormat="1">
      <c r="A171" s="1"/>
      <c r="B171" s="6"/>
      <c r="C171" s="4"/>
      <c r="D171" s="3"/>
      <c r="E171" s="4"/>
      <c r="F171" s="4"/>
      <c r="G171" s="1"/>
      <c r="H171" s="6"/>
      <c r="I171" s="6"/>
      <c r="J171" s="11"/>
      <c r="K171" s="510"/>
      <c r="L171" s="11"/>
      <c r="M171" s="5"/>
      <c r="N171" s="5"/>
      <c r="O171" s="2606"/>
      <c r="P171" s="2608"/>
      <c r="Q171" s="5"/>
      <c r="R171" s="5"/>
      <c r="S171" s="1"/>
      <c r="T171" s="1"/>
      <c r="U171" s="6"/>
      <c r="V171" s="1877"/>
      <c r="W171" s="1877"/>
      <c r="X171" s="1877"/>
      <c r="Y171" s="1877"/>
      <c r="Z171" s="1878"/>
      <c r="AA171" s="1878"/>
      <c r="AB171" s="1877"/>
      <c r="AC171" s="1877"/>
      <c r="AD171" s="1877"/>
      <c r="AE171" s="1911"/>
      <c r="AF171" s="1912"/>
      <c r="AG171" s="1881"/>
      <c r="AH171" s="1913"/>
      <c r="AI171" s="1518"/>
      <c r="AJ171" s="1897"/>
      <c r="AK171" s="1518"/>
      <c r="AL171" s="1518"/>
      <c r="AM171" s="1518"/>
      <c r="AN171" s="1518"/>
      <c r="AO171" s="1518"/>
      <c r="AP171" s="1518"/>
      <c r="AQ171" s="1518"/>
      <c r="AR171" s="1518"/>
      <c r="AS171" s="1518"/>
      <c r="AT171" s="1518"/>
      <c r="AU171" s="1518"/>
      <c r="AV171" s="1518"/>
      <c r="AW171" s="1518"/>
      <c r="AX171" s="1518"/>
      <c r="AY171" s="1518"/>
      <c r="AZ171" s="1518"/>
      <c r="BA171" s="1518"/>
      <c r="BB171" s="1518"/>
      <c r="BC171" s="1518"/>
      <c r="BD171" s="1518"/>
      <c r="BE171" s="1518"/>
    </row>
    <row r="172" spans="1:57" s="1350" customFormat="1">
      <c r="A172" s="1"/>
      <c r="B172" s="6"/>
      <c r="C172" s="4"/>
      <c r="D172" s="3"/>
      <c r="E172" s="4"/>
      <c r="F172" s="4"/>
      <c r="G172" s="1"/>
      <c r="H172" s="6"/>
      <c r="I172" s="6"/>
      <c r="J172" s="11"/>
      <c r="K172" s="510"/>
      <c r="L172" s="11"/>
      <c r="M172" s="5"/>
      <c r="N172" s="5"/>
      <c r="O172" s="2606"/>
      <c r="P172" s="2608"/>
      <c r="Q172" s="5"/>
      <c r="R172" s="5"/>
      <c r="S172" s="1"/>
      <c r="T172" s="1"/>
      <c r="U172" s="6"/>
      <c r="V172" s="1877"/>
      <c r="W172" s="1877"/>
      <c r="X172" s="1877"/>
      <c r="Y172" s="1877"/>
      <c r="Z172" s="1878"/>
      <c r="AA172" s="1878"/>
      <c r="AB172" s="1877"/>
      <c r="AC172" s="1877"/>
      <c r="AD172" s="1877"/>
      <c r="AE172" s="1911"/>
      <c r="AF172" s="1912"/>
      <c r="AG172" s="1881"/>
      <c r="AH172" s="1913"/>
      <c r="AI172" s="1518"/>
      <c r="AJ172" s="1897"/>
      <c r="AK172" s="1518"/>
      <c r="AL172" s="1518"/>
      <c r="AM172" s="1518"/>
      <c r="AN172" s="1518"/>
      <c r="AO172" s="1518"/>
      <c r="AP172" s="1518"/>
      <c r="AQ172" s="1518"/>
      <c r="AR172" s="1518"/>
      <c r="AS172" s="1518"/>
      <c r="AT172" s="1518"/>
      <c r="AU172" s="1518"/>
      <c r="AV172" s="1518"/>
      <c r="AW172" s="1518"/>
      <c r="AX172" s="1518"/>
      <c r="AY172" s="1518"/>
      <c r="AZ172" s="1518"/>
      <c r="BA172" s="1518"/>
      <c r="BB172" s="1518"/>
      <c r="BC172" s="1518"/>
      <c r="BD172" s="1518"/>
      <c r="BE172" s="1518"/>
    </row>
    <row r="173" spans="1:57" s="1350" customFormat="1">
      <c r="A173" s="1"/>
      <c r="B173" s="6"/>
      <c r="C173" s="4"/>
      <c r="D173" s="3"/>
      <c r="E173" s="4"/>
      <c r="F173" s="4"/>
      <c r="G173" s="1"/>
      <c r="H173" s="6"/>
      <c r="I173" s="6"/>
      <c r="J173" s="11"/>
      <c r="K173" s="510"/>
      <c r="L173" s="11"/>
      <c r="M173" s="5"/>
      <c r="N173" s="5"/>
      <c r="O173" s="2606"/>
      <c r="P173" s="2608"/>
      <c r="Q173" s="5"/>
      <c r="R173" s="5"/>
      <c r="S173" s="1"/>
      <c r="T173" s="1"/>
      <c r="U173" s="6"/>
      <c r="V173" s="1877"/>
      <c r="W173" s="1877"/>
      <c r="X173" s="1877"/>
      <c r="Y173" s="1877"/>
      <c r="Z173" s="1878"/>
      <c r="AA173" s="1878"/>
      <c r="AB173" s="1877"/>
      <c r="AC173" s="1877"/>
      <c r="AD173" s="1877"/>
      <c r="AE173" s="1911"/>
      <c r="AF173" s="1912"/>
      <c r="AG173" s="1881"/>
      <c r="AH173" s="1913"/>
      <c r="AI173" s="1518"/>
      <c r="AJ173" s="1897"/>
      <c r="AK173" s="1518"/>
      <c r="AL173" s="1518"/>
      <c r="AM173" s="1518"/>
      <c r="AN173" s="1518"/>
      <c r="AO173" s="1518"/>
      <c r="AP173" s="1518"/>
      <c r="AQ173" s="1518"/>
      <c r="AR173" s="1518"/>
      <c r="AS173" s="1518"/>
      <c r="AT173" s="1518"/>
      <c r="AU173" s="1518"/>
      <c r="AV173" s="1518"/>
      <c r="AW173" s="1518"/>
      <c r="AX173" s="1518"/>
      <c r="AY173" s="1518"/>
      <c r="AZ173" s="1518"/>
      <c r="BA173" s="1518"/>
      <c r="BB173" s="1518"/>
      <c r="BC173" s="1518"/>
      <c r="BD173" s="1518"/>
      <c r="BE173" s="1518"/>
    </row>
    <row r="174" spans="1:57" s="1350" customFormat="1">
      <c r="A174" s="1"/>
      <c r="B174" s="6"/>
      <c r="C174" s="4"/>
      <c r="D174" s="3"/>
      <c r="E174" s="4"/>
      <c r="F174" s="4"/>
      <c r="G174" s="1"/>
      <c r="H174" s="6"/>
      <c r="I174" s="6"/>
      <c r="J174" s="11"/>
      <c r="K174" s="510"/>
      <c r="L174" s="11"/>
      <c r="M174" s="5"/>
      <c r="N174" s="5"/>
      <c r="O174" s="2606"/>
      <c r="P174" s="2608"/>
      <c r="Q174" s="5"/>
      <c r="R174" s="5"/>
      <c r="S174" s="1"/>
      <c r="T174" s="1"/>
      <c r="U174" s="6"/>
      <c r="V174" s="1877"/>
      <c r="W174" s="1877"/>
      <c r="X174" s="1877"/>
      <c r="Y174" s="1877"/>
      <c r="Z174" s="1878"/>
      <c r="AA174" s="1878"/>
      <c r="AB174" s="1877"/>
      <c r="AC174" s="1877"/>
      <c r="AD174" s="1877"/>
      <c r="AE174" s="1911"/>
      <c r="AF174" s="1912"/>
      <c r="AG174" s="1881"/>
      <c r="AH174" s="1913"/>
      <c r="AI174" s="1518"/>
      <c r="AJ174" s="1897"/>
      <c r="AK174" s="1518"/>
      <c r="AL174" s="1518"/>
      <c r="AM174" s="1518"/>
      <c r="AN174" s="1518"/>
      <c r="AO174" s="1518"/>
      <c r="AP174" s="1518"/>
      <c r="AQ174" s="1518"/>
      <c r="AR174" s="1518"/>
      <c r="AS174" s="1518"/>
      <c r="AT174" s="1518"/>
      <c r="AU174" s="1518"/>
      <c r="AV174" s="1518"/>
      <c r="AW174" s="1518"/>
      <c r="AX174" s="1518"/>
      <c r="AY174" s="1518"/>
      <c r="AZ174" s="1518"/>
      <c r="BA174" s="1518"/>
      <c r="BB174" s="1518"/>
      <c r="BC174" s="1518"/>
      <c r="BD174" s="1518"/>
      <c r="BE174" s="1518"/>
    </row>
    <row r="175" spans="1:57" s="1350" customFormat="1">
      <c r="A175" s="1"/>
      <c r="B175" s="6"/>
      <c r="C175" s="4"/>
      <c r="D175" s="3"/>
      <c r="E175" s="4"/>
      <c r="F175" s="4"/>
      <c r="G175" s="1"/>
      <c r="H175" s="6"/>
      <c r="I175" s="6"/>
      <c r="J175" s="11"/>
      <c r="K175" s="510"/>
      <c r="L175" s="11"/>
      <c r="M175" s="5"/>
      <c r="N175" s="5"/>
      <c r="O175" s="2606"/>
      <c r="P175" s="2608"/>
      <c r="Q175" s="5"/>
      <c r="R175" s="5"/>
      <c r="S175" s="1"/>
      <c r="T175" s="1"/>
      <c r="U175" s="6"/>
      <c r="V175" s="1877"/>
      <c r="W175" s="1877"/>
      <c r="X175" s="1877"/>
      <c r="Y175" s="1877"/>
      <c r="Z175" s="1878"/>
      <c r="AA175" s="1878"/>
      <c r="AB175" s="1877"/>
      <c r="AC175" s="1877"/>
      <c r="AD175" s="1877"/>
      <c r="AE175" s="1911"/>
      <c r="AF175" s="1912"/>
      <c r="AG175" s="1881"/>
      <c r="AH175" s="1913"/>
      <c r="AI175" s="1518"/>
      <c r="AJ175" s="1897"/>
      <c r="AK175" s="1518"/>
      <c r="AL175" s="1518"/>
      <c r="AM175" s="1518"/>
      <c r="AN175" s="1518"/>
      <c r="AO175" s="1518"/>
      <c r="AP175" s="1518"/>
      <c r="AQ175" s="1518"/>
      <c r="AR175" s="1518"/>
      <c r="AS175" s="1518"/>
      <c r="AT175" s="1518"/>
      <c r="AU175" s="1518"/>
      <c r="AV175" s="1518"/>
      <c r="AW175" s="1518"/>
      <c r="AX175" s="1518"/>
      <c r="AY175" s="1518"/>
      <c r="AZ175" s="1518"/>
      <c r="BA175" s="1518"/>
      <c r="BB175" s="1518"/>
      <c r="BC175" s="1518"/>
      <c r="BD175" s="1518"/>
      <c r="BE175" s="1518"/>
    </row>
    <row r="176" spans="1:57" s="1350" customFormat="1">
      <c r="A176" s="1"/>
      <c r="B176" s="6"/>
      <c r="C176" s="4"/>
      <c r="D176" s="3"/>
      <c r="E176" s="4"/>
      <c r="F176" s="4"/>
      <c r="G176" s="1"/>
      <c r="H176" s="6"/>
      <c r="I176" s="6"/>
      <c r="J176" s="11"/>
      <c r="K176" s="510"/>
      <c r="L176" s="11"/>
      <c r="M176" s="5"/>
      <c r="N176" s="5"/>
      <c r="O176" s="2606"/>
      <c r="P176" s="2608"/>
      <c r="Q176" s="5"/>
      <c r="R176" s="5"/>
      <c r="S176" s="1"/>
      <c r="T176" s="1"/>
      <c r="U176" s="6"/>
      <c r="V176" s="1877"/>
      <c r="W176" s="1877"/>
      <c r="X176" s="1877"/>
      <c r="Y176" s="1877"/>
      <c r="Z176" s="1878"/>
      <c r="AA176" s="1878"/>
      <c r="AB176" s="1877"/>
      <c r="AC176" s="1877"/>
      <c r="AD176" s="1877"/>
      <c r="AE176" s="1911"/>
      <c r="AF176" s="1912"/>
      <c r="AG176" s="1881"/>
      <c r="AH176" s="1913"/>
      <c r="AI176" s="1518"/>
      <c r="AJ176" s="1897"/>
      <c r="AK176" s="1518"/>
      <c r="AL176" s="1518"/>
      <c r="AM176" s="1518"/>
      <c r="AN176" s="1518"/>
      <c r="AO176" s="1518"/>
      <c r="AP176" s="1518"/>
      <c r="AQ176" s="1518"/>
      <c r="AR176" s="1518"/>
      <c r="AS176" s="1518"/>
      <c r="AT176" s="1518"/>
      <c r="AU176" s="1518"/>
      <c r="AV176" s="1518"/>
      <c r="AW176" s="1518"/>
      <c r="AX176" s="1518"/>
      <c r="AY176" s="1518"/>
      <c r="AZ176" s="1518"/>
      <c r="BA176" s="1518"/>
      <c r="BB176" s="1518"/>
      <c r="BC176" s="1518"/>
      <c r="BD176" s="1518"/>
      <c r="BE176" s="1518"/>
    </row>
    <row r="177" spans="1:57" s="1350" customFormat="1">
      <c r="A177" s="1"/>
      <c r="B177" s="6"/>
      <c r="C177" s="4"/>
      <c r="D177" s="3"/>
      <c r="E177" s="4"/>
      <c r="F177" s="4"/>
      <c r="G177" s="1"/>
      <c r="H177" s="6"/>
      <c r="I177" s="6"/>
      <c r="J177" s="11"/>
      <c r="K177" s="510"/>
      <c r="L177" s="11"/>
      <c r="M177" s="5"/>
      <c r="N177" s="5"/>
      <c r="O177" s="2606"/>
      <c r="P177" s="2608"/>
      <c r="Q177" s="5"/>
      <c r="R177" s="5"/>
      <c r="S177" s="1"/>
      <c r="T177" s="1"/>
      <c r="U177" s="6"/>
      <c r="V177" s="1877"/>
      <c r="W177" s="1877"/>
      <c r="X177" s="1877"/>
      <c r="Y177" s="1877"/>
      <c r="Z177" s="1878"/>
      <c r="AA177" s="1878"/>
      <c r="AB177" s="1877"/>
      <c r="AC177" s="1877"/>
      <c r="AD177" s="1877"/>
      <c r="AE177" s="1911"/>
      <c r="AF177" s="1912"/>
      <c r="AG177" s="1881"/>
      <c r="AH177" s="1913"/>
      <c r="AI177" s="1518"/>
      <c r="AJ177" s="1897"/>
      <c r="AK177" s="1518"/>
      <c r="AL177" s="1518"/>
      <c r="AM177" s="1518"/>
      <c r="AN177" s="1518"/>
      <c r="AO177" s="1518"/>
      <c r="AP177" s="1518"/>
      <c r="AQ177" s="1518"/>
      <c r="AR177" s="1518"/>
      <c r="AS177" s="1518"/>
      <c r="AT177" s="1518"/>
      <c r="AU177" s="1518"/>
      <c r="AV177" s="1518"/>
      <c r="AW177" s="1518"/>
      <c r="AX177" s="1518"/>
      <c r="AY177" s="1518"/>
      <c r="AZ177" s="1518"/>
      <c r="BA177" s="1518"/>
      <c r="BB177" s="1518"/>
      <c r="BC177" s="1518"/>
      <c r="BD177" s="1518"/>
      <c r="BE177" s="1518"/>
    </row>
    <row r="178" spans="1:57" s="1350" customFormat="1">
      <c r="A178" s="1"/>
      <c r="B178" s="6"/>
      <c r="C178" s="4"/>
      <c r="D178" s="3"/>
      <c r="E178" s="4"/>
      <c r="F178" s="4"/>
      <c r="G178" s="1"/>
      <c r="H178" s="6"/>
      <c r="I178" s="6"/>
      <c r="J178" s="11"/>
      <c r="K178" s="510"/>
      <c r="L178" s="11"/>
      <c r="M178" s="5"/>
      <c r="N178" s="5"/>
      <c r="O178" s="2606"/>
      <c r="P178" s="2608"/>
      <c r="Q178" s="5"/>
      <c r="R178" s="5"/>
      <c r="S178" s="1"/>
      <c r="T178" s="1"/>
      <c r="U178" s="6"/>
      <c r="V178" s="1877"/>
      <c r="W178" s="1877"/>
      <c r="X178" s="1877"/>
      <c r="Y178" s="1877"/>
      <c r="Z178" s="1878"/>
      <c r="AA178" s="1878"/>
      <c r="AB178" s="1877"/>
      <c r="AC178" s="1877"/>
      <c r="AD178" s="1877"/>
      <c r="AE178" s="1911"/>
      <c r="AF178" s="1912"/>
      <c r="AG178" s="1881"/>
      <c r="AH178" s="1913"/>
      <c r="AI178" s="1518"/>
      <c r="AJ178" s="1897"/>
      <c r="AK178" s="1518"/>
      <c r="AL178" s="1518"/>
      <c r="AM178" s="1518"/>
      <c r="AN178" s="1518"/>
      <c r="AO178" s="1518"/>
      <c r="AP178" s="1518"/>
      <c r="AQ178" s="1518"/>
      <c r="AR178" s="1518"/>
      <c r="AS178" s="1518"/>
      <c r="AT178" s="1518"/>
      <c r="AU178" s="1518"/>
      <c r="AV178" s="1518"/>
      <c r="AW178" s="1518"/>
      <c r="AX178" s="1518"/>
      <c r="AY178" s="1518"/>
      <c r="AZ178" s="1518"/>
      <c r="BA178" s="1518"/>
      <c r="BB178" s="1518"/>
      <c r="BC178" s="1518"/>
      <c r="BD178" s="1518"/>
      <c r="BE178" s="1518"/>
    </row>
    <row r="179" spans="1:57" s="1350" customFormat="1">
      <c r="A179" s="1"/>
      <c r="B179" s="6"/>
      <c r="C179" s="4"/>
      <c r="D179" s="3"/>
      <c r="E179" s="4"/>
      <c r="F179" s="4"/>
      <c r="G179" s="1"/>
      <c r="H179" s="6"/>
      <c r="I179" s="6"/>
      <c r="J179" s="11"/>
      <c r="K179" s="510"/>
      <c r="L179" s="11"/>
      <c r="M179" s="5"/>
      <c r="N179" s="5"/>
      <c r="O179" s="2606"/>
      <c r="P179" s="2608"/>
      <c r="Q179" s="5"/>
      <c r="R179" s="5"/>
      <c r="S179" s="1"/>
      <c r="T179" s="1"/>
      <c r="U179" s="6"/>
      <c r="V179" s="1877"/>
      <c r="W179" s="1877"/>
      <c r="X179" s="1877"/>
      <c r="Y179" s="1877"/>
      <c r="Z179" s="1878"/>
      <c r="AA179" s="1878"/>
      <c r="AB179" s="1877"/>
      <c r="AC179" s="1877"/>
      <c r="AD179" s="1877"/>
      <c r="AE179" s="1911"/>
      <c r="AF179" s="1912"/>
      <c r="AG179" s="1881"/>
      <c r="AH179" s="1913"/>
      <c r="AI179" s="1518"/>
      <c r="AJ179" s="1897"/>
      <c r="AK179" s="1518"/>
      <c r="AL179" s="1518"/>
      <c r="AM179" s="1518"/>
      <c r="AN179" s="1518"/>
      <c r="AO179" s="1518"/>
      <c r="AP179" s="1518"/>
      <c r="AQ179" s="1518"/>
      <c r="AR179" s="1518"/>
      <c r="AS179" s="1518"/>
      <c r="AT179" s="1518"/>
      <c r="AU179" s="1518"/>
      <c r="AV179" s="1518"/>
      <c r="AW179" s="1518"/>
      <c r="AX179" s="1518"/>
      <c r="AY179" s="1518"/>
      <c r="AZ179" s="1518"/>
      <c r="BA179" s="1518"/>
      <c r="BB179" s="1518"/>
      <c r="BC179" s="1518"/>
      <c r="BD179" s="1518"/>
      <c r="BE179" s="1518"/>
    </row>
    <row r="180" spans="1:57" s="1350" customFormat="1">
      <c r="A180" s="1"/>
      <c r="B180" s="6"/>
      <c r="C180" s="4"/>
      <c r="D180" s="3"/>
      <c r="E180" s="4"/>
      <c r="F180" s="4"/>
      <c r="G180" s="1"/>
      <c r="H180" s="6"/>
      <c r="I180" s="6"/>
      <c r="J180" s="11"/>
      <c r="K180" s="510"/>
      <c r="L180" s="11"/>
      <c r="M180" s="5"/>
      <c r="N180" s="5"/>
      <c r="O180" s="2606"/>
      <c r="P180" s="2608"/>
      <c r="Q180" s="5"/>
      <c r="R180" s="5"/>
      <c r="S180" s="1"/>
      <c r="T180" s="1"/>
      <c r="U180" s="6"/>
      <c r="V180" s="1877"/>
      <c r="W180" s="1877"/>
      <c r="X180" s="1877"/>
      <c r="Y180" s="1877"/>
      <c r="Z180" s="1878"/>
      <c r="AA180" s="1878"/>
      <c r="AB180" s="1877"/>
      <c r="AC180" s="1877"/>
      <c r="AD180" s="1877"/>
      <c r="AE180" s="1911"/>
      <c r="AF180" s="1912"/>
      <c r="AG180" s="1881"/>
      <c r="AH180" s="1913"/>
      <c r="AI180" s="1518"/>
      <c r="AJ180" s="1897"/>
      <c r="AK180" s="1518"/>
      <c r="AL180" s="1518"/>
      <c r="AM180" s="1518"/>
      <c r="AN180" s="1518"/>
      <c r="AO180" s="1518"/>
      <c r="AP180" s="1518"/>
      <c r="AQ180" s="1518"/>
      <c r="AR180" s="1518"/>
      <c r="AS180" s="1518"/>
      <c r="AT180" s="1518"/>
      <c r="AU180" s="1518"/>
      <c r="AV180" s="1518"/>
      <c r="AW180" s="1518"/>
      <c r="AX180" s="1518"/>
      <c r="AY180" s="1518"/>
      <c r="AZ180" s="1518"/>
      <c r="BA180" s="1518"/>
      <c r="BB180" s="1518"/>
      <c r="BC180" s="1518"/>
      <c r="BD180" s="1518"/>
      <c r="BE180" s="1518"/>
    </row>
    <row r="181" spans="1:57" s="1350" customFormat="1">
      <c r="A181" s="1"/>
      <c r="B181" s="6"/>
      <c r="C181" s="4"/>
      <c r="D181" s="3"/>
      <c r="E181" s="4"/>
      <c r="F181" s="4"/>
      <c r="G181" s="1"/>
      <c r="H181" s="6"/>
      <c r="I181" s="6"/>
      <c r="J181" s="11"/>
      <c r="K181" s="510"/>
      <c r="L181" s="11"/>
      <c r="M181" s="5"/>
      <c r="N181" s="5"/>
      <c r="O181" s="2606"/>
      <c r="P181" s="2608"/>
      <c r="Q181" s="5"/>
      <c r="R181" s="5"/>
      <c r="S181" s="1"/>
      <c r="T181" s="1"/>
      <c r="U181" s="6"/>
      <c r="V181" s="1877"/>
      <c r="W181" s="1877"/>
      <c r="X181" s="1877"/>
      <c r="Y181" s="1877"/>
      <c r="Z181" s="1878"/>
      <c r="AA181" s="1878"/>
      <c r="AB181" s="1877"/>
      <c r="AC181" s="1877"/>
      <c r="AD181" s="1877"/>
      <c r="AE181" s="1911"/>
      <c r="AF181" s="1912"/>
      <c r="AG181" s="1881"/>
      <c r="AH181" s="1913"/>
      <c r="AI181" s="1518"/>
      <c r="AJ181" s="1897"/>
      <c r="AK181" s="1518"/>
      <c r="AL181" s="1518"/>
      <c r="AM181" s="1518"/>
      <c r="AN181" s="1518"/>
      <c r="AO181" s="1518"/>
      <c r="AP181" s="1518"/>
      <c r="AQ181" s="1518"/>
      <c r="AR181" s="1518"/>
      <c r="AS181" s="1518"/>
      <c r="AT181" s="1518"/>
      <c r="AU181" s="1518"/>
      <c r="AV181" s="1518"/>
      <c r="AW181" s="1518"/>
      <c r="AX181" s="1518"/>
      <c r="AY181" s="1518"/>
      <c r="AZ181" s="1518"/>
      <c r="BA181" s="1518"/>
      <c r="BB181" s="1518"/>
      <c r="BC181" s="1518"/>
      <c r="BD181" s="1518"/>
      <c r="BE181" s="1518"/>
    </row>
    <row r="182" spans="1:57" s="1350" customFormat="1">
      <c r="A182" s="1"/>
      <c r="B182" s="6"/>
      <c r="C182" s="4"/>
      <c r="D182" s="3"/>
      <c r="E182" s="4"/>
      <c r="F182" s="4"/>
      <c r="G182" s="1"/>
      <c r="H182" s="6"/>
      <c r="I182" s="6"/>
      <c r="J182" s="11"/>
      <c r="K182" s="510"/>
      <c r="L182" s="11"/>
      <c r="M182" s="5"/>
      <c r="N182" s="5"/>
      <c r="O182" s="2606"/>
      <c r="P182" s="2608"/>
      <c r="Q182" s="5"/>
      <c r="R182" s="5"/>
      <c r="S182" s="1"/>
      <c r="T182" s="1"/>
      <c r="U182" s="6"/>
      <c r="V182" s="1877"/>
      <c r="W182" s="1877"/>
      <c r="X182" s="1877"/>
      <c r="Y182" s="1877"/>
      <c r="Z182" s="1878"/>
      <c r="AA182" s="1878"/>
      <c r="AB182" s="1877"/>
      <c r="AC182" s="1877"/>
      <c r="AD182" s="1877"/>
      <c r="AE182" s="1911"/>
      <c r="AF182" s="1912"/>
      <c r="AG182" s="1881"/>
      <c r="AH182" s="1913"/>
      <c r="AI182" s="1518"/>
      <c r="AJ182" s="1897"/>
      <c r="AK182" s="1518"/>
      <c r="AL182" s="1518"/>
      <c r="AM182" s="1518"/>
      <c r="AN182" s="1518"/>
      <c r="AO182" s="1518"/>
      <c r="AP182" s="1518"/>
      <c r="AQ182" s="1518"/>
      <c r="AR182" s="1518"/>
      <c r="AS182" s="1518"/>
      <c r="AT182" s="1518"/>
      <c r="AU182" s="1518"/>
      <c r="AV182" s="1518"/>
      <c r="AW182" s="1518"/>
      <c r="AX182" s="1518"/>
      <c r="AY182" s="1518"/>
      <c r="AZ182" s="1518"/>
      <c r="BA182" s="1518"/>
      <c r="BB182" s="1518"/>
      <c r="BC182" s="1518"/>
      <c r="BD182" s="1518"/>
      <c r="BE182" s="1518"/>
    </row>
    <row r="183" spans="1:57" s="1350" customFormat="1">
      <c r="A183" s="1"/>
      <c r="B183" s="6"/>
      <c r="C183" s="4"/>
      <c r="D183" s="3"/>
      <c r="E183" s="4"/>
      <c r="F183" s="4"/>
      <c r="G183" s="1"/>
      <c r="H183" s="6"/>
      <c r="I183" s="6"/>
      <c r="J183" s="11"/>
      <c r="K183" s="510"/>
      <c r="L183" s="11"/>
      <c r="M183" s="5"/>
      <c r="N183" s="5"/>
      <c r="O183" s="2606"/>
      <c r="P183" s="2608"/>
      <c r="Q183" s="5"/>
      <c r="R183" s="5"/>
      <c r="S183" s="1"/>
      <c r="T183" s="1"/>
      <c r="U183" s="6"/>
      <c r="V183" s="1877"/>
      <c r="W183" s="1877"/>
      <c r="X183" s="1877"/>
      <c r="Y183" s="1877"/>
      <c r="Z183" s="1878"/>
      <c r="AA183" s="1878"/>
      <c r="AB183" s="1877"/>
      <c r="AC183" s="1877"/>
      <c r="AD183" s="1877"/>
      <c r="AE183" s="1911"/>
      <c r="AF183" s="1912"/>
      <c r="AG183" s="1881"/>
      <c r="AH183" s="1913"/>
      <c r="AI183" s="1518"/>
      <c r="AJ183" s="1897"/>
      <c r="AK183" s="1518"/>
      <c r="AL183" s="1518"/>
      <c r="AM183" s="1518"/>
      <c r="AN183" s="1518"/>
      <c r="AO183" s="1518"/>
      <c r="AP183" s="1518"/>
      <c r="AQ183" s="1518"/>
      <c r="AR183" s="1518"/>
      <c r="AS183" s="1518"/>
      <c r="AT183" s="1518"/>
      <c r="AU183" s="1518"/>
      <c r="AV183" s="1518"/>
      <c r="AW183" s="1518"/>
      <c r="AX183" s="1518"/>
      <c r="AY183" s="1518"/>
      <c r="AZ183" s="1518"/>
      <c r="BA183" s="1518"/>
      <c r="BB183" s="1518"/>
      <c r="BC183" s="1518"/>
      <c r="BD183" s="1518"/>
      <c r="BE183" s="1518"/>
    </row>
    <row r="184" spans="1:57" s="1350" customFormat="1">
      <c r="A184" s="1"/>
      <c r="B184" s="6"/>
      <c r="C184" s="4"/>
      <c r="D184" s="3"/>
      <c r="E184" s="4"/>
      <c r="F184" s="4"/>
      <c r="G184" s="1"/>
      <c r="H184" s="6"/>
      <c r="I184" s="6"/>
      <c r="J184" s="11"/>
      <c r="K184" s="510"/>
      <c r="L184" s="11"/>
      <c r="M184" s="5"/>
      <c r="N184" s="5"/>
      <c r="O184" s="2606"/>
      <c r="P184" s="2608"/>
      <c r="Q184" s="5"/>
      <c r="R184" s="5"/>
      <c r="S184" s="1"/>
      <c r="T184" s="1"/>
      <c r="U184" s="6"/>
      <c r="V184" s="1877"/>
      <c r="W184" s="1877"/>
      <c r="X184" s="1877"/>
      <c r="Y184" s="1877"/>
      <c r="Z184" s="1878"/>
      <c r="AA184" s="1878"/>
      <c r="AB184" s="1877"/>
      <c r="AC184" s="1877"/>
      <c r="AD184" s="1877"/>
      <c r="AE184" s="1911"/>
      <c r="AF184" s="1912"/>
      <c r="AG184" s="1881"/>
      <c r="AH184" s="1913"/>
      <c r="AI184" s="1518"/>
      <c r="AJ184" s="1897"/>
      <c r="AK184" s="1518"/>
      <c r="AL184" s="1518"/>
      <c r="AM184" s="1518"/>
      <c r="AN184" s="1518"/>
      <c r="AO184" s="1518"/>
      <c r="AP184" s="1518"/>
      <c r="AQ184" s="1518"/>
      <c r="AR184" s="1518"/>
      <c r="AS184" s="1518"/>
      <c r="AT184" s="1518"/>
      <c r="AU184" s="1518"/>
      <c r="AV184" s="1518"/>
      <c r="AW184" s="1518"/>
      <c r="AX184" s="1518"/>
      <c r="AY184" s="1518"/>
      <c r="AZ184" s="1518"/>
      <c r="BA184" s="1518"/>
      <c r="BB184" s="1518"/>
      <c r="BC184" s="1518"/>
      <c r="BD184" s="1518"/>
      <c r="BE184" s="1518"/>
    </row>
    <row r="185" spans="1:57" s="1350" customFormat="1">
      <c r="A185" s="1"/>
      <c r="B185" s="6"/>
      <c r="C185" s="4"/>
      <c r="D185" s="3"/>
      <c r="E185" s="4"/>
      <c r="F185" s="4"/>
      <c r="G185" s="1"/>
      <c r="H185" s="6"/>
      <c r="I185" s="6"/>
      <c r="J185" s="11"/>
      <c r="K185" s="510"/>
      <c r="L185" s="11"/>
      <c r="M185" s="5"/>
      <c r="N185" s="5"/>
      <c r="O185" s="2606"/>
      <c r="P185" s="2608"/>
      <c r="Q185" s="5"/>
      <c r="R185" s="5"/>
      <c r="S185" s="1"/>
      <c r="T185" s="1"/>
      <c r="U185" s="6"/>
      <c r="V185" s="1877"/>
      <c r="W185" s="1877"/>
      <c r="X185" s="1877"/>
      <c r="Y185" s="1877"/>
      <c r="Z185" s="1878"/>
      <c r="AA185" s="1878"/>
      <c r="AB185" s="1877"/>
      <c r="AC185" s="1877"/>
      <c r="AD185" s="1877"/>
      <c r="AE185" s="1911"/>
      <c r="AF185" s="1912"/>
      <c r="AG185" s="1881"/>
      <c r="AH185" s="1913"/>
      <c r="AI185" s="1518"/>
      <c r="AJ185" s="1897"/>
      <c r="AK185" s="1518"/>
      <c r="AL185" s="1518"/>
      <c r="AM185" s="1518"/>
      <c r="AN185" s="1518"/>
      <c r="AO185" s="1518"/>
      <c r="AP185" s="1518"/>
      <c r="AQ185" s="1518"/>
      <c r="AR185" s="1518"/>
      <c r="AS185" s="1518"/>
      <c r="AT185" s="1518"/>
      <c r="AU185" s="1518"/>
      <c r="AV185" s="1518"/>
      <c r="AW185" s="1518"/>
      <c r="AX185" s="1518"/>
      <c r="AY185" s="1518"/>
      <c r="AZ185" s="1518"/>
      <c r="BA185" s="1518"/>
      <c r="BB185" s="1518"/>
      <c r="BC185" s="1518"/>
      <c r="BD185" s="1518"/>
      <c r="BE185" s="1518"/>
    </row>
    <row r="186" spans="1:57" s="1350" customFormat="1">
      <c r="A186" s="1"/>
      <c r="B186" s="6"/>
      <c r="C186" s="4"/>
      <c r="D186" s="3"/>
      <c r="E186" s="4"/>
      <c r="F186" s="4"/>
      <c r="G186" s="1"/>
      <c r="H186" s="6"/>
      <c r="I186" s="6"/>
      <c r="J186" s="11"/>
      <c r="K186" s="510"/>
      <c r="L186" s="11"/>
      <c r="M186" s="5"/>
      <c r="N186" s="5"/>
      <c r="O186" s="2606"/>
      <c r="P186" s="2608"/>
      <c r="Q186" s="5"/>
      <c r="R186" s="5"/>
      <c r="S186" s="1"/>
      <c r="T186" s="1"/>
      <c r="U186" s="6"/>
      <c r="V186" s="1877"/>
      <c r="W186" s="1877"/>
      <c r="X186" s="1877"/>
      <c r="Y186" s="1877"/>
      <c r="Z186" s="1878"/>
      <c r="AA186" s="1878"/>
      <c r="AB186" s="1877"/>
      <c r="AC186" s="1877"/>
      <c r="AD186" s="1877"/>
      <c r="AE186" s="1911"/>
      <c r="AF186" s="1912"/>
      <c r="AG186" s="1881"/>
      <c r="AH186" s="1913"/>
      <c r="AI186" s="1518"/>
      <c r="AJ186" s="1897"/>
      <c r="AK186" s="1518"/>
      <c r="AL186" s="1518"/>
      <c r="AM186" s="1518"/>
      <c r="AN186" s="1518"/>
      <c r="AO186" s="1518"/>
      <c r="AP186" s="1518"/>
      <c r="AQ186" s="1518"/>
      <c r="AR186" s="1518"/>
      <c r="AS186" s="1518"/>
      <c r="AT186" s="1518"/>
      <c r="AU186" s="1518"/>
      <c r="AV186" s="1518"/>
      <c r="AW186" s="1518"/>
      <c r="AX186" s="1518"/>
      <c r="AY186" s="1518"/>
      <c r="AZ186" s="1518"/>
      <c r="BA186" s="1518"/>
      <c r="BB186" s="1518"/>
      <c r="BC186" s="1518"/>
      <c r="BD186" s="1518"/>
      <c r="BE186" s="1518"/>
    </row>
    <row r="187" spans="1:57" s="1350" customFormat="1">
      <c r="A187" s="1"/>
      <c r="B187" s="6"/>
      <c r="C187" s="4"/>
      <c r="D187" s="3"/>
      <c r="E187" s="4"/>
      <c r="F187" s="4"/>
      <c r="G187" s="1"/>
      <c r="H187" s="6"/>
      <c r="I187" s="6"/>
      <c r="J187" s="11"/>
      <c r="K187" s="510"/>
      <c r="L187" s="11"/>
      <c r="M187" s="5"/>
      <c r="N187" s="5"/>
      <c r="O187" s="2606"/>
      <c r="P187" s="2608"/>
      <c r="Q187" s="5"/>
      <c r="R187" s="5"/>
      <c r="S187" s="1"/>
      <c r="T187" s="1"/>
      <c r="U187" s="6"/>
      <c r="V187" s="1877"/>
      <c r="W187" s="1877"/>
      <c r="X187" s="1877"/>
      <c r="Y187" s="1877"/>
      <c r="Z187" s="1878"/>
      <c r="AA187" s="1878"/>
      <c r="AB187" s="1877"/>
      <c r="AC187" s="1877"/>
      <c r="AD187" s="1877"/>
      <c r="AE187" s="1911"/>
      <c r="AF187" s="1912"/>
      <c r="AG187" s="1881"/>
      <c r="AH187" s="1913"/>
      <c r="AI187" s="1518"/>
      <c r="AJ187" s="1897"/>
      <c r="AK187" s="1518"/>
      <c r="AL187" s="1518"/>
      <c r="AM187" s="1518"/>
      <c r="AN187" s="1518"/>
      <c r="AO187" s="1518"/>
      <c r="AP187" s="1518"/>
      <c r="AQ187" s="1518"/>
      <c r="AR187" s="1518"/>
      <c r="AS187" s="1518"/>
      <c r="AT187" s="1518"/>
      <c r="AU187" s="1518"/>
      <c r="AV187" s="1518"/>
      <c r="AW187" s="1518"/>
      <c r="AX187" s="1518"/>
      <c r="AY187" s="1518"/>
      <c r="AZ187" s="1518"/>
      <c r="BA187" s="1518"/>
      <c r="BB187" s="1518"/>
      <c r="BC187" s="1518"/>
      <c r="BD187" s="1518"/>
      <c r="BE187" s="1518"/>
    </row>
    <row r="188" spans="1:57" s="1350" customFormat="1">
      <c r="A188" s="1"/>
      <c r="B188" s="6"/>
      <c r="C188" s="4"/>
      <c r="D188" s="3"/>
      <c r="E188" s="4"/>
      <c r="F188" s="4"/>
      <c r="G188" s="1"/>
      <c r="H188" s="6"/>
      <c r="I188" s="6"/>
      <c r="J188" s="11"/>
      <c r="K188" s="510"/>
      <c r="L188" s="11"/>
      <c r="M188" s="5"/>
      <c r="N188" s="5"/>
      <c r="O188" s="2606"/>
      <c r="P188" s="2608"/>
      <c r="Q188" s="5"/>
      <c r="R188" s="5"/>
      <c r="S188" s="1"/>
      <c r="T188" s="1"/>
      <c r="U188" s="6"/>
      <c r="V188" s="1877"/>
      <c r="W188" s="1877"/>
      <c r="X188" s="1877"/>
      <c r="Y188" s="1877"/>
      <c r="Z188" s="1878"/>
      <c r="AA188" s="1878"/>
      <c r="AB188" s="1877"/>
      <c r="AC188" s="1877"/>
      <c r="AD188" s="1877"/>
      <c r="AE188" s="1911"/>
      <c r="AF188" s="1912"/>
      <c r="AG188" s="1881"/>
      <c r="AH188" s="1913"/>
      <c r="AI188" s="1518"/>
      <c r="AJ188" s="1897"/>
      <c r="AK188" s="1518"/>
      <c r="AL188" s="1518"/>
      <c r="AM188" s="1518"/>
      <c r="AN188" s="1518"/>
      <c r="AO188" s="1518"/>
      <c r="AP188" s="1518"/>
      <c r="AQ188" s="1518"/>
      <c r="AR188" s="1518"/>
      <c r="AS188" s="1518"/>
      <c r="AT188" s="1518"/>
      <c r="AU188" s="1518"/>
      <c r="AV188" s="1518"/>
      <c r="AW188" s="1518"/>
      <c r="AX188" s="1518"/>
      <c r="AY188" s="1518"/>
      <c r="AZ188" s="1518"/>
      <c r="BA188" s="1518"/>
      <c r="BB188" s="1518"/>
      <c r="BC188" s="1518"/>
      <c r="BD188" s="1518"/>
      <c r="BE188" s="1518"/>
    </row>
    <row r="189" spans="1:57" s="1350" customFormat="1">
      <c r="A189" s="1"/>
      <c r="B189" s="6"/>
      <c r="C189" s="4"/>
      <c r="D189" s="3"/>
      <c r="E189" s="4"/>
      <c r="F189" s="4"/>
      <c r="G189" s="1"/>
      <c r="H189" s="6"/>
      <c r="I189" s="6"/>
      <c r="J189" s="11"/>
      <c r="K189" s="510"/>
      <c r="L189" s="11"/>
      <c r="M189" s="5"/>
      <c r="N189" s="5"/>
      <c r="O189" s="2606"/>
      <c r="P189" s="2608"/>
      <c r="Q189" s="5"/>
      <c r="R189" s="5"/>
      <c r="S189" s="1"/>
      <c r="T189" s="1"/>
      <c r="U189" s="6"/>
      <c r="V189" s="1877"/>
      <c r="W189" s="1877"/>
      <c r="X189" s="1877"/>
      <c r="Y189" s="1877"/>
      <c r="Z189" s="1878"/>
      <c r="AA189" s="1878"/>
      <c r="AB189" s="1877"/>
      <c r="AC189" s="1877"/>
      <c r="AD189" s="1877"/>
      <c r="AE189" s="1911"/>
      <c r="AF189" s="1912"/>
      <c r="AG189" s="1881"/>
      <c r="AH189" s="1913"/>
      <c r="AI189" s="1518"/>
      <c r="AJ189" s="1897"/>
      <c r="AK189" s="1518"/>
      <c r="AL189" s="1518"/>
      <c r="AM189" s="1518"/>
      <c r="AN189" s="1518"/>
      <c r="AO189" s="1518"/>
      <c r="AP189" s="1518"/>
      <c r="AQ189" s="1518"/>
      <c r="AR189" s="1518"/>
      <c r="AS189" s="1518"/>
      <c r="AT189" s="1518"/>
      <c r="AU189" s="1518"/>
      <c r="AV189" s="1518"/>
      <c r="AW189" s="1518"/>
      <c r="AX189" s="1518"/>
      <c r="AY189" s="1518"/>
      <c r="AZ189" s="1518"/>
      <c r="BA189" s="1518"/>
      <c r="BB189" s="1518"/>
      <c r="BC189" s="1518"/>
      <c r="BD189" s="1518"/>
      <c r="BE189" s="1518"/>
    </row>
    <row r="190" spans="1:57" s="1350" customFormat="1">
      <c r="A190" s="1"/>
      <c r="B190" s="6"/>
      <c r="C190" s="4"/>
      <c r="D190" s="3"/>
      <c r="E190" s="4"/>
      <c r="F190" s="4"/>
      <c r="G190" s="1"/>
      <c r="H190" s="6"/>
      <c r="I190" s="6"/>
      <c r="J190" s="11"/>
      <c r="K190" s="510"/>
      <c r="L190" s="11"/>
      <c r="M190" s="5"/>
      <c r="N190" s="5"/>
      <c r="O190" s="2606"/>
      <c r="P190" s="2608"/>
      <c r="Q190" s="5"/>
      <c r="R190" s="5"/>
      <c r="S190" s="1"/>
      <c r="T190" s="1"/>
      <c r="U190" s="6"/>
      <c r="V190" s="1877"/>
      <c r="W190" s="1877"/>
      <c r="X190" s="1877"/>
      <c r="Y190" s="1877"/>
      <c r="Z190" s="1878"/>
      <c r="AA190" s="1878"/>
      <c r="AB190" s="1877"/>
      <c r="AC190" s="1877"/>
      <c r="AD190" s="1877"/>
      <c r="AE190" s="1911"/>
      <c r="AF190" s="1912"/>
      <c r="AG190" s="1881"/>
      <c r="AH190" s="1913"/>
      <c r="AI190" s="1518"/>
      <c r="AJ190" s="1897"/>
      <c r="AK190" s="1518"/>
      <c r="AL190" s="1518"/>
      <c r="AM190" s="1518"/>
      <c r="AN190" s="1518"/>
      <c r="AO190" s="1518"/>
      <c r="AP190" s="1518"/>
      <c r="AQ190" s="1518"/>
      <c r="AR190" s="1518"/>
      <c r="AS190" s="1518"/>
      <c r="AT190" s="1518"/>
      <c r="AU190" s="1518"/>
      <c r="AV190" s="1518"/>
      <c r="AW190" s="1518"/>
      <c r="AX190" s="1518"/>
      <c r="AY190" s="1518"/>
      <c r="AZ190" s="1518"/>
      <c r="BA190" s="1518"/>
      <c r="BB190" s="1518"/>
      <c r="BC190" s="1518"/>
      <c r="BD190" s="1518"/>
      <c r="BE190" s="1518"/>
    </row>
    <row r="191" spans="1:57" s="1350" customFormat="1">
      <c r="A191" s="1"/>
      <c r="B191" s="6"/>
      <c r="C191" s="4"/>
      <c r="D191" s="3"/>
      <c r="E191" s="4"/>
      <c r="F191" s="4"/>
      <c r="G191" s="1"/>
      <c r="H191" s="6"/>
      <c r="I191" s="6"/>
      <c r="J191" s="11"/>
      <c r="K191" s="510"/>
      <c r="L191" s="11"/>
      <c r="M191" s="5"/>
      <c r="N191" s="5"/>
      <c r="O191" s="2606"/>
      <c r="P191" s="2608"/>
      <c r="Q191" s="5"/>
      <c r="R191" s="5"/>
      <c r="S191" s="1"/>
      <c r="T191" s="1"/>
      <c r="U191" s="6"/>
      <c r="V191" s="1877"/>
      <c r="W191" s="1877"/>
      <c r="X191" s="1877"/>
      <c r="Y191" s="1877"/>
      <c r="Z191" s="1878"/>
      <c r="AA191" s="1878"/>
      <c r="AB191" s="1877"/>
      <c r="AC191" s="1877"/>
      <c r="AD191" s="1877"/>
      <c r="AE191" s="1911"/>
      <c r="AF191" s="1912"/>
      <c r="AG191" s="1881"/>
      <c r="AH191" s="1913"/>
      <c r="AI191" s="1518"/>
      <c r="AJ191" s="1897"/>
      <c r="AK191" s="1518"/>
      <c r="AL191" s="1518"/>
      <c r="AM191" s="1518"/>
      <c r="AN191" s="1518"/>
      <c r="AO191" s="1518"/>
      <c r="AP191" s="1518"/>
      <c r="AQ191" s="1518"/>
      <c r="AR191" s="1518"/>
      <c r="AS191" s="1518"/>
      <c r="AT191" s="1518"/>
      <c r="AU191" s="1518"/>
      <c r="AV191" s="1518"/>
      <c r="AW191" s="1518"/>
      <c r="AX191" s="1518"/>
      <c r="AY191" s="1518"/>
      <c r="AZ191" s="1518"/>
      <c r="BA191" s="1518"/>
      <c r="BB191" s="1518"/>
      <c r="BC191" s="1518"/>
      <c r="BD191" s="1518"/>
      <c r="BE191" s="1518"/>
    </row>
    <row r="192" spans="1:57" s="1350" customFormat="1">
      <c r="A192" s="1"/>
      <c r="B192" s="6"/>
      <c r="C192" s="4"/>
      <c r="D192" s="3"/>
      <c r="E192" s="4"/>
      <c r="F192" s="4"/>
      <c r="G192" s="1"/>
      <c r="H192" s="6"/>
      <c r="I192" s="6"/>
      <c r="J192" s="11"/>
      <c r="K192" s="510"/>
      <c r="L192" s="11"/>
      <c r="M192" s="5"/>
      <c r="N192" s="5"/>
      <c r="O192" s="2606"/>
      <c r="P192" s="2608"/>
      <c r="Q192" s="5"/>
      <c r="R192" s="5"/>
      <c r="S192" s="1"/>
      <c r="T192" s="1"/>
      <c r="U192" s="6"/>
      <c r="V192" s="1877"/>
      <c r="W192" s="1877"/>
      <c r="X192" s="1877"/>
      <c r="Y192" s="1877"/>
      <c r="Z192" s="1878"/>
      <c r="AA192" s="1878"/>
      <c r="AB192" s="1877"/>
      <c r="AC192" s="1877"/>
      <c r="AD192" s="1877"/>
      <c r="AE192" s="1911"/>
      <c r="AF192" s="1912"/>
      <c r="AG192" s="1881"/>
      <c r="AH192" s="1913"/>
      <c r="AI192" s="1518"/>
      <c r="AJ192" s="1897"/>
      <c r="AK192" s="1518"/>
      <c r="AL192" s="1518"/>
      <c r="AM192" s="1518"/>
      <c r="AN192" s="1518"/>
      <c r="AO192" s="1518"/>
      <c r="AP192" s="1518"/>
      <c r="AQ192" s="1518"/>
      <c r="AR192" s="1518"/>
      <c r="AS192" s="1518"/>
      <c r="AT192" s="1518"/>
      <c r="AU192" s="1518"/>
      <c r="AV192" s="1518"/>
      <c r="AW192" s="1518"/>
      <c r="AX192" s="1518"/>
      <c r="AY192" s="1518"/>
      <c r="AZ192" s="1518"/>
      <c r="BA192" s="1518"/>
      <c r="BB192" s="1518"/>
      <c r="BC192" s="1518"/>
      <c r="BD192" s="1518"/>
      <c r="BE192" s="1518"/>
    </row>
    <row r="193" spans="1:57" s="1350" customFormat="1">
      <c r="A193" s="1"/>
      <c r="B193" s="6"/>
      <c r="C193" s="4"/>
      <c r="D193" s="3"/>
      <c r="E193" s="4"/>
      <c r="F193" s="4"/>
      <c r="G193" s="1"/>
      <c r="H193" s="6"/>
      <c r="I193" s="6"/>
      <c r="J193" s="11"/>
      <c r="K193" s="510"/>
      <c r="L193" s="11"/>
      <c r="M193" s="5"/>
      <c r="N193" s="5"/>
      <c r="O193" s="2606"/>
      <c r="P193" s="2608"/>
      <c r="Q193" s="5"/>
      <c r="R193" s="5"/>
      <c r="S193" s="1"/>
      <c r="T193" s="1"/>
      <c r="U193" s="6"/>
      <c r="V193" s="1877"/>
      <c r="W193" s="1877"/>
      <c r="X193" s="1877"/>
      <c r="Y193" s="1877"/>
      <c r="Z193" s="1878"/>
      <c r="AA193" s="1878"/>
      <c r="AB193" s="1877"/>
      <c r="AC193" s="1877"/>
      <c r="AD193" s="1877"/>
      <c r="AE193" s="1911"/>
      <c r="AF193" s="1912"/>
      <c r="AG193" s="1881"/>
      <c r="AH193" s="1913"/>
      <c r="AI193" s="1518"/>
      <c r="AJ193" s="1897"/>
      <c r="AK193" s="1518"/>
      <c r="AL193" s="1518"/>
      <c r="AM193" s="1518"/>
      <c r="AN193" s="1518"/>
      <c r="AO193" s="1518"/>
      <c r="AP193" s="1518"/>
      <c r="AQ193" s="1518"/>
      <c r="AR193" s="1518"/>
      <c r="AS193" s="1518"/>
      <c r="AT193" s="1518"/>
      <c r="AU193" s="1518"/>
      <c r="AV193" s="1518"/>
      <c r="AW193" s="1518"/>
      <c r="AX193" s="1518"/>
      <c r="AY193" s="1518"/>
      <c r="AZ193" s="1518"/>
      <c r="BA193" s="1518"/>
      <c r="BB193" s="1518"/>
      <c r="BC193" s="1518"/>
      <c r="BD193" s="1518"/>
      <c r="BE193" s="1518"/>
    </row>
    <row r="194" spans="1:57" s="1350" customFormat="1">
      <c r="A194" s="1"/>
      <c r="B194" s="6"/>
      <c r="C194" s="4"/>
      <c r="D194" s="3"/>
      <c r="E194" s="4"/>
      <c r="F194" s="4"/>
      <c r="G194" s="1"/>
      <c r="H194" s="6"/>
      <c r="I194" s="6"/>
      <c r="J194" s="11"/>
      <c r="K194" s="510"/>
      <c r="L194" s="11"/>
      <c r="M194" s="5"/>
      <c r="N194" s="5"/>
      <c r="O194" s="2606"/>
      <c r="P194" s="2608"/>
      <c r="Q194" s="5"/>
      <c r="R194" s="5"/>
      <c r="S194" s="1"/>
      <c r="T194" s="1"/>
      <c r="U194" s="6"/>
      <c r="V194" s="1877"/>
      <c r="W194" s="1877"/>
      <c r="X194" s="1877"/>
      <c r="Y194" s="1877"/>
      <c r="Z194" s="1878"/>
      <c r="AA194" s="1878"/>
      <c r="AB194" s="1877"/>
      <c r="AC194" s="1877"/>
      <c r="AD194" s="1877"/>
      <c r="AE194" s="1911"/>
      <c r="AF194" s="1912"/>
      <c r="AG194" s="1881"/>
      <c r="AH194" s="1913"/>
      <c r="AI194" s="1518"/>
      <c r="AJ194" s="1897"/>
      <c r="AK194" s="1518"/>
      <c r="AL194" s="1518"/>
      <c r="AM194" s="1518"/>
      <c r="AN194" s="1518"/>
      <c r="AO194" s="1518"/>
      <c r="AP194" s="1518"/>
      <c r="AQ194" s="1518"/>
      <c r="AR194" s="1518"/>
      <c r="AS194" s="1518"/>
      <c r="AT194" s="1518"/>
      <c r="AU194" s="1518"/>
      <c r="AV194" s="1518"/>
      <c r="AW194" s="1518"/>
      <c r="AX194" s="1518"/>
      <c r="AY194" s="1518"/>
      <c r="AZ194" s="1518"/>
      <c r="BA194" s="1518"/>
      <c r="BB194" s="1518"/>
      <c r="BC194" s="1518"/>
      <c r="BD194" s="1518"/>
      <c r="BE194" s="1518"/>
    </row>
    <row r="195" spans="1:57" s="1350" customFormat="1">
      <c r="A195" s="1"/>
      <c r="B195" s="6"/>
      <c r="C195" s="4"/>
      <c r="D195" s="3"/>
      <c r="E195" s="4"/>
      <c r="F195" s="4"/>
      <c r="G195" s="1"/>
      <c r="H195" s="6"/>
      <c r="I195" s="6"/>
      <c r="J195" s="11"/>
      <c r="K195" s="510"/>
      <c r="L195" s="11"/>
      <c r="M195" s="5"/>
      <c r="N195" s="5"/>
      <c r="O195" s="2606"/>
      <c r="P195" s="2608"/>
      <c r="Q195" s="5"/>
      <c r="R195" s="5"/>
      <c r="S195" s="1"/>
      <c r="T195" s="1"/>
      <c r="U195" s="6"/>
      <c r="V195" s="1877"/>
      <c r="W195" s="1877"/>
      <c r="X195" s="1877"/>
      <c r="Y195" s="1877"/>
      <c r="Z195" s="1878"/>
      <c r="AA195" s="1878"/>
      <c r="AB195" s="1877"/>
      <c r="AC195" s="1877"/>
      <c r="AD195" s="1877"/>
      <c r="AE195" s="1911"/>
      <c r="AF195" s="1912"/>
      <c r="AG195" s="1881"/>
      <c r="AH195" s="1913"/>
      <c r="AI195" s="1518"/>
      <c r="AJ195" s="1897"/>
      <c r="AK195" s="1518"/>
      <c r="AL195" s="1518"/>
      <c r="AM195" s="1518"/>
      <c r="AN195" s="1518"/>
      <c r="AO195" s="1518"/>
      <c r="AP195" s="1518"/>
      <c r="AQ195" s="1518"/>
      <c r="AR195" s="1518"/>
      <c r="AS195" s="1518"/>
      <c r="AT195" s="1518"/>
      <c r="AU195" s="1518"/>
      <c r="AV195" s="1518"/>
      <c r="AW195" s="1518"/>
      <c r="AX195" s="1518"/>
      <c r="AY195" s="1518"/>
      <c r="AZ195" s="1518"/>
      <c r="BA195" s="1518"/>
      <c r="BB195" s="1518"/>
      <c r="BC195" s="1518"/>
      <c r="BD195" s="1518"/>
      <c r="BE195" s="1518"/>
    </row>
    <row r="196" spans="1:57" s="1350" customFormat="1">
      <c r="A196" s="1"/>
      <c r="B196" s="6"/>
      <c r="C196" s="4"/>
      <c r="D196" s="3"/>
      <c r="E196" s="4"/>
      <c r="F196" s="4"/>
      <c r="G196" s="1"/>
      <c r="H196" s="6"/>
      <c r="I196" s="6"/>
      <c r="J196" s="11"/>
      <c r="K196" s="510"/>
      <c r="L196" s="11"/>
      <c r="M196" s="5"/>
      <c r="N196" s="5"/>
      <c r="O196" s="2606"/>
      <c r="P196" s="2608"/>
      <c r="Q196" s="5"/>
      <c r="R196" s="5"/>
      <c r="S196" s="1"/>
      <c r="T196" s="1"/>
      <c r="U196" s="6"/>
      <c r="V196" s="1877"/>
      <c r="W196" s="1877"/>
      <c r="X196" s="1877"/>
      <c r="Y196" s="1877"/>
      <c r="Z196" s="1878"/>
      <c r="AA196" s="1878"/>
      <c r="AB196" s="1877"/>
      <c r="AC196" s="1877"/>
      <c r="AD196" s="1877"/>
      <c r="AE196" s="1911"/>
      <c r="AF196" s="1912"/>
      <c r="AG196" s="1881"/>
      <c r="AH196" s="1913"/>
      <c r="AI196" s="1518"/>
      <c r="AJ196" s="1897"/>
      <c r="AK196" s="1518"/>
      <c r="AL196" s="1518"/>
      <c r="AM196" s="1518"/>
      <c r="AN196" s="1518"/>
      <c r="AO196" s="1518"/>
      <c r="AP196" s="1518"/>
      <c r="AQ196" s="1518"/>
      <c r="AR196" s="1518"/>
      <c r="AS196" s="1518"/>
      <c r="AT196" s="1518"/>
      <c r="AU196" s="1518"/>
      <c r="AV196" s="1518"/>
      <c r="AW196" s="1518"/>
      <c r="AX196" s="1518"/>
      <c r="AY196" s="1518"/>
      <c r="AZ196" s="1518"/>
      <c r="BA196" s="1518"/>
      <c r="BB196" s="1518"/>
      <c r="BC196" s="1518"/>
      <c r="BD196" s="1518"/>
      <c r="BE196" s="1518"/>
    </row>
    <row r="197" spans="1:57" s="1350" customFormat="1">
      <c r="A197" s="1"/>
      <c r="B197" s="6"/>
      <c r="C197" s="4"/>
      <c r="D197" s="3"/>
      <c r="E197" s="4"/>
      <c r="F197" s="4"/>
      <c r="G197" s="1"/>
      <c r="H197" s="6"/>
      <c r="I197" s="6"/>
      <c r="J197" s="11"/>
      <c r="K197" s="510"/>
      <c r="L197" s="11"/>
      <c r="M197" s="5"/>
      <c r="N197" s="5"/>
      <c r="O197" s="2606"/>
      <c r="P197" s="2608"/>
      <c r="Q197" s="5"/>
      <c r="R197" s="5"/>
      <c r="S197" s="1"/>
      <c r="T197" s="1"/>
      <c r="U197" s="6"/>
      <c r="V197" s="1877"/>
      <c r="W197" s="1877"/>
      <c r="X197" s="1877"/>
      <c r="Y197" s="1877"/>
      <c r="Z197" s="1878"/>
      <c r="AA197" s="1878"/>
      <c r="AB197" s="1877"/>
      <c r="AC197" s="1877"/>
      <c r="AD197" s="1877"/>
      <c r="AE197" s="1911"/>
      <c r="AF197" s="1912"/>
      <c r="AG197" s="1881"/>
      <c r="AH197" s="1913"/>
      <c r="AI197" s="1518"/>
      <c r="AJ197" s="1897"/>
      <c r="AK197" s="1518"/>
      <c r="AL197" s="1518"/>
      <c r="AM197" s="1518"/>
      <c r="AN197" s="1518"/>
      <c r="AO197" s="1518"/>
      <c r="AP197" s="1518"/>
      <c r="AQ197" s="1518"/>
      <c r="AR197" s="1518"/>
      <c r="AS197" s="1518"/>
      <c r="AT197" s="1518"/>
      <c r="AU197" s="1518"/>
      <c r="AV197" s="1518"/>
      <c r="AW197" s="1518"/>
      <c r="AX197" s="1518"/>
      <c r="AY197" s="1518"/>
      <c r="AZ197" s="1518"/>
      <c r="BA197" s="1518"/>
      <c r="BB197" s="1518"/>
      <c r="BC197" s="1518"/>
      <c r="BD197" s="1518"/>
      <c r="BE197" s="1518"/>
    </row>
    <row r="198" spans="1:57" s="1350" customFormat="1">
      <c r="A198" s="1"/>
      <c r="B198" s="6"/>
      <c r="C198" s="4"/>
      <c r="D198" s="3"/>
      <c r="E198" s="4"/>
      <c r="F198" s="4"/>
      <c r="G198" s="1"/>
      <c r="H198" s="6"/>
      <c r="I198" s="6"/>
      <c r="J198" s="11"/>
      <c r="K198" s="510"/>
      <c r="L198" s="11"/>
      <c r="M198" s="5"/>
      <c r="N198" s="5"/>
      <c r="O198" s="2606"/>
      <c r="P198" s="2608"/>
      <c r="Q198" s="5"/>
      <c r="R198" s="5"/>
      <c r="S198" s="1"/>
      <c r="T198" s="1"/>
      <c r="U198" s="6"/>
      <c r="V198" s="1877"/>
      <c r="W198" s="1877"/>
      <c r="X198" s="1877"/>
      <c r="Y198" s="1877"/>
      <c r="Z198" s="1878"/>
      <c r="AA198" s="1878"/>
      <c r="AB198" s="1877"/>
      <c r="AC198" s="1877"/>
      <c r="AD198" s="1877"/>
      <c r="AE198" s="1911"/>
      <c r="AF198" s="1912"/>
      <c r="AG198" s="1881"/>
      <c r="AH198" s="1913"/>
      <c r="AI198" s="1518"/>
      <c r="AJ198" s="1897"/>
      <c r="AK198" s="1518"/>
      <c r="AL198" s="1518"/>
      <c r="AM198" s="1518"/>
      <c r="AN198" s="1518"/>
      <c r="AO198" s="1518"/>
      <c r="AP198" s="1518"/>
      <c r="AQ198" s="1518"/>
      <c r="AR198" s="1518"/>
      <c r="AS198" s="1518"/>
      <c r="AT198" s="1518"/>
      <c r="AU198" s="1518"/>
      <c r="AV198" s="1518"/>
      <c r="AW198" s="1518"/>
      <c r="AX198" s="1518"/>
      <c r="AY198" s="1518"/>
      <c r="AZ198" s="1518"/>
      <c r="BA198" s="1518"/>
      <c r="BB198" s="1518"/>
      <c r="BC198" s="1518"/>
      <c r="BD198" s="1518"/>
      <c r="BE198" s="1518"/>
    </row>
    <row r="199" spans="1:57" s="1350" customFormat="1">
      <c r="A199" s="1"/>
      <c r="B199" s="6"/>
      <c r="C199" s="4"/>
      <c r="D199" s="3"/>
      <c r="E199" s="4"/>
      <c r="F199" s="4"/>
      <c r="G199" s="1"/>
      <c r="H199" s="6"/>
      <c r="I199" s="6"/>
      <c r="J199" s="11"/>
      <c r="K199" s="510"/>
      <c r="L199" s="11"/>
      <c r="M199" s="5"/>
      <c r="N199" s="5"/>
      <c r="O199" s="2606"/>
      <c r="P199" s="2608"/>
      <c r="Q199" s="5"/>
      <c r="R199" s="5"/>
      <c r="S199" s="1"/>
      <c r="T199" s="1"/>
      <c r="U199" s="6"/>
      <c r="V199" s="1877"/>
      <c r="W199" s="1877"/>
      <c r="X199" s="1877"/>
      <c r="Y199" s="1877"/>
      <c r="Z199" s="1878"/>
      <c r="AA199" s="1878"/>
      <c r="AB199" s="1877"/>
      <c r="AC199" s="1877"/>
      <c r="AD199" s="1877"/>
      <c r="AE199" s="1911"/>
      <c r="AF199" s="1912"/>
      <c r="AG199" s="1881"/>
      <c r="AH199" s="1913"/>
      <c r="AI199" s="1518"/>
      <c r="AJ199" s="1897"/>
      <c r="AK199" s="1518"/>
      <c r="AL199" s="1518"/>
      <c r="AM199" s="1518"/>
      <c r="AN199" s="1518"/>
      <c r="AO199" s="1518"/>
      <c r="AP199" s="1518"/>
      <c r="AQ199" s="1518"/>
      <c r="AR199" s="1518"/>
      <c r="AS199" s="1518"/>
      <c r="AT199" s="1518"/>
      <c r="AU199" s="1518"/>
      <c r="AV199" s="1518"/>
      <c r="AW199" s="1518"/>
      <c r="AX199" s="1518"/>
      <c r="AY199" s="1518"/>
      <c r="AZ199" s="1518"/>
      <c r="BA199" s="1518"/>
      <c r="BB199" s="1518"/>
      <c r="BC199" s="1518"/>
      <c r="BD199" s="1518"/>
      <c r="BE199" s="1518"/>
    </row>
    <row r="200" spans="1:57" s="1350" customFormat="1">
      <c r="A200" s="1"/>
      <c r="B200" s="6"/>
      <c r="C200" s="4"/>
      <c r="D200" s="3"/>
      <c r="E200" s="4"/>
      <c r="F200" s="4"/>
      <c r="G200" s="1"/>
      <c r="H200" s="6"/>
      <c r="I200" s="6"/>
      <c r="J200" s="11"/>
      <c r="K200" s="510"/>
      <c r="L200" s="11"/>
      <c r="M200" s="5"/>
      <c r="N200" s="5"/>
      <c r="O200" s="2606"/>
      <c r="P200" s="2608"/>
      <c r="Q200" s="5"/>
      <c r="R200" s="5"/>
      <c r="S200" s="1"/>
      <c r="T200" s="1"/>
      <c r="U200" s="6"/>
      <c r="V200" s="1877"/>
      <c r="W200" s="1877"/>
      <c r="X200" s="1877"/>
      <c r="Y200" s="1877"/>
      <c r="Z200" s="1878"/>
      <c r="AA200" s="1878"/>
      <c r="AB200" s="1877"/>
      <c r="AC200" s="1877"/>
      <c r="AD200" s="1877"/>
      <c r="AE200" s="1911"/>
      <c r="AF200" s="1912"/>
      <c r="AG200" s="1881"/>
      <c r="AH200" s="1913"/>
      <c r="AI200" s="1518"/>
      <c r="AJ200" s="1897"/>
      <c r="AK200" s="1518"/>
      <c r="AL200" s="1518"/>
      <c r="AM200" s="1518"/>
      <c r="AN200" s="1518"/>
      <c r="AO200" s="1518"/>
      <c r="AP200" s="1518"/>
      <c r="AQ200" s="1518"/>
      <c r="AR200" s="1518"/>
      <c r="AS200" s="1518"/>
      <c r="AT200" s="1518"/>
      <c r="AU200" s="1518"/>
      <c r="AV200" s="1518"/>
      <c r="AW200" s="1518"/>
      <c r="AX200" s="1518"/>
      <c r="AY200" s="1518"/>
      <c r="AZ200" s="1518"/>
      <c r="BA200" s="1518"/>
      <c r="BB200" s="1518"/>
      <c r="BC200" s="1518"/>
      <c r="BD200" s="1518"/>
      <c r="BE200" s="1518"/>
    </row>
    <row r="201" spans="1:57" s="1350" customFormat="1">
      <c r="A201" s="1"/>
      <c r="B201" s="6"/>
      <c r="C201" s="4"/>
      <c r="D201" s="3"/>
      <c r="E201" s="4"/>
      <c r="F201" s="4"/>
      <c r="G201" s="1"/>
      <c r="H201" s="6"/>
      <c r="I201" s="6"/>
      <c r="J201" s="11"/>
      <c r="K201" s="510"/>
      <c r="L201" s="11"/>
      <c r="M201" s="5"/>
      <c r="N201" s="5"/>
      <c r="O201" s="2606"/>
      <c r="P201" s="2608"/>
      <c r="Q201" s="5"/>
      <c r="R201" s="5"/>
      <c r="S201" s="1"/>
      <c r="T201" s="1"/>
      <c r="U201" s="6"/>
      <c r="V201" s="1877"/>
      <c r="W201" s="1877"/>
      <c r="X201" s="1877"/>
      <c r="Y201" s="1877"/>
      <c r="Z201" s="1878"/>
      <c r="AA201" s="1878"/>
      <c r="AB201" s="1877"/>
      <c r="AC201" s="1877"/>
      <c r="AD201" s="1877"/>
      <c r="AE201" s="1911"/>
      <c r="AF201" s="1912"/>
      <c r="AG201" s="1881"/>
      <c r="AH201" s="1913"/>
      <c r="AI201" s="1518"/>
      <c r="AJ201" s="1897"/>
      <c r="AK201" s="1518"/>
      <c r="AL201" s="1518"/>
      <c r="AM201" s="1518"/>
      <c r="AN201" s="1518"/>
      <c r="AO201" s="1518"/>
      <c r="AP201" s="1518"/>
      <c r="AQ201" s="1518"/>
      <c r="AR201" s="1518"/>
      <c r="AS201" s="1518"/>
      <c r="AT201" s="1518"/>
      <c r="AU201" s="1518"/>
      <c r="AV201" s="1518"/>
      <c r="AW201" s="1518"/>
      <c r="AX201" s="1518"/>
      <c r="AY201" s="1518"/>
      <c r="AZ201" s="1518"/>
      <c r="BA201" s="1518"/>
      <c r="BB201" s="1518"/>
      <c r="BC201" s="1518"/>
      <c r="BD201" s="1518"/>
      <c r="BE201" s="1518"/>
    </row>
    <row r="202" spans="1:57" s="1350" customFormat="1">
      <c r="A202" s="1"/>
      <c r="B202" s="6"/>
      <c r="C202" s="4"/>
      <c r="D202" s="3"/>
      <c r="E202" s="4"/>
      <c r="F202" s="4"/>
      <c r="G202" s="1"/>
      <c r="H202" s="6"/>
      <c r="I202" s="6"/>
      <c r="J202" s="11"/>
      <c r="K202" s="510"/>
      <c r="L202" s="11"/>
      <c r="M202" s="5"/>
      <c r="N202" s="5"/>
      <c r="O202" s="2606"/>
      <c r="P202" s="2608"/>
      <c r="Q202" s="5"/>
      <c r="R202" s="5"/>
      <c r="S202" s="1"/>
      <c r="T202" s="1"/>
      <c r="U202" s="6"/>
      <c r="V202" s="1877"/>
      <c r="W202" s="1877"/>
      <c r="X202" s="1877"/>
      <c r="Y202" s="1877"/>
      <c r="Z202" s="1878"/>
      <c r="AA202" s="1878"/>
      <c r="AB202" s="1877"/>
      <c r="AC202" s="1877"/>
      <c r="AD202" s="1877"/>
      <c r="AE202" s="1911"/>
      <c r="AF202" s="1912"/>
      <c r="AG202" s="1881"/>
      <c r="AH202" s="1913"/>
      <c r="AI202" s="1518"/>
      <c r="AJ202" s="1897"/>
      <c r="AK202" s="1518"/>
      <c r="AL202" s="1518"/>
      <c r="AM202" s="1518"/>
      <c r="AN202" s="1518"/>
      <c r="AO202" s="1518"/>
      <c r="AP202" s="1518"/>
      <c r="AQ202" s="1518"/>
      <c r="AR202" s="1518"/>
      <c r="AS202" s="1518"/>
      <c r="AT202" s="1518"/>
      <c r="AU202" s="1518"/>
      <c r="AV202" s="1518"/>
      <c r="AW202" s="1518"/>
      <c r="AX202" s="1518"/>
      <c r="AY202" s="1518"/>
      <c r="AZ202" s="1518"/>
      <c r="BA202" s="1518"/>
      <c r="BB202" s="1518"/>
      <c r="BC202" s="1518"/>
      <c r="BD202" s="1518"/>
      <c r="BE202" s="1518"/>
    </row>
    <row r="203" spans="1:57" s="1350" customFormat="1">
      <c r="A203" s="1"/>
      <c r="B203" s="6"/>
      <c r="C203" s="4"/>
      <c r="D203" s="3"/>
      <c r="E203" s="4"/>
      <c r="F203" s="4"/>
      <c r="G203" s="1"/>
      <c r="H203" s="6"/>
      <c r="I203" s="6"/>
      <c r="J203" s="11"/>
      <c r="K203" s="510"/>
      <c r="L203" s="11"/>
      <c r="M203" s="5"/>
      <c r="N203" s="5"/>
      <c r="O203" s="2606"/>
      <c r="P203" s="2608"/>
      <c r="Q203" s="5"/>
      <c r="R203" s="5"/>
      <c r="S203" s="1"/>
      <c r="T203" s="1"/>
      <c r="U203" s="6"/>
      <c r="V203" s="1877"/>
      <c r="W203" s="1877"/>
      <c r="X203" s="1877"/>
      <c r="Y203" s="1877"/>
      <c r="Z203" s="1878"/>
      <c r="AA203" s="1878"/>
      <c r="AB203" s="1877"/>
      <c r="AC203" s="1877"/>
      <c r="AD203" s="1877"/>
      <c r="AE203" s="1911"/>
      <c r="AF203" s="1912"/>
      <c r="AG203" s="1881"/>
      <c r="AH203" s="1913"/>
      <c r="AI203" s="1518"/>
      <c r="AJ203" s="1897"/>
      <c r="AK203" s="1518"/>
      <c r="AL203" s="1518"/>
      <c r="AM203" s="1518"/>
      <c r="AN203" s="1518"/>
      <c r="AO203" s="1518"/>
      <c r="AP203" s="1518"/>
      <c r="AQ203" s="1518"/>
      <c r="AR203" s="1518"/>
      <c r="AS203" s="1518"/>
      <c r="AT203" s="1518"/>
      <c r="AU203" s="1518"/>
      <c r="AV203" s="1518"/>
      <c r="AW203" s="1518"/>
      <c r="AX203" s="1518"/>
      <c r="AY203" s="1518"/>
      <c r="AZ203" s="1518"/>
      <c r="BA203" s="1518"/>
      <c r="BB203" s="1518"/>
      <c r="BC203" s="1518"/>
      <c r="BD203" s="1518"/>
      <c r="BE203" s="1518"/>
    </row>
    <row r="204" spans="1:57" s="1350" customFormat="1">
      <c r="A204" s="1"/>
      <c r="B204" s="6"/>
      <c r="C204" s="4"/>
      <c r="D204" s="3"/>
      <c r="E204" s="4"/>
      <c r="F204" s="4"/>
      <c r="G204" s="1"/>
      <c r="H204" s="6"/>
      <c r="I204" s="6"/>
      <c r="J204" s="11"/>
      <c r="K204" s="510"/>
      <c r="L204" s="11"/>
      <c r="M204" s="5"/>
      <c r="N204" s="5"/>
      <c r="O204" s="2606"/>
      <c r="P204" s="2608"/>
      <c r="Q204" s="5"/>
      <c r="R204" s="5"/>
      <c r="S204" s="1"/>
      <c r="T204" s="1"/>
      <c r="U204" s="6"/>
      <c r="V204" s="1877"/>
      <c r="W204" s="1877"/>
      <c r="X204" s="1877"/>
      <c r="Y204" s="1877"/>
      <c r="Z204" s="1878"/>
      <c r="AA204" s="1878"/>
      <c r="AB204" s="1877"/>
      <c r="AC204" s="1877"/>
      <c r="AD204" s="1877"/>
      <c r="AE204" s="1911"/>
      <c r="AF204" s="1912"/>
      <c r="AG204" s="1881"/>
      <c r="AH204" s="1913"/>
      <c r="AI204" s="1518"/>
      <c r="AJ204" s="1897"/>
      <c r="AK204" s="1518"/>
      <c r="AL204" s="1518"/>
      <c r="AM204" s="1518"/>
      <c r="AN204" s="1518"/>
      <c r="AO204" s="1518"/>
      <c r="AP204" s="1518"/>
      <c r="AQ204" s="1518"/>
      <c r="AR204" s="1518"/>
      <c r="AS204" s="1518"/>
      <c r="AT204" s="1518"/>
      <c r="AU204" s="1518"/>
      <c r="AV204" s="1518"/>
      <c r="AW204" s="1518"/>
      <c r="AX204" s="1518"/>
      <c r="AY204" s="1518"/>
      <c r="AZ204" s="1518"/>
      <c r="BA204" s="1518"/>
      <c r="BB204" s="1518"/>
      <c r="BC204" s="1518"/>
      <c r="BD204" s="1518"/>
      <c r="BE204" s="1518"/>
    </row>
    <row r="205" spans="1:57" s="1350" customFormat="1">
      <c r="A205" s="1"/>
      <c r="B205" s="6"/>
      <c r="C205" s="4"/>
      <c r="D205" s="3"/>
      <c r="E205" s="4"/>
      <c r="F205" s="4"/>
      <c r="G205" s="1"/>
      <c r="H205" s="6"/>
      <c r="I205" s="6"/>
      <c r="J205" s="11"/>
      <c r="K205" s="510"/>
      <c r="L205" s="11"/>
      <c r="M205" s="5"/>
      <c r="N205" s="5"/>
      <c r="O205" s="2606"/>
      <c r="P205" s="2608"/>
      <c r="Q205" s="5"/>
      <c r="R205" s="5"/>
      <c r="S205" s="1"/>
      <c r="T205" s="1"/>
      <c r="U205" s="6"/>
      <c r="V205" s="1877"/>
      <c r="W205" s="1877"/>
      <c r="X205" s="1877"/>
      <c r="Y205" s="1877"/>
      <c r="Z205" s="1878"/>
      <c r="AA205" s="1878"/>
      <c r="AB205" s="1877"/>
      <c r="AC205" s="1877"/>
      <c r="AD205" s="1877"/>
      <c r="AE205" s="1911"/>
      <c r="AF205" s="1912"/>
      <c r="AG205" s="1881"/>
      <c r="AH205" s="1913"/>
      <c r="AI205" s="1518"/>
      <c r="AJ205" s="1897"/>
      <c r="AK205" s="1518"/>
      <c r="AL205" s="1518"/>
      <c r="AM205" s="1518"/>
      <c r="AN205" s="1518"/>
      <c r="AO205" s="1518"/>
      <c r="AP205" s="1518"/>
      <c r="AQ205" s="1518"/>
      <c r="AR205" s="1518"/>
      <c r="AS205" s="1518"/>
      <c r="AT205" s="1518"/>
      <c r="AU205" s="1518"/>
      <c r="AV205" s="1518"/>
      <c r="AW205" s="1518"/>
      <c r="AX205" s="1518"/>
      <c r="AY205" s="1518"/>
      <c r="AZ205" s="1518"/>
      <c r="BA205" s="1518"/>
      <c r="BB205" s="1518"/>
      <c r="BC205" s="1518"/>
      <c r="BD205" s="1518"/>
      <c r="BE205" s="1518"/>
    </row>
    <row r="206" spans="1:57" s="1350" customFormat="1">
      <c r="A206" s="1"/>
      <c r="B206" s="6"/>
      <c r="C206" s="4"/>
      <c r="D206" s="3"/>
      <c r="E206" s="4"/>
      <c r="F206" s="4"/>
      <c r="G206" s="1"/>
      <c r="H206" s="6"/>
      <c r="I206" s="6"/>
      <c r="J206" s="11"/>
      <c r="K206" s="510"/>
      <c r="L206" s="11"/>
      <c r="M206" s="5"/>
      <c r="N206" s="5"/>
      <c r="O206" s="2606"/>
      <c r="P206" s="2608"/>
      <c r="Q206" s="5"/>
      <c r="R206" s="5"/>
      <c r="S206" s="1"/>
      <c r="T206" s="1"/>
      <c r="U206" s="6"/>
      <c r="V206" s="1877"/>
      <c r="W206" s="1877"/>
      <c r="X206" s="1877"/>
      <c r="Y206" s="1877"/>
      <c r="Z206" s="1878"/>
      <c r="AA206" s="1878"/>
      <c r="AB206" s="1877"/>
      <c r="AC206" s="1877"/>
      <c r="AD206" s="1877"/>
      <c r="AE206" s="1911"/>
      <c r="AF206" s="1912"/>
      <c r="AG206" s="1881"/>
      <c r="AH206" s="1913"/>
      <c r="AI206" s="1518"/>
      <c r="AJ206" s="1897"/>
      <c r="AK206" s="1518"/>
      <c r="AL206" s="1518"/>
      <c r="AM206" s="1518"/>
      <c r="AN206" s="1518"/>
      <c r="AO206" s="1518"/>
      <c r="AP206" s="1518"/>
      <c r="AQ206" s="1518"/>
      <c r="AR206" s="1518"/>
      <c r="AS206" s="1518"/>
      <c r="AT206" s="1518"/>
      <c r="AU206" s="1518"/>
      <c r="AV206" s="1518"/>
      <c r="AW206" s="1518"/>
      <c r="AX206" s="1518"/>
      <c r="AY206" s="1518"/>
      <c r="AZ206" s="1518"/>
      <c r="BA206" s="1518"/>
      <c r="BB206" s="1518"/>
      <c r="BC206" s="1518"/>
      <c r="BD206" s="1518"/>
      <c r="BE206" s="1518"/>
    </row>
    <row r="207" spans="1:57" s="1350" customFormat="1">
      <c r="A207" s="1"/>
      <c r="B207" s="6"/>
      <c r="C207" s="4"/>
      <c r="D207" s="3"/>
      <c r="E207" s="4"/>
      <c r="F207" s="4"/>
      <c r="G207" s="1"/>
      <c r="H207" s="6"/>
      <c r="I207" s="6"/>
      <c r="J207" s="11"/>
      <c r="K207" s="510"/>
      <c r="L207" s="11"/>
      <c r="M207" s="5"/>
      <c r="N207" s="5"/>
      <c r="O207" s="2606"/>
      <c r="P207" s="2608"/>
      <c r="Q207" s="5"/>
      <c r="R207" s="5"/>
      <c r="S207" s="1"/>
      <c r="T207" s="1"/>
      <c r="U207" s="6"/>
      <c r="V207" s="1877"/>
      <c r="W207" s="1877"/>
      <c r="X207" s="1877"/>
      <c r="Y207" s="1877"/>
      <c r="Z207" s="1878"/>
      <c r="AA207" s="1878"/>
      <c r="AB207" s="1877"/>
      <c r="AC207" s="1877"/>
      <c r="AD207" s="1877"/>
      <c r="AE207" s="1911"/>
      <c r="AF207" s="1912"/>
      <c r="AG207" s="1881"/>
      <c r="AH207" s="1913"/>
      <c r="AI207" s="1518"/>
      <c r="AJ207" s="1897"/>
      <c r="AK207" s="1518"/>
      <c r="AL207" s="1518"/>
      <c r="AM207" s="1518"/>
      <c r="AN207" s="1518"/>
      <c r="AO207" s="1518"/>
      <c r="AP207" s="1518"/>
      <c r="AQ207" s="1518"/>
      <c r="AR207" s="1518"/>
      <c r="AS207" s="1518"/>
      <c r="AT207" s="1518"/>
      <c r="AU207" s="1518"/>
      <c r="AV207" s="1518"/>
      <c r="AW207" s="1518"/>
      <c r="AX207" s="1518"/>
      <c r="AY207" s="1518"/>
      <c r="AZ207" s="1518"/>
      <c r="BA207" s="1518"/>
      <c r="BB207" s="1518"/>
      <c r="BC207" s="1518"/>
      <c r="BD207" s="1518"/>
      <c r="BE207" s="1518"/>
    </row>
    <row r="208" spans="1:57" s="1350" customFormat="1">
      <c r="A208" s="1"/>
      <c r="B208" s="6"/>
      <c r="C208" s="4"/>
      <c r="D208" s="3"/>
      <c r="E208" s="4"/>
      <c r="F208" s="4"/>
      <c r="G208" s="1"/>
      <c r="H208" s="6"/>
      <c r="I208" s="6"/>
      <c r="J208" s="11"/>
      <c r="K208" s="510"/>
      <c r="L208" s="11"/>
      <c r="M208" s="5"/>
      <c r="N208" s="5"/>
      <c r="O208" s="2606"/>
      <c r="P208" s="2608"/>
      <c r="Q208" s="5"/>
      <c r="R208" s="5"/>
      <c r="S208" s="1"/>
      <c r="T208" s="1"/>
      <c r="U208" s="6"/>
      <c r="V208" s="1877"/>
      <c r="W208" s="1877"/>
      <c r="X208" s="1877"/>
      <c r="Y208" s="1877"/>
      <c r="Z208" s="1878"/>
      <c r="AA208" s="1878"/>
      <c r="AB208" s="1877"/>
      <c r="AC208" s="1877"/>
      <c r="AD208" s="1877"/>
      <c r="AE208" s="1911"/>
      <c r="AF208" s="1912"/>
      <c r="AG208" s="1881"/>
      <c r="AH208" s="1913"/>
      <c r="AI208" s="1518"/>
      <c r="AJ208" s="1897"/>
      <c r="AK208" s="1518"/>
      <c r="AL208" s="1518"/>
      <c r="AM208" s="1518"/>
      <c r="AN208" s="1518"/>
      <c r="AO208" s="1518"/>
      <c r="AP208" s="1518"/>
      <c r="AQ208" s="1518"/>
      <c r="AR208" s="1518"/>
      <c r="AS208" s="1518"/>
      <c r="AT208" s="1518"/>
      <c r="AU208" s="1518"/>
      <c r="AV208" s="1518"/>
      <c r="AW208" s="1518"/>
      <c r="AX208" s="1518"/>
      <c r="AY208" s="1518"/>
      <c r="AZ208" s="1518"/>
      <c r="BA208" s="1518"/>
      <c r="BB208" s="1518"/>
      <c r="BC208" s="1518"/>
      <c r="BD208" s="1518"/>
      <c r="BE208" s="1518"/>
    </row>
    <row r="209" spans="1:57" s="1350" customFormat="1">
      <c r="A209" s="1"/>
      <c r="B209" s="6"/>
      <c r="C209" s="4"/>
      <c r="D209" s="3"/>
      <c r="E209" s="4"/>
      <c r="F209" s="4"/>
      <c r="G209" s="1"/>
      <c r="H209" s="6"/>
      <c r="I209" s="6"/>
      <c r="J209" s="11"/>
      <c r="K209" s="510"/>
      <c r="L209" s="11"/>
      <c r="M209" s="5"/>
      <c r="N209" s="5"/>
      <c r="O209" s="2606"/>
      <c r="P209" s="2608"/>
      <c r="Q209" s="5"/>
      <c r="R209" s="5"/>
      <c r="S209" s="1"/>
      <c r="T209" s="1"/>
      <c r="U209" s="6"/>
      <c r="V209" s="1877"/>
      <c r="W209" s="1877"/>
      <c r="X209" s="1877"/>
      <c r="Y209" s="1877"/>
      <c r="Z209" s="1878"/>
      <c r="AA209" s="1878"/>
      <c r="AB209" s="1877"/>
      <c r="AC209" s="1877"/>
      <c r="AD209" s="1877"/>
      <c r="AE209" s="1911"/>
      <c r="AF209" s="1912"/>
      <c r="AG209" s="1881"/>
      <c r="AH209" s="1913"/>
      <c r="AI209" s="1518"/>
      <c r="AJ209" s="1897"/>
      <c r="AK209" s="1518"/>
      <c r="AL209" s="1518"/>
      <c r="AM209" s="1518"/>
      <c r="AN209" s="1518"/>
      <c r="AO209" s="1518"/>
      <c r="AP209" s="1518"/>
      <c r="AQ209" s="1518"/>
      <c r="AR209" s="1518"/>
      <c r="AS209" s="1518"/>
      <c r="AT209" s="1518"/>
      <c r="AU209" s="1518"/>
      <c r="AV209" s="1518"/>
      <c r="AW209" s="1518"/>
      <c r="AX209" s="1518"/>
      <c r="AY209" s="1518"/>
      <c r="AZ209" s="1518"/>
      <c r="BA209" s="1518"/>
      <c r="BB209" s="1518"/>
      <c r="BC209" s="1518"/>
      <c r="BD209" s="1518"/>
      <c r="BE209" s="1518"/>
    </row>
    <row r="210" spans="1:57" s="1350" customFormat="1">
      <c r="A210" s="1"/>
      <c r="B210" s="6"/>
      <c r="C210" s="4"/>
      <c r="D210" s="3"/>
      <c r="E210" s="4"/>
      <c r="F210" s="4"/>
      <c r="G210" s="1"/>
      <c r="H210" s="6"/>
      <c r="I210" s="6"/>
      <c r="J210" s="11"/>
      <c r="K210" s="510"/>
      <c r="L210" s="11"/>
      <c r="M210" s="5"/>
      <c r="N210" s="5"/>
      <c r="O210" s="2606"/>
      <c r="P210" s="2608"/>
      <c r="Q210" s="5"/>
      <c r="R210" s="5"/>
      <c r="S210" s="1"/>
      <c r="T210" s="1"/>
      <c r="U210" s="6"/>
      <c r="V210" s="1877"/>
      <c r="W210" s="1877"/>
      <c r="X210" s="1877"/>
      <c r="Y210" s="1877"/>
      <c r="Z210" s="1878"/>
      <c r="AA210" s="1878"/>
      <c r="AB210" s="1877"/>
      <c r="AC210" s="1877"/>
      <c r="AD210" s="1877"/>
      <c r="AE210" s="1911"/>
      <c r="AF210" s="1912"/>
      <c r="AG210" s="1881"/>
      <c r="AH210" s="1913"/>
      <c r="AI210" s="1518"/>
      <c r="AJ210" s="1897"/>
      <c r="AK210" s="1518"/>
      <c r="AL210" s="1518"/>
      <c r="AM210" s="1518"/>
      <c r="AN210" s="1518"/>
      <c r="AO210" s="1518"/>
      <c r="AP210" s="1518"/>
      <c r="AQ210" s="1518"/>
      <c r="AR210" s="1518"/>
      <c r="AS210" s="1518"/>
      <c r="AT210" s="1518"/>
      <c r="AU210" s="1518"/>
      <c r="AV210" s="1518"/>
      <c r="AW210" s="1518"/>
      <c r="AX210" s="1518"/>
      <c r="AY210" s="1518"/>
      <c r="AZ210" s="1518"/>
      <c r="BA210" s="1518"/>
      <c r="BB210" s="1518"/>
      <c r="BC210" s="1518"/>
      <c r="BD210" s="1518"/>
      <c r="BE210" s="1518"/>
    </row>
    <row r="211" spans="1:57" s="1350" customFormat="1">
      <c r="A211" s="1"/>
      <c r="B211" s="6"/>
      <c r="C211" s="4"/>
      <c r="D211" s="3"/>
      <c r="E211" s="4"/>
      <c r="F211" s="4"/>
      <c r="G211" s="1"/>
      <c r="H211" s="6"/>
      <c r="I211" s="6"/>
      <c r="J211" s="11"/>
      <c r="K211" s="510"/>
      <c r="L211" s="11"/>
      <c r="M211" s="5"/>
      <c r="N211" s="5"/>
      <c r="O211" s="2606"/>
      <c r="P211" s="2608"/>
      <c r="Q211" s="5"/>
      <c r="R211" s="5"/>
      <c r="S211" s="1"/>
      <c r="T211" s="1"/>
      <c r="U211" s="6"/>
      <c r="V211" s="1877"/>
      <c r="W211" s="1877"/>
      <c r="X211" s="1877"/>
      <c r="Y211" s="1877"/>
      <c r="Z211" s="1878"/>
      <c r="AA211" s="1878"/>
      <c r="AB211" s="1877"/>
      <c r="AC211" s="1877"/>
      <c r="AD211" s="1877"/>
      <c r="AE211" s="1911"/>
      <c r="AF211" s="1912"/>
      <c r="AG211" s="1881"/>
      <c r="AH211" s="1913"/>
      <c r="AI211" s="1518"/>
      <c r="AJ211" s="1897"/>
      <c r="AK211" s="1518"/>
      <c r="AL211" s="1518"/>
      <c r="AM211" s="1518"/>
      <c r="AN211" s="1518"/>
      <c r="AO211" s="1518"/>
      <c r="AP211" s="1518"/>
      <c r="AQ211" s="1518"/>
      <c r="AR211" s="1518"/>
      <c r="AS211" s="1518"/>
      <c r="AT211" s="1518"/>
      <c r="AU211" s="1518"/>
      <c r="AV211" s="1518"/>
      <c r="AW211" s="1518"/>
      <c r="AX211" s="1518"/>
      <c r="AY211" s="1518"/>
      <c r="AZ211" s="1518"/>
      <c r="BA211" s="1518"/>
      <c r="BB211" s="1518"/>
      <c r="BC211" s="1518"/>
      <c r="BD211" s="1518"/>
      <c r="BE211" s="1518"/>
    </row>
    <row r="212" spans="1:57" s="1350" customFormat="1">
      <c r="A212" s="1"/>
      <c r="B212" s="6"/>
      <c r="C212" s="4"/>
      <c r="D212" s="3"/>
      <c r="E212" s="4"/>
      <c r="F212" s="4"/>
      <c r="G212" s="1"/>
      <c r="H212" s="6"/>
      <c r="I212" s="6"/>
      <c r="J212" s="11"/>
      <c r="K212" s="510"/>
      <c r="L212" s="11"/>
      <c r="M212" s="5"/>
      <c r="N212" s="5"/>
      <c r="O212" s="2606"/>
      <c r="P212" s="2608"/>
      <c r="Q212" s="5"/>
      <c r="R212" s="5"/>
      <c r="S212" s="1"/>
      <c r="T212" s="1"/>
      <c r="U212" s="6"/>
      <c r="V212" s="1877"/>
      <c r="W212" s="1877"/>
      <c r="X212" s="1877"/>
      <c r="Y212" s="1877"/>
      <c r="Z212" s="1878"/>
      <c r="AA212" s="1878"/>
      <c r="AB212" s="1877"/>
      <c r="AC212" s="1877"/>
      <c r="AD212" s="1877"/>
      <c r="AE212" s="1911"/>
      <c r="AF212" s="1912"/>
      <c r="AG212" s="1881"/>
      <c r="AH212" s="1913"/>
      <c r="AI212" s="1518"/>
      <c r="AJ212" s="1897"/>
      <c r="AK212" s="1518"/>
      <c r="AL212" s="1518"/>
      <c r="AM212" s="1518"/>
      <c r="AN212" s="1518"/>
      <c r="AO212" s="1518"/>
      <c r="AP212" s="1518"/>
      <c r="AQ212" s="1518"/>
      <c r="AR212" s="1518"/>
      <c r="AS212" s="1518"/>
      <c r="AT212" s="1518"/>
      <c r="AU212" s="1518"/>
      <c r="AV212" s="1518"/>
      <c r="AW212" s="1518"/>
      <c r="AX212" s="1518"/>
      <c r="AY212" s="1518"/>
      <c r="AZ212" s="1518"/>
      <c r="BA212" s="1518"/>
      <c r="BB212" s="1518"/>
      <c r="BC212" s="1518"/>
      <c r="BD212" s="1518"/>
      <c r="BE212" s="1518"/>
    </row>
    <row r="213" spans="1:57" s="1350" customFormat="1">
      <c r="A213" s="1"/>
      <c r="B213" s="6"/>
      <c r="C213" s="4"/>
      <c r="D213" s="3"/>
      <c r="E213" s="4"/>
      <c r="F213" s="4"/>
      <c r="G213" s="1"/>
      <c r="H213" s="6"/>
      <c r="I213" s="6"/>
      <c r="J213" s="11"/>
      <c r="K213" s="510"/>
      <c r="L213" s="11"/>
      <c r="M213" s="5"/>
      <c r="N213" s="5"/>
      <c r="O213" s="2606"/>
      <c r="P213" s="2608"/>
      <c r="Q213" s="5"/>
      <c r="R213" s="5"/>
      <c r="S213" s="1"/>
      <c r="T213" s="1"/>
      <c r="U213" s="6"/>
      <c r="V213" s="1877"/>
      <c r="W213" s="1877"/>
      <c r="X213" s="1877"/>
      <c r="Y213" s="1877"/>
      <c r="Z213" s="1878"/>
      <c r="AA213" s="1878"/>
      <c r="AB213" s="1877"/>
      <c r="AC213" s="1877"/>
      <c r="AD213" s="1877"/>
      <c r="AE213" s="1911"/>
      <c r="AF213" s="1912"/>
      <c r="AG213" s="1881"/>
      <c r="AH213" s="1913"/>
      <c r="AI213" s="1518"/>
      <c r="AJ213" s="1897"/>
      <c r="AK213" s="1518"/>
      <c r="AL213" s="1518"/>
      <c r="AM213" s="1518"/>
      <c r="AN213" s="1518"/>
      <c r="AO213" s="1518"/>
      <c r="AP213" s="1518"/>
      <c r="AQ213" s="1518"/>
      <c r="AR213" s="1518"/>
      <c r="AS213" s="1518"/>
      <c r="AT213" s="1518"/>
      <c r="AU213" s="1518"/>
      <c r="AV213" s="1518"/>
      <c r="AW213" s="1518"/>
      <c r="AX213" s="1518"/>
      <c r="AY213" s="1518"/>
      <c r="AZ213" s="1518"/>
      <c r="BA213" s="1518"/>
      <c r="BB213" s="1518"/>
      <c r="BC213" s="1518"/>
      <c r="BD213" s="1518"/>
      <c r="BE213" s="1518"/>
    </row>
    <row r="214" spans="1:57" s="1350" customFormat="1">
      <c r="A214" s="1"/>
      <c r="B214" s="6"/>
      <c r="C214" s="4"/>
      <c r="D214" s="3"/>
      <c r="E214" s="4"/>
      <c r="F214" s="4"/>
      <c r="G214" s="1"/>
      <c r="H214" s="6"/>
      <c r="I214" s="6"/>
      <c r="J214" s="11"/>
      <c r="K214" s="510"/>
      <c r="L214" s="11"/>
      <c r="M214" s="5"/>
      <c r="N214" s="5"/>
      <c r="O214" s="2606"/>
      <c r="P214" s="2608"/>
      <c r="Q214" s="5"/>
      <c r="R214" s="5"/>
      <c r="S214" s="1"/>
      <c r="T214" s="1"/>
      <c r="U214" s="6"/>
      <c r="V214" s="1877"/>
      <c r="W214" s="1877"/>
      <c r="X214" s="1877"/>
      <c r="Y214" s="1877"/>
      <c r="Z214" s="1878"/>
      <c r="AA214" s="1878"/>
      <c r="AB214" s="1877"/>
      <c r="AC214" s="1877"/>
      <c r="AD214" s="1877"/>
      <c r="AE214" s="1911"/>
      <c r="AF214" s="1912"/>
      <c r="AG214" s="1881"/>
      <c r="AH214" s="1913"/>
      <c r="AI214" s="1518"/>
      <c r="AJ214" s="1897"/>
      <c r="AK214" s="1518"/>
      <c r="AL214" s="1518"/>
      <c r="AM214" s="1518"/>
      <c r="AN214" s="1518"/>
      <c r="AO214" s="1518"/>
      <c r="AP214" s="1518"/>
      <c r="AQ214" s="1518"/>
      <c r="AR214" s="1518"/>
      <c r="AS214" s="1518"/>
      <c r="AT214" s="1518"/>
      <c r="AU214" s="1518"/>
      <c r="AV214" s="1518"/>
      <c r="AW214" s="1518"/>
      <c r="AX214" s="1518"/>
      <c r="AY214" s="1518"/>
      <c r="AZ214" s="1518"/>
      <c r="BA214" s="1518"/>
      <c r="BB214" s="1518"/>
      <c r="BC214" s="1518"/>
      <c r="BD214" s="1518"/>
      <c r="BE214" s="1518"/>
    </row>
    <row r="215" spans="1:57" s="1350" customFormat="1">
      <c r="A215" s="1"/>
      <c r="B215" s="6"/>
      <c r="C215" s="4"/>
      <c r="D215" s="3"/>
      <c r="E215" s="4"/>
      <c r="F215" s="4"/>
      <c r="G215" s="1"/>
      <c r="H215" s="6"/>
      <c r="I215" s="6"/>
      <c r="J215" s="11"/>
      <c r="K215" s="510"/>
      <c r="L215" s="11"/>
      <c r="M215" s="5"/>
      <c r="N215" s="5"/>
      <c r="O215" s="2606"/>
      <c r="P215" s="2608"/>
      <c r="Q215" s="5"/>
      <c r="R215" s="5"/>
      <c r="S215" s="1"/>
      <c r="T215" s="1"/>
      <c r="U215" s="6"/>
      <c r="V215" s="1877"/>
      <c r="W215" s="1877"/>
      <c r="X215" s="1877"/>
      <c r="Y215" s="1877"/>
      <c r="Z215" s="1878"/>
      <c r="AA215" s="1878"/>
      <c r="AB215" s="1877"/>
      <c r="AC215" s="1877"/>
      <c r="AD215" s="1877"/>
      <c r="AE215" s="1911"/>
      <c r="AF215" s="1912"/>
      <c r="AG215" s="1881"/>
      <c r="AH215" s="1913"/>
      <c r="AI215" s="1518"/>
      <c r="AJ215" s="1897"/>
      <c r="AK215" s="1518"/>
      <c r="AL215" s="1518"/>
      <c r="AM215" s="1518"/>
      <c r="AN215" s="1518"/>
      <c r="AO215" s="1518"/>
      <c r="AP215" s="1518"/>
      <c r="AQ215" s="1518"/>
      <c r="AR215" s="1518"/>
      <c r="AS215" s="1518"/>
      <c r="AT215" s="1518"/>
      <c r="AU215" s="1518"/>
      <c r="AV215" s="1518"/>
      <c r="AW215" s="1518"/>
      <c r="AX215" s="1518"/>
      <c r="AY215" s="1518"/>
      <c r="AZ215" s="1518"/>
      <c r="BA215" s="1518"/>
      <c r="BB215" s="1518"/>
      <c r="BC215" s="1518"/>
      <c r="BD215" s="1518"/>
      <c r="BE215" s="1518"/>
    </row>
    <row r="216" spans="1:57" s="1350" customFormat="1">
      <c r="A216" s="1"/>
      <c r="B216" s="6"/>
      <c r="C216" s="4"/>
      <c r="D216" s="3"/>
      <c r="E216" s="4"/>
      <c r="F216" s="4"/>
      <c r="G216" s="1"/>
      <c r="H216" s="6"/>
      <c r="I216" s="6"/>
      <c r="J216" s="11"/>
      <c r="K216" s="510"/>
      <c r="L216" s="11"/>
      <c r="M216" s="5"/>
      <c r="N216" s="5"/>
      <c r="O216" s="2606"/>
      <c r="P216" s="2608"/>
      <c r="Q216" s="5"/>
      <c r="R216" s="5"/>
      <c r="S216" s="1"/>
      <c r="T216" s="1"/>
      <c r="U216" s="6"/>
      <c r="V216" s="1877"/>
      <c r="W216" s="1877"/>
      <c r="X216" s="1877"/>
      <c r="Y216" s="1877"/>
      <c r="Z216" s="1878"/>
      <c r="AA216" s="1878"/>
      <c r="AB216" s="1877"/>
      <c r="AC216" s="1877"/>
      <c r="AD216" s="1877"/>
      <c r="AE216" s="1911"/>
      <c r="AF216" s="1912"/>
      <c r="AG216" s="1881"/>
      <c r="AH216" s="1913"/>
      <c r="AI216" s="1518"/>
      <c r="AJ216" s="1897"/>
      <c r="AK216" s="1518"/>
      <c r="AL216" s="1518"/>
      <c r="AM216" s="1518"/>
      <c r="AN216" s="1518"/>
      <c r="AO216" s="1518"/>
      <c r="AP216" s="1518"/>
      <c r="AQ216" s="1518"/>
      <c r="AR216" s="1518"/>
      <c r="AS216" s="1518"/>
      <c r="AT216" s="1518"/>
      <c r="AU216" s="1518"/>
      <c r="AV216" s="1518"/>
      <c r="AW216" s="1518"/>
      <c r="AX216" s="1518"/>
      <c r="AY216" s="1518"/>
      <c r="AZ216" s="1518"/>
      <c r="BA216" s="1518"/>
      <c r="BB216" s="1518"/>
      <c r="BC216" s="1518"/>
      <c r="BD216" s="1518"/>
      <c r="BE216" s="1518"/>
    </row>
    <row r="217" spans="1:57" s="1350" customFormat="1">
      <c r="A217" s="1"/>
      <c r="B217" s="6"/>
      <c r="C217" s="4"/>
      <c r="D217" s="3"/>
      <c r="E217" s="4"/>
      <c r="F217" s="4"/>
      <c r="G217" s="1"/>
      <c r="H217" s="6"/>
      <c r="I217" s="6"/>
      <c r="J217" s="11"/>
      <c r="K217" s="510"/>
      <c r="L217" s="11"/>
      <c r="M217" s="5"/>
      <c r="N217" s="5"/>
      <c r="O217" s="2606"/>
      <c r="P217" s="2608"/>
      <c r="Q217" s="5"/>
      <c r="R217" s="5"/>
      <c r="S217" s="1"/>
      <c r="T217" s="1"/>
      <c r="U217" s="6"/>
      <c r="V217" s="1877"/>
      <c r="W217" s="1877"/>
      <c r="X217" s="1877"/>
      <c r="Y217" s="1877"/>
      <c r="Z217" s="1878"/>
      <c r="AA217" s="1878"/>
      <c r="AB217" s="1877"/>
      <c r="AC217" s="1877"/>
      <c r="AD217" s="1877"/>
      <c r="AE217" s="1911"/>
      <c r="AF217" s="1912"/>
      <c r="AG217" s="1881"/>
      <c r="AH217" s="1913"/>
      <c r="AI217" s="1518"/>
      <c r="AJ217" s="1897"/>
      <c r="AK217" s="1518"/>
      <c r="AL217" s="1518"/>
      <c r="AM217" s="1518"/>
      <c r="AN217" s="1518"/>
      <c r="AO217" s="1518"/>
      <c r="AP217" s="1518"/>
      <c r="AQ217" s="1518"/>
      <c r="AR217" s="1518"/>
      <c r="AS217" s="1518"/>
      <c r="AT217" s="1518"/>
      <c r="AU217" s="1518"/>
      <c r="AV217" s="1518"/>
      <c r="AW217" s="1518"/>
      <c r="AX217" s="1518"/>
      <c r="AY217" s="1518"/>
      <c r="AZ217" s="1518"/>
      <c r="BA217" s="1518"/>
      <c r="BB217" s="1518"/>
      <c r="BC217" s="1518"/>
      <c r="BD217" s="1518"/>
      <c r="BE217" s="1518"/>
    </row>
    <row r="218" spans="1:57" s="1350" customFormat="1">
      <c r="A218" s="1"/>
      <c r="B218" s="6"/>
      <c r="C218" s="4"/>
      <c r="D218" s="3"/>
      <c r="E218" s="4"/>
      <c r="F218" s="4"/>
      <c r="G218" s="1"/>
      <c r="H218" s="6"/>
      <c r="I218" s="6"/>
      <c r="J218" s="11"/>
      <c r="K218" s="510"/>
      <c r="L218" s="11"/>
      <c r="M218" s="5"/>
      <c r="N218" s="5"/>
      <c r="O218" s="2606"/>
      <c r="P218" s="2608"/>
      <c r="Q218" s="5"/>
      <c r="R218" s="5"/>
      <c r="S218" s="1"/>
      <c r="T218" s="1"/>
      <c r="U218" s="6"/>
      <c r="V218" s="1877"/>
      <c r="W218" s="1877"/>
      <c r="X218" s="1877"/>
      <c r="Y218" s="1877"/>
      <c r="Z218" s="1878"/>
      <c r="AA218" s="1878"/>
      <c r="AB218" s="1877"/>
      <c r="AC218" s="1877"/>
      <c r="AD218" s="1877"/>
      <c r="AE218" s="1911"/>
      <c r="AF218" s="1912"/>
      <c r="AG218" s="1881"/>
      <c r="AH218" s="1913"/>
      <c r="AI218" s="1518"/>
      <c r="AJ218" s="1897"/>
      <c r="AK218" s="1518"/>
      <c r="AL218" s="1518"/>
      <c r="AM218" s="1518"/>
      <c r="AN218" s="1518"/>
      <c r="AO218" s="1518"/>
      <c r="AP218" s="1518"/>
      <c r="AQ218" s="1518"/>
      <c r="AR218" s="1518"/>
      <c r="AS218" s="1518"/>
      <c r="AT218" s="1518"/>
      <c r="AU218" s="1518"/>
      <c r="AV218" s="1518"/>
      <c r="AW218" s="1518"/>
      <c r="AX218" s="1518"/>
      <c r="AY218" s="1518"/>
      <c r="AZ218" s="1518"/>
      <c r="BA218" s="1518"/>
      <c r="BB218" s="1518"/>
      <c r="BC218" s="1518"/>
      <c r="BD218" s="1518"/>
      <c r="BE218" s="1518"/>
    </row>
    <row r="219" spans="1:57" s="1350" customFormat="1">
      <c r="A219" s="1"/>
      <c r="B219" s="6"/>
      <c r="C219" s="4"/>
      <c r="D219" s="3"/>
      <c r="E219" s="4"/>
      <c r="F219" s="4"/>
      <c r="G219" s="1"/>
      <c r="H219" s="6"/>
      <c r="I219" s="6"/>
      <c r="J219" s="11"/>
      <c r="K219" s="510"/>
      <c r="L219" s="11"/>
      <c r="M219" s="5"/>
      <c r="N219" s="5"/>
      <c r="O219" s="2606"/>
      <c r="P219" s="2608"/>
      <c r="Q219" s="5"/>
      <c r="R219" s="5"/>
      <c r="S219" s="1"/>
      <c r="T219" s="1"/>
      <c r="U219" s="6"/>
      <c r="V219" s="1877"/>
      <c r="W219" s="1877"/>
      <c r="X219" s="1877"/>
      <c r="Y219" s="1877"/>
      <c r="Z219" s="1878"/>
      <c r="AA219" s="1878"/>
      <c r="AB219" s="1877"/>
      <c r="AC219" s="1877"/>
      <c r="AD219" s="1877"/>
      <c r="AE219" s="1911"/>
      <c r="AF219" s="1912"/>
      <c r="AG219" s="1881"/>
      <c r="AH219" s="1913"/>
      <c r="AI219" s="1518"/>
      <c r="AJ219" s="1897"/>
      <c r="AK219" s="1518"/>
      <c r="AL219" s="1518"/>
      <c r="AM219" s="1518"/>
      <c r="AN219" s="1518"/>
      <c r="AO219" s="1518"/>
      <c r="AP219" s="1518"/>
      <c r="AQ219" s="1518"/>
      <c r="AR219" s="1518"/>
      <c r="AS219" s="1518"/>
      <c r="AT219" s="1518"/>
      <c r="AU219" s="1518"/>
      <c r="AV219" s="1518"/>
      <c r="AW219" s="1518"/>
      <c r="AX219" s="1518"/>
      <c r="AY219" s="1518"/>
      <c r="AZ219" s="1518"/>
      <c r="BA219" s="1518"/>
      <c r="BB219" s="1518"/>
      <c r="BC219" s="1518"/>
      <c r="BD219" s="1518"/>
      <c r="BE219" s="1518"/>
    </row>
    <row r="220" spans="1:57" s="1350" customFormat="1">
      <c r="A220" s="1"/>
      <c r="B220" s="6"/>
      <c r="C220" s="4"/>
      <c r="D220" s="3"/>
      <c r="E220" s="4"/>
      <c r="F220" s="4"/>
      <c r="G220" s="1"/>
      <c r="H220" s="6"/>
      <c r="I220" s="6"/>
      <c r="J220" s="11"/>
      <c r="K220" s="510"/>
      <c r="L220" s="11"/>
      <c r="M220" s="5"/>
      <c r="N220" s="5"/>
      <c r="O220" s="2606"/>
      <c r="P220" s="2608"/>
      <c r="Q220" s="5"/>
      <c r="R220" s="5"/>
      <c r="S220" s="1"/>
      <c r="T220" s="1"/>
      <c r="U220" s="6"/>
      <c r="V220" s="1877"/>
      <c r="W220" s="1877"/>
      <c r="X220" s="1877"/>
      <c r="Y220" s="1877"/>
      <c r="Z220" s="1878"/>
      <c r="AA220" s="1878"/>
      <c r="AB220" s="1877"/>
      <c r="AC220" s="1877"/>
      <c r="AD220" s="1877"/>
      <c r="AE220" s="1911"/>
      <c r="AF220" s="1912"/>
      <c r="AG220" s="1881"/>
      <c r="AH220" s="1913"/>
      <c r="AI220" s="1518"/>
      <c r="AJ220" s="1897"/>
      <c r="AK220" s="1518"/>
      <c r="AL220" s="1518"/>
      <c r="AM220" s="1518"/>
      <c r="AN220" s="1518"/>
      <c r="AO220" s="1518"/>
      <c r="AP220" s="1518"/>
      <c r="AQ220" s="1518"/>
      <c r="AR220" s="1518"/>
      <c r="AS220" s="1518"/>
      <c r="AT220" s="1518"/>
      <c r="AU220" s="1518"/>
      <c r="AV220" s="1518"/>
      <c r="AW220" s="1518"/>
      <c r="AX220" s="1518"/>
      <c r="AY220" s="1518"/>
      <c r="AZ220" s="1518"/>
      <c r="BA220" s="1518"/>
      <c r="BB220" s="1518"/>
      <c r="BC220" s="1518"/>
      <c r="BD220" s="1518"/>
      <c r="BE220" s="1518"/>
    </row>
    <row r="221" spans="1:57" s="1350" customFormat="1">
      <c r="A221" s="1"/>
      <c r="B221" s="6"/>
      <c r="C221" s="4"/>
      <c r="D221" s="3"/>
      <c r="E221" s="4"/>
      <c r="F221" s="4"/>
      <c r="G221" s="1"/>
      <c r="H221" s="6"/>
      <c r="I221" s="6"/>
      <c r="J221" s="11"/>
      <c r="K221" s="510"/>
      <c r="L221" s="11"/>
      <c r="M221" s="5"/>
      <c r="N221" s="5"/>
      <c r="O221" s="2606"/>
      <c r="P221" s="2608"/>
      <c r="Q221" s="5"/>
      <c r="R221" s="5"/>
      <c r="S221" s="1"/>
      <c r="T221" s="1"/>
      <c r="U221" s="6"/>
      <c r="V221" s="1877"/>
      <c r="W221" s="1877"/>
      <c r="X221" s="1877"/>
      <c r="Y221" s="1877"/>
      <c r="Z221" s="1878"/>
      <c r="AA221" s="1878"/>
      <c r="AB221" s="1877"/>
      <c r="AC221" s="1877"/>
      <c r="AD221" s="1877"/>
      <c r="AE221" s="1911"/>
      <c r="AF221" s="1912"/>
      <c r="AG221" s="1881"/>
      <c r="AH221" s="1913"/>
      <c r="AI221" s="1518"/>
      <c r="AJ221" s="1897"/>
      <c r="AK221" s="1518"/>
      <c r="AL221" s="1518"/>
      <c r="AM221" s="1518"/>
      <c r="AN221" s="1518"/>
      <c r="AO221" s="1518"/>
      <c r="AP221" s="1518"/>
      <c r="AQ221" s="1518"/>
      <c r="AR221" s="1518"/>
      <c r="AS221" s="1518"/>
      <c r="AT221" s="1518"/>
      <c r="AU221" s="1518"/>
      <c r="AV221" s="1518"/>
      <c r="AW221" s="1518"/>
      <c r="AX221" s="1518"/>
      <c r="AY221" s="1518"/>
      <c r="AZ221" s="1518"/>
      <c r="BA221" s="1518"/>
      <c r="BB221" s="1518"/>
      <c r="BC221" s="1518"/>
      <c r="BD221" s="1518"/>
      <c r="BE221" s="1518"/>
    </row>
    <row r="222" spans="1:57" s="1350" customFormat="1">
      <c r="A222" s="1"/>
      <c r="B222" s="6"/>
      <c r="C222" s="4"/>
      <c r="D222" s="3"/>
      <c r="E222" s="4"/>
      <c r="F222" s="4"/>
      <c r="G222" s="1"/>
      <c r="H222" s="6"/>
      <c r="I222" s="6"/>
      <c r="J222" s="11"/>
      <c r="K222" s="510"/>
      <c r="L222" s="11"/>
      <c r="M222" s="5"/>
      <c r="N222" s="5"/>
      <c r="O222" s="2606"/>
      <c r="P222" s="2608"/>
      <c r="Q222" s="5"/>
      <c r="R222" s="5"/>
      <c r="S222" s="1"/>
      <c r="T222" s="1"/>
      <c r="U222" s="6"/>
      <c r="V222" s="1877"/>
      <c r="W222" s="1877"/>
      <c r="X222" s="1877"/>
      <c r="Y222" s="1877"/>
      <c r="Z222" s="1878"/>
      <c r="AA222" s="1878"/>
      <c r="AB222" s="1877"/>
      <c r="AC222" s="1877"/>
      <c r="AD222" s="1877"/>
      <c r="AE222" s="1911"/>
      <c r="AF222" s="1912"/>
      <c r="AG222" s="1881"/>
      <c r="AH222" s="1913"/>
      <c r="AI222" s="1518"/>
      <c r="AJ222" s="1897"/>
      <c r="AK222" s="1518"/>
      <c r="AL222" s="1518"/>
      <c r="AM222" s="1518"/>
      <c r="AN222" s="1518"/>
      <c r="AO222" s="1518"/>
      <c r="AP222" s="1518"/>
      <c r="AQ222" s="1518"/>
      <c r="AR222" s="1518"/>
      <c r="AS222" s="1518"/>
      <c r="AT222" s="1518"/>
      <c r="AU222" s="1518"/>
      <c r="AV222" s="1518"/>
      <c r="AW222" s="1518"/>
      <c r="AX222" s="1518"/>
      <c r="AY222" s="1518"/>
      <c r="AZ222" s="1518"/>
      <c r="BA222" s="1518"/>
      <c r="BB222" s="1518"/>
      <c r="BC222" s="1518"/>
      <c r="BD222" s="1518"/>
      <c r="BE222" s="1518"/>
    </row>
    <row r="223" spans="1:57" s="1350" customFormat="1">
      <c r="A223" s="1"/>
      <c r="B223" s="6"/>
      <c r="C223" s="4"/>
      <c r="D223" s="3"/>
      <c r="E223" s="4"/>
      <c r="F223" s="4"/>
      <c r="G223" s="1"/>
      <c r="H223" s="6"/>
      <c r="I223" s="6"/>
      <c r="J223" s="11"/>
      <c r="K223" s="510"/>
      <c r="L223" s="11"/>
      <c r="M223" s="5"/>
      <c r="N223" s="5"/>
      <c r="O223" s="2606"/>
      <c r="P223" s="2608"/>
      <c r="Q223" s="5"/>
      <c r="R223" s="5"/>
      <c r="S223" s="1"/>
      <c r="T223" s="1"/>
      <c r="U223" s="6"/>
      <c r="V223" s="1877"/>
      <c r="W223" s="1877"/>
      <c r="X223" s="1877"/>
      <c r="Y223" s="1877"/>
      <c r="Z223" s="1878"/>
      <c r="AA223" s="1878"/>
      <c r="AB223" s="1877"/>
      <c r="AC223" s="1877"/>
      <c r="AD223" s="1877"/>
      <c r="AE223" s="1911"/>
      <c r="AF223" s="1912"/>
      <c r="AG223" s="1881"/>
      <c r="AH223" s="1913"/>
      <c r="AI223" s="1518"/>
      <c r="AJ223" s="1897"/>
      <c r="AK223" s="1518"/>
      <c r="AL223" s="1518"/>
      <c r="AM223" s="1518"/>
      <c r="AN223" s="1518"/>
      <c r="AO223" s="1518"/>
      <c r="AP223" s="1518"/>
      <c r="AQ223" s="1518"/>
      <c r="AR223" s="1518"/>
      <c r="AS223" s="1518"/>
      <c r="AT223" s="1518"/>
      <c r="AU223" s="1518"/>
      <c r="AV223" s="1518"/>
      <c r="AW223" s="1518"/>
      <c r="AX223" s="1518"/>
      <c r="AY223" s="1518"/>
      <c r="AZ223" s="1518"/>
      <c r="BA223" s="1518"/>
      <c r="BB223" s="1518"/>
      <c r="BC223" s="1518"/>
      <c r="BD223" s="1518"/>
      <c r="BE223" s="1518"/>
    </row>
    <row r="224" spans="1:57" s="1350" customFormat="1">
      <c r="A224" s="1"/>
      <c r="B224" s="6"/>
      <c r="C224" s="4"/>
      <c r="D224" s="3"/>
      <c r="E224" s="4"/>
      <c r="F224" s="4"/>
      <c r="G224" s="1"/>
      <c r="H224" s="6"/>
      <c r="I224" s="6"/>
      <c r="J224" s="11"/>
      <c r="K224" s="510"/>
      <c r="L224" s="11"/>
      <c r="M224" s="5"/>
      <c r="N224" s="5"/>
      <c r="O224" s="2606"/>
      <c r="P224" s="2608"/>
      <c r="Q224" s="5"/>
      <c r="R224" s="5"/>
      <c r="S224" s="1"/>
      <c r="T224" s="1"/>
      <c r="U224" s="6"/>
      <c r="V224" s="1877"/>
      <c r="W224" s="1877"/>
      <c r="X224" s="1877"/>
      <c r="Y224" s="1877"/>
      <c r="Z224" s="1878"/>
      <c r="AA224" s="1878"/>
      <c r="AB224" s="1877"/>
      <c r="AC224" s="1877"/>
      <c r="AD224" s="1877"/>
      <c r="AE224" s="1911"/>
      <c r="AF224" s="1912"/>
      <c r="AG224" s="1881"/>
      <c r="AH224" s="1913"/>
      <c r="AI224" s="1518"/>
      <c r="AJ224" s="1897"/>
      <c r="AK224" s="1518"/>
      <c r="AL224" s="1518"/>
      <c r="AM224" s="1518"/>
      <c r="AN224" s="1518"/>
      <c r="AO224" s="1518"/>
      <c r="AP224" s="1518"/>
      <c r="AQ224" s="1518"/>
      <c r="AR224" s="1518"/>
      <c r="AS224" s="1518"/>
      <c r="AT224" s="1518"/>
      <c r="AU224" s="1518"/>
      <c r="AV224" s="1518"/>
      <c r="AW224" s="1518"/>
      <c r="AX224" s="1518"/>
      <c r="AY224" s="1518"/>
      <c r="AZ224" s="1518"/>
      <c r="BA224" s="1518"/>
      <c r="BB224" s="1518"/>
      <c r="BC224" s="1518"/>
      <c r="BD224" s="1518"/>
      <c r="BE224" s="1518"/>
    </row>
    <row r="225" spans="1:57" s="1350" customFormat="1">
      <c r="A225" s="1"/>
      <c r="B225" s="6"/>
      <c r="C225" s="4"/>
      <c r="D225" s="3"/>
      <c r="E225" s="4"/>
      <c r="F225" s="4"/>
      <c r="G225" s="1"/>
      <c r="H225" s="6"/>
      <c r="I225" s="6"/>
      <c r="J225" s="11"/>
      <c r="K225" s="510"/>
      <c r="L225" s="11"/>
      <c r="M225" s="5"/>
      <c r="N225" s="5"/>
      <c r="O225" s="2606"/>
      <c r="P225" s="2608"/>
      <c r="Q225" s="5"/>
      <c r="R225" s="5"/>
      <c r="S225" s="1"/>
      <c r="T225" s="1"/>
      <c r="U225" s="6"/>
      <c r="V225" s="1877"/>
      <c r="W225" s="1877"/>
      <c r="X225" s="1877"/>
      <c r="Y225" s="1877"/>
      <c r="Z225" s="1878"/>
      <c r="AA225" s="1878"/>
      <c r="AB225" s="1877"/>
      <c r="AC225" s="1877"/>
      <c r="AD225" s="1877"/>
      <c r="AE225" s="1911"/>
      <c r="AF225" s="1912"/>
      <c r="AG225" s="1881"/>
      <c r="AH225" s="1913"/>
      <c r="AI225" s="1518"/>
      <c r="AJ225" s="1897"/>
      <c r="AK225" s="1518"/>
      <c r="AL225" s="1518"/>
      <c r="AM225" s="1518"/>
      <c r="AN225" s="1518"/>
      <c r="AO225" s="1518"/>
      <c r="AP225" s="1518"/>
      <c r="AQ225" s="1518"/>
      <c r="AR225" s="1518"/>
      <c r="AS225" s="1518"/>
      <c r="AT225" s="1518"/>
      <c r="AU225" s="1518"/>
      <c r="AV225" s="1518"/>
      <c r="AW225" s="1518"/>
      <c r="AX225" s="1518"/>
      <c r="AY225" s="1518"/>
      <c r="AZ225" s="1518"/>
      <c r="BA225" s="1518"/>
      <c r="BB225" s="1518"/>
      <c r="BC225" s="1518"/>
      <c r="BD225" s="1518"/>
      <c r="BE225" s="1518"/>
    </row>
    <row r="226" spans="1:57" s="1350" customFormat="1">
      <c r="A226" s="1"/>
      <c r="B226" s="6"/>
      <c r="C226" s="4"/>
      <c r="D226" s="3"/>
      <c r="E226" s="4"/>
      <c r="F226" s="4"/>
      <c r="G226" s="1"/>
      <c r="H226" s="6"/>
      <c r="I226" s="6"/>
      <c r="J226" s="11"/>
      <c r="K226" s="510"/>
      <c r="L226" s="11"/>
      <c r="M226" s="5"/>
      <c r="N226" s="5"/>
      <c r="O226" s="2606"/>
      <c r="P226" s="2608"/>
      <c r="Q226" s="5"/>
      <c r="R226" s="5"/>
      <c r="S226" s="1"/>
      <c r="T226" s="1"/>
      <c r="U226" s="6"/>
      <c r="V226" s="1877"/>
      <c r="W226" s="1877"/>
      <c r="X226" s="1877"/>
      <c r="Y226" s="1877"/>
      <c r="Z226" s="1878"/>
      <c r="AA226" s="1878"/>
      <c r="AB226" s="1877"/>
      <c r="AC226" s="1877"/>
      <c r="AD226" s="1877"/>
      <c r="AE226" s="1911"/>
      <c r="AF226" s="1912"/>
      <c r="AG226" s="1881"/>
      <c r="AH226" s="1913"/>
      <c r="AI226" s="1518"/>
      <c r="AJ226" s="1897"/>
      <c r="AK226" s="1518"/>
      <c r="AL226" s="1518"/>
      <c r="AM226" s="1518"/>
      <c r="AN226" s="1518"/>
      <c r="AO226" s="1518"/>
      <c r="AP226" s="1518"/>
      <c r="AQ226" s="1518"/>
      <c r="AR226" s="1518"/>
      <c r="AS226" s="1518"/>
      <c r="AT226" s="1518"/>
      <c r="AU226" s="1518"/>
      <c r="AV226" s="1518"/>
      <c r="AW226" s="1518"/>
      <c r="AX226" s="1518"/>
      <c r="AY226" s="1518"/>
      <c r="AZ226" s="1518"/>
      <c r="BA226" s="1518"/>
      <c r="BB226" s="1518"/>
      <c r="BC226" s="1518"/>
      <c r="BD226" s="1518"/>
      <c r="BE226" s="1518"/>
    </row>
    <row r="227" spans="1:57" s="1350" customFormat="1">
      <c r="A227" s="1"/>
      <c r="B227" s="6"/>
      <c r="C227" s="4"/>
      <c r="D227" s="3"/>
      <c r="E227" s="4"/>
      <c r="F227" s="4"/>
      <c r="G227" s="1"/>
      <c r="H227" s="6"/>
      <c r="I227" s="6"/>
      <c r="J227" s="11"/>
      <c r="K227" s="510"/>
      <c r="L227" s="11"/>
      <c r="M227" s="5"/>
      <c r="N227" s="5"/>
      <c r="O227" s="2606"/>
      <c r="P227" s="2608"/>
      <c r="Q227" s="5"/>
      <c r="R227" s="5"/>
      <c r="S227" s="1"/>
      <c r="T227" s="1"/>
      <c r="U227" s="6"/>
      <c r="V227" s="1877"/>
      <c r="W227" s="1877"/>
      <c r="X227" s="1877"/>
      <c r="Y227" s="1877"/>
      <c r="Z227" s="1878"/>
      <c r="AA227" s="1878"/>
      <c r="AB227" s="1877"/>
      <c r="AC227" s="1877"/>
      <c r="AD227" s="1877"/>
      <c r="AE227" s="1911"/>
      <c r="AF227" s="1912"/>
      <c r="AG227" s="1881"/>
      <c r="AH227" s="1913"/>
      <c r="AI227" s="1518"/>
      <c r="AJ227" s="1897"/>
      <c r="AK227" s="1518"/>
      <c r="AL227" s="1518"/>
      <c r="AM227" s="1518"/>
      <c r="AN227" s="1518"/>
      <c r="AO227" s="1518"/>
      <c r="AP227" s="1518"/>
      <c r="AQ227" s="1518"/>
      <c r="AR227" s="1518"/>
      <c r="AS227" s="1518"/>
      <c r="AT227" s="1518"/>
      <c r="AU227" s="1518"/>
      <c r="AV227" s="1518"/>
      <c r="AW227" s="1518"/>
      <c r="AX227" s="1518"/>
      <c r="AY227" s="1518"/>
      <c r="AZ227" s="1518"/>
      <c r="BA227" s="1518"/>
      <c r="BB227" s="1518"/>
      <c r="BC227" s="1518"/>
      <c r="BD227" s="1518"/>
      <c r="BE227" s="1518"/>
    </row>
    <row r="228" spans="1:57" s="1350" customFormat="1">
      <c r="A228" s="1"/>
      <c r="B228" s="6"/>
      <c r="C228" s="4"/>
      <c r="D228" s="3"/>
      <c r="E228" s="4"/>
      <c r="F228" s="4"/>
      <c r="G228" s="1"/>
      <c r="H228" s="6"/>
      <c r="I228" s="6"/>
      <c r="J228" s="11"/>
      <c r="K228" s="510"/>
      <c r="L228" s="11"/>
      <c r="M228" s="5"/>
      <c r="N228" s="5"/>
      <c r="O228" s="2606"/>
      <c r="P228" s="2608"/>
      <c r="Q228" s="5"/>
      <c r="R228" s="5"/>
      <c r="S228" s="1"/>
      <c r="T228" s="1"/>
      <c r="U228" s="6"/>
      <c r="V228" s="1877"/>
      <c r="W228" s="1877"/>
      <c r="X228" s="1877"/>
      <c r="Y228" s="1877"/>
      <c r="Z228" s="1878"/>
      <c r="AA228" s="1878"/>
      <c r="AB228" s="1877"/>
      <c r="AC228" s="1877"/>
      <c r="AD228" s="1877"/>
      <c r="AE228" s="1911"/>
      <c r="AF228" s="1912"/>
      <c r="AG228" s="1881"/>
      <c r="AH228" s="1913"/>
      <c r="AI228" s="1518"/>
      <c r="AJ228" s="1897"/>
      <c r="AK228" s="1518"/>
      <c r="AL228" s="1518"/>
      <c r="AM228" s="1518"/>
      <c r="AN228" s="1518"/>
      <c r="AO228" s="1518"/>
      <c r="AP228" s="1518"/>
      <c r="AQ228" s="1518"/>
      <c r="AR228" s="1518"/>
      <c r="AS228" s="1518"/>
      <c r="AT228" s="1518"/>
      <c r="AU228" s="1518"/>
      <c r="AV228" s="1518"/>
      <c r="AW228" s="1518"/>
      <c r="AX228" s="1518"/>
      <c r="AY228" s="1518"/>
      <c r="AZ228" s="1518"/>
      <c r="BA228" s="1518"/>
      <c r="BB228" s="1518"/>
      <c r="BC228" s="1518"/>
      <c r="BD228" s="1518"/>
      <c r="BE228" s="1518"/>
    </row>
    <row r="229" spans="1:57" s="1350" customFormat="1">
      <c r="A229" s="1"/>
      <c r="B229" s="6"/>
      <c r="C229" s="4"/>
      <c r="D229" s="3"/>
      <c r="E229" s="4"/>
      <c r="F229" s="4"/>
      <c r="G229" s="1"/>
      <c r="H229" s="6"/>
      <c r="I229" s="6"/>
      <c r="J229" s="11"/>
      <c r="K229" s="510"/>
      <c r="L229" s="11"/>
      <c r="M229" s="5"/>
      <c r="N229" s="5"/>
      <c r="O229" s="2606"/>
      <c r="P229" s="2608"/>
      <c r="Q229" s="5"/>
      <c r="R229" s="5"/>
      <c r="S229" s="1"/>
      <c r="T229" s="1"/>
      <c r="U229" s="6"/>
      <c r="V229" s="1877"/>
      <c r="W229" s="1877"/>
      <c r="X229" s="1877"/>
      <c r="Y229" s="1877"/>
      <c r="Z229" s="1878"/>
      <c r="AA229" s="1878"/>
      <c r="AB229" s="1877"/>
      <c r="AC229" s="1877"/>
      <c r="AD229" s="1877"/>
      <c r="AE229" s="1911"/>
      <c r="AF229" s="1912"/>
      <c r="AG229" s="1881"/>
      <c r="AH229" s="1913"/>
      <c r="AI229" s="1518"/>
      <c r="AJ229" s="1897"/>
      <c r="AK229" s="1518"/>
      <c r="AL229" s="1518"/>
      <c r="AM229" s="1518"/>
      <c r="AN229" s="1518"/>
      <c r="AO229" s="1518"/>
      <c r="AP229" s="1518"/>
      <c r="AQ229" s="1518"/>
      <c r="AR229" s="1518"/>
      <c r="AS229" s="1518"/>
      <c r="AT229" s="1518"/>
      <c r="AU229" s="1518"/>
      <c r="AV229" s="1518"/>
      <c r="AW229" s="1518"/>
      <c r="AX229" s="1518"/>
      <c r="AY229" s="1518"/>
      <c r="AZ229" s="1518"/>
      <c r="BA229" s="1518"/>
      <c r="BB229" s="1518"/>
      <c r="BC229" s="1518"/>
      <c r="BD229" s="1518"/>
      <c r="BE229" s="1518"/>
    </row>
    <row r="230" spans="1:57" s="1350" customFormat="1">
      <c r="A230" s="1"/>
      <c r="B230" s="6"/>
      <c r="C230" s="4"/>
      <c r="D230" s="3"/>
      <c r="E230" s="4"/>
      <c r="F230" s="4"/>
      <c r="G230" s="1"/>
      <c r="H230" s="6"/>
      <c r="I230" s="6"/>
      <c r="J230" s="11"/>
      <c r="K230" s="510"/>
      <c r="L230" s="11"/>
      <c r="M230" s="5"/>
      <c r="N230" s="5"/>
      <c r="O230" s="2606"/>
      <c r="P230" s="2608"/>
      <c r="Q230" s="5"/>
      <c r="R230" s="5"/>
      <c r="S230" s="1"/>
      <c r="T230" s="1"/>
      <c r="U230" s="6"/>
      <c r="V230" s="1877"/>
      <c r="W230" s="1877"/>
      <c r="X230" s="1877"/>
      <c r="Y230" s="1877"/>
      <c r="Z230" s="1878"/>
      <c r="AA230" s="1878"/>
      <c r="AB230" s="1877"/>
      <c r="AC230" s="1877"/>
      <c r="AD230" s="1877"/>
      <c r="AE230" s="1911"/>
      <c r="AF230" s="1912"/>
      <c r="AG230" s="1881"/>
      <c r="AH230" s="1913"/>
      <c r="AI230" s="1518"/>
      <c r="AJ230" s="1897"/>
      <c r="AK230" s="1518"/>
      <c r="AL230" s="1518"/>
      <c r="AM230" s="1518"/>
      <c r="AN230" s="1518"/>
      <c r="AO230" s="1518"/>
      <c r="AP230" s="1518"/>
      <c r="AQ230" s="1518"/>
      <c r="AR230" s="1518"/>
      <c r="AS230" s="1518"/>
      <c r="AT230" s="1518"/>
      <c r="AU230" s="1518"/>
      <c r="AV230" s="1518"/>
      <c r="AW230" s="1518"/>
      <c r="AX230" s="1518"/>
      <c r="AY230" s="1518"/>
      <c r="AZ230" s="1518"/>
      <c r="BA230" s="1518"/>
      <c r="BB230" s="1518"/>
      <c r="BC230" s="1518"/>
      <c r="BD230" s="1518"/>
      <c r="BE230" s="1518"/>
    </row>
    <row r="231" spans="1:57" s="1350" customFormat="1">
      <c r="A231" s="1"/>
      <c r="B231" s="6"/>
      <c r="C231" s="4"/>
      <c r="D231" s="3"/>
      <c r="E231" s="4"/>
      <c r="F231" s="4"/>
      <c r="G231" s="1"/>
      <c r="H231" s="6"/>
      <c r="I231" s="6"/>
      <c r="J231" s="11"/>
      <c r="K231" s="510"/>
      <c r="L231" s="11"/>
      <c r="M231" s="5"/>
      <c r="N231" s="5"/>
      <c r="O231" s="2606"/>
      <c r="P231" s="2608"/>
      <c r="Q231" s="5"/>
      <c r="R231" s="5"/>
      <c r="S231" s="1"/>
      <c r="T231" s="1"/>
      <c r="U231" s="6"/>
      <c r="V231" s="1877"/>
      <c r="W231" s="1877"/>
      <c r="X231" s="1877"/>
      <c r="Y231" s="1877"/>
      <c r="Z231" s="1878"/>
      <c r="AA231" s="1878"/>
      <c r="AB231" s="1877"/>
      <c r="AC231" s="1877"/>
      <c r="AD231" s="1877"/>
      <c r="AE231" s="1911"/>
      <c r="AF231" s="1912"/>
      <c r="AG231" s="1881"/>
      <c r="AH231" s="1913"/>
      <c r="AI231" s="1518"/>
      <c r="AJ231" s="1897"/>
      <c r="AK231" s="1518"/>
      <c r="AL231" s="1518"/>
      <c r="AM231" s="1518"/>
      <c r="AN231" s="1518"/>
      <c r="AO231" s="1518"/>
      <c r="AP231" s="1518"/>
      <c r="AQ231" s="1518"/>
      <c r="AR231" s="1518"/>
      <c r="AS231" s="1518"/>
      <c r="AT231" s="1518"/>
      <c r="AU231" s="1518"/>
      <c r="AV231" s="1518"/>
      <c r="AW231" s="1518"/>
      <c r="AX231" s="1518"/>
      <c r="AY231" s="1518"/>
      <c r="AZ231" s="1518"/>
      <c r="BA231" s="1518"/>
      <c r="BB231" s="1518"/>
      <c r="BC231" s="1518"/>
      <c r="BD231" s="1518"/>
      <c r="BE231" s="1518"/>
    </row>
    <row r="232" spans="1:57" s="1350" customFormat="1">
      <c r="A232" s="1"/>
      <c r="B232" s="6"/>
      <c r="C232" s="4"/>
      <c r="D232" s="3"/>
      <c r="E232" s="4"/>
      <c r="F232" s="4"/>
      <c r="G232" s="1"/>
      <c r="H232" s="6"/>
      <c r="I232" s="6"/>
      <c r="J232" s="11"/>
      <c r="K232" s="510"/>
      <c r="L232" s="11"/>
      <c r="M232" s="5"/>
      <c r="N232" s="5"/>
      <c r="O232" s="2606"/>
      <c r="P232" s="2608"/>
      <c r="Q232" s="5"/>
      <c r="R232" s="5"/>
      <c r="S232" s="1"/>
      <c r="T232" s="1"/>
      <c r="U232" s="6"/>
      <c r="V232" s="1877"/>
      <c r="W232" s="1877"/>
      <c r="X232" s="1877"/>
      <c r="Y232" s="1877"/>
      <c r="Z232" s="1878"/>
      <c r="AA232" s="1878"/>
      <c r="AB232" s="1877"/>
      <c r="AC232" s="1877"/>
      <c r="AD232" s="1877"/>
      <c r="AE232" s="1911"/>
      <c r="AF232" s="1912"/>
      <c r="AG232" s="1881"/>
      <c r="AH232" s="1913"/>
      <c r="AI232" s="1518"/>
      <c r="AJ232" s="1897"/>
      <c r="AK232" s="1518"/>
      <c r="AL232" s="1518"/>
      <c r="AM232" s="1518"/>
      <c r="AN232" s="1518"/>
      <c r="AO232" s="1518"/>
      <c r="AP232" s="1518"/>
      <c r="AQ232" s="1518"/>
      <c r="AR232" s="1518"/>
      <c r="AS232" s="1518"/>
      <c r="AT232" s="1518"/>
      <c r="AU232" s="1518"/>
      <c r="AV232" s="1518"/>
      <c r="AW232" s="1518"/>
      <c r="AX232" s="1518"/>
      <c r="AY232" s="1518"/>
      <c r="AZ232" s="1518"/>
      <c r="BA232" s="1518"/>
      <c r="BB232" s="1518"/>
      <c r="BC232" s="1518"/>
      <c r="BD232" s="1518"/>
      <c r="BE232" s="1518"/>
    </row>
    <row r="233" spans="1:57" s="1350" customFormat="1">
      <c r="A233" s="1"/>
      <c r="B233" s="6"/>
      <c r="C233" s="4"/>
      <c r="D233" s="3"/>
      <c r="E233" s="4"/>
      <c r="F233" s="4"/>
      <c r="G233" s="1"/>
      <c r="H233" s="6"/>
      <c r="I233" s="6"/>
      <c r="J233" s="11"/>
      <c r="K233" s="510"/>
      <c r="L233" s="11"/>
      <c r="M233" s="5"/>
      <c r="N233" s="5"/>
      <c r="O233" s="2606"/>
      <c r="P233" s="2608"/>
      <c r="Q233" s="5"/>
      <c r="R233" s="5"/>
      <c r="S233" s="1"/>
      <c r="T233" s="1"/>
      <c r="U233" s="6"/>
      <c r="V233" s="1877"/>
      <c r="W233" s="1877"/>
      <c r="X233" s="1877"/>
      <c r="Y233" s="1877"/>
      <c r="Z233" s="1878"/>
      <c r="AA233" s="1878"/>
      <c r="AB233" s="1877"/>
      <c r="AC233" s="1877"/>
      <c r="AD233" s="1877"/>
      <c r="AE233" s="1911"/>
      <c r="AF233" s="1912"/>
      <c r="AG233" s="1881"/>
      <c r="AH233" s="1913"/>
      <c r="AI233" s="1518"/>
      <c r="AJ233" s="1897"/>
      <c r="AK233" s="1518"/>
      <c r="AL233" s="1518"/>
      <c r="AM233" s="1518"/>
      <c r="AN233" s="1518"/>
      <c r="AO233" s="1518"/>
      <c r="AP233" s="1518"/>
      <c r="AQ233" s="1518"/>
      <c r="AR233" s="1518"/>
      <c r="AS233" s="1518"/>
      <c r="AT233" s="1518"/>
      <c r="AU233" s="1518"/>
      <c r="AV233" s="1518"/>
      <c r="AW233" s="1518"/>
      <c r="AX233" s="1518"/>
      <c r="AY233" s="1518"/>
      <c r="AZ233" s="1518"/>
      <c r="BA233" s="1518"/>
      <c r="BB233" s="1518"/>
      <c r="BC233" s="1518"/>
      <c r="BD233" s="1518"/>
      <c r="BE233" s="1518"/>
    </row>
    <row r="234" spans="1:57" s="1350" customFormat="1">
      <c r="A234" s="1"/>
      <c r="B234" s="6"/>
      <c r="C234" s="4"/>
      <c r="D234" s="3"/>
      <c r="E234" s="4"/>
      <c r="F234" s="4"/>
      <c r="G234" s="1"/>
      <c r="H234" s="6"/>
      <c r="I234" s="6"/>
      <c r="J234" s="11"/>
      <c r="K234" s="510"/>
      <c r="L234" s="11"/>
      <c r="M234" s="5"/>
      <c r="N234" s="5"/>
      <c r="O234" s="2606"/>
      <c r="P234" s="2608"/>
      <c r="Q234" s="5"/>
      <c r="R234" s="5"/>
      <c r="S234" s="1"/>
      <c r="T234" s="1"/>
      <c r="U234" s="6"/>
      <c r="V234" s="1877"/>
      <c r="W234" s="1877"/>
      <c r="X234" s="1877"/>
      <c r="Y234" s="1877"/>
      <c r="Z234" s="1878"/>
      <c r="AA234" s="1878"/>
      <c r="AB234" s="1877"/>
      <c r="AC234" s="1877"/>
      <c r="AD234" s="1877"/>
      <c r="AE234" s="1911"/>
      <c r="AF234" s="1912"/>
      <c r="AG234" s="1881"/>
      <c r="AH234" s="1913"/>
      <c r="AI234" s="1518"/>
      <c r="AJ234" s="1897"/>
      <c r="AK234" s="1518"/>
      <c r="AL234" s="1518"/>
      <c r="AM234" s="1518"/>
      <c r="AN234" s="1518"/>
      <c r="AO234" s="1518"/>
      <c r="AP234" s="1518"/>
      <c r="AQ234" s="1518"/>
      <c r="AR234" s="1518"/>
      <c r="AS234" s="1518"/>
      <c r="AT234" s="1518"/>
      <c r="AU234" s="1518"/>
      <c r="AV234" s="1518"/>
      <c r="AW234" s="1518"/>
      <c r="AX234" s="1518"/>
      <c r="AY234" s="1518"/>
      <c r="AZ234" s="1518"/>
      <c r="BA234" s="1518"/>
      <c r="BB234" s="1518"/>
      <c r="BC234" s="1518"/>
      <c r="BD234" s="1518"/>
      <c r="BE234" s="1518"/>
    </row>
    <row r="235" spans="1:57" s="1350" customFormat="1">
      <c r="A235" s="1"/>
      <c r="B235" s="6"/>
      <c r="C235" s="4"/>
      <c r="D235" s="3"/>
      <c r="E235" s="4"/>
      <c r="F235" s="4"/>
      <c r="G235" s="1"/>
      <c r="H235" s="6"/>
      <c r="I235" s="6"/>
      <c r="J235" s="11"/>
      <c r="K235" s="510"/>
      <c r="L235" s="11"/>
      <c r="M235" s="5"/>
      <c r="N235" s="5"/>
      <c r="O235" s="2606"/>
      <c r="P235" s="2608"/>
      <c r="Q235" s="5"/>
      <c r="R235" s="5"/>
      <c r="S235" s="1"/>
      <c r="T235" s="1"/>
      <c r="U235" s="6"/>
      <c r="V235" s="1877"/>
      <c r="W235" s="1877"/>
      <c r="X235" s="1877"/>
      <c r="Y235" s="1877"/>
      <c r="Z235" s="1878"/>
      <c r="AA235" s="1878"/>
      <c r="AB235" s="1877"/>
      <c r="AC235" s="1877"/>
      <c r="AD235" s="1877"/>
      <c r="AE235" s="1911"/>
      <c r="AF235" s="1912"/>
      <c r="AG235" s="1881"/>
      <c r="AH235" s="1913"/>
      <c r="AI235" s="1518"/>
      <c r="AJ235" s="1897"/>
      <c r="AK235" s="1518"/>
      <c r="AL235" s="1518"/>
      <c r="AM235" s="1518"/>
      <c r="AN235" s="1518"/>
      <c r="AO235" s="1518"/>
      <c r="AP235" s="1518"/>
      <c r="AQ235" s="1518"/>
      <c r="AR235" s="1518"/>
      <c r="AS235" s="1518"/>
      <c r="AT235" s="1518"/>
      <c r="AU235" s="1518"/>
      <c r="AV235" s="1518"/>
      <c r="AW235" s="1518"/>
      <c r="AX235" s="1518"/>
      <c r="AY235" s="1518"/>
      <c r="AZ235" s="1518"/>
      <c r="BA235" s="1518"/>
      <c r="BB235" s="1518"/>
      <c r="BC235" s="1518"/>
      <c r="BD235" s="1518"/>
      <c r="BE235" s="1518"/>
    </row>
    <row r="236" spans="1:57" s="1350" customFormat="1">
      <c r="A236" s="1"/>
      <c r="B236" s="6"/>
      <c r="C236" s="4"/>
      <c r="D236" s="3"/>
      <c r="E236" s="4"/>
      <c r="F236" s="4"/>
      <c r="G236" s="1"/>
      <c r="H236" s="6"/>
      <c r="I236" s="6"/>
      <c r="J236" s="11"/>
      <c r="K236" s="510"/>
      <c r="L236" s="11"/>
      <c r="M236" s="5"/>
      <c r="N236" s="5"/>
      <c r="O236" s="2606"/>
      <c r="P236" s="2608"/>
      <c r="Q236" s="5"/>
      <c r="R236" s="5"/>
      <c r="S236" s="1"/>
      <c r="T236" s="1"/>
      <c r="U236" s="6"/>
      <c r="V236" s="1877"/>
      <c r="W236" s="1877"/>
      <c r="X236" s="1877"/>
      <c r="Y236" s="1877"/>
      <c r="Z236" s="1878"/>
      <c r="AA236" s="1878"/>
      <c r="AB236" s="1877"/>
      <c r="AC236" s="1877"/>
      <c r="AD236" s="1877"/>
      <c r="AE236" s="1911"/>
      <c r="AF236" s="1912"/>
      <c r="AG236" s="1881"/>
      <c r="AH236" s="1913"/>
      <c r="AI236" s="1518"/>
      <c r="AJ236" s="1897"/>
      <c r="AK236" s="1518"/>
      <c r="AL236" s="1518"/>
      <c r="AM236" s="1518"/>
      <c r="AN236" s="1518"/>
      <c r="AO236" s="1518"/>
      <c r="AP236" s="1518"/>
      <c r="AQ236" s="1518"/>
      <c r="AR236" s="1518"/>
      <c r="AS236" s="1518"/>
      <c r="AT236" s="1518"/>
      <c r="AU236" s="1518"/>
      <c r="AV236" s="1518"/>
      <c r="AW236" s="1518"/>
      <c r="AX236" s="1518"/>
      <c r="AY236" s="1518"/>
      <c r="AZ236" s="1518"/>
      <c r="BA236" s="1518"/>
      <c r="BB236" s="1518"/>
      <c r="BC236" s="1518"/>
      <c r="BD236" s="1518"/>
      <c r="BE236" s="1518"/>
    </row>
    <row r="237" spans="1:57" s="1350" customFormat="1">
      <c r="A237" s="1"/>
      <c r="B237" s="6"/>
      <c r="C237" s="4"/>
      <c r="D237" s="3"/>
      <c r="E237" s="4"/>
      <c r="F237" s="4"/>
      <c r="G237" s="1"/>
      <c r="H237" s="6"/>
      <c r="I237" s="6"/>
      <c r="J237" s="11"/>
      <c r="K237" s="510"/>
      <c r="L237" s="11"/>
      <c r="M237" s="5"/>
      <c r="N237" s="5"/>
      <c r="O237" s="2606"/>
      <c r="P237" s="2608"/>
      <c r="Q237" s="5"/>
      <c r="R237" s="5"/>
      <c r="S237" s="1"/>
      <c r="T237" s="1"/>
      <c r="U237" s="6"/>
      <c r="V237" s="1877"/>
      <c r="W237" s="1877"/>
      <c r="X237" s="1877"/>
      <c r="Y237" s="1877"/>
      <c r="Z237" s="1878"/>
      <c r="AA237" s="1878"/>
      <c r="AB237" s="1877"/>
      <c r="AC237" s="1877"/>
      <c r="AD237" s="1877"/>
      <c r="AE237" s="1911"/>
      <c r="AF237" s="1912"/>
      <c r="AG237" s="1881"/>
      <c r="AH237" s="1913"/>
      <c r="AI237" s="1518"/>
      <c r="AJ237" s="1897"/>
      <c r="AK237" s="1518"/>
      <c r="AL237" s="1518"/>
      <c r="AM237" s="1518"/>
      <c r="AN237" s="1518"/>
      <c r="AO237" s="1518"/>
      <c r="AP237" s="1518"/>
      <c r="AQ237" s="1518"/>
      <c r="AR237" s="1518"/>
      <c r="AS237" s="1518"/>
      <c r="AT237" s="1518"/>
      <c r="AU237" s="1518"/>
      <c r="AV237" s="1518"/>
      <c r="AW237" s="1518"/>
      <c r="AX237" s="1518"/>
      <c r="AY237" s="1518"/>
      <c r="AZ237" s="1518"/>
      <c r="BA237" s="1518"/>
      <c r="BB237" s="1518"/>
      <c r="BC237" s="1518"/>
      <c r="BD237" s="1518"/>
      <c r="BE237" s="1518"/>
    </row>
    <row r="238" spans="1:57" s="1350" customFormat="1">
      <c r="A238" s="1"/>
      <c r="B238" s="6"/>
      <c r="C238" s="4"/>
      <c r="D238" s="3"/>
      <c r="E238" s="4"/>
      <c r="F238" s="4"/>
      <c r="G238" s="1"/>
      <c r="H238" s="6"/>
      <c r="I238" s="6"/>
      <c r="J238" s="11"/>
      <c r="K238" s="510"/>
      <c r="L238" s="11"/>
      <c r="M238" s="5"/>
      <c r="N238" s="5"/>
      <c r="O238" s="2606"/>
      <c r="P238" s="2608"/>
      <c r="Q238" s="5"/>
      <c r="R238" s="5"/>
      <c r="S238" s="1"/>
      <c r="T238" s="1"/>
      <c r="U238" s="6"/>
      <c r="V238" s="1877"/>
      <c r="W238" s="1877"/>
      <c r="X238" s="1877"/>
      <c r="Y238" s="1877"/>
      <c r="Z238" s="1878"/>
      <c r="AA238" s="1878"/>
      <c r="AB238" s="1877"/>
      <c r="AC238" s="1877"/>
      <c r="AD238" s="1877"/>
      <c r="AE238" s="1911"/>
      <c r="AF238" s="1912"/>
      <c r="AG238" s="1881"/>
      <c r="AH238" s="1913"/>
      <c r="AI238" s="1518"/>
      <c r="AJ238" s="1897"/>
      <c r="AK238" s="1518"/>
      <c r="AL238" s="1518"/>
      <c r="AM238" s="1518"/>
      <c r="AN238" s="1518"/>
      <c r="AO238" s="1518"/>
      <c r="AP238" s="1518"/>
      <c r="AQ238" s="1518"/>
      <c r="AR238" s="1518"/>
      <c r="AS238" s="1518"/>
      <c r="AT238" s="1518"/>
      <c r="AU238" s="1518"/>
      <c r="AV238" s="1518"/>
      <c r="AW238" s="1518"/>
      <c r="AX238" s="1518"/>
      <c r="AY238" s="1518"/>
      <c r="AZ238" s="1518"/>
      <c r="BA238" s="1518"/>
      <c r="BB238" s="1518"/>
      <c r="BC238" s="1518"/>
      <c r="BD238" s="1518"/>
      <c r="BE238" s="1518"/>
    </row>
    <row r="239" spans="1:57" s="1350" customFormat="1">
      <c r="A239" s="1"/>
      <c r="B239" s="6"/>
      <c r="C239" s="4"/>
      <c r="D239" s="3"/>
      <c r="E239" s="4"/>
      <c r="F239" s="4"/>
      <c r="G239" s="1"/>
      <c r="H239" s="6"/>
      <c r="I239" s="6"/>
      <c r="J239" s="11"/>
      <c r="K239" s="510"/>
      <c r="L239" s="11"/>
      <c r="M239" s="5"/>
      <c r="N239" s="5"/>
      <c r="O239" s="2606"/>
      <c r="P239" s="2608"/>
      <c r="Q239" s="5"/>
      <c r="R239" s="5"/>
      <c r="S239" s="1"/>
      <c r="T239" s="1"/>
      <c r="U239" s="6"/>
      <c r="V239" s="1877"/>
      <c r="W239" s="1877"/>
      <c r="X239" s="1877"/>
      <c r="Y239" s="1877"/>
      <c r="Z239" s="1878"/>
      <c r="AA239" s="1878"/>
      <c r="AB239" s="1877"/>
      <c r="AC239" s="1877"/>
      <c r="AD239" s="1877"/>
      <c r="AE239" s="1911"/>
      <c r="AF239" s="1912"/>
      <c r="AG239" s="1881"/>
      <c r="AH239" s="1913"/>
      <c r="AI239" s="1518"/>
      <c r="AJ239" s="1897"/>
      <c r="AK239" s="1518"/>
      <c r="AL239" s="1518"/>
      <c r="AM239" s="1518"/>
      <c r="AN239" s="1518"/>
      <c r="AO239" s="1518"/>
      <c r="AP239" s="1518"/>
      <c r="AQ239" s="1518"/>
      <c r="AR239" s="1518"/>
      <c r="AS239" s="1518"/>
      <c r="AT239" s="1518"/>
      <c r="AU239" s="1518"/>
      <c r="AV239" s="1518"/>
      <c r="AW239" s="1518"/>
      <c r="AX239" s="1518"/>
      <c r="AY239" s="1518"/>
      <c r="AZ239" s="1518"/>
      <c r="BA239" s="1518"/>
      <c r="BB239" s="1518"/>
      <c r="BC239" s="1518"/>
      <c r="BD239" s="1518"/>
      <c r="BE239" s="1518"/>
    </row>
    <row r="240" spans="1:57" s="1350" customFormat="1">
      <c r="A240" s="1"/>
      <c r="B240" s="6"/>
      <c r="C240" s="4"/>
      <c r="D240" s="3"/>
      <c r="E240" s="4"/>
      <c r="F240" s="4"/>
      <c r="G240" s="1"/>
      <c r="H240" s="6"/>
      <c r="I240" s="6"/>
      <c r="J240" s="11"/>
      <c r="K240" s="510"/>
      <c r="L240" s="11"/>
      <c r="M240" s="5"/>
      <c r="N240" s="5"/>
      <c r="O240" s="2606"/>
      <c r="P240" s="2608"/>
      <c r="Q240" s="5"/>
      <c r="R240" s="5"/>
      <c r="S240" s="1"/>
      <c r="T240" s="1"/>
      <c r="U240" s="6"/>
      <c r="V240" s="1877"/>
      <c r="W240" s="1877"/>
      <c r="X240" s="1877"/>
      <c r="Y240" s="1877"/>
      <c r="Z240" s="1878"/>
      <c r="AA240" s="1878"/>
      <c r="AB240" s="1877"/>
      <c r="AC240" s="1877"/>
      <c r="AD240" s="1877"/>
      <c r="AE240" s="1911"/>
      <c r="AF240" s="1912"/>
      <c r="AG240" s="1881"/>
      <c r="AH240" s="1913"/>
      <c r="AI240" s="1518"/>
      <c r="AJ240" s="1897"/>
      <c r="AK240" s="1518"/>
      <c r="AL240" s="1518"/>
      <c r="AM240" s="1518"/>
      <c r="AN240" s="1518"/>
      <c r="AO240" s="1518"/>
      <c r="AP240" s="1518"/>
      <c r="AQ240" s="1518"/>
      <c r="AR240" s="1518"/>
      <c r="AS240" s="1518"/>
      <c r="AT240" s="1518"/>
      <c r="AU240" s="1518"/>
      <c r="AV240" s="1518"/>
      <c r="AW240" s="1518"/>
      <c r="AX240" s="1518"/>
      <c r="AY240" s="1518"/>
      <c r="AZ240" s="1518"/>
      <c r="BA240" s="1518"/>
      <c r="BB240" s="1518"/>
      <c r="BC240" s="1518"/>
      <c r="BD240" s="1518"/>
      <c r="BE240" s="1518"/>
    </row>
    <row r="241" spans="1:57" s="1350" customFormat="1">
      <c r="A241" s="1"/>
      <c r="B241" s="6"/>
      <c r="C241" s="4"/>
      <c r="D241" s="3"/>
      <c r="E241" s="4"/>
      <c r="F241" s="4"/>
      <c r="G241" s="1"/>
      <c r="H241" s="6"/>
      <c r="I241" s="6"/>
      <c r="J241" s="11"/>
      <c r="K241" s="510"/>
      <c r="L241" s="11"/>
      <c r="M241" s="5"/>
      <c r="N241" s="5"/>
      <c r="O241" s="2606"/>
      <c r="P241" s="2608"/>
      <c r="Q241" s="5"/>
      <c r="R241" s="5"/>
      <c r="S241" s="1"/>
      <c r="T241" s="1"/>
      <c r="U241" s="6"/>
      <c r="V241" s="1877"/>
      <c r="W241" s="1877"/>
      <c r="X241" s="1877"/>
      <c r="Y241" s="1877"/>
      <c r="Z241" s="1878"/>
      <c r="AA241" s="1878"/>
      <c r="AB241" s="1877"/>
      <c r="AC241" s="1877"/>
      <c r="AD241" s="1877"/>
      <c r="AE241" s="1911"/>
      <c r="AF241" s="1912"/>
      <c r="AG241" s="1881"/>
      <c r="AH241" s="1913"/>
      <c r="AI241" s="1518"/>
      <c r="AJ241" s="1897"/>
      <c r="AK241" s="1518"/>
      <c r="AL241" s="1518"/>
      <c r="AM241" s="1518"/>
      <c r="AN241" s="1518"/>
      <c r="AO241" s="1518"/>
      <c r="AP241" s="1518"/>
      <c r="AQ241" s="1518"/>
      <c r="AR241" s="1518"/>
      <c r="AS241" s="1518"/>
      <c r="AT241" s="1518"/>
      <c r="AU241" s="1518"/>
      <c r="AV241" s="1518"/>
      <c r="AW241" s="1518"/>
      <c r="AX241" s="1518"/>
      <c r="AY241" s="1518"/>
      <c r="AZ241" s="1518"/>
      <c r="BA241" s="1518"/>
      <c r="BB241" s="1518"/>
      <c r="BC241" s="1518"/>
      <c r="BD241" s="1518"/>
      <c r="BE241" s="1518"/>
    </row>
    <row r="242" spans="1:57" s="1350" customFormat="1">
      <c r="A242" s="1"/>
      <c r="B242" s="6"/>
      <c r="C242" s="4"/>
      <c r="D242" s="3"/>
      <c r="E242" s="4"/>
      <c r="F242" s="4"/>
      <c r="G242" s="1"/>
      <c r="H242" s="6"/>
      <c r="I242" s="6"/>
      <c r="J242" s="11"/>
      <c r="K242" s="510"/>
      <c r="L242" s="11"/>
      <c r="M242" s="5"/>
      <c r="N242" s="5"/>
      <c r="O242" s="2606"/>
      <c r="P242" s="2608"/>
      <c r="Q242" s="5"/>
      <c r="R242" s="5"/>
      <c r="S242" s="1"/>
      <c r="T242" s="1"/>
      <c r="U242" s="6"/>
      <c r="V242" s="1877"/>
      <c r="W242" s="1877"/>
      <c r="X242" s="1877"/>
      <c r="Y242" s="1877"/>
      <c r="Z242" s="1878"/>
      <c r="AA242" s="1878"/>
      <c r="AB242" s="1877"/>
      <c r="AC242" s="1877"/>
      <c r="AD242" s="1877"/>
      <c r="AE242" s="1911"/>
      <c r="AF242" s="1912"/>
      <c r="AG242" s="1881"/>
      <c r="AH242" s="1913"/>
      <c r="AI242" s="1518"/>
      <c r="AJ242" s="1897"/>
      <c r="AK242" s="1518"/>
      <c r="AL242" s="1518"/>
      <c r="AM242" s="1518"/>
      <c r="AN242" s="1518"/>
      <c r="AO242" s="1518"/>
      <c r="AP242" s="1518"/>
      <c r="AQ242" s="1518"/>
      <c r="AR242" s="1518"/>
      <c r="AS242" s="1518"/>
      <c r="AT242" s="1518"/>
      <c r="AU242" s="1518"/>
      <c r="AV242" s="1518"/>
      <c r="AW242" s="1518"/>
      <c r="AX242" s="1518"/>
      <c r="AY242" s="1518"/>
      <c r="AZ242" s="1518"/>
      <c r="BA242" s="1518"/>
      <c r="BB242" s="1518"/>
      <c r="BC242" s="1518"/>
      <c r="BD242" s="1518"/>
      <c r="BE242" s="1518"/>
    </row>
    <row r="243" spans="1:57" s="1350" customFormat="1">
      <c r="A243" s="1"/>
      <c r="B243" s="6"/>
      <c r="C243" s="4"/>
      <c r="D243" s="3"/>
      <c r="E243" s="4"/>
      <c r="F243" s="4"/>
      <c r="G243" s="1"/>
      <c r="H243" s="6"/>
      <c r="I243" s="6"/>
      <c r="J243" s="11"/>
      <c r="K243" s="510"/>
      <c r="L243" s="11"/>
      <c r="M243" s="5"/>
      <c r="N243" s="5"/>
      <c r="O243" s="2606"/>
      <c r="P243" s="2608"/>
      <c r="Q243" s="5"/>
      <c r="R243" s="5"/>
      <c r="S243" s="1"/>
      <c r="T243" s="1"/>
      <c r="U243" s="6"/>
      <c r="V243" s="1877"/>
      <c r="W243" s="1877"/>
      <c r="X243" s="1877"/>
      <c r="Y243" s="1877"/>
      <c r="Z243" s="1878"/>
      <c r="AA243" s="1878"/>
      <c r="AB243" s="1877"/>
      <c r="AC243" s="1877"/>
      <c r="AD243" s="1877"/>
      <c r="AE243" s="1911"/>
      <c r="AF243" s="1912"/>
      <c r="AG243" s="1881"/>
      <c r="AH243" s="1913"/>
      <c r="AI243" s="1518"/>
      <c r="AJ243" s="1897"/>
      <c r="AK243" s="1518"/>
      <c r="AL243" s="1518"/>
      <c r="AM243" s="1518"/>
      <c r="AN243" s="1518"/>
      <c r="AO243" s="1518"/>
      <c r="AP243" s="1518"/>
      <c r="AQ243" s="1518"/>
      <c r="AR243" s="1518"/>
      <c r="AS243" s="1518"/>
      <c r="AT243" s="1518"/>
      <c r="AU243" s="1518"/>
      <c r="AV243" s="1518"/>
      <c r="AW243" s="1518"/>
      <c r="AX243" s="1518"/>
      <c r="AY243" s="1518"/>
      <c r="AZ243" s="1518"/>
      <c r="BA243" s="1518"/>
      <c r="BB243" s="1518"/>
      <c r="BC243" s="1518"/>
      <c r="BD243" s="1518"/>
      <c r="BE243" s="1518"/>
    </row>
    <row r="244" spans="1:57" s="1350" customFormat="1">
      <c r="A244" s="1"/>
      <c r="B244" s="6"/>
      <c r="C244" s="4"/>
      <c r="D244" s="3"/>
      <c r="E244" s="4"/>
      <c r="F244" s="4"/>
      <c r="G244" s="1"/>
      <c r="H244" s="6"/>
      <c r="I244" s="6"/>
      <c r="J244" s="11"/>
      <c r="K244" s="510"/>
      <c r="L244" s="11"/>
      <c r="M244" s="5"/>
      <c r="N244" s="5"/>
      <c r="O244" s="2606"/>
      <c r="P244" s="2608"/>
      <c r="Q244" s="5"/>
      <c r="R244" s="5"/>
      <c r="S244" s="1"/>
      <c r="T244" s="1"/>
      <c r="U244" s="6"/>
      <c r="V244" s="1877"/>
      <c r="W244" s="1877"/>
      <c r="X244" s="1877"/>
      <c r="Y244" s="1877"/>
      <c r="Z244" s="1878"/>
      <c r="AA244" s="1878"/>
      <c r="AB244" s="1877"/>
      <c r="AC244" s="1877"/>
      <c r="AD244" s="1877"/>
      <c r="AE244" s="1911"/>
      <c r="AF244" s="1912"/>
      <c r="AG244" s="1881"/>
      <c r="AH244" s="1913"/>
      <c r="AI244" s="1518"/>
      <c r="AJ244" s="1897"/>
      <c r="AK244" s="1518"/>
      <c r="AL244" s="1518"/>
      <c r="AM244" s="1518"/>
      <c r="AN244" s="1518"/>
      <c r="AO244" s="1518"/>
      <c r="AP244" s="1518"/>
      <c r="AQ244" s="1518"/>
      <c r="AR244" s="1518"/>
      <c r="AS244" s="1518"/>
      <c r="AT244" s="1518"/>
      <c r="AU244" s="1518"/>
      <c r="AV244" s="1518"/>
      <c r="AW244" s="1518"/>
      <c r="AX244" s="1518"/>
      <c r="AY244" s="1518"/>
      <c r="AZ244" s="1518"/>
      <c r="BA244" s="1518"/>
      <c r="BB244" s="1518"/>
      <c r="BC244" s="1518"/>
      <c r="BD244" s="1518"/>
      <c r="BE244" s="1518"/>
    </row>
    <row r="245" spans="1:57" s="1350" customFormat="1">
      <c r="A245" s="1"/>
      <c r="B245" s="6"/>
      <c r="C245" s="4"/>
      <c r="D245" s="3"/>
      <c r="E245" s="4"/>
      <c r="F245" s="4"/>
      <c r="G245" s="1"/>
      <c r="H245" s="6"/>
      <c r="I245" s="6"/>
      <c r="J245" s="11"/>
      <c r="K245" s="510"/>
      <c r="L245" s="11"/>
      <c r="M245" s="5"/>
      <c r="N245" s="5"/>
      <c r="O245" s="2606"/>
      <c r="P245" s="2608"/>
      <c r="Q245" s="5"/>
      <c r="R245" s="5"/>
      <c r="S245" s="1"/>
      <c r="T245" s="1"/>
      <c r="U245" s="6"/>
      <c r="V245" s="1877"/>
      <c r="W245" s="1877"/>
      <c r="X245" s="1877"/>
      <c r="Y245" s="1877"/>
      <c r="Z245" s="1878"/>
      <c r="AA245" s="1878"/>
      <c r="AB245" s="1877"/>
      <c r="AC245" s="1877"/>
      <c r="AD245" s="1877"/>
      <c r="AE245" s="1911"/>
      <c r="AF245" s="1912"/>
      <c r="AG245" s="1881"/>
      <c r="AH245" s="1913"/>
      <c r="AI245" s="1518"/>
      <c r="AJ245" s="1897"/>
      <c r="AK245" s="1518"/>
      <c r="AL245" s="1518"/>
      <c r="AM245" s="1518"/>
      <c r="AN245" s="1518"/>
      <c r="AO245" s="1518"/>
      <c r="AP245" s="1518"/>
      <c r="AQ245" s="1518"/>
      <c r="AR245" s="1518"/>
      <c r="AS245" s="1518"/>
      <c r="AT245" s="1518"/>
      <c r="AU245" s="1518"/>
      <c r="AV245" s="1518"/>
      <c r="AW245" s="1518"/>
      <c r="AX245" s="1518"/>
      <c r="AY245" s="1518"/>
      <c r="AZ245" s="1518"/>
      <c r="BA245" s="1518"/>
      <c r="BB245" s="1518"/>
      <c r="BC245" s="1518"/>
      <c r="BD245" s="1518"/>
      <c r="BE245" s="1518"/>
    </row>
    <row r="246" spans="1:57" s="1350" customFormat="1">
      <c r="A246" s="1"/>
      <c r="B246" s="6"/>
      <c r="C246" s="4"/>
      <c r="D246" s="3"/>
      <c r="E246" s="4"/>
      <c r="F246" s="4"/>
      <c r="G246" s="1"/>
      <c r="H246" s="6"/>
      <c r="I246" s="6"/>
      <c r="J246" s="11"/>
      <c r="K246" s="510"/>
      <c r="L246" s="11"/>
      <c r="M246" s="5"/>
      <c r="N246" s="5"/>
      <c r="O246" s="2606"/>
      <c r="P246" s="2608"/>
      <c r="Q246" s="5"/>
      <c r="R246" s="5"/>
      <c r="S246" s="1"/>
      <c r="T246" s="1"/>
      <c r="U246" s="6"/>
      <c r="V246" s="1877"/>
      <c r="W246" s="1877"/>
      <c r="X246" s="1877"/>
      <c r="Y246" s="1877"/>
      <c r="Z246" s="1878"/>
      <c r="AA246" s="1878"/>
      <c r="AB246" s="1877"/>
      <c r="AC246" s="1877"/>
      <c r="AD246" s="1877"/>
      <c r="AE246" s="1911"/>
      <c r="AF246" s="1912"/>
      <c r="AG246" s="1881"/>
      <c r="AH246" s="1913"/>
      <c r="AI246" s="1518"/>
      <c r="AJ246" s="1897"/>
      <c r="AK246" s="1518"/>
      <c r="AL246" s="1518"/>
      <c r="AM246" s="1518"/>
      <c r="AN246" s="1518"/>
      <c r="AO246" s="1518"/>
      <c r="AP246" s="1518"/>
      <c r="AQ246" s="1518"/>
      <c r="AR246" s="1518"/>
      <c r="AS246" s="1518"/>
      <c r="AT246" s="1518"/>
      <c r="AU246" s="1518"/>
      <c r="AV246" s="1518"/>
      <c r="AW246" s="1518"/>
      <c r="AX246" s="1518"/>
      <c r="AY246" s="1518"/>
      <c r="AZ246" s="1518"/>
      <c r="BA246" s="1518"/>
      <c r="BB246" s="1518"/>
      <c r="BC246" s="1518"/>
      <c r="BD246" s="1518"/>
      <c r="BE246" s="1518"/>
    </row>
    <row r="247" spans="1:57" s="1350" customFormat="1">
      <c r="A247" s="1"/>
      <c r="B247" s="6"/>
      <c r="C247" s="4"/>
      <c r="D247" s="3"/>
      <c r="E247" s="4"/>
      <c r="F247" s="4"/>
      <c r="G247" s="1"/>
      <c r="H247" s="6"/>
      <c r="I247" s="6"/>
      <c r="J247" s="11"/>
      <c r="K247" s="510"/>
      <c r="L247" s="11"/>
      <c r="M247" s="5"/>
      <c r="N247" s="5"/>
      <c r="O247" s="2606"/>
      <c r="P247" s="2608"/>
      <c r="Q247" s="5"/>
      <c r="R247" s="5"/>
      <c r="S247" s="1"/>
      <c r="T247" s="1"/>
      <c r="U247" s="6"/>
      <c r="V247" s="1877"/>
      <c r="W247" s="1877"/>
      <c r="X247" s="1877"/>
      <c r="Y247" s="1877"/>
      <c r="Z247" s="1878"/>
      <c r="AA247" s="1878"/>
      <c r="AB247" s="1877"/>
      <c r="AC247" s="1877"/>
      <c r="AD247" s="1877"/>
      <c r="AE247" s="1911"/>
      <c r="AF247" s="1912"/>
      <c r="AG247" s="1881"/>
      <c r="AH247" s="1913"/>
      <c r="AI247" s="1518"/>
      <c r="AJ247" s="1897"/>
      <c r="AK247" s="1518"/>
      <c r="AL247" s="1518"/>
      <c r="AM247" s="1518"/>
      <c r="AN247" s="1518"/>
      <c r="AO247" s="1518"/>
      <c r="AP247" s="1518"/>
      <c r="AQ247" s="1518"/>
      <c r="AR247" s="1518"/>
      <c r="AS247" s="1518"/>
      <c r="AT247" s="1518"/>
      <c r="AU247" s="1518"/>
      <c r="AV247" s="1518"/>
      <c r="AW247" s="1518"/>
      <c r="AX247" s="1518"/>
      <c r="AY247" s="1518"/>
      <c r="AZ247" s="1518"/>
      <c r="BA247" s="1518"/>
      <c r="BB247" s="1518"/>
      <c r="BC247" s="1518"/>
      <c r="BD247" s="1518"/>
      <c r="BE247" s="1518"/>
    </row>
    <row r="248" spans="1:57" s="1350" customFormat="1">
      <c r="A248" s="1"/>
      <c r="B248" s="6"/>
      <c r="C248" s="4"/>
      <c r="D248" s="3"/>
      <c r="E248" s="4"/>
      <c r="F248" s="4"/>
      <c r="G248" s="1"/>
      <c r="H248" s="6"/>
      <c r="I248" s="6"/>
      <c r="J248" s="11"/>
      <c r="K248" s="510"/>
      <c r="L248" s="11"/>
      <c r="M248" s="5"/>
      <c r="N248" s="5"/>
      <c r="O248" s="2606"/>
      <c r="P248" s="2608"/>
      <c r="Q248" s="5"/>
      <c r="R248" s="5"/>
      <c r="S248" s="1"/>
      <c r="T248" s="1"/>
      <c r="U248" s="6"/>
      <c r="V248" s="1877"/>
      <c r="W248" s="1877"/>
      <c r="X248" s="1877"/>
      <c r="Y248" s="1877"/>
      <c r="Z248" s="1878"/>
      <c r="AA248" s="1878"/>
      <c r="AB248" s="1877"/>
      <c r="AC248" s="1877"/>
      <c r="AD248" s="1877"/>
      <c r="AE248" s="1911"/>
      <c r="AF248" s="1912"/>
      <c r="AG248" s="1881"/>
      <c r="AH248" s="1913"/>
      <c r="AI248" s="1518"/>
      <c r="AJ248" s="1897"/>
      <c r="AK248" s="1518"/>
      <c r="AL248" s="1518"/>
      <c r="AM248" s="1518"/>
      <c r="AN248" s="1518"/>
      <c r="AO248" s="1518"/>
      <c r="AP248" s="1518"/>
      <c r="AQ248" s="1518"/>
      <c r="AR248" s="1518"/>
      <c r="AS248" s="1518"/>
      <c r="AT248" s="1518"/>
      <c r="AU248" s="1518"/>
      <c r="AV248" s="1518"/>
      <c r="AW248" s="1518"/>
      <c r="AX248" s="1518"/>
      <c r="AY248" s="1518"/>
      <c r="AZ248" s="1518"/>
      <c r="BA248" s="1518"/>
      <c r="BB248" s="1518"/>
      <c r="BC248" s="1518"/>
      <c r="BD248" s="1518"/>
      <c r="BE248" s="1518"/>
    </row>
    <row r="249" spans="1:57" s="1350" customFormat="1">
      <c r="A249" s="1"/>
      <c r="B249" s="6"/>
      <c r="C249" s="4"/>
      <c r="D249" s="3"/>
      <c r="E249" s="4"/>
      <c r="F249" s="4"/>
      <c r="G249" s="1"/>
      <c r="H249" s="6"/>
      <c r="I249" s="6"/>
      <c r="J249" s="11"/>
      <c r="K249" s="510"/>
      <c r="L249" s="11"/>
      <c r="M249" s="5"/>
      <c r="N249" s="5"/>
      <c r="O249" s="2606"/>
      <c r="P249" s="2608"/>
      <c r="Q249" s="5"/>
      <c r="R249" s="5"/>
      <c r="S249" s="1"/>
      <c r="T249" s="1"/>
      <c r="U249" s="6"/>
      <c r="V249" s="1877"/>
      <c r="W249" s="1877"/>
      <c r="X249" s="1877"/>
      <c r="Y249" s="1877"/>
      <c r="Z249" s="1878"/>
      <c r="AA249" s="1878"/>
      <c r="AB249" s="1877"/>
      <c r="AC249" s="1877"/>
      <c r="AD249" s="1877"/>
      <c r="AE249" s="1911"/>
      <c r="AF249" s="1912"/>
      <c r="AG249" s="1881"/>
      <c r="AH249" s="1913"/>
      <c r="AI249" s="1518"/>
      <c r="AJ249" s="1897"/>
      <c r="AK249" s="1518"/>
      <c r="AL249" s="1518"/>
      <c r="AM249" s="1518"/>
      <c r="AN249" s="1518"/>
      <c r="AO249" s="1518"/>
      <c r="AP249" s="1518"/>
      <c r="AQ249" s="1518"/>
      <c r="AR249" s="1518"/>
      <c r="AS249" s="1518"/>
      <c r="AT249" s="1518"/>
      <c r="AU249" s="1518"/>
      <c r="AV249" s="1518"/>
      <c r="AW249" s="1518"/>
      <c r="AX249" s="1518"/>
      <c r="AY249" s="1518"/>
      <c r="AZ249" s="1518"/>
      <c r="BA249" s="1518"/>
      <c r="BB249" s="1518"/>
      <c r="BC249" s="1518"/>
      <c r="BD249" s="1518"/>
      <c r="BE249" s="1518"/>
    </row>
    <row r="250" spans="1:57" s="1350" customFormat="1">
      <c r="A250" s="1"/>
      <c r="B250" s="6"/>
      <c r="C250" s="4"/>
      <c r="D250" s="3"/>
      <c r="E250" s="4"/>
      <c r="F250" s="4"/>
      <c r="G250" s="1"/>
      <c r="H250" s="6"/>
      <c r="I250" s="6"/>
      <c r="J250" s="11"/>
      <c r="K250" s="510"/>
      <c r="L250" s="11"/>
      <c r="M250" s="5"/>
      <c r="N250" s="5"/>
      <c r="O250" s="2606"/>
      <c r="P250" s="2608"/>
      <c r="Q250" s="5"/>
      <c r="R250" s="5"/>
      <c r="S250" s="1"/>
      <c r="T250" s="1"/>
      <c r="U250" s="6"/>
      <c r="V250" s="1877"/>
      <c r="W250" s="1877"/>
      <c r="X250" s="1877"/>
      <c r="Y250" s="1877"/>
      <c r="Z250" s="1878"/>
      <c r="AA250" s="1878"/>
      <c r="AB250" s="1877"/>
      <c r="AC250" s="1877"/>
      <c r="AD250" s="1877"/>
      <c r="AE250" s="1911"/>
      <c r="AF250" s="1912"/>
      <c r="AG250" s="1881"/>
      <c r="AH250" s="1913"/>
      <c r="AI250" s="1518"/>
      <c r="AJ250" s="1897"/>
      <c r="AK250" s="1518"/>
      <c r="AL250" s="1518"/>
      <c r="AM250" s="1518"/>
      <c r="AN250" s="1518"/>
      <c r="AO250" s="1518"/>
      <c r="AP250" s="1518"/>
      <c r="AQ250" s="1518"/>
      <c r="AR250" s="1518"/>
      <c r="AS250" s="1518"/>
      <c r="AT250" s="1518"/>
      <c r="AU250" s="1518"/>
      <c r="AV250" s="1518"/>
      <c r="AW250" s="1518"/>
      <c r="AX250" s="1518"/>
      <c r="AY250" s="1518"/>
      <c r="AZ250" s="1518"/>
      <c r="BA250" s="1518"/>
      <c r="BB250" s="1518"/>
      <c r="BC250" s="1518"/>
      <c r="BD250" s="1518"/>
      <c r="BE250" s="1518"/>
    </row>
    <row r="251" spans="1:57" s="1350" customFormat="1">
      <c r="A251" s="1"/>
      <c r="B251" s="6"/>
      <c r="C251" s="4"/>
      <c r="D251" s="3"/>
      <c r="E251" s="4"/>
      <c r="F251" s="4"/>
      <c r="G251" s="1"/>
      <c r="H251" s="6"/>
      <c r="I251" s="6"/>
      <c r="J251" s="11"/>
      <c r="K251" s="510"/>
      <c r="L251" s="11"/>
      <c r="M251" s="5"/>
      <c r="N251" s="5"/>
      <c r="O251" s="2606"/>
      <c r="P251" s="2608"/>
      <c r="Q251" s="5"/>
      <c r="R251" s="5"/>
      <c r="S251" s="1"/>
      <c r="T251" s="1"/>
      <c r="U251" s="6"/>
      <c r="V251" s="1877"/>
      <c r="W251" s="1877"/>
      <c r="X251" s="1877"/>
      <c r="Y251" s="1877"/>
      <c r="Z251" s="1878"/>
      <c r="AA251" s="1878"/>
      <c r="AB251" s="1877"/>
      <c r="AC251" s="1877"/>
      <c r="AD251" s="1877"/>
      <c r="AE251" s="1911"/>
      <c r="AF251" s="1912"/>
      <c r="AG251" s="1881"/>
      <c r="AH251" s="1913"/>
      <c r="AI251" s="1518"/>
      <c r="AJ251" s="1897"/>
      <c r="AK251" s="1518"/>
      <c r="AL251" s="1518"/>
      <c r="AM251" s="1518"/>
      <c r="AN251" s="1518"/>
      <c r="AO251" s="1518"/>
      <c r="AP251" s="1518"/>
      <c r="AQ251" s="1518"/>
      <c r="AR251" s="1518"/>
      <c r="AS251" s="1518"/>
      <c r="AT251" s="1518"/>
      <c r="AU251" s="1518"/>
      <c r="AV251" s="1518"/>
      <c r="AW251" s="1518"/>
      <c r="AX251" s="1518"/>
      <c r="AY251" s="1518"/>
      <c r="AZ251" s="1518"/>
      <c r="BA251" s="1518"/>
      <c r="BB251" s="1518"/>
      <c r="BC251" s="1518"/>
      <c r="BD251" s="1518"/>
      <c r="BE251" s="1518"/>
    </row>
    <row r="252" spans="1:57" s="1350" customFormat="1">
      <c r="A252" s="1"/>
      <c r="B252" s="6"/>
      <c r="C252" s="4"/>
      <c r="D252" s="3"/>
      <c r="E252" s="4"/>
      <c r="F252" s="4"/>
      <c r="G252" s="1"/>
      <c r="H252" s="6"/>
      <c r="I252" s="6"/>
      <c r="J252" s="11"/>
      <c r="K252" s="510"/>
      <c r="L252" s="11"/>
      <c r="M252" s="5"/>
      <c r="N252" s="5"/>
      <c r="O252" s="2606"/>
      <c r="P252" s="2608"/>
      <c r="Q252" s="5"/>
      <c r="R252" s="5"/>
      <c r="S252" s="1"/>
      <c r="T252" s="1"/>
      <c r="U252" s="6"/>
      <c r="V252" s="1877"/>
      <c r="W252" s="1877"/>
      <c r="X252" s="1877"/>
      <c r="Y252" s="1877"/>
      <c r="Z252" s="1878"/>
      <c r="AA252" s="1878"/>
      <c r="AB252" s="1877"/>
      <c r="AC252" s="1877"/>
      <c r="AD252" s="1877"/>
      <c r="AE252" s="1911"/>
      <c r="AF252" s="1912"/>
      <c r="AG252" s="1881"/>
      <c r="AH252" s="1913"/>
      <c r="AI252" s="1518"/>
      <c r="AJ252" s="1897"/>
      <c r="AK252" s="1518"/>
      <c r="AL252" s="1518"/>
      <c r="AM252" s="1518"/>
      <c r="AN252" s="1518"/>
      <c r="AO252" s="1518"/>
      <c r="AP252" s="1518"/>
      <c r="AQ252" s="1518"/>
      <c r="AR252" s="1518"/>
      <c r="AS252" s="1518"/>
      <c r="AT252" s="1518"/>
      <c r="AU252" s="1518"/>
      <c r="AV252" s="1518"/>
      <c r="AW252" s="1518"/>
      <c r="AX252" s="1518"/>
      <c r="AY252" s="1518"/>
      <c r="AZ252" s="1518"/>
      <c r="BA252" s="1518"/>
      <c r="BB252" s="1518"/>
      <c r="BC252" s="1518"/>
      <c r="BD252" s="1518"/>
      <c r="BE252" s="1518"/>
    </row>
    <row r="253" spans="1:57" s="1350" customFormat="1">
      <c r="A253" s="1"/>
      <c r="B253" s="6"/>
      <c r="C253" s="4"/>
      <c r="D253" s="3"/>
      <c r="E253" s="4"/>
      <c r="F253" s="4"/>
      <c r="G253" s="1"/>
      <c r="H253" s="6"/>
      <c r="I253" s="6"/>
      <c r="J253" s="11"/>
      <c r="K253" s="510"/>
      <c r="L253" s="11"/>
      <c r="M253" s="5"/>
      <c r="N253" s="5"/>
      <c r="O253" s="2606"/>
      <c r="P253" s="2608"/>
      <c r="Q253" s="5"/>
      <c r="R253" s="5"/>
      <c r="S253" s="1"/>
      <c r="T253" s="1"/>
      <c r="U253" s="6"/>
      <c r="V253" s="1877"/>
      <c r="W253" s="1877"/>
      <c r="X253" s="1877"/>
      <c r="Y253" s="1877"/>
      <c r="Z253" s="1878"/>
      <c r="AA253" s="1878"/>
      <c r="AB253" s="1877"/>
      <c r="AC253" s="1877"/>
      <c r="AD253" s="1877"/>
      <c r="AE253" s="1911"/>
      <c r="AF253" s="1912"/>
      <c r="AG253" s="1881"/>
      <c r="AH253" s="1913"/>
      <c r="AI253" s="1518"/>
      <c r="AJ253" s="1897"/>
      <c r="AK253" s="1518"/>
      <c r="AL253" s="1518"/>
      <c r="AM253" s="1518"/>
      <c r="AN253" s="1518"/>
      <c r="AO253" s="1518"/>
      <c r="AP253" s="1518"/>
      <c r="AQ253" s="1518"/>
      <c r="AR253" s="1518"/>
      <c r="AS253" s="1518"/>
      <c r="AT253" s="1518"/>
      <c r="AU253" s="1518"/>
      <c r="AV253" s="1518"/>
      <c r="AW253" s="1518"/>
      <c r="AX253" s="1518"/>
      <c r="AY253" s="1518"/>
      <c r="AZ253" s="1518"/>
      <c r="BA253" s="1518"/>
      <c r="BB253" s="1518"/>
      <c r="BC253" s="1518"/>
      <c r="BD253" s="1518"/>
      <c r="BE253" s="1518"/>
    </row>
    <row r="254" spans="1:57" s="1350" customFormat="1">
      <c r="A254" s="1"/>
      <c r="B254" s="6"/>
      <c r="C254" s="4"/>
      <c r="D254" s="3"/>
      <c r="E254" s="4"/>
      <c r="F254" s="4"/>
      <c r="G254" s="1"/>
      <c r="H254" s="6"/>
      <c r="I254" s="6"/>
      <c r="J254" s="11"/>
      <c r="K254" s="510"/>
      <c r="L254" s="11"/>
      <c r="M254" s="5"/>
      <c r="N254" s="5"/>
      <c r="O254" s="2606"/>
      <c r="P254" s="2608"/>
      <c r="Q254" s="5"/>
      <c r="R254" s="5"/>
      <c r="S254" s="1"/>
      <c r="T254" s="1"/>
      <c r="U254" s="6"/>
      <c r="V254" s="1877"/>
      <c r="W254" s="1877"/>
      <c r="X254" s="1877"/>
      <c r="Y254" s="1877"/>
      <c r="Z254" s="1878"/>
      <c r="AA254" s="1878"/>
      <c r="AB254" s="1877"/>
      <c r="AC254" s="1877"/>
      <c r="AD254" s="1877"/>
      <c r="AE254" s="1911"/>
      <c r="AF254" s="1912"/>
      <c r="AG254" s="1881"/>
      <c r="AH254" s="1913"/>
      <c r="AI254" s="1518"/>
      <c r="AJ254" s="1897"/>
      <c r="AK254" s="1518"/>
      <c r="AL254" s="1518"/>
      <c r="AM254" s="1518"/>
      <c r="AN254" s="1518"/>
      <c r="AO254" s="1518"/>
      <c r="AP254" s="1518"/>
      <c r="AQ254" s="1518"/>
      <c r="AR254" s="1518"/>
      <c r="AS254" s="1518"/>
      <c r="AT254" s="1518"/>
      <c r="AU254" s="1518"/>
      <c r="AV254" s="1518"/>
      <c r="AW254" s="1518"/>
      <c r="AX254" s="1518"/>
      <c r="AY254" s="1518"/>
      <c r="AZ254" s="1518"/>
      <c r="BA254" s="1518"/>
      <c r="BB254" s="1518"/>
      <c r="BC254" s="1518"/>
      <c r="BD254" s="1518"/>
      <c r="BE254" s="1518"/>
    </row>
    <row r="255" spans="1:57" s="1350" customFormat="1">
      <c r="A255" s="1"/>
      <c r="B255" s="6"/>
      <c r="C255" s="4"/>
      <c r="D255" s="3"/>
      <c r="E255" s="4"/>
      <c r="F255" s="4"/>
      <c r="G255" s="1"/>
      <c r="H255" s="6"/>
      <c r="I255" s="6"/>
      <c r="J255" s="11"/>
      <c r="K255" s="510"/>
      <c r="L255" s="11"/>
      <c r="M255" s="5"/>
      <c r="N255" s="5"/>
      <c r="O255" s="2606"/>
      <c r="P255" s="2608"/>
      <c r="Q255" s="5"/>
      <c r="R255" s="5"/>
      <c r="S255" s="1"/>
      <c r="T255" s="1"/>
      <c r="U255" s="6"/>
      <c r="V255" s="1877"/>
      <c r="W255" s="1877"/>
      <c r="X255" s="1877"/>
      <c r="Y255" s="1877"/>
      <c r="Z255" s="1878"/>
      <c r="AA255" s="1878"/>
      <c r="AB255" s="1877"/>
      <c r="AC255" s="1877"/>
      <c r="AD255" s="1877"/>
      <c r="AE255" s="1911"/>
      <c r="AF255" s="1912"/>
      <c r="AG255" s="1881"/>
      <c r="AH255" s="1913"/>
      <c r="AI255" s="1518"/>
      <c r="AJ255" s="1897"/>
      <c r="AK255" s="1518"/>
      <c r="AL255" s="1518"/>
      <c r="AM255" s="1518"/>
      <c r="AN255" s="1518"/>
      <c r="AO255" s="1518"/>
      <c r="AP255" s="1518"/>
      <c r="AQ255" s="1518"/>
      <c r="AR255" s="1518"/>
      <c r="AS255" s="1518"/>
      <c r="AT255" s="1518"/>
      <c r="AU255" s="1518"/>
      <c r="AV255" s="1518"/>
      <c r="AW255" s="1518"/>
      <c r="AX255" s="1518"/>
      <c r="AY255" s="1518"/>
      <c r="AZ255" s="1518"/>
      <c r="BA255" s="1518"/>
      <c r="BB255" s="1518"/>
      <c r="BC255" s="1518"/>
      <c r="BD255" s="1518"/>
      <c r="BE255" s="1518"/>
    </row>
    <row r="256" spans="1:57" s="1350" customFormat="1">
      <c r="A256" s="1"/>
      <c r="B256" s="6"/>
      <c r="C256" s="4"/>
      <c r="D256" s="3"/>
      <c r="E256" s="4"/>
      <c r="F256" s="4"/>
      <c r="G256" s="1"/>
      <c r="H256" s="6"/>
      <c r="I256" s="6"/>
      <c r="J256" s="11"/>
      <c r="K256" s="510"/>
      <c r="L256" s="11"/>
      <c r="M256" s="5"/>
      <c r="N256" s="5"/>
      <c r="O256" s="2606"/>
      <c r="P256" s="2608"/>
      <c r="Q256" s="5"/>
      <c r="R256" s="5"/>
      <c r="S256" s="1"/>
      <c r="T256" s="1"/>
      <c r="U256" s="6"/>
      <c r="V256" s="1877"/>
      <c r="W256" s="1877"/>
      <c r="X256" s="1877"/>
      <c r="Y256" s="1877"/>
      <c r="Z256" s="1878"/>
      <c r="AA256" s="1878"/>
      <c r="AB256" s="1877"/>
      <c r="AC256" s="1877"/>
      <c r="AD256" s="1877"/>
      <c r="AE256" s="1911"/>
      <c r="AF256" s="1912"/>
      <c r="AG256" s="1881"/>
      <c r="AH256" s="1913"/>
      <c r="AI256" s="1518"/>
      <c r="AJ256" s="1897"/>
      <c r="AK256" s="1518"/>
      <c r="AL256" s="1518"/>
      <c r="AM256" s="1518"/>
      <c r="AN256" s="1518"/>
      <c r="AO256" s="1518"/>
      <c r="AP256" s="1518"/>
      <c r="AQ256" s="1518"/>
      <c r="AR256" s="1518"/>
      <c r="AS256" s="1518"/>
      <c r="AT256" s="1518"/>
      <c r="AU256" s="1518"/>
      <c r="AV256" s="1518"/>
      <c r="AW256" s="1518"/>
      <c r="AX256" s="1518"/>
      <c r="AY256" s="1518"/>
      <c r="AZ256" s="1518"/>
      <c r="BA256" s="1518"/>
      <c r="BB256" s="1518"/>
      <c r="BC256" s="1518"/>
      <c r="BD256" s="1518"/>
      <c r="BE256" s="1518"/>
    </row>
    <row r="257" spans="1:57" s="1350" customFormat="1">
      <c r="A257" s="1"/>
      <c r="B257" s="6"/>
      <c r="C257" s="4"/>
      <c r="D257" s="3"/>
      <c r="E257" s="4"/>
      <c r="F257" s="4"/>
      <c r="G257" s="1"/>
      <c r="H257" s="6"/>
      <c r="I257" s="6"/>
      <c r="J257" s="11"/>
      <c r="K257" s="510"/>
      <c r="L257" s="11"/>
      <c r="M257" s="5"/>
      <c r="N257" s="5"/>
      <c r="O257" s="2606"/>
      <c r="P257" s="2608"/>
      <c r="Q257" s="5"/>
      <c r="R257" s="5"/>
      <c r="S257" s="1"/>
      <c r="T257" s="1"/>
      <c r="U257" s="6"/>
      <c r="V257" s="1877"/>
      <c r="W257" s="1877"/>
      <c r="X257" s="1877"/>
      <c r="Y257" s="1877"/>
      <c r="Z257" s="1878"/>
      <c r="AA257" s="1878"/>
      <c r="AB257" s="1877"/>
      <c r="AC257" s="1877"/>
      <c r="AD257" s="1877"/>
      <c r="AE257" s="1911"/>
      <c r="AF257" s="1912"/>
      <c r="AG257" s="1881"/>
      <c r="AH257" s="1913"/>
      <c r="AI257" s="1518"/>
      <c r="AJ257" s="1897"/>
      <c r="AK257" s="1518"/>
      <c r="AL257" s="1518"/>
      <c r="AM257" s="1518"/>
      <c r="AN257" s="1518"/>
      <c r="AO257" s="1518"/>
      <c r="AP257" s="1518"/>
      <c r="AQ257" s="1518"/>
      <c r="AR257" s="1518"/>
      <c r="AS257" s="1518"/>
      <c r="AT257" s="1518"/>
      <c r="AU257" s="1518"/>
      <c r="AV257" s="1518"/>
      <c r="AW257" s="1518"/>
      <c r="AX257" s="1518"/>
      <c r="AY257" s="1518"/>
      <c r="AZ257" s="1518"/>
      <c r="BA257" s="1518"/>
      <c r="BB257" s="1518"/>
      <c r="BC257" s="1518"/>
      <c r="BD257" s="1518"/>
      <c r="BE257" s="1518"/>
    </row>
    <row r="258" spans="1:57" s="1350" customFormat="1">
      <c r="A258" s="1"/>
      <c r="B258" s="6"/>
      <c r="C258" s="4"/>
      <c r="D258" s="3"/>
      <c r="E258" s="4"/>
      <c r="F258" s="4"/>
      <c r="G258" s="1"/>
      <c r="H258" s="6"/>
      <c r="I258" s="6"/>
      <c r="J258" s="11"/>
      <c r="K258" s="510"/>
      <c r="L258" s="11"/>
      <c r="M258" s="5"/>
      <c r="N258" s="5"/>
      <c r="O258" s="2606"/>
      <c r="P258" s="2608"/>
      <c r="Q258" s="5"/>
      <c r="R258" s="5"/>
      <c r="S258" s="1"/>
      <c r="T258" s="1"/>
      <c r="U258" s="6"/>
      <c r="V258" s="1877"/>
      <c r="W258" s="1877"/>
      <c r="X258" s="1877"/>
      <c r="Y258" s="1877"/>
      <c r="Z258" s="1878"/>
      <c r="AA258" s="1878"/>
      <c r="AB258" s="1877"/>
      <c r="AC258" s="1877"/>
      <c r="AD258" s="1877"/>
      <c r="AE258" s="1911"/>
      <c r="AF258" s="1912"/>
      <c r="AG258" s="1881"/>
      <c r="AH258" s="1913"/>
      <c r="AI258" s="1518"/>
      <c r="AJ258" s="1897"/>
      <c r="AK258" s="1518"/>
      <c r="AL258" s="1518"/>
      <c r="AM258" s="1518"/>
      <c r="AN258" s="1518"/>
      <c r="AO258" s="1518"/>
      <c r="AP258" s="1518"/>
      <c r="AQ258" s="1518"/>
      <c r="AR258" s="1518"/>
      <c r="AS258" s="1518"/>
      <c r="AT258" s="1518"/>
      <c r="AU258" s="1518"/>
      <c r="AV258" s="1518"/>
      <c r="AW258" s="1518"/>
      <c r="AX258" s="1518"/>
      <c r="AY258" s="1518"/>
      <c r="AZ258" s="1518"/>
      <c r="BA258" s="1518"/>
      <c r="BB258" s="1518"/>
      <c r="BC258" s="1518"/>
      <c r="BD258" s="1518"/>
      <c r="BE258" s="1518"/>
    </row>
    <row r="259" spans="1:57" s="1350" customFormat="1">
      <c r="A259" s="1"/>
      <c r="B259" s="6"/>
      <c r="C259" s="4"/>
      <c r="D259" s="3"/>
      <c r="E259" s="4"/>
      <c r="F259" s="4"/>
      <c r="G259" s="1"/>
      <c r="H259" s="6"/>
      <c r="I259" s="6"/>
      <c r="J259" s="11"/>
      <c r="K259" s="510"/>
      <c r="L259" s="11"/>
      <c r="M259" s="5"/>
      <c r="N259" s="5"/>
      <c r="O259" s="2606"/>
      <c r="P259" s="2608"/>
      <c r="Q259" s="5"/>
      <c r="R259" s="5"/>
      <c r="S259" s="1"/>
      <c r="T259" s="1"/>
      <c r="U259" s="6"/>
      <c r="V259" s="1877"/>
      <c r="W259" s="1877"/>
      <c r="X259" s="1877"/>
      <c r="Y259" s="1877"/>
      <c r="Z259" s="1878"/>
      <c r="AA259" s="1878"/>
      <c r="AB259" s="1877"/>
      <c r="AC259" s="1877"/>
      <c r="AD259" s="1877"/>
      <c r="AE259" s="1911"/>
      <c r="AF259" s="1912"/>
      <c r="AG259" s="1881"/>
      <c r="AH259" s="1913"/>
      <c r="AI259" s="1518"/>
      <c r="AJ259" s="1897"/>
      <c r="AK259" s="1518"/>
      <c r="AL259" s="1518"/>
      <c r="AM259" s="1518"/>
      <c r="AN259" s="1518"/>
      <c r="AO259" s="1518"/>
      <c r="AP259" s="1518"/>
      <c r="AQ259" s="1518"/>
      <c r="AR259" s="1518"/>
      <c r="AS259" s="1518"/>
      <c r="AT259" s="1518"/>
      <c r="AU259" s="1518"/>
      <c r="AV259" s="1518"/>
      <c r="AW259" s="1518"/>
      <c r="AX259" s="1518"/>
      <c r="AY259" s="1518"/>
      <c r="AZ259" s="1518"/>
      <c r="BA259" s="1518"/>
      <c r="BB259" s="1518"/>
      <c r="BC259" s="1518"/>
      <c r="BD259" s="1518"/>
      <c r="BE259" s="1518"/>
    </row>
    <row r="260" spans="1:57" s="1350" customFormat="1">
      <c r="A260" s="1"/>
      <c r="B260" s="6"/>
      <c r="C260" s="4"/>
      <c r="D260" s="3"/>
      <c r="E260" s="4"/>
      <c r="F260" s="4"/>
      <c r="G260" s="1"/>
      <c r="H260" s="6"/>
      <c r="I260" s="6"/>
      <c r="J260" s="11"/>
      <c r="K260" s="510"/>
      <c r="L260" s="11"/>
      <c r="M260" s="5"/>
      <c r="N260" s="5"/>
      <c r="O260" s="2606"/>
      <c r="P260" s="2608"/>
      <c r="Q260" s="5"/>
      <c r="R260" s="5"/>
      <c r="S260" s="1"/>
      <c r="T260" s="1"/>
      <c r="U260" s="6"/>
      <c r="V260" s="1877"/>
      <c r="W260" s="1877"/>
      <c r="X260" s="1877"/>
      <c r="Y260" s="1877"/>
      <c r="Z260" s="1878"/>
      <c r="AA260" s="1878"/>
      <c r="AB260" s="1877"/>
      <c r="AC260" s="1877"/>
      <c r="AD260" s="1877"/>
      <c r="AE260" s="1911"/>
      <c r="AF260" s="1912"/>
      <c r="AG260" s="1881"/>
      <c r="AH260" s="1913"/>
      <c r="AI260" s="1518"/>
      <c r="AJ260" s="1897"/>
      <c r="AK260" s="1518"/>
      <c r="AL260" s="1518"/>
      <c r="AM260" s="1518"/>
      <c r="AN260" s="1518"/>
      <c r="AO260" s="1518"/>
      <c r="AP260" s="1518"/>
      <c r="AQ260" s="1518"/>
      <c r="AR260" s="1518"/>
      <c r="AS260" s="1518"/>
      <c r="AT260" s="1518"/>
      <c r="AU260" s="1518"/>
      <c r="AV260" s="1518"/>
      <c r="AW260" s="1518"/>
      <c r="AX260" s="1518"/>
      <c r="AY260" s="1518"/>
      <c r="AZ260" s="1518"/>
      <c r="BA260" s="1518"/>
      <c r="BB260" s="1518"/>
      <c r="BC260" s="1518"/>
      <c r="BD260" s="1518"/>
      <c r="BE260" s="1518"/>
    </row>
    <row r="261" spans="1:57" s="1350" customFormat="1">
      <c r="A261" s="1"/>
      <c r="B261" s="6"/>
      <c r="C261" s="4"/>
      <c r="D261" s="3"/>
      <c r="E261" s="4"/>
      <c r="F261" s="4"/>
      <c r="G261" s="1"/>
      <c r="H261" s="6"/>
      <c r="I261" s="6"/>
      <c r="J261" s="11"/>
      <c r="K261" s="510"/>
      <c r="L261" s="11"/>
      <c r="M261" s="5"/>
      <c r="N261" s="5"/>
      <c r="O261" s="2606"/>
      <c r="P261" s="2608"/>
      <c r="Q261" s="5"/>
      <c r="R261" s="5"/>
      <c r="S261" s="1"/>
      <c r="T261" s="1"/>
      <c r="U261" s="6"/>
      <c r="V261" s="1877"/>
      <c r="W261" s="1877"/>
      <c r="X261" s="1877"/>
      <c r="Y261" s="1877"/>
      <c r="Z261" s="1878"/>
      <c r="AA261" s="1878"/>
      <c r="AB261" s="1877"/>
      <c r="AC261" s="1877"/>
      <c r="AD261" s="1877"/>
      <c r="AE261" s="1911"/>
      <c r="AF261" s="1912"/>
      <c r="AG261" s="1881"/>
      <c r="AH261" s="1913"/>
      <c r="AI261" s="1518"/>
      <c r="AJ261" s="1897"/>
      <c r="AK261" s="1518"/>
      <c r="AL261" s="1518"/>
      <c r="AM261" s="1518"/>
      <c r="AN261" s="1518"/>
      <c r="AO261" s="1518"/>
      <c r="AP261" s="1518"/>
      <c r="AQ261" s="1518"/>
      <c r="AR261" s="1518"/>
      <c r="AS261" s="1518"/>
      <c r="AT261" s="1518"/>
      <c r="AU261" s="1518"/>
      <c r="AV261" s="1518"/>
      <c r="AW261" s="1518"/>
      <c r="AX261" s="1518"/>
      <c r="AY261" s="1518"/>
      <c r="AZ261" s="1518"/>
      <c r="BA261" s="1518"/>
      <c r="BB261" s="1518"/>
      <c r="BC261" s="1518"/>
      <c r="BD261" s="1518"/>
      <c r="BE261" s="1518"/>
    </row>
    <row r="262" spans="1:57" s="1350" customFormat="1">
      <c r="A262" s="1"/>
      <c r="B262" s="6"/>
      <c r="C262" s="4"/>
      <c r="D262" s="3"/>
      <c r="E262" s="4"/>
      <c r="F262" s="4"/>
      <c r="G262" s="1"/>
      <c r="H262" s="6"/>
      <c r="I262" s="6"/>
      <c r="J262" s="11"/>
      <c r="K262" s="510"/>
      <c r="L262" s="11"/>
      <c r="M262" s="5"/>
      <c r="N262" s="5"/>
      <c r="O262" s="2606"/>
      <c r="P262" s="2608"/>
      <c r="Q262" s="5"/>
      <c r="R262" s="5"/>
      <c r="S262" s="1"/>
      <c r="T262" s="1"/>
      <c r="U262" s="6"/>
      <c r="V262" s="1877"/>
      <c r="W262" s="1877"/>
      <c r="X262" s="1877"/>
      <c r="Y262" s="1877"/>
      <c r="Z262" s="1878"/>
      <c r="AA262" s="1878"/>
      <c r="AB262" s="1877"/>
      <c r="AC262" s="1877"/>
      <c r="AD262" s="1877"/>
      <c r="AE262" s="1911"/>
      <c r="AF262" s="1912"/>
      <c r="AG262" s="1881"/>
      <c r="AH262" s="1913"/>
      <c r="AI262" s="1518"/>
      <c r="AJ262" s="1897"/>
      <c r="AK262" s="1518"/>
      <c r="AL262" s="1518"/>
      <c r="AM262" s="1518"/>
      <c r="AN262" s="1518"/>
      <c r="AO262" s="1518"/>
      <c r="AP262" s="1518"/>
      <c r="AQ262" s="1518"/>
      <c r="AR262" s="1518"/>
      <c r="AS262" s="1518"/>
      <c r="AT262" s="1518"/>
      <c r="AU262" s="1518"/>
      <c r="AV262" s="1518"/>
      <c r="AW262" s="1518"/>
      <c r="AX262" s="1518"/>
      <c r="AY262" s="1518"/>
      <c r="AZ262" s="1518"/>
      <c r="BA262" s="1518"/>
      <c r="BB262" s="1518"/>
      <c r="BC262" s="1518"/>
      <c r="BD262" s="1518"/>
      <c r="BE262" s="1518"/>
    </row>
    <row r="263" spans="1:57" s="1350" customFormat="1">
      <c r="A263" s="1"/>
      <c r="B263" s="6"/>
      <c r="C263" s="4"/>
      <c r="D263" s="3"/>
      <c r="E263" s="4"/>
      <c r="F263" s="4"/>
      <c r="G263" s="1"/>
      <c r="H263" s="6"/>
      <c r="I263" s="6"/>
      <c r="J263" s="11"/>
      <c r="K263" s="510"/>
      <c r="L263" s="11"/>
      <c r="M263" s="5"/>
      <c r="N263" s="5"/>
      <c r="O263" s="2606"/>
      <c r="P263" s="2608"/>
      <c r="Q263" s="5"/>
      <c r="R263" s="5"/>
      <c r="S263" s="1"/>
      <c r="T263" s="1"/>
      <c r="U263" s="6"/>
      <c r="V263" s="1877"/>
      <c r="W263" s="1877"/>
      <c r="X263" s="1877"/>
      <c r="Y263" s="1877"/>
      <c r="Z263" s="1878"/>
      <c r="AA263" s="1878"/>
      <c r="AB263" s="1877"/>
      <c r="AC263" s="1877"/>
      <c r="AD263" s="1877"/>
      <c r="AE263" s="1911"/>
      <c r="AF263" s="1912"/>
      <c r="AG263" s="1881"/>
      <c r="AH263" s="1913"/>
      <c r="AI263" s="1518"/>
      <c r="AJ263" s="1897"/>
      <c r="AK263" s="1518"/>
      <c r="AL263" s="1518"/>
      <c r="AM263" s="1518"/>
      <c r="AN263" s="1518"/>
      <c r="AO263" s="1518"/>
      <c r="AP263" s="1518"/>
      <c r="AQ263" s="1518"/>
      <c r="AR263" s="1518"/>
      <c r="AS263" s="1518"/>
      <c r="AT263" s="1518"/>
      <c r="AU263" s="1518"/>
      <c r="AV263" s="1518"/>
      <c r="AW263" s="1518"/>
      <c r="AX263" s="1518"/>
      <c r="AY263" s="1518"/>
      <c r="AZ263" s="1518"/>
      <c r="BA263" s="1518"/>
      <c r="BB263" s="1518"/>
      <c r="BC263" s="1518"/>
      <c r="BD263" s="1518"/>
      <c r="BE263" s="1518"/>
    </row>
    <row r="264" spans="1:57" s="1350" customFormat="1">
      <c r="A264" s="1"/>
      <c r="B264" s="6"/>
      <c r="C264" s="4"/>
      <c r="D264" s="3"/>
      <c r="E264" s="4"/>
      <c r="F264" s="4"/>
      <c r="G264" s="1"/>
      <c r="H264" s="6"/>
      <c r="I264" s="6"/>
      <c r="J264" s="11"/>
      <c r="K264" s="510"/>
      <c r="L264" s="11"/>
      <c r="M264" s="5"/>
      <c r="N264" s="5"/>
      <c r="O264" s="2606"/>
      <c r="P264" s="2608"/>
      <c r="Q264" s="5"/>
      <c r="R264" s="5"/>
      <c r="S264" s="1"/>
      <c r="T264" s="1"/>
      <c r="U264" s="6"/>
      <c r="V264" s="1877"/>
      <c r="W264" s="1877"/>
      <c r="X264" s="1877"/>
      <c r="Y264" s="1877"/>
      <c r="Z264" s="1878"/>
      <c r="AA264" s="1878"/>
      <c r="AB264" s="1877"/>
      <c r="AC264" s="1877"/>
      <c r="AD264" s="1877"/>
      <c r="AE264" s="1911"/>
      <c r="AF264" s="1912"/>
      <c r="AG264" s="1881"/>
      <c r="AH264" s="1913"/>
      <c r="AI264" s="1518"/>
      <c r="AJ264" s="1897"/>
      <c r="AK264" s="1518"/>
      <c r="AL264" s="1518"/>
      <c r="AM264" s="1518"/>
      <c r="AN264" s="1518"/>
      <c r="AO264" s="1518"/>
      <c r="AP264" s="1518"/>
      <c r="AQ264" s="1518"/>
      <c r="AR264" s="1518"/>
      <c r="AS264" s="1518"/>
      <c r="AT264" s="1518"/>
      <c r="AU264" s="1518"/>
      <c r="AV264" s="1518"/>
      <c r="AW264" s="1518"/>
      <c r="AX264" s="1518"/>
      <c r="AY264" s="1518"/>
      <c r="AZ264" s="1518"/>
      <c r="BA264" s="1518"/>
      <c r="BB264" s="1518"/>
      <c r="BC264" s="1518"/>
      <c r="BD264" s="1518"/>
      <c r="BE264" s="1518"/>
    </row>
    <row r="265" spans="1:57" s="1350" customFormat="1">
      <c r="A265" s="1"/>
      <c r="B265" s="6"/>
      <c r="C265" s="4"/>
      <c r="D265" s="3"/>
      <c r="E265" s="4"/>
      <c r="F265" s="4"/>
      <c r="G265" s="1"/>
      <c r="H265" s="6"/>
      <c r="I265" s="6"/>
      <c r="J265" s="11"/>
      <c r="K265" s="510"/>
      <c r="L265" s="11"/>
      <c r="M265" s="5"/>
      <c r="N265" s="5"/>
      <c r="O265" s="2606"/>
      <c r="P265" s="2608"/>
      <c r="Q265" s="5"/>
      <c r="R265" s="5"/>
      <c r="S265" s="1"/>
      <c r="T265" s="1"/>
      <c r="U265" s="6"/>
      <c r="V265" s="1877"/>
      <c r="W265" s="1877"/>
      <c r="X265" s="1877"/>
      <c r="Y265" s="1877"/>
      <c r="Z265" s="1878"/>
      <c r="AA265" s="1878"/>
      <c r="AB265" s="1877"/>
      <c r="AC265" s="1877"/>
      <c r="AD265" s="1877"/>
      <c r="AE265" s="1911"/>
      <c r="AF265" s="1912"/>
      <c r="AG265" s="1881"/>
      <c r="AH265" s="1913"/>
      <c r="AI265" s="1518"/>
      <c r="AJ265" s="1897"/>
      <c r="AK265" s="1518"/>
      <c r="AL265" s="1518"/>
      <c r="AM265" s="1518"/>
      <c r="AN265" s="1518"/>
      <c r="AO265" s="1518"/>
      <c r="AP265" s="1518"/>
      <c r="AQ265" s="1518"/>
      <c r="AR265" s="1518"/>
      <c r="AS265" s="1518"/>
      <c r="AT265" s="1518"/>
      <c r="AU265" s="1518"/>
      <c r="AV265" s="1518"/>
      <c r="AW265" s="1518"/>
      <c r="AX265" s="1518"/>
      <c r="AY265" s="1518"/>
      <c r="AZ265" s="1518"/>
      <c r="BA265" s="1518"/>
      <c r="BB265" s="1518"/>
      <c r="BC265" s="1518"/>
      <c r="BD265" s="1518"/>
      <c r="BE265" s="1518"/>
    </row>
    <row r="266" spans="1:57" s="1350" customFormat="1">
      <c r="A266" s="1"/>
      <c r="B266" s="6"/>
      <c r="C266" s="4"/>
      <c r="D266" s="3"/>
      <c r="E266" s="4"/>
      <c r="F266" s="4"/>
      <c r="G266" s="1"/>
      <c r="H266" s="6"/>
      <c r="I266" s="6"/>
      <c r="J266" s="11"/>
      <c r="K266" s="510"/>
      <c r="L266" s="11"/>
      <c r="M266" s="5"/>
      <c r="N266" s="5"/>
      <c r="O266" s="2606"/>
      <c r="P266" s="2608"/>
      <c r="Q266" s="5"/>
      <c r="R266" s="5"/>
      <c r="S266" s="1"/>
      <c r="T266" s="1"/>
      <c r="U266" s="6"/>
      <c r="V266" s="1877"/>
      <c r="W266" s="1877"/>
      <c r="X266" s="1877"/>
      <c r="Y266" s="1877"/>
      <c r="Z266" s="1878"/>
      <c r="AA266" s="1878"/>
      <c r="AB266" s="1877"/>
      <c r="AC266" s="1877"/>
      <c r="AD266" s="1877"/>
      <c r="AE266" s="1911"/>
      <c r="AF266" s="1912"/>
      <c r="AG266" s="1881"/>
      <c r="AH266" s="1913"/>
      <c r="AI266" s="1518"/>
      <c r="AJ266" s="1897"/>
      <c r="AK266" s="1518"/>
      <c r="AL266" s="1518"/>
      <c r="AM266" s="1518"/>
      <c r="AN266" s="1518"/>
      <c r="AO266" s="1518"/>
      <c r="AP266" s="1518"/>
      <c r="AQ266" s="1518"/>
      <c r="AR266" s="1518"/>
      <c r="AS266" s="1518"/>
      <c r="AT266" s="1518"/>
      <c r="AU266" s="1518"/>
      <c r="AV266" s="1518"/>
      <c r="AW266" s="1518"/>
      <c r="AX266" s="1518"/>
      <c r="AY266" s="1518"/>
      <c r="AZ266" s="1518"/>
      <c r="BA266" s="1518"/>
      <c r="BB266" s="1518"/>
      <c r="BC266" s="1518"/>
      <c r="BD266" s="1518"/>
      <c r="BE266" s="1518"/>
    </row>
    <row r="267" spans="1:57" s="1350" customFormat="1">
      <c r="A267" s="1"/>
      <c r="B267" s="6"/>
      <c r="C267" s="4"/>
      <c r="D267" s="3"/>
      <c r="E267" s="4"/>
      <c r="F267" s="4"/>
      <c r="G267" s="1"/>
      <c r="H267" s="6"/>
      <c r="I267" s="6"/>
      <c r="J267" s="11"/>
      <c r="K267" s="510"/>
      <c r="L267" s="11"/>
      <c r="M267" s="5"/>
      <c r="N267" s="5"/>
      <c r="O267" s="2606"/>
      <c r="P267" s="2608"/>
      <c r="Q267" s="5"/>
      <c r="R267" s="5"/>
      <c r="S267" s="1"/>
      <c r="T267" s="1"/>
      <c r="U267" s="6"/>
      <c r="V267" s="1877"/>
      <c r="W267" s="1877"/>
      <c r="X267" s="1877"/>
      <c r="Y267" s="1877"/>
      <c r="Z267" s="1878"/>
      <c r="AA267" s="1878"/>
      <c r="AB267" s="1877"/>
      <c r="AC267" s="1877"/>
      <c r="AD267" s="1877"/>
      <c r="AE267" s="1911"/>
      <c r="AF267" s="1912"/>
      <c r="AG267" s="1881"/>
      <c r="AH267" s="1913"/>
      <c r="AI267" s="1518"/>
      <c r="AJ267" s="1897"/>
      <c r="AK267" s="1518"/>
      <c r="AL267" s="1518"/>
      <c r="AM267" s="1518"/>
      <c r="AN267" s="1518"/>
      <c r="AO267" s="1518"/>
      <c r="AP267" s="1518"/>
      <c r="AQ267" s="1518"/>
      <c r="AR267" s="1518"/>
      <c r="AS267" s="1518"/>
      <c r="AT267" s="1518"/>
      <c r="AU267" s="1518"/>
      <c r="AV267" s="1518"/>
      <c r="AW267" s="1518"/>
      <c r="AX267" s="1518"/>
      <c r="AY267" s="1518"/>
      <c r="AZ267" s="1518"/>
      <c r="BA267" s="1518"/>
      <c r="BB267" s="1518"/>
      <c r="BC267" s="1518"/>
      <c r="BD267" s="1518"/>
      <c r="BE267" s="1518"/>
    </row>
    <row r="268" spans="1:57" s="1350" customFormat="1">
      <c r="A268" s="1"/>
      <c r="B268" s="6"/>
      <c r="C268" s="4"/>
      <c r="D268" s="3"/>
      <c r="E268" s="4"/>
      <c r="F268" s="4"/>
      <c r="G268" s="1"/>
      <c r="H268" s="6"/>
      <c r="I268" s="6"/>
      <c r="J268" s="11"/>
      <c r="K268" s="510"/>
      <c r="L268" s="11"/>
      <c r="M268" s="5"/>
      <c r="N268" s="5"/>
      <c r="O268" s="2606"/>
      <c r="P268" s="2608"/>
      <c r="Q268" s="5"/>
      <c r="R268" s="5"/>
      <c r="S268" s="1"/>
      <c r="T268" s="1"/>
      <c r="U268" s="6"/>
      <c r="V268" s="1877"/>
      <c r="W268" s="1877"/>
      <c r="X268" s="1877"/>
      <c r="Y268" s="1877"/>
      <c r="Z268" s="1878"/>
      <c r="AA268" s="1878"/>
      <c r="AB268" s="1877"/>
      <c r="AC268" s="1877"/>
      <c r="AD268" s="1877"/>
      <c r="AE268" s="1911"/>
      <c r="AF268" s="1912"/>
      <c r="AG268" s="1881"/>
      <c r="AH268" s="1913"/>
      <c r="AI268" s="1518"/>
      <c r="AJ268" s="1897"/>
      <c r="AK268" s="1518"/>
      <c r="AL268" s="1518"/>
      <c r="AM268" s="1518"/>
      <c r="AN268" s="1518"/>
      <c r="AO268" s="1518"/>
      <c r="AP268" s="1518"/>
      <c r="AQ268" s="1518"/>
      <c r="AR268" s="1518"/>
      <c r="AS268" s="1518"/>
      <c r="AT268" s="1518"/>
      <c r="AU268" s="1518"/>
      <c r="AV268" s="1518"/>
      <c r="AW268" s="1518"/>
      <c r="AX268" s="1518"/>
      <c r="AY268" s="1518"/>
      <c r="AZ268" s="1518"/>
      <c r="BA268" s="1518"/>
      <c r="BB268" s="1518"/>
      <c r="BC268" s="1518"/>
      <c r="BD268" s="1518"/>
      <c r="BE268" s="1518"/>
    </row>
    <row r="269" spans="1:57" s="1350" customFormat="1">
      <c r="A269" s="1"/>
      <c r="B269" s="6"/>
      <c r="C269" s="4"/>
      <c r="D269" s="3"/>
      <c r="E269" s="4"/>
      <c r="F269" s="4"/>
      <c r="G269" s="1"/>
      <c r="H269" s="6"/>
      <c r="I269" s="6"/>
      <c r="J269" s="11"/>
      <c r="K269" s="510"/>
      <c r="L269" s="11"/>
      <c r="M269" s="5"/>
      <c r="N269" s="5"/>
      <c r="O269" s="2606"/>
      <c r="P269" s="2608"/>
      <c r="Q269" s="5"/>
      <c r="R269" s="5"/>
      <c r="S269" s="1"/>
      <c r="T269" s="1"/>
      <c r="U269" s="6"/>
      <c r="V269" s="1877"/>
      <c r="W269" s="1877"/>
      <c r="X269" s="1877"/>
      <c r="Y269" s="1877"/>
      <c r="Z269" s="1878"/>
      <c r="AA269" s="1878"/>
      <c r="AB269" s="1877"/>
      <c r="AC269" s="1877"/>
      <c r="AD269" s="1877"/>
      <c r="AE269" s="1911"/>
      <c r="AF269" s="1912"/>
      <c r="AG269" s="1881"/>
      <c r="AH269" s="1913"/>
      <c r="AI269" s="1518"/>
      <c r="AJ269" s="1897"/>
      <c r="AK269" s="1518"/>
      <c r="AL269" s="1518"/>
      <c r="AM269" s="1518"/>
      <c r="AN269" s="1518"/>
      <c r="AO269" s="1518"/>
      <c r="AP269" s="1518"/>
      <c r="AQ269" s="1518"/>
      <c r="AR269" s="1518"/>
      <c r="AS269" s="1518"/>
      <c r="AT269" s="1518"/>
      <c r="AU269" s="1518"/>
      <c r="AV269" s="1518"/>
      <c r="AW269" s="1518"/>
      <c r="AX269" s="1518"/>
      <c r="AY269" s="1518"/>
      <c r="AZ269" s="1518"/>
      <c r="BA269" s="1518"/>
      <c r="BB269" s="1518"/>
      <c r="BC269" s="1518"/>
      <c r="BD269" s="1518"/>
      <c r="BE269" s="1518"/>
    </row>
    <row r="270" spans="1:57" s="1350" customFormat="1">
      <c r="A270" s="1"/>
      <c r="B270" s="6"/>
      <c r="C270" s="4"/>
      <c r="D270" s="3"/>
      <c r="E270" s="4"/>
      <c r="F270" s="4"/>
      <c r="G270" s="1"/>
      <c r="H270" s="6"/>
      <c r="I270" s="6"/>
      <c r="J270" s="11"/>
      <c r="K270" s="510"/>
      <c r="L270" s="11"/>
      <c r="M270" s="5"/>
      <c r="N270" s="5"/>
      <c r="O270" s="2606"/>
      <c r="P270" s="2608"/>
      <c r="Q270" s="5"/>
      <c r="R270" s="5"/>
      <c r="S270" s="1"/>
      <c r="T270" s="1"/>
      <c r="U270" s="6"/>
      <c r="V270" s="1877"/>
      <c r="W270" s="1877"/>
      <c r="X270" s="1877"/>
      <c r="Y270" s="1877"/>
      <c r="Z270" s="1878"/>
      <c r="AA270" s="1878"/>
      <c r="AB270" s="1877"/>
      <c r="AC270" s="1877"/>
      <c r="AD270" s="1877"/>
      <c r="AE270" s="1911"/>
      <c r="AF270" s="1912"/>
      <c r="AG270" s="1881"/>
      <c r="AH270" s="1913"/>
      <c r="AI270" s="1518"/>
      <c r="AJ270" s="1897"/>
      <c r="AK270" s="1518"/>
      <c r="AL270" s="1518"/>
      <c r="AM270" s="1518"/>
      <c r="AN270" s="1518"/>
      <c r="AO270" s="1518"/>
      <c r="AP270" s="1518"/>
      <c r="AQ270" s="1518"/>
      <c r="AR270" s="1518"/>
      <c r="AS270" s="1518"/>
      <c r="AT270" s="1518"/>
      <c r="AU270" s="1518"/>
      <c r="AV270" s="1518"/>
      <c r="AW270" s="1518"/>
      <c r="AX270" s="1518"/>
      <c r="AY270" s="1518"/>
      <c r="AZ270" s="1518"/>
      <c r="BA270" s="1518"/>
      <c r="BB270" s="1518"/>
      <c r="BC270" s="1518"/>
      <c r="BD270" s="1518"/>
      <c r="BE270" s="1518"/>
    </row>
    <row r="271" spans="1:57" s="1350" customFormat="1">
      <c r="A271" s="1"/>
      <c r="B271" s="6"/>
      <c r="C271" s="4"/>
      <c r="D271" s="3"/>
      <c r="E271" s="4"/>
      <c r="F271" s="4"/>
      <c r="G271" s="1"/>
      <c r="H271" s="6"/>
      <c r="I271" s="6"/>
      <c r="J271" s="11"/>
      <c r="K271" s="510"/>
      <c r="L271" s="11"/>
      <c r="M271" s="5"/>
      <c r="N271" s="5"/>
      <c r="O271" s="2606"/>
      <c r="P271" s="2608"/>
      <c r="Q271" s="5"/>
      <c r="R271" s="5"/>
      <c r="S271" s="1"/>
      <c r="T271" s="1"/>
      <c r="U271" s="6"/>
      <c r="V271" s="1877"/>
      <c r="W271" s="1877"/>
      <c r="X271" s="1877"/>
      <c r="Y271" s="1877"/>
      <c r="Z271" s="1878"/>
      <c r="AA271" s="1878"/>
      <c r="AB271" s="1877"/>
      <c r="AC271" s="1877"/>
      <c r="AD271" s="1877"/>
      <c r="AE271" s="1911"/>
      <c r="AF271" s="1912"/>
      <c r="AG271" s="1881"/>
      <c r="AH271" s="1913"/>
      <c r="AI271" s="1518"/>
      <c r="AJ271" s="1897"/>
      <c r="AK271" s="1518"/>
      <c r="AL271" s="1518"/>
      <c r="AM271" s="1518"/>
      <c r="AN271" s="1518"/>
      <c r="AO271" s="1518"/>
      <c r="AP271" s="1518"/>
      <c r="AQ271" s="1518"/>
      <c r="AR271" s="1518"/>
      <c r="AS271" s="1518"/>
      <c r="AT271" s="1518"/>
      <c r="AU271" s="1518"/>
      <c r="AV271" s="1518"/>
      <c r="AW271" s="1518"/>
      <c r="AX271" s="1518"/>
      <c r="AY271" s="1518"/>
      <c r="AZ271" s="1518"/>
      <c r="BA271" s="1518"/>
      <c r="BB271" s="1518"/>
      <c r="BC271" s="1518"/>
      <c r="BD271" s="1518"/>
      <c r="BE271" s="1518"/>
    </row>
    <row r="272" spans="1:57" s="1350" customFormat="1">
      <c r="A272" s="1"/>
      <c r="B272" s="6"/>
      <c r="C272" s="4"/>
      <c r="D272" s="3"/>
      <c r="E272" s="4"/>
      <c r="F272" s="4"/>
      <c r="G272" s="1"/>
      <c r="H272" s="6"/>
      <c r="I272" s="6"/>
      <c r="J272" s="11"/>
      <c r="K272" s="510"/>
      <c r="L272" s="11"/>
      <c r="M272" s="5"/>
      <c r="N272" s="5"/>
      <c r="O272" s="2606"/>
      <c r="P272" s="2608"/>
      <c r="Q272" s="5"/>
      <c r="R272" s="5"/>
      <c r="S272" s="1"/>
      <c r="T272" s="1"/>
      <c r="U272" s="6"/>
      <c r="V272" s="1877"/>
      <c r="W272" s="1877"/>
      <c r="X272" s="1877"/>
      <c r="Y272" s="1877"/>
      <c r="Z272" s="1878"/>
      <c r="AA272" s="1878"/>
      <c r="AB272" s="1877"/>
      <c r="AC272" s="1877"/>
      <c r="AD272" s="1877"/>
      <c r="AE272" s="1911"/>
      <c r="AF272" s="1912"/>
      <c r="AG272" s="1881"/>
      <c r="AH272" s="1913"/>
      <c r="AI272" s="1518"/>
      <c r="AJ272" s="1897"/>
      <c r="AK272" s="1518"/>
      <c r="AL272" s="1518"/>
      <c r="AM272" s="1518"/>
      <c r="AN272" s="1518"/>
      <c r="AO272" s="1518"/>
      <c r="AP272" s="1518"/>
      <c r="AQ272" s="1518"/>
      <c r="AR272" s="1518"/>
      <c r="AS272" s="1518"/>
      <c r="AT272" s="1518"/>
      <c r="AU272" s="1518"/>
      <c r="AV272" s="1518"/>
      <c r="AW272" s="1518"/>
      <c r="AX272" s="1518"/>
      <c r="AY272" s="1518"/>
      <c r="AZ272" s="1518"/>
      <c r="BA272" s="1518"/>
      <c r="BB272" s="1518"/>
      <c r="BC272" s="1518"/>
      <c r="BD272" s="1518"/>
      <c r="BE272" s="1518"/>
    </row>
    <row r="273" spans="1:57" s="1350" customFormat="1">
      <c r="A273" s="1"/>
      <c r="B273" s="6"/>
      <c r="C273" s="4"/>
      <c r="D273" s="3"/>
      <c r="E273" s="4"/>
      <c r="F273" s="4"/>
      <c r="G273" s="1"/>
      <c r="H273" s="6"/>
      <c r="I273" s="6"/>
      <c r="J273" s="11"/>
      <c r="K273" s="510"/>
      <c r="L273" s="11"/>
      <c r="M273" s="5"/>
      <c r="N273" s="5"/>
      <c r="O273" s="2606"/>
      <c r="P273" s="2608"/>
      <c r="Q273" s="5"/>
      <c r="R273" s="5"/>
      <c r="S273" s="1"/>
      <c r="T273" s="1"/>
      <c r="U273" s="6"/>
      <c r="V273" s="1877"/>
      <c r="W273" s="1877"/>
      <c r="X273" s="1877"/>
      <c r="Y273" s="1877"/>
      <c r="Z273" s="1878"/>
      <c r="AA273" s="1878"/>
      <c r="AB273" s="1877"/>
      <c r="AC273" s="1877"/>
      <c r="AD273" s="1877"/>
      <c r="AE273" s="1911"/>
      <c r="AF273" s="1912"/>
      <c r="AG273" s="1881"/>
      <c r="AH273" s="1913"/>
      <c r="AI273" s="1518"/>
      <c r="AJ273" s="1897"/>
      <c r="AK273" s="1518"/>
      <c r="AL273" s="1518"/>
      <c r="AM273" s="1518"/>
      <c r="AN273" s="1518"/>
      <c r="AO273" s="1518"/>
      <c r="AP273" s="1518"/>
      <c r="AQ273" s="1518"/>
      <c r="AR273" s="1518"/>
      <c r="AS273" s="1518"/>
      <c r="AT273" s="1518"/>
      <c r="AU273" s="1518"/>
      <c r="AV273" s="1518"/>
      <c r="AW273" s="1518"/>
      <c r="AX273" s="1518"/>
      <c r="AY273" s="1518"/>
      <c r="AZ273" s="1518"/>
      <c r="BA273" s="1518"/>
      <c r="BB273" s="1518"/>
      <c r="BC273" s="1518"/>
      <c r="BD273" s="1518"/>
      <c r="BE273" s="1518"/>
    </row>
    <row r="274" spans="1:57" s="1350" customFormat="1">
      <c r="A274" s="1"/>
      <c r="B274" s="6"/>
      <c r="C274" s="4"/>
      <c r="D274" s="3"/>
      <c r="E274" s="4"/>
      <c r="F274" s="4"/>
      <c r="G274" s="1"/>
      <c r="H274" s="6"/>
      <c r="I274" s="6"/>
      <c r="J274" s="11"/>
      <c r="K274" s="510"/>
      <c r="L274" s="11"/>
      <c r="M274" s="5"/>
      <c r="N274" s="5"/>
      <c r="O274" s="2606"/>
      <c r="P274" s="2608"/>
      <c r="Q274" s="5"/>
      <c r="R274" s="5"/>
      <c r="S274" s="1"/>
      <c r="T274" s="1"/>
      <c r="U274" s="6"/>
      <c r="V274" s="1877"/>
      <c r="W274" s="1877"/>
      <c r="X274" s="1877"/>
      <c r="Y274" s="1877"/>
      <c r="Z274" s="1878"/>
      <c r="AA274" s="1878"/>
      <c r="AB274" s="1877"/>
      <c r="AC274" s="1877"/>
      <c r="AD274" s="1877"/>
      <c r="AE274" s="1911"/>
      <c r="AF274" s="1912"/>
      <c r="AG274" s="1881"/>
      <c r="AH274" s="1913"/>
      <c r="AI274" s="1518"/>
      <c r="AJ274" s="1897"/>
      <c r="AK274" s="1518"/>
      <c r="AL274" s="1518"/>
      <c r="AM274" s="1518"/>
      <c r="AN274" s="1518"/>
      <c r="AO274" s="1518"/>
      <c r="AP274" s="1518"/>
      <c r="AQ274" s="1518"/>
      <c r="AR274" s="1518"/>
      <c r="AS274" s="1518"/>
      <c r="AT274" s="1518"/>
      <c r="AU274" s="1518"/>
      <c r="AV274" s="1518"/>
      <c r="AW274" s="1518"/>
      <c r="AX274" s="1518"/>
      <c r="AY274" s="1518"/>
      <c r="AZ274" s="1518"/>
      <c r="BA274" s="1518"/>
      <c r="BB274" s="1518"/>
      <c r="BC274" s="1518"/>
      <c r="BD274" s="1518"/>
      <c r="BE274" s="1518"/>
    </row>
    <row r="275" spans="1:57" s="1350" customFormat="1">
      <c r="A275" s="1"/>
      <c r="B275" s="6"/>
      <c r="C275" s="4"/>
      <c r="D275" s="3"/>
      <c r="E275" s="4"/>
      <c r="F275" s="4"/>
      <c r="G275" s="1"/>
      <c r="H275" s="6"/>
      <c r="I275" s="6"/>
      <c r="J275" s="11"/>
      <c r="K275" s="510"/>
      <c r="L275" s="11"/>
      <c r="M275" s="5"/>
      <c r="N275" s="5"/>
      <c r="O275" s="2606"/>
      <c r="P275" s="2608"/>
      <c r="Q275" s="5"/>
      <c r="R275" s="5"/>
      <c r="S275" s="1"/>
      <c r="T275" s="1"/>
      <c r="U275" s="6"/>
      <c r="V275" s="1877"/>
      <c r="W275" s="1877"/>
      <c r="X275" s="1877"/>
      <c r="Y275" s="1877"/>
      <c r="Z275" s="1878"/>
      <c r="AA275" s="1878"/>
      <c r="AB275" s="1877"/>
      <c r="AC275" s="1877"/>
      <c r="AD275" s="1877"/>
      <c r="AE275" s="1911"/>
      <c r="AF275" s="1912"/>
      <c r="AG275" s="1881"/>
      <c r="AH275" s="1913"/>
      <c r="AI275" s="1518"/>
      <c r="AJ275" s="1897"/>
      <c r="AK275" s="1518"/>
      <c r="AL275" s="1518"/>
      <c r="AM275" s="1518"/>
      <c r="AN275" s="1518"/>
      <c r="AO275" s="1518"/>
      <c r="AP275" s="1518"/>
      <c r="AQ275" s="1518"/>
      <c r="AR275" s="1518"/>
      <c r="AS275" s="1518"/>
      <c r="AT275" s="1518"/>
      <c r="AU275" s="1518"/>
      <c r="AV275" s="1518"/>
      <c r="AW275" s="1518"/>
      <c r="AX275" s="1518"/>
      <c r="AY275" s="1518"/>
      <c r="AZ275" s="1518"/>
      <c r="BA275" s="1518"/>
      <c r="BB275" s="1518"/>
      <c r="BC275" s="1518"/>
      <c r="BD275" s="1518"/>
      <c r="BE275" s="1518"/>
    </row>
    <row r="276" spans="1:57" s="1350" customFormat="1">
      <c r="A276" s="1"/>
      <c r="B276" s="6"/>
      <c r="C276" s="4"/>
      <c r="D276" s="3"/>
      <c r="E276" s="4"/>
      <c r="F276" s="4"/>
      <c r="G276" s="1"/>
      <c r="H276" s="6"/>
      <c r="I276" s="6"/>
      <c r="J276" s="11"/>
      <c r="K276" s="510"/>
      <c r="L276" s="11"/>
      <c r="M276" s="5"/>
      <c r="N276" s="5"/>
      <c r="O276" s="2606"/>
      <c r="P276" s="2608"/>
      <c r="Q276" s="5"/>
      <c r="R276" s="5"/>
      <c r="S276" s="1"/>
      <c r="T276" s="1"/>
      <c r="U276" s="6"/>
      <c r="V276" s="1877"/>
      <c r="W276" s="1877"/>
      <c r="X276" s="1877"/>
      <c r="Y276" s="1877"/>
      <c r="Z276" s="1878"/>
      <c r="AA276" s="1878"/>
      <c r="AB276" s="1877"/>
      <c r="AC276" s="1877"/>
      <c r="AD276" s="1877"/>
      <c r="AE276" s="1911"/>
      <c r="AF276" s="1912"/>
      <c r="AG276" s="1881"/>
      <c r="AH276" s="1913"/>
      <c r="AI276" s="1518"/>
      <c r="AJ276" s="1897"/>
      <c r="AK276" s="1518"/>
      <c r="AL276" s="1518"/>
      <c r="AM276" s="1518"/>
      <c r="AN276" s="1518"/>
      <c r="AO276" s="1518"/>
      <c r="AP276" s="1518"/>
      <c r="AQ276" s="1518"/>
      <c r="AR276" s="1518"/>
      <c r="AS276" s="1518"/>
      <c r="AT276" s="1518"/>
      <c r="AU276" s="1518"/>
      <c r="AV276" s="1518"/>
      <c r="AW276" s="1518"/>
      <c r="AX276" s="1518"/>
      <c r="AY276" s="1518"/>
      <c r="AZ276" s="1518"/>
      <c r="BA276" s="1518"/>
      <c r="BB276" s="1518"/>
      <c r="BC276" s="1518"/>
      <c r="BD276" s="1518"/>
      <c r="BE276" s="1518"/>
    </row>
    <row r="277" spans="1:57" s="1350" customFormat="1">
      <c r="A277" s="1"/>
      <c r="B277" s="6"/>
      <c r="C277" s="4"/>
      <c r="D277" s="3"/>
      <c r="E277" s="4"/>
      <c r="F277" s="4"/>
      <c r="G277" s="1"/>
      <c r="H277" s="6"/>
      <c r="I277" s="6"/>
      <c r="J277" s="11"/>
      <c r="K277" s="510"/>
      <c r="L277" s="11"/>
      <c r="M277" s="5"/>
      <c r="N277" s="5"/>
      <c r="O277" s="2606"/>
      <c r="P277" s="2608"/>
      <c r="Q277" s="5"/>
      <c r="R277" s="5"/>
      <c r="S277" s="1"/>
      <c r="T277" s="1"/>
      <c r="U277" s="6"/>
      <c r="V277" s="1877"/>
      <c r="W277" s="1877"/>
      <c r="X277" s="1877"/>
      <c r="Y277" s="1877"/>
      <c r="Z277" s="1878"/>
      <c r="AA277" s="1878"/>
      <c r="AB277" s="1877"/>
      <c r="AC277" s="1877"/>
      <c r="AD277" s="1877"/>
      <c r="AE277" s="1911"/>
      <c r="AF277" s="1912"/>
      <c r="AG277" s="1881"/>
      <c r="AH277" s="1913"/>
      <c r="AI277" s="1518"/>
      <c r="AJ277" s="1897"/>
      <c r="AK277" s="1518"/>
      <c r="AL277" s="1518"/>
      <c r="AM277" s="1518"/>
      <c r="AN277" s="1518"/>
      <c r="AO277" s="1518"/>
      <c r="AP277" s="1518"/>
      <c r="AQ277" s="1518"/>
      <c r="AR277" s="1518"/>
      <c r="AS277" s="1518"/>
      <c r="AT277" s="1518"/>
      <c r="AU277" s="1518"/>
      <c r="AV277" s="1518"/>
      <c r="AW277" s="1518"/>
      <c r="AX277" s="1518"/>
      <c r="AY277" s="1518"/>
      <c r="AZ277" s="1518"/>
      <c r="BA277" s="1518"/>
      <c r="BB277" s="1518"/>
      <c r="BC277" s="1518"/>
      <c r="BD277" s="1518"/>
      <c r="BE277" s="1518"/>
    </row>
    <row r="278" spans="1:57" s="1350" customFormat="1">
      <c r="A278" s="1"/>
      <c r="B278" s="6"/>
      <c r="C278" s="4"/>
      <c r="D278" s="3"/>
      <c r="E278" s="4"/>
      <c r="F278" s="4"/>
      <c r="G278" s="1"/>
      <c r="H278" s="6"/>
      <c r="I278" s="6"/>
      <c r="J278" s="11"/>
      <c r="K278" s="510"/>
      <c r="L278" s="11"/>
      <c r="M278" s="5"/>
      <c r="N278" s="5"/>
      <c r="O278" s="2606"/>
      <c r="P278" s="2608"/>
      <c r="Q278" s="5"/>
      <c r="R278" s="5"/>
      <c r="S278" s="1"/>
      <c r="T278" s="1"/>
      <c r="U278" s="6"/>
      <c r="V278" s="1877"/>
      <c r="W278" s="1877"/>
      <c r="X278" s="1877"/>
      <c r="Y278" s="1877"/>
      <c r="Z278" s="1878"/>
      <c r="AA278" s="1878"/>
      <c r="AB278" s="1877"/>
      <c r="AC278" s="1877"/>
      <c r="AD278" s="1877"/>
      <c r="AE278" s="1911"/>
      <c r="AF278" s="1912"/>
      <c r="AG278" s="1881"/>
      <c r="AH278" s="1913"/>
      <c r="AI278" s="1518"/>
      <c r="AJ278" s="1897"/>
      <c r="AK278" s="1518"/>
      <c r="AL278" s="1518"/>
      <c r="AM278" s="1518"/>
      <c r="AN278" s="1518"/>
      <c r="AO278" s="1518"/>
      <c r="AP278" s="1518"/>
      <c r="AQ278" s="1518"/>
      <c r="AR278" s="1518"/>
      <c r="AS278" s="1518"/>
      <c r="AT278" s="1518"/>
      <c r="AU278" s="1518"/>
      <c r="AV278" s="1518"/>
      <c r="AW278" s="1518"/>
      <c r="AX278" s="1518"/>
      <c r="AY278" s="1518"/>
      <c r="AZ278" s="1518"/>
      <c r="BA278" s="1518"/>
      <c r="BB278" s="1518"/>
      <c r="BC278" s="1518"/>
      <c r="BD278" s="1518"/>
      <c r="BE278" s="1518"/>
    </row>
    <row r="279" spans="1:57" s="1350" customFormat="1">
      <c r="A279" s="1"/>
      <c r="B279" s="6"/>
      <c r="C279" s="4"/>
      <c r="D279" s="3"/>
      <c r="E279" s="4"/>
      <c r="F279" s="4"/>
      <c r="G279" s="1"/>
      <c r="H279" s="6"/>
      <c r="I279" s="6"/>
      <c r="J279" s="11"/>
      <c r="K279" s="510"/>
      <c r="L279" s="11"/>
      <c r="M279" s="5"/>
      <c r="N279" s="5"/>
      <c r="O279" s="2606"/>
      <c r="P279" s="2608"/>
      <c r="Q279" s="5"/>
      <c r="R279" s="5"/>
      <c r="S279" s="1"/>
      <c r="T279" s="1"/>
      <c r="U279" s="6"/>
      <c r="V279" s="1877"/>
      <c r="W279" s="1877"/>
      <c r="X279" s="1877"/>
      <c r="Y279" s="1877"/>
      <c r="Z279" s="1878"/>
      <c r="AA279" s="1878"/>
      <c r="AB279" s="1877"/>
      <c r="AC279" s="1877"/>
      <c r="AD279" s="1877"/>
      <c r="AE279" s="1911"/>
      <c r="AF279" s="1912"/>
      <c r="AG279" s="1881"/>
      <c r="AH279" s="1913"/>
      <c r="AI279" s="1518"/>
      <c r="AJ279" s="1897"/>
      <c r="AK279" s="1518"/>
      <c r="AL279" s="1518"/>
      <c r="AM279" s="1518"/>
      <c r="AN279" s="1518"/>
      <c r="AO279" s="1518"/>
      <c r="AP279" s="1518"/>
      <c r="AQ279" s="1518"/>
      <c r="AR279" s="1518"/>
      <c r="AS279" s="1518"/>
      <c r="AT279" s="1518"/>
      <c r="AU279" s="1518"/>
      <c r="AV279" s="1518"/>
      <c r="AW279" s="1518"/>
      <c r="AX279" s="1518"/>
      <c r="AY279" s="1518"/>
      <c r="AZ279" s="1518"/>
      <c r="BA279" s="1518"/>
      <c r="BB279" s="1518"/>
      <c r="BC279" s="1518"/>
      <c r="BD279" s="1518"/>
      <c r="BE279" s="1518"/>
    </row>
    <row r="280" spans="1:57" s="1350" customFormat="1">
      <c r="A280" s="1"/>
      <c r="B280" s="6"/>
      <c r="C280" s="4"/>
      <c r="D280" s="3"/>
      <c r="E280" s="4"/>
      <c r="F280" s="4"/>
      <c r="G280" s="1"/>
      <c r="H280" s="6"/>
      <c r="I280" s="6"/>
      <c r="J280" s="11"/>
      <c r="K280" s="510"/>
      <c r="L280" s="11"/>
      <c r="M280" s="5"/>
      <c r="N280" s="5"/>
      <c r="O280" s="2606"/>
      <c r="P280" s="2608"/>
      <c r="Q280" s="5"/>
      <c r="R280" s="5"/>
      <c r="S280" s="1"/>
      <c r="T280" s="1"/>
      <c r="U280" s="6"/>
      <c r="V280" s="1877"/>
      <c r="W280" s="1877"/>
      <c r="X280" s="1877"/>
      <c r="Y280" s="1877"/>
      <c r="Z280" s="1878"/>
      <c r="AA280" s="1878"/>
      <c r="AB280" s="1877"/>
      <c r="AC280" s="1877"/>
      <c r="AD280" s="1877"/>
      <c r="AE280" s="1911"/>
      <c r="AF280" s="1912"/>
      <c r="AG280" s="1881"/>
      <c r="AH280" s="1913"/>
      <c r="AI280" s="1518"/>
      <c r="AJ280" s="1897"/>
      <c r="AK280" s="1518"/>
      <c r="AL280" s="1518"/>
      <c r="AM280" s="1518"/>
      <c r="AN280" s="1518"/>
      <c r="AO280" s="1518"/>
      <c r="AP280" s="1518"/>
      <c r="AQ280" s="1518"/>
      <c r="AR280" s="1518"/>
      <c r="AS280" s="1518"/>
      <c r="AT280" s="1518"/>
      <c r="AU280" s="1518"/>
      <c r="AV280" s="1518"/>
      <c r="AW280" s="1518"/>
      <c r="AX280" s="1518"/>
      <c r="AY280" s="1518"/>
      <c r="AZ280" s="1518"/>
      <c r="BA280" s="1518"/>
      <c r="BB280" s="1518"/>
      <c r="BC280" s="1518"/>
      <c r="BD280" s="1518"/>
      <c r="BE280" s="1518"/>
    </row>
    <row r="281" spans="1:57" s="1350" customFormat="1">
      <c r="A281" s="1"/>
      <c r="B281" s="6"/>
      <c r="C281" s="4"/>
      <c r="D281" s="3"/>
      <c r="E281" s="4"/>
      <c r="F281" s="4"/>
      <c r="G281" s="1"/>
      <c r="H281" s="6"/>
      <c r="I281" s="6"/>
      <c r="J281" s="11"/>
      <c r="K281" s="510"/>
      <c r="L281" s="11"/>
      <c r="M281" s="5"/>
      <c r="N281" s="5"/>
      <c r="O281" s="2606"/>
      <c r="P281" s="2608"/>
      <c r="Q281" s="5"/>
      <c r="R281" s="5"/>
      <c r="S281" s="1"/>
      <c r="T281" s="1"/>
      <c r="U281" s="6"/>
      <c r="V281" s="1877"/>
      <c r="W281" s="1877"/>
      <c r="X281" s="1877"/>
      <c r="Y281" s="1877"/>
      <c r="Z281" s="1878"/>
      <c r="AA281" s="1878"/>
      <c r="AB281" s="1877"/>
      <c r="AC281" s="1877"/>
      <c r="AD281" s="1877"/>
      <c r="AE281" s="1911"/>
      <c r="AF281" s="1912"/>
      <c r="AG281" s="1881"/>
      <c r="AH281" s="1913"/>
      <c r="AI281" s="1518"/>
      <c r="AJ281" s="1897"/>
      <c r="AK281" s="1518"/>
      <c r="AL281" s="1518"/>
      <c r="AM281" s="1518"/>
      <c r="AN281" s="1518"/>
      <c r="AO281" s="1518"/>
      <c r="AP281" s="1518"/>
      <c r="AQ281" s="1518"/>
      <c r="AR281" s="1518"/>
      <c r="AS281" s="1518"/>
      <c r="AT281" s="1518"/>
      <c r="AU281" s="1518"/>
      <c r="AV281" s="1518"/>
      <c r="AW281" s="1518"/>
      <c r="AX281" s="1518"/>
      <c r="AY281" s="1518"/>
      <c r="AZ281" s="1518"/>
      <c r="BA281" s="1518"/>
      <c r="BB281" s="1518"/>
      <c r="BC281" s="1518"/>
      <c r="BD281" s="1518"/>
      <c r="BE281" s="1518"/>
    </row>
    <row r="282" spans="1:57" s="1350" customFormat="1">
      <c r="A282" s="1"/>
      <c r="B282" s="6"/>
      <c r="C282" s="4"/>
      <c r="D282" s="3"/>
      <c r="E282" s="4"/>
      <c r="F282" s="4"/>
      <c r="G282" s="1"/>
      <c r="H282" s="6"/>
      <c r="I282" s="6"/>
      <c r="J282" s="11"/>
      <c r="K282" s="510"/>
      <c r="L282" s="11"/>
      <c r="M282" s="5"/>
      <c r="N282" s="5"/>
      <c r="O282" s="2606"/>
      <c r="P282" s="2608"/>
      <c r="Q282" s="5"/>
      <c r="R282" s="5"/>
      <c r="S282" s="1"/>
      <c r="T282" s="1"/>
      <c r="U282" s="6"/>
      <c r="V282" s="1877"/>
      <c r="W282" s="1877"/>
      <c r="X282" s="1877"/>
      <c r="Y282" s="1877"/>
      <c r="Z282" s="1878"/>
      <c r="AA282" s="1878"/>
      <c r="AB282" s="1877"/>
      <c r="AC282" s="1877"/>
      <c r="AD282" s="1877"/>
      <c r="AE282" s="1911"/>
      <c r="AF282" s="1912"/>
      <c r="AG282" s="1881"/>
      <c r="AH282" s="1913"/>
      <c r="AI282" s="1518"/>
      <c r="AJ282" s="1897"/>
      <c r="AK282" s="1518"/>
      <c r="AL282" s="1518"/>
      <c r="AM282" s="1518"/>
      <c r="AN282" s="1518"/>
      <c r="AO282" s="1518"/>
      <c r="AP282" s="1518"/>
      <c r="AQ282" s="1518"/>
      <c r="AR282" s="1518"/>
      <c r="AS282" s="1518"/>
      <c r="AT282" s="1518"/>
      <c r="AU282" s="1518"/>
      <c r="AV282" s="1518"/>
      <c r="AW282" s="1518"/>
      <c r="AX282" s="1518"/>
      <c r="AY282" s="1518"/>
      <c r="AZ282" s="1518"/>
      <c r="BA282" s="1518"/>
      <c r="BB282" s="1518"/>
      <c r="BC282" s="1518"/>
      <c r="BD282" s="1518"/>
      <c r="BE282" s="1518"/>
    </row>
    <row r="283" spans="1:57" s="1350" customFormat="1">
      <c r="A283" s="1"/>
      <c r="B283" s="6"/>
      <c r="C283" s="4"/>
      <c r="D283" s="3"/>
      <c r="E283" s="4"/>
      <c r="F283" s="4"/>
      <c r="G283" s="1"/>
      <c r="H283" s="6"/>
      <c r="I283" s="6"/>
      <c r="J283" s="11"/>
      <c r="K283" s="510"/>
      <c r="L283" s="11"/>
      <c r="M283" s="5"/>
      <c r="N283" s="5"/>
      <c r="O283" s="2606"/>
      <c r="P283" s="2608"/>
      <c r="Q283" s="5"/>
      <c r="R283" s="5"/>
      <c r="S283" s="1"/>
      <c r="T283" s="1"/>
      <c r="U283" s="6"/>
      <c r="V283" s="1877"/>
      <c r="W283" s="1877"/>
      <c r="X283" s="1877"/>
      <c r="Y283" s="1877"/>
      <c r="Z283" s="1878"/>
      <c r="AA283" s="1878"/>
      <c r="AB283" s="1877"/>
      <c r="AC283" s="1877"/>
      <c r="AD283" s="1877"/>
      <c r="AE283" s="1911"/>
      <c r="AF283" s="1912"/>
      <c r="AG283" s="1881"/>
      <c r="AH283" s="1913"/>
      <c r="AI283" s="1518"/>
      <c r="AJ283" s="1897"/>
      <c r="AK283" s="1518"/>
      <c r="AL283" s="1518"/>
      <c r="AM283" s="1518"/>
      <c r="AN283" s="1518"/>
      <c r="AO283" s="1518"/>
      <c r="AP283" s="1518"/>
      <c r="AQ283" s="1518"/>
      <c r="AR283" s="1518"/>
      <c r="AS283" s="1518"/>
      <c r="AT283" s="1518"/>
      <c r="AU283" s="1518"/>
      <c r="AV283" s="1518"/>
      <c r="AW283" s="1518"/>
      <c r="AX283" s="1518"/>
      <c r="AY283" s="1518"/>
      <c r="AZ283" s="1518"/>
      <c r="BA283" s="1518"/>
      <c r="BB283" s="1518"/>
      <c r="BC283" s="1518"/>
      <c r="BD283" s="1518"/>
      <c r="BE283" s="1518"/>
    </row>
    <row r="284" spans="1:57" s="1350" customFormat="1">
      <c r="A284" s="1"/>
      <c r="B284" s="6"/>
      <c r="C284" s="4"/>
      <c r="D284" s="3"/>
      <c r="E284" s="4"/>
      <c r="F284" s="4"/>
      <c r="G284" s="1"/>
      <c r="H284" s="6"/>
      <c r="I284" s="6"/>
      <c r="J284" s="11"/>
      <c r="K284" s="510"/>
      <c r="L284" s="11"/>
      <c r="M284" s="5"/>
      <c r="N284" s="5"/>
      <c r="O284" s="2606"/>
      <c r="P284" s="2608"/>
      <c r="Q284" s="5"/>
      <c r="R284" s="5"/>
      <c r="S284" s="1"/>
      <c r="T284" s="1"/>
      <c r="U284" s="6"/>
      <c r="V284" s="1877"/>
      <c r="W284" s="1877"/>
      <c r="X284" s="1877"/>
      <c r="Y284" s="1877"/>
      <c r="Z284" s="1878"/>
      <c r="AA284" s="1878"/>
      <c r="AB284" s="1877"/>
      <c r="AC284" s="1877"/>
      <c r="AD284" s="1877"/>
      <c r="AE284" s="1911"/>
      <c r="AF284" s="1912"/>
      <c r="AG284" s="1881"/>
      <c r="AH284" s="1913"/>
      <c r="AI284" s="1518"/>
      <c r="AJ284" s="1897"/>
      <c r="AK284" s="1518"/>
      <c r="AL284" s="1518"/>
      <c r="AM284" s="1518"/>
      <c r="AN284" s="1518"/>
      <c r="AO284" s="1518"/>
      <c r="AP284" s="1518"/>
      <c r="AQ284" s="1518"/>
      <c r="AR284" s="1518"/>
      <c r="AS284" s="1518"/>
      <c r="AT284" s="1518"/>
      <c r="AU284" s="1518"/>
      <c r="AV284" s="1518"/>
      <c r="AW284" s="1518"/>
      <c r="AX284" s="1518"/>
      <c r="AY284" s="1518"/>
      <c r="AZ284" s="1518"/>
      <c r="BA284" s="1518"/>
      <c r="BB284" s="1518"/>
      <c r="BC284" s="1518"/>
      <c r="BD284" s="1518"/>
      <c r="BE284" s="1518"/>
    </row>
    <row r="285" spans="1:57" s="1350" customFormat="1">
      <c r="A285" s="1"/>
      <c r="B285" s="6"/>
      <c r="C285" s="4"/>
      <c r="D285" s="3"/>
      <c r="E285" s="4"/>
      <c r="F285" s="4"/>
      <c r="G285" s="1"/>
      <c r="H285" s="6"/>
      <c r="I285" s="6"/>
      <c r="J285" s="11"/>
      <c r="K285" s="510"/>
      <c r="L285" s="11"/>
      <c r="M285" s="5"/>
      <c r="N285" s="5"/>
      <c r="O285" s="2606"/>
      <c r="P285" s="2608"/>
      <c r="Q285" s="5"/>
      <c r="R285" s="5"/>
      <c r="S285" s="1"/>
      <c r="T285" s="1"/>
      <c r="U285" s="6"/>
      <c r="V285" s="1877"/>
      <c r="W285" s="1877"/>
      <c r="X285" s="1877"/>
      <c r="Y285" s="1877"/>
      <c r="Z285" s="1878"/>
      <c r="AA285" s="1878"/>
      <c r="AB285" s="1877"/>
      <c r="AC285" s="1877"/>
      <c r="AD285" s="1877"/>
      <c r="AE285" s="1911"/>
      <c r="AF285" s="1912"/>
      <c r="AG285" s="1881"/>
      <c r="AH285" s="1913"/>
      <c r="AI285" s="1518"/>
      <c r="AJ285" s="1897"/>
      <c r="AK285" s="1518"/>
      <c r="AL285" s="1518"/>
      <c r="AM285" s="1518"/>
      <c r="AN285" s="1518"/>
      <c r="AO285" s="1518"/>
      <c r="AP285" s="1518"/>
      <c r="AQ285" s="1518"/>
      <c r="AR285" s="1518"/>
      <c r="AS285" s="1518"/>
      <c r="AT285" s="1518"/>
      <c r="AU285" s="1518"/>
      <c r="AV285" s="1518"/>
      <c r="AW285" s="1518"/>
      <c r="AX285" s="1518"/>
      <c r="AY285" s="1518"/>
      <c r="AZ285" s="1518"/>
      <c r="BA285" s="1518"/>
      <c r="BB285" s="1518"/>
      <c r="BC285" s="1518"/>
      <c r="BD285" s="1518"/>
      <c r="BE285" s="1518"/>
    </row>
    <row r="286" spans="1:57" s="1350" customFormat="1">
      <c r="A286" s="1"/>
      <c r="B286" s="6"/>
      <c r="C286" s="4"/>
      <c r="D286" s="3"/>
      <c r="E286" s="4"/>
      <c r="F286" s="4"/>
      <c r="G286" s="1"/>
      <c r="H286" s="6"/>
      <c r="I286" s="6"/>
      <c r="J286" s="11"/>
      <c r="K286" s="510"/>
      <c r="L286" s="11"/>
      <c r="M286" s="5"/>
      <c r="N286" s="5"/>
      <c r="O286" s="2606"/>
      <c r="P286" s="2608"/>
      <c r="Q286" s="5"/>
      <c r="R286" s="5"/>
      <c r="S286" s="1"/>
      <c r="T286" s="1"/>
      <c r="U286" s="6"/>
      <c r="V286" s="1877"/>
      <c r="W286" s="1877"/>
      <c r="X286" s="1877"/>
      <c r="Y286" s="1877"/>
      <c r="Z286" s="1878"/>
      <c r="AA286" s="1878"/>
      <c r="AB286" s="1877"/>
      <c r="AC286" s="1877"/>
      <c r="AD286" s="1877"/>
      <c r="AE286" s="1911"/>
      <c r="AF286" s="1912"/>
      <c r="AG286" s="1881"/>
      <c r="AH286" s="1913"/>
      <c r="AI286" s="1518"/>
      <c r="AJ286" s="1897"/>
      <c r="AK286" s="1518"/>
      <c r="AL286" s="1518"/>
      <c r="AM286" s="1518"/>
      <c r="AN286" s="1518"/>
      <c r="AO286" s="1518"/>
      <c r="AP286" s="1518"/>
      <c r="AQ286" s="1518"/>
      <c r="AR286" s="1518"/>
      <c r="AS286" s="1518"/>
      <c r="AT286" s="1518"/>
      <c r="AU286" s="1518"/>
      <c r="AV286" s="1518"/>
      <c r="AW286" s="1518"/>
      <c r="AX286" s="1518"/>
      <c r="AY286" s="1518"/>
      <c r="AZ286" s="1518"/>
      <c r="BA286" s="1518"/>
      <c r="BB286" s="1518"/>
      <c r="BC286" s="1518"/>
      <c r="BD286" s="1518"/>
      <c r="BE286" s="1518"/>
    </row>
    <row r="287" spans="1:57" s="1350" customFormat="1">
      <c r="A287" s="1"/>
      <c r="B287" s="6"/>
      <c r="C287" s="4"/>
      <c r="D287" s="3"/>
      <c r="E287" s="4"/>
      <c r="F287" s="4"/>
      <c r="G287" s="1"/>
      <c r="H287" s="6"/>
      <c r="I287" s="6"/>
      <c r="J287" s="11"/>
      <c r="K287" s="510"/>
      <c r="L287" s="11"/>
      <c r="M287" s="5"/>
      <c r="N287" s="5"/>
      <c r="O287" s="2606"/>
      <c r="P287" s="2608"/>
      <c r="Q287" s="5"/>
      <c r="R287" s="5"/>
      <c r="S287" s="1"/>
      <c r="T287" s="1"/>
      <c r="U287" s="6"/>
      <c r="V287" s="1877"/>
      <c r="W287" s="1877"/>
      <c r="X287" s="1877"/>
      <c r="Y287" s="1877"/>
      <c r="Z287" s="1878"/>
      <c r="AA287" s="1878"/>
      <c r="AB287" s="1877"/>
      <c r="AC287" s="1877"/>
      <c r="AD287" s="1877"/>
      <c r="AE287" s="1911"/>
      <c r="AF287" s="1912"/>
      <c r="AG287" s="1881"/>
      <c r="AH287" s="1913"/>
      <c r="AI287" s="1518"/>
      <c r="AJ287" s="1897"/>
      <c r="AK287" s="1518"/>
      <c r="AL287" s="1518"/>
      <c r="AM287" s="1518"/>
      <c r="AN287" s="1518"/>
      <c r="AO287" s="1518"/>
      <c r="AP287" s="1518"/>
      <c r="AQ287" s="1518"/>
      <c r="AR287" s="1518"/>
      <c r="AS287" s="1518"/>
      <c r="AT287" s="1518"/>
      <c r="AU287" s="1518"/>
      <c r="AV287" s="1518"/>
      <c r="AW287" s="1518"/>
      <c r="AX287" s="1518"/>
      <c r="AY287" s="1518"/>
      <c r="AZ287" s="1518"/>
      <c r="BA287" s="1518"/>
      <c r="BB287" s="1518"/>
      <c r="BC287" s="1518"/>
      <c r="BD287" s="1518"/>
      <c r="BE287" s="1518"/>
    </row>
    <row r="288" spans="1:57" s="1350" customFormat="1">
      <c r="A288" s="1"/>
      <c r="B288" s="6"/>
      <c r="C288" s="4"/>
      <c r="D288" s="3"/>
      <c r="E288" s="4"/>
      <c r="F288" s="4"/>
      <c r="G288" s="1"/>
      <c r="H288" s="6"/>
      <c r="I288" s="6"/>
      <c r="J288" s="11"/>
      <c r="K288" s="510"/>
      <c r="L288" s="11"/>
      <c r="M288" s="5"/>
      <c r="N288" s="5"/>
      <c r="O288" s="2606"/>
      <c r="P288" s="2608"/>
      <c r="Q288" s="5"/>
      <c r="R288" s="5"/>
      <c r="S288" s="1"/>
      <c r="T288" s="1"/>
      <c r="U288" s="6"/>
      <c r="V288" s="1877"/>
      <c r="W288" s="1877"/>
      <c r="X288" s="1877"/>
      <c r="Y288" s="1877"/>
      <c r="Z288" s="1878"/>
      <c r="AA288" s="1878"/>
      <c r="AB288" s="1877"/>
      <c r="AC288" s="1877"/>
      <c r="AD288" s="1877"/>
      <c r="AE288" s="1911"/>
      <c r="AF288" s="1912"/>
      <c r="AG288" s="1881"/>
      <c r="AH288" s="1913"/>
      <c r="AI288" s="1518"/>
      <c r="AJ288" s="1897"/>
      <c r="AK288" s="1518"/>
      <c r="AL288" s="1518"/>
      <c r="AM288" s="1518"/>
      <c r="AN288" s="1518"/>
      <c r="AO288" s="1518"/>
      <c r="AP288" s="1518"/>
      <c r="AQ288" s="1518"/>
      <c r="AR288" s="1518"/>
      <c r="AS288" s="1518"/>
      <c r="AT288" s="1518"/>
      <c r="AU288" s="1518"/>
      <c r="AV288" s="1518"/>
      <c r="AW288" s="1518"/>
      <c r="AX288" s="1518"/>
      <c r="AY288" s="1518"/>
      <c r="AZ288" s="1518"/>
      <c r="BA288" s="1518"/>
      <c r="BB288" s="1518"/>
      <c r="BC288" s="1518"/>
      <c r="BD288" s="1518"/>
      <c r="BE288" s="1518"/>
    </row>
    <row r="289" spans="1:57" s="1350" customFormat="1">
      <c r="A289" s="1"/>
      <c r="B289" s="6"/>
      <c r="C289" s="4"/>
      <c r="D289" s="3"/>
      <c r="E289" s="4"/>
      <c r="F289" s="4"/>
      <c r="G289" s="1"/>
      <c r="H289" s="6"/>
      <c r="I289" s="6"/>
      <c r="J289" s="11"/>
      <c r="K289" s="510"/>
      <c r="L289" s="11"/>
      <c r="M289" s="5"/>
      <c r="N289" s="5"/>
      <c r="O289" s="2606"/>
      <c r="P289" s="2608"/>
      <c r="Q289" s="5"/>
      <c r="R289" s="5"/>
      <c r="S289" s="1"/>
      <c r="T289" s="1"/>
      <c r="U289" s="6"/>
      <c r="V289" s="1877"/>
      <c r="W289" s="1877"/>
      <c r="X289" s="1877"/>
      <c r="Y289" s="1877"/>
      <c r="Z289" s="1878"/>
      <c r="AA289" s="1878"/>
      <c r="AB289" s="1877"/>
      <c r="AC289" s="1877"/>
      <c r="AD289" s="1877"/>
      <c r="AE289" s="1911"/>
      <c r="AF289" s="1912"/>
      <c r="AG289" s="1881"/>
      <c r="AH289" s="1913"/>
      <c r="AI289" s="1518"/>
      <c r="AJ289" s="1897"/>
      <c r="AK289" s="1518"/>
      <c r="AL289" s="1518"/>
      <c r="AM289" s="1518"/>
      <c r="AN289" s="1518"/>
      <c r="AO289" s="1518"/>
      <c r="AP289" s="1518"/>
      <c r="AQ289" s="1518"/>
      <c r="AR289" s="1518"/>
      <c r="AS289" s="1518"/>
      <c r="AT289" s="1518"/>
      <c r="AU289" s="1518"/>
      <c r="AV289" s="1518"/>
      <c r="AW289" s="1518"/>
      <c r="AX289" s="1518"/>
      <c r="AY289" s="1518"/>
      <c r="AZ289" s="1518"/>
      <c r="BA289" s="1518"/>
      <c r="BB289" s="1518"/>
      <c r="BC289" s="1518"/>
      <c r="BD289" s="1518"/>
      <c r="BE289" s="1518"/>
    </row>
    <row r="290" spans="1:57" s="1350" customFormat="1">
      <c r="A290" s="1"/>
      <c r="B290" s="6"/>
      <c r="C290" s="4"/>
      <c r="D290" s="3"/>
      <c r="E290" s="4"/>
      <c r="F290" s="4"/>
      <c r="G290" s="1"/>
      <c r="H290" s="6"/>
      <c r="I290" s="6"/>
      <c r="J290" s="11"/>
      <c r="K290" s="510"/>
      <c r="L290" s="11"/>
      <c r="M290" s="5"/>
      <c r="N290" s="5"/>
      <c r="O290" s="2606"/>
      <c r="P290" s="2608"/>
      <c r="Q290" s="5"/>
      <c r="R290" s="5"/>
      <c r="S290" s="1"/>
      <c r="T290" s="1"/>
      <c r="U290" s="6"/>
      <c r="V290" s="1877"/>
      <c r="W290" s="1877"/>
      <c r="X290" s="1877"/>
      <c r="Y290" s="1877"/>
      <c r="Z290" s="1878"/>
      <c r="AA290" s="1878"/>
      <c r="AB290" s="1877"/>
      <c r="AC290" s="1877"/>
      <c r="AD290" s="1877"/>
      <c r="AE290" s="1911"/>
      <c r="AF290" s="1912"/>
      <c r="AG290" s="1881"/>
      <c r="AH290" s="1913"/>
      <c r="AI290" s="1518"/>
      <c r="AJ290" s="1897"/>
      <c r="AK290" s="1518"/>
      <c r="AL290" s="1518"/>
      <c r="AM290" s="1518"/>
      <c r="AN290" s="1518"/>
      <c r="AO290" s="1518"/>
      <c r="AP290" s="1518"/>
      <c r="AQ290" s="1518"/>
      <c r="AR290" s="1518"/>
      <c r="AS290" s="1518"/>
      <c r="AT290" s="1518"/>
      <c r="AU290" s="1518"/>
      <c r="AV290" s="1518"/>
      <c r="AW290" s="1518"/>
      <c r="AX290" s="1518"/>
      <c r="AY290" s="1518"/>
      <c r="AZ290" s="1518"/>
      <c r="BA290" s="1518"/>
      <c r="BB290" s="1518"/>
      <c r="BC290" s="1518"/>
      <c r="BD290" s="1518"/>
      <c r="BE290" s="1518"/>
    </row>
    <row r="291" spans="1:57" s="1350" customFormat="1">
      <c r="A291" s="1"/>
      <c r="B291" s="6"/>
      <c r="C291" s="4"/>
      <c r="D291" s="3"/>
      <c r="E291" s="4"/>
      <c r="F291" s="4"/>
      <c r="G291" s="1"/>
      <c r="H291" s="6"/>
      <c r="I291" s="6"/>
      <c r="J291" s="11"/>
      <c r="K291" s="510"/>
      <c r="L291" s="11"/>
      <c r="M291" s="5"/>
      <c r="N291" s="5"/>
      <c r="O291" s="2606"/>
      <c r="P291" s="2608"/>
      <c r="Q291" s="5"/>
      <c r="R291" s="5"/>
      <c r="S291" s="1"/>
      <c r="T291" s="1"/>
      <c r="U291" s="6"/>
      <c r="V291" s="1877"/>
      <c r="W291" s="1877"/>
      <c r="X291" s="1877"/>
      <c r="Y291" s="1877"/>
      <c r="Z291" s="1878"/>
      <c r="AA291" s="1878"/>
      <c r="AB291" s="1877"/>
      <c r="AC291" s="1877"/>
      <c r="AD291" s="1877"/>
      <c r="AE291" s="1911"/>
      <c r="AF291" s="1912"/>
      <c r="AG291" s="1881"/>
      <c r="AH291" s="1913"/>
      <c r="AI291" s="1518"/>
      <c r="AJ291" s="1897"/>
      <c r="AK291" s="1518"/>
      <c r="AL291" s="1518"/>
      <c r="AM291" s="1518"/>
      <c r="AN291" s="1518"/>
      <c r="AO291" s="1518"/>
      <c r="AP291" s="1518"/>
      <c r="AQ291" s="1518"/>
      <c r="AR291" s="1518"/>
      <c r="AS291" s="1518"/>
      <c r="AT291" s="1518"/>
      <c r="AU291" s="1518"/>
      <c r="AV291" s="1518"/>
      <c r="AW291" s="1518"/>
      <c r="AX291" s="1518"/>
      <c r="AY291" s="1518"/>
      <c r="AZ291" s="1518"/>
      <c r="BA291" s="1518"/>
      <c r="BB291" s="1518"/>
      <c r="BC291" s="1518"/>
      <c r="BD291" s="1518"/>
      <c r="BE291" s="1518"/>
    </row>
    <row r="292" spans="1:57" s="1350" customFormat="1">
      <c r="A292" s="1"/>
      <c r="B292" s="6"/>
      <c r="C292" s="4"/>
      <c r="D292" s="3"/>
      <c r="E292" s="4"/>
      <c r="F292" s="4"/>
      <c r="G292" s="1"/>
      <c r="H292" s="6"/>
      <c r="I292" s="6"/>
      <c r="J292" s="11"/>
      <c r="K292" s="510"/>
      <c r="L292" s="11"/>
      <c r="M292" s="5"/>
      <c r="N292" s="5"/>
      <c r="O292" s="2606"/>
      <c r="P292" s="2608"/>
      <c r="Q292" s="5"/>
      <c r="R292" s="5"/>
      <c r="S292" s="1"/>
      <c r="T292" s="1"/>
      <c r="U292" s="6"/>
      <c r="V292" s="1877"/>
      <c r="W292" s="1877"/>
      <c r="X292" s="1877"/>
      <c r="Y292" s="1877"/>
      <c r="Z292" s="1878"/>
      <c r="AA292" s="1878"/>
      <c r="AB292" s="1877"/>
      <c r="AC292" s="1877"/>
      <c r="AD292" s="1877"/>
      <c r="AE292" s="1911"/>
      <c r="AF292" s="1912"/>
      <c r="AG292" s="1881"/>
      <c r="AH292" s="1913"/>
      <c r="AI292" s="1518"/>
      <c r="AJ292" s="1897"/>
      <c r="AK292" s="1518"/>
      <c r="AL292" s="1518"/>
      <c r="AM292" s="1518"/>
      <c r="AN292" s="1518"/>
      <c r="AO292" s="1518"/>
      <c r="AP292" s="1518"/>
      <c r="AQ292" s="1518"/>
      <c r="AR292" s="1518"/>
      <c r="AS292" s="1518"/>
      <c r="AT292" s="1518"/>
      <c r="AU292" s="1518"/>
      <c r="AV292" s="1518"/>
      <c r="AW292" s="1518"/>
      <c r="AX292" s="1518"/>
      <c r="AY292" s="1518"/>
      <c r="AZ292" s="1518"/>
      <c r="BA292" s="1518"/>
      <c r="BB292" s="1518"/>
      <c r="BC292" s="1518"/>
      <c r="BD292" s="1518"/>
      <c r="BE292" s="1518"/>
    </row>
    <row r="293" spans="1:57" s="1350" customFormat="1">
      <c r="A293" s="1"/>
      <c r="B293" s="6"/>
      <c r="C293" s="4"/>
      <c r="D293" s="3"/>
      <c r="E293" s="4"/>
      <c r="F293" s="4"/>
      <c r="G293" s="1"/>
      <c r="H293" s="6"/>
      <c r="I293" s="6"/>
      <c r="J293" s="11"/>
      <c r="K293" s="510"/>
      <c r="L293" s="11"/>
      <c r="M293" s="5"/>
      <c r="N293" s="5"/>
      <c r="O293" s="2606"/>
      <c r="P293" s="2608"/>
      <c r="Q293" s="5"/>
      <c r="R293" s="5"/>
      <c r="S293" s="1"/>
      <c r="T293" s="1"/>
      <c r="U293" s="6"/>
      <c r="V293" s="1877"/>
      <c r="W293" s="1877"/>
      <c r="X293" s="1877"/>
      <c r="Y293" s="1877"/>
      <c r="Z293" s="1878"/>
      <c r="AA293" s="1878"/>
      <c r="AB293" s="1877"/>
      <c r="AC293" s="1877"/>
      <c r="AD293" s="1877"/>
      <c r="AE293" s="1911"/>
      <c r="AF293" s="1912"/>
      <c r="AG293" s="1881"/>
      <c r="AH293" s="1913"/>
      <c r="AI293" s="1518"/>
      <c r="AJ293" s="1897"/>
      <c r="AK293" s="1518"/>
      <c r="AL293" s="1518"/>
      <c r="AM293" s="1518"/>
      <c r="AN293" s="1518"/>
      <c r="AO293" s="1518"/>
      <c r="AP293" s="1518"/>
      <c r="AQ293" s="1518"/>
      <c r="AR293" s="1518"/>
      <c r="AS293" s="1518"/>
      <c r="AT293" s="1518"/>
      <c r="AU293" s="1518"/>
      <c r="AV293" s="1518"/>
      <c r="AW293" s="1518"/>
      <c r="AX293" s="1518"/>
      <c r="AY293" s="1518"/>
      <c r="AZ293" s="1518"/>
      <c r="BA293" s="1518"/>
      <c r="BB293" s="1518"/>
      <c r="BC293" s="1518"/>
      <c r="BD293" s="1518"/>
      <c r="BE293" s="1518"/>
    </row>
    <row r="294" spans="1:57" s="1350" customFormat="1">
      <c r="A294" s="1"/>
      <c r="B294" s="6"/>
      <c r="C294" s="4"/>
      <c r="D294" s="3"/>
      <c r="E294" s="4"/>
      <c r="F294" s="4"/>
      <c r="G294" s="1"/>
      <c r="H294" s="6"/>
      <c r="I294" s="6"/>
      <c r="J294" s="11"/>
      <c r="K294" s="510"/>
      <c r="L294" s="11"/>
      <c r="M294" s="5"/>
      <c r="N294" s="5"/>
      <c r="O294" s="2606"/>
      <c r="P294" s="2608"/>
      <c r="Q294" s="5"/>
      <c r="R294" s="5"/>
      <c r="S294" s="1"/>
      <c r="T294" s="1"/>
      <c r="U294" s="6"/>
      <c r="V294" s="1877"/>
      <c r="W294" s="1877"/>
      <c r="X294" s="1877"/>
      <c r="Y294" s="1877"/>
      <c r="Z294" s="1878"/>
      <c r="AA294" s="1878"/>
      <c r="AB294" s="1877"/>
      <c r="AC294" s="1877"/>
      <c r="AD294" s="1877"/>
      <c r="AE294" s="1911"/>
      <c r="AF294" s="1912"/>
      <c r="AG294" s="1881"/>
      <c r="AH294" s="1913"/>
      <c r="AI294" s="1518"/>
      <c r="AJ294" s="1897"/>
      <c r="AK294" s="1518"/>
      <c r="AL294" s="1518"/>
      <c r="AM294" s="1518"/>
      <c r="AN294" s="1518"/>
      <c r="AO294" s="1518"/>
      <c r="AP294" s="1518"/>
      <c r="AQ294" s="1518"/>
      <c r="AR294" s="1518"/>
      <c r="AS294" s="1518"/>
      <c r="AT294" s="1518"/>
      <c r="AU294" s="1518"/>
      <c r="AV294" s="1518"/>
      <c r="AW294" s="1518"/>
      <c r="AX294" s="1518"/>
      <c r="AY294" s="1518"/>
      <c r="AZ294" s="1518"/>
      <c r="BA294" s="1518"/>
      <c r="BB294" s="1518"/>
      <c r="BC294" s="1518"/>
      <c r="BD294" s="1518"/>
      <c r="BE294" s="1518"/>
    </row>
    <row r="295" spans="1:57" s="1350" customFormat="1">
      <c r="A295" s="1"/>
      <c r="B295" s="6"/>
      <c r="C295" s="4"/>
      <c r="D295" s="3"/>
      <c r="E295" s="4"/>
      <c r="F295" s="4"/>
      <c r="G295" s="1"/>
      <c r="H295" s="6"/>
      <c r="I295" s="6"/>
      <c r="J295" s="11"/>
      <c r="K295" s="510"/>
      <c r="L295" s="11"/>
      <c r="M295" s="5"/>
      <c r="N295" s="5"/>
      <c r="O295" s="2606"/>
      <c r="P295" s="2608"/>
      <c r="Q295" s="5"/>
      <c r="R295" s="5"/>
      <c r="S295" s="1"/>
      <c r="T295" s="1"/>
      <c r="U295" s="6"/>
      <c r="V295" s="1877"/>
      <c r="W295" s="1877"/>
      <c r="X295" s="1877"/>
      <c r="Y295" s="1877"/>
      <c r="Z295" s="1878"/>
      <c r="AA295" s="1878"/>
      <c r="AB295" s="1877"/>
      <c r="AC295" s="1877"/>
      <c r="AD295" s="1877"/>
      <c r="AE295" s="1911"/>
      <c r="AF295" s="1912"/>
      <c r="AG295" s="1881"/>
      <c r="AH295" s="1913"/>
      <c r="AI295" s="1518"/>
      <c r="AJ295" s="1897"/>
      <c r="AK295" s="1518"/>
      <c r="AL295" s="1518"/>
      <c r="AM295" s="1518"/>
      <c r="AN295" s="1518"/>
      <c r="AO295" s="1518"/>
      <c r="AP295" s="1518"/>
      <c r="AQ295" s="1518"/>
      <c r="AR295" s="1518"/>
      <c r="AS295" s="1518"/>
      <c r="AT295" s="1518"/>
      <c r="AU295" s="1518"/>
      <c r="AV295" s="1518"/>
      <c r="AW295" s="1518"/>
      <c r="AX295" s="1518"/>
      <c r="AY295" s="1518"/>
      <c r="AZ295" s="1518"/>
      <c r="BA295" s="1518"/>
      <c r="BB295" s="1518"/>
      <c r="BC295" s="1518"/>
      <c r="BD295" s="1518"/>
      <c r="BE295" s="1518"/>
    </row>
    <row r="296" spans="1:57" s="1350" customFormat="1">
      <c r="A296" s="1"/>
      <c r="B296" s="6"/>
      <c r="C296" s="4"/>
      <c r="D296" s="3"/>
      <c r="E296" s="4"/>
      <c r="F296" s="4"/>
      <c r="G296" s="1"/>
      <c r="H296" s="6"/>
      <c r="I296" s="6"/>
      <c r="J296" s="11"/>
      <c r="K296" s="510"/>
      <c r="L296" s="11"/>
      <c r="M296" s="5"/>
      <c r="N296" s="5"/>
      <c r="O296" s="2606"/>
      <c r="P296" s="2608"/>
      <c r="Q296" s="5"/>
      <c r="R296" s="5"/>
      <c r="S296" s="1"/>
      <c r="T296" s="1"/>
      <c r="U296" s="6"/>
      <c r="V296" s="1877"/>
      <c r="W296" s="1877"/>
      <c r="X296" s="1877"/>
      <c r="Y296" s="1877"/>
      <c r="Z296" s="1878"/>
      <c r="AA296" s="1878"/>
      <c r="AB296" s="1877"/>
      <c r="AC296" s="1877"/>
      <c r="AD296" s="1877"/>
      <c r="AE296" s="1911"/>
      <c r="AF296" s="1912"/>
      <c r="AG296" s="1881"/>
      <c r="AH296" s="1913"/>
      <c r="AI296" s="1518"/>
      <c r="AJ296" s="1897"/>
      <c r="AK296" s="1518"/>
      <c r="AL296" s="1518"/>
      <c r="AM296" s="1518"/>
      <c r="AN296" s="1518"/>
      <c r="AO296" s="1518"/>
      <c r="AP296" s="1518"/>
      <c r="AQ296" s="1518"/>
      <c r="AR296" s="1518"/>
      <c r="AS296" s="1518"/>
      <c r="AT296" s="1518"/>
      <c r="AU296" s="1518"/>
      <c r="AV296" s="1518"/>
      <c r="AW296" s="1518"/>
      <c r="AX296" s="1518"/>
      <c r="AY296" s="1518"/>
      <c r="AZ296" s="1518"/>
      <c r="BA296" s="1518"/>
      <c r="BB296" s="1518"/>
      <c r="BC296" s="1518"/>
      <c r="BD296" s="1518"/>
      <c r="BE296" s="1518"/>
    </row>
    <row r="297" spans="1:57" s="1350" customFormat="1">
      <c r="A297" s="1"/>
      <c r="B297" s="6"/>
      <c r="C297" s="4"/>
      <c r="D297" s="3"/>
      <c r="E297" s="4"/>
      <c r="F297" s="4"/>
      <c r="G297" s="1"/>
      <c r="H297" s="6"/>
      <c r="I297" s="6"/>
      <c r="J297" s="11"/>
      <c r="K297" s="510"/>
      <c r="L297" s="11"/>
      <c r="M297" s="5"/>
      <c r="N297" s="5"/>
      <c r="O297" s="2606"/>
      <c r="P297" s="2608"/>
      <c r="Q297" s="5"/>
      <c r="R297" s="5"/>
      <c r="S297" s="1"/>
      <c r="T297" s="1"/>
      <c r="U297" s="6"/>
      <c r="V297" s="1877"/>
      <c r="W297" s="1877"/>
      <c r="X297" s="1877"/>
      <c r="Y297" s="1877"/>
      <c r="Z297" s="1878"/>
      <c r="AA297" s="1878"/>
      <c r="AB297" s="1877"/>
      <c r="AC297" s="1877"/>
      <c r="AD297" s="1877"/>
      <c r="AE297" s="1911"/>
      <c r="AF297" s="1912"/>
      <c r="AG297" s="1881"/>
      <c r="AH297" s="1913"/>
      <c r="AI297" s="1518"/>
      <c r="AJ297" s="1897"/>
      <c r="AK297" s="1518"/>
      <c r="AL297" s="1518"/>
      <c r="AM297" s="1518"/>
      <c r="AN297" s="1518"/>
      <c r="AO297" s="1518"/>
      <c r="AP297" s="1518"/>
      <c r="AQ297" s="1518"/>
      <c r="AR297" s="1518"/>
      <c r="AS297" s="1518"/>
      <c r="AT297" s="1518"/>
      <c r="AU297" s="1518"/>
      <c r="AV297" s="1518"/>
      <c r="AW297" s="1518"/>
      <c r="AX297" s="1518"/>
      <c r="AY297" s="1518"/>
      <c r="AZ297" s="1518"/>
      <c r="BA297" s="1518"/>
      <c r="BB297" s="1518"/>
      <c r="BC297" s="1518"/>
      <c r="BD297" s="1518"/>
      <c r="BE297" s="1518"/>
    </row>
    <row r="298" spans="1:57" s="1350" customFormat="1">
      <c r="A298" s="1"/>
      <c r="B298" s="6"/>
      <c r="C298" s="4"/>
      <c r="D298" s="3"/>
      <c r="E298" s="4"/>
      <c r="F298" s="4"/>
      <c r="G298" s="1"/>
      <c r="H298" s="6"/>
      <c r="I298" s="6"/>
      <c r="J298" s="11"/>
      <c r="K298" s="510"/>
      <c r="L298" s="11"/>
      <c r="M298" s="5"/>
      <c r="N298" s="5"/>
      <c r="O298" s="2606"/>
      <c r="P298" s="2608"/>
      <c r="Q298" s="5"/>
      <c r="R298" s="5"/>
      <c r="S298" s="1"/>
      <c r="T298" s="1"/>
      <c r="U298" s="6"/>
      <c r="V298" s="1877"/>
      <c r="W298" s="1877"/>
      <c r="X298" s="1877"/>
      <c r="Y298" s="1877"/>
      <c r="Z298" s="1878"/>
      <c r="AA298" s="1878"/>
      <c r="AB298" s="1877"/>
      <c r="AC298" s="1877"/>
      <c r="AD298" s="1877"/>
      <c r="AE298" s="1911"/>
      <c r="AF298" s="1912"/>
      <c r="AG298" s="1881"/>
      <c r="AH298" s="1913"/>
      <c r="AI298" s="1518"/>
      <c r="AJ298" s="1897"/>
      <c r="AK298" s="1518"/>
      <c r="AL298" s="1518"/>
      <c r="AM298" s="1518"/>
      <c r="AN298" s="1518"/>
      <c r="AO298" s="1518"/>
      <c r="AP298" s="1518"/>
      <c r="AQ298" s="1518"/>
      <c r="AR298" s="1518"/>
      <c r="AS298" s="1518"/>
      <c r="AT298" s="1518"/>
      <c r="AU298" s="1518"/>
      <c r="AV298" s="1518"/>
      <c r="AW298" s="1518"/>
      <c r="AX298" s="1518"/>
      <c r="AY298" s="1518"/>
      <c r="AZ298" s="1518"/>
      <c r="BA298" s="1518"/>
      <c r="BB298" s="1518"/>
      <c r="BC298" s="1518"/>
      <c r="BD298" s="1518"/>
      <c r="BE298" s="1518"/>
    </row>
    <row r="299" spans="1:57" s="1350" customFormat="1">
      <c r="A299" s="1"/>
      <c r="B299" s="6"/>
      <c r="C299" s="4"/>
      <c r="D299" s="3"/>
      <c r="E299" s="4"/>
      <c r="F299" s="4"/>
      <c r="G299" s="1"/>
      <c r="H299" s="6"/>
      <c r="I299" s="6"/>
      <c r="J299" s="11"/>
      <c r="K299" s="510"/>
      <c r="L299" s="11"/>
      <c r="M299" s="5"/>
      <c r="N299" s="5"/>
      <c r="O299" s="2606"/>
      <c r="P299" s="2608"/>
      <c r="Q299" s="5"/>
      <c r="R299" s="5"/>
      <c r="S299" s="1"/>
      <c r="T299" s="1"/>
      <c r="U299" s="6"/>
      <c r="V299" s="1877"/>
      <c r="W299" s="1877"/>
      <c r="X299" s="1877"/>
      <c r="Y299" s="1877"/>
      <c r="Z299" s="1878"/>
      <c r="AA299" s="1878"/>
      <c r="AB299" s="1877"/>
      <c r="AC299" s="1877"/>
      <c r="AD299" s="1877"/>
      <c r="AE299" s="1911"/>
      <c r="AF299" s="1912"/>
      <c r="AG299" s="1881"/>
      <c r="AH299" s="1913"/>
      <c r="AI299" s="1518"/>
      <c r="AJ299" s="1897"/>
      <c r="AK299" s="1518"/>
      <c r="AL299" s="1518"/>
      <c r="AM299" s="1518"/>
      <c r="AN299" s="1518"/>
      <c r="AO299" s="1518"/>
      <c r="AP299" s="1518"/>
      <c r="AQ299" s="1518"/>
      <c r="AR299" s="1518"/>
      <c r="AS299" s="1518"/>
      <c r="AT299" s="1518"/>
      <c r="AU299" s="1518"/>
      <c r="AV299" s="1518"/>
      <c r="AW299" s="1518"/>
      <c r="AX299" s="1518"/>
      <c r="AY299" s="1518"/>
      <c r="AZ299" s="1518"/>
      <c r="BA299" s="1518"/>
      <c r="BB299" s="1518"/>
      <c r="BC299" s="1518"/>
      <c r="BD299" s="1518"/>
      <c r="BE299" s="1518"/>
    </row>
    <row r="300" spans="1:57" s="1350" customFormat="1">
      <c r="A300" s="1"/>
      <c r="B300" s="6"/>
      <c r="C300" s="4"/>
      <c r="D300" s="3"/>
      <c r="E300" s="4"/>
      <c r="F300" s="4"/>
      <c r="G300" s="1"/>
      <c r="H300" s="6"/>
      <c r="I300" s="6"/>
      <c r="J300" s="11"/>
      <c r="K300" s="510"/>
      <c r="L300" s="11"/>
      <c r="M300" s="5"/>
      <c r="N300" s="5"/>
      <c r="O300" s="2606"/>
      <c r="P300" s="2608"/>
      <c r="Q300" s="5"/>
      <c r="R300" s="5"/>
      <c r="S300" s="1"/>
      <c r="T300" s="1"/>
      <c r="U300" s="6"/>
      <c r="V300" s="1877"/>
      <c r="W300" s="1877"/>
      <c r="X300" s="1877"/>
      <c r="Y300" s="1877"/>
      <c r="Z300" s="1878"/>
      <c r="AA300" s="1878"/>
      <c r="AB300" s="1877"/>
      <c r="AC300" s="1877"/>
      <c r="AD300" s="1877"/>
      <c r="AE300" s="1911"/>
      <c r="AF300" s="1912"/>
      <c r="AG300" s="1881"/>
      <c r="AH300" s="1913"/>
      <c r="AI300" s="1518"/>
      <c r="AJ300" s="1897"/>
      <c r="AK300" s="1518"/>
      <c r="AL300" s="1518"/>
      <c r="AM300" s="1518"/>
      <c r="AN300" s="1518"/>
      <c r="AO300" s="1518"/>
      <c r="AP300" s="1518"/>
      <c r="AQ300" s="1518"/>
      <c r="AR300" s="1518"/>
      <c r="AS300" s="1518"/>
      <c r="AT300" s="1518"/>
      <c r="AU300" s="1518"/>
      <c r="AV300" s="1518"/>
      <c r="AW300" s="1518"/>
      <c r="AX300" s="1518"/>
      <c r="AY300" s="1518"/>
      <c r="AZ300" s="1518"/>
      <c r="BA300" s="1518"/>
      <c r="BB300" s="1518"/>
      <c r="BC300" s="1518"/>
      <c r="BD300" s="1518"/>
      <c r="BE300" s="1518"/>
    </row>
    <row r="301" spans="1:57" s="1350" customFormat="1">
      <c r="A301" s="1"/>
      <c r="B301" s="6"/>
      <c r="C301" s="4"/>
      <c r="D301" s="3"/>
      <c r="E301" s="4"/>
      <c r="F301" s="4"/>
      <c r="G301" s="1"/>
      <c r="H301" s="6"/>
      <c r="I301" s="6"/>
      <c r="J301" s="11"/>
      <c r="K301" s="510"/>
      <c r="L301" s="11"/>
      <c r="M301" s="5"/>
      <c r="N301" s="5"/>
      <c r="O301" s="2606"/>
      <c r="P301" s="2608"/>
      <c r="Q301" s="5"/>
      <c r="R301" s="5"/>
      <c r="S301" s="1"/>
      <c r="T301" s="1"/>
      <c r="U301" s="6"/>
      <c r="V301" s="1877"/>
      <c r="W301" s="1877"/>
      <c r="X301" s="1877"/>
      <c r="Y301" s="1877"/>
      <c r="Z301" s="1878"/>
      <c r="AA301" s="1878"/>
      <c r="AB301" s="1877"/>
      <c r="AC301" s="1877"/>
      <c r="AD301" s="1877"/>
      <c r="AE301" s="1911"/>
      <c r="AF301" s="1912"/>
      <c r="AG301" s="1881"/>
      <c r="AH301" s="1913"/>
      <c r="AI301" s="1518"/>
      <c r="AJ301" s="1897"/>
      <c r="AK301" s="1518"/>
      <c r="AL301" s="1518"/>
      <c r="AM301" s="1518"/>
      <c r="AN301" s="1518"/>
      <c r="AO301" s="1518"/>
      <c r="AP301" s="1518"/>
      <c r="AQ301" s="1518"/>
      <c r="AR301" s="1518"/>
      <c r="AS301" s="1518"/>
      <c r="AT301" s="1518"/>
      <c r="AU301" s="1518"/>
      <c r="AV301" s="1518"/>
      <c r="AW301" s="1518"/>
      <c r="AX301" s="1518"/>
      <c r="AY301" s="1518"/>
      <c r="AZ301" s="1518"/>
      <c r="BA301" s="1518"/>
      <c r="BB301" s="1518"/>
      <c r="BC301" s="1518"/>
      <c r="BD301" s="1518"/>
      <c r="BE301" s="1518"/>
    </row>
    <row r="302" spans="1:57" s="1350" customFormat="1">
      <c r="A302" s="1"/>
      <c r="B302" s="6"/>
      <c r="C302" s="4"/>
      <c r="D302" s="3"/>
      <c r="E302" s="4"/>
      <c r="F302" s="4"/>
      <c r="G302" s="1"/>
      <c r="H302" s="6"/>
      <c r="I302" s="6"/>
      <c r="J302" s="11"/>
      <c r="K302" s="510"/>
      <c r="L302" s="11"/>
      <c r="M302" s="5"/>
      <c r="N302" s="5"/>
      <c r="O302" s="2606"/>
      <c r="P302" s="2608"/>
      <c r="Q302" s="5"/>
      <c r="R302" s="5"/>
      <c r="S302" s="1"/>
      <c r="T302" s="1"/>
      <c r="U302" s="6"/>
      <c r="V302" s="1877"/>
      <c r="W302" s="1877"/>
      <c r="X302" s="1877"/>
      <c r="Y302" s="1877"/>
      <c r="Z302" s="1878"/>
      <c r="AA302" s="1878"/>
      <c r="AB302" s="1877"/>
      <c r="AC302" s="1877"/>
      <c r="AD302" s="1877"/>
      <c r="AE302" s="1911"/>
      <c r="AF302" s="1912"/>
      <c r="AG302" s="1881"/>
      <c r="AH302" s="1913"/>
      <c r="AI302" s="1518"/>
      <c r="AJ302" s="1897"/>
      <c r="AK302" s="1518"/>
      <c r="AL302" s="1518"/>
      <c r="AM302" s="1518"/>
      <c r="AN302" s="1518"/>
      <c r="AO302" s="1518"/>
      <c r="AP302" s="1518"/>
      <c r="AQ302" s="1518"/>
      <c r="AR302" s="1518"/>
      <c r="AS302" s="1518"/>
      <c r="AT302" s="1518"/>
      <c r="AU302" s="1518"/>
      <c r="AV302" s="1518"/>
      <c r="AW302" s="1518"/>
      <c r="AX302" s="1518"/>
      <c r="AY302" s="1518"/>
      <c r="AZ302" s="1518"/>
      <c r="BA302" s="1518"/>
      <c r="BB302" s="1518"/>
      <c r="BC302" s="1518"/>
      <c r="BD302" s="1518"/>
      <c r="BE302" s="1518"/>
    </row>
    <row r="303" spans="1:57" s="1350" customFormat="1">
      <c r="A303" s="1"/>
      <c r="B303" s="6"/>
      <c r="C303" s="4"/>
      <c r="D303" s="3"/>
      <c r="E303" s="4"/>
      <c r="F303" s="4"/>
      <c r="G303" s="1"/>
      <c r="H303" s="6"/>
      <c r="I303" s="6"/>
      <c r="J303" s="11"/>
      <c r="K303" s="510"/>
      <c r="L303" s="11"/>
      <c r="M303" s="5"/>
      <c r="N303" s="5"/>
      <c r="O303" s="2606"/>
      <c r="P303" s="2608"/>
      <c r="Q303" s="5"/>
      <c r="R303" s="5"/>
      <c r="S303" s="1"/>
      <c r="T303" s="1"/>
      <c r="U303" s="6"/>
      <c r="V303" s="1877"/>
      <c r="W303" s="1877"/>
      <c r="X303" s="1877"/>
      <c r="Y303" s="1877"/>
      <c r="Z303" s="1878"/>
      <c r="AA303" s="1878"/>
      <c r="AB303" s="1877"/>
      <c r="AC303" s="1877"/>
      <c r="AD303" s="1877"/>
      <c r="AE303" s="1911"/>
      <c r="AF303" s="1912"/>
      <c r="AG303" s="1881"/>
      <c r="AH303" s="1913"/>
      <c r="AI303" s="1518"/>
      <c r="AJ303" s="1897"/>
      <c r="AK303" s="1518"/>
      <c r="AL303" s="1518"/>
      <c r="AM303" s="1518"/>
      <c r="AN303" s="1518"/>
      <c r="AO303" s="1518"/>
      <c r="AP303" s="1518"/>
      <c r="AQ303" s="1518"/>
      <c r="AR303" s="1518"/>
      <c r="AS303" s="1518"/>
      <c r="AT303" s="1518"/>
      <c r="AU303" s="1518"/>
      <c r="AV303" s="1518"/>
      <c r="AW303" s="1518"/>
      <c r="AX303" s="1518"/>
      <c r="AY303" s="1518"/>
      <c r="AZ303" s="1518"/>
      <c r="BA303" s="1518"/>
      <c r="BB303" s="1518"/>
      <c r="BC303" s="1518"/>
      <c r="BD303" s="1518"/>
      <c r="BE303" s="1518"/>
    </row>
    <row r="304" spans="1:57" s="1350" customFormat="1">
      <c r="A304" s="1"/>
      <c r="B304" s="6"/>
      <c r="C304" s="4"/>
      <c r="D304" s="3"/>
      <c r="E304" s="4"/>
      <c r="F304" s="4"/>
      <c r="G304" s="1"/>
      <c r="H304" s="6"/>
      <c r="I304" s="6"/>
      <c r="J304" s="11"/>
      <c r="K304" s="510"/>
      <c r="L304" s="11"/>
      <c r="M304" s="5"/>
      <c r="N304" s="5"/>
      <c r="O304" s="2606"/>
      <c r="P304" s="2608"/>
      <c r="Q304" s="5"/>
      <c r="R304" s="5"/>
      <c r="S304" s="1"/>
      <c r="T304" s="1"/>
      <c r="U304" s="6"/>
      <c r="V304" s="1877"/>
      <c r="W304" s="1877"/>
      <c r="X304" s="1877"/>
      <c r="Y304" s="1877"/>
      <c r="Z304" s="1878"/>
      <c r="AA304" s="1878"/>
      <c r="AB304" s="1877"/>
      <c r="AC304" s="1877"/>
      <c r="AD304" s="1877"/>
      <c r="AE304" s="1911"/>
      <c r="AF304" s="1912"/>
      <c r="AG304" s="1881"/>
      <c r="AH304" s="1913"/>
      <c r="AI304" s="1518"/>
      <c r="AJ304" s="1897"/>
      <c r="AK304" s="1518"/>
      <c r="AL304" s="1518"/>
      <c r="AM304" s="1518"/>
      <c r="AN304" s="1518"/>
      <c r="AO304" s="1518"/>
      <c r="AP304" s="1518"/>
      <c r="AQ304" s="1518"/>
      <c r="AR304" s="1518"/>
      <c r="AS304" s="1518"/>
      <c r="AT304" s="1518"/>
      <c r="AU304" s="1518"/>
      <c r="AV304" s="1518"/>
      <c r="AW304" s="1518"/>
      <c r="AX304" s="1518"/>
      <c r="AY304" s="1518"/>
      <c r="AZ304" s="1518"/>
      <c r="BA304" s="1518"/>
      <c r="BB304" s="1518"/>
      <c r="BC304" s="1518"/>
      <c r="BD304" s="1518"/>
      <c r="BE304" s="1518"/>
    </row>
    <row r="305" spans="1:57" s="1350" customFormat="1">
      <c r="A305" s="1"/>
      <c r="B305" s="6"/>
      <c r="C305" s="4"/>
      <c r="D305" s="3"/>
      <c r="E305" s="4"/>
      <c r="F305" s="4"/>
      <c r="G305" s="1"/>
      <c r="H305" s="6"/>
      <c r="I305" s="6"/>
      <c r="J305" s="11"/>
      <c r="K305" s="510"/>
      <c r="L305" s="11"/>
      <c r="M305" s="5"/>
      <c r="N305" s="5"/>
      <c r="O305" s="2606"/>
      <c r="P305" s="2608"/>
      <c r="Q305" s="5"/>
      <c r="R305" s="5"/>
      <c r="S305" s="1"/>
      <c r="T305" s="1"/>
      <c r="U305" s="6"/>
      <c r="V305" s="1877"/>
      <c r="W305" s="1877"/>
      <c r="X305" s="1877"/>
      <c r="Y305" s="1877"/>
      <c r="Z305" s="1878"/>
      <c r="AA305" s="1878"/>
      <c r="AB305" s="1877"/>
      <c r="AC305" s="1877"/>
      <c r="AD305" s="1877"/>
      <c r="AE305" s="1911"/>
      <c r="AF305" s="1912"/>
      <c r="AG305" s="1881"/>
      <c r="AH305" s="1913"/>
      <c r="AI305" s="1518"/>
      <c r="AJ305" s="1897"/>
      <c r="AK305" s="1518"/>
      <c r="AL305" s="1518"/>
      <c r="AM305" s="1518"/>
      <c r="AN305" s="1518"/>
      <c r="AO305" s="1518"/>
      <c r="AP305" s="1518"/>
      <c r="AQ305" s="1518"/>
      <c r="AR305" s="1518"/>
      <c r="AS305" s="1518"/>
      <c r="AT305" s="1518"/>
      <c r="AU305" s="1518"/>
      <c r="AV305" s="1518"/>
      <c r="AW305" s="1518"/>
      <c r="AX305" s="1518"/>
      <c r="AY305" s="1518"/>
      <c r="AZ305" s="1518"/>
      <c r="BA305" s="1518"/>
      <c r="BB305" s="1518"/>
      <c r="BC305" s="1518"/>
      <c r="BD305" s="1518"/>
      <c r="BE305" s="1518"/>
    </row>
    <row r="306" spans="1:57" s="1350" customFormat="1">
      <c r="A306" s="1"/>
      <c r="B306" s="6"/>
      <c r="C306" s="4"/>
      <c r="D306" s="3"/>
      <c r="E306" s="4"/>
      <c r="F306" s="4"/>
      <c r="G306" s="1"/>
      <c r="H306" s="6"/>
      <c r="I306" s="6"/>
      <c r="J306" s="11"/>
      <c r="K306" s="510"/>
      <c r="L306" s="11"/>
      <c r="M306" s="5"/>
      <c r="N306" s="5"/>
      <c r="O306" s="2606"/>
      <c r="P306" s="2608"/>
      <c r="Q306" s="5"/>
      <c r="R306" s="5"/>
      <c r="S306" s="1"/>
      <c r="T306" s="1"/>
      <c r="U306" s="6"/>
      <c r="V306" s="1877"/>
      <c r="W306" s="1877"/>
      <c r="X306" s="1877"/>
      <c r="Y306" s="1877"/>
      <c r="Z306" s="1878"/>
      <c r="AA306" s="1878"/>
      <c r="AB306" s="1877"/>
      <c r="AC306" s="1877"/>
      <c r="AD306" s="1877"/>
      <c r="AE306" s="1911"/>
      <c r="AF306" s="1912"/>
      <c r="AG306" s="1881"/>
      <c r="AH306" s="1913"/>
      <c r="AI306" s="1518"/>
      <c r="AJ306" s="1897"/>
      <c r="AK306" s="1518"/>
      <c r="AL306" s="1518"/>
      <c r="AM306" s="1518"/>
      <c r="AN306" s="1518"/>
      <c r="AO306" s="1518"/>
      <c r="AP306" s="1518"/>
      <c r="AQ306" s="1518"/>
      <c r="AR306" s="1518"/>
      <c r="AS306" s="1518"/>
      <c r="AT306" s="1518"/>
      <c r="AU306" s="1518"/>
      <c r="AV306" s="1518"/>
      <c r="AW306" s="1518"/>
      <c r="AX306" s="1518"/>
      <c r="AY306" s="1518"/>
      <c r="AZ306" s="1518"/>
      <c r="BA306" s="1518"/>
      <c r="BB306" s="1518"/>
      <c r="BC306" s="1518"/>
      <c r="BD306" s="1518"/>
      <c r="BE306" s="1518"/>
    </row>
    <row r="307" spans="1:57" s="1350" customFormat="1">
      <c r="A307" s="1"/>
      <c r="B307" s="6"/>
      <c r="C307" s="4"/>
      <c r="D307" s="3"/>
      <c r="E307" s="4"/>
      <c r="F307" s="4"/>
      <c r="G307" s="1"/>
      <c r="H307" s="6"/>
      <c r="I307" s="6"/>
      <c r="J307" s="11"/>
      <c r="K307" s="510"/>
      <c r="L307" s="11"/>
      <c r="M307" s="5"/>
      <c r="N307" s="5"/>
      <c r="O307" s="2606"/>
      <c r="P307" s="2608"/>
      <c r="Q307" s="5"/>
      <c r="R307" s="5"/>
      <c r="S307" s="1"/>
      <c r="T307" s="1"/>
      <c r="U307" s="6"/>
      <c r="V307" s="1877"/>
      <c r="W307" s="1877"/>
      <c r="X307" s="1877"/>
      <c r="Y307" s="1877"/>
      <c r="Z307" s="1878"/>
      <c r="AA307" s="1878"/>
      <c r="AB307" s="1877"/>
      <c r="AC307" s="1877"/>
      <c r="AD307" s="1877"/>
      <c r="AE307" s="1911"/>
      <c r="AF307" s="1912"/>
      <c r="AG307" s="1881"/>
      <c r="AH307" s="1913"/>
      <c r="AI307" s="1518"/>
      <c r="AJ307" s="1897"/>
      <c r="AK307" s="1518"/>
      <c r="AL307" s="1518"/>
      <c r="AM307" s="1518"/>
      <c r="AN307" s="1518"/>
      <c r="AO307" s="1518"/>
      <c r="AP307" s="1518"/>
      <c r="AQ307" s="1518"/>
      <c r="AR307" s="1518"/>
      <c r="AS307" s="1518"/>
      <c r="AT307" s="1518"/>
      <c r="AU307" s="1518"/>
      <c r="AV307" s="1518"/>
      <c r="AW307" s="1518"/>
      <c r="AX307" s="1518"/>
      <c r="AY307" s="1518"/>
      <c r="AZ307" s="1518"/>
      <c r="BA307" s="1518"/>
      <c r="BB307" s="1518"/>
      <c r="BC307" s="1518"/>
      <c r="BD307" s="1518"/>
      <c r="BE307" s="1518"/>
    </row>
    <row r="308" spans="1:57" s="1350" customFormat="1">
      <c r="A308" s="1"/>
      <c r="B308" s="6"/>
      <c r="C308" s="4"/>
      <c r="D308" s="3"/>
      <c r="E308" s="4"/>
      <c r="F308" s="4"/>
      <c r="G308" s="1"/>
      <c r="H308" s="6"/>
      <c r="I308" s="6"/>
      <c r="J308" s="11"/>
      <c r="K308" s="510"/>
      <c r="L308" s="11"/>
      <c r="M308" s="5"/>
      <c r="N308" s="5"/>
      <c r="O308" s="2606"/>
      <c r="P308" s="2608"/>
      <c r="Q308" s="5"/>
      <c r="R308" s="5"/>
      <c r="S308" s="1"/>
      <c r="T308" s="1"/>
      <c r="U308" s="6"/>
      <c r="V308" s="1877"/>
      <c r="W308" s="1877"/>
      <c r="X308" s="1877"/>
      <c r="Y308" s="1877"/>
      <c r="Z308" s="1878"/>
      <c r="AA308" s="1878"/>
      <c r="AB308" s="1877"/>
      <c r="AC308" s="1877"/>
      <c r="AD308" s="1877"/>
      <c r="AE308" s="1911"/>
      <c r="AF308" s="1912"/>
      <c r="AG308" s="1881"/>
      <c r="AH308" s="1913"/>
      <c r="AI308" s="1518"/>
      <c r="AJ308" s="1897"/>
      <c r="AK308" s="1518"/>
      <c r="AL308" s="1518"/>
      <c r="AM308" s="1518"/>
      <c r="AN308" s="1518"/>
      <c r="AO308" s="1518"/>
      <c r="AP308" s="1518"/>
      <c r="AQ308" s="1518"/>
      <c r="AR308" s="1518"/>
      <c r="AS308" s="1518"/>
      <c r="AT308" s="1518"/>
      <c r="AU308" s="1518"/>
      <c r="AV308" s="1518"/>
      <c r="AW308" s="1518"/>
      <c r="AX308" s="1518"/>
      <c r="AY308" s="1518"/>
      <c r="AZ308" s="1518"/>
      <c r="BA308" s="1518"/>
      <c r="BB308" s="1518"/>
      <c r="BC308" s="1518"/>
      <c r="BD308" s="1518"/>
      <c r="BE308" s="1518"/>
    </row>
    <row r="309" spans="1:57" s="1350" customFormat="1">
      <c r="A309" s="1"/>
      <c r="B309" s="6"/>
      <c r="C309" s="4"/>
      <c r="D309" s="3"/>
      <c r="E309" s="4"/>
      <c r="F309" s="4"/>
      <c r="G309" s="1"/>
      <c r="H309" s="6"/>
      <c r="I309" s="6"/>
      <c r="J309" s="11"/>
      <c r="K309" s="510"/>
      <c r="L309" s="11"/>
      <c r="M309" s="5"/>
      <c r="N309" s="5"/>
      <c r="O309" s="2606"/>
      <c r="P309" s="2608"/>
      <c r="Q309" s="5"/>
      <c r="R309" s="5"/>
      <c r="S309" s="1"/>
      <c r="T309" s="1"/>
      <c r="U309" s="6"/>
      <c r="V309" s="1877"/>
      <c r="W309" s="1877"/>
      <c r="X309" s="1877"/>
      <c r="Y309" s="1877"/>
      <c r="Z309" s="1878"/>
      <c r="AA309" s="1878"/>
      <c r="AB309" s="1877"/>
      <c r="AC309" s="1877"/>
      <c r="AD309" s="1877"/>
      <c r="AE309" s="1911"/>
      <c r="AF309" s="1912"/>
      <c r="AG309" s="1881"/>
      <c r="AH309" s="1913"/>
      <c r="AI309" s="1518"/>
      <c r="AJ309" s="1897"/>
      <c r="AK309" s="1518"/>
      <c r="AL309" s="1518"/>
      <c r="AM309" s="1518"/>
      <c r="AN309" s="1518"/>
      <c r="AO309" s="1518"/>
      <c r="AP309" s="1518"/>
      <c r="AQ309" s="1518"/>
      <c r="AR309" s="1518"/>
      <c r="AS309" s="1518"/>
      <c r="AT309" s="1518"/>
      <c r="AU309" s="1518"/>
      <c r="AV309" s="1518"/>
      <c r="AW309" s="1518"/>
      <c r="AX309" s="1518"/>
      <c r="AY309" s="1518"/>
      <c r="AZ309" s="1518"/>
      <c r="BA309" s="1518"/>
      <c r="BB309" s="1518"/>
      <c r="BC309" s="1518"/>
      <c r="BD309" s="1518"/>
      <c r="BE309" s="1518"/>
    </row>
    <row r="310" spans="1:57" s="1350" customFormat="1">
      <c r="A310" s="1"/>
      <c r="B310" s="6"/>
      <c r="C310" s="4"/>
      <c r="D310" s="3"/>
      <c r="E310" s="4"/>
      <c r="F310" s="4"/>
      <c r="G310" s="1"/>
      <c r="H310" s="6"/>
      <c r="I310" s="6"/>
      <c r="J310" s="11"/>
      <c r="K310" s="510"/>
      <c r="L310" s="11"/>
      <c r="M310" s="5"/>
      <c r="N310" s="5"/>
      <c r="O310" s="2606"/>
      <c r="P310" s="2608"/>
      <c r="Q310" s="5"/>
      <c r="R310" s="5"/>
      <c r="S310" s="1"/>
      <c r="T310" s="1"/>
      <c r="U310" s="6"/>
      <c r="V310" s="1877"/>
      <c r="W310" s="1877"/>
      <c r="X310" s="1877"/>
      <c r="Y310" s="1877"/>
      <c r="Z310" s="1878"/>
      <c r="AA310" s="1878"/>
      <c r="AB310" s="1877"/>
      <c r="AC310" s="1877"/>
      <c r="AD310" s="1877"/>
      <c r="AE310" s="1911"/>
      <c r="AF310" s="1912"/>
      <c r="AG310" s="1881"/>
      <c r="AH310" s="1913"/>
      <c r="AI310" s="1518"/>
      <c r="AJ310" s="1897"/>
      <c r="AK310" s="1518"/>
      <c r="AL310" s="1518"/>
      <c r="AM310" s="1518"/>
      <c r="AN310" s="1518"/>
      <c r="AO310" s="1518"/>
      <c r="AP310" s="1518"/>
      <c r="AQ310" s="1518"/>
      <c r="AR310" s="1518"/>
      <c r="AS310" s="1518"/>
      <c r="AT310" s="1518"/>
      <c r="AU310" s="1518"/>
      <c r="AV310" s="1518"/>
      <c r="AW310" s="1518"/>
      <c r="AX310" s="1518"/>
      <c r="AY310" s="1518"/>
      <c r="AZ310" s="1518"/>
      <c r="BA310" s="1518"/>
      <c r="BB310" s="1518"/>
      <c r="BC310" s="1518"/>
      <c r="BD310" s="1518"/>
      <c r="BE310" s="1518"/>
    </row>
    <row r="311" spans="1:57" s="1350" customFormat="1">
      <c r="A311" s="1"/>
      <c r="B311" s="6"/>
      <c r="C311" s="4"/>
      <c r="D311" s="3"/>
      <c r="E311" s="4"/>
      <c r="F311" s="4"/>
      <c r="G311" s="1"/>
      <c r="H311" s="6"/>
      <c r="I311" s="6"/>
      <c r="J311" s="11"/>
      <c r="K311" s="510"/>
      <c r="L311" s="11"/>
      <c r="M311" s="5"/>
      <c r="N311" s="5"/>
      <c r="O311" s="2606"/>
      <c r="P311" s="2608"/>
      <c r="Q311" s="5"/>
      <c r="R311" s="5"/>
      <c r="S311" s="1"/>
      <c r="T311" s="1"/>
      <c r="U311" s="6"/>
      <c r="V311" s="1877"/>
      <c r="W311" s="1877"/>
      <c r="X311" s="1877"/>
      <c r="Y311" s="1877"/>
      <c r="Z311" s="1878"/>
      <c r="AA311" s="1878"/>
      <c r="AB311" s="1877"/>
      <c r="AC311" s="1877"/>
      <c r="AD311" s="1877"/>
      <c r="AE311" s="1911"/>
      <c r="AF311" s="1912"/>
      <c r="AG311" s="1881"/>
      <c r="AH311" s="1913"/>
      <c r="AI311" s="1518"/>
      <c r="AJ311" s="1897"/>
      <c r="AK311" s="1518"/>
      <c r="AL311" s="1518"/>
      <c r="AM311" s="1518"/>
      <c r="AN311" s="1518"/>
      <c r="AO311" s="1518"/>
      <c r="AP311" s="1518"/>
      <c r="AQ311" s="1518"/>
      <c r="AR311" s="1518"/>
      <c r="AS311" s="1518"/>
      <c r="AT311" s="1518"/>
      <c r="AU311" s="1518"/>
      <c r="AV311" s="1518"/>
      <c r="AW311" s="1518"/>
      <c r="AX311" s="1518"/>
      <c r="AY311" s="1518"/>
      <c r="AZ311" s="1518"/>
      <c r="BA311" s="1518"/>
      <c r="BB311" s="1518"/>
      <c r="BC311" s="1518"/>
      <c r="BD311" s="1518"/>
      <c r="BE311" s="1518"/>
    </row>
    <row r="312" spans="1:57" s="1350" customFormat="1">
      <c r="A312" s="1"/>
      <c r="B312" s="6"/>
      <c r="C312" s="4"/>
      <c r="D312" s="3"/>
      <c r="E312" s="4"/>
      <c r="F312" s="4"/>
      <c r="G312" s="1"/>
      <c r="H312" s="6"/>
      <c r="I312" s="6"/>
      <c r="J312" s="11"/>
      <c r="K312" s="510"/>
      <c r="L312" s="11"/>
      <c r="M312" s="5"/>
      <c r="N312" s="5"/>
      <c r="O312" s="2606"/>
      <c r="P312" s="2608"/>
      <c r="Q312" s="5"/>
      <c r="R312" s="5"/>
      <c r="S312" s="1"/>
      <c r="T312" s="1"/>
      <c r="U312" s="6"/>
      <c r="V312" s="1877"/>
      <c r="W312" s="1877"/>
      <c r="X312" s="1877"/>
      <c r="Y312" s="1877"/>
      <c r="Z312" s="1878"/>
      <c r="AA312" s="1878"/>
      <c r="AB312" s="1877"/>
      <c r="AC312" s="1877"/>
      <c r="AD312" s="1877"/>
      <c r="AE312" s="1911"/>
      <c r="AF312" s="1912"/>
      <c r="AG312" s="1881"/>
      <c r="AH312" s="1913"/>
      <c r="AI312" s="1518"/>
      <c r="AJ312" s="1897"/>
      <c r="AK312" s="1518"/>
      <c r="AL312" s="1518"/>
      <c r="AM312" s="1518"/>
      <c r="AN312" s="1518"/>
      <c r="AO312" s="1518"/>
      <c r="AP312" s="1518"/>
      <c r="AQ312" s="1518"/>
      <c r="AR312" s="1518"/>
      <c r="AS312" s="1518"/>
      <c r="AT312" s="1518"/>
      <c r="AU312" s="1518"/>
      <c r="AV312" s="1518"/>
      <c r="AW312" s="1518"/>
      <c r="AX312" s="1518"/>
      <c r="AY312" s="1518"/>
      <c r="AZ312" s="1518"/>
      <c r="BA312" s="1518"/>
      <c r="BB312" s="1518"/>
      <c r="BC312" s="1518"/>
      <c r="BD312" s="1518"/>
      <c r="BE312" s="1518"/>
    </row>
    <row r="313" spans="1:57" s="1350" customFormat="1">
      <c r="A313" s="1"/>
      <c r="B313" s="6"/>
      <c r="C313" s="4"/>
      <c r="D313" s="3"/>
      <c r="E313" s="4"/>
      <c r="F313" s="4"/>
      <c r="G313" s="1"/>
      <c r="H313" s="6"/>
      <c r="I313" s="6"/>
      <c r="J313" s="11"/>
      <c r="K313" s="510"/>
      <c r="L313" s="11"/>
      <c r="M313" s="5"/>
      <c r="N313" s="5"/>
      <c r="O313" s="2606"/>
      <c r="P313" s="2608"/>
      <c r="Q313" s="5"/>
      <c r="R313" s="5"/>
      <c r="S313" s="1"/>
      <c r="T313" s="1"/>
      <c r="U313" s="6"/>
      <c r="V313" s="1877"/>
      <c r="W313" s="1877"/>
      <c r="X313" s="1877"/>
      <c r="Y313" s="1877"/>
      <c r="Z313" s="1878"/>
      <c r="AA313" s="1878"/>
      <c r="AB313" s="1877"/>
      <c r="AC313" s="1877"/>
      <c r="AD313" s="1877"/>
      <c r="AE313" s="1911"/>
      <c r="AF313" s="1912"/>
      <c r="AG313" s="1881"/>
      <c r="AH313" s="1913"/>
      <c r="AI313" s="1518"/>
      <c r="AJ313" s="1897"/>
      <c r="AK313" s="1518"/>
      <c r="AL313" s="1518"/>
      <c r="AM313" s="1518"/>
      <c r="AN313" s="1518"/>
      <c r="AO313" s="1518"/>
      <c r="AP313" s="1518"/>
      <c r="AQ313" s="1518"/>
      <c r="AR313" s="1518"/>
      <c r="AS313" s="1518"/>
      <c r="AT313" s="1518"/>
      <c r="AU313" s="1518"/>
      <c r="AV313" s="1518"/>
      <c r="AW313" s="1518"/>
      <c r="AX313" s="1518"/>
      <c r="AY313" s="1518"/>
      <c r="AZ313" s="1518"/>
      <c r="BA313" s="1518"/>
      <c r="BB313" s="1518"/>
      <c r="BC313" s="1518"/>
      <c r="BD313" s="1518"/>
      <c r="BE313" s="1518"/>
    </row>
    <row r="314" spans="1:57" s="1350" customFormat="1">
      <c r="A314" s="1"/>
      <c r="B314" s="6"/>
      <c r="C314" s="4"/>
      <c r="D314" s="3"/>
      <c r="E314" s="4"/>
      <c r="F314" s="4"/>
      <c r="G314" s="1"/>
      <c r="H314" s="6"/>
      <c r="I314" s="6"/>
      <c r="J314" s="11"/>
      <c r="K314" s="510"/>
      <c r="L314" s="11"/>
      <c r="M314" s="5"/>
      <c r="N314" s="5"/>
      <c r="O314" s="2606"/>
      <c r="P314" s="2608"/>
      <c r="Q314" s="5"/>
      <c r="R314" s="5"/>
      <c r="S314" s="1"/>
      <c r="T314" s="1"/>
      <c r="U314" s="6"/>
      <c r="V314" s="1877"/>
      <c r="W314" s="1877"/>
      <c r="X314" s="1877"/>
      <c r="Y314" s="1877"/>
      <c r="Z314" s="1878"/>
      <c r="AA314" s="1878"/>
      <c r="AB314" s="1877"/>
      <c r="AC314" s="1877"/>
      <c r="AD314" s="1877"/>
      <c r="AE314" s="1911"/>
      <c r="AF314" s="1912"/>
      <c r="AG314" s="1881"/>
      <c r="AH314" s="1913"/>
      <c r="AI314" s="1518"/>
      <c r="AJ314" s="1897"/>
      <c r="AK314" s="1518"/>
      <c r="AL314" s="1518"/>
      <c r="AM314" s="1518"/>
      <c r="AN314" s="1518"/>
      <c r="AO314" s="1518"/>
      <c r="AP314" s="1518"/>
      <c r="AQ314" s="1518"/>
      <c r="AR314" s="1518"/>
      <c r="AS314" s="1518"/>
      <c r="AT314" s="1518"/>
      <c r="AU314" s="1518"/>
      <c r="AV314" s="1518"/>
      <c r="AW314" s="1518"/>
      <c r="AX314" s="1518"/>
      <c r="AY314" s="1518"/>
      <c r="AZ314" s="1518"/>
      <c r="BA314" s="1518"/>
      <c r="BB314" s="1518"/>
      <c r="BC314" s="1518"/>
      <c r="BD314" s="1518"/>
      <c r="BE314" s="1518"/>
    </row>
    <row r="315" spans="1:57" s="1350" customFormat="1">
      <c r="A315" s="1"/>
      <c r="B315" s="6"/>
      <c r="C315" s="4"/>
      <c r="D315" s="3"/>
      <c r="E315" s="4"/>
      <c r="F315" s="4"/>
      <c r="G315" s="1"/>
      <c r="H315" s="6"/>
      <c r="I315" s="6"/>
      <c r="J315" s="11"/>
      <c r="K315" s="510"/>
      <c r="L315" s="11"/>
      <c r="M315" s="5"/>
      <c r="N315" s="5"/>
      <c r="O315" s="2606"/>
      <c r="P315" s="2608"/>
      <c r="Q315" s="5"/>
      <c r="R315" s="5"/>
      <c r="S315" s="1"/>
      <c r="T315" s="1"/>
      <c r="U315" s="6"/>
      <c r="V315" s="1877"/>
      <c r="W315" s="1877"/>
      <c r="X315" s="1877"/>
      <c r="Y315" s="1877"/>
      <c r="Z315" s="1878"/>
      <c r="AA315" s="1878"/>
      <c r="AB315" s="1877"/>
      <c r="AC315" s="1877"/>
      <c r="AD315" s="1877"/>
      <c r="AE315" s="1911"/>
      <c r="AF315" s="1912"/>
      <c r="AG315" s="1881"/>
      <c r="AH315" s="1913"/>
      <c r="AI315" s="1518"/>
      <c r="AJ315" s="1897"/>
      <c r="AK315" s="1518"/>
      <c r="AL315" s="1518"/>
      <c r="AM315" s="1518"/>
      <c r="AN315" s="1518"/>
      <c r="AO315" s="1518"/>
      <c r="AP315" s="1518"/>
      <c r="AQ315" s="1518"/>
      <c r="AR315" s="1518"/>
      <c r="AS315" s="1518"/>
      <c r="AT315" s="1518"/>
      <c r="AU315" s="1518"/>
      <c r="AV315" s="1518"/>
      <c r="AW315" s="1518"/>
      <c r="AX315" s="1518"/>
      <c r="AY315" s="1518"/>
      <c r="AZ315" s="1518"/>
      <c r="BA315" s="1518"/>
      <c r="BB315" s="1518"/>
      <c r="BC315" s="1518"/>
      <c r="BD315" s="1518"/>
      <c r="BE315" s="1518"/>
    </row>
    <row r="316" spans="1:57" s="1350" customFormat="1">
      <c r="A316" s="1"/>
      <c r="B316" s="6"/>
      <c r="C316" s="4"/>
      <c r="D316" s="3"/>
      <c r="E316" s="4"/>
      <c r="F316" s="4"/>
      <c r="G316" s="1"/>
      <c r="H316" s="6"/>
      <c r="I316" s="6"/>
      <c r="J316" s="11"/>
      <c r="K316" s="510"/>
      <c r="L316" s="11"/>
      <c r="M316" s="5"/>
      <c r="N316" s="5"/>
      <c r="O316" s="2606"/>
      <c r="P316" s="2608"/>
      <c r="Q316" s="5"/>
      <c r="R316" s="5"/>
      <c r="S316" s="1"/>
      <c r="T316" s="1"/>
      <c r="U316" s="6"/>
      <c r="V316" s="1877"/>
      <c r="W316" s="1877"/>
      <c r="X316" s="1877"/>
      <c r="Y316" s="1877"/>
      <c r="Z316" s="1878"/>
      <c r="AA316" s="1878"/>
      <c r="AB316" s="1877"/>
      <c r="AC316" s="1877"/>
      <c r="AD316" s="1877"/>
      <c r="AE316" s="1911"/>
      <c r="AF316" s="1912"/>
      <c r="AG316" s="1881"/>
      <c r="AH316" s="1913"/>
      <c r="AI316" s="1518"/>
      <c r="AJ316" s="1897"/>
      <c r="AK316" s="1518"/>
      <c r="AL316" s="1518"/>
      <c r="AM316" s="1518"/>
      <c r="AN316" s="1518"/>
      <c r="AO316" s="1518"/>
      <c r="AP316" s="1518"/>
      <c r="AQ316" s="1518"/>
      <c r="AR316" s="1518"/>
      <c r="AS316" s="1518"/>
      <c r="AT316" s="1518"/>
      <c r="AU316" s="1518"/>
      <c r="AV316" s="1518"/>
      <c r="AW316" s="1518"/>
      <c r="AX316" s="1518"/>
      <c r="AY316" s="1518"/>
      <c r="AZ316" s="1518"/>
      <c r="BA316" s="1518"/>
      <c r="BB316" s="1518"/>
      <c r="BC316" s="1518"/>
      <c r="BD316" s="1518"/>
      <c r="BE316" s="1518"/>
    </row>
    <row r="317" spans="1:57" s="1350" customFormat="1">
      <c r="A317" s="1"/>
      <c r="B317" s="6"/>
      <c r="C317" s="4"/>
      <c r="D317" s="3"/>
      <c r="E317" s="4"/>
      <c r="F317" s="4"/>
      <c r="G317" s="1"/>
      <c r="H317" s="6"/>
      <c r="I317" s="6"/>
      <c r="J317" s="11"/>
      <c r="K317" s="510"/>
      <c r="L317" s="11"/>
      <c r="M317" s="5"/>
      <c r="N317" s="5"/>
      <c r="O317" s="2606"/>
      <c r="P317" s="2608"/>
      <c r="Q317" s="5"/>
      <c r="R317" s="5"/>
      <c r="S317" s="1"/>
      <c r="T317" s="1"/>
      <c r="U317" s="6"/>
      <c r="V317" s="1877"/>
      <c r="W317" s="1877"/>
      <c r="X317" s="1877"/>
      <c r="Y317" s="1877"/>
      <c r="Z317" s="1878"/>
      <c r="AA317" s="1878"/>
      <c r="AB317" s="1877"/>
      <c r="AC317" s="1877"/>
      <c r="AD317" s="1877"/>
      <c r="AE317" s="1911"/>
      <c r="AF317" s="1912"/>
      <c r="AG317" s="1881"/>
      <c r="AH317" s="1913"/>
      <c r="AI317" s="1518"/>
      <c r="AJ317" s="1897"/>
      <c r="AK317" s="1518"/>
      <c r="AL317" s="1518"/>
      <c r="AM317" s="1518"/>
      <c r="AN317" s="1518"/>
      <c r="AO317" s="1518"/>
      <c r="AP317" s="1518"/>
      <c r="AQ317" s="1518"/>
      <c r="AR317" s="1518"/>
      <c r="AS317" s="1518"/>
      <c r="AT317" s="1518"/>
      <c r="AU317" s="1518"/>
      <c r="AV317" s="1518"/>
      <c r="AW317" s="1518"/>
      <c r="AX317" s="1518"/>
      <c r="AY317" s="1518"/>
      <c r="AZ317" s="1518"/>
      <c r="BA317" s="1518"/>
      <c r="BB317" s="1518"/>
      <c r="BC317" s="1518"/>
      <c r="BD317" s="1518"/>
      <c r="BE317" s="1518"/>
    </row>
    <row r="318" spans="1:57" s="1350" customFormat="1">
      <c r="A318" s="1"/>
      <c r="B318" s="6"/>
      <c r="C318" s="4"/>
      <c r="D318" s="3"/>
      <c r="E318" s="4"/>
      <c r="F318" s="4"/>
      <c r="G318" s="1"/>
      <c r="H318" s="6"/>
      <c r="I318" s="6"/>
      <c r="J318" s="11"/>
      <c r="K318" s="510"/>
      <c r="L318" s="11"/>
      <c r="M318" s="5"/>
      <c r="N318" s="5"/>
      <c r="O318" s="2606"/>
      <c r="P318" s="2608"/>
      <c r="Q318" s="5"/>
      <c r="R318" s="5"/>
      <c r="S318" s="1"/>
      <c r="T318" s="1"/>
      <c r="U318" s="6"/>
      <c r="V318" s="1877"/>
      <c r="W318" s="1877"/>
      <c r="X318" s="1877"/>
      <c r="Y318" s="1877"/>
      <c r="Z318" s="1878"/>
      <c r="AA318" s="1878"/>
      <c r="AB318" s="1877"/>
      <c r="AC318" s="1877"/>
      <c r="AD318" s="1877"/>
      <c r="AE318" s="1911"/>
      <c r="AF318" s="1912"/>
      <c r="AG318" s="1881"/>
      <c r="AH318" s="1913"/>
      <c r="AI318" s="1518"/>
      <c r="AJ318" s="1897"/>
      <c r="AK318" s="1518"/>
      <c r="AL318" s="1518"/>
      <c r="AM318" s="1518"/>
      <c r="AN318" s="1518"/>
      <c r="AO318" s="1518"/>
      <c r="AP318" s="1518"/>
      <c r="AQ318" s="1518"/>
      <c r="AR318" s="1518"/>
      <c r="AS318" s="1518"/>
      <c r="AT318" s="1518"/>
      <c r="AU318" s="1518"/>
      <c r="AV318" s="1518"/>
      <c r="AW318" s="1518"/>
      <c r="AX318" s="1518"/>
      <c r="AY318" s="1518"/>
      <c r="AZ318" s="1518"/>
      <c r="BA318" s="1518"/>
      <c r="BB318" s="1518"/>
      <c r="BC318" s="1518"/>
      <c r="BD318" s="1518"/>
      <c r="BE318" s="1518"/>
    </row>
    <row r="319" spans="1:57" s="1350" customFormat="1">
      <c r="A319" s="1"/>
      <c r="B319" s="6"/>
      <c r="C319" s="4"/>
      <c r="D319" s="3"/>
      <c r="E319" s="4"/>
      <c r="F319" s="4"/>
      <c r="G319" s="1"/>
      <c r="H319" s="6"/>
      <c r="I319" s="6"/>
      <c r="J319" s="11"/>
      <c r="K319" s="510"/>
      <c r="L319" s="11"/>
      <c r="M319" s="5"/>
      <c r="N319" s="5"/>
      <c r="O319" s="2606"/>
      <c r="P319" s="2608"/>
      <c r="Q319" s="5"/>
      <c r="R319" s="5"/>
      <c r="S319" s="1"/>
      <c r="T319" s="1"/>
      <c r="U319" s="6"/>
      <c r="V319" s="1877"/>
      <c r="W319" s="1877"/>
      <c r="X319" s="1877"/>
      <c r="Y319" s="1877"/>
      <c r="Z319" s="1878"/>
      <c r="AA319" s="1878"/>
      <c r="AB319" s="1877"/>
      <c r="AC319" s="1877"/>
      <c r="AD319" s="1877"/>
      <c r="AE319" s="1911"/>
      <c r="AF319" s="1912"/>
      <c r="AG319" s="1881"/>
      <c r="AH319" s="1913"/>
      <c r="AI319" s="1518"/>
      <c r="AJ319" s="1897"/>
      <c r="AK319" s="1518"/>
      <c r="AL319" s="1518"/>
      <c r="AM319" s="1518"/>
      <c r="AN319" s="1518"/>
      <c r="AO319" s="1518"/>
      <c r="AP319" s="1518"/>
      <c r="AQ319" s="1518"/>
      <c r="AR319" s="1518"/>
      <c r="AS319" s="1518"/>
      <c r="AT319" s="1518"/>
      <c r="AU319" s="1518"/>
      <c r="AV319" s="1518"/>
      <c r="AW319" s="1518"/>
      <c r="AX319" s="1518"/>
      <c r="AY319" s="1518"/>
      <c r="AZ319" s="1518"/>
      <c r="BA319" s="1518"/>
      <c r="BB319" s="1518"/>
      <c r="BC319" s="1518"/>
      <c r="BD319" s="1518"/>
      <c r="BE319" s="1518"/>
    </row>
    <row r="320" spans="1:57" s="1350" customFormat="1">
      <c r="A320" s="1"/>
      <c r="B320" s="6"/>
      <c r="C320" s="4"/>
      <c r="D320" s="3"/>
      <c r="E320" s="4"/>
      <c r="F320" s="4"/>
      <c r="G320" s="1"/>
      <c r="H320" s="6"/>
      <c r="I320" s="6"/>
      <c r="J320" s="11"/>
      <c r="K320" s="510"/>
      <c r="L320" s="11"/>
      <c r="M320" s="5"/>
      <c r="N320" s="5"/>
      <c r="O320" s="2606"/>
      <c r="P320" s="2608"/>
      <c r="Q320" s="5"/>
      <c r="R320" s="5"/>
      <c r="S320" s="1"/>
      <c r="T320" s="1"/>
      <c r="U320" s="6"/>
      <c r="V320" s="1877"/>
      <c r="W320" s="1877"/>
      <c r="X320" s="1877"/>
      <c r="Y320" s="1877"/>
      <c r="Z320" s="1878"/>
      <c r="AA320" s="1878"/>
      <c r="AB320" s="1877"/>
      <c r="AC320" s="1877"/>
      <c r="AD320" s="1877"/>
      <c r="AE320" s="1911"/>
      <c r="AF320" s="1912"/>
      <c r="AG320" s="1881"/>
      <c r="AH320" s="1913"/>
      <c r="AI320" s="1518"/>
      <c r="AJ320" s="1897"/>
      <c r="AK320" s="1518"/>
      <c r="AL320" s="1518"/>
      <c r="AM320" s="1518"/>
      <c r="AN320" s="1518"/>
      <c r="AO320" s="1518"/>
      <c r="AP320" s="1518"/>
      <c r="AQ320" s="1518"/>
      <c r="AR320" s="1518"/>
      <c r="AS320" s="1518"/>
      <c r="AT320" s="1518"/>
      <c r="AU320" s="1518"/>
      <c r="AV320" s="1518"/>
      <c r="AW320" s="1518"/>
      <c r="AX320" s="1518"/>
      <c r="AY320" s="1518"/>
      <c r="AZ320" s="1518"/>
      <c r="BA320" s="1518"/>
      <c r="BB320" s="1518"/>
      <c r="BC320" s="1518"/>
      <c r="BD320" s="1518"/>
      <c r="BE320" s="1518"/>
    </row>
    <row r="321" spans="1:57" s="1350" customFormat="1">
      <c r="A321" s="1"/>
      <c r="B321" s="6"/>
      <c r="C321" s="4"/>
      <c r="D321" s="3"/>
      <c r="E321" s="4"/>
      <c r="F321" s="4"/>
      <c r="G321" s="1"/>
      <c r="H321" s="6"/>
      <c r="I321" s="6"/>
      <c r="J321" s="11"/>
      <c r="K321" s="510"/>
      <c r="L321" s="11"/>
      <c r="M321" s="5"/>
      <c r="N321" s="5"/>
      <c r="O321" s="2606"/>
      <c r="P321" s="2608"/>
      <c r="Q321" s="5"/>
      <c r="R321" s="5"/>
      <c r="S321" s="1"/>
      <c r="T321" s="1"/>
      <c r="U321" s="6"/>
      <c r="V321" s="1877"/>
      <c r="W321" s="1877"/>
      <c r="X321" s="1877"/>
      <c r="Y321" s="1877"/>
      <c r="Z321" s="1878"/>
      <c r="AA321" s="1878"/>
      <c r="AB321" s="1877"/>
      <c r="AC321" s="1877"/>
      <c r="AD321" s="1877"/>
      <c r="AE321" s="1911"/>
      <c r="AF321" s="1912"/>
      <c r="AG321" s="1881"/>
      <c r="AH321" s="1913"/>
      <c r="AI321" s="1518"/>
      <c r="AJ321" s="1897"/>
      <c r="AK321" s="1518"/>
      <c r="AL321" s="1518"/>
      <c r="AM321" s="1518"/>
      <c r="AN321" s="1518"/>
      <c r="AO321" s="1518"/>
      <c r="AP321" s="1518"/>
      <c r="AQ321" s="1518"/>
      <c r="AR321" s="1518"/>
      <c r="AS321" s="1518"/>
      <c r="AT321" s="1518"/>
      <c r="AU321" s="1518"/>
      <c r="AV321" s="1518"/>
      <c r="AW321" s="1518"/>
      <c r="AX321" s="1518"/>
      <c r="AY321" s="1518"/>
      <c r="AZ321" s="1518"/>
      <c r="BA321" s="1518"/>
      <c r="BB321" s="1518"/>
      <c r="BC321" s="1518"/>
      <c r="BD321" s="1518"/>
      <c r="BE321" s="1518"/>
    </row>
    <row r="322" spans="1:57" s="1350" customFormat="1">
      <c r="A322" s="1"/>
      <c r="B322" s="6"/>
      <c r="C322" s="4"/>
      <c r="D322" s="3"/>
      <c r="E322" s="4"/>
      <c r="F322" s="4"/>
      <c r="G322" s="1"/>
      <c r="H322" s="6"/>
      <c r="I322" s="6"/>
      <c r="J322" s="11"/>
      <c r="K322" s="510"/>
      <c r="L322" s="11"/>
      <c r="M322" s="5"/>
      <c r="N322" s="5"/>
      <c r="O322" s="2606"/>
      <c r="P322" s="2608"/>
      <c r="Q322" s="5"/>
      <c r="R322" s="5"/>
      <c r="S322" s="1"/>
      <c r="T322" s="1"/>
      <c r="U322" s="6"/>
      <c r="V322" s="1877"/>
      <c r="W322" s="1877"/>
      <c r="X322" s="1877"/>
      <c r="Y322" s="1877"/>
      <c r="Z322" s="1878"/>
      <c r="AA322" s="1878"/>
      <c r="AB322" s="1877"/>
      <c r="AC322" s="1877"/>
      <c r="AD322" s="1877"/>
      <c r="AE322" s="1911"/>
      <c r="AF322" s="1912"/>
      <c r="AG322" s="1881"/>
      <c r="AH322" s="1913"/>
      <c r="AI322" s="1518"/>
      <c r="AJ322" s="1897"/>
      <c r="AK322" s="1518"/>
      <c r="AL322" s="1518"/>
      <c r="AM322" s="1518"/>
      <c r="AN322" s="1518"/>
      <c r="AO322" s="1518"/>
      <c r="AP322" s="1518"/>
      <c r="AQ322" s="1518"/>
      <c r="AR322" s="1518"/>
      <c r="AS322" s="1518"/>
      <c r="AT322" s="1518"/>
      <c r="AU322" s="1518"/>
      <c r="AV322" s="1518"/>
      <c r="AW322" s="1518"/>
      <c r="AX322" s="1518"/>
      <c r="AY322" s="1518"/>
      <c r="AZ322" s="1518"/>
      <c r="BA322" s="1518"/>
      <c r="BB322" s="1518"/>
      <c r="BC322" s="1518"/>
      <c r="BD322" s="1518"/>
      <c r="BE322" s="1518"/>
    </row>
    <row r="323" spans="1:57" s="1350" customFormat="1">
      <c r="A323" s="1"/>
      <c r="B323" s="6"/>
      <c r="C323" s="4"/>
      <c r="D323" s="3"/>
      <c r="E323" s="4"/>
      <c r="F323" s="4"/>
      <c r="G323" s="1"/>
      <c r="H323" s="6"/>
      <c r="I323" s="6"/>
      <c r="J323" s="11"/>
      <c r="K323" s="510"/>
      <c r="L323" s="11"/>
      <c r="M323" s="5"/>
      <c r="N323" s="5"/>
      <c r="O323" s="2606"/>
      <c r="P323" s="2608"/>
      <c r="Q323" s="5"/>
      <c r="R323" s="5"/>
      <c r="S323" s="1"/>
      <c r="T323" s="1"/>
      <c r="U323" s="6"/>
      <c r="V323" s="1877"/>
      <c r="W323" s="1877"/>
      <c r="X323" s="1877"/>
      <c r="Y323" s="1877"/>
      <c r="Z323" s="1878"/>
      <c r="AA323" s="1878"/>
      <c r="AB323" s="1877"/>
      <c r="AC323" s="1877"/>
      <c r="AD323" s="1877"/>
      <c r="AE323" s="1911"/>
      <c r="AF323" s="1912"/>
      <c r="AG323" s="1881"/>
      <c r="AH323" s="1913"/>
      <c r="AI323" s="1518"/>
      <c r="AJ323" s="1897"/>
      <c r="AK323" s="1518"/>
      <c r="AL323" s="1518"/>
      <c r="AM323" s="1518"/>
      <c r="AN323" s="1518"/>
      <c r="AO323" s="1518"/>
      <c r="AP323" s="1518"/>
      <c r="AQ323" s="1518"/>
      <c r="AR323" s="1518"/>
      <c r="AS323" s="1518"/>
      <c r="AT323" s="1518"/>
      <c r="AU323" s="1518"/>
      <c r="AV323" s="1518"/>
      <c r="AW323" s="1518"/>
      <c r="AX323" s="1518"/>
      <c r="AY323" s="1518"/>
      <c r="AZ323" s="1518"/>
      <c r="BA323" s="1518"/>
      <c r="BB323" s="1518"/>
      <c r="BC323" s="1518"/>
      <c r="BD323" s="1518"/>
      <c r="BE323" s="1518"/>
    </row>
    <row r="324" spans="1:57" s="1350" customFormat="1">
      <c r="A324" s="1"/>
      <c r="B324" s="6"/>
      <c r="C324" s="4"/>
      <c r="D324" s="3"/>
      <c r="E324" s="4"/>
      <c r="F324" s="4"/>
      <c r="G324" s="1"/>
      <c r="H324" s="6"/>
      <c r="I324" s="6"/>
      <c r="J324" s="11"/>
      <c r="K324" s="510"/>
      <c r="L324" s="11"/>
      <c r="M324" s="5"/>
      <c r="N324" s="5"/>
      <c r="O324" s="2606"/>
      <c r="P324" s="2608"/>
      <c r="Q324" s="5"/>
      <c r="R324" s="5"/>
      <c r="S324" s="1"/>
      <c r="T324" s="1"/>
      <c r="U324" s="6"/>
      <c r="V324" s="1877"/>
      <c r="W324" s="1877"/>
      <c r="X324" s="1877"/>
      <c r="Y324" s="1877"/>
      <c r="Z324" s="1878"/>
      <c r="AA324" s="1878"/>
      <c r="AB324" s="1877"/>
      <c r="AC324" s="1877"/>
      <c r="AD324" s="1877"/>
      <c r="AE324" s="1911"/>
      <c r="AF324" s="1912"/>
      <c r="AG324" s="1881"/>
      <c r="AH324" s="1913"/>
      <c r="AI324" s="1518"/>
      <c r="AJ324" s="1897"/>
      <c r="AK324" s="1518"/>
      <c r="AL324" s="1518"/>
      <c r="AM324" s="1518"/>
      <c r="AN324" s="1518"/>
      <c r="AO324" s="1518"/>
      <c r="AP324" s="1518"/>
      <c r="AQ324" s="1518"/>
      <c r="AR324" s="1518"/>
      <c r="AS324" s="1518"/>
      <c r="AT324" s="1518"/>
      <c r="AU324" s="1518"/>
      <c r="AV324" s="1518"/>
      <c r="AW324" s="1518"/>
      <c r="AX324" s="1518"/>
      <c r="AY324" s="1518"/>
      <c r="AZ324" s="1518"/>
      <c r="BA324" s="1518"/>
      <c r="BB324" s="1518"/>
      <c r="BC324" s="1518"/>
      <c r="BD324" s="1518"/>
      <c r="BE324" s="1518"/>
    </row>
    <row r="325" spans="1:57" s="1350" customFormat="1">
      <c r="A325" s="1"/>
      <c r="B325" s="6"/>
      <c r="C325" s="4"/>
      <c r="D325" s="3"/>
      <c r="E325" s="4"/>
      <c r="F325" s="4"/>
      <c r="G325" s="1"/>
      <c r="H325" s="6"/>
      <c r="I325" s="6"/>
      <c r="J325" s="11"/>
      <c r="K325" s="510"/>
      <c r="L325" s="11"/>
      <c r="M325" s="5"/>
      <c r="N325" s="5"/>
      <c r="O325" s="2606"/>
      <c r="P325" s="2608"/>
      <c r="Q325" s="5"/>
      <c r="R325" s="5"/>
      <c r="S325" s="1"/>
      <c r="T325" s="1"/>
      <c r="U325" s="6"/>
      <c r="V325" s="1877"/>
      <c r="W325" s="1877"/>
      <c r="X325" s="1877"/>
      <c r="Y325" s="1877"/>
      <c r="Z325" s="1878"/>
      <c r="AA325" s="1878"/>
      <c r="AB325" s="1877"/>
      <c r="AC325" s="1877"/>
      <c r="AD325" s="1877"/>
      <c r="AE325" s="1911"/>
      <c r="AF325" s="1912"/>
      <c r="AG325" s="1881"/>
      <c r="AH325" s="1913"/>
      <c r="AI325" s="1518"/>
      <c r="AJ325" s="1897"/>
      <c r="AK325" s="1518"/>
      <c r="AL325" s="1518"/>
      <c r="AM325" s="1518"/>
      <c r="AN325" s="1518"/>
      <c r="AO325" s="1518"/>
      <c r="AP325" s="1518"/>
      <c r="AQ325" s="1518"/>
      <c r="AR325" s="1518"/>
      <c r="AS325" s="1518"/>
      <c r="AT325" s="1518"/>
      <c r="AU325" s="1518"/>
      <c r="AV325" s="1518"/>
      <c r="AW325" s="1518"/>
      <c r="AX325" s="1518"/>
      <c r="AY325" s="1518"/>
      <c r="AZ325" s="1518"/>
      <c r="BA325" s="1518"/>
      <c r="BB325" s="1518"/>
      <c r="BC325" s="1518"/>
      <c r="BD325" s="1518"/>
      <c r="BE325" s="1518"/>
    </row>
    <row r="326" spans="1:57" s="1350" customFormat="1">
      <c r="A326" s="1"/>
      <c r="B326" s="6"/>
      <c r="C326" s="4"/>
      <c r="D326" s="3"/>
      <c r="E326" s="4"/>
      <c r="F326" s="4"/>
      <c r="G326" s="1"/>
      <c r="H326" s="6"/>
      <c r="I326" s="6"/>
      <c r="J326" s="11"/>
      <c r="K326" s="510"/>
      <c r="L326" s="11"/>
      <c r="M326" s="5"/>
      <c r="N326" s="5"/>
      <c r="O326" s="2606"/>
      <c r="P326" s="2608"/>
      <c r="Q326" s="5"/>
      <c r="R326" s="5"/>
      <c r="S326" s="1"/>
      <c r="T326" s="1"/>
      <c r="U326" s="6"/>
      <c r="V326" s="1877"/>
      <c r="W326" s="1877"/>
      <c r="X326" s="1877"/>
      <c r="Y326" s="1877"/>
      <c r="Z326" s="1878"/>
      <c r="AA326" s="1878"/>
      <c r="AB326" s="1877"/>
      <c r="AC326" s="1877"/>
      <c r="AD326" s="1877"/>
      <c r="AE326" s="1911"/>
      <c r="AF326" s="1912"/>
      <c r="AG326" s="1881"/>
      <c r="AH326" s="1913"/>
      <c r="AI326" s="1518"/>
      <c r="AJ326" s="1897"/>
      <c r="AK326" s="1518"/>
      <c r="AL326" s="1518"/>
      <c r="AM326" s="1518"/>
      <c r="AN326" s="1518"/>
      <c r="AO326" s="1518"/>
      <c r="AP326" s="1518"/>
      <c r="AQ326" s="1518"/>
      <c r="AR326" s="1518"/>
      <c r="AS326" s="1518"/>
      <c r="AT326" s="1518"/>
      <c r="AU326" s="1518"/>
      <c r="AV326" s="1518"/>
      <c r="AW326" s="1518"/>
      <c r="AX326" s="1518"/>
      <c r="AY326" s="1518"/>
      <c r="AZ326" s="1518"/>
      <c r="BA326" s="1518"/>
      <c r="BB326" s="1518"/>
      <c r="BC326" s="1518"/>
      <c r="BD326" s="1518"/>
      <c r="BE326" s="1518"/>
    </row>
    <row r="327" spans="1:57">
      <c r="AI327" s="1518"/>
      <c r="AJ327" s="1897"/>
      <c r="AK327" s="1897"/>
      <c r="AL327" s="1897"/>
      <c r="AM327" s="1897"/>
      <c r="AN327" s="1897"/>
      <c r="AO327" s="1897"/>
      <c r="AP327" s="1897"/>
      <c r="AQ327" s="1897"/>
      <c r="AR327" s="1897"/>
      <c r="AS327" s="1897"/>
      <c r="AT327" s="1897"/>
      <c r="AU327" s="1897"/>
      <c r="AV327" s="1897"/>
      <c r="AW327" s="1897"/>
      <c r="AX327" s="1897"/>
      <c r="AY327" s="1897"/>
      <c r="AZ327" s="1897"/>
      <c r="BA327" s="1897"/>
      <c r="BB327" s="1897"/>
      <c r="BC327" s="1897"/>
      <c r="BD327" s="1897"/>
      <c r="BE327" s="1897"/>
    </row>
    <row r="328" spans="1:57">
      <c r="AI328" s="1518"/>
      <c r="AJ328" s="1897"/>
      <c r="AK328" s="1897"/>
      <c r="AL328" s="1897"/>
      <c r="AM328" s="1897"/>
      <c r="AN328" s="1897"/>
      <c r="AO328" s="1897"/>
      <c r="AP328" s="1897"/>
      <c r="AQ328" s="1897"/>
      <c r="AR328" s="1897"/>
      <c r="AS328" s="1897"/>
      <c r="AT328" s="1897"/>
      <c r="AU328" s="1897"/>
      <c r="AV328" s="1897"/>
      <c r="AW328" s="1897"/>
      <c r="AX328" s="1897"/>
      <c r="AY328" s="1897"/>
      <c r="AZ328" s="1897"/>
      <c r="BA328" s="1897"/>
      <c r="BB328" s="1897"/>
      <c r="BC328" s="1897"/>
      <c r="BD328" s="1897"/>
      <c r="BE328" s="1897"/>
    </row>
    <row r="329" spans="1:57">
      <c r="AI329" s="1518"/>
      <c r="AJ329" s="1897"/>
      <c r="AK329" s="1897"/>
      <c r="AL329" s="1897"/>
      <c r="AM329" s="1897"/>
      <c r="AN329" s="1897"/>
      <c r="AO329" s="1897"/>
      <c r="AP329" s="1897"/>
      <c r="AQ329" s="1897"/>
      <c r="AR329" s="1897"/>
      <c r="AS329" s="1897"/>
      <c r="AT329" s="1897"/>
      <c r="AU329" s="1897"/>
      <c r="AV329" s="1897"/>
      <c r="AW329" s="1897"/>
      <c r="AX329" s="1897"/>
      <c r="AY329" s="1897"/>
      <c r="AZ329" s="1897"/>
      <c r="BA329" s="1897"/>
      <c r="BB329" s="1897"/>
      <c r="BC329" s="1897"/>
      <c r="BD329" s="1897"/>
      <c r="BE329" s="1897"/>
    </row>
    <row r="330" spans="1:57">
      <c r="AI330" s="1518"/>
      <c r="AJ330" s="1897"/>
      <c r="AK330" s="1897"/>
      <c r="AL330" s="1897"/>
      <c r="AM330" s="1897"/>
      <c r="AN330" s="1897"/>
      <c r="AO330" s="1897"/>
      <c r="AP330" s="1897"/>
      <c r="AQ330" s="1897"/>
      <c r="AR330" s="1897"/>
      <c r="AS330" s="1897"/>
      <c r="AT330" s="1897"/>
      <c r="AU330" s="1897"/>
      <c r="AV330" s="1897"/>
      <c r="AW330" s="1897"/>
      <c r="AX330" s="1897"/>
      <c r="AY330" s="1897"/>
      <c r="AZ330" s="1897"/>
      <c r="BA330" s="1897"/>
      <c r="BB330" s="1897"/>
      <c r="BC330" s="1897"/>
      <c r="BD330" s="1897"/>
      <c r="BE330" s="1897"/>
    </row>
    <row r="331" spans="1:57">
      <c r="AI331" s="1518"/>
      <c r="AJ331" s="1897"/>
      <c r="AK331" s="1897"/>
      <c r="AL331" s="1897"/>
      <c r="AM331" s="1897"/>
      <c r="AN331" s="1897"/>
      <c r="AO331" s="1897"/>
      <c r="AP331" s="1897"/>
      <c r="AQ331" s="1897"/>
      <c r="AR331" s="1897"/>
      <c r="AS331" s="1897"/>
      <c r="AT331" s="1897"/>
      <c r="AU331" s="1897"/>
      <c r="AV331" s="1897"/>
      <c r="AW331" s="1897"/>
      <c r="AX331" s="1897"/>
      <c r="AY331" s="1897"/>
      <c r="AZ331" s="1897"/>
      <c r="BA331" s="1897"/>
      <c r="BB331" s="1897"/>
      <c r="BC331" s="1897"/>
      <c r="BD331" s="1897"/>
      <c r="BE331" s="1897"/>
    </row>
    <row r="332" spans="1:57">
      <c r="AI332" s="1518"/>
      <c r="AJ332" s="1897"/>
      <c r="AK332" s="1897"/>
      <c r="AL332" s="1897"/>
      <c r="AM332" s="1897"/>
      <c r="AN332" s="1897"/>
      <c r="AO332" s="1897"/>
      <c r="AP332" s="1897"/>
      <c r="AQ332" s="1897"/>
      <c r="AR332" s="1897"/>
      <c r="AS332" s="1897"/>
      <c r="AT332" s="1897"/>
      <c r="AU332" s="1897"/>
      <c r="AV332" s="1897"/>
      <c r="AW332" s="1897"/>
      <c r="AX332" s="1897"/>
      <c r="AY332" s="1897"/>
      <c r="AZ332" s="1897"/>
      <c r="BA332" s="1897"/>
      <c r="BB332" s="1897"/>
      <c r="BC332" s="1897"/>
      <c r="BD332" s="1897"/>
      <c r="BE332" s="1897"/>
    </row>
    <row r="333" spans="1:57">
      <c r="AI333" s="1518"/>
      <c r="AJ333" s="1897"/>
      <c r="AK333" s="1897"/>
      <c r="AL333" s="1897"/>
      <c r="AM333" s="1897"/>
      <c r="AN333" s="1897"/>
      <c r="AO333" s="1897"/>
      <c r="AP333" s="1897"/>
      <c r="AQ333" s="1897"/>
      <c r="AR333" s="1897"/>
      <c r="AS333" s="1897"/>
      <c r="AT333" s="1897"/>
      <c r="AU333" s="1897"/>
      <c r="AV333" s="1897"/>
      <c r="AW333" s="1897"/>
      <c r="AX333" s="1897"/>
      <c r="AY333" s="1897"/>
      <c r="AZ333" s="1897"/>
      <c r="BA333" s="1897"/>
      <c r="BB333" s="1897"/>
      <c r="BC333" s="1897"/>
      <c r="BD333" s="1897"/>
      <c r="BE333" s="1897"/>
    </row>
    <row r="334" spans="1:57">
      <c r="AI334" s="1518"/>
      <c r="AJ334" s="1897"/>
      <c r="AK334" s="1897"/>
      <c r="AL334" s="1897"/>
      <c r="AM334" s="1897"/>
      <c r="AN334" s="1897"/>
      <c r="AO334" s="1897"/>
      <c r="AP334" s="1897"/>
      <c r="AQ334" s="1897"/>
      <c r="AR334" s="1897"/>
      <c r="AS334" s="1897"/>
      <c r="AT334" s="1897"/>
      <c r="AU334" s="1897"/>
      <c r="AV334" s="1897"/>
      <c r="AW334" s="1897"/>
      <c r="AX334" s="1897"/>
      <c r="AY334" s="1897"/>
      <c r="AZ334" s="1897"/>
      <c r="BA334" s="1897"/>
      <c r="BB334" s="1897"/>
      <c r="BC334" s="1897"/>
      <c r="BD334" s="1897"/>
      <c r="BE334" s="1897"/>
    </row>
    <row r="335" spans="1:57">
      <c r="AI335" s="1518"/>
      <c r="AJ335" s="1897"/>
      <c r="AK335" s="1897"/>
      <c r="AL335" s="1897"/>
      <c r="AM335" s="1897"/>
      <c r="AN335" s="1897"/>
      <c r="AO335" s="1897"/>
      <c r="AP335" s="1897"/>
      <c r="AQ335" s="1897"/>
      <c r="AR335" s="1897"/>
      <c r="AS335" s="1897"/>
      <c r="AT335" s="1897"/>
      <c r="AU335" s="1897"/>
      <c r="AV335" s="1897"/>
      <c r="AW335" s="1897"/>
      <c r="AX335" s="1897"/>
      <c r="AY335" s="1897"/>
      <c r="AZ335" s="1897"/>
      <c r="BA335" s="1897"/>
      <c r="BB335" s="1897"/>
      <c r="BC335" s="1897"/>
      <c r="BD335" s="1897"/>
      <c r="BE335" s="1897"/>
    </row>
    <row r="336" spans="1:57">
      <c r="AI336" s="1518"/>
      <c r="AJ336" s="1897"/>
      <c r="AK336" s="1897"/>
      <c r="AL336" s="1897"/>
      <c r="AM336" s="1897"/>
      <c r="AN336" s="1897"/>
      <c r="AO336" s="1897"/>
      <c r="AP336" s="1897"/>
      <c r="AQ336" s="1897"/>
      <c r="AR336" s="1897"/>
      <c r="AS336" s="1897"/>
      <c r="AT336" s="1897"/>
      <c r="AU336" s="1897"/>
      <c r="AV336" s="1897"/>
      <c r="AW336" s="1897"/>
      <c r="AX336" s="1897"/>
      <c r="AY336" s="1897"/>
      <c r="AZ336" s="1897"/>
      <c r="BA336" s="1897"/>
      <c r="BB336" s="1897"/>
      <c r="BC336" s="1897"/>
      <c r="BD336" s="1897"/>
      <c r="BE336" s="1897"/>
    </row>
    <row r="337" spans="35:57">
      <c r="AI337" s="1518"/>
      <c r="AJ337" s="1897"/>
      <c r="AK337" s="1897"/>
      <c r="AL337" s="1897"/>
      <c r="AM337" s="1897"/>
      <c r="AN337" s="1897"/>
      <c r="AO337" s="1897"/>
      <c r="AP337" s="1897"/>
      <c r="AQ337" s="1897"/>
      <c r="AR337" s="1897"/>
      <c r="AS337" s="1897"/>
      <c r="AT337" s="1897"/>
      <c r="AU337" s="1897"/>
      <c r="AV337" s="1897"/>
      <c r="AW337" s="1897"/>
      <c r="AX337" s="1897"/>
      <c r="AY337" s="1897"/>
      <c r="AZ337" s="1897"/>
      <c r="BA337" s="1897"/>
      <c r="BB337" s="1897"/>
      <c r="BC337" s="1897"/>
      <c r="BD337" s="1897"/>
      <c r="BE337" s="1897"/>
    </row>
    <row r="338" spans="35:57">
      <c r="AI338" s="1518"/>
      <c r="AJ338" s="1897"/>
      <c r="AK338" s="1897"/>
      <c r="AL338" s="1897"/>
      <c r="AM338" s="1897"/>
      <c r="AN338" s="1897"/>
      <c r="AO338" s="1897"/>
      <c r="AP338" s="1897"/>
      <c r="AQ338" s="1897"/>
      <c r="AR338" s="1897"/>
      <c r="AS338" s="1897"/>
      <c r="AT338" s="1897"/>
      <c r="AU338" s="1897"/>
      <c r="AV338" s="1897"/>
      <c r="AW338" s="1897"/>
      <c r="AX338" s="1897"/>
      <c r="AY338" s="1897"/>
      <c r="AZ338" s="1897"/>
      <c r="BA338" s="1897"/>
      <c r="BB338" s="1897"/>
      <c r="BC338" s="1897"/>
      <c r="BD338" s="1897"/>
      <c r="BE338" s="1897"/>
    </row>
    <row r="339" spans="35:57">
      <c r="AI339" s="1518"/>
      <c r="AJ339" s="1897"/>
      <c r="AK339" s="1897"/>
      <c r="AL339" s="1897"/>
      <c r="AM339" s="1897"/>
      <c r="AN339" s="1897"/>
      <c r="AO339" s="1897"/>
      <c r="AP339" s="1897"/>
      <c r="AQ339" s="1897"/>
      <c r="AR339" s="1897"/>
      <c r="AS339" s="1897"/>
      <c r="AT339" s="1897"/>
      <c r="AU339" s="1897"/>
      <c r="AV339" s="1897"/>
      <c r="AW339" s="1897"/>
      <c r="AX339" s="1897"/>
      <c r="AY339" s="1897"/>
      <c r="AZ339" s="1897"/>
      <c r="BA339" s="1897"/>
      <c r="BB339" s="1897"/>
      <c r="BC339" s="1897"/>
      <c r="BD339" s="1897"/>
      <c r="BE339" s="1897"/>
    </row>
    <row r="340" spans="35:57">
      <c r="AI340" s="1518"/>
      <c r="AJ340" s="1897"/>
      <c r="AK340" s="1897"/>
      <c r="AL340" s="1897"/>
      <c r="AM340" s="1897"/>
      <c r="AN340" s="1897"/>
      <c r="AO340" s="1897"/>
      <c r="AP340" s="1897"/>
      <c r="AQ340" s="1897"/>
      <c r="AR340" s="1897"/>
      <c r="AS340" s="1897"/>
      <c r="AT340" s="1897"/>
      <c r="AU340" s="1897"/>
      <c r="AV340" s="1897"/>
      <c r="AW340" s="1897"/>
      <c r="AX340" s="1897"/>
      <c r="AY340" s="1897"/>
      <c r="AZ340" s="1897"/>
      <c r="BA340" s="1897"/>
      <c r="BB340" s="1897"/>
      <c r="BC340" s="1897"/>
      <c r="BD340" s="1897"/>
      <c r="BE340" s="1897"/>
    </row>
    <row r="341" spans="35:57">
      <c r="AI341" s="1518"/>
      <c r="AJ341" s="1897"/>
      <c r="AK341" s="1897"/>
      <c r="AL341" s="1897"/>
      <c r="AM341" s="1897"/>
      <c r="AN341" s="1897"/>
      <c r="AO341" s="1897"/>
      <c r="AP341" s="1897"/>
      <c r="AQ341" s="1897"/>
      <c r="AR341" s="1897"/>
      <c r="AS341" s="1897"/>
      <c r="AT341" s="1897"/>
      <c r="AU341" s="1897"/>
      <c r="AV341" s="1897"/>
      <c r="AW341" s="1897"/>
      <c r="AX341" s="1897"/>
      <c r="AY341" s="1897"/>
      <c r="AZ341" s="1897"/>
      <c r="BA341" s="1897"/>
      <c r="BB341" s="1897"/>
      <c r="BC341" s="1897"/>
      <c r="BD341" s="1897"/>
      <c r="BE341" s="1897"/>
    </row>
    <row r="342" spans="35:57">
      <c r="AI342" s="1518"/>
      <c r="AJ342" s="1897"/>
      <c r="AK342" s="1897"/>
      <c r="AL342" s="1897"/>
      <c r="AM342" s="1897"/>
      <c r="AN342" s="1897"/>
      <c r="AO342" s="1897"/>
      <c r="AP342" s="1897"/>
      <c r="AQ342" s="1897"/>
      <c r="AR342" s="1897"/>
      <c r="AS342" s="1897"/>
      <c r="AT342" s="1897"/>
      <c r="AU342" s="1897"/>
      <c r="AV342" s="1897"/>
      <c r="AW342" s="1897"/>
      <c r="AX342" s="1897"/>
      <c r="AY342" s="1897"/>
      <c r="AZ342" s="1897"/>
      <c r="BA342" s="1897"/>
      <c r="BB342" s="1897"/>
      <c r="BC342" s="1897"/>
      <c r="BD342" s="1897"/>
      <c r="BE342" s="1897"/>
    </row>
    <row r="343" spans="35:57">
      <c r="AI343" s="1518"/>
      <c r="AJ343" s="1897"/>
      <c r="AK343" s="1897"/>
      <c r="AL343" s="1897"/>
      <c r="AM343" s="1897"/>
      <c r="AN343" s="1897"/>
      <c r="AO343" s="1897"/>
      <c r="AP343" s="1897"/>
      <c r="AQ343" s="1897"/>
      <c r="AR343" s="1897"/>
      <c r="AS343" s="1897"/>
      <c r="AT343" s="1897"/>
      <c r="AU343" s="1897"/>
      <c r="AV343" s="1897"/>
      <c r="AW343" s="1897"/>
      <c r="AX343" s="1897"/>
      <c r="AY343" s="1897"/>
      <c r="AZ343" s="1897"/>
      <c r="BA343" s="1897"/>
      <c r="BB343" s="1897"/>
      <c r="BC343" s="1897"/>
      <c r="BD343" s="1897"/>
      <c r="BE343" s="1897"/>
    </row>
    <row r="344" spans="35:57">
      <c r="AI344" s="1518"/>
      <c r="AJ344" s="1897"/>
      <c r="AK344" s="1897"/>
      <c r="AL344" s="1897"/>
      <c r="AM344" s="1897"/>
      <c r="AN344" s="1897"/>
      <c r="AO344" s="1897"/>
      <c r="AP344" s="1897"/>
      <c r="AQ344" s="1897"/>
      <c r="AR344" s="1897"/>
      <c r="AS344" s="1897"/>
      <c r="AT344" s="1897"/>
      <c r="AU344" s="1897"/>
      <c r="AV344" s="1897"/>
      <c r="AW344" s="1897"/>
      <c r="AX344" s="1897"/>
      <c r="AY344" s="1897"/>
      <c r="AZ344" s="1897"/>
      <c r="BA344" s="1897"/>
      <c r="BB344" s="1897"/>
      <c r="BC344" s="1897"/>
      <c r="BD344" s="1897"/>
      <c r="BE344" s="1897"/>
    </row>
    <row r="345" spans="35:57">
      <c r="AI345" s="1518"/>
      <c r="AJ345" s="1897"/>
      <c r="AK345" s="1897"/>
      <c r="AL345" s="1897"/>
      <c r="AM345" s="1897"/>
      <c r="AN345" s="1897"/>
      <c r="AO345" s="1897"/>
      <c r="AP345" s="1897"/>
      <c r="AQ345" s="1897"/>
      <c r="AR345" s="1897"/>
      <c r="AS345" s="1897"/>
      <c r="AT345" s="1897"/>
      <c r="AU345" s="1897"/>
      <c r="AV345" s="1897"/>
      <c r="AW345" s="1897"/>
      <c r="AX345" s="1897"/>
      <c r="AY345" s="1897"/>
      <c r="AZ345" s="1897"/>
      <c r="BA345" s="1897"/>
      <c r="BB345" s="1897"/>
      <c r="BC345" s="1897"/>
      <c r="BD345" s="1897"/>
      <c r="BE345" s="1897"/>
    </row>
    <row r="346" spans="35:57">
      <c r="AI346" s="1518"/>
      <c r="AJ346" s="1897"/>
      <c r="AK346" s="1897"/>
      <c r="AL346" s="1897"/>
      <c r="AM346" s="1897"/>
      <c r="AN346" s="1897"/>
      <c r="AO346" s="1897"/>
      <c r="AP346" s="1897"/>
      <c r="AQ346" s="1897"/>
      <c r="AR346" s="1897"/>
      <c r="AS346" s="1897"/>
      <c r="AT346" s="1897"/>
      <c r="AU346" s="1897"/>
      <c r="AV346" s="1897"/>
      <c r="AW346" s="1897"/>
      <c r="AX346" s="1897"/>
      <c r="AY346" s="1897"/>
      <c r="AZ346" s="1897"/>
      <c r="BA346" s="1897"/>
      <c r="BB346" s="1897"/>
      <c r="BC346" s="1897"/>
      <c r="BD346" s="1897"/>
      <c r="BE346" s="1897"/>
    </row>
    <row r="347" spans="35:57">
      <c r="AI347" s="1518"/>
      <c r="AJ347" s="1897"/>
      <c r="AK347" s="1897"/>
      <c r="AL347" s="1897"/>
      <c r="AM347" s="1897"/>
      <c r="AN347" s="1897"/>
      <c r="AO347" s="1897"/>
      <c r="AP347" s="1897"/>
      <c r="AQ347" s="1897"/>
      <c r="AR347" s="1897"/>
      <c r="AS347" s="1897"/>
      <c r="AT347" s="1897"/>
      <c r="AU347" s="1897"/>
      <c r="AV347" s="1897"/>
      <c r="AW347" s="1897"/>
      <c r="AX347" s="1897"/>
      <c r="AY347" s="1897"/>
      <c r="AZ347" s="1897"/>
      <c r="BA347" s="1897"/>
      <c r="BB347" s="1897"/>
      <c r="BC347" s="1897"/>
      <c r="BD347" s="1897"/>
      <c r="BE347" s="1897"/>
    </row>
    <row r="348" spans="35:57">
      <c r="AI348" s="1518"/>
      <c r="AJ348" s="1897"/>
      <c r="AK348" s="1897"/>
      <c r="AL348" s="1897"/>
      <c r="AM348" s="1897"/>
      <c r="AN348" s="1897"/>
      <c r="AO348" s="1897"/>
      <c r="AP348" s="1897"/>
      <c r="AQ348" s="1897"/>
      <c r="AR348" s="1897"/>
      <c r="AS348" s="1897"/>
      <c r="AT348" s="1897"/>
      <c r="AU348" s="1897"/>
      <c r="AV348" s="1897"/>
      <c r="AW348" s="1897"/>
      <c r="AX348" s="1897"/>
      <c r="AY348" s="1897"/>
      <c r="AZ348" s="1897"/>
      <c r="BA348" s="1897"/>
      <c r="BB348" s="1897"/>
      <c r="BC348" s="1897"/>
      <c r="BD348" s="1897"/>
      <c r="BE348" s="1897"/>
    </row>
    <row r="349" spans="35:57">
      <c r="AI349" s="1518"/>
      <c r="AJ349" s="1897"/>
      <c r="AK349" s="1897"/>
      <c r="AL349" s="1897"/>
      <c r="AM349" s="1897"/>
      <c r="AN349" s="1897"/>
      <c r="AO349" s="1897"/>
      <c r="AP349" s="1897"/>
      <c r="AQ349" s="1897"/>
      <c r="AR349" s="1897"/>
      <c r="AS349" s="1897"/>
      <c r="AT349" s="1897"/>
      <c r="AU349" s="1897"/>
      <c r="AV349" s="1897"/>
      <c r="AW349" s="1897"/>
      <c r="AX349" s="1897"/>
      <c r="AY349" s="1897"/>
      <c r="AZ349" s="1897"/>
      <c r="BA349" s="1897"/>
      <c r="BB349" s="1897"/>
      <c r="BC349" s="1897"/>
      <c r="BD349" s="1897"/>
      <c r="BE349" s="1897"/>
    </row>
    <row r="350" spans="35:57">
      <c r="AI350" s="1518"/>
      <c r="AJ350" s="1897"/>
      <c r="AK350" s="1897"/>
      <c r="AL350" s="1897"/>
      <c r="AM350" s="1897"/>
      <c r="AN350" s="1897"/>
      <c r="AO350" s="1897"/>
      <c r="AP350" s="1897"/>
      <c r="AQ350" s="1897"/>
      <c r="AR350" s="1897"/>
      <c r="AS350" s="1897"/>
      <c r="AT350" s="1897"/>
      <c r="AU350" s="1897"/>
      <c r="AV350" s="1897"/>
      <c r="AW350" s="1897"/>
      <c r="AX350" s="1897"/>
      <c r="AY350" s="1897"/>
      <c r="AZ350" s="1897"/>
      <c r="BA350" s="1897"/>
      <c r="BB350" s="1897"/>
      <c r="BC350" s="1897"/>
      <c r="BD350" s="1897"/>
      <c r="BE350" s="1897"/>
    </row>
    <row r="351" spans="35:57">
      <c r="AI351" s="1518"/>
      <c r="AJ351" s="1897"/>
      <c r="AK351" s="1897"/>
      <c r="AL351" s="1897"/>
      <c r="AM351" s="1897"/>
      <c r="AN351" s="1897"/>
      <c r="AO351" s="1897"/>
      <c r="AP351" s="1897"/>
      <c r="AQ351" s="1897"/>
      <c r="AR351" s="1897"/>
      <c r="AS351" s="1897"/>
      <c r="AT351" s="1897"/>
      <c r="AU351" s="1897"/>
      <c r="AV351" s="1897"/>
      <c r="AW351" s="1897"/>
      <c r="AX351" s="1897"/>
      <c r="AY351" s="1897"/>
      <c r="AZ351" s="1897"/>
      <c r="BA351" s="1897"/>
      <c r="BB351" s="1897"/>
      <c r="BC351" s="1897"/>
      <c r="BD351" s="1897"/>
      <c r="BE351" s="1897"/>
    </row>
    <row r="352" spans="35:57">
      <c r="AI352" s="1518"/>
      <c r="AJ352" s="1897"/>
      <c r="AK352" s="1897"/>
      <c r="AL352" s="1897"/>
      <c r="AM352" s="1897"/>
      <c r="AN352" s="1897"/>
      <c r="AO352" s="1897"/>
      <c r="AP352" s="1897"/>
      <c r="AQ352" s="1897"/>
      <c r="AR352" s="1897"/>
      <c r="AS352" s="1897"/>
      <c r="AT352" s="1897"/>
      <c r="AU352" s="1897"/>
      <c r="AV352" s="1897"/>
      <c r="AW352" s="1897"/>
      <c r="AX352" s="1897"/>
      <c r="AY352" s="1897"/>
      <c r="AZ352" s="1897"/>
      <c r="BA352" s="1897"/>
      <c r="BB352" s="1897"/>
      <c r="BC352" s="1897"/>
      <c r="BD352" s="1897"/>
      <c r="BE352" s="1897"/>
    </row>
    <row r="353" spans="35:57">
      <c r="AI353" s="1518"/>
      <c r="AJ353" s="1897"/>
      <c r="AK353" s="1897"/>
      <c r="AL353" s="1897"/>
      <c r="AM353" s="1897"/>
      <c r="AN353" s="1897"/>
      <c r="AO353" s="1897"/>
      <c r="AP353" s="1897"/>
      <c r="AQ353" s="1897"/>
      <c r="AR353" s="1897"/>
      <c r="AS353" s="1897"/>
      <c r="AT353" s="1897"/>
      <c r="AU353" s="1897"/>
      <c r="AV353" s="1897"/>
      <c r="AW353" s="1897"/>
      <c r="AX353" s="1897"/>
      <c r="AY353" s="1897"/>
      <c r="AZ353" s="1897"/>
      <c r="BA353" s="1897"/>
      <c r="BB353" s="1897"/>
      <c r="BC353" s="1897"/>
      <c r="BD353" s="1897"/>
      <c r="BE353" s="1897"/>
    </row>
    <row r="354" spans="35:57">
      <c r="AI354" s="1518"/>
      <c r="AJ354" s="1897"/>
      <c r="AK354" s="1897"/>
      <c r="AL354" s="1897"/>
      <c r="AM354" s="1897"/>
      <c r="AN354" s="1897"/>
      <c r="AO354" s="1897"/>
      <c r="AP354" s="1897"/>
      <c r="AQ354" s="1897"/>
      <c r="AR354" s="1897"/>
      <c r="AS354" s="1897"/>
      <c r="AT354" s="1897"/>
      <c r="AU354" s="1897"/>
      <c r="AV354" s="1897"/>
      <c r="AW354" s="1897"/>
      <c r="AX354" s="1897"/>
      <c r="AY354" s="1897"/>
      <c r="AZ354" s="1897"/>
      <c r="BA354" s="1897"/>
      <c r="BB354" s="1897"/>
      <c r="BC354" s="1897"/>
      <c r="BD354" s="1897"/>
      <c r="BE354" s="1897"/>
    </row>
    <row r="355" spans="35:57">
      <c r="AI355" s="1518"/>
      <c r="AJ355" s="1897"/>
      <c r="AK355" s="1897"/>
      <c r="AL355" s="1897"/>
      <c r="AM355" s="1897"/>
      <c r="AN355" s="1897"/>
      <c r="AO355" s="1897"/>
      <c r="AP355" s="1897"/>
      <c r="AQ355" s="1897"/>
      <c r="AR355" s="1897"/>
      <c r="AS355" s="1897"/>
      <c r="AT355" s="1897"/>
      <c r="AU355" s="1897"/>
      <c r="AV355" s="1897"/>
      <c r="AW355" s="1897"/>
      <c r="AX355" s="1897"/>
      <c r="AY355" s="1897"/>
      <c r="AZ355" s="1897"/>
      <c r="BA355" s="1897"/>
      <c r="BB355" s="1897"/>
      <c r="BC355" s="1897"/>
      <c r="BD355" s="1897"/>
      <c r="BE355" s="1897"/>
    </row>
    <row r="356" spans="35:57">
      <c r="AI356" s="1518"/>
      <c r="AJ356" s="1897"/>
      <c r="AK356" s="1897"/>
      <c r="AL356" s="1897"/>
      <c r="AM356" s="1897"/>
      <c r="AN356" s="1897"/>
      <c r="AO356" s="1897"/>
      <c r="AP356" s="1897"/>
      <c r="AQ356" s="1897"/>
      <c r="AR356" s="1897"/>
      <c r="AS356" s="1897"/>
      <c r="AT356" s="1897"/>
      <c r="AU356" s="1897"/>
      <c r="AV356" s="1897"/>
      <c r="AW356" s="1897"/>
      <c r="AX356" s="1897"/>
      <c r="AY356" s="1897"/>
      <c r="AZ356" s="1897"/>
      <c r="BA356" s="1897"/>
      <c r="BB356" s="1897"/>
      <c r="BC356" s="1897"/>
      <c r="BD356" s="1897"/>
      <c r="BE356" s="1897"/>
    </row>
    <row r="357" spans="35:57">
      <c r="AI357" s="1518"/>
      <c r="AJ357" s="1897"/>
      <c r="AK357" s="1897"/>
      <c r="AL357" s="1897"/>
      <c r="AM357" s="1897"/>
      <c r="AN357" s="1897"/>
      <c r="AO357" s="1897"/>
      <c r="AP357" s="1897"/>
      <c r="AQ357" s="1897"/>
      <c r="AR357" s="1897"/>
      <c r="AS357" s="1897"/>
      <c r="AT357" s="1897"/>
      <c r="AU357" s="1897"/>
      <c r="AV357" s="1897"/>
      <c r="AW357" s="1897"/>
      <c r="AX357" s="1897"/>
      <c r="AY357" s="1897"/>
      <c r="AZ357" s="1897"/>
      <c r="BA357" s="1897"/>
      <c r="BB357" s="1897"/>
      <c r="BC357" s="1897"/>
      <c r="BD357" s="1897"/>
      <c r="BE357" s="1897"/>
    </row>
    <row r="358" spans="35:57">
      <c r="AI358" s="1518"/>
      <c r="AJ358" s="1897"/>
      <c r="AK358" s="1897"/>
      <c r="AL358" s="1897"/>
      <c r="AM358" s="1897"/>
      <c r="AN358" s="1897"/>
      <c r="AO358" s="1897"/>
      <c r="AP358" s="1897"/>
      <c r="AQ358" s="1897"/>
      <c r="AR358" s="1897"/>
      <c r="AS358" s="1897"/>
      <c r="AT358" s="1897"/>
      <c r="AU358" s="1897"/>
      <c r="AV358" s="1897"/>
      <c r="AW358" s="1897"/>
      <c r="AX358" s="1897"/>
      <c r="AY358" s="1897"/>
      <c r="AZ358" s="1897"/>
      <c r="BA358" s="1897"/>
      <c r="BB358" s="1897"/>
      <c r="BC358" s="1897"/>
      <c r="BD358" s="1897"/>
      <c r="BE358" s="1897"/>
    </row>
    <row r="359" spans="35:57">
      <c r="AI359" s="1518"/>
      <c r="AJ359" s="1897"/>
      <c r="AK359" s="1897"/>
      <c r="AL359" s="1897"/>
      <c r="AM359" s="1897"/>
      <c r="AN359" s="1897"/>
      <c r="AO359" s="1897"/>
      <c r="AP359" s="1897"/>
      <c r="AQ359" s="1897"/>
      <c r="AR359" s="1897"/>
      <c r="AS359" s="1897"/>
      <c r="AT359" s="1897"/>
      <c r="AU359" s="1897"/>
      <c r="AV359" s="1897"/>
      <c r="AW359" s="1897"/>
      <c r="AX359" s="1897"/>
      <c r="AY359" s="1897"/>
      <c r="AZ359" s="1897"/>
      <c r="BA359" s="1897"/>
      <c r="BB359" s="1897"/>
      <c r="BC359" s="1897"/>
      <c r="BD359" s="1897"/>
      <c r="BE359" s="1897"/>
    </row>
  </sheetData>
  <mergeCells count="25">
    <mergeCell ref="A77:N77"/>
    <mergeCell ref="A46:N46"/>
    <mergeCell ref="G43:I43"/>
    <mergeCell ref="A36:N36"/>
    <mergeCell ref="A66:N66"/>
    <mergeCell ref="G58:I58"/>
    <mergeCell ref="G59:I59"/>
    <mergeCell ref="G56:I56"/>
    <mergeCell ref="A52:N52"/>
    <mergeCell ref="A60:N60"/>
    <mergeCell ref="G93:I93"/>
    <mergeCell ref="A90:N90"/>
    <mergeCell ref="G89:I89"/>
    <mergeCell ref="A1:M1"/>
    <mergeCell ref="A11:N11"/>
    <mergeCell ref="A3:Q3"/>
    <mergeCell ref="D4:M4"/>
    <mergeCell ref="A6:N6"/>
    <mergeCell ref="G10:I10"/>
    <mergeCell ref="A13:N13"/>
    <mergeCell ref="A28:N28"/>
    <mergeCell ref="G26:I26"/>
    <mergeCell ref="G27:I27"/>
    <mergeCell ref="A21:N21"/>
    <mergeCell ref="G20:I20"/>
  </mergeCells>
  <conditionalFormatting sqref="N92:N1048576 N78:N81 N1:N4 N83:N89 N6:N76">
    <cfRule type="duplicateValues" dxfId="3" priority="4"/>
  </conditionalFormatting>
  <conditionalFormatting sqref="N77">
    <cfRule type="duplicateValues" dxfId="2" priority="3"/>
  </conditionalFormatting>
  <conditionalFormatting sqref="N82">
    <cfRule type="duplicateValues" dxfId="1" priority="2"/>
  </conditionalFormatting>
  <conditionalFormatting sqref="N90">
    <cfRule type="duplicateValues" dxfId="0" priority="1"/>
  </conditionalFormatting>
  <hyperlinks>
    <hyperlink ref="F27" r:id="rId1" display="javascript:void(0)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22"/>
  <sheetViews>
    <sheetView zoomScaleNormal="100" workbookViewId="0">
      <pane xSplit="13" ySplit="5" topLeftCell="AE112" activePane="bottomRight" state="frozen"/>
      <selection pane="topRight" activeCell="N1" sqref="N1"/>
      <selection pane="bottomLeft" activeCell="A6" sqref="A6"/>
      <selection pane="bottomRight" activeCell="AE116" sqref="AE116"/>
    </sheetView>
  </sheetViews>
  <sheetFormatPr defaultColWidth="10.33203125" defaultRowHeight="13.2"/>
  <cols>
    <col min="1" max="1" width="3.88671875" style="1" customWidth="1"/>
    <col min="2" max="2" width="12.33203125" style="6" customWidth="1"/>
    <col min="3" max="3" width="17.6640625" style="4" customWidth="1"/>
    <col min="4" max="4" width="10.109375" style="3" customWidth="1"/>
    <col min="5" max="5" width="17.6640625" style="4" customWidth="1"/>
    <col min="6" max="6" width="15.88671875" style="4" customWidth="1"/>
    <col min="7" max="7" width="7.33203125" style="4" customWidth="1"/>
    <col min="8" max="10" width="5.109375" style="6" customWidth="1"/>
    <col min="11" max="11" width="7.109375" style="11" customWidth="1"/>
    <col min="12" max="12" width="19.44140625" style="5" customWidth="1"/>
    <col min="13" max="13" width="22.6640625" style="5" customWidth="1"/>
    <col min="14" max="14" width="19.44140625" style="7" customWidth="1"/>
    <col min="15" max="15" width="13.5546875" style="7" customWidth="1"/>
    <col min="16" max="16" width="11.88671875" style="5" customWidth="1"/>
    <col min="17" max="17" width="12.6640625" style="6" customWidth="1"/>
    <col min="18" max="18" width="7.44140625" style="1" customWidth="1"/>
    <col min="19" max="19" width="12.44140625" style="6" customWidth="1"/>
    <col min="20" max="21" width="15.33203125" style="744" customWidth="1"/>
    <col min="22" max="22" width="12.6640625" style="743" customWidth="1"/>
    <col min="23" max="23" width="10.44140625" style="743" customWidth="1"/>
    <col min="24" max="24" width="11" style="743" customWidth="1"/>
    <col min="25" max="25" width="11.44140625" style="743" customWidth="1"/>
    <col min="26" max="26" width="11.88671875" style="744" customWidth="1"/>
    <col min="27" max="27" width="14" style="743" customWidth="1"/>
    <col min="28" max="28" width="16.33203125" style="743" customWidth="1"/>
    <col min="29" max="29" width="19.44140625" style="743" customWidth="1"/>
    <col min="30" max="30" width="34.33203125" style="1358" customWidth="1"/>
    <col min="31" max="31" width="18.6640625" style="747" customWidth="1"/>
    <col min="32" max="32" width="18.5546875" style="748" customWidth="1"/>
    <col min="33" max="33" width="18.5546875" style="1359" customWidth="1"/>
    <col min="34" max="34" width="37.109375" style="1350" customWidth="1"/>
    <col min="35" max="198" width="10.33203125" style="1351"/>
    <col min="199" max="199" width="7" style="1351" customWidth="1"/>
    <col min="200" max="200" width="13" style="1351" customWidth="1"/>
    <col min="201" max="201" width="14.109375" style="1351" customWidth="1"/>
    <col min="202" max="202" width="17.33203125" style="1351" customWidth="1"/>
    <col min="203" max="203" width="18.88671875" style="1351" customWidth="1"/>
    <col min="204" max="204" width="14.109375" style="1351" customWidth="1"/>
    <col min="205" max="205" width="21.5546875" style="1351" customWidth="1"/>
    <col min="206" max="207" width="14.109375" style="1351" customWidth="1"/>
    <col min="208" max="208" width="15" style="1351" customWidth="1"/>
    <col min="209" max="209" width="13.33203125" style="1351" customWidth="1"/>
    <col min="210" max="210" width="17" style="1351" customWidth="1"/>
    <col min="211" max="211" width="24.88671875" style="1351" customWidth="1"/>
    <col min="212" max="212" width="14.44140625" style="1351" customWidth="1"/>
    <col min="213" max="213" width="23.109375" style="1351" customWidth="1"/>
    <col min="214" max="214" width="13.109375" style="1351" customWidth="1"/>
    <col min="215" max="218" width="0" style="1351" hidden="1" customWidth="1"/>
    <col min="219" max="454" width="10.33203125" style="1351"/>
    <col min="455" max="455" width="7" style="1351" customWidth="1"/>
    <col min="456" max="456" width="13" style="1351" customWidth="1"/>
    <col min="457" max="457" width="14.109375" style="1351" customWidth="1"/>
    <col min="458" max="458" width="17.33203125" style="1351" customWidth="1"/>
    <col min="459" max="459" width="18.88671875" style="1351" customWidth="1"/>
    <col min="460" max="460" width="14.109375" style="1351" customWidth="1"/>
    <col min="461" max="461" width="21.5546875" style="1351" customWidth="1"/>
    <col min="462" max="463" width="14.109375" style="1351" customWidth="1"/>
    <col min="464" max="464" width="15" style="1351" customWidth="1"/>
    <col min="465" max="465" width="13.33203125" style="1351" customWidth="1"/>
    <col min="466" max="466" width="17" style="1351" customWidth="1"/>
    <col min="467" max="467" width="24.88671875" style="1351" customWidth="1"/>
    <col min="468" max="468" width="14.44140625" style="1351" customWidth="1"/>
    <col min="469" max="469" width="23.109375" style="1351" customWidth="1"/>
    <col min="470" max="470" width="13.109375" style="1351" customWidth="1"/>
    <col min="471" max="474" width="0" style="1351" hidden="1" customWidth="1"/>
    <col min="475" max="710" width="10.33203125" style="1351"/>
    <col min="711" max="711" width="7" style="1351" customWidth="1"/>
    <col min="712" max="712" width="13" style="1351" customWidth="1"/>
    <col min="713" max="713" width="14.109375" style="1351" customWidth="1"/>
    <col min="714" max="714" width="17.33203125" style="1351" customWidth="1"/>
    <col min="715" max="715" width="18.88671875" style="1351" customWidth="1"/>
    <col min="716" max="716" width="14.109375" style="1351" customWidth="1"/>
    <col min="717" max="717" width="21.5546875" style="1351" customWidth="1"/>
    <col min="718" max="719" width="14.109375" style="1351" customWidth="1"/>
    <col min="720" max="720" width="15" style="1351" customWidth="1"/>
    <col min="721" max="721" width="13.33203125" style="1351" customWidth="1"/>
    <col min="722" max="722" width="17" style="1351" customWidth="1"/>
    <col min="723" max="723" width="24.88671875" style="1351" customWidth="1"/>
    <col min="724" max="724" width="14.44140625" style="1351" customWidth="1"/>
    <col min="725" max="725" width="23.109375" style="1351" customWidth="1"/>
    <col min="726" max="726" width="13.109375" style="1351" customWidth="1"/>
    <col min="727" max="730" width="0" style="1351" hidden="1" customWidth="1"/>
    <col min="731" max="966" width="10.33203125" style="1351"/>
    <col min="967" max="967" width="7" style="1351" customWidth="1"/>
    <col min="968" max="968" width="13" style="1351" customWidth="1"/>
    <col min="969" max="969" width="14.109375" style="1351" customWidth="1"/>
    <col min="970" max="970" width="17.33203125" style="1351" customWidth="1"/>
    <col min="971" max="971" width="18.88671875" style="1351" customWidth="1"/>
    <col min="972" max="972" width="14.109375" style="1351" customWidth="1"/>
    <col min="973" max="973" width="21.5546875" style="1351" customWidth="1"/>
    <col min="974" max="975" width="14.109375" style="1351" customWidth="1"/>
    <col min="976" max="976" width="15" style="1351" customWidth="1"/>
    <col min="977" max="977" width="13.33203125" style="1351" customWidth="1"/>
    <col min="978" max="978" width="17" style="1351" customWidth="1"/>
    <col min="979" max="979" width="24.88671875" style="1351" customWidth="1"/>
    <col min="980" max="980" width="14.44140625" style="1351" customWidth="1"/>
    <col min="981" max="981" width="23.109375" style="1351" customWidth="1"/>
    <col min="982" max="982" width="13.109375" style="1351" customWidth="1"/>
    <col min="983" max="986" width="0" style="1351" hidden="1" customWidth="1"/>
    <col min="987" max="1222" width="10.33203125" style="1351"/>
    <col min="1223" max="1223" width="7" style="1351" customWidth="1"/>
    <col min="1224" max="1224" width="13" style="1351" customWidth="1"/>
    <col min="1225" max="1225" width="14.109375" style="1351" customWidth="1"/>
    <col min="1226" max="1226" width="17.33203125" style="1351" customWidth="1"/>
    <col min="1227" max="1227" width="18.88671875" style="1351" customWidth="1"/>
    <col min="1228" max="1228" width="14.109375" style="1351" customWidth="1"/>
    <col min="1229" max="1229" width="21.5546875" style="1351" customWidth="1"/>
    <col min="1230" max="1231" width="14.109375" style="1351" customWidth="1"/>
    <col min="1232" max="1232" width="15" style="1351" customWidth="1"/>
    <col min="1233" max="1233" width="13.33203125" style="1351" customWidth="1"/>
    <col min="1234" max="1234" width="17" style="1351" customWidth="1"/>
    <col min="1235" max="1235" width="24.88671875" style="1351" customWidth="1"/>
    <col min="1236" max="1236" width="14.44140625" style="1351" customWidth="1"/>
    <col min="1237" max="1237" width="23.109375" style="1351" customWidth="1"/>
    <col min="1238" max="1238" width="13.109375" style="1351" customWidth="1"/>
    <col min="1239" max="1242" width="0" style="1351" hidden="1" customWidth="1"/>
    <col min="1243" max="1478" width="10.33203125" style="1351"/>
    <col min="1479" max="1479" width="7" style="1351" customWidth="1"/>
    <col min="1480" max="1480" width="13" style="1351" customWidth="1"/>
    <col min="1481" max="1481" width="14.109375" style="1351" customWidth="1"/>
    <col min="1482" max="1482" width="17.33203125" style="1351" customWidth="1"/>
    <col min="1483" max="1483" width="18.88671875" style="1351" customWidth="1"/>
    <col min="1484" max="1484" width="14.109375" style="1351" customWidth="1"/>
    <col min="1485" max="1485" width="21.5546875" style="1351" customWidth="1"/>
    <col min="1486" max="1487" width="14.109375" style="1351" customWidth="1"/>
    <col min="1488" max="1488" width="15" style="1351" customWidth="1"/>
    <col min="1489" max="1489" width="13.33203125" style="1351" customWidth="1"/>
    <col min="1490" max="1490" width="17" style="1351" customWidth="1"/>
    <col min="1491" max="1491" width="24.88671875" style="1351" customWidth="1"/>
    <col min="1492" max="1492" width="14.44140625" style="1351" customWidth="1"/>
    <col min="1493" max="1493" width="23.109375" style="1351" customWidth="1"/>
    <col min="1494" max="1494" width="13.109375" style="1351" customWidth="1"/>
    <col min="1495" max="1498" width="0" style="1351" hidden="1" customWidth="1"/>
    <col min="1499" max="1734" width="10.33203125" style="1351"/>
    <col min="1735" max="1735" width="7" style="1351" customWidth="1"/>
    <col min="1736" max="1736" width="13" style="1351" customWidth="1"/>
    <col min="1737" max="1737" width="14.109375" style="1351" customWidth="1"/>
    <col min="1738" max="1738" width="17.33203125" style="1351" customWidth="1"/>
    <col min="1739" max="1739" width="18.88671875" style="1351" customWidth="1"/>
    <col min="1740" max="1740" width="14.109375" style="1351" customWidth="1"/>
    <col min="1741" max="1741" width="21.5546875" style="1351" customWidth="1"/>
    <col min="1742" max="1743" width="14.109375" style="1351" customWidth="1"/>
    <col min="1744" max="1744" width="15" style="1351" customWidth="1"/>
    <col min="1745" max="1745" width="13.33203125" style="1351" customWidth="1"/>
    <col min="1746" max="1746" width="17" style="1351" customWidth="1"/>
    <col min="1747" max="1747" width="24.88671875" style="1351" customWidth="1"/>
    <col min="1748" max="1748" width="14.44140625" style="1351" customWidth="1"/>
    <col min="1749" max="1749" width="23.109375" style="1351" customWidth="1"/>
    <col min="1750" max="1750" width="13.109375" style="1351" customWidth="1"/>
    <col min="1751" max="1754" width="0" style="1351" hidden="1" customWidth="1"/>
    <col min="1755" max="1990" width="10.33203125" style="1351"/>
    <col min="1991" max="1991" width="7" style="1351" customWidth="1"/>
    <col min="1992" max="1992" width="13" style="1351" customWidth="1"/>
    <col min="1993" max="1993" width="14.109375" style="1351" customWidth="1"/>
    <col min="1994" max="1994" width="17.33203125" style="1351" customWidth="1"/>
    <col min="1995" max="1995" width="18.88671875" style="1351" customWidth="1"/>
    <col min="1996" max="1996" width="14.109375" style="1351" customWidth="1"/>
    <col min="1997" max="1997" width="21.5546875" style="1351" customWidth="1"/>
    <col min="1998" max="1999" width="14.109375" style="1351" customWidth="1"/>
    <col min="2000" max="2000" width="15" style="1351" customWidth="1"/>
    <col min="2001" max="2001" width="13.33203125" style="1351" customWidth="1"/>
    <col min="2002" max="2002" width="17" style="1351" customWidth="1"/>
    <col min="2003" max="2003" width="24.88671875" style="1351" customWidth="1"/>
    <col min="2004" max="2004" width="14.44140625" style="1351" customWidth="1"/>
    <col min="2005" max="2005" width="23.109375" style="1351" customWidth="1"/>
    <col min="2006" max="2006" width="13.109375" style="1351" customWidth="1"/>
    <col min="2007" max="2010" width="0" style="1351" hidden="1" customWidth="1"/>
    <col min="2011" max="2246" width="10.33203125" style="1351"/>
    <col min="2247" max="2247" width="7" style="1351" customWidth="1"/>
    <col min="2248" max="2248" width="13" style="1351" customWidth="1"/>
    <col min="2249" max="2249" width="14.109375" style="1351" customWidth="1"/>
    <col min="2250" max="2250" width="17.33203125" style="1351" customWidth="1"/>
    <col min="2251" max="2251" width="18.88671875" style="1351" customWidth="1"/>
    <col min="2252" max="2252" width="14.109375" style="1351" customWidth="1"/>
    <col min="2253" max="2253" width="21.5546875" style="1351" customWidth="1"/>
    <col min="2254" max="2255" width="14.109375" style="1351" customWidth="1"/>
    <col min="2256" max="2256" width="15" style="1351" customWidth="1"/>
    <col min="2257" max="2257" width="13.33203125" style="1351" customWidth="1"/>
    <col min="2258" max="2258" width="17" style="1351" customWidth="1"/>
    <col min="2259" max="2259" width="24.88671875" style="1351" customWidth="1"/>
    <col min="2260" max="2260" width="14.44140625" style="1351" customWidth="1"/>
    <col min="2261" max="2261" width="23.109375" style="1351" customWidth="1"/>
    <col min="2262" max="2262" width="13.109375" style="1351" customWidth="1"/>
    <col min="2263" max="2266" width="0" style="1351" hidden="1" customWidth="1"/>
    <col min="2267" max="2502" width="10.33203125" style="1351"/>
    <col min="2503" max="2503" width="7" style="1351" customWidth="1"/>
    <col min="2504" max="2504" width="13" style="1351" customWidth="1"/>
    <col min="2505" max="2505" width="14.109375" style="1351" customWidth="1"/>
    <col min="2506" max="2506" width="17.33203125" style="1351" customWidth="1"/>
    <col min="2507" max="2507" width="18.88671875" style="1351" customWidth="1"/>
    <col min="2508" max="2508" width="14.109375" style="1351" customWidth="1"/>
    <col min="2509" max="2509" width="21.5546875" style="1351" customWidth="1"/>
    <col min="2510" max="2511" width="14.109375" style="1351" customWidth="1"/>
    <col min="2512" max="2512" width="15" style="1351" customWidth="1"/>
    <col min="2513" max="2513" width="13.33203125" style="1351" customWidth="1"/>
    <col min="2514" max="2514" width="17" style="1351" customWidth="1"/>
    <col min="2515" max="2515" width="24.88671875" style="1351" customWidth="1"/>
    <col min="2516" max="2516" width="14.44140625" style="1351" customWidth="1"/>
    <col min="2517" max="2517" width="23.109375" style="1351" customWidth="1"/>
    <col min="2518" max="2518" width="13.109375" style="1351" customWidth="1"/>
    <col min="2519" max="2522" width="0" style="1351" hidden="1" customWidth="1"/>
    <col min="2523" max="2758" width="10.33203125" style="1351"/>
    <col min="2759" max="2759" width="7" style="1351" customWidth="1"/>
    <col min="2760" max="2760" width="13" style="1351" customWidth="1"/>
    <col min="2761" max="2761" width="14.109375" style="1351" customWidth="1"/>
    <col min="2762" max="2762" width="17.33203125" style="1351" customWidth="1"/>
    <col min="2763" max="2763" width="18.88671875" style="1351" customWidth="1"/>
    <col min="2764" max="2764" width="14.109375" style="1351" customWidth="1"/>
    <col min="2765" max="2765" width="21.5546875" style="1351" customWidth="1"/>
    <col min="2766" max="2767" width="14.109375" style="1351" customWidth="1"/>
    <col min="2768" max="2768" width="15" style="1351" customWidth="1"/>
    <col min="2769" max="2769" width="13.33203125" style="1351" customWidth="1"/>
    <col min="2770" max="2770" width="17" style="1351" customWidth="1"/>
    <col min="2771" max="2771" width="24.88671875" style="1351" customWidth="1"/>
    <col min="2772" max="2772" width="14.44140625" style="1351" customWidth="1"/>
    <col min="2773" max="2773" width="23.109375" style="1351" customWidth="1"/>
    <col min="2774" max="2774" width="13.109375" style="1351" customWidth="1"/>
    <col min="2775" max="2778" width="0" style="1351" hidden="1" customWidth="1"/>
    <col min="2779" max="3014" width="10.33203125" style="1351"/>
    <col min="3015" max="3015" width="7" style="1351" customWidth="1"/>
    <col min="3016" max="3016" width="13" style="1351" customWidth="1"/>
    <col min="3017" max="3017" width="14.109375" style="1351" customWidth="1"/>
    <col min="3018" max="3018" width="17.33203125" style="1351" customWidth="1"/>
    <col min="3019" max="3019" width="18.88671875" style="1351" customWidth="1"/>
    <col min="3020" max="3020" width="14.109375" style="1351" customWidth="1"/>
    <col min="3021" max="3021" width="21.5546875" style="1351" customWidth="1"/>
    <col min="3022" max="3023" width="14.109375" style="1351" customWidth="1"/>
    <col min="3024" max="3024" width="15" style="1351" customWidth="1"/>
    <col min="3025" max="3025" width="13.33203125" style="1351" customWidth="1"/>
    <col min="3026" max="3026" width="17" style="1351" customWidth="1"/>
    <col min="3027" max="3027" width="24.88671875" style="1351" customWidth="1"/>
    <col min="3028" max="3028" width="14.44140625" style="1351" customWidth="1"/>
    <col min="3029" max="3029" width="23.109375" style="1351" customWidth="1"/>
    <col min="3030" max="3030" width="13.109375" style="1351" customWidth="1"/>
    <col min="3031" max="3034" width="0" style="1351" hidden="1" customWidth="1"/>
    <col min="3035" max="3270" width="10.33203125" style="1351"/>
    <col min="3271" max="3271" width="7" style="1351" customWidth="1"/>
    <col min="3272" max="3272" width="13" style="1351" customWidth="1"/>
    <col min="3273" max="3273" width="14.109375" style="1351" customWidth="1"/>
    <col min="3274" max="3274" width="17.33203125" style="1351" customWidth="1"/>
    <col min="3275" max="3275" width="18.88671875" style="1351" customWidth="1"/>
    <col min="3276" max="3276" width="14.109375" style="1351" customWidth="1"/>
    <col min="3277" max="3277" width="21.5546875" style="1351" customWidth="1"/>
    <col min="3278" max="3279" width="14.109375" style="1351" customWidth="1"/>
    <col min="3280" max="3280" width="15" style="1351" customWidth="1"/>
    <col min="3281" max="3281" width="13.33203125" style="1351" customWidth="1"/>
    <col min="3282" max="3282" width="17" style="1351" customWidth="1"/>
    <col min="3283" max="3283" width="24.88671875" style="1351" customWidth="1"/>
    <col min="3284" max="3284" width="14.44140625" style="1351" customWidth="1"/>
    <col min="3285" max="3285" width="23.109375" style="1351" customWidth="1"/>
    <col min="3286" max="3286" width="13.109375" style="1351" customWidth="1"/>
    <col min="3287" max="3290" width="0" style="1351" hidden="1" customWidth="1"/>
    <col min="3291" max="3526" width="10.33203125" style="1351"/>
    <col min="3527" max="3527" width="7" style="1351" customWidth="1"/>
    <col min="3528" max="3528" width="13" style="1351" customWidth="1"/>
    <col min="3529" max="3529" width="14.109375" style="1351" customWidth="1"/>
    <col min="3530" max="3530" width="17.33203125" style="1351" customWidth="1"/>
    <col min="3531" max="3531" width="18.88671875" style="1351" customWidth="1"/>
    <col min="3532" max="3532" width="14.109375" style="1351" customWidth="1"/>
    <col min="3533" max="3533" width="21.5546875" style="1351" customWidth="1"/>
    <col min="3534" max="3535" width="14.109375" style="1351" customWidth="1"/>
    <col min="3536" max="3536" width="15" style="1351" customWidth="1"/>
    <col min="3537" max="3537" width="13.33203125" style="1351" customWidth="1"/>
    <col min="3538" max="3538" width="17" style="1351" customWidth="1"/>
    <col min="3539" max="3539" width="24.88671875" style="1351" customWidth="1"/>
    <col min="3540" max="3540" width="14.44140625" style="1351" customWidth="1"/>
    <col min="3541" max="3541" width="23.109375" style="1351" customWidth="1"/>
    <col min="3542" max="3542" width="13.109375" style="1351" customWidth="1"/>
    <col min="3543" max="3546" width="0" style="1351" hidden="1" customWidth="1"/>
    <col min="3547" max="3782" width="10.33203125" style="1351"/>
    <col min="3783" max="3783" width="7" style="1351" customWidth="1"/>
    <col min="3784" max="3784" width="13" style="1351" customWidth="1"/>
    <col min="3785" max="3785" width="14.109375" style="1351" customWidth="1"/>
    <col min="3786" max="3786" width="17.33203125" style="1351" customWidth="1"/>
    <col min="3787" max="3787" width="18.88671875" style="1351" customWidth="1"/>
    <col min="3788" max="3788" width="14.109375" style="1351" customWidth="1"/>
    <col min="3789" max="3789" width="21.5546875" style="1351" customWidth="1"/>
    <col min="3790" max="3791" width="14.109375" style="1351" customWidth="1"/>
    <col min="3792" max="3792" width="15" style="1351" customWidth="1"/>
    <col min="3793" max="3793" width="13.33203125" style="1351" customWidth="1"/>
    <col min="3794" max="3794" width="17" style="1351" customWidth="1"/>
    <col min="3795" max="3795" width="24.88671875" style="1351" customWidth="1"/>
    <col min="3796" max="3796" width="14.44140625" style="1351" customWidth="1"/>
    <col min="3797" max="3797" width="23.109375" style="1351" customWidth="1"/>
    <col min="3798" max="3798" width="13.109375" style="1351" customWidth="1"/>
    <col min="3799" max="3802" width="0" style="1351" hidden="1" customWidth="1"/>
    <col min="3803" max="4038" width="10.33203125" style="1351"/>
    <col min="4039" max="4039" width="7" style="1351" customWidth="1"/>
    <col min="4040" max="4040" width="13" style="1351" customWidth="1"/>
    <col min="4041" max="4041" width="14.109375" style="1351" customWidth="1"/>
    <col min="4042" max="4042" width="17.33203125" style="1351" customWidth="1"/>
    <col min="4043" max="4043" width="18.88671875" style="1351" customWidth="1"/>
    <col min="4044" max="4044" width="14.109375" style="1351" customWidth="1"/>
    <col min="4045" max="4045" width="21.5546875" style="1351" customWidth="1"/>
    <col min="4046" max="4047" width="14.109375" style="1351" customWidth="1"/>
    <col min="4048" max="4048" width="15" style="1351" customWidth="1"/>
    <col min="4049" max="4049" width="13.33203125" style="1351" customWidth="1"/>
    <col min="4050" max="4050" width="17" style="1351" customWidth="1"/>
    <col min="4051" max="4051" width="24.88671875" style="1351" customWidth="1"/>
    <col min="4052" max="4052" width="14.44140625" style="1351" customWidth="1"/>
    <col min="4053" max="4053" width="23.109375" style="1351" customWidth="1"/>
    <col min="4054" max="4054" width="13.109375" style="1351" customWidth="1"/>
    <col min="4055" max="4058" width="0" style="1351" hidden="1" customWidth="1"/>
    <col min="4059" max="4294" width="10.33203125" style="1351"/>
    <col min="4295" max="4295" width="7" style="1351" customWidth="1"/>
    <col min="4296" max="4296" width="13" style="1351" customWidth="1"/>
    <col min="4297" max="4297" width="14.109375" style="1351" customWidth="1"/>
    <col min="4298" max="4298" width="17.33203125" style="1351" customWidth="1"/>
    <col min="4299" max="4299" width="18.88671875" style="1351" customWidth="1"/>
    <col min="4300" max="4300" width="14.109375" style="1351" customWidth="1"/>
    <col min="4301" max="4301" width="21.5546875" style="1351" customWidth="1"/>
    <col min="4302" max="4303" width="14.109375" style="1351" customWidth="1"/>
    <col min="4304" max="4304" width="15" style="1351" customWidth="1"/>
    <col min="4305" max="4305" width="13.33203125" style="1351" customWidth="1"/>
    <col min="4306" max="4306" width="17" style="1351" customWidth="1"/>
    <col min="4307" max="4307" width="24.88671875" style="1351" customWidth="1"/>
    <col min="4308" max="4308" width="14.44140625" style="1351" customWidth="1"/>
    <col min="4309" max="4309" width="23.109375" style="1351" customWidth="1"/>
    <col min="4310" max="4310" width="13.109375" style="1351" customWidth="1"/>
    <col min="4311" max="4314" width="0" style="1351" hidden="1" customWidth="1"/>
    <col min="4315" max="4550" width="10.33203125" style="1351"/>
    <col min="4551" max="4551" width="7" style="1351" customWidth="1"/>
    <col min="4552" max="4552" width="13" style="1351" customWidth="1"/>
    <col min="4553" max="4553" width="14.109375" style="1351" customWidth="1"/>
    <col min="4554" max="4554" width="17.33203125" style="1351" customWidth="1"/>
    <col min="4555" max="4555" width="18.88671875" style="1351" customWidth="1"/>
    <col min="4556" max="4556" width="14.109375" style="1351" customWidth="1"/>
    <col min="4557" max="4557" width="21.5546875" style="1351" customWidth="1"/>
    <col min="4558" max="4559" width="14.109375" style="1351" customWidth="1"/>
    <col min="4560" max="4560" width="15" style="1351" customWidth="1"/>
    <col min="4561" max="4561" width="13.33203125" style="1351" customWidth="1"/>
    <col min="4562" max="4562" width="17" style="1351" customWidth="1"/>
    <col min="4563" max="4563" width="24.88671875" style="1351" customWidth="1"/>
    <col min="4564" max="4564" width="14.44140625" style="1351" customWidth="1"/>
    <col min="4565" max="4565" width="23.109375" style="1351" customWidth="1"/>
    <col min="4566" max="4566" width="13.109375" style="1351" customWidth="1"/>
    <col min="4567" max="4570" width="0" style="1351" hidden="1" customWidth="1"/>
    <col min="4571" max="4806" width="10.33203125" style="1351"/>
    <col min="4807" max="4807" width="7" style="1351" customWidth="1"/>
    <col min="4808" max="4808" width="13" style="1351" customWidth="1"/>
    <col min="4809" max="4809" width="14.109375" style="1351" customWidth="1"/>
    <col min="4810" max="4810" width="17.33203125" style="1351" customWidth="1"/>
    <col min="4811" max="4811" width="18.88671875" style="1351" customWidth="1"/>
    <col min="4812" max="4812" width="14.109375" style="1351" customWidth="1"/>
    <col min="4813" max="4813" width="21.5546875" style="1351" customWidth="1"/>
    <col min="4814" max="4815" width="14.109375" style="1351" customWidth="1"/>
    <col min="4816" max="4816" width="15" style="1351" customWidth="1"/>
    <col min="4817" max="4817" width="13.33203125" style="1351" customWidth="1"/>
    <col min="4818" max="4818" width="17" style="1351" customWidth="1"/>
    <col min="4819" max="4819" width="24.88671875" style="1351" customWidth="1"/>
    <col min="4820" max="4820" width="14.44140625" style="1351" customWidth="1"/>
    <col min="4821" max="4821" width="23.109375" style="1351" customWidth="1"/>
    <col min="4822" max="4822" width="13.109375" style="1351" customWidth="1"/>
    <col min="4823" max="4826" width="0" style="1351" hidden="1" customWidth="1"/>
    <col min="4827" max="5062" width="10.33203125" style="1351"/>
    <col min="5063" max="5063" width="7" style="1351" customWidth="1"/>
    <col min="5064" max="5064" width="13" style="1351" customWidth="1"/>
    <col min="5065" max="5065" width="14.109375" style="1351" customWidth="1"/>
    <col min="5066" max="5066" width="17.33203125" style="1351" customWidth="1"/>
    <col min="5067" max="5067" width="18.88671875" style="1351" customWidth="1"/>
    <col min="5068" max="5068" width="14.109375" style="1351" customWidth="1"/>
    <col min="5069" max="5069" width="21.5546875" style="1351" customWidth="1"/>
    <col min="5070" max="5071" width="14.109375" style="1351" customWidth="1"/>
    <col min="5072" max="5072" width="15" style="1351" customWidth="1"/>
    <col min="5073" max="5073" width="13.33203125" style="1351" customWidth="1"/>
    <col min="5074" max="5074" width="17" style="1351" customWidth="1"/>
    <col min="5075" max="5075" width="24.88671875" style="1351" customWidth="1"/>
    <col min="5076" max="5076" width="14.44140625" style="1351" customWidth="1"/>
    <col min="5077" max="5077" width="23.109375" style="1351" customWidth="1"/>
    <col min="5078" max="5078" width="13.109375" style="1351" customWidth="1"/>
    <col min="5079" max="5082" width="0" style="1351" hidden="1" customWidth="1"/>
    <col min="5083" max="5318" width="10.33203125" style="1351"/>
    <col min="5319" max="5319" width="7" style="1351" customWidth="1"/>
    <col min="5320" max="5320" width="13" style="1351" customWidth="1"/>
    <col min="5321" max="5321" width="14.109375" style="1351" customWidth="1"/>
    <col min="5322" max="5322" width="17.33203125" style="1351" customWidth="1"/>
    <col min="5323" max="5323" width="18.88671875" style="1351" customWidth="1"/>
    <col min="5324" max="5324" width="14.109375" style="1351" customWidth="1"/>
    <col min="5325" max="5325" width="21.5546875" style="1351" customWidth="1"/>
    <col min="5326" max="5327" width="14.109375" style="1351" customWidth="1"/>
    <col min="5328" max="5328" width="15" style="1351" customWidth="1"/>
    <col min="5329" max="5329" width="13.33203125" style="1351" customWidth="1"/>
    <col min="5330" max="5330" width="17" style="1351" customWidth="1"/>
    <col min="5331" max="5331" width="24.88671875" style="1351" customWidth="1"/>
    <col min="5332" max="5332" width="14.44140625" style="1351" customWidth="1"/>
    <col min="5333" max="5333" width="23.109375" style="1351" customWidth="1"/>
    <col min="5334" max="5334" width="13.109375" style="1351" customWidth="1"/>
    <col min="5335" max="5338" width="0" style="1351" hidden="1" customWidth="1"/>
    <col min="5339" max="5574" width="10.33203125" style="1351"/>
    <col min="5575" max="5575" width="7" style="1351" customWidth="1"/>
    <col min="5576" max="5576" width="13" style="1351" customWidth="1"/>
    <col min="5577" max="5577" width="14.109375" style="1351" customWidth="1"/>
    <col min="5578" max="5578" width="17.33203125" style="1351" customWidth="1"/>
    <col min="5579" max="5579" width="18.88671875" style="1351" customWidth="1"/>
    <col min="5580" max="5580" width="14.109375" style="1351" customWidth="1"/>
    <col min="5581" max="5581" width="21.5546875" style="1351" customWidth="1"/>
    <col min="5582" max="5583" width="14.109375" style="1351" customWidth="1"/>
    <col min="5584" max="5584" width="15" style="1351" customWidth="1"/>
    <col min="5585" max="5585" width="13.33203125" style="1351" customWidth="1"/>
    <col min="5586" max="5586" width="17" style="1351" customWidth="1"/>
    <col min="5587" max="5587" width="24.88671875" style="1351" customWidth="1"/>
    <col min="5588" max="5588" width="14.44140625" style="1351" customWidth="1"/>
    <col min="5589" max="5589" width="23.109375" style="1351" customWidth="1"/>
    <col min="5590" max="5590" width="13.109375" style="1351" customWidth="1"/>
    <col min="5591" max="5594" width="0" style="1351" hidden="1" customWidth="1"/>
    <col min="5595" max="5830" width="10.33203125" style="1351"/>
    <col min="5831" max="5831" width="7" style="1351" customWidth="1"/>
    <col min="5832" max="5832" width="13" style="1351" customWidth="1"/>
    <col min="5833" max="5833" width="14.109375" style="1351" customWidth="1"/>
    <col min="5834" max="5834" width="17.33203125" style="1351" customWidth="1"/>
    <col min="5835" max="5835" width="18.88671875" style="1351" customWidth="1"/>
    <col min="5836" max="5836" width="14.109375" style="1351" customWidth="1"/>
    <col min="5837" max="5837" width="21.5546875" style="1351" customWidth="1"/>
    <col min="5838" max="5839" width="14.109375" style="1351" customWidth="1"/>
    <col min="5840" max="5840" width="15" style="1351" customWidth="1"/>
    <col min="5841" max="5841" width="13.33203125" style="1351" customWidth="1"/>
    <col min="5842" max="5842" width="17" style="1351" customWidth="1"/>
    <col min="5843" max="5843" width="24.88671875" style="1351" customWidth="1"/>
    <col min="5844" max="5844" width="14.44140625" style="1351" customWidth="1"/>
    <col min="5845" max="5845" width="23.109375" style="1351" customWidth="1"/>
    <col min="5846" max="5846" width="13.109375" style="1351" customWidth="1"/>
    <col min="5847" max="5850" width="0" style="1351" hidden="1" customWidth="1"/>
    <col min="5851" max="6086" width="10.33203125" style="1351"/>
    <col min="6087" max="6087" width="7" style="1351" customWidth="1"/>
    <col min="6088" max="6088" width="13" style="1351" customWidth="1"/>
    <col min="6089" max="6089" width="14.109375" style="1351" customWidth="1"/>
    <col min="6090" max="6090" width="17.33203125" style="1351" customWidth="1"/>
    <col min="6091" max="6091" width="18.88671875" style="1351" customWidth="1"/>
    <col min="6092" max="6092" width="14.109375" style="1351" customWidth="1"/>
    <col min="6093" max="6093" width="21.5546875" style="1351" customWidth="1"/>
    <col min="6094" max="6095" width="14.109375" style="1351" customWidth="1"/>
    <col min="6096" max="6096" width="15" style="1351" customWidth="1"/>
    <col min="6097" max="6097" width="13.33203125" style="1351" customWidth="1"/>
    <col min="6098" max="6098" width="17" style="1351" customWidth="1"/>
    <col min="6099" max="6099" width="24.88671875" style="1351" customWidth="1"/>
    <col min="6100" max="6100" width="14.44140625" style="1351" customWidth="1"/>
    <col min="6101" max="6101" width="23.109375" style="1351" customWidth="1"/>
    <col min="6102" max="6102" width="13.109375" style="1351" customWidth="1"/>
    <col min="6103" max="6106" width="0" style="1351" hidden="1" customWidth="1"/>
    <col min="6107" max="6342" width="10.33203125" style="1351"/>
    <col min="6343" max="6343" width="7" style="1351" customWidth="1"/>
    <col min="6344" max="6344" width="13" style="1351" customWidth="1"/>
    <col min="6345" max="6345" width="14.109375" style="1351" customWidth="1"/>
    <col min="6346" max="6346" width="17.33203125" style="1351" customWidth="1"/>
    <col min="6347" max="6347" width="18.88671875" style="1351" customWidth="1"/>
    <col min="6348" max="6348" width="14.109375" style="1351" customWidth="1"/>
    <col min="6349" max="6349" width="21.5546875" style="1351" customWidth="1"/>
    <col min="6350" max="6351" width="14.109375" style="1351" customWidth="1"/>
    <col min="6352" max="6352" width="15" style="1351" customWidth="1"/>
    <col min="6353" max="6353" width="13.33203125" style="1351" customWidth="1"/>
    <col min="6354" max="6354" width="17" style="1351" customWidth="1"/>
    <col min="6355" max="6355" width="24.88671875" style="1351" customWidth="1"/>
    <col min="6356" max="6356" width="14.44140625" style="1351" customWidth="1"/>
    <col min="6357" max="6357" width="23.109375" style="1351" customWidth="1"/>
    <col min="6358" max="6358" width="13.109375" style="1351" customWidth="1"/>
    <col min="6359" max="6362" width="0" style="1351" hidden="1" customWidth="1"/>
    <col min="6363" max="6598" width="10.33203125" style="1351"/>
    <col min="6599" max="6599" width="7" style="1351" customWidth="1"/>
    <col min="6600" max="6600" width="13" style="1351" customWidth="1"/>
    <col min="6601" max="6601" width="14.109375" style="1351" customWidth="1"/>
    <col min="6602" max="6602" width="17.33203125" style="1351" customWidth="1"/>
    <col min="6603" max="6603" width="18.88671875" style="1351" customWidth="1"/>
    <col min="6604" max="6604" width="14.109375" style="1351" customWidth="1"/>
    <col min="6605" max="6605" width="21.5546875" style="1351" customWidth="1"/>
    <col min="6606" max="6607" width="14.109375" style="1351" customWidth="1"/>
    <col min="6608" max="6608" width="15" style="1351" customWidth="1"/>
    <col min="6609" max="6609" width="13.33203125" style="1351" customWidth="1"/>
    <col min="6610" max="6610" width="17" style="1351" customWidth="1"/>
    <col min="6611" max="6611" width="24.88671875" style="1351" customWidth="1"/>
    <col min="6612" max="6612" width="14.44140625" style="1351" customWidth="1"/>
    <col min="6613" max="6613" width="23.109375" style="1351" customWidth="1"/>
    <col min="6614" max="6614" width="13.109375" style="1351" customWidth="1"/>
    <col min="6615" max="6618" width="0" style="1351" hidden="1" customWidth="1"/>
    <col min="6619" max="6854" width="10.33203125" style="1351"/>
    <col min="6855" max="6855" width="7" style="1351" customWidth="1"/>
    <col min="6856" max="6856" width="13" style="1351" customWidth="1"/>
    <col min="6857" max="6857" width="14.109375" style="1351" customWidth="1"/>
    <col min="6858" max="6858" width="17.33203125" style="1351" customWidth="1"/>
    <col min="6859" max="6859" width="18.88671875" style="1351" customWidth="1"/>
    <col min="6860" max="6860" width="14.109375" style="1351" customWidth="1"/>
    <col min="6861" max="6861" width="21.5546875" style="1351" customWidth="1"/>
    <col min="6862" max="6863" width="14.109375" style="1351" customWidth="1"/>
    <col min="6864" max="6864" width="15" style="1351" customWidth="1"/>
    <col min="6865" max="6865" width="13.33203125" style="1351" customWidth="1"/>
    <col min="6866" max="6866" width="17" style="1351" customWidth="1"/>
    <col min="6867" max="6867" width="24.88671875" style="1351" customWidth="1"/>
    <col min="6868" max="6868" width="14.44140625" style="1351" customWidth="1"/>
    <col min="6869" max="6869" width="23.109375" style="1351" customWidth="1"/>
    <col min="6870" max="6870" width="13.109375" style="1351" customWidth="1"/>
    <col min="6871" max="6874" width="0" style="1351" hidden="1" customWidth="1"/>
    <col min="6875" max="7110" width="10.33203125" style="1351"/>
    <col min="7111" max="7111" width="7" style="1351" customWidth="1"/>
    <col min="7112" max="7112" width="13" style="1351" customWidth="1"/>
    <col min="7113" max="7113" width="14.109375" style="1351" customWidth="1"/>
    <col min="7114" max="7114" width="17.33203125" style="1351" customWidth="1"/>
    <col min="7115" max="7115" width="18.88671875" style="1351" customWidth="1"/>
    <col min="7116" max="7116" width="14.109375" style="1351" customWidth="1"/>
    <col min="7117" max="7117" width="21.5546875" style="1351" customWidth="1"/>
    <col min="7118" max="7119" width="14.109375" style="1351" customWidth="1"/>
    <col min="7120" max="7120" width="15" style="1351" customWidth="1"/>
    <col min="7121" max="7121" width="13.33203125" style="1351" customWidth="1"/>
    <col min="7122" max="7122" width="17" style="1351" customWidth="1"/>
    <col min="7123" max="7123" width="24.88671875" style="1351" customWidth="1"/>
    <col min="7124" max="7124" width="14.44140625" style="1351" customWidth="1"/>
    <col min="7125" max="7125" width="23.109375" style="1351" customWidth="1"/>
    <col min="7126" max="7126" width="13.109375" style="1351" customWidth="1"/>
    <col min="7127" max="7130" width="0" style="1351" hidden="1" customWidth="1"/>
    <col min="7131" max="7366" width="10.33203125" style="1351"/>
    <col min="7367" max="7367" width="7" style="1351" customWidth="1"/>
    <col min="7368" max="7368" width="13" style="1351" customWidth="1"/>
    <col min="7369" max="7369" width="14.109375" style="1351" customWidth="1"/>
    <col min="7370" max="7370" width="17.33203125" style="1351" customWidth="1"/>
    <col min="7371" max="7371" width="18.88671875" style="1351" customWidth="1"/>
    <col min="7372" max="7372" width="14.109375" style="1351" customWidth="1"/>
    <col min="7373" max="7373" width="21.5546875" style="1351" customWidth="1"/>
    <col min="7374" max="7375" width="14.109375" style="1351" customWidth="1"/>
    <col min="7376" max="7376" width="15" style="1351" customWidth="1"/>
    <col min="7377" max="7377" width="13.33203125" style="1351" customWidth="1"/>
    <col min="7378" max="7378" width="17" style="1351" customWidth="1"/>
    <col min="7379" max="7379" width="24.88671875" style="1351" customWidth="1"/>
    <col min="7380" max="7380" width="14.44140625" style="1351" customWidth="1"/>
    <col min="7381" max="7381" width="23.109375" style="1351" customWidth="1"/>
    <col min="7382" max="7382" width="13.109375" style="1351" customWidth="1"/>
    <col min="7383" max="7386" width="0" style="1351" hidden="1" customWidth="1"/>
    <col min="7387" max="7622" width="10.33203125" style="1351"/>
    <col min="7623" max="7623" width="7" style="1351" customWidth="1"/>
    <col min="7624" max="7624" width="13" style="1351" customWidth="1"/>
    <col min="7625" max="7625" width="14.109375" style="1351" customWidth="1"/>
    <col min="7626" max="7626" width="17.33203125" style="1351" customWidth="1"/>
    <col min="7627" max="7627" width="18.88671875" style="1351" customWidth="1"/>
    <col min="7628" max="7628" width="14.109375" style="1351" customWidth="1"/>
    <col min="7629" max="7629" width="21.5546875" style="1351" customWidth="1"/>
    <col min="7630" max="7631" width="14.109375" style="1351" customWidth="1"/>
    <col min="7632" max="7632" width="15" style="1351" customWidth="1"/>
    <col min="7633" max="7633" width="13.33203125" style="1351" customWidth="1"/>
    <col min="7634" max="7634" width="17" style="1351" customWidth="1"/>
    <col min="7635" max="7635" width="24.88671875" style="1351" customWidth="1"/>
    <col min="7636" max="7636" width="14.44140625" style="1351" customWidth="1"/>
    <col min="7637" max="7637" width="23.109375" style="1351" customWidth="1"/>
    <col min="7638" max="7638" width="13.109375" style="1351" customWidth="1"/>
    <col min="7639" max="7642" width="0" style="1351" hidden="1" customWidth="1"/>
    <col min="7643" max="7878" width="10.33203125" style="1351"/>
    <col min="7879" max="7879" width="7" style="1351" customWidth="1"/>
    <col min="7880" max="7880" width="13" style="1351" customWidth="1"/>
    <col min="7881" max="7881" width="14.109375" style="1351" customWidth="1"/>
    <col min="7882" max="7882" width="17.33203125" style="1351" customWidth="1"/>
    <col min="7883" max="7883" width="18.88671875" style="1351" customWidth="1"/>
    <col min="7884" max="7884" width="14.109375" style="1351" customWidth="1"/>
    <col min="7885" max="7885" width="21.5546875" style="1351" customWidth="1"/>
    <col min="7886" max="7887" width="14.109375" style="1351" customWidth="1"/>
    <col min="7888" max="7888" width="15" style="1351" customWidth="1"/>
    <col min="7889" max="7889" width="13.33203125" style="1351" customWidth="1"/>
    <col min="7890" max="7890" width="17" style="1351" customWidth="1"/>
    <col min="7891" max="7891" width="24.88671875" style="1351" customWidth="1"/>
    <col min="7892" max="7892" width="14.44140625" style="1351" customWidth="1"/>
    <col min="7893" max="7893" width="23.109375" style="1351" customWidth="1"/>
    <col min="7894" max="7894" width="13.109375" style="1351" customWidth="1"/>
    <col min="7895" max="7898" width="0" style="1351" hidden="1" customWidth="1"/>
    <col min="7899" max="8134" width="10.33203125" style="1351"/>
    <col min="8135" max="8135" width="7" style="1351" customWidth="1"/>
    <col min="8136" max="8136" width="13" style="1351" customWidth="1"/>
    <col min="8137" max="8137" width="14.109375" style="1351" customWidth="1"/>
    <col min="8138" max="8138" width="17.33203125" style="1351" customWidth="1"/>
    <col min="8139" max="8139" width="18.88671875" style="1351" customWidth="1"/>
    <col min="8140" max="8140" width="14.109375" style="1351" customWidth="1"/>
    <col min="8141" max="8141" width="21.5546875" style="1351" customWidth="1"/>
    <col min="8142" max="8143" width="14.109375" style="1351" customWidth="1"/>
    <col min="8144" max="8144" width="15" style="1351" customWidth="1"/>
    <col min="8145" max="8145" width="13.33203125" style="1351" customWidth="1"/>
    <col min="8146" max="8146" width="17" style="1351" customWidth="1"/>
    <col min="8147" max="8147" width="24.88671875" style="1351" customWidth="1"/>
    <col min="8148" max="8148" width="14.44140625" style="1351" customWidth="1"/>
    <col min="8149" max="8149" width="23.109375" style="1351" customWidth="1"/>
    <col min="8150" max="8150" width="13.109375" style="1351" customWidth="1"/>
    <col min="8151" max="8154" width="0" style="1351" hidden="1" customWidth="1"/>
    <col min="8155" max="8390" width="10.33203125" style="1351"/>
    <col min="8391" max="8391" width="7" style="1351" customWidth="1"/>
    <col min="8392" max="8392" width="13" style="1351" customWidth="1"/>
    <col min="8393" max="8393" width="14.109375" style="1351" customWidth="1"/>
    <col min="8394" max="8394" width="17.33203125" style="1351" customWidth="1"/>
    <col min="8395" max="8395" width="18.88671875" style="1351" customWidth="1"/>
    <col min="8396" max="8396" width="14.109375" style="1351" customWidth="1"/>
    <col min="8397" max="8397" width="21.5546875" style="1351" customWidth="1"/>
    <col min="8398" max="8399" width="14.109375" style="1351" customWidth="1"/>
    <col min="8400" max="8400" width="15" style="1351" customWidth="1"/>
    <col min="8401" max="8401" width="13.33203125" style="1351" customWidth="1"/>
    <col min="8402" max="8402" width="17" style="1351" customWidth="1"/>
    <col min="8403" max="8403" width="24.88671875" style="1351" customWidth="1"/>
    <col min="8404" max="8404" width="14.44140625" style="1351" customWidth="1"/>
    <col min="8405" max="8405" width="23.109375" style="1351" customWidth="1"/>
    <col min="8406" max="8406" width="13.109375" style="1351" customWidth="1"/>
    <col min="8407" max="8410" width="0" style="1351" hidden="1" customWidth="1"/>
    <col min="8411" max="8646" width="10.33203125" style="1351"/>
    <col min="8647" max="8647" width="7" style="1351" customWidth="1"/>
    <col min="8648" max="8648" width="13" style="1351" customWidth="1"/>
    <col min="8649" max="8649" width="14.109375" style="1351" customWidth="1"/>
    <col min="8650" max="8650" width="17.33203125" style="1351" customWidth="1"/>
    <col min="8651" max="8651" width="18.88671875" style="1351" customWidth="1"/>
    <col min="8652" max="8652" width="14.109375" style="1351" customWidth="1"/>
    <col min="8653" max="8653" width="21.5546875" style="1351" customWidth="1"/>
    <col min="8654" max="8655" width="14.109375" style="1351" customWidth="1"/>
    <col min="8656" max="8656" width="15" style="1351" customWidth="1"/>
    <col min="8657" max="8657" width="13.33203125" style="1351" customWidth="1"/>
    <col min="8658" max="8658" width="17" style="1351" customWidth="1"/>
    <col min="8659" max="8659" width="24.88671875" style="1351" customWidth="1"/>
    <col min="8660" max="8660" width="14.44140625" style="1351" customWidth="1"/>
    <col min="8661" max="8661" width="23.109375" style="1351" customWidth="1"/>
    <col min="8662" max="8662" width="13.109375" style="1351" customWidth="1"/>
    <col min="8663" max="8666" width="0" style="1351" hidden="1" customWidth="1"/>
    <col min="8667" max="8902" width="10.33203125" style="1351"/>
    <col min="8903" max="8903" width="7" style="1351" customWidth="1"/>
    <col min="8904" max="8904" width="13" style="1351" customWidth="1"/>
    <col min="8905" max="8905" width="14.109375" style="1351" customWidth="1"/>
    <col min="8906" max="8906" width="17.33203125" style="1351" customWidth="1"/>
    <col min="8907" max="8907" width="18.88671875" style="1351" customWidth="1"/>
    <col min="8908" max="8908" width="14.109375" style="1351" customWidth="1"/>
    <col min="8909" max="8909" width="21.5546875" style="1351" customWidth="1"/>
    <col min="8910" max="8911" width="14.109375" style="1351" customWidth="1"/>
    <col min="8912" max="8912" width="15" style="1351" customWidth="1"/>
    <col min="8913" max="8913" width="13.33203125" style="1351" customWidth="1"/>
    <col min="8914" max="8914" width="17" style="1351" customWidth="1"/>
    <col min="8915" max="8915" width="24.88671875" style="1351" customWidth="1"/>
    <col min="8916" max="8916" width="14.44140625" style="1351" customWidth="1"/>
    <col min="8917" max="8917" width="23.109375" style="1351" customWidth="1"/>
    <col min="8918" max="8918" width="13.109375" style="1351" customWidth="1"/>
    <col min="8919" max="8922" width="0" style="1351" hidden="1" customWidth="1"/>
    <col min="8923" max="9158" width="10.33203125" style="1351"/>
    <col min="9159" max="9159" width="7" style="1351" customWidth="1"/>
    <col min="9160" max="9160" width="13" style="1351" customWidth="1"/>
    <col min="9161" max="9161" width="14.109375" style="1351" customWidth="1"/>
    <col min="9162" max="9162" width="17.33203125" style="1351" customWidth="1"/>
    <col min="9163" max="9163" width="18.88671875" style="1351" customWidth="1"/>
    <col min="9164" max="9164" width="14.109375" style="1351" customWidth="1"/>
    <col min="9165" max="9165" width="21.5546875" style="1351" customWidth="1"/>
    <col min="9166" max="9167" width="14.109375" style="1351" customWidth="1"/>
    <col min="9168" max="9168" width="15" style="1351" customWidth="1"/>
    <col min="9169" max="9169" width="13.33203125" style="1351" customWidth="1"/>
    <col min="9170" max="9170" width="17" style="1351" customWidth="1"/>
    <col min="9171" max="9171" width="24.88671875" style="1351" customWidth="1"/>
    <col min="9172" max="9172" width="14.44140625" style="1351" customWidth="1"/>
    <col min="9173" max="9173" width="23.109375" style="1351" customWidth="1"/>
    <col min="9174" max="9174" width="13.109375" style="1351" customWidth="1"/>
    <col min="9175" max="9178" width="0" style="1351" hidden="1" customWidth="1"/>
    <col min="9179" max="9414" width="10.33203125" style="1351"/>
    <col min="9415" max="9415" width="7" style="1351" customWidth="1"/>
    <col min="9416" max="9416" width="13" style="1351" customWidth="1"/>
    <col min="9417" max="9417" width="14.109375" style="1351" customWidth="1"/>
    <col min="9418" max="9418" width="17.33203125" style="1351" customWidth="1"/>
    <col min="9419" max="9419" width="18.88671875" style="1351" customWidth="1"/>
    <col min="9420" max="9420" width="14.109375" style="1351" customWidth="1"/>
    <col min="9421" max="9421" width="21.5546875" style="1351" customWidth="1"/>
    <col min="9422" max="9423" width="14.109375" style="1351" customWidth="1"/>
    <col min="9424" max="9424" width="15" style="1351" customWidth="1"/>
    <col min="9425" max="9425" width="13.33203125" style="1351" customWidth="1"/>
    <col min="9426" max="9426" width="17" style="1351" customWidth="1"/>
    <col min="9427" max="9427" width="24.88671875" style="1351" customWidth="1"/>
    <col min="9428" max="9428" width="14.44140625" style="1351" customWidth="1"/>
    <col min="9429" max="9429" width="23.109375" style="1351" customWidth="1"/>
    <col min="9430" max="9430" width="13.109375" style="1351" customWidth="1"/>
    <col min="9431" max="9434" width="0" style="1351" hidden="1" customWidth="1"/>
    <col min="9435" max="9670" width="10.33203125" style="1351"/>
    <col min="9671" max="9671" width="7" style="1351" customWidth="1"/>
    <col min="9672" max="9672" width="13" style="1351" customWidth="1"/>
    <col min="9673" max="9673" width="14.109375" style="1351" customWidth="1"/>
    <col min="9674" max="9674" width="17.33203125" style="1351" customWidth="1"/>
    <col min="9675" max="9675" width="18.88671875" style="1351" customWidth="1"/>
    <col min="9676" max="9676" width="14.109375" style="1351" customWidth="1"/>
    <col min="9677" max="9677" width="21.5546875" style="1351" customWidth="1"/>
    <col min="9678" max="9679" width="14.109375" style="1351" customWidth="1"/>
    <col min="9680" max="9680" width="15" style="1351" customWidth="1"/>
    <col min="9681" max="9681" width="13.33203125" style="1351" customWidth="1"/>
    <col min="9682" max="9682" width="17" style="1351" customWidth="1"/>
    <col min="9683" max="9683" width="24.88671875" style="1351" customWidth="1"/>
    <col min="9684" max="9684" width="14.44140625" style="1351" customWidth="1"/>
    <col min="9685" max="9685" width="23.109375" style="1351" customWidth="1"/>
    <col min="9686" max="9686" width="13.109375" style="1351" customWidth="1"/>
    <col min="9687" max="9690" width="0" style="1351" hidden="1" customWidth="1"/>
    <col min="9691" max="9926" width="10.33203125" style="1351"/>
    <col min="9927" max="9927" width="7" style="1351" customWidth="1"/>
    <col min="9928" max="9928" width="13" style="1351" customWidth="1"/>
    <col min="9929" max="9929" width="14.109375" style="1351" customWidth="1"/>
    <col min="9930" max="9930" width="17.33203125" style="1351" customWidth="1"/>
    <col min="9931" max="9931" width="18.88671875" style="1351" customWidth="1"/>
    <col min="9932" max="9932" width="14.109375" style="1351" customWidth="1"/>
    <col min="9933" max="9933" width="21.5546875" style="1351" customWidth="1"/>
    <col min="9934" max="9935" width="14.109375" style="1351" customWidth="1"/>
    <col min="9936" max="9936" width="15" style="1351" customWidth="1"/>
    <col min="9937" max="9937" width="13.33203125" style="1351" customWidth="1"/>
    <col min="9938" max="9938" width="17" style="1351" customWidth="1"/>
    <col min="9939" max="9939" width="24.88671875" style="1351" customWidth="1"/>
    <col min="9940" max="9940" width="14.44140625" style="1351" customWidth="1"/>
    <col min="9941" max="9941" width="23.109375" style="1351" customWidth="1"/>
    <col min="9942" max="9942" width="13.109375" style="1351" customWidth="1"/>
    <col min="9943" max="9946" width="0" style="1351" hidden="1" customWidth="1"/>
    <col min="9947" max="10182" width="10.33203125" style="1351"/>
    <col min="10183" max="10183" width="7" style="1351" customWidth="1"/>
    <col min="10184" max="10184" width="13" style="1351" customWidth="1"/>
    <col min="10185" max="10185" width="14.109375" style="1351" customWidth="1"/>
    <col min="10186" max="10186" width="17.33203125" style="1351" customWidth="1"/>
    <col min="10187" max="10187" width="18.88671875" style="1351" customWidth="1"/>
    <col min="10188" max="10188" width="14.109375" style="1351" customWidth="1"/>
    <col min="10189" max="10189" width="21.5546875" style="1351" customWidth="1"/>
    <col min="10190" max="10191" width="14.109375" style="1351" customWidth="1"/>
    <col min="10192" max="10192" width="15" style="1351" customWidth="1"/>
    <col min="10193" max="10193" width="13.33203125" style="1351" customWidth="1"/>
    <col min="10194" max="10194" width="17" style="1351" customWidth="1"/>
    <col min="10195" max="10195" width="24.88671875" style="1351" customWidth="1"/>
    <col min="10196" max="10196" width="14.44140625" style="1351" customWidth="1"/>
    <col min="10197" max="10197" width="23.109375" style="1351" customWidth="1"/>
    <col min="10198" max="10198" width="13.109375" style="1351" customWidth="1"/>
    <col min="10199" max="10202" width="0" style="1351" hidden="1" customWidth="1"/>
    <col min="10203" max="10438" width="10.33203125" style="1351"/>
    <col min="10439" max="10439" width="7" style="1351" customWidth="1"/>
    <col min="10440" max="10440" width="13" style="1351" customWidth="1"/>
    <col min="10441" max="10441" width="14.109375" style="1351" customWidth="1"/>
    <col min="10442" max="10442" width="17.33203125" style="1351" customWidth="1"/>
    <col min="10443" max="10443" width="18.88671875" style="1351" customWidth="1"/>
    <col min="10444" max="10444" width="14.109375" style="1351" customWidth="1"/>
    <col min="10445" max="10445" width="21.5546875" style="1351" customWidth="1"/>
    <col min="10446" max="10447" width="14.109375" style="1351" customWidth="1"/>
    <col min="10448" max="10448" width="15" style="1351" customWidth="1"/>
    <col min="10449" max="10449" width="13.33203125" style="1351" customWidth="1"/>
    <col min="10450" max="10450" width="17" style="1351" customWidth="1"/>
    <col min="10451" max="10451" width="24.88671875" style="1351" customWidth="1"/>
    <col min="10452" max="10452" width="14.44140625" style="1351" customWidth="1"/>
    <col min="10453" max="10453" width="23.109375" style="1351" customWidth="1"/>
    <col min="10454" max="10454" width="13.109375" style="1351" customWidth="1"/>
    <col min="10455" max="10458" width="0" style="1351" hidden="1" customWidth="1"/>
    <col min="10459" max="10694" width="10.33203125" style="1351"/>
    <col min="10695" max="10695" width="7" style="1351" customWidth="1"/>
    <col min="10696" max="10696" width="13" style="1351" customWidth="1"/>
    <col min="10697" max="10697" width="14.109375" style="1351" customWidth="1"/>
    <col min="10698" max="10698" width="17.33203125" style="1351" customWidth="1"/>
    <col min="10699" max="10699" width="18.88671875" style="1351" customWidth="1"/>
    <col min="10700" max="10700" width="14.109375" style="1351" customWidth="1"/>
    <col min="10701" max="10701" width="21.5546875" style="1351" customWidth="1"/>
    <col min="10702" max="10703" width="14.109375" style="1351" customWidth="1"/>
    <col min="10704" max="10704" width="15" style="1351" customWidth="1"/>
    <col min="10705" max="10705" width="13.33203125" style="1351" customWidth="1"/>
    <col min="10706" max="10706" width="17" style="1351" customWidth="1"/>
    <col min="10707" max="10707" width="24.88671875" style="1351" customWidth="1"/>
    <col min="10708" max="10708" width="14.44140625" style="1351" customWidth="1"/>
    <col min="10709" max="10709" width="23.109375" style="1351" customWidth="1"/>
    <col min="10710" max="10710" width="13.109375" style="1351" customWidth="1"/>
    <col min="10711" max="10714" width="0" style="1351" hidden="1" customWidth="1"/>
    <col min="10715" max="10950" width="10.33203125" style="1351"/>
    <col min="10951" max="10951" width="7" style="1351" customWidth="1"/>
    <col min="10952" max="10952" width="13" style="1351" customWidth="1"/>
    <col min="10953" max="10953" width="14.109375" style="1351" customWidth="1"/>
    <col min="10954" max="10954" width="17.33203125" style="1351" customWidth="1"/>
    <col min="10955" max="10955" width="18.88671875" style="1351" customWidth="1"/>
    <col min="10956" max="10956" width="14.109375" style="1351" customWidth="1"/>
    <col min="10957" max="10957" width="21.5546875" style="1351" customWidth="1"/>
    <col min="10958" max="10959" width="14.109375" style="1351" customWidth="1"/>
    <col min="10960" max="10960" width="15" style="1351" customWidth="1"/>
    <col min="10961" max="10961" width="13.33203125" style="1351" customWidth="1"/>
    <col min="10962" max="10962" width="17" style="1351" customWidth="1"/>
    <col min="10963" max="10963" width="24.88671875" style="1351" customWidth="1"/>
    <col min="10964" max="10964" width="14.44140625" style="1351" customWidth="1"/>
    <col min="10965" max="10965" width="23.109375" style="1351" customWidth="1"/>
    <col min="10966" max="10966" width="13.109375" style="1351" customWidth="1"/>
    <col min="10967" max="10970" width="0" style="1351" hidden="1" customWidth="1"/>
    <col min="10971" max="11206" width="10.33203125" style="1351"/>
    <col min="11207" max="11207" width="7" style="1351" customWidth="1"/>
    <col min="11208" max="11208" width="13" style="1351" customWidth="1"/>
    <col min="11209" max="11209" width="14.109375" style="1351" customWidth="1"/>
    <col min="11210" max="11210" width="17.33203125" style="1351" customWidth="1"/>
    <col min="11211" max="11211" width="18.88671875" style="1351" customWidth="1"/>
    <col min="11212" max="11212" width="14.109375" style="1351" customWidth="1"/>
    <col min="11213" max="11213" width="21.5546875" style="1351" customWidth="1"/>
    <col min="11214" max="11215" width="14.109375" style="1351" customWidth="1"/>
    <col min="11216" max="11216" width="15" style="1351" customWidth="1"/>
    <col min="11217" max="11217" width="13.33203125" style="1351" customWidth="1"/>
    <col min="11218" max="11218" width="17" style="1351" customWidth="1"/>
    <col min="11219" max="11219" width="24.88671875" style="1351" customWidth="1"/>
    <col min="11220" max="11220" width="14.44140625" style="1351" customWidth="1"/>
    <col min="11221" max="11221" width="23.109375" style="1351" customWidth="1"/>
    <col min="11222" max="11222" width="13.109375" style="1351" customWidth="1"/>
    <col min="11223" max="11226" width="0" style="1351" hidden="1" customWidth="1"/>
    <col min="11227" max="11462" width="10.33203125" style="1351"/>
    <col min="11463" max="11463" width="7" style="1351" customWidth="1"/>
    <col min="11464" max="11464" width="13" style="1351" customWidth="1"/>
    <col min="11465" max="11465" width="14.109375" style="1351" customWidth="1"/>
    <col min="11466" max="11466" width="17.33203125" style="1351" customWidth="1"/>
    <col min="11467" max="11467" width="18.88671875" style="1351" customWidth="1"/>
    <col min="11468" max="11468" width="14.109375" style="1351" customWidth="1"/>
    <col min="11469" max="11469" width="21.5546875" style="1351" customWidth="1"/>
    <col min="11470" max="11471" width="14.109375" style="1351" customWidth="1"/>
    <col min="11472" max="11472" width="15" style="1351" customWidth="1"/>
    <col min="11473" max="11473" width="13.33203125" style="1351" customWidth="1"/>
    <col min="11474" max="11474" width="17" style="1351" customWidth="1"/>
    <col min="11475" max="11475" width="24.88671875" style="1351" customWidth="1"/>
    <col min="11476" max="11476" width="14.44140625" style="1351" customWidth="1"/>
    <col min="11477" max="11477" width="23.109375" style="1351" customWidth="1"/>
    <col min="11478" max="11478" width="13.109375" style="1351" customWidth="1"/>
    <col min="11479" max="11482" width="0" style="1351" hidden="1" customWidth="1"/>
    <col min="11483" max="11718" width="10.33203125" style="1351"/>
    <col min="11719" max="11719" width="7" style="1351" customWidth="1"/>
    <col min="11720" max="11720" width="13" style="1351" customWidth="1"/>
    <col min="11721" max="11721" width="14.109375" style="1351" customWidth="1"/>
    <col min="11722" max="11722" width="17.33203125" style="1351" customWidth="1"/>
    <col min="11723" max="11723" width="18.88671875" style="1351" customWidth="1"/>
    <col min="11724" max="11724" width="14.109375" style="1351" customWidth="1"/>
    <col min="11725" max="11725" width="21.5546875" style="1351" customWidth="1"/>
    <col min="11726" max="11727" width="14.109375" style="1351" customWidth="1"/>
    <col min="11728" max="11728" width="15" style="1351" customWidth="1"/>
    <col min="11729" max="11729" width="13.33203125" style="1351" customWidth="1"/>
    <col min="11730" max="11730" width="17" style="1351" customWidth="1"/>
    <col min="11731" max="11731" width="24.88671875" style="1351" customWidth="1"/>
    <col min="11732" max="11732" width="14.44140625" style="1351" customWidth="1"/>
    <col min="11733" max="11733" width="23.109375" style="1351" customWidth="1"/>
    <col min="11734" max="11734" width="13.109375" style="1351" customWidth="1"/>
    <col min="11735" max="11738" width="0" style="1351" hidden="1" customWidth="1"/>
    <col min="11739" max="11974" width="10.33203125" style="1351"/>
    <col min="11975" max="11975" width="7" style="1351" customWidth="1"/>
    <col min="11976" max="11976" width="13" style="1351" customWidth="1"/>
    <col min="11977" max="11977" width="14.109375" style="1351" customWidth="1"/>
    <col min="11978" max="11978" width="17.33203125" style="1351" customWidth="1"/>
    <col min="11979" max="11979" width="18.88671875" style="1351" customWidth="1"/>
    <col min="11980" max="11980" width="14.109375" style="1351" customWidth="1"/>
    <col min="11981" max="11981" width="21.5546875" style="1351" customWidth="1"/>
    <col min="11982" max="11983" width="14.109375" style="1351" customWidth="1"/>
    <col min="11984" max="11984" width="15" style="1351" customWidth="1"/>
    <col min="11985" max="11985" width="13.33203125" style="1351" customWidth="1"/>
    <col min="11986" max="11986" width="17" style="1351" customWidth="1"/>
    <col min="11987" max="11987" width="24.88671875" style="1351" customWidth="1"/>
    <col min="11988" max="11988" width="14.44140625" style="1351" customWidth="1"/>
    <col min="11989" max="11989" width="23.109375" style="1351" customWidth="1"/>
    <col min="11990" max="11990" width="13.109375" style="1351" customWidth="1"/>
    <col min="11991" max="11994" width="0" style="1351" hidden="1" customWidth="1"/>
    <col min="11995" max="12230" width="10.33203125" style="1351"/>
    <col min="12231" max="12231" width="7" style="1351" customWidth="1"/>
    <col min="12232" max="12232" width="13" style="1351" customWidth="1"/>
    <col min="12233" max="12233" width="14.109375" style="1351" customWidth="1"/>
    <col min="12234" max="12234" width="17.33203125" style="1351" customWidth="1"/>
    <col min="12235" max="12235" width="18.88671875" style="1351" customWidth="1"/>
    <col min="12236" max="12236" width="14.109375" style="1351" customWidth="1"/>
    <col min="12237" max="12237" width="21.5546875" style="1351" customWidth="1"/>
    <col min="12238" max="12239" width="14.109375" style="1351" customWidth="1"/>
    <col min="12240" max="12240" width="15" style="1351" customWidth="1"/>
    <col min="12241" max="12241" width="13.33203125" style="1351" customWidth="1"/>
    <col min="12242" max="12242" width="17" style="1351" customWidth="1"/>
    <col min="12243" max="12243" width="24.88671875" style="1351" customWidth="1"/>
    <col min="12244" max="12244" width="14.44140625" style="1351" customWidth="1"/>
    <col min="12245" max="12245" width="23.109375" style="1351" customWidth="1"/>
    <col min="12246" max="12246" width="13.109375" style="1351" customWidth="1"/>
    <col min="12247" max="12250" width="0" style="1351" hidden="1" customWidth="1"/>
    <col min="12251" max="12486" width="10.33203125" style="1351"/>
    <col min="12487" max="12487" width="7" style="1351" customWidth="1"/>
    <col min="12488" max="12488" width="13" style="1351" customWidth="1"/>
    <col min="12489" max="12489" width="14.109375" style="1351" customWidth="1"/>
    <col min="12490" max="12490" width="17.33203125" style="1351" customWidth="1"/>
    <col min="12491" max="12491" width="18.88671875" style="1351" customWidth="1"/>
    <col min="12492" max="12492" width="14.109375" style="1351" customWidth="1"/>
    <col min="12493" max="12493" width="21.5546875" style="1351" customWidth="1"/>
    <col min="12494" max="12495" width="14.109375" style="1351" customWidth="1"/>
    <col min="12496" max="12496" width="15" style="1351" customWidth="1"/>
    <col min="12497" max="12497" width="13.33203125" style="1351" customWidth="1"/>
    <col min="12498" max="12498" width="17" style="1351" customWidth="1"/>
    <col min="12499" max="12499" width="24.88671875" style="1351" customWidth="1"/>
    <col min="12500" max="12500" width="14.44140625" style="1351" customWidth="1"/>
    <col min="12501" max="12501" width="23.109375" style="1351" customWidth="1"/>
    <col min="12502" max="12502" width="13.109375" style="1351" customWidth="1"/>
    <col min="12503" max="12506" width="0" style="1351" hidden="1" customWidth="1"/>
    <col min="12507" max="12742" width="10.33203125" style="1351"/>
    <col min="12743" max="12743" width="7" style="1351" customWidth="1"/>
    <col min="12744" max="12744" width="13" style="1351" customWidth="1"/>
    <col min="12745" max="12745" width="14.109375" style="1351" customWidth="1"/>
    <col min="12746" max="12746" width="17.33203125" style="1351" customWidth="1"/>
    <col min="12747" max="12747" width="18.88671875" style="1351" customWidth="1"/>
    <col min="12748" max="12748" width="14.109375" style="1351" customWidth="1"/>
    <col min="12749" max="12749" width="21.5546875" style="1351" customWidth="1"/>
    <col min="12750" max="12751" width="14.109375" style="1351" customWidth="1"/>
    <col min="12752" max="12752" width="15" style="1351" customWidth="1"/>
    <col min="12753" max="12753" width="13.33203125" style="1351" customWidth="1"/>
    <col min="12754" max="12754" width="17" style="1351" customWidth="1"/>
    <col min="12755" max="12755" width="24.88671875" style="1351" customWidth="1"/>
    <col min="12756" max="12756" width="14.44140625" style="1351" customWidth="1"/>
    <col min="12757" max="12757" width="23.109375" style="1351" customWidth="1"/>
    <col min="12758" max="12758" width="13.109375" style="1351" customWidth="1"/>
    <col min="12759" max="12762" width="0" style="1351" hidden="1" customWidth="1"/>
    <col min="12763" max="12998" width="10.33203125" style="1351"/>
    <col min="12999" max="12999" width="7" style="1351" customWidth="1"/>
    <col min="13000" max="13000" width="13" style="1351" customWidth="1"/>
    <col min="13001" max="13001" width="14.109375" style="1351" customWidth="1"/>
    <col min="13002" max="13002" width="17.33203125" style="1351" customWidth="1"/>
    <col min="13003" max="13003" width="18.88671875" style="1351" customWidth="1"/>
    <col min="13004" max="13004" width="14.109375" style="1351" customWidth="1"/>
    <col min="13005" max="13005" width="21.5546875" style="1351" customWidth="1"/>
    <col min="13006" max="13007" width="14.109375" style="1351" customWidth="1"/>
    <col min="13008" max="13008" width="15" style="1351" customWidth="1"/>
    <col min="13009" max="13009" width="13.33203125" style="1351" customWidth="1"/>
    <col min="13010" max="13010" width="17" style="1351" customWidth="1"/>
    <col min="13011" max="13011" width="24.88671875" style="1351" customWidth="1"/>
    <col min="13012" max="13012" width="14.44140625" style="1351" customWidth="1"/>
    <col min="13013" max="13013" width="23.109375" style="1351" customWidth="1"/>
    <col min="13014" max="13014" width="13.109375" style="1351" customWidth="1"/>
    <col min="13015" max="13018" width="0" style="1351" hidden="1" customWidth="1"/>
    <col min="13019" max="13254" width="10.33203125" style="1351"/>
    <col min="13255" max="13255" width="7" style="1351" customWidth="1"/>
    <col min="13256" max="13256" width="13" style="1351" customWidth="1"/>
    <col min="13257" max="13257" width="14.109375" style="1351" customWidth="1"/>
    <col min="13258" max="13258" width="17.33203125" style="1351" customWidth="1"/>
    <col min="13259" max="13259" width="18.88671875" style="1351" customWidth="1"/>
    <col min="13260" max="13260" width="14.109375" style="1351" customWidth="1"/>
    <col min="13261" max="13261" width="21.5546875" style="1351" customWidth="1"/>
    <col min="13262" max="13263" width="14.109375" style="1351" customWidth="1"/>
    <col min="13264" max="13264" width="15" style="1351" customWidth="1"/>
    <col min="13265" max="13265" width="13.33203125" style="1351" customWidth="1"/>
    <col min="13266" max="13266" width="17" style="1351" customWidth="1"/>
    <col min="13267" max="13267" width="24.88671875" style="1351" customWidth="1"/>
    <col min="13268" max="13268" width="14.44140625" style="1351" customWidth="1"/>
    <col min="13269" max="13269" width="23.109375" style="1351" customWidth="1"/>
    <col min="13270" max="13270" width="13.109375" style="1351" customWidth="1"/>
    <col min="13271" max="13274" width="0" style="1351" hidden="1" customWidth="1"/>
    <col min="13275" max="13510" width="10.33203125" style="1351"/>
    <col min="13511" max="13511" width="7" style="1351" customWidth="1"/>
    <col min="13512" max="13512" width="13" style="1351" customWidth="1"/>
    <col min="13513" max="13513" width="14.109375" style="1351" customWidth="1"/>
    <col min="13514" max="13514" width="17.33203125" style="1351" customWidth="1"/>
    <col min="13515" max="13515" width="18.88671875" style="1351" customWidth="1"/>
    <col min="13516" max="13516" width="14.109375" style="1351" customWidth="1"/>
    <col min="13517" max="13517" width="21.5546875" style="1351" customWidth="1"/>
    <col min="13518" max="13519" width="14.109375" style="1351" customWidth="1"/>
    <col min="13520" max="13520" width="15" style="1351" customWidth="1"/>
    <col min="13521" max="13521" width="13.33203125" style="1351" customWidth="1"/>
    <col min="13522" max="13522" width="17" style="1351" customWidth="1"/>
    <col min="13523" max="13523" width="24.88671875" style="1351" customWidth="1"/>
    <col min="13524" max="13524" width="14.44140625" style="1351" customWidth="1"/>
    <col min="13525" max="13525" width="23.109375" style="1351" customWidth="1"/>
    <col min="13526" max="13526" width="13.109375" style="1351" customWidth="1"/>
    <col min="13527" max="13530" width="0" style="1351" hidden="1" customWidth="1"/>
    <col min="13531" max="13766" width="10.33203125" style="1351"/>
    <col min="13767" max="13767" width="7" style="1351" customWidth="1"/>
    <col min="13768" max="13768" width="13" style="1351" customWidth="1"/>
    <col min="13769" max="13769" width="14.109375" style="1351" customWidth="1"/>
    <col min="13770" max="13770" width="17.33203125" style="1351" customWidth="1"/>
    <col min="13771" max="13771" width="18.88671875" style="1351" customWidth="1"/>
    <col min="13772" max="13772" width="14.109375" style="1351" customWidth="1"/>
    <col min="13773" max="13773" width="21.5546875" style="1351" customWidth="1"/>
    <col min="13774" max="13775" width="14.109375" style="1351" customWidth="1"/>
    <col min="13776" max="13776" width="15" style="1351" customWidth="1"/>
    <col min="13777" max="13777" width="13.33203125" style="1351" customWidth="1"/>
    <col min="13778" max="13778" width="17" style="1351" customWidth="1"/>
    <col min="13779" max="13779" width="24.88671875" style="1351" customWidth="1"/>
    <col min="13780" max="13780" width="14.44140625" style="1351" customWidth="1"/>
    <col min="13781" max="13781" width="23.109375" style="1351" customWidth="1"/>
    <col min="13782" max="13782" width="13.109375" style="1351" customWidth="1"/>
    <col min="13783" max="13786" width="0" style="1351" hidden="1" customWidth="1"/>
    <col min="13787" max="14022" width="10.33203125" style="1351"/>
    <col min="14023" max="14023" width="7" style="1351" customWidth="1"/>
    <col min="14024" max="14024" width="13" style="1351" customWidth="1"/>
    <col min="14025" max="14025" width="14.109375" style="1351" customWidth="1"/>
    <col min="14026" max="14026" width="17.33203125" style="1351" customWidth="1"/>
    <col min="14027" max="14027" width="18.88671875" style="1351" customWidth="1"/>
    <col min="14028" max="14028" width="14.109375" style="1351" customWidth="1"/>
    <col min="14029" max="14029" width="21.5546875" style="1351" customWidth="1"/>
    <col min="14030" max="14031" width="14.109375" style="1351" customWidth="1"/>
    <col min="14032" max="14032" width="15" style="1351" customWidth="1"/>
    <col min="14033" max="14033" width="13.33203125" style="1351" customWidth="1"/>
    <col min="14034" max="14034" width="17" style="1351" customWidth="1"/>
    <col min="14035" max="14035" width="24.88671875" style="1351" customWidth="1"/>
    <col min="14036" max="14036" width="14.44140625" style="1351" customWidth="1"/>
    <col min="14037" max="14037" width="23.109375" style="1351" customWidth="1"/>
    <col min="14038" max="14038" width="13.109375" style="1351" customWidth="1"/>
    <col min="14039" max="14042" width="0" style="1351" hidden="1" customWidth="1"/>
    <col min="14043" max="14278" width="10.33203125" style="1351"/>
    <col min="14279" max="14279" width="7" style="1351" customWidth="1"/>
    <col min="14280" max="14280" width="13" style="1351" customWidth="1"/>
    <col min="14281" max="14281" width="14.109375" style="1351" customWidth="1"/>
    <col min="14282" max="14282" width="17.33203125" style="1351" customWidth="1"/>
    <col min="14283" max="14283" width="18.88671875" style="1351" customWidth="1"/>
    <col min="14284" max="14284" width="14.109375" style="1351" customWidth="1"/>
    <col min="14285" max="14285" width="21.5546875" style="1351" customWidth="1"/>
    <col min="14286" max="14287" width="14.109375" style="1351" customWidth="1"/>
    <col min="14288" max="14288" width="15" style="1351" customWidth="1"/>
    <col min="14289" max="14289" width="13.33203125" style="1351" customWidth="1"/>
    <col min="14290" max="14290" width="17" style="1351" customWidth="1"/>
    <col min="14291" max="14291" width="24.88671875" style="1351" customWidth="1"/>
    <col min="14292" max="14292" width="14.44140625" style="1351" customWidth="1"/>
    <col min="14293" max="14293" width="23.109375" style="1351" customWidth="1"/>
    <col min="14294" max="14294" width="13.109375" style="1351" customWidth="1"/>
    <col min="14295" max="14298" width="0" style="1351" hidden="1" customWidth="1"/>
    <col min="14299" max="14534" width="10.33203125" style="1351"/>
    <col min="14535" max="14535" width="7" style="1351" customWidth="1"/>
    <col min="14536" max="14536" width="13" style="1351" customWidth="1"/>
    <col min="14537" max="14537" width="14.109375" style="1351" customWidth="1"/>
    <col min="14538" max="14538" width="17.33203125" style="1351" customWidth="1"/>
    <col min="14539" max="14539" width="18.88671875" style="1351" customWidth="1"/>
    <col min="14540" max="14540" width="14.109375" style="1351" customWidth="1"/>
    <col min="14541" max="14541" width="21.5546875" style="1351" customWidth="1"/>
    <col min="14542" max="14543" width="14.109375" style="1351" customWidth="1"/>
    <col min="14544" max="14544" width="15" style="1351" customWidth="1"/>
    <col min="14545" max="14545" width="13.33203125" style="1351" customWidth="1"/>
    <col min="14546" max="14546" width="17" style="1351" customWidth="1"/>
    <col min="14547" max="14547" width="24.88671875" style="1351" customWidth="1"/>
    <col min="14548" max="14548" width="14.44140625" style="1351" customWidth="1"/>
    <col min="14549" max="14549" width="23.109375" style="1351" customWidth="1"/>
    <col min="14550" max="14550" width="13.109375" style="1351" customWidth="1"/>
    <col min="14551" max="14554" width="0" style="1351" hidden="1" customWidth="1"/>
    <col min="14555" max="14790" width="10.33203125" style="1351"/>
    <col min="14791" max="14791" width="7" style="1351" customWidth="1"/>
    <col min="14792" max="14792" width="13" style="1351" customWidth="1"/>
    <col min="14793" max="14793" width="14.109375" style="1351" customWidth="1"/>
    <col min="14794" max="14794" width="17.33203125" style="1351" customWidth="1"/>
    <col min="14795" max="14795" width="18.88671875" style="1351" customWidth="1"/>
    <col min="14796" max="14796" width="14.109375" style="1351" customWidth="1"/>
    <col min="14797" max="14797" width="21.5546875" style="1351" customWidth="1"/>
    <col min="14798" max="14799" width="14.109375" style="1351" customWidth="1"/>
    <col min="14800" max="14800" width="15" style="1351" customWidth="1"/>
    <col min="14801" max="14801" width="13.33203125" style="1351" customWidth="1"/>
    <col min="14802" max="14802" width="17" style="1351" customWidth="1"/>
    <col min="14803" max="14803" width="24.88671875" style="1351" customWidth="1"/>
    <col min="14804" max="14804" width="14.44140625" style="1351" customWidth="1"/>
    <col min="14805" max="14805" width="23.109375" style="1351" customWidth="1"/>
    <col min="14806" max="14806" width="13.109375" style="1351" customWidth="1"/>
    <col min="14807" max="14810" width="0" style="1351" hidden="1" customWidth="1"/>
    <col min="14811" max="15046" width="10.33203125" style="1351"/>
    <col min="15047" max="15047" width="7" style="1351" customWidth="1"/>
    <col min="15048" max="15048" width="13" style="1351" customWidth="1"/>
    <col min="15049" max="15049" width="14.109375" style="1351" customWidth="1"/>
    <col min="15050" max="15050" width="17.33203125" style="1351" customWidth="1"/>
    <col min="15051" max="15051" width="18.88671875" style="1351" customWidth="1"/>
    <col min="15052" max="15052" width="14.109375" style="1351" customWidth="1"/>
    <col min="15053" max="15053" width="21.5546875" style="1351" customWidth="1"/>
    <col min="15054" max="15055" width="14.109375" style="1351" customWidth="1"/>
    <col min="15056" max="15056" width="15" style="1351" customWidth="1"/>
    <col min="15057" max="15057" width="13.33203125" style="1351" customWidth="1"/>
    <col min="15058" max="15058" width="17" style="1351" customWidth="1"/>
    <col min="15059" max="15059" width="24.88671875" style="1351" customWidth="1"/>
    <col min="15060" max="15060" width="14.44140625" style="1351" customWidth="1"/>
    <col min="15061" max="15061" width="23.109375" style="1351" customWidth="1"/>
    <col min="15062" max="15062" width="13.109375" style="1351" customWidth="1"/>
    <col min="15063" max="15066" width="0" style="1351" hidden="1" customWidth="1"/>
    <col min="15067" max="15302" width="10.33203125" style="1351"/>
    <col min="15303" max="15303" width="7" style="1351" customWidth="1"/>
    <col min="15304" max="15304" width="13" style="1351" customWidth="1"/>
    <col min="15305" max="15305" width="14.109375" style="1351" customWidth="1"/>
    <col min="15306" max="15306" width="17.33203125" style="1351" customWidth="1"/>
    <col min="15307" max="15307" width="18.88671875" style="1351" customWidth="1"/>
    <col min="15308" max="15308" width="14.109375" style="1351" customWidth="1"/>
    <col min="15309" max="15309" width="21.5546875" style="1351" customWidth="1"/>
    <col min="15310" max="15311" width="14.109375" style="1351" customWidth="1"/>
    <col min="15312" max="15312" width="15" style="1351" customWidth="1"/>
    <col min="15313" max="15313" width="13.33203125" style="1351" customWidth="1"/>
    <col min="15314" max="15314" width="17" style="1351" customWidth="1"/>
    <col min="15315" max="15315" width="24.88671875" style="1351" customWidth="1"/>
    <col min="15316" max="15316" width="14.44140625" style="1351" customWidth="1"/>
    <col min="15317" max="15317" width="23.109375" style="1351" customWidth="1"/>
    <col min="15318" max="15318" width="13.109375" style="1351" customWidth="1"/>
    <col min="15319" max="15322" width="0" style="1351" hidden="1" customWidth="1"/>
    <col min="15323" max="15558" width="10.33203125" style="1351"/>
    <col min="15559" max="15559" width="7" style="1351" customWidth="1"/>
    <col min="15560" max="15560" width="13" style="1351" customWidth="1"/>
    <col min="15561" max="15561" width="14.109375" style="1351" customWidth="1"/>
    <col min="15562" max="15562" width="17.33203125" style="1351" customWidth="1"/>
    <col min="15563" max="15563" width="18.88671875" style="1351" customWidth="1"/>
    <col min="15564" max="15564" width="14.109375" style="1351" customWidth="1"/>
    <col min="15565" max="15565" width="21.5546875" style="1351" customWidth="1"/>
    <col min="15566" max="15567" width="14.109375" style="1351" customWidth="1"/>
    <col min="15568" max="15568" width="15" style="1351" customWidth="1"/>
    <col min="15569" max="15569" width="13.33203125" style="1351" customWidth="1"/>
    <col min="15570" max="15570" width="17" style="1351" customWidth="1"/>
    <col min="15571" max="15571" width="24.88671875" style="1351" customWidth="1"/>
    <col min="15572" max="15572" width="14.44140625" style="1351" customWidth="1"/>
    <col min="15573" max="15573" width="23.109375" style="1351" customWidth="1"/>
    <col min="15574" max="15574" width="13.109375" style="1351" customWidth="1"/>
    <col min="15575" max="15578" width="0" style="1351" hidden="1" customWidth="1"/>
    <col min="15579" max="15814" width="10.33203125" style="1351"/>
    <col min="15815" max="15815" width="7" style="1351" customWidth="1"/>
    <col min="15816" max="15816" width="13" style="1351" customWidth="1"/>
    <col min="15817" max="15817" width="14.109375" style="1351" customWidth="1"/>
    <col min="15818" max="15818" width="17.33203125" style="1351" customWidth="1"/>
    <col min="15819" max="15819" width="18.88671875" style="1351" customWidth="1"/>
    <col min="15820" max="15820" width="14.109375" style="1351" customWidth="1"/>
    <col min="15821" max="15821" width="21.5546875" style="1351" customWidth="1"/>
    <col min="15822" max="15823" width="14.109375" style="1351" customWidth="1"/>
    <col min="15824" max="15824" width="15" style="1351" customWidth="1"/>
    <col min="15825" max="15825" width="13.33203125" style="1351" customWidth="1"/>
    <col min="15826" max="15826" width="17" style="1351" customWidth="1"/>
    <col min="15827" max="15827" width="24.88671875" style="1351" customWidth="1"/>
    <col min="15828" max="15828" width="14.44140625" style="1351" customWidth="1"/>
    <col min="15829" max="15829" width="23.109375" style="1351" customWidth="1"/>
    <col min="15830" max="15830" width="13.109375" style="1351" customWidth="1"/>
    <col min="15831" max="15834" width="0" style="1351" hidden="1" customWidth="1"/>
    <col min="15835" max="16070" width="10.33203125" style="1351"/>
    <col min="16071" max="16071" width="7" style="1351" customWidth="1"/>
    <col min="16072" max="16072" width="13" style="1351" customWidth="1"/>
    <col min="16073" max="16073" width="14.109375" style="1351" customWidth="1"/>
    <col min="16074" max="16074" width="17.33203125" style="1351" customWidth="1"/>
    <col min="16075" max="16075" width="18.88671875" style="1351" customWidth="1"/>
    <col min="16076" max="16076" width="14.109375" style="1351" customWidth="1"/>
    <col min="16077" max="16077" width="21.5546875" style="1351" customWidth="1"/>
    <col min="16078" max="16079" width="14.109375" style="1351" customWidth="1"/>
    <col min="16080" max="16080" width="15" style="1351" customWidth="1"/>
    <col min="16081" max="16081" width="13.33203125" style="1351" customWidth="1"/>
    <col min="16082" max="16082" width="17" style="1351" customWidth="1"/>
    <col min="16083" max="16083" width="24.88671875" style="1351" customWidth="1"/>
    <col min="16084" max="16084" width="14.44140625" style="1351" customWidth="1"/>
    <col min="16085" max="16085" width="23.109375" style="1351" customWidth="1"/>
    <col min="16086" max="16086" width="13.109375" style="1351" customWidth="1"/>
    <col min="16087" max="16090" width="0" style="1351" hidden="1" customWidth="1"/>
    <col min="16091" max="16384" width="10.33203125" style="1351"/>
  </cols>
  <sheetData>
    <row r="1" spans="1:36" ht="15" customHeight="1">
      <c r="B1" s="125"/>
      <c r="T1" s="739"/>
      <c r="U1" s="1542"/>
      <c r="V1" s="738"/>
      <c r="W1" s="738"/>
      <c r="X1" s="738"/>
      <c r="Y1" s="738"/>
      <c r="Z1" s="1326"/>
      <c r="AA1" s="739"/>
      <c r="AB1" s="1326"/>
      <c r="AC1" s="739"/>
      <c r="AD1" s="740"/>
      <c r="AE1" s="739"/>
      <c r="AF1" s="739"/>
      <c r="AG1" s="1349"/>
    </row>
    <row r="2" spans="1:36" s="1352" customFormat="1" ht="20.25" customHeight="1">
      <c r="A2" s="3714" t="s">
        <v>4367</v>
      </c>
      <c r="B2" s="3714"/>
      <c r="C2" s="3714"/>
      <c r="D2" s="3714"/>
      <c r="E2" s="3714"/>
      <c r="F2" s="3714"/>
      <c r="G2" s="3714"/>
      <c r="H2" s="3714"/>
      <c r="I2" s="3714"/>
      <c r="J2" s="3714"/>
      <c r="K2" s="3714"/>
      <c r="L2" s="3714"/>
      <c r="M2" s="3714"/>
      <c r="N2" s="3714"/>
      <c r="O2" s="3714"/>
      <c r="P2" s="3714"/>
      <c r="Q2" s="1309"/>
      <c r="R2" s="1984"/>
      <c r="S2" s="1309"/>
      <c r="T2" s="1309"/>
      <c r="U2" s="1309"/>
      <c r="V2" s="1309"/>
      <c r="W2" s="1309"/>
      <c r="X2" s="1309"/>
      <c r="Y2" s="1309"/>
      <c r="Z2" s="1309"/>
      <c r="AA2" s="1309"/>
      <c r="AB2" s="1309"/>
      <c r="AC2" s="1309"/>
      <c r="AD2" s="1309"/>
      <c r="AE2" s="1309"/>
      <c r="AF2" s="1309"/>
      <c r="AG2" s="1309"/>
    </row>
    <row r="3" spans="1:36">
      <c r="B3" s="478"/>
      <c r="C3" s="654" t="s">
        <v>4375</v>
      </c>
      <c r="D3" s="3710" t="s">
        <v>6194</v>
      </c>
      <c r="E3" s="3710"/>
      <c r="F3" s="3710"/>
      <c r="G3" s="3710"/>
      <c r="H3" s="3710"/>
      <c r="I3" s="3710"/>
      <c r="J3" s="3710"/>
      <c r="K3" s="3710"/>
      <c r="L3" s="3710"/>
      <c r="M3" s="1305"/>
      <c r="N3" s="1306"/>
      <c r="O3" s="1306"/>
      <c r="P3" s="1305"/>
      <c r="AD3" s="746"/>
      <c r="AG3" s="749"/>
    </row>
    <row r="4" spans="1:36" ht="39.6">
      <c r="A4" s="29" t="s">
        <v>2</v>
      </c>
      <c r="B4" s="1336" t="s">
        <v>2705</v>
      </c>
      <c r="C4" s="1337" t="s">
        <v>3</v>
      </c>
      <c r="D4" s="1338" t="s">
        <v>4</v>
      </c>
      <c r="E4" s="1337" t="s">
        <v>5</v>
      </c>
      <c r="F4" s="1571" t="s">
        <v>4699</v>
      </c>
      <c r="G4" s="1337" t="s">
        <v>179</v>
      </c>
      <c r="H4" s="33" t="s">
        <v>8</v>
      </c>
      <c r="I4" s="33" t="s">
        <v>9</v>
      </c>
      <c r="J4" s="33" t="s">
        <v>102</v>
      </c>
      <c r="K4" s="323" t="s">
        <v>404</v>
      </c>
      <c r="L4" s="323" t="s">
        <v>15</v>
      </c>
      <c r="M4" s="323" t="s">
        <v>4368</v>
      </c>
      <c r="N4" s="323" t="s">
        <v>4380</v>
      </c>
      <c r="O4" s="323" t="s">
        <v>5939</v>
      </c>
      <c r="P4" s="1339" t="s">
        <v>4360</v>
      </c>
      <c r="Q4" s="29" t="s">
        <v>187</v>
      </c>
      <c r="R4" s="1396" t="s">
        <v>97</v>
      </c>
      <c r="S4" s="1340" t="s">
        <v>4665</v>
      </c>
      <c r="T4" s="1340" t="s">
        <v>4664</v>
      </c>
      <c r="U4" s="1340" t="s">
        <v>4678</v>
      </c>
      <c r="V4" s="1334" t="s">
        <v>1291</v>
      </c>
      <c r="W4" s="1334" t="s">
        <v>190</v>
      </c>
      <c r="X4" s="1334" t="s">
        <v>191</v>
      </c>
      <c r="Y4" s="1340" t="s">
        <v>192</v>
      </c>
      <c r="Z4" s="1340" t="s">
        <v>1313</v>
      </c>
      <c r="AA4" s="1335" t="s">
        <v>194</v>
      </c>
      <c r="AB4" s="1335" t="s">
        <v>4652</v>
      </c>
      <c r="AC4" s="1335" t="s">
        <v>195</v>
      </c>
      <c r="AD4" s="1341" t="s">
        <v>197</v>
      </c>
      <c r="AE4" s="1340" t="s">
        <v>198</v>
      </c>
      <c r="AF4" s="1335" t="s">
        <v>199</v>
      </c>
      <c r="AG4" s="1355" t="s">
        <v>200</v>
      </c>
      <c r="AH4" s="1353"/>
    </row>
    <row r="5" spans="1:36" ht="15.6">
      <c r="A5" s="3994" t="s">
        <v>4302</v>
      </c>
      <c r="B5" s="3995"/>
      <c r="C5" s="3995"/>
      <c r="D5" s="3995"/>
      <c r="E5" s="3995"/>
      <c r="F5" s="3995"/>
      <c r="G5" s="3995"/>
      <c r="H5" s="3995"/>
      <c r="I5" s="3995"/>
      <c r="J5" s="3995"/>
      <c r="K5" s="3995"/>
      <c r="L5" s="3996"/>
      <c r="M5" s="1532"/>
      <c r="N5" s="1342"/>
      <c r="O5" s="1708"/>
      <c r="P5" s="1342"/>
      <c r="Q5" s="1343"/>
      <c r="R5" s="1988"/>
      <c r="S5" s="1403"/>
      <c r="T5" s="1345"/>
      <c r="U5" s="1543"/>
      <c r="V5" s="1344"/>
      <c r="W5" s="1343"/>
      <c r="X5" s="1343"/>
      <c r="Y5" s="1343"/>
      <c r="Z5" s="1345"/>
      <c r="AA5" s="1343"/>
      <c r="AB5" s="1346"/>
      <c r="AC5" s="1346"/>
      <c r="AD5" s="1347"/>
      <c r="AE5" s="1348"/>
      <c r="AF5" s="1348"/>
      <c r="AG5" s="1348"/>
      <c r="AH5" s="1354"/>
      <c r="AI5" s="1354"/>
      <c r="AJ5" s="1350"/>
    </row>
    <row r="6" spans="1:36" s="1393" customFormat="1" ht="25.5" customHeight="1">
      <c r="A6" s="1360">
        <v>1</v>
      </c>
      <c r="B6" s="1430" t="s">
        <v>4394</v>
      </c>
      <c r="C6" s="1475">
        <v>106855828220</v>
      </c>
      <c r="D6" s="1381" t="s">
        <v>4334</v>
      </c>
      <c r="E6" s="1511" t="s">
        <v>4645</v>
      </c>
      <c r="F6" s="1425" t="s">
        <v>4423</v>
      </c>
      <c r="G6" s="1431" t="s">
        <v>206</v>
      </c>
      <c r="H6" s="1369">
        <v>1</v>
      </c>
      <c r="I6" s="1369"/>
      <c r="J6" s="1369"/>
      <c r="K6" s="1575" t="s">
        <v>210</v>
      </c>
      <c r="L6" s="1420" t="s">
        <v>4395</v>
      </c>
      <c r="M6" s="1421" t="s">
        <v>4425</v>
      </c>
      <c r="N6" s="1422" t="s">
        <v>4396</v>
      </c>
      <c r="O6" s="2615"/>
      <c r="P6" s="1422" t="s">
        <v>4424</v>
      </c>
      <c r="Q6" s="1370" t="s">
        <v>287</v>
      </c>
      <c r="R6" s="1370"/>
      <c r="S6" s="1418"/>
      <c r="T6" s="1418"/>
      <c r="U6" s="1544"/>
      <c r="V6" s="1413"/>
      <c r="W6" s="1529">
        <v>432000</v>
      </c>
      <c r="X6" s="1510">
        <v>999000</v>
      </c>
      <c r="Y6" s="1415"/>
      <c r="Z6" s="1503">
        <v>250000</v>
      </c>
      <c r="AA6" s="1415"/>
      <c r="AB6" s="1415"/>
      <c r="AC6" s="1416">
        <f t="shared" ref="AC6:AC36" si="0">+SUM(V6:AB6)</f>
        <v>1681000</v>
      </c>
      <c r="AD6" s="1423"/>
      <c r="AE6" s="1418">
        <f t="shared" ref="AE6:AE12" si="1">(H6*4490000+I6*4590000)*1.08+(T6*1.08)+(S6*1.08)+(U6*1.08)</f>
        <v>4849200</v>
      </c>
      <c r="AF6" s="1419">
        <f t="shared" ref="AF6:AF12" si="2">+AC6+AE6</f>
        <v>6530200</v>
      </c>
      <c r="AG6" s="1418"/>
      <c r="AH6" s="1350"/>
    </row>
    <row r="7" spans="1:36" s="1393" customFormat="1" ht="27">
      <c r="A7" s="1363">
        <v>2</v>
      </c>
      <c r="B7" s="1430" t="s">
        <v>2068</v>
      </c>
      <c r="C7" s="1476" t="s">
        <v>4573</v>
      </c>
      <c r="D7" s="1430" t="s">
        <v>4391</v>
      </c>
      <c r="E7" s="1463" t="s">
        <v>4646</v>
      </c>
      <c r="F7" s="1410" t="s">
        <v>4422</v>
      </c>
      <c r="G7" s="1408" t="s">
        <v>210</v>
      </c>
      <c r="H7" s="1369">
        <v>1</v>
      </c>
      <c r="I7" s="1369"/>
      <c r="J7" s="1369"/>
      <c r="K7" s="1575" t="s">
        <v>210</v>
      </c>
      <c r="L7" s="1409" t="s">
        <v>4384</v>
      </c>
      <c r="M7" s="1411" t="s">
        <v>4436</v>
      </c>
      <c r="N7" s="1422" t="s">
        <v>4705</v>
      </c>
      <c r="O7" s="2615"/>
      <c r="P7" s="1412"/>
      <c r="Q7" s="1370" t="s">
        <v>287</v>
      </c>
      <c r="R7" s="1370" t="s">
        <v>4676</v>
      </c>
      <c r="S7" s="1418">
        <v>760000</v>
      </c>
      <c r="T7" s="1418"/>
      <c r="U7" s="1544"/>
      <c r="V7" s="1413"/>
      <c r="W7" s="1510">
        <v>1000000</v>
      </c>
      <c r="X7" s="1510">
        <v>432000</v>
      </c>
      <c r="Y7" s="1414"/>
      <c r="Z7" s="1503">
        <v>250000</v>
      </c>
      <c r="AA7" s="1414"/>
      <c r="AB7" s="1415"/>
      <c r="AC7" s="1416">
        <f t="shared" si="0"/>
        <v>1682000</v>
      </c>
      <c r="AD7" s="1417" t="s">
        <v>4676</v>
      </c>
      <c r="AE7" s="1418">
        <f t="shared" si="1"/>
        <v>5670000</v>
      </c>
      <c r="AF7" s="1419">
        <f t="shared" si="2"/>
        <v>7352000</v>
      </c>
      <c r="AG7" s="1418"/>
      <c r="AH7" s="1350"/>
    </row>
    <row r="8" spans="1:36" ht="45.75" customHeight="1">
      <c r="A8" s="1363">
        <v>3</v>
      </c>
      <c r="B8" s="1454" t="s">
        <v>4429</v>
      </c>
      <c r="C8" s="1476" t="s">
        <v>4572</v>
      </c>
      <c r="D8" s="1286" t="s">
        <v>4429</v>
      </c>
      <c r="E8" s="1462" t="s">
        <v>4647</v>
      </c>
      <c r="F8" s="1410" t="s">
        <v>4422</v>
      </c>
      <c r="G8" s="1299" t="s">
        <v>210</v>
      </c>
      <c r="H8" s="1301">
        <v>1</v>
      </c>
      <c r="I8" s="1300"/>
      <c r="J8" s="1300"/>
      <c r="K8" s="1575" t="s">
        <v>210</v>
      </c>
      <c r="L8" s="1312" t="s">
        <v>4433</v>
      </c>
      <c r="M8" s="1496" t="s">
        <v>4492</v>
      </c>
      <c r="N8" s="1429" t="s">
        <v>4462</v>
      </c>
      <c r="O8" s="2616"/>
      <c r="P8" s="1312"/>
      <c r="Q8" s="1370" t="s">
        <v>287</v>
      </c>
      <c r="R8" s="1370" t="s">
        <v>4676</v>
      </c>
      <c r="S8" s="1418">
        <v>760000</v>
      </c>
      <c r="T8" s="1418"/>
      <c r="U8" s="1544"/>
      <c r="V8" s="1307"/>
      <c r="W8" s="1510">
        <v>1000000</v>
      </c>
      <c r="X8" s="1510">
        <v>432000</v>
      </c>
      <c r="Y8" s="1364"/>
      <c r="Z8" s="1503">
        <v>250000</v>
      </c>
      <c r="AA8" s="1364"/>
      <c r="AB8" s="1362"/>
      <c r="AC8" s="1416">
        <f t="shared" si="0"/>
        <v>1682000</v>
      </c>
      <c r="AD8" s="1365" t="s">
        <v>4676</v>
      </c>
      <c r="AE8" s="1418">
        <f t="shared" si="1"/>
        <v>5670000</v>
      </c>
      <c r="AF8" s="1419">
        <f t="shared" si="2"/>
        <v>7352000</v>
      </c>
      <c r="AG8" s="1332"/>
    </row>
    <row r="9" spans="1:36" ht="27">
      <c r="A9" s="326">
        <f>+A10+1</f>
        <v>5</v>
      </c>
      <c r="B9" s="1454" t="s">
        <v>4478</v>
      </c>
      <c r="C9" s="1477" t="s">
        <v>4517</v>
      </c>
      <c r="D9" s="1286" t="s">
        <v>4478</v>
      </c>
      <c r="E9" s="1462" t="s">
        <v>4648</v>
      </c>
      <c r="F9" s="1410" t="s">
        <v>4422</v>
      </c>
      <c r="G9" s="1299" t="s">
        <v>210</v>
      </c>
      <c r="H9" s="728"/>
      <c r="I9" s="1448">
        <v>1</v>
      </c>
      <c r="J9" s="1449"/>
      <c r="K9" s="1575" t="s">
        <v>210</v>
      </c>
      <c r="L9" s="154" t="s">
        <v>4489</v>
      </c>
      <c r="M9" s="1570" t="s">
        <v>4511</v>
      </c>
      <c r="N9" s="170" t="s">
        <v>4498</v>
      </c>
      <c r="O9" s="1612"/>
      <c r="P9" s="705"/>
      <c r="Q9" s="1370" t="s">
        <v>2857</v>
      </c>
      <c r="R9" s="1664" t="s">
        <v>4677</v>
      </c>
      <c r="S9" s="1418">
        <v>760000</v>
      </c>
      <c r="T9" s="1418">
        <v>300000</v>
      </c>
      <c r="U9" s="1544">
        <v>200000</v>
      </c>
      <c r="V9" s="752"/>
      <c r="W9" s="1510">
        <v>1500000</v>
      </c>
      <c r="X9" s="1510">
        <v>1160000</v>
      </c>
      <c r="Y9" s="752"/>
      <c r="Z9" s="1504">
        <v>500000</v>
      </c>
      <c r="AA9" s="752"/>
      <c r="AB9" s="1315"/>
      <c r="AC9" s="1416">
        <f t="shared" si="0"/>
        <v>3160000</v>
      </c>
      <c r="AD9" s="1534" t="s">
        <v>4707</v>
      </c>
      <c r="AE9" s="1418">
        <f t="shared" si="1"/>
        <v>6318000</v>
      </c>
      <c r="AF9" s="1419">
        <f t="shared" si="2"/>
        <v>9478000</v>
      </c>
      <c r="AG9" s="1333"/>
    </row>
    <row r="10" spans="1:36" ht="27.75" customHeight="1">
      <c r="A10" s="1363">
        <v>4</v>
      </c>
      <c r="B10" s="1454" t="s">
        <v>4494</v>
      </c>
      <c r="C10" s="1477" t="s">
        <v>4625</v>
      </c>
      <c r="D10" s="1368" t="s">
        <v>4494</v>
      </c>
      <c r="E10" s="1464" t="s">
        <v>4649</v>
      </c>
      <c r="F10" s="1410" t="s">
        <v>4422</v>
      </c>
      <c r="G10" s="1452" t="s">
        <v>210</v>
      </c>
      <c r="H10" s="1301">
        <v>1</v>
      </c>
      <c r="I10" s="1361"/>
      <c r="J10" s="1361"/>
      <c r="K10" s="1575" t="s">
        <v>210</v>
      </c>
      <c r="L10" s="1367" t="s">
        <v>4434</v>
      </c>
      <c r="M10" s="1505" t="s">
        <v>4624</v>
      </c>
      <c r="N10" s="1429" t="s">
        <v>4435</v>
      </c>
      <c r="O10" s="2617"/>
      <c r="P10" s="1367"/>
      <c r="Q10" s="1370" t="s">
        <v>287</v>
      </c>
      <c r="R10" s="1533" t="s">
        <v>4676</v>
      </c>
      <c r="S10" s="1418">
        <v>760000</v>
      </c>
      <c r="T10" s="1418"/>
      <c r="U10" s="1544">
        <v>200000</v>
      </c>
      <c r="V10" s="1367"/>
      <c r="W10" s="1510">
        <v>1000000</v>
      </c>
      <c r="X10" s="1510">
        <v>432000</v>
      </c>
      <c r="Y10" s="1329"/>
      <c r="Z10" s="1503">
        <v>250000</v>
      </c>
      <c r="AA10" s="1329"/>
      <c r="AB10" s="1366"/>
      <c r="AC10" s="1416">
        <f t="shared" si="0"/>
        <v>1682000</v>
      </c>
      <c r="AD10" s="1534" t="s">
        <v>4708</v>
      </c>
      <c r="AE10" s="1418">
        <f t="shared" si="1"/>
        <v>5886000</v>
      </c>
      <c r="AF10" s="1419">
        <f t="shared" si="2"/>
        <v>7568000</v>
      </c>
      <c r="AG10" s="1332"/>
    </row>
    <row r="11" spans="1:36" ht="39.6">
      <c r="A11" s="326">
        <v>6</v>
      </c>
      <c r="B11" s="1582" t="s">
        <v>4686</v>
      </c>
      <c r="C11" s="1477" t="s">
        <v>4693</v>
      </c>
      <c r="D11" s="46" t="s">
        <v>4686</v>
      </c>
      <c r="E11" s="1464" t="s">
        <v>4698</v>
      </c>
      <c r="F11" s="1478" t="s">
        <v>4432</v>
      </c>
      <c r="G11" s="1299" t="s">
        <v>210</v>
      </c>
      <c r="H11" s="167">
        <v>2</v>
      </c>
      <c r="I11" s="167"/>
      <c r="J11" s="167"/>
      <c r="K11" s="1575" t="s">
        <v>210</v>
      </c>
      <c r="L11" s="1478" t="s">
        <v>4575</v>
      </c>
      <c r="M11" s="1565" t="s">
        <v>4692</v>
      </c>
      <c r="N11" s="1478" t="s">
        <v>4684</v>
      </c>
      <c r="O11" s="2618"/>
      <c r="P11" s="705"/>
      <c r="Q11" s="1370" t="s">
        <v>287</v>
      </c>
      <c r="R11" s="1989" t="s">
        <v>4704</v>
      </c>
      <c r="S11" s="1418">
        <f>760000*2</f>
        <v>1520000</v>
      </c>
      <c r="T11" s="1418">
        <v>300000</v>
      </c>
      <c r="U11" s="1544"/>
      <c r="V11" s="752"/>
      <c r="W11" s="1510">
        <f>900000*2</f>
        <v>1800000</v>
      </c>
      <c r="X11" s="1510">
        <v>864000</v>
      </c>
      <c r="Y11" s="752"/>
      <c r="Z11" s="1502">
        <v>500000</v>
      </c>
      <c r="AA11" s="1574"/>
      <c r="AB11" s="1170"/>
      <c r="AC11" s="1416">
        <f t="shared" si="0"/>
        <v>3164000</v>
      </c>
      <c r="AD11" s="1576" t="s">
        <v>4709</v>
      </c>
      <c r="AE11" s="1418">
        <f t="shared" si="1"/>
        <v>11664000</v>
      </c>
      <c r="AF11" s="1419">
        <f t="shared" si="2"/>
        <v>14828000</v>
      </c>
      <c r="AG11" s="1333"/>
    </row>
    <row r="12" spans="1:36" s="1350" customFormat="1" ht="34.5" customHeight="1">
      <c r="A12" s="326">
        <v>7</v>
      </c>
      <c r="B12" s="1582" t="s">
        <v>4697</v>
      </c>
      <c r="C12" s="1477" t="s">
        <v>4701</v>
      </c>
      <c r="D12" s="46" t="s">
        <v>4697</v>
      </c>
      <c r="E12" s="179" t="s">
        <v>4702</v>
      </c>
      <c r="F12" s="1478" t="s">
        <v>4507</v>
      </c>
      <c r="G12" s="1299" t="s">
        <v>210</v>
      </c>
      <c r="H12" s="167">
        <v>1</v>
      </c>
      <c r="I12" s="167"/>
      <c r="J12" s="167"/>
      <c r="K12" s="1575" t="s">
        <v>210</v>
      </c>
      <c r="L12" s="1573" t="s">
        <v>4506</v>
      </c>
      <c r="M12" s="1565" t="s">
        <v>4700</v>
      </c>
      <c r="N12" s="1429" t="s">
        <v>4683</v>
      </c>
      <c r="O12" s="2616"/>
      <c r="P12" s="1426"/>
      <c r="Q12" s="1370" t="s">
        <v>287</v>
      </c>
      <c r="R12" s="1664" t="s">
        <v>4676</v>
      </c>
      <c r="S12" s="1418">
        <v>760000</v>
      </c>
      <c r="T12" s="1418"/>
      <c r="U12" s="1544"/>
      <c r="V12" s="752"/>
      <c r="W12" s="1510">
        <v>1000000</v>
      </c>
      <c r="X12" s="1510">
        <v>432000</v>
      </c>
      <c r="Y12" s="752"/>
      <c r="Z12" s="1502">
        <v>250000</v>
      </c>
      <c r="AA12" s="1574"/>
      <c r="AB12" s="1170"/>
      <c r="AC12" s="1416">
        <f t="shared" si="0"/>
        <v>1682000</v>
      </c>
      <c r="AD12" s="1365" t="s">
        <v>4676</v>
      </c>
      <c r="AE12" s="1418">
        <f t="shared" si="1"/>
        <v>5670000</v>
      </c>
      <c r="AF12" s="1419">
        <f t="shared" si="2"/>
        <v>7352000</v>
      </c>
      <c r="AG12" s="1333"/>
      <c r="AI12" s="1351"/>
    </row>
    <row r="13" spans="1:36" ht="15.6">
      <c r="A13" s="3994" t="s">
        <v>4675</v>
      </c>
      <c r="B13" s="3995"/>
      <c r="C13" s="3995"/>
      <c r="D13" s="3995"/>
      <c r="E13" s="3995"/>
      <c r="F13" s="3995"/>
      <c r="G13" s="3995"/>
      <c r="H13" s="3995"/>
      <c r="I13" s="3995"/>
      <c r="J13" s="3995"/>
      <c r="K13" s="3995"/>
      <c r="L13" s="3996"/>
      <c r="M13" s="1532"/>
      <c r="N13" s="1342"/>
      <c r="O13" s="1708"/>
      <c r="P13" s="1342"/>
      <c r="Q13" s="1343"/>
      <c r="R13" s="1988"/>
      <c r="S13" s="1403"/>
      <c r="T13" s="1345"/>
      <c r="U13" s="1543"/>
      <c r="V13" s="1344"/>
      <c r="W13" s="1343"/>
      <c r="X13" s="1343"/>
      <c r="Y13" s="1343"/>
      <c r="Z13" s="1345"/>
      <c r="AA13" s="1343"/>
      <c r="AB13" s="1346"/>
      <c r="AC13" s="1346">
        <f>SUM(AC6:AC12)</f>
        <v>14733000</v>
      </c>
      <c r="AD13" s="1347"/>
      <c r="AE13" s="1348">
        <f>SUM(AE6:AE12)</f>
        <v>45727200</v>
      </c>
      <c r="AF13" s="1348">
        <f>SUM(AF6:AF12)</f>
        <v>60460200</v>
      </c>
      <c r="AG13" s="1348"/>
      <c r="AH13" s="1354"/>
      <c r="AI13" s="1354"/>
      <c r="AJ13" s="1350"/>
    </row>
    <row r="14" spans="1:36" s="1350" customFormat="1" ht="78.75" customHeight="1">
      <c r="A14" s="326">
        <v>1</v>
      </c>
      <c r="B14" s="1582" t="s">
        <v>4719</v>
      </c>
      <c r="C14" s="166" t="s">
        <v>4749</v>
      </c>
      <c r="D14" s="386" t="s">
        <v>4686</v>
      </c>
      <c r="E14" s="179" t="s">
        <v>4718</v>
      </c>
      <c r="F14" s="1633" t="s">
        <v>4736</v>
      </c>
      <c r="G14" s="709" t="s">
        <v>1300</v>
      </c>
      <c r="H14" s="167"/>
      <c r="I14" s="167">
        <v>6</v>
      </c>
      <c r="J14" s="167"/>
      <c r="K14" s="1587" t="s">
        <v>210</v>
      </c>
      <c r="L14" s="1732" t="s">
        <v>4689</v>
      </c>
      <c r="M14" s="1565" t="s">
        <v>4690</v>
      </c>
      <c r="N14" s="1568" t="s">
        <v>4691</v>
      </c>
      <c r="O14" s="2619"/>
      <c r="P14" s="1569" t="s">
        <v>4703</v>
      </c>
      <c r="Q14" s="150" t="s">
        <v>287</v>
      </c>
      <c r="R14" s="1664"/>
      <c r="S14" s="1418"/>
      <c r="T14" s="1418"/>
      <c r="U14" s="1544"/>
      <c r="V14" s="1502">
        <v>1085400</v>
      </c>
      <c r="W14" s="1502">
        <v>4600800</v>
      </c>
      <c r="X14" s="1510">
        <f>1500000*6</f>
        <v>9000000</v>
      </c>
      <c r="Y14" s="752"/>
      <c r="Z14" s="1503">
        <v>3000000</v>
      </c>
      <c r="AA14" s="752"/>
      <c r="AB14" s="1170"/>
      <c r="AC14" s="1416">
        <f>+SUM(V14:AB14)</f>
        <v>17686200</v>
      </c>
      <c r="AD14" s="1690" t="s">
        <v>2101</v>
      </c>
      <c r="AE14" s="1418">
        <f>(H14*4990000+I14*5090000)*1.08+(T14*1.08)+(S14*1.08)+(U14*1.08)</f>
        <v>32983200.000000004</v>
      </c>
      <c r="AF14" s="1419">
        <f t="shared" ref="AF14:AF24" si="3">+AC14+AE14</f>
        <v>50669400</v>
      </c>
      <c r="AG14" s="1333"/>
      <c r="AI14" s="1351"/>
    </row>
    <row r="15" spans="1:36" s="1350" customFormat="1" ht="27">
      <c r="A15" s="326">
        <v>2</v>
      </c>
      <c r="B15" s="666" t="s">
        <v>4748</v>
      </c>
      <c r="C15" s="166" t="s">
        <v>4752</v>
      </c>
      <c r="D15" s="699" t="s">
        <v>4733</v>
      </c>
      <c r="E15" s="179" t="s">
        <v>4723</v>
      </c>
      <c r="F15" s="1634" t="s">
        <v>4735</v>
      </c>
      <c r="G15" s="709" t="s">
        <v>1300</v>
      </c>
      <c r="H15" s="167">
        <v>1</v>
      </c>
      <c r="I15" s="167"/>
      <c r="J15" s="167"/>
      <c r="K15" s="1588" t="s">
        <v>418</v>
      </c>
      <c r="L15" s="154" t="s">
        <v>4720</v>
      </c>
      <c r="M15" s="1565" t="s">
        <v>4721</v>
      </c>
      <c r="N15" s="1568" t="s">
        <v>4722</v>
      </c>
      <c r="O15" s="2619"/>
      <c r="P15" s="1569" t="s">
        <v>4747</v>
      </c>
      <c r="Q15" s="150" t="s">
        <v>287</v>
      </c>
      <c r="R15" s="1664"/>
      <c r="S15" s="1418"/>
      <c r="T15" s="1418"/>
      <c r="U15" s="1544"/>
      <c r="V15" s="752"/>
      <c r="W15" s="1502">
        <v>631800</v>
      </c>
      <c r="X15" s="1510">
        <v>1000000</v>
      </c>
      <c r="Y15" s="1503">
        <v>6115000</v>
      </c>
      <c r="Z15" s="1503">
        <v>250000</v>
      </c>
      <c r="AA15" s="752"/>
      <c r="AB15" s="1170"/>
      <c r="AC15" s="1416">
        <f t="shared" si="0"/>
        <v>7996800</v>
      </c>
      <c r="AD15" s="1691" t="s">
        <v>4918</v>
      </c>
      <c r="AE15" s="1418">
        <f>(H15*4990000+I15*5090000)*1.08+(T15*1.08)+(S15*1.08)+(U15*1.08)+(1000000*1.03*1.08)</f>
        <v>6501600</v>
      </c>
      <c r="AF15" s="1419">
        <f t="shared" si="3"/>
        <v>14498400</v>
      </c>
      <c r="AG15" s="1333"/>
      <c r="AI15" s="1351"/>
    </row>
    <row r="16" spans="1:36" s="1350" customFormat="1" ht="15.6">
      <c r="A16" s="326">
        <v>3</v>
      </c>
      <c r="B16" s="1310"/>
      <c r="C16" s="1299" t="s">
        <v>4751</v>
      </c>
      <c r="D16" s="1312">
        <v>45691</v>
      </c>
      <c r="E16" s="179" t="s">
        <v>4729</v>
      </c>
      <c r="F16" s="1633" t="s">
        <v>4734</v>
      </c>
      <c r="G16" s="709" t="s">
        <v>1300</v>
      </c>
      <c r="H16" s="1321"/>
      <c r="I16" s="1372"/>
      <c r="J16" s="1313" t="s">
        <v>128</v>
      </c>
      <c r="K16" s="1267" t="s">
        <v>418</v>
      </c>
      <c r="L16" s="1580">
        <v>8308156732</v>
      </c>
      <c r="M16" s="1565" t="s">
        <v>4727</v>
      </c>
      <c r="N16" s="1568" t="s">
        <v>4711</v>
      </c>
      <c r="O16" s="2619"/>
      <c r="P16" s="1566"/>
      <c r="Q16" s="150" t="s">
        <v>4726</v>
      </c>
      <c r="R16" s="1664"/>
      <c r="S16" s="1418"/>
      <c r="T16" s="1418"/>
      <c r="U16" s="1544"/>
      <c r="V16" s="1307"/>
      <c r="W16" s="1413"/>
      <c r="X16" s="1413"/>
      <c r="Y16" s="1307"/>
      <c r="Z16" s="1692"/>
      <c r="AA16" s="1315"/>
      <c r="AB16" s="1170"/>
      <c r="AC16" s="1416">
        <f t="shared" si="0"/>
        <v>0</v>
      </c>
      <c r="AD16" s="1581" t="s">
        <v>4728</v>
      </c>
      <c r="AE16" s="1418">
        <f>1100000*1.08</f>
        <v>1188000</v>
      </c>
      <c r="AF16" s="1419">
        <f t="shared" si="3"/>
        <v>1188000</v>
      </c>
      <c r="AG16" s="1333"/>
      <c r="AI16" s="1351"/>
    </row>
    <row r="17" spans="1:36" s="1350" customFormat="1" ht="27">
      <c r="A17" s="326">
        <v>4</v>
      </c>
      <c r="B17" s="1619" t="s">
        <v>4771</v>
      </c>
      <c r="C17" s="1304" t="s">
        <v>4750</v>
      </c>
      <c r="D17" s="699" t="s">
        <v>4733</v>
      </c>
      <c r="E17" s="179" t="s">
        <v>4740</v>
      </c>
      <c r="F17" s="1635" t="s">
        <v>4732</v>
      </c>
      <c r="G17" s="709" t="s">
        <v>1300</v>
      </c>
      <c r="H17" s="1321"/>
      <c r="I17" s="1298"/>
      <c r="J17" s="445">
        <v>1</v>
      </c>
      <c r="K17" s="1474" t="s">
        <v>418</v>
      </c>
      <c r="L17" s="577" t="s">
        <v>4731</v>
      </c>
      <c r="M17" s="1565" t="s">
        <v>4917</v>
      </c>
      <c r="N17" s="1586" t="s">
        <v>4741</v>
      </c>
      <c r="O17" s="2536"/>
      <c r="P17" s="760"/>
      <c r="Q17" s="807" t="s">
        <v>4742</v>
      </c>
      <c r="R17" s="1778"/>
      <c r="S17" s="1418"/>
      <c r="T17" s="1418"/>
      <c r="U17" s="1545"/>
      <c r="V17" s="1502">
        <v>21561</v>
      </c>
      <c r="W17" s="1413"/>
      <c r="X17" s="1413"/>
      <c r="Y17" s="1503">
        <v>4709499</v>
      </c>
      <c r="Z17" s="1503">
        <v>6315</v>
      </c>
      <c r="AA17" s="1170"/>
      <c r="AB17" s="1170"/>
      <c r="AC17" s="1416">
        <f t="shared" si="0"/>
        <v>4737375</v>
      </c>
      <c r="AD17" s="1173" t="s">
        <v>2101</v>
      </c>
      <c r="AE17" s="1418">
        <f>(1530000+1100000+500000)*1.08</f>
        <v>3380400</v>
      </c>
      <c r="AF17" s="1419">
        <f t="shared" si="3"/>
        <v>8117775</v>
      </c>
      <c r="AG17" s="1333"/>
      <c r="AI17" s="1351"/>
    </row>
    <row r="18" spans="1:36" s="1350" customFormat="1" ht="27">
      <c r="A18" s="326">
        <v>5</v>
      </c>
      <c r="B18" s="1617" t="s">
        <v>4782</v>
      </c>
      <c r="C18" s="1477" t="s">
        <v>4785</v>
      </c>
      <c r="D18" s="386" t="s">
        <v>4782</v>
      </c>
      <c r="E18" s="179" t="s">
        <v>4801</v>
      </c>
      <c r="F18" s="1206" t="s">
        <v>4432</v>
      </c>
      <c r="G18" s="1308" t="s">
        <v>210</v>
      </c>
      <c r="H18" s="1321">
        <v>2</v>
      </c>
      <c r="I18" s="728"/>
      <c r="J18" s="167"/>
      <c r="K18" s="596" t="s">
        <v>210</v>
      </c>
      <c r="L18" s="577" t="s">
        <v>4766</v>
      </c>
      <c r="M18" s="1565" t="s">
        <v>4784</v>
      </c>
      <c r="N18" s="1572"/>
      <c r="O18" s="1572"/>
      <c r="P18" s="1572"/>
      <c r="Q18" s="150" t="s">
        <v>287</v>
      </c>
      <c r="R18" s="1989" t="s">
        <v>4848</v>
      </c>
      <c r="S18" s="1418">
        <f>760000*2</f>
        <v>1520000</v>
      </c>
      <c r="T18" s="1418">
        <v>300000</v>
      </c>
      <c r="U18" s="1544"/>
      <c r="V18" s="752"/>
      <c r="W18" s="1510">
        <f>900000+900000</f>
        <v>1800000</v>
      </c>
      <c r="X18" s="1510">
        <v>864000</v>
      </c>
      <c r="Y18" s="752"/>
      <c r="Z18" s="1503">
        <v>500000</v>
      </c>
      <c r="AA18" s="752"/>
      <c r="AB18" s="1170"/>
      <c r="AC18" s="1416">
        <f t="shared" si="0"/>
        <v>3164000</v>
      </c>
      <c r="AD18" s="755"/>
      <c r="AE18" s="1418">
        <f>(H18*4490000+I18*4590000)*1.08+(T18*1.08)+(S18*1.08)+(U18*1.08)</f>
        <v>11664000</v>
      </c>
      <c r="AF18" s="1419">
        <f t="shared" si="3"/>
        <v>14828000</v>
      </c>
      <c r="AG18" s="1333"/>
      <c r="AI18" s="1351"/>
    </row>
    <row r="19" spans="1:36" s="1350" customFormat="1" ht="27">
      <c r="A19" s="326">
        <v>6</v>
      </c>
      <c r="B19" s="729"/>
      <c r="C19" s="166" t="s">
        <v>4817</v>
      </c>
      <c r="D19" s="386" t="s">
        <v>4818</v>
      </c>
      <c r="E19" s="179" t="s">
        <v>4821</v>
      </c>
      <c r="F19" s="1634" t="s">
        <v>4805</v>
      </c>
      <c r="G19" s="709" t="s">
        <v>1300</v>
      </c>
      <c r="H19" s="445"/>
      <c r="I19" s="167"/>
      <c r="J19" s="167" t="s">
        <v>128</v>
      </c>
      <c r="K19" s="1474" t="s">
        <v>418</v>
      </c>
      <c r="L19" s="1620">
        <v>4579382883</v>
      </c>
      <c r="M19" s="1565" t="s">
        <v>4819</v>
      </c>
      <c r="N19" s="580"/>
      <c r="O19" s="580"/>
      <c r="P19" s="760"/>
      <c r="Q19" s="150" t="s">
        <v>4726</v>
      </c>
      <c r="R19" s="1664"/>
      <c r="S19" s="1418"/>
      <c r="T19" s="1418"/>
      <c r="U19" s="1544"/>
      <c r="V19" s="752"/>
      <c r="W19" s="1413"/>
      <c r="X19" s="1413"/>
      <c r="Y19" s="752"/>
      <c r="Z19" s="1692"/>
      <c r="AA19" s="752"/>
      <c r="AB19" s="1315"/>
      <c r="AC19" s="1416">
        <f t="shared" si="0"/>
        <v>0</v>
      </c>
      <c r="AD19" s="385" t="s">
        <v>4728</v>
      </c>
      <c r="AE19" s="1418">
        <f>1100000*1.08</f>
        <v>1188000</v>
      </c>
      <c r="AF19" s="1419">
        <f t="shared" si="3"/>
        <v>1188000</v>
      </c>
      <c r="AG19" s="1333"/>
      <c r="AI19" s="1351"/>
    </row>
    <row r="20" spans="1:36" s="1350" customFormat="1" ht="15.6">
      <c r="A20" s="326">
        <v>7</v>
      </c>
      <c r="B20" s="1656" t="s">
        <v>4820</v>
      </c>
      <c r="C20" s="1657" t="s">
        <v>4828</v>
      </c>
      <c r="D20" s="386" t="s">
        <v>4820</v>
      </c>
      <c r="E20" s="179" t="s">
        <v>4829</v>
      </c>
      <c r="F20" s="1578" t="s">
        <v>4812</v>
      </c>
      <c r="G20" s="709" t="s">
        <v>210</v>
      </c>
      <c r="H20" s="167">
        <v>1</v>
      </c>
      <c r="I20" s="167"/>
      <c r="J20" s="167"/>
      <c r="K20" s="86" t="s">
        <v>210</v>
      </c>
      <c r="L20" s="154" t="s">
        <v>4811</v>
      </c>
      <c r="M20" s="1565" t="s">
        <v>4827</v>
      </c>
      <c r="N20" s="170" t="s">
        <v>4814</v>
      </c>
      <c r="O20" s="1612"/>
      <c r="P20" s="705"/>
      <c r="Q20" s="150" t="s">
        <v>4813</v>
      </c>
      <c r="R20" s="1664" t="s">
        <v>4912</v>
      </c>
      <c r="S20" s="1418">
        <v>760000</v>
      </c>
      <c r="T20" s="1418"/>
      <c r="U20" s="1544"/>
      <c r="V20" s="752"/>
      <c r="W20" s="1510">
        <v>999000</v>
      </c>
      <c r="X20" s="1510">
        <v>432000</v>
      </c>
      <c r="Y20" s="752"/>
      <c r="Z20" s="1503">
        <v>250000</v>
      </c>
      <c r="AA20" s="752"/>
      <c r="AB20" s="1315"/>
      <c r="AC20" s="1416">
        <f t="shared" si="0"/>
        <v>1681000</v>
      </c>
      <c r="AD20" s="755"/>
      <c r="AE20" s="1418">
        <f>(H20*4490000+I20*4590000)*1.08+(T20*1.08)+(S20*1.08)+(U20*1.08)</f>
        <v>5670000</v>
      </c>
      <c r="AF20" s="1419">
        <f t="shared" si="3"/>
        <v>7351000</v>
      </c>
      <c r="AG20" s="1333"/>
      <c r="AI20" s="1351"/>
    </row>
    <row r="21" spans="1:36" s="1350" customFormat="1" ht="15.6">
      <c r="A21" s="326">
        <v>8</v>
      </c>
      <c r="B21" s="1655" t="s">
        <v>4888</v>
      </c>
      <c r="C21" s="1657" t="s">
        <v>4896</v>
      </c>
      <c r="D21" s="386" t="s">
        <v>4888</v>
      </c>
      <c r="E21" s="179" t="s">
        <v>4919</v>
      </c>
      <c r="F21" s="1578" t="s">
        <v>4422</v>
      </c>
      <c r="G21" s="709" t="s">
        <v>210</v>
      </c>
      <c r="H21" s="167">
        <v>1</v>
      </c>
      <c r="I21" s="167"/>
      <c r="J21" s="167"/>
      <c r="K21" s="86" t="s">
        <v>210</v>
      </c>
      <c r="L21" s="154" t="s">
        <v>4825</v>
      </c>
      <c r="M21" s="1565" t="s">
        <v>4897</v>
      </c>
      <c r="N21" s="170" t="s">
        <v>4830</v>
      </c>
      <c r="O21" s="1612"/>
      <c r="P21" s="705"/>
      <c r="Q21" s="150" t="s">
        <v>4813</v>
      </c>
      <c r="R21" s="1664" t="s">
        <v>4912</v>
      </c>
      <c r="S21" s="1418">
        <v>760000</v>
      </c>
      <c r="T21" s="1418"/>
      <c r="U21" s="1544"/>
      <c r="V21" s="752"/>
      <c r="W21" s="1510"/>
      <c r="X21" s="1510">
        <v>432000</v>
      </c>
      <c r="Y21" s="752"/>
      <c r="Z21" s="1503">
        <v>250000</v>
      </c>
      <c r="AA21" s="752"/>
      <c r="AB21" s="1315"/>
      <c r="AC21" s="1416">
        <f t="shared" si="0"/>
        <v>682000</v>
      </c>
      <c r="AD21" s="755"/>
      <c r="AE21" s="1418">
        <f>(H21*4490000+I21*4590000)*1.08+(T21*1.08)+(S21*1.08)+(U21*1.08)</f>
        <v>5670000</v>
      </c>
      <c r="AF21" s="1419">
        <f t="shared" si="3"/>
        <v>6352000</v>
      </c>
      <c r="AG21" s="1333"/>
      <c r="AI21" s="1351"/>
    </row>
    <row r="22" spans="1:36" s="1350" customFormat="1" ht="15.6">
      <c r="A22" s="326">
        <v>9</v>
      </c>
      <c r="B22" s="1656" t="s">
        <v>4913</v>
      </c>
      <c r="C22" s="166" t="s">
        <v>4884</v>
      </c>
      <c r="D22" s="386" t="s">
        <v>4885</v>
      </c>
      <c r="E22" s="179" t="s">
        <v>4871</v>
      </c>
      <c r="F22" s="1633" t="s">
        <v>4869</v>
      </c>
      <c r="G22" s="709" t="s">
        <v>1300</v>
      </c>
      <c r="H22" s="167"/>
      <c r="I22" s="167"/>
      <c r="J22" s="167">
        <v>1</v>
      </c>
      <c r="K22" s="86" t="s">
        <v>210</v>
      </c>
      <c r="L22" s="154" t="s">
        <v>4867</v>
      </c>
      <c r="M22" s="707" t="s">
        <v>4868</v>
      </c>
      <c r="N22" s="170" t="s">
        <v>4870</v>
      </c>
      <c r="O22" s="1612"/>
      <c r="P22" s="705"/>
      <c r="Q22" s="807" t="s">
        <v>3493</v>
      </c>
      <c r="R22" s="1664"/>
      <c r="S22" s="1418"/>
      <c r="T22" s="1418"/>
      <c r="U22" s="1544"/>
      <c r="V22" s="752"/>
      <c r="W22" s="1413"/>
      <c r="X22" s="1413"/>
      <c r="Y22" s="1503">
        <v>10198342</v>
      </c>
      <c r="Z22" s="1503">
        <v>28800</v>
      </c>
      <c r="AA22" s="752"/>
      <c r="AB22" s="1315"/>
      <c r="AC22" s="1416">
        <f t="shared" si="0"/>
        <v>10227142</v>
      </c>
      <c r="AD22" s="755" t="s">
        <v>4916</v>
      </c>
      <c r="AE22" s="1418">
        <f>+(2080000+1100000)*1.08</f>
        <v>3434400</v>
      </c>
      <c r="AF22" s="1419">
        <f t="shared" si="3"/>
        <v>13661542</v>
      </c>
      <c r="AG22" s="1333"/>
      <c r="AI22" s="1351"/>
    </row>
    <row r="23" spans="1:36" s="1350" customFormat="1" ht="27">
      <c r="A23" s="326">
        <v>10</v>
      </c>
      <c r="B23" s="1655" t="s">
        <v>2213</v>
      </c>
      <c r="C23" s="1477" t="s">
        <v>4942</v>
      </c>
      <c r="D23" s="386" t="s">
        <v>4913</v>
      </c>
      <c r="E23" s="179" t="s">
        <v>4943</v>
      </c>
      <c r="F23" s="1578" t="s">
        <v>4432</v>
      </c>
      <c r="G23" s="709" t="s">
        <v>210</v>
      </c>
      <c r="H23" s="167">
        <v>1</v>
      </c>
      <c r="I23" s="167"/>
      <c r="J23" s="167"/>
      <c r="K23" s="86" t="s">
        <v>210</v>
      </c>
      <c r="L23" s="154" t="s">
        <v>4894</v>
      </c>
      <c r="M23" s="707" t="s">
        <v>4941</v>
      </c>
      <c r="N23" s="170" t="s">
        <v>4895</v>
      </c>
      <c r="O23" s="1612"/>
      <c r="P23" s="705"/>
      <c r="Q23" s="150" t="s">
        <v>4813</v>
      </c>
      <c r="R23" s="1370" t="s">
        <v>4912</v>
      </c>
      <c r="S23" s="1418">
        <v>760000</v>
      </c>
      <c r="T23" s="1418"/>
      <c r="U23" s="1544"/>
      <c r="V23" s="752"/>
      <c r="W23" s="1510"/>
      <c r="X23" s="1510">
        <v>432000</v>
      </c>
      <c r="Y23" s="752"/>
      <c r="Z23" s="1698">
        <v>250000</v>
      </c>
      <c r="AA23" s="752"/>
      <c r="AB23" s="1315"/>
      <c r="AC23" s="1416">
        <f t="shared" si="0"/>
        <v>682000</v>
      </c>
      <c r="AD23" s="755"/>
      <c r="AE23" s="1418">
        <f>(H23*4490000+I23*4590000)*1.08+(T23*1.08)+(S23*1.08)+(U23*1.08)</f>
        <v>5670000</v>
      </c>
      <c r="AF23" s="1419">
        <f t="shared" si="3"/>
        <v>6352000</v>
      </c>
      <c r="AG23" s="1333"/>
      <c r="AI23" s="1351"/>
    </row>
    <row r="24" spans="1:36" ht="27">
      <c r="A24" s="326">
        <v>11</v>
      </c>
      <c r="B24" s="1454" t="s">
        <v>4478</v>
      </c>
      <c r="C24" s="1477" t="s">
        <v>4517</v>
      </c>
      <c r="D24" s="1286" t="s">
        <v>4478</v>
      </c>
      <c r="E24" s="1462" t="s">
        <v>4927</v>
      </c>
      <c r="F24" s="1410" t="s">
        <v>4422</v>
      </c>
      <c r="G24" s="1299" t="s">
        <v>210</v>
      </c>
      <c r="H24" s="728"/>
      <c r="I24" s="1448">
        <v>1</v>
      </c>
      <c r="J24" s="1449"/>
      <c r="K24" s="1575" t="s">
        <v>210</v>
      </c>
      <c r="L24" s="154" t="s">
        <v>4489</v>
      </c>
      <c r="M24" s="1570" t="s">
        <v>4511</v>
      </c>
      <c r="N24" s="170" t="s">
        <v>4498</v>
      </c>
      <c r="O24" s="1612"/>
      <c r="P24" s="705"/>
      <c r="Q24" s="1370" t="s">
        <v>2857</v>
      </c>
      <c r="R24" s="1664"/>
      <c r="S24" s="1693"/>
      <c r="T24" s="1693"/>
      <c r="U24" s="1694"/>
      <c r="V24" s="1364"/>
      <c r="W24" s="1413"/>
      <c r="Y24" s="1364"/>
      <c r="Z24" s="1330"/>
      <c r="AA24" s="1364"/>
      <c r="AB24" s="1315"/>
      <c r="AC24" s="1416">
        <f t="shared" si="0"/>
        <v>0</v>
      </c>
      <c r="AD24" s="1534" t="s">
        <v>4928</v>
      </c>
      <c r="AE24" s="1418">
        <f>+(2000000*1.08)</f>
        <v>2160000</v>
      </c>
      <c r="AF24" s="1419">
        <f t="shared" si="3"/>
        <v>2160000</v>
      </c>
      <c r="AG24" s="1333"/>
    </row>
    <row r="25" spans="1:36" ht="15.6">
      <c r="A25" s="3994" t="s">
        <v>4935</v>
      </c>
      <c r="B25" s="3995"/>
      <c r="C25" s="3995"/>
      <c r="D25" s="3995"/>
      <c r="E25" s="3995"/>
      <c r="F25" s="3995"/>
      <c r="G25" s="3995"/>
      <c r="H25" s="3995"/>
      <c r="I25" s="3995"/>
      <c r="J25" s="3995"/>
      <c r="K25" s="3995"/>
      <c r="L25" s="3996"/>
      <c r="M25" s="1532"/>
      <c r="N25" s="1342"/>
      <c r="O25" s="1708"/>
      <c r="P25" s="1342"/>
      <c r="Q25" s="1343"/>
      <c r="R25" s="1988"/>
      <c r="S25" s="1403"/>
      <c r="T25" s="1345"/>
      <c r="U25" s="1543"/>
      <c r="V25" s="1344"/>
      <c r="W25" s="1343"/>
      <c r="X25" s="1343"/>
      <c r="Y25" s="1343"/>
      <c r="Z25" s="1345"/>
      <c r="AA25" s="1343"/>
      <c r="AB25" s="1346"/>
      <c r="AC25" s="1346">
        <f>SUM(AC18:AC24)</f>
        <v>16436142</v>
      </c>
      <c r="AD25" s="1347"/>
      <c r="AE25" s="1348">
        <f>SUM(AE18:AE24)</f>
        <v>35456400</v>
      </c>
      <c r="AF25" s="1348">
        <f>SUM(AF18:AF24)</f>
        <v>51892542</v>
      </c>
      <c r="AG25" s="1348"/>
      <c r="AH25" s="1354"/>
      <c r="AI25" s="1354"/>
      <c r="AJ25" s="1350"/>
    </row>
    <row r="26" spans="1:36" s="1350" customFormat="1" ht="15.6">
      <c r="A26" s="1599"/>
      <c r="B26" s="1737"/>
      <c r="C26" s="1997">
        <v>105225947040</v>
      </c>
      <c r="D26" s="46" t="s">
        <v>4993</v>
      </c>
      <c r="E26" s="179" t="s">
        <v>5182</v>
      </c>
      <c r="F26" s="1424"/>
      <c r="G26" s="709"/>
      <c r="H26" s="167"/>
      <c r="I26" s="167"/>
      <c r="J26" s="167"/>
      <c r="K26" s="79"/>
      <c r="L26" s="154" t="s">
        <v>5173</v>
      </c>
      <c r="M26" s="707" t="s">
        <v>5176</v>
      </c>
      <c r="N26" s="170"/>
      <c r="O26" s="2590"/>
      <c r="P26" s="577"/>
      <c r="Q26" s="165"/>
      <c r="R26" s="1664"/>
      <c r="S26" s="1418"/>
      <c r="T26" s="1418"/>
      <c r="U26" s="1544"/>
      <c r="V26" s="752"/>
      <c r="W26" s="752"/>
      <c r="X26" s="752"/>
      <c r="Y26" s="1697"/>
      <c r="Z26" s="1698">
        <v>8850</v>
      </c>
      <c r="AA26" s="752"/>
      <c r="AB26" s="1315"/>
      <c r="AC26" s="1416">
        <f>+SUM(V26:AB26)</f>
        <v>8850</v>
      </c>
      <c r="AD26" s="755" t="s">
        <v>5005</v>
      </c>
      <c r="AE26" s="1418">
        <f>(H26*4490000+I26*4590000)*1.08+(T26*1.08)+(S26*1.08)+(U26*1.08)</f>
        <v>0</v>
      </c>
      <c r="AF26" s="1419">
        <f t="shared" ref="AF26:AF36" si="4">+AC26+AE26</f>
        <v>8850</v>
      </c>
      <c r="AG26" s="1333"/>
      <c r="AI26" s="1351"/>
    </row>
    <row r="27" spans="1:36" s="1350" customFormat="1" ht="15.6">
      <c r="A27" s="1599"/>
      <c r="B27" s="1737"/>
      <c r="C27" s="1997">
        <v>104925537141</v>
      </c>
      <c r="D27" s="46" t="s">
        <v>4992</v>
      </c>
      <c r="E27" s="179" t="s">
        <v>5183</v>
      </c>
      <c r="F27" s="1424"/>
      <c r="G27" s="709"/>
      <c r="H27" s="167"/>
      <c r="I27" s="167"/>
      <c r="J27" s="167"/>
      <c r="K27" s="79"/>
      <c r="L27" s="154" t="s">
        <v>5174</v>
      </c>
      <c r="M27" s="707" t="s">
        <v>5175</v>
      </c>
      <c r="N27" s="1566"/>
      <c r="O27" s="1566"/>
      <c r="P27" s="1566"/>
      <c r="Q27" s="165"/>
      <c r="R27" s="1664"/>
      <c r="S27" s="1418"/>
      <c r="T27" s="1418"/>
      <c r="U27" s="1544"/>
      <c r="V27" s="752"/>
      <c r="W27" s="752"/>
      <c r="X27" s="752"/>
      <c r="Y27" s="1697"/>
      <c r="Z27" s="1733">
        <v>900</v>
      </c>
      <c r="AA27" s="752"/>
      <c r="AB27" s="1315"/>
      <c r="AC27" s="1416">
        <f>+SUM(V27:AB27)</f>
        <v>900</v>
      </c>
      <c r="AD27" s="755" t="s">
        <v>5005</v>
      </c>
      <c r="AE27" s="1418">
        <f>(H27*4490000+I27*4590000)*1.08+(T27*1.08)+(S27*1.08)+(U27*1.08)</f>
        <v>0</v>
      </c>
      <c r="AF27" s="1419">
        <f t="shared" si="4"/>
        <v>900</v>
      </c>
      <c r="AG27" s="1333"/>
      <c r="AI27" s="1351"/>
    </row>
    <row r="28" spans="1:36" s="1350" customFormat="1" ht="26.25" customHeight="1" thickBot="1">
      <c r="A28" s="1975"/>
      <c r="B28" s="1976"/>
      <c r="C28" s="1991" t="s">
        <v>4517</v>
      </c>
      <c r="D28" s="1825" t="s">
        <v>4478</v>
      </c>
      <c r="E28" s="1818" t="s">
        <v>5233</v>
      </c>
      <c r="F28" s="1977"/>
      <c r="G28" s="1807"/>
      <c r="H28" s="1978"/>
      <c r="I28" s="1978"/>
      <c r="J28" s="1978"/>
      <c r="K28" s="1973" t="s">
        <v>210</v>
      </c>
      <c r="L28" s="1979" t="s">
        <v>4489</v>
      </c>
      <c r="M28" s="1961" t="s">
        <v>4511</v>
      </c>
      <c r="N28" s="1980" t="s">
        <v>4498</v>
      </c>
      <c r="O28" s="1980"/>
      <c r="P28" s="1981"/>
      <c r="Q28" s="1982" t="s">
        <v>2857</v>
      </c>
      <c r="R28" s="1990"/>
      <c r="S28" s="1545"/>
      <c r="T28" s="1545"/>
      <c r="U28" s="1545"/>
      <c r="V28" s="1170"/>
      <c r="W28" s="1170"/>
      <c r="X28" s="1170"/>
      <c r="Y28" s="1718"/>
      <c r="Z28" s="1316"/>
      <c r="AA28" s="752"/>
      <c r="AB28" s="1315"/>
      <c r="AC28" s="1416">
        <f t="shared" si="0"/>
        <v>0</v>
      </c>
      <c r="AD28" s="1576" t="s">
        <v>5249</v>
      </c>
      <c r="AE28" s="2042">
        <f>(38*25760*1.03)*1.08</f>
        <v>1088906.1120000002</v>
      </c>
      <c r="AF28" s="1419">
        <f t="shared" si="4"/>
        <v>1088906.1120000002</v>
      </c>
      <c r="AG28" s="1333"/>
      <c r="AI28" s="1351"/>
    </row>
    <row r="29" spans="1:36" s="1350" customFormat="1" ht="40.200000000000003">
      <c r="A29" s="1104">
        <v>1</v>
      </c>
      <c r="B29" s="1752" t="s">
        <v>4991</v>
      </c>
      <c r="C29" s="1971" t="s">
        <v>4975</v>
      </c>
      <c r="D29" s="1972" t="s">
        <v>4962</v>
      </c>
      <c r="E29" s="805" t="s">
        <v>4961</v>
      </c>
      <c r="F29" s="672" t="s">
        <v>4960</v>
      </c>
      <c r="G29" s="1308" t="s">
        <v>1300</v>
      </c>
      <c r="H29" s="445">
        <v>1</v>
      </c>
      <c r="I29" s="445"/>
      <c r="J29" s="445"/>
      <c r="K29" s="1474" t="s">
        <v>210</v>
      </c>
      <c r="L29" s="959" t="s">
        <v>4958</v>
      </c>
      <c r="M29" s="707" t="s">
        <v>4959</v>
      </c>
      <c r="N29" s="1970" t="s">
        <v>4936</v>
      </c>
      <c r="O29" s="2590"/>
      <c r="P29" s="577"/>
      <c r="Q29" s="1778" t="s">
        <v>4813</v>
      </c>
      <c r="R29" s="1778"/>
      <c r="S29" s="1418"/>
      <c r="T29" s="1418"/>
      <c r="U29" s="1544"/>
      <c r="V29" s="752"/>
      <c r="W29" s="1502">
        <v>432000</v>
      </c>
      <c r="X29" s="1510">
        <v>1000000</v>
      </c>
      <c r="Y29" s="1739">
        <v>5967100</v>
      </c>
      <c r="Z29" s="1504">
        <v>250000</v>
      </c>
      <c r="AA29" s="752"/>
      <c r="AB29" s="1315"/>
      <c r="AC29" s="1416">
        <f>+SUM(V29:AB29)</f>
        <v>7649100</v>
      </c>
      <c r="AD29" s="755"/>
      <c r="AE29" s="1418">
        <f>(H29*4740000+I29*4840000)*1.08+(T29*1.08)+(S29*1.08)+(U29*1.08)</f>
        <v>5119200</v>
      </c>
      <c r="AF29" s="1419">
        <f t="shared" si="4"/>
        <v>12768300</v>
      </c>
      <c r="AG29" s="1333"/>
      <c r="AI29" s="1351"/>
    </row>
    <row r="30" spans="1:36" s="1350" customFormat="1" ht="27">
      <c r="A30" s="1599">
        <v>2</v>
      </c>
      <c r="B30" s="1731" t="s">
        <v>4936</v>
      </c>
      <c r="C30" s="1657" t="s">
        <v>4985</v>
      </c>
      <c r="D30" s="386" t="s">
        <v>4936</v>
      </c>
      <c r="E30" s="179" t="s">
        <v>4997</v>
      </c>
      <c r="F30" s="1633" t="s">
        <v>4976</v>
      </c>
      <c r="G30" s="709" t="s">
        <v>210</v>
      </c>
      <c r="H30" s="167">
        <v>1</v>
      </c>
      <c r="I30" s="167"/>
      <c r="J30" s="167"/>
      <c r="K30" s="86" t="s">
        <v>210</v>
      </c>
      <c r="L30" s="154" t="s">
        <v>4977</v>
      </c>
      <c r="M30" s="707" t="s">
        <v>4986</v>
      </c>
      <c r="N30" s="170" t="s">
        <v>4978</v>
      </c>
      <c r="O30" s="2590"/>
      <c r="P30" s="577" t="s">
        <v>4990</v>
      </c>
      <c r="Q30" s="165" t="s">
        <v>2966</v>
      </c>
      <c r="R30" s="1989" t="s">
        <v>4912</v>
      </c>
      <c r="S30" s="1418">
        <v>760000</v>
      </c>
      <c r="T30" s="1418"/>
      <c r="U30" s="1544"/>
      <c r="V30" s="752"/>
      <c r="W30" s="1510">
        <v>900000</v>
      </c>
      <c r="X30" s="1510">
        <v>432000</v>
      </c>
      <c r="Y30" s="752"/>
      <c r="Z30" s="1504">
        <v>250000</v>
      </c>
      <c r="AA30" s="752"/>
      <c r="AB30" s="1315"/>
      <c r="AC30" s="1416">
        <f t="shared" si="0"/>
        <v>1582000</v>
      </c>
      <c r="AD30" s="755"/>
      <c r="AE30" s="1418">
        <f>(H30*4740000+I30*4840000)*1.08+(T30*1.08)+(S30*1.08)+(U30*1.08)</f>
        <v>5940000</v>
      </c>
      <c r="AF30" s="1419">
        <f t="shared" si="4"/>
        <v>7522000</v>
      </c>
      <c r="AG30" s="1333"/>
      <c r="AI30" s="1351"/>
    </row>
    <row r="31" spans="1:36" s="1350" customFormat="1" ht="15.6">
      <c r="A31" s="1599">
        <v>5</v>
      </c>
      <c r="B31" s="1747" t="s">
        <v>4952</v>
      </c>
      <c r="C31" s="166" t="s">
        <v>5032</v>
      </c>
      <c r="D31" s="386" t="s">
        <v>5011</v>
      </c>
      <c r="E31" s="179" t="s">
        <v>5049</v>
      </c>
      <c r="F31" s="1424" t="s">
        <v>4736</v>
      </c>
      <c r="G31" s="709" t="s">
        <v>1300</v>
      </c>
      <c r="H31" s="167"/>
      <c r="I31" s="167"/>
      <c r="J31" s="167" t="s">
        <v>128</v>
      </c>
      <c r="K31" s="86" t="s">
        <v>210</v>
      </c>
      <c r="L31" s="1746">
        <v>1065228192</v>
      </c>
      <c r="M31" s="707"/>
      <c r="N31" s="170" t="s">
        <v>5027</v>
      </c>
      <c r="O31" s="2590"/>
      <c r="P31" s="577"/>
      <c r="Q31" s="150" t="s">
        <v>5026</v>
      </c>
      <c r="R31" s="1989"/>
      <c r="S31" s="1418"/>
      <c r="T31" s="1418"/>
      <c r="U31" s="1544"/>
      <c r="V31" s="1502">
        <v>324000</v>
      </c>
      <c r="W31" s="1413"/>
      <c r="X31" s="1413"/>
      <c r="Y31" s="752"/>
      <c r="Z31" s="1316"/>
      <c r="AA31" s="752"/>
      <c r="AB31" s="1315"/>
      <c r="AC31" s="1416">
        <f t="shared" si="0"/>
        <v>324000</v>
      </c>
      <c r="AD31" s="755"/>
      <c r="AE31" s="1418">
        <f>+(1480000+1100000)*1.08</f>
        <v>2786400</v>
      </c>
      <c r="AF31" s="1419">
        <f t="shared" si="4"/>
        <v>3110400</v>
      </c>
      <c r="AG31" s="1333"/>
      <c r="AI31" s="1351"/>
    </row>
    <row r="32" spans="1:36" s="1350" customFormat="1" ht="27">
      <c r="A32" s="1599">
        <v>4</v>
      </c>
      <c r="B32" s="1752" t="s">
        <v>4952</v>
      </c>
      <c r="C32" s="1657" t="s">
        <v>5053</v>
      </c>
      <c r="D32" s="1752" t="s">
        <v>4952</v>
      </c>
      <c r="E32" s="179" t="s">
        <v>5061</v>
      </c>
      <c r="F32" s="1633" t="s">
        <v>4422</v>
      </c>
      <c r="G32" s="709" t="s">
        <v>210</v>
      </c>
      <c r="H32" s="167">
        <v>1</v>
      </c>
      <c r="I32" s="167"/>
      <c r="J32" s="167"/>
      <c r="K32" s="86" t="s">
        <v>210</v>
      </c>
      <c r="L32" s="154" t="s">
        <v>5015</v>
      </c>
      <c r="M32" s="707" t="s">
        <v>5054</v>
      </c>
      <c r="N32" s="170" t="s">
        <v>5016</v>
      </c>
      <c r="O32" s="2590"/>
      <c r="P32" s="577"/>
      <c r="Q32" s="165" t="s">
        <v>4813</v>
      </c>
      <c r="R32" s="1989" t="s">
        <v>4912</v>
      </c>
      <c r="S32" s="1418">
        <v>760000</v>
      </c>
      <c r="T32" s="1418"/>
      <c r="U32" s="1544">
        <v>200000</v>
      </c>
      <c r="V32" s="752"/>
      <c r="W32" s="1510">
        <v>900000</v>
      </c>
      <c r="X32" s="1510">
        <v>497000</v>
      </c>
      <c r="Y32" s="752"/>
      <c r="Z32" s="1504">
        <v>250000</v>
      </c>
      <c r="AA32" s="752"/>
      <c r="AB32" s="1315"/>
      <c r="AC32" s="1416">
        <f>+SUM(V32:AB32)</f>
        <v>1647000</v>
      </c>
      <c r="AD32" s="755"/>
      <c r="AE32" s="1418">
        <f>(H32*4740000+I32*4840000)*1.08+(T32*1.08)+(S32*1.08)+(U32*1.08)</f>
        <v>6156000</v>
      </c>
      <c r="AF32" s="1419">
        <f t="shared" si="4"/>
        <v>7803000</v>
      </c>
      <c r="AG32" s="1333"/>
      <c r="AI32" s="1351"/>
    </row>
    <row r="33" spans="1:36" s="1350" customFormat="1" ht="27">
      <c r="A33" s="1738">
        <v>3</v>
      </c>
      <c r="B33" s="1753" t="s">
        <v>5037</v>
      </c>
      <c r="C33" s="1657" t="s">
        <v>5069</v>
      </c>
      <c r="D33" s="1768" t="s">
        <v>5037</v>
      </c>
      <c r="E33" s="179" t="s">
        <v>5070</v>
      </c>
      <c r="F33" s="1633" t="s">
        <v>4422</v>
      </c>
      <c r="G33" s="709" t="s">
        <v>210</v>
      </c>
      <c r="H33" s="167">
        <v>1</v>
      </c>
      <c r="I33" s="167"/>
      <c r="J33" s="167"/>
      <c r="K33" s="86" t="s">
        <v>210</v>
      </c>
      <c r="L33" s="154" t="s">
        <v>5014</v>
      </c>
      <c r="M33" s="707" t="s">
        <v>5063</v>
      </c>
      <c r="N33" s="170" t="s">
        <v>5016</v>
      </c>
      <c r="O33" s="2590"/>
      <c r="P33" s="577"/>
      <c r="Q33" s="165" t="s">
        <v>4813</v>
      </c>
      <c r="R33" s="1989" t="s">
        <v>4912</v>
      </c>
      <c r="S33" s="1418">
        <v>760000</v>
      </c>
      <c r="T33" s="1418"/>
      <c r="U33" s="1544"/>
      <c r="V33" s="752"/>
      <c r="W33" s="1510">
        <v>900000</v>
      </c>
      <c r="X33" s="1510">
        <v>497000</v>
      </c>
      <c r="Y33" s="752"/>
      <c r="Z33" s="1504">
        <v>250000</v>
      </c>
      <c r="AA33" s="752"/>
      <c r="AB33" s="1315"/>
      <c r="AC33" s="1416">
        <f t="shared" si="0"/>
        <v>1647000</v>
      </c>
      <c r="AD33" s="755"/>
      <c r="AE33" s="1418">
        <f>(H33*4740000+I33*4840000)*1.08+(T33*1.08)+(S33*1.08)+(U33*1.08)</f>
        <v>5940000</v>
      </c>
      <c r="AF33" s="1419">
        <f t="shared" si="4"/>
        <v>7587000</v>
      </c>
      <c r="AG33" s="1333"/>
      <c r="AI33" s="1351"/>
    </row>
    <row r="34" spans="1:36" s="1350" customFormat="1" ht="27">
      <c r="A34" s="1738">
        <v>5</v>
      </c>
      <c r="B34" s="1963" t="s">
        <v>5115</v>
      </c>
      <c r="C34" s="1657" t="s">
        <v>5139</v>
      </c>
      <c r="D34" s="386" t="s">
        <v>5115</v>
      </c>
      <c r="E34" s="179" t="s">
        <v>5151</v>
      </c>
      <c r="F34" s="1633" t="s">
        <v>5141</v>
      </c>
      <c r="G34" s="709" t="s">
        <v>210</v>
      </c>
      <c r="H34" s="167">
        <v>1</v>
      </c>
      <c r="I34" s="167"/>
      <c r="J34" s="167"/>
      <c r="K34" s="86" t="s">
        <v>210</v>
      </c>
      <c r="L34" s="154" t="s">
        <v>5084</v>
      </c>
      <c r="M34" s="707" t="s">
        <v>5140</v>
      </c>
      <c r="N34" s="170" t="s">
        <v>5085</v>
      </c>
      <c r="O34" s="2590"/>
      <c r="P34" s="577"/>
      <c r="Q34" s="165" t="s">
        <v>4813</v>
      </c>
      <c r="R34" s="1989" t="s">
        <v>4912</v>
      </c>
      <c r="S34" s="1418">
        <v>760000</v>
      </c>
      <c r="T34" s="1418"/>
      <c r="U34" s="1418"/>
      <c r="V34" s="752"/>
      <c r="W34" s="1510">
        <v>1000000</v>
      </c>
      <c r="X34" s="1510">
        <v>497000</v>
      </c>
      <c r="Y34" s="752"/>
      <c r="Z34" s="1502">
        <v>250000</v>
      </c>
      <c r="AA34" s="752"/>
      <c r="AB34" s="1315"/>
      <c r="AC34" s="1416">
        <f t="shared" si="0"/>
        <v>1747000</v>
      </c>
      <c r="AD34" s="755"/>
      <c r="AE34" s="1418">
        <f>(H34*4740000+I34*4840000)*1.08+(T34*1.08)+(S34*1.08)+(U34*1.08)</f>
        <v>5940000</v>
      </c>
      <c r="AF34" s="1419">
        <f t="shared" si="4"/>
        <v>7687000</v>
      </c>
      <c r="AG34" s="1333"/>
      <c r="AI34" s="1351"/>
    </row>
    <row r="35" spans="1:36" s="1350" customFormat="1" ht="27">
      <c r="A35" s="1599">
        <v>6</v>
      </c>
      <c r="B35" s="1656" t="s">
        <v>5193</v>
      </c>
      <c r="C35" s="1657" t="s">
        <v>5222</v>
      </c>
      <c r="D35" s="386" t="s">
        <v>5193</v>
      </c>
      <c r="E35" s="179" t="s">
        <v>5224</v>
      </c>
      <c r="F35" s="1633" t="s">
        <v>4432</v>
      </c>
      <c r="G35" s="709" t="s">
        <v>210</v>
      </c>
      <c r="H35" s="167">
        <v>2</v>
      </c>
      <c r="I35" s="167"/>
      <c r="J35" s="167"/>
      <c r="K35" s="86" t="s">
        <v>210</v>
      </c>
      <c r="L35" s="154" t="s">
        <v>5159</v>
      </c>
      <c r="M35" s="1618" t="s">
        <v>5223</v>
      </c>
      <c r="N35" s="170" t="s">
        <v>5160</v>
      </c>
      <c r="O35" s="2590"/>
      <c r="P35" s="577"/>
      <c r="Q35" s="165" t="s">
        <v>4813</v>
      </c>
      <c r="R35" s="1989" t="s">
        <v>4912</v>
      </c>
      <c r="S35" s="1418">
        <v>760000</v>
      </c>
      <c r="T35" s="1418"/>
      <c r="U35" s="1418"/>
      <c r="V35" s="752"/>
      <c r="W35" s="1510">
        <f>900000*2</f>
        <v>1800000</v>
      </c>
      <c r="X35" s="1510">
        <v>994000</v>
      </c>
      <c r="Y35" s="752"/>
      <c r="Z35" s="1502">
        <v>500000</v>
      </c>
      <c r="AA35" s="752"/>
      <c r="AB35" s="1315"/>
      <c r="AC35" s="1416">
        <f t="shared" si="0"/>
        <v>3294000</v>
      </c>
      <c r="AD35" s="755"/>
      <c r="AE35" s="1418">
        <f>(H35*4740000+I35*4840000)*1.08+(T35*1.08)+(S35*1.08)+(U35*1.08)</f>
        <v>11059200</v>
      </c>
      <c r="AF35" s="1419">
        <f t="shared" si="4"/>
        <v>14353200</v>
      </c>
      <c r="AG35" s="1333"/>
      <c r="AI35" s="1351"/>
    </row>
    <row r="36" spans="1:36" s="1350" customFormat="1" ht="27">
      <c r="A36" s="1738">
        <v>7</v>
      </c>
      <c r="B36" s="1656" t="s">
        <v>5274</v>
      </c>
      <c r="C36" s="166" t="s">
        <v>5263</v>
      </c>
      <c r="D36" s="386" t="s">
        <v>5241</v>
      </c>
      <c r="E36" s="179" t="s">
        <v>5231</v>
      </c>
      <c r="F36" s="1424" t="s">
        <v>4869</v>
      </c>
      <c r="G36" s="709" t="s">
        <v>206</v>
      </c>
      <c r="H36" s="167"/>
      <c r="I36" s="167"/>
      <c r="J36" s="167">
        <v>1</v>
      </c>
      <c r="K36" s="79"/>
      <c r="L36" s="154" t="s">
        <v>5227</v>
      </c>
      <c r="M36" s="707" t="s">
        <v>5230</v>
      </c>
      <c r="N36" s="170" t="s">
        <v>5228</v>
      </c>
      <c r="O36" s="2590"/>
      <c r="P36" s="577"/>
      <c r="Q36" s="620" t="s">
        <v>5229</v>
      </c>
      <c r="R36" s="1664"/>
      <c r="S36" s="1404"/>
      <c r="T36" s="753"/>
      <c r="U36" s="1546"/>
      <c r="V36" s="752"/>
      <c r="W36" s="752"/>
      <c r="X36" s="752"/>
      <c r="Y36" s="1739">
        <v>8770356</v>
      </c>
      <c r="Z36" s="1502">
        <v>18135</v>
      </c>
      <c r="AA36" s="752"/>
      <c r="AB36" s="1315"/>
      <c r="AC36" s="1416">
        <f t="shared" si="0"/>
        <v>8788491</v>
      </c>
      <c r="AD36" s="755" t="s">
        <v>4162</v>
      </c>
      <c r="AE36" s="1418">
        <f>(1680000+1100000)*1.08</f>
        <v>3002400</v>
      </c>
      <c r="AF36" s="1419">
        <f t="shared" si="4"/>
        <v>11790891</v>
      </c>
      <c r="AG36" s="1333"/>
      <c r="AI36" s="1351"/>
    </row>
    <row r="37" spans="1:36" ht="15.6">
      <c r="A37" s="3994" t="s">
        <v>5220</v>
      </c>
      <c r="B37" s="3995"/>
      <c r="C37" s="3995"/>
      <c r="D37" s="3995"/>
      <c r="E37" s="3995"/>
      <c r="F37" s="3995"/>
      <c r="G37" s="3995"/>
      <c r="H37" s="3995"/>
      <c r="I37" s="3995"/>
      <c r="J37" s="3995"/>
      <c r="K37" s="3995"/>
      <c r="L37" s="3996"/>
      <c r="M37" s="1532"/>
      <c r="N37" s="1342"/>
      <c r="O37" s="1708"/>
      <c r="P37" s="1342"/>
      <c r="Q37" s="1343"/>
      <c r="R37" s="1988"/>
      <c r="S37" s="1403"/>
      <c r="T37" s="1345"/>
      <c r="U37" s="1543"/>
      <c r="V37" s="1344"/>
      <c r="W37" s="1343"/>
      <c r="X37" s="1343"/>
      <c r="Y37" s="1343"/>
      <c r="Z37" s="1345"/>
      <c r="AA37" s="1343"/>
      <c r="AB37" s="1346"/>
      <c r="AC37" s="1346">
        <f>SUM(AC29:AC35)</f>
        <v>17890100</v>
      </c>
      <c r="AD37" s="1347"/>
      <c r="AE37" s="1348">
        <f>SUM(AE29:AE36)</f>
        <v>45943200</v>
      </c>
      <c r="AF37" s="1348">
        <f>SUM(AF29:AF35)</f>
        <v>60830900</v>
      </c>
      <c r="AG37" s="1348"/>
      <c r="AH37" s="1354"/>
      <c r="AI37" s="1354"/>
      <c r="AJ37" s="1350"/>
    </row>
    <row r="38" spans="1:36" s="1350" customFormat="1" ht="27">
      <c r="A38" s="1599">
        <v>1</v>
      </c>
      <c r="B38" s="1656" t="s">
        <v>5265</v>
      </c>
      <c r="C38" s="1657">
        <v>307278927010</v>
      </c>
      <c r="D38" s="1406" t="s">
        <v>5265</v>
      </c>
      <c r="E38" s="179" t="s">
        <v>5277</v>
      </c>
      <c r="F38" s="1633" t="s">
        <v>4432</v>
      </c>
      <c r="G38" s="709" t="s">
        <v>210</v>
      </c>
      <c r="H38" s="167">
        <v>1</v>
      </c>
      <c r="I38" s="167"/>
      <c r="J38" s="167"/>
      <c r="K38" s="86" t="s">
        <v>210</v>
      </c>
      <c r="L38" s="154" t="s">
        <v>5243</v>
      </c>
      <c r="M38" s="707" t="s">
        <v>5275</v>
      </c>
      <c r="N38" s="151"/>
      <c r="O38" s="2620"/>
      <c r="P38" s="577"/>
      <c r="Q38" s="620" t="s">
        <v>2966</v>
      </c>
      <c r="R38" s="1989" t="s">
        <v>5489</v>
      </c>
      <c r="S38" s="1418">
        <v>760000</v>
      </c>
      <c r="T38" s="1418"/>
      <c r="U38" s="1418"/>
      <c r="V38" s="752"/>
      <c r="W38" s="2151">
        <v>900000</v>
      </c>
      <c r="X38" s="2151">
        <v>497000</v>
      </c>
      <c r="Y38" s="752"/>
      <c r="Z38" s="1504">
        <v>250000</v>
      </c>
      <c r="AA38" s="752"/>
      <c r="AB38" s="1315"/>
      <c r="AC38" s="1416">
        <f>+SUM(V38:AB38)</f>
        <v>1647000</v>
      </c>
      <c r="AD38" s="755"/>
      <c r="AE38" s="1418">
        <f t="shared" ref="AE38:AE45" si="5">(H38*4740000+I38*4840000)*1.08+(T38*1.08)+(S38*1.08)+(U38*1.08)</f>
        <v>5940000</v>
      </c>
      <c r="AF38" s="1419">
        <f t="shared" ref="AF38:AF45" si="6">+AC38+AE38</f>
        <v>7587000</v>
      </c>
      <c r="AG38" s="1333"/>
      <c r="AI38" s="1351"/>
    </row>
    <row r="39" spans="1:36" s="1350" customFormat="1" ht="27">
      <c r="A39" s="1599">
        <v>2</v>
      </c>
      <c r="B39" s="1656" t="s">
        <v>5310</v>
      </c>
      <c r="C39" s="1657">
        <v>307296436550</v>
      </c>
      <c r="D39" s="1406" t="s">
        <v>5310</v>
      </c>
      <c r="E39" s="179" t="s">
        <v>5345</v>
      </c>
      <c r="F39" s="1633" t="s">
        <v>4432</v>
      </c>
      <c r="G39" s="709" t="s">
        <v>210</v>
      </c>
      <c r="H39" s="167">
        <v>1</v>
      </c>
      <c r="I39" s="167"/>
      <c r="J39" s="167"/>
      <c r="K39" s="86" t="s">
        <v>210</v>
      </c>
      <c r="L39" s="154" t="s">
        <v>5290</v>
      </c>
      <c r="M39" s="707" t="s">
        <v>5331</v>
      </c>
      <c r="N39" s="151" t="s">
        <v>5311</v>
      </c>
      <c r="O39" s="2620"/>
      <c r="P39" s="577"/>
      <c r="Q39" s="620" t="s">
        <v>2966</v>
      </c>
      <c r="R39" s="1989" t="s">
        <v>5489</v>
      </c>
      <c r="S39" s="1418">
        <v>760000</v>
      </c>
      <c r="T39" s="1418"/>
      <c r="U39" s="1418"/>
      <c r="V39" s="752"/>
      <c r="W39" s="2151">
        <v>900000</v>
      </c>
      <c r="X39" s="2151">
        <v>497000</v>
      </c>
      <c r="Y39" s="752"/>
      <c r="Z39" s="1504">
        <v>250000</v>
      </c>
      <c r="AA39" s="752"/>
      <c r="AB39" s="1315"/>
      <c r="AC39" s="1416">
        <f t="shared" ref="AC39:AC44" si="7">+SUM(V39:AB39)</f>
        <v>1647000</v>
      </c>
      <c r="AD39" s="755"/>
      <c r="AE39" s="1418">
        <f t="shared" si="5"/>
        <v>5940000</v>
      </c>
      <c r="AF39" s="1419">
        <f t="shared" si="6"/>
        <v>7587000</v>
      </c>
      <c r="AG39" s="1333"/>
      <c r="AI39" s="1351"/>
    </row>
    <row r="40" spans="1:36" s="1350" customFormat="1" ht="27">
      <c r="A40" s="1738">
        <v>3</v>
      </c>
      <c r="B40" s="1656" t="s">
        <v>5371</v>
      </c>
      <c r="C40" s="1657">
        <v>307314209110</v>
      </c>
      <c r="D40" s="386" t="s">
        <v>5371</v>
      </c>
      <c r="E40" s="179" t="s">
        <v>5385</v>
      </c>
      <c r="F40" s="1633" t="s">
        <v>5377</v>
      </c>
      <c r="G40" s="709" t="s">
        <v>210</v>
      </c>
      <c r="H40" s="167"/>
      <c r="I40" s="167">
        <v>1</v>
      </c>
      <c r="J40" s="167"/>
      <c r="K40" s="86" t="s">
        <v>210</v>
      </c>
      <c r="L40" s="154" t="s">
        <v>5349</v>
      </c>
      <c r="M40" s="707" t="s">
        <v>5384</v>
      </c>
      <c r="N40" s="151" t="s">
        <v>5350</v>
      </c>
      <c r="O40" s="2620"/>
      <c r="P40" s="577"/>
      <c r="Q40" s="150" t="s">
        <v>287</v>
      </c>
      <c r="R40" s="1664" t="s">
        <v>5490</v>
      </c>
      <c r="S40" s="1418">
        <v>760000</v>
      </c>
      <c r="T40" s="1418"/>
      <c r="U40" s="1418">
        <v>200000</v>
      </c>
      <c r="V40" s="752"/>
      <c r="W40" s="2151">
        <v>1500000</v>
      </c>
      <c r="X40" s="2151">
        <v>882000</v>
      </c>
      <c r="Y40" s="752"/>
      <c r="Z40" s="1504">
        <v>500000</v>
      </c>
      <c r="AA40" s="752"/>
      <c r="AB40" s="1315"/>
      <c r="AC40" s="1416">
        <f t="shared" si="7"/>
        <v>2882000</v>
      </c>
      <c r="AD40" s="755" t="s">
        <v>5502</v>
      </c>
      <c r="AE40" s="1418">
        <f t="shared" si="5"/>
        <v>6264000</v>
      </c>
      <c r="AF40" s="1419">
        <f t="shared" si="6"/>
        <v>9146000</v>
      </c>
      <c r="AG40" s="1333"/>
      <c r="AI40" s="1351"/>
    </row>
    <row r="41" spans="1:36" s="1350" customFormat="1" ht="27">
      <c r="A41" s="1599">
        <v>4</v>
      </c>
      <c r="B41" s="1656" t="s">
        <v>5387</v>
      </c>
      <c r="C41" s="1657">
        <v>307316256830</v>
      </c>
      <c r="D41" s="1406" t="s">
        <v>5387</v>
      </c>
      <c r="E41" s="179" t="s">
        <v>5417</v>
      </c>
      <c r="F41" s="1633" t="s">
        <v>4432</v>
      </c>
      <c r="G41" s="709" t="s">
        <v>210</v>
      </c>
      <c r="H41" s="167">
        <v>1</v>
      </c>
      <c r="I41" s="167"/>
      <c r="J41" s="167"/>
      <c r="K41" s="86" t="s">
        <v>210</v>
      </c>
      <c r="L41" s="154" t="s">
        <v>5375</v>
      </c>
      <c r="M41" s="707" t="s">
        <v>5394</v>
      </c>
      <c r="N41" s="151" t="s">
        <v>5376</v>
      </c>
      <c r="O41" s="2620"/>
      <c r="P41" s="577"/>
      <c r="Q41" s="150" t="s">
        <v>2966</v>
      </c>
      <c r="R41" s="1664" t="s">
        <v>5491</v>
      </c>
      <c r="S41" s="1418">
        <v>760000</v>
      </c>
      <c r="T41" s="1418"/>
      <c r="U41" s="1418"/>
      <c r="V41" s="752"/>
      <c r="W41" s="2151">
        <v>900000</v>
      </c>
      <c r="X41" s="2151">
        <v>497000</v>
      </c>
      <c r="Y41" s="752"/>
      <c r="Z41" s="1504">
        <v>250000</v>
      </c>
      <c r="AA41" s="752"/>
      <c r="AB41" s="1315"/>
      <c r="AC41" s="1416">
        <f t="shared" si="7"/>
        <v>1647000</v>
      </c>
      <c r="AD41" s="755"/>
      <c r="AE41" s="1418">
        <f t="shared" si="5"/>
        <v>5940000</v>
      </c>
      <c r="AF41" s="1419">
        <f t="shared" si="6"/>
        <v>7587000</v>
      </c>
      <c r="AG41" s="1333"/>
      <c r="AI41" s="1351"/>
    </row>
    <row r="42" spans="1:36" s="1350" customFormat="1" ht="27">
      <c r="A42" s="1599">
        <v>5</v>
      </c>
      <c r="B42" s="1656" t="s">
        <v>5335</v>
      </c>
      <c r="C42" s="1657">
        <v>307320577600</v>
      </c>
      <c r="D42" s="1406" t="s">
        <v>5335</v>
      </c>
      <c r="E42" s="1208" t="s">
        <v>5418</v>
      </c>
      <c r="F42" s="1633" t="s">
        <v>4422</v>
      </c>
      <c r="G42" s="709" t="s">
        <v>210</v>
      </c>
      <c r="H42" s="167">
        <v>1</v>
      </c>
      <c r="I42" s="167"/>
      <c r="J42" s="167"/>
      <c r="K42" s="86" t="s">
        <v>210</v>
      </c>
      <c r="L42" s="154" t="s">
        <v>5348</v>
      </c>
      <c r="M42" s="707" t="s">
        <v>5407</v>
      </c>
      <c r="N42" s="151" t="s">
        <v>5391</v>
      </c>
      <c r="O42" s="2038"/>
      <c r="P42" s="1566"/>
      <c r="Q42" s="150" t="s">
        <v>287</v>
      </c>
      <c r="R42" s="1664" t="s">
        <v>4912</v>
      </c>
      <c r="S42" s="1418">
        <v>760000</v>
      </c>
      <c r="T42" s="1418"/>
      <c r="U42" s="1418">
        <v>200000</v>
      </c>
      <c r="V42" s="752"/>
      <c r="W42" s="2151">
        <v>1000000</v>
      </c>
      <c r="X42" s="2151">
        <v>497000</v>
      </c>
      <c r="Y42" s="752"/>
      <c r="Z42" s="1504">
        <v>250000</v>
      </c>
      <c r="AA42" s="752"/>
      <c r="AB42" s="1315"/>
      <c r="AC42" s="1416">
        <f t="shared" si="7"/>
        <v>1747000</v>
      </c>
      <c r="AD42" s="755" t="s">
        <v>5502</v>
      </c>
      <c r="AE42" s="1418">
        <f t="shared" si="5"/>
        <v>6156000</v>
      </c>
      <c r="AF42" s="1419">
        <f t="shared" si="6"/>
        <v>7903000</v>
      </c>
      <c r="AG42" s="1333"/>
      <c r="AI42" s="1351"/>
    </row>
    <row r="43" spans="1:36" s="1350" customFormat="1" ht="40.200000000000003">
      <c r="A43" s="1738">
        <v>6</v>
      </c>
      <c r="B43" s="1656" t="s">
        <v>5460</v>
      </c>
      <c r="C43" s="166">
        <v>107111830450</v>
      </c>
      <c r="D43" s="1406" t="s">
        <v>5335</v>
      </c>
      <c r="E43" s="2080" t="s">
        <v>5403</v>
      </c>
      <c r="F43" s="1424" t="s">
        <v>4423</v>
      </c>
      <c r="G43" s="709" t="s">
        <v>206</v>
      </c>
      <c r="H43" s="167"/>
      <c r="I43" s="167">
        <v>1</v>
      </c>
      <c r="J43" s="167"/>
      <c r="K43" s="86" t="s">
        <v>210</v>
      </c>
      <c r="L43" s="154" t="s">
        <v>5402</v>
      </c>
      <c r="M43" s="707" t="s">
        <v>5419</v>
      </c>
      <c r="N43" s="580" t="s">
        <v>5433</v>
      </c>
      <c r="O43" s="2620"/>
      <c r="P43" s="959" t="s">
        <v>5432</v>
      </c>
      <c r="Q43" s="150" t="s">
        <v>287</v>
      </c>
      <c r="R43" s="1664"/>
      <c r="S43" s="1404"/>
      <c r="T43" s="1418"/>
      <c r="U43" s="1418"/>
      <c r="V43" s="752"/>
      <c r="W43" s="2158">
        <v>882000</v>
      </c>
      <c r="X43" s="2151">
        <v>1450000</v>
      </c>
      <c r="Y43" s="1739">
        <v>10938947</v>
      </c>
      <c r="Z43" s="1504">
        <v>500000</v>
      </c>
      <c r="AA43" s="752"/>
      <c r="AB43" s="1315"/>
      <c r="AC43" s="1416">
        <f t="shared" si="7"/>
        <v>13770947</v>
      </c>
      <c r="AD43" s="755"/>
      <c r="AE43" s="1418">
        <f t="shared" si="5"/>
        <v>5227200</v>
      </c>
      <c r="AF43" s="1419">
        <f t="shared" si="6"/>
        <v>18998147</v>
      </c>
      <c r="AG43" s="1333"/>
      <c r="AI43" s="1351"/>
    </row>
    <row r="44" spans="1:36" s="1350" customFormat="1" ht="27">
      <c r="A44" s="1599">
        <v>7</v>
      </c>
      <c r="B44" s="1656" t="s">
        <v>5448</v>
      </c>
      <c r="C44" s="1657">
        <v>307334738010</v>
      </c>
      <c r="D44" s="1406" t="s">
        <v>5448</v>
      </c>
      <c r="E44" s="179" t="s">
        <v>5467</v>
      </c>
      <c r="F44" s="1633" t="s">
        <v>5426</v>
      </c>
      <c r="G44" s="709" t="s">
        <v>210</v>
      </c>
      <c r="H44" s="167">
        <v>1</v>
      </c>
      <c r="I44" s="167"/>
      <c r="J44" s="167"/>
      <c r="K44" s="86" t="s">
        <v>210</v>
      </c>
      <c r="L44" s="154" t="s">
        <v>5423</v>
      </c>
      <c r="M44" s="707" t="s">
        <v>5465</v>
      </c>
      <c r="N44" s="151" t="s">
        <v>5424</v>
      </c>
      <c r="O44" s="2620"/>
      <c r="P44" s="577"/>
      <c r="Q44" s="150" t="s">
        <v>287</v>
      </c>
      <c r="R44" s="1664" t="s">
        <v>5489</v>
      </c>
      <c r="S44" s="1418">
        <v>760000</v>
      </c>
      <c r="T44" s="1418"/>
      <c r="U44" s="1418"/>
      <c r="V44" s="752"/>
      <c r="W44" s="2151">
        <v>1000000</v>
      </c>
      <c r="X44" s="2151">
        <v>497000</v>
      </c>
      <c r="Y44" s="752"/>
      <c r="Z44" s="1504">
        <v>250000</v>
      </c>
      <c r="AA44" s="752"/>
      <c r="AB44" s="1315"/>
      <c r="AC44" s="1416">
        <f t="shared" si="7"/>
        <v>1747000</v>
      </c>
      <c r="AD44" s="755"/>
      <c r="AE44" s="1418">
        <f t="shared" si="5"/>
        <v>5940000</v>
      </c>
      <c r="AF44" s="1419">
        <f t="shared" si="6"/>
        <v>7687000</v>
      </c>
      <c r="AG44" s="1333"/>
      <c r="AI44" s="1351"/>
    </row>
    <row r="45" spans="1:36" s="1350" customFormat="1" ht="27">
      <c r="A45" s="1599">
        <v>8</v>
      </c>
      <c r="B45" s="1656" t="s">
        <v>5460</v>
      </c>
      <c r="C45" s="1657">
        <v>307340687900</v>
      </c>
      <c r="D45" s="1406" t="s">
        <v>5460</v>
      </c>
      <c r="E45" s="179" t="s">
        <v>5484</v>
      </c>
      <c r="F45" s="1633" t="s">
        <v>4432</v>
      </c>
      <c r="G45" s="709" t="s">
        <v>210</v>
      </c>
      <c r="H45" s="167">
        <v>2</v>
      </c>
      <c r="I45" s="167"/>
      <c r="J45" s="167"/>
      <c r="K45" s="86" t="s">
        <v>210</v>
      </c>
      <c r="L45" s="820" t="s">
        <v>5425</v>
      </c>
      <c r="M45" s="1618" t="s">
        <v>5483</v>
      </c>
      <c r="N45" s="151" t="s">
        <v>5461</v>
      </c>
      <c r="O45" s="2620"/>
      <c r="P45" s="577"/>
      <c r="Q45" s="150" t="s">
        <v>2966</v>
      </c>
      <c r="R45" s="1664" t="s">
        <v>5489</v>
      </c>
      <c r="S45" s="1418">
        <v>760000</v>
      </c>
      <c r="T45" s="1418"/>
      <c r="U45" s="1418"/>
      <c r="V45" s="752"/>
      <c r="W45" s="2151">
        <f>900000*2</f>
        <v>1800000</v>
      </c>
      <c r="X45" s="2151">
        <v>994000</v>
      </c>
      <c r="Y45" s="752"/>
      <c r="Z45" s="1504">
        <v>500000</v>
      </c>
      <c r="AA45" s="752"/>
      <c r="AB45" s="1315"/>
      <c r="AC45" s="1416">
        <f>SUM(S45:Y45)</f>
        <v>3554000</v>
      </c>
      <c r="AD45" s="755"/>
      <c r="AE45" s="1418">
        <f t="shared" si="5"/>
        <v>11059200</v>
      </c>
      <c r="AF45" s="1419">
        <f t="shared" si="6"/>
        <v>14613200</v>
      </c>
      <c r="AG45" s="1333"/>
      <c r="AI45" s="1351"/>
    </row>
    <row r="46" spans="1:36" ht="15.6">
      <c r="A46" s="3994" t="s">
        <v>5485</v>
      </c>
      <c r="B46" s="3995"/>
      <c r="C46" s="3995"/>
      <c r="D46" s="3995"/>
      <c r="E46" s="3995"/>
      <c r="F46" s="3995"/>
      <c r="G46" s="3995"/>
      <c r="H46" s="3995"/>
      <c r="I46" s="3995"/>
      <c r="J46" s="3995"/>
      <c r="K46" s="3995"/>
      <c r="L46" s="3996"/>
      <c r="M46" s="1532"/>
      <c r="N46" s="1342"/>
      <c r="O46" s="1708"/>
      <c r="P46" s="1342"/>
      <c r="Q46" s="1343"/>
      <c r="R46" s="1988"/>
      <c r="S46" s="1403"/>
      <c r="T46" s="1345"/>
      <c r="U46" s="1543"/>
      <c r="V46" s="1344"/>
      <c r="W46" s="1343"/>
      <c r="X46" s="1343"/>
      <c r="Y46" s="1343"/>
      <c r="Z46" s="1345"/>
      <c r="AA46" s="1343"/>
      <c r="AB46" s="1346"/>
      <c r="AC46" s="1346">
        <f>SUM(AC38:AC44)</f>
        <v>25087947</v>
      </c>
      <c r="AD46" s="1347"/>
      <c r="AE46" s="1348">
        <f>SUM(AE38:AE45)</f>
        <v>52466400</v>
      </c>
      <c r="AF46" s="1348">
        <f>SUM(AF38:AF44)</f>
        <v>66495147</v>
      </c>
      <c r="AG46" s="1348"/>
      <c r="AH46" s="1354"/>
      <c r="AI46" s="1354"/>
      <c r="AJ46" s="1350"/>
    </row>
    <row r="47" spans="1:36" s="1350" customFormat="1" ht="15.6">
      <c r="A47" s="1599">
        <v>1</v>
      </c>
      <c r="B47" s="1656" t="s">
        <v>5574</v>
      </c>
      <c r="C47" s="1657">
        <v>307371980700</v>
      </c>
      <c r="D47" s="386" t="s">
        <v>5526</v>
      </c>
      <c r="E47" s="2332" t="s">
        <v>5634</v>
      </c>
      <c r="F47" s="1997" t="s">
        <v>5637</v>
      </c>
      <c r="G47" s="709" t="s">
        <v>210</v>
      </c>
      <c r="H47" s="167"/>
      <c r="I47" s="167"/>
      <c r="J47" s="167">
        <v>1</v>
      </c>
      <c r="K47" s="86" t="s">
        <v>210</v>
      </c>
      <c r="L47" s="154" t="s">
        <v>5569</v>
      </c>
      <c r="M47" s="1697" t="s">
        <v>5641</v>
      </c>
      <c r="N47" s="707" t="s">
        <v>5573</v>
      </c>
      <c r="O47" s="707"/>
      <c r="P47" s="577"/>
      <c r="Q47" s="150" t="s">
        <v>5595</v>
      </c>
      <c r="R47" s="1664" t="s">
        <v>5491</v>
      </c>
      <c r="S47" s="1418">
        <v>760000</v>
      </c>
      <c r="T47" s="753"/>
      <c r="U47" s="1546"/>
      <c r="V47" s="752"/>
      <c r="W47" s="752"/>
      <c r="X47" s="752"/>
      <c r="Y47" s="752"/>
      <c r="Z47" s="1504">
        <v>12590</v>
      </c>
      <c r="AA47" s="752"/>
      <c r="AB47" s="1315"/>
      <c r="AC47" s="1416">
        <f>SUM(S47:Y47)</f>
        <v>760000</v>
      </c>
      <c r="AD47" s="755"/>
      <c r="AE47" s="1418">
        <f>(1480000+1100000)*1.08+(T47*1.08)+(S47*1.08)+(U44*1.08)</f>
        <v>3607200</v>
      </c>
      <c r="AF47" s="1419">
        <f t="shared" ref="AF47:AF57" si="8">+AC47+AE47</f>
        <v>4367200</v>
      </c>
      <c r="AG47" s="1320"/>
      <c r="AI47" s="1351"/>
    </row>
    <row r="48" spans="1:36" s="1350" customFormat="1" ht="26.4">
      <c r="A48" s="1599">
        <f>+A47+1</f>
        <v>2</v>
      </c>
      <c r="B48" s="1656" t="s">
        <v>5575</v>
      </c>
      <c r="C48" s="1657">
        <v>307378605240</v>
      </c>
      <c r="D48" s="1656" t="s">
        <v>5575</v>
      </c>
      <c r="E48" s="2173" t="s">
        <v>5635</v>
      </c>
      <c r="F48" s="1633" t="s">
        <v>4432</v>
      </c>
      <c r="G48" s="709" t="s">
        <v>210</v>
      </c>
      <c r="H48" s="167">
        <v>1</v>
      </c>
      <c r="I48" s="167"/>
      <c r="J48" s="167"/>
      <c r="K48" s="86" t="s">
        <v>210</v>
      </c>
      <c r="L48" s="154" t="s">
        <v>5571</v>
      </c>
      <c r="M48" s="1618" t="s">
        <v>5605</v>
      </c>
      <c r="N48" s="707" t="s">
        <v>5572</v>
      </c>
      <c r="O48" s="707"/>
      <c r="P48" s="577"/>
      <c r="Q48" s="150" t="s">
        <v>2966</v>
      </c>
      <c r="R48" s="1664" t="s">
        <v>5489</v>
      </c>
      <c r="S48" s="1418">
        <v>760000</v>
      </c>
      <c r="T48" s="753"/>
      <c r="U48" s="1546"/>
      <c r="V48" s="752"/>
      <c r="W48" s="2151">
        <v>900000</v>
      </c>
      <c r="X48" s="2151">
        <v>497000</v>
      </c>
      <c r="Y48" s="752"/>
      <c r="Z48" s="1504">
        <v>250000</v>
      </c>
      <c r="AA48" s="752"/>
      <c r="AB48" s="1315"/>
      <c r="AC48" s="1416">
        <f t="shared" ref="AC48:AC53" si="9">SUM(S48:Y48)</f>
        <v>2157000</v>
      </c>
      <c r="AD48" s="755"/>
      <c r="AE48" s="1418">
        <f>(H48*4740000+I48*4840000)*1.08+(T48*1.08)+(S48*1.08)+(U48*1.08)</f>
        <v>5940000</v>
      </c>
      <c r="AF48" s="1419">
        <f t="shared" si="8"/>
        <v>8097000</v>
      </c>
      <c r="AG48" s="1320"/>
      <c r="AI48" s="1351"/>
    </row>
    <row r="49" spans="1:36" s="1350" customFormat="1" ht="27">
      <c r="A49" s="1599">
        <f t="shared" ref="A49:A118" si="10">+A48+1</f>
        <v>3</v>
      </c>
      <c r="B49" s="1406" t="s">
        <v>5607</v>
      </c>
      <c r="C49" s="1657">
        <v>307384572630</v>
      </c>
      <c r="D49" s="1406" t="s">
        <v>5607</v>
      </c>
      <c r="E49" s="2173" t="s">
        <v>5636</v>
      </c>
      <c r="F49" s="2333" t="s">
        <v>5426</v>
      </c>
      <c r="G49" s="709" t="s">
        <v>210</v>
      </c>
      <c r="H49" s="167">
        <v>1</v>
      </c>
      <c r="I49" s="167"/>
      <c r="J49" s="167"/>
      <c r="K49" s="86" t="s">
        <v>210</v>
      </c>
      <c r="L49" s="154" t="s">
        <v>5593</v>
      </c>
      <c r="M49" s="2037" t="s">
        <v>5624</v>
      </c>
      <c r="N49" s="170" t="s">
        <v>5596</v>
      </c>
      <c r="O49" s="2590"/>
      <c r="P49" s="577"/>
      <c r="Q49" s="150" t="s">
        <v>287</v>
      </c>
      <c r="R49" s="1664" t="s">
        <v>5489</v>
      </c>
      <c r="S49" s="1418">
        <v>760000</v>
      </c>
      <c r="T49" s="1857"/>
      <c r="U49" s="2275"/>
      <c r="V49" s="1622"/>
      <c r="W49" s="2151">
        <v>1000000</v>
      </c>
      <c r="X49" s="2151">
        <v>497000</v>
      </c>
      <c r="Y49" s="1622"/>
      <c r="Z49" s="1504">
        <v>250000</v>
      </c>
      <c r="AA49" s="1622"/>
      <c r="AB49" s="1709"/>
      <c r="AC49" s="1416">
        <f t="shared" si="9"/>
        <v>2257000</v>
      </c>
      <c r="AD49" s="755"/>
      <c r="AE49" s="1418">
        <f>(H49*4740000+I49*4840000)*1.08+(T49*1.08)+(S49*1.08)+(U49*1.08)</f>
        <v>5940000</v>
      </c>
      <c r="AF49" s="1419">
        <f t="shared" si="8"/>
        <v>8197000</v>
      </c>
      <c r="AG49" s="1906"/>
      <c r="AI49" s="1393"/>
    </row>
    <row r="50" spans="1:36" s="1350" customFormat="1" ht="15.6">
      <c r="A50" s="1599">
        <f t="shared" si="10"/>
        <v>4</v>
      </c>
      <c r="B50" s="731" t="s">
        <v>5602</v>
      </c>
      <c r="C50" s="1657">
        <v>307388194760</v>
      </c>
      <c r="D50" s="386" t="s">
        <v>5630</v>
      </c>
      <c r="E50" s="179" t="s">
        <v>5643</v>
      </c>
      <c r="F50" s="1997" t="s">
        <v>5637</v>
      </c>
      <c r="G50" s="709" t="s">
        <v>210</v>
      </c>
      <c r="H50" s="167"/>
      <c r="I50" s="167"/>
      <c r="J50" s="167">
        <v>1</v>
      </c>
      <c r="K50" s="86" t="s">
        <v>210</v>
      </c>
      <c r="L50" s="154" t="s">
        <v>5631</v>
      </c>
      <c r="M50" s="707" t="s">
        <v>5642</v>
      </c>
      <c r="N50" s="170" t="s">
        <v>5632</v>
      </c>
      <c r="O50" s="2590"/>
      <c r="P50" s="577"/>
      <c r="Q50" s="150" t="s">
        <v>5595</v>
      </c>
      <c r="R50" s="1664"/>
      <c r="S50" s="1404"/>
      <c r="T50" s="753"/>
      <c r="U50" s="1546"/>
      <c r="V50" s="752"/>
      <c r="W50" s="752"/>
      <c r="X50" s="752"/>
      <c r="Y50" s="752"/>
      <c r="Z50" s="1504">
        <v>13673</v>
      </c>
      <c r="AA50" s="752"/>
      <c r="AB50" s="1315"/>
      <c r="AC50" s="1416">
        <f t="shared" si="9"/>
        <v>0</v>
      </c>
      <c r="AD50" s="755"/>
      <c r="AE50" s="1418">
        <f>(1480000+1100000)*1.08+(T50*1.08)+(S50*1.08)+(U50*1.08)</f>
        <v>2786400</v>
      </c>
      <c r="AF50" s="1419">
        <f t="shared" si="8"/>
        <v>2786400</v>
      </c>
      <c r="AG50" s="1320"/>
      <c r="AI50" s="1351"/>
    </row>
    <row r="51" spans="1:36" s="1350" customFormat="1" ht="27">
      <c r="A51" s="1599">
        <f t="shared" si="10"/>
        <v>5</v>
      </c>
      <c r="B51" s="1655" t="s">
        <v>5685</v>
      </c>
      <c r="C51" s="1657">
        <v>307410545760</v>
      </c>
      <c r="D51" s="1655" t="s">
        <v>5685</v>
      </c>
      <c r="E51" s="2080" t="s">
        <v>5743</v>
      </c>
      <c r="F51" s="1633" t="s">
        <v>4422</v>
      </c>
      <c r="G51" s="709" t="s">
        <v>210</v>
      </c>
      <c r="H51" s="167">
        <v>2</v>
      </c>
      <c r="I51" s="167"/>
      <c r="J51" s="167"/>
      <c r="K51" s="86" t="s">
        <v>210</v>
      </c>
      <c r="L51" s="154" t="s">
        <v>5881</v>
      </c>
      <c r="M51" s="2362" t="s">
        <v>5709</v>
      </c>
      <c r="N51" s="170" t="s">
        <v>5684</v>
      </c>
      <c r="O51" s="1612"/>
      <c r="P51" s="2308"/>
      <c r="Q51" s="150" t="s">
        <v>287</v>
      </c>
      <c r="R51" s="1664" t="s">
        <v>4912</v>
      </c>
      <c r="S51" s="1418">
        <v>760000</v>
      </c>
      <c r="T51" s="753"/>
      <c r="U51" s="1418">
        <v>200000</v>
      </c>
      <c r="V51" s="752"/>
      <c r="W51" s="2151">
        <f>1000000*2</f>
        <v>2000000</v>
      </c>
      <c r="X51" s="2151">
        <v>994000</v>
      </c>
      <c r="Y51" s="752"/>
      <c r="Z51" s="1504">
        <v>500000</v>
      </c>
      <c r="AA51" s="752"/>
      <c r="AB51" s="1315"/>
      <c r="AC51" s="1416">
        <f t="shared" si="9"/>
        <v>3954000</v>
      </c>
      <c r="AD51" s="755" t="s">
        <v>5502</v>
      </c>
      <c r="AE51" s="1418">
        <f>(H51*4740000+I51*4840000)*1.08+(T51*1.08)+(S51*1.08)+(U51*1.08)</f>
        <v>11275200</v>
      </c>
      <c r="AF51" s="1419">
        <f t="shared" si="8"/>
        <v>15229200</v>
      </c>
      <c r="AG51" s="1320"/>
      <c r="AI51" s="1351"/>
    </row>
    <row r="52" spans="1:36" s="1350" customFormat="1" ht="15.6">
      <c r="A52" s="1599">
        <f t="shared" si="10"/>
        <v>6</v>
      </c>
      <c r="B52" s="2066" t="s">
        <v>5717</v>
      </c>
      <c r="C52" s="166">
        <v>107194521450</v>
      </c>
      <c r="D52" s="386" t="s">
        <v>5685</v>
      </c>
      <c r="E52" s="179" t="s">
        <v>5692</v>
      </c>
      <c r="F52" s="1424" t="s">
        <v>4869</v>
      </c>
      <c r="G52" s="709" t="s">
        <v>206</v>
      </c>
      <c r="H52" s="167"/>
      <c r="I52" s="167"/>
      <c r="J52" s="167">
        <v>1</v>
      </c>
      <c r="K52" s="2426" t="s">
        <v>418</v>
      </c>
      <c r="L52" s="154" t="s">
        <v>5691</v>
      </c>
      <c r="M52" s="707" t="s">
        <v>5695</v>
      </c>
      <c r="N52" s="2345" t="s">
        <v>5685</v>
      </c>
      <c r="O52" s="2590"/>
      <c r="P52" s="577"/>
      <c r="Q52" s="150" t="s">
        <v>287</v>
      </c>
      <c r="R52" s="1664"/>
      <c r="S52" s="1404"/>
      <c r="T52" s="753"/>
      <c r="U52" s="1546"/>
      <c r="V52" s="752"/>
      <c r="W52" s="752"/>
      <c r="X52" s="752"/>
      <c r="Y52" s="1739">
        <v>7123017</v>
      </c>
      <c r="Z52" s="1504">
        <v>13200</v>
      </c>
      <c r="AA52" s="752"/>
      <c r="AB52" s="1315"/>
      <c r="AC52" s="1416">
        <f t="shared" si="9"/>
        <v>7123017</v>
      </c>
      <c r="AD52" s="755"/>
      <c r="AE52" s="1418">
        <f>(1680000+1100000)*1.08+(T52*1.08)+(S52*1.08)+(U52*1.08)</f>
        <v>3002400</v>
      </c>
      <c r="AF52" s="1419">
        <f t="shared" si="8"/>
        <v>10125417</v>
      </c>
      <c r="AG52" s="1320"/>
      <c r="AI52" s="1351"/>
    </row>
    <row r="53" spans="1:36" s="1350" customFormat="1" ht="30.75" customHeight="1">
      <c r="A53" s="1599">
        <f t="shared" si="10"/>
        <v>7</v>
      </c>
      <c r="B53" s="2457" t="s">
        <v>5798</v>
      </c>
      <c r="C53" s="166">
        <v>107199814850</v>
      </c>
      <c r="D53" s="46" t="s">
        <v>5656</v>
      </c>
      <c r="E53" s="179" t="s">
        <v>5746</v>
      </c>
      <c r="F53" s="1424" t="s">
        <v>4423</v>
      </c>
      <c r="G53" s="709" t="s">
        <v>206</v>
      </c>
      <c r="H53" s="167">
        <v>1</v>
      </c>
      <c r="I53" s="167"/>
      <c r="J53" s="167"/>
      <c r="K53" s="86" t="s">
        <v>210</v>
      </c>
      <c r="L53" s="154" t="s">
        <v>5715</v>
      </c>
      <c r="M53" s="2362" t="s">
        <v>5716</v>
      </c>
      <c r="N53" s="170" t="s">
        <v>5717</v>
      </c>
      <c r="O53" s="2590"/>
      <c r="P53" s="577"/>
      <c r="Q53" s="150" t="s">
        <v>287</v>
      </c>
      <c r="R53" s="1664"/>
      <c r="S53" s="1404"/>
      <c r="T53" s="753"/>
      <c r="U53" s="1546"/>
      <c r="V53" s="752"/>
      <c r="W53" s="2158">
        <v>727000</v>
      </c>
      <c r="X53" s="2151">
        <v>1000000</v>
      </c>
      <c r="Y53" s="1739">
        <v>6820000</v>
      </c>
      <c r="Z53" s="1504">
        <v>250000</v>
      </c>
      <c r="AA53" s="752"/>
      <c r="AB53" s="1315"/>
      <c r="AC53" s="1416">
        <f t="shared" si="9"/>
        <v>8547000</v>
      </c>
      <c r="AD53" s="755"/>
      <c r="AE53" s="1418">
        <f>(H53*4740000+I53*4840000)*1.08+(T53*1.08)+(S53*1.08)+(U53*1.08)</f>
        <v>5119200</v>
      </c>
      <c r="AF53" s="1419">
        <f t="shared" si="8"/>
        <v>13666200</v>
      </c>
      <c r="AG53" s="1320"/>
      <c r="AI53" s="1351"/>
    </row>
    <row r="54" spans="1:36" s="1350" customFormat="1" ht="15.6">
      <c r="A54" s="1599">
        <f t="shared" si="10"/>
        <v>8</v>
      </c>
      <c r="B54" s="1655" t="s">
        <v>5714</v>
      </c>
      <c r="C54" s="1657">
        <v>307414991940</v>
      </c>
      <c r="D54" s="386" t="s">
        <v>5714</v>
      </c>
      <c r="E54" s="179" t="s">
        <v>5744</v>
      </c>
      <c r="F54" s="1997" t="s">
        <v>5637</v>
      </c>
      <c r="G54" s="709" t="s">
        <v>210</v>
      </c>
      <c r="H54" s="167"/>
      <c r="I54" s="167"/>
      <c r="J54" s="167">
        <v>1</v>
      </c>
      <c r="K54" s="86" t="s">
        <v>210</v>
      </c>
      <c r="L54" s="154" t="s">
        <v>5704</v>
      </c>
      <c r="M54" s="707" t="s">
        <v>5745</v>
      </c>
      <c r="N54" s="170" t="s">
        <v>5705</v>
      </c>
      <c r="O54" s="2590"/>
      <c r="P54" s="577"/>
      <c r="Q54" s="150" t="s">
        <v>5595</v>
      </c>
      <c r="R54" s="1664" t="s">
        <v>5491</v>
      </c>
      <c r="S54" s="1418">
        <v>760000</v>
      </c>
      <c r="T54" s="753"/>
      <c r="U54" s="1546"/>
      <c r="V54" s="752"/>
      <c r="W54" s="752"/>
      <c r="X54" s="752"/>
      <c r="Y54" s="752"/>
      <c r="Z54" s="1504">
        <v>16159</v>
      </c>
      <c r="AA54" s="752"/>
      <c r="AB54" s="1315"/>
      <c r="AC54" s="1416">
        <f t="shared" ref="AC54:AC61" si="11">+SUM(V54:AB54)</f>
        <v>16159</v>
      </c>
      <c r="AD54" s="755"/>
      <c r="AE54" s="1418">
        <f>(1680000+1100000)*1.08+(T54*1.08)+(S54*1.08)+(U54*1.08)</f>
        <v>3823200</v>
      </c>
      <c r="AF54" s="1419">
        <f t="shared" si="8"/>
        <v>3839359</v>
      </c>
      <c r="AG54" s="1320"/>
      <c r="AI54" s="1351"/>
    </row>
    <row r="55" spans="1:36" s="1350" customFormat="1" ht="15.6">
      <c r="A55" s="1599">
        <f t="shared" si="10"/>
        <v>9</v>
      </c>
      <c r="B55" s="2457" t="s">
        <v>5802</v>
      </c>
      <c r="C55" s="1657">
        <v>307437179250</v>
      </c>
      <c r="D55" s="386" t="s">
        <v>5798</v>
      </c>
      <c r="E55" s="179" t="s">
        <v>5840</v>
      </c>
      <c r="F55" s="1633" t="s">
        <v>4432</v>
      </c>
      <c r="G55" s="709" t="s">
        <v>210</v>
      </c>
      <c r="H55" s="167">
        <v>1</v>
      </c>
      <c r="I55" s="167"/>
      <c r="J55" s="167"/>
      <c r="K55" s="86" t="s">
        <v>210</v>
      </c>
      <c r="L55" s="154" t="s">
        <v>5771</v>
      </c>
      <c r="M55" s="707" t="s">
        <v>5825</v>
      </c>
      <c r="N55" s="170" t="s">
        <v>5773</v>
      </c>
      <c r="O55" s="2590"/>
      <c r="P55" s="577"/>
      <c r="Q55" s="150" t="s">
        <v>2966</v>
      </c>
      <c r="R55" s="1664" t="s">
        <v>5489</v>
      </c>
      <c r="S55" s="1418">
        <v>760000</v>
      </c>
      <c r="T55" s="753"/>
      <c r="U55" s="1546"/>
      <c r="V55" s="752"/>
      <c r="W55" s="2151">
        <v>900000</v>
      </c>
      <c r="X55" s="2151">
        <v>497000</v>
      </c>
      <c r="Y55" s="752"/>
      <c r="Z55" s="1502">
        <v>250000</v>
      </c>
      <c r="AA55" s="752"/>
      <c r="AB55" s="1315"/>
      <c r="AC55" s="1416">
        <f t="shared" si="11"/>
        <v>1647000</v>
      </c>
      <c r="AD55" s="755"/>
      <c r="AE55" s="1418">
        <f>(H55*4740000+I55*4840000)*1.08+(T55*1.08)+(S55*1.08)+(U55*1.08)</f>
        <v>5940000</v>
      </c>
      <c r="AF55" s="1419">
        <f t="shared" si="8"/>
        <v>7587000</v>
      </c>
      <c r="AG55" s="1320"/>
      <c r="AI55" s="1351"/>
    </row>
    <row r="56" spans="1:36" s="1350" customFormat="1" ht="27">
      <c r="A56" s="1599">
        <f t="shared" si="10"/>
        <v>10</v>
      </c>
      <c r="B56" s="2457" t="s">
        <v>5826</v>
      </c>
      <c r="C56" s="1657">
        <v>307442504740</v>
      </c>
      <c r="D56" s="2457" t="s">
        <v>5826</v>
      </c>
      <c r="E56" s="179" t="s">
        <v>5841</v>
      </c>
      <c r="F56" s="1633" t="s">
        <v>5426</v>
      </c>
      <c r="G56" s="709" t="s">
        <v>210</v>
      </c>
      <c r="H56" s="167">
        <v>1</v>
      </c>
      <c r="I56" s="167"/>
      <c r="J56" s="167"/>
      <c r="K56" s="86" t="s">
        <v>210</v>
      </c>
      <c r="L56" s="154" t="s">
        <v>5772</v>
      </c>
      <c r="M56" s="707" t="s">
        <v>5839</v>
      </c>
      <c r="N56" s="170" t="s">
        <v>5775</v>
      </c>
      <c r="O56" s="2590"/>
      <c r="P56" s="577"/>
      <c r="Q56" s="150" t="s">
        <v>5774</v>
      </c>
      <c r="R56" s="1664" t="s">
        <v>5489</v>
      </c>
      <c r="S56" s="1418">
        <v>760000</v>
      </c>
      <c r="T56" s="753"/>
      <c r="U56" s="1546"/>
      <c r="V56" s="752"/>
      <c r="W56" s="2151">
        <v>1000000</v>
      </c>
      <c r="X56" s="2151">
        <v>408440</v>
      </c>
      <c r="Y56" s="752"/>
      <c r="Z56" s="1502">
        <v>250000</v>
      </c>
      <c r="AA56" s="752"/>
      <c r="AB56" s="1315"/>
      <c r="AC56" s="1416">
        <f t="shared" si="11"/>
        <v>1658440</v>
      </c>
      <c r="AD56" s="755" t="s">
        <v>5843</v>
      </c>
      <c r="AE56" s="1418">
        <f>(H56*4740000+I56*4840000)*1.08+(T56*1.08)+(S56*1.08)+(U56*1.08)+(240000)*1.08</f>
        <v>6199200</v>
      </c>
      <c r="AF56" s="1419">
        <f t="shared" si="8"/>
        <v>7857640</v>
      </c>
      <c r="AG56" s="1320"/>
      <c r="AI56" s="1351"/>
    </row>
    <row r="57" spans="1:36" s="1350" customFormat="1" ht="15.6">
      <c r="A57" s="1599">
        <f t="shared" si="10"/>
        <v>11</v>
      </c>
      <c r="B57" s="731" t="s">
        <v>5837</v>
      </c>
      <c r="C57" s="166">
        <v>107221933820</v>
      </c>
      <c r="D57" s="386" t="s">
        <v>5798</v>
      </c>
      <c r="E57" s="179" t="s">
        <v>5806</v>
      </c>
      <c r="F57" s="1424" t="s">
        <v>4736</v>
      </c>
      <c r="G57" s="709" t="s">
        <v>206</v>
      </c>
      <c r="H57" s="167"/>
      <c r="I57" s="167"/>
      <c r="J57" s="167" t="s">
        <v>128</v>
      </c>
      <c r="K57" s="2426" t="s">
        <v>418</v>
      </c>
      <c r="L57" s="154" t="s">
        <v>5807</v>
      </c>
      <c r="M57" s="707" t="s">
        <v>5842</v>
      </c>
      <c r="N57" s="151"/>
      <c r="O57" s="2620"/>
      <c r="P57" s="577"/>
      <c r="Q57" s="150" t="s">
        <v>5835</v>
      </c>
      <c r="R57" s="1664"/>
      <c r="S57" s="1404"/>
      <c r="T57" s="753"/>
      <c r="U57" s="1546"/>
      <c r="V57" s="752"/>
      <c r="W57" s="2158">
        <f>162000+324000</f>
        <v>486000</v>
      </c>
      <c r="X57" s="752"/>
      <c r="Y57" s="1739">
        <v>1393200</v>
      </c>
      <c r="Z57" s="1316"/>
      <c r="AA57" s="752"/>
      <c r="AB57" s="1315"/>
      <c r="AC57" s="1416">
        <f t="shared" si="11"/>
        <v>1879200</v>
      </c>
      <c r="AD57" s="755"/>
      <c r="AE57" s="1418">
        <f>(1100000+1480000)*1.08+(T57*1.08)+(S57*1.08)+(U57*1.08)</f>
        <v>2786400</v>
      </c>
      <c r="AF57" s="1419">
        <f t="shared" si="8"/>
        <v>4665600</v>
      </c>
      <c r="AG57" s="1320"/>
      <c r="AI57" s="1351"/>
    </row>
    <row r="58" spans="1:36" ht="15.6">
      <c r="A58" s="3994" t="s">
        <v>5776</v>
      </c>
      <c r="B58" s="3995"/>
      <c r="C58" s="3995"/>
      <c r="D58" s="3995"/>
      <c r="E58" s="3995"/>
      <c r="F58" s="3995"/>
      <c r="G58" s="3995"/>
      <c r="H58" s="3995"/>
      <c r="I58" s="3995"/>
      <c r="J58" s="3995"/>
      <c r="K58" s="3995"/>
      <c r="L58" s="3996"/>
      <c r="M58" s="1532"/>
      <c r="N58" s="1342"/>
      <c r="O58" s="1708"/>
      <c r="P58" s="1342"/>
      <c r="Q58" s="1343"/>
      <c r="R58" s="1988"/>
      <c r="S58" s="1403"/>
      <c r="T58" s="1345"/>
      <c r="U58" s="1543"/>
      <c r="V58" s="1344"/>
      <c r="W58" s="1343"/>
      <c r="X58" s="1343"/>
      <c r="Y58" s="1343"/>
      <c r="Z58" s="1345"/>
      <c r="AA58" s="1343"/>
      <c r="AB58" s="1346"/>
      <c r="AC58" s="1346"/>
      <c r="AD58" s="1347"/>
      <c r="AE58" s="1348">
        <f>SUM(AE47:AE57)</f>
        <v>56419200</v>
      </c>
      <c r="AF58" s="1348">
        <f>SUM(AF47:AF57)</f>
        <v>86418016</v>
      </c>
      <c r="AG58" s="1348"/>
      <c r="AH58" s="1354"/>
      <c r="AI58" s="1354"/>
      <c r="AJ58" s="1350"/>
    </row>
    <row r="59" spans="1:36" s="1350" customFormat="1" ht="15.6">
      <c r="A59" s="1599">
        <v>1</v>
      </c>
      <c r="B59" s="729"/>
      <c r="C59" s="1657">
        <v>307388194760</v>
      </c>
      <c r="D59" s="386" t="s">
        <v>5630</v>
      </c>
      <c r="E59" s="179" t="s">
        <v>6092</v>
      </c>
      <c r="F59" s="1997" t="s">
        <v>5637</v>
      </c>
      <c r="G59" s="709" t="s">
        <v>210</v>
      </c>
      <c r="H59" s="167"/>
      <c r="I59" s="167"/>
      <c r="J59" s="167">
        <v>1</v>
      </c>
      <c r="K59" s="86" t="s">
        <v>210</v>
      </c>
      <c r="L59" s="154" t="s">
        <v>5631</v>
      </c>
      <c r="M59" s="707" t="s">
        <v>5642</v>
      </c>
      <c r="N59" s="170" t="s">
        <v>5632</v>
      </c>
      <c r="O59" s="2590"/>
      <c r="P59" s="577"/>
      <c r="Q59" s="150" t="s">
        <v>5595</v>
      </c>
      <c r="R59" s="1664" t="s">
        <v>5491</v>
      </c>
      <c r="S59" s="1418">
        <v>760000</v>
      </c>
      <c r="T59" s="753"/>
      <c r="U59" s="1546"/>
      <c r="V59" s="752"/>
      <c r="W59" s="752"/>
      <c r="X59" s="752"/>
      <c r="Y59" s="752"/>
      <c r="Z59" s="1316"/>
      <c r="AA59" s="752"/>
      <c r="AB59" s="1315"/>
      <c r="AC59" s="1416">
        <f>+SUM(V59:AB59)</f>
        <v>0</v>
      </c>
      <c r="AD59" s="385" t="s">
        <v>5894</v>
      </c>
      <c r="AE59" s="1418">
        <f t="shared" ref="AE59:AE80" si="12">(H59*4740000+I59*4840000)*1.08+(T59*1.08)+(S59*1.08)+(U59*1.08)</f>
        <v>820800</v>
      </c>
      <c r="AF59" s="1419">
        <f t="shared" ref="AF59:AF81" si="13">+AC59+AE59</f>
        <v>820800</v>
      </c>
      <c r="AG59" s="1320"/>
      <c r="AI59" s="1351"/>
    </row>
    <row r="60" spans="1:36" s="1350" customFormat="1" ht="15.6">
      <c r="A60" s="1599">
        <v>2</v>
      </c>
      <c r="B60" s="2066" t="s">
        <v>5864</v>
      </c>
      <c r="C60" s="1657">
        <v>307453010340</v>
      </c>
      <c r="D60" s="386" t="s">
        <v>5864</v>
      </c>
      <c r="E60" s="179" t="s">
        <v>5903</v>
      </c>
      <c r="F60" s="1633" t="s">
        <v>4432</v>
      </c>
      <c r="G60" s="709" t="s">
        <v>210</v>
      </c>
      <c r="H60" s="167">
        <v>1</v>
      </c>
      <c r="I60" s="167"/>
      <c r="J60" s="167"/>
      <c r="K60" s="86" t="s">
        <v>210</v>
      </c>
      <c r="L60" s="154" t="s">
        <v>5851</v>
      </c>
      <c r="M60" s="1697" t="s">
        <v>5878</v>
      </c>
      <c r="N60" s="707" t="s">
        <v>5852</v>
      </c>
      <c r="O60" s="707" t="s">
        <v>5947</v>
      </c>
      <c r="P60" s="1566"/>
      <c r="Q60" s="150" t="s">
        <v>287</v>
      </c>
      <c r="R60" s="1664" t="s">
        <v>5489</v>
      </c>
      <c r="S60" s="1418">
        <v>760000</v>
      </c>
      <c r="T60" s="753"/>
      <c r="U60" s="1546"/>
      <c r="V60" s="752"/>
      <c r="W60" s="2151">
        <v>900000</v>
      </c>
      <c r="X60" s="2151">
        <v>497000</v>
      </c>
      <c r="Y60" s="752"/>
      <c r="Z60" s="1502">
        <v>250000</v>
      </c>
      <c r="AA60" s="752"/>
      <c r="AB60" s="1315"/>
      <c r="AC60" s="1416">
        <f t="shared" si="11"/>
        <v>1647000</v>
      </c>
      <c r="AD60" s="385"/>
      <c r="AE60" s="1418">
        <f>(H60*4740000+I60*4840000)*1.08+(T60*1.08)+(S60*1.08)+(U60*1.08)</f>
        <v>5940000</v>
      </c>
      <c r="AF60" s="1419">
        <f t="shared" si="13"/>
        <v>7587000</v>
      </c>
      <c r="AG60" s="1320"/>
      <c r="AI60" s="1351"/>
    </row>
    <row r="61" spans="1:36" s="1350" customFormat="1" ht="15.6">
      <c r="A61" s="1599">
        <v>3</v>
      </c>
      <c r="B61" s="2543">
        <v>45936</v>
      </c>
      <c r="C61" s="1657">
        <v>307472539860</v>
      </c>
      <c r="D61" s="386" t="s">
        <v>5887</v>
      </c>
      <c r="E61" s="179" t="s">
        <v>5951</v>
      </c>
      <c r="F61" s="1633" t="s">
        <v>4432</v>
      </c>
      <c r="G61" s="709" t="s">
        <v>210</v>
      </c>
      <c r="H61" s="167">
        <v>1</v>
      </c>
      <c r="I61" s="167"/>
      <c r="J61" s="167"/>
      <c r="K61" s="86" t="s">
        <v>210</v>
      </c>
      <c r="L61" s="2515" t="s">
        <v>5911</v>
      </c>
      <c r="M61" s="1697" t="s">
        <v>5937</v>
      </c>
      <c r="N61" s="2037" t="s">
        <v>5910</v>
      </c>
      <c r="O61" s="2037" t="s">
        <v>5946</v>
      </c>
      <c r="P61" s="1587"/>
      <c r="Q61" s="150" t="s">
        <v>287</v>
      </c>
      <c r="R61" s="1664" t="s">
        <v>4912</v>
      </c>
      <c r="S61" s="1418">
        <v>760000</v>
      </c>
      <c r="T61" s="753"/>
      <c r="U61" s="1546"/>
      <c r="V61" s="752"/>
      <c r="W61" s="2151">
        <v>900000</v>
      </c>
      <c r="X61" s="2151">
        <v>497000</v>
      </c>
      <c r="Y61" s="752"/>
      <c r="Z61" s="1502">
        <v>250000</v>
      </c>
      <c r="AA61" s="752"/>
      <c r="AB61" s="1315"/>
      <c r="AC61" s="1416">
        <f t="shared" si="11"/>
        <v>1647000</v>
      </c>
      <c r="AD61" s="385" t="s">
        <v>5959</v>
      </c>
      <c r="AE61" s="1418">
        <f>(H61*4740000+I61*4840000)*1.08+(T61*1.08)+(S61*1.08)+(U61*1.08)+(500000*1.08)</f>
        <v>6480000</v>
      </c>
      <c r="AF61" s="1419">
        <f t="shared" si="13"/>
        <v>8127000</v>
      </c>
      <c r="AG61" s="1320"/>
      <c r="AI61" s="1351"/>
    </row>
    <row r="62" spans="1:36" s="1350" customFormat="1" ht="26.4">
      <c r="A62" s="1599">
        <f t="shared" si="10"/>
        <v>4</v>
      </c>
      <c r="B62" s="731" t="s">
        <v>5930</v>
      </c>
      <c r="C62" s="166">
        <v>107252212060</v>
      </c>
      <c r="D62" s="386" t="s">
        <v>5876</v>
      </c>
      <c r="E62" s="179" t="s">
        <v>5952</v>
      </c>
      <c r="F62" s="1424" t="s">
        <v>4736</v>
      </c>
      <c r="G62" s="709" t="s">
        <v>206</v>
      </c>
      <c r="H62" s="167"/>
      <c r="I62" s="167"/>
      <c r="J62" s="167" t="s">
        <v>128</v>
      </c>
      <c r="K62" s="2426" t="s">
        <v>418</v>
      </c>
      <c r="L62" s="1587" t="s">
        <v>5923</v>
      </c>
      <c r="M62" s="707" t="s">
        <v>5924</v>
      </c>
      <c r="N62" s="2038"/>
      <c r="O62" s="2620"/>
      <c r="P62" s="577"/>
      <c r="Q62" s="150" t="s">
        <v>5835</v>
      </c>
      <c r="R62" s="1664"/>
      <c r="S62" s="1404"/>
      <c r="T62" s="753"/>
      <c r="U62" s="1546"/>
      <c r="V62" s="752"/>
      <c r="W62" s="2158">
        <v>324000</v>
      </c>
      <c r="X62" s="752"/>
      <c r="Y62" s="752"/>
      <c r="Z62" s="1330"/>
      <c r="AA62" s="752"/>
      <c r="AB62" s="1315"/>
      <c r="AC62" s="1416">
        <f t="shared" ref="AC62:AC83" si="14">+SUM(V62:AB62)</f>
        <v>324000</v>
      </c>
      <c r="AD62" s="1691" t="s">
        <v>5984</v>
      </c>
      <c r="AE62" s="1418">
        <f>+(1100000+1480000)*1.08</f>
        <v>2786400</v>
      </c>
      <c r="AF62" s="1419">
        <f t="shared" si="13"/>
        <v>3110400</v>
      </c>
      <c r="AG62" s="1320"/>
      <c r="AI62" s="1351"/>
    </row>
    <row r="63" spans="1:36" s="1350" customFormat="1" ht="26.4">
      <c r="A63" s="2801">
        <f t="shared" si="10"/>
        <v>5</v>
      </c>
      <c r="B63" s="2066" t="s">
        <v>6018</v>
      </c>
      <c r="C63" s="2802">
        <v>307496672140</v>
      </c>
      <c r="D63" s="2066" t="s">
        <v>6018</v>
      </c>
      <c r="E63" s="2803" t="s">
        <v>6091</v>
      </c>
      <c r="F63" s="2804" t="s">
        <v>5426</v>
      </c>
      <c r="G63" s="1395" t="s">
        <v>210</v>
      </c>
      <c r="H63" s="167">
        <v>1</v>
      </c>
      <c r="I63" s="167"/>
      <c r="J63" s="167"/>
      <c r="K63" s="1296" t="s">
        <v>210</v>
      </c>
      <c r="L63" s="522" t="s">
        <v>5999</v>
      </c>
      <c r="M63" s="658" t="s">
        <v>6046</v>
      </c>
      <c r="N63" s="1196" t="s">
        <v>6000</v>
      </c>
      <c r="O63" s="2805" t="s">
        <v>6035</v>
      </c>
      <c r="P63" s="577"/>
      <c r="Q63" s="150" t="s">
        <v>287</v>
      </c>
      <c r="R63" s="1664" t="s">
        <v>4912</v>
      </c>
      <c r="S63" s="1418">
        <v>760000</v>
      </c>
      <c r="T63" s="753"/>
      <c r="U63" s="1546"/>
      <c r="V63" s="752"/>
      <c r="W63" s="2151">
        <v>1000000</v>
      </c>
      <c r="X63" s="2151">
        <v>497000</v>
      </c>
      <c r="Y63" s="752"/>
      <c r="Z63" s="1502">
        <v>250000</v>
      </c>
      <c r="AA63" s="752"/>
      <c r="AB63" s="1315"/>
      <c r="AC63" s="1416">
        <f t="shared" si="14"/>
        <v>1747000</v>
      </c>
      <c r="AD63" s="755"/>
      <c r="AE63" s="1418">
        <f t="shared" si="12"/>
        <v>5940000</v>
      </c>
      <c r="AF63" s="1419">
        <f t="shared" si="13"/>
        <v>7687000</v>
      </c>
      <c r="AG63" s="1320"/>
      <c r="AI63" s="1351"/>
    </row>
    <row r="64" spans="1:36" s="1758" customFormat="1" ht="26.4">
      <c r="A64" s="2807"/>
      <c r="B64" s="2806" t="s">
        <v>6122</v>
      </c>
      <c r="C64" s="2808">
        <v>307524974910</v>
      </c>
      <c r="D64" s="3056" t="s">
        <v>6122</v>
      </c>
      <c r="E64" s="2809" t="s">
        <v>6153</v>
      </c>
      <c r="F64" s="2810" t="s">
        <v>4432</v>
      </c>
      <c r="G64" s="2760" t="s">
        <v>210</v>
      </c>
      <c r="H64" s="2309">
        <v>2</v>
      </c>
      <c r="I64" s="2309"/>
      <c r="J64" s="2309"/>
      <c r="K64" s="2811" t="s">
        <v>210</v>
      </c>
      <c r="L64" s="2069" t="s">
        <v>6150</v>
      </c>
      <c r="M64" s="2812" t="s">
        <v>6149</v>
      </c>
      <c r="N64" s="2504" t="s">
        <v>6151</v>
      </c>
      <c r="O64" s="2504" t="s">
        <v>6152</v>
      </c>
      <c r="P64" s="1459"/>
      <c r="Q64" s="2745" t="s">
        <v>2966</v>
      </c>
      <c r="R64" s="2813"/>
      <c r="S64" s="1418">
        <v>760000</v>
      </c>
      <c r="T64" s="2422"/>
      <c r="U64" s="2422"/>
      <c r="V64" s="1555"/>
      <c r="W64" s="2798">
        <v>1800000</v>
      </c>
      <c r="X64" s="2151">
        <v>994000</v>
      </c>
      <c r="Y64" s="1555"/>
      <c r="Z64" s="2799">
        <v>500000</v>
      </c>
      <c r="AA64" s="1555"/>
      <c r="AB64" s="1555"/>
      <c r="AC64" s="1325">
        <f t="shared" si="14"/>
        <v>3294000</v>
      </c>
      <c r="AD64" s="1767"/>
      <c r="AE64" s="2732">
        <f t="shared" si="12"/>
        <v>11059200</v>
      </c>
      <c r="AF64" s="2814">
        <f t="shared" si="13"/>
        <v>14353200</v>
      </c>
      <c r="AG64" s="2800"/>
      <c r="AI64" s="1915"/>
    </row>
    <row r="65" spans="1:36" ht="15.6">
      <c r="A65" s="3994" t="s">
        <v>6100</v>
      </c>
      <c r="B65" s="3995"/>
      <c r="C65" s="3995"/>
      <c r="D65" s="3995"/>
      <c r="E65" s="3995"/>
      <c r="F65" s="3995"/>
      <c r="G65" s="3995"/>
      <c r="H65" s="3995"/>
      <c r="I65" s="3995"/>
      <c r="J65" s="3995"/>
      <c r="K65" s="3995"/>
      <c r="L65" s="3996"/>
      <c r="M65" s="1532"/>
      <c r="N65" s="1342"/>
      <c r="O65" s="1708"/>
      <c r="P65" s="1342"/>
      <c r="Q65" s="1343"/>
      <c r="R65" s="1988"/>
      <c r="S65" s="1403"/>
      <c r="T65" s="1345"/>
      <c r="U65" s="1543"/>
      <c r="V65" s="1344"/>
      <c r="W65" s="1343"/>
      <c r="X65" s="1343"/>
      <c r="Y65" s="1343"/>
      <c r="Z65" s="1345"/>
      <c r="AA65" s="1343"/>
      <c r="AB65" s="1346"/>
      <c r="AC65" s="1346"/>
      <c r="AD65" s="1347"/>
      <c r="AE65" s="1348">
        <f>SUM(AE53:AE63)</f>
        <v>102254400</v>
      </c>
      <c r="AF65" s="1348">
        <f>SUM(AF53:AF63)</f>
        <v>151366015</v>
      </c>
      <c r="AG65" s="1348"/>
      <c r="AH65" s="1354"/>
      <c r="AI65" s="1354"/>
      <c r="AJ65" s="1350"/>
    </row>
    <row r="66" spans="1:36" s="1758" customFormat="1" ht="15.6">
      <c r="A66" s="2807">
        <v>1</v>
      </c>
      <c r="B66" s="2066" t="s">
        <v>6248</v>
      </c>
      <c r="C66" s="2808">
        <v>307547229200</v>
      </c>
      <c r="D66" s="2914" t="s">
        <v>6248</v>
      </c>
      <c r="E66" s="2882" t="s">
        <v>6300</v>
      </c>
      <c r="F66" s="2810" t="s">
        <v>4432</v>
      </c>
      <c r="G66" s="2819" t="s">
        <v>210</v>
      </c>
      <c r="H66" s="431">
        <v>1</v>
      </c>
      <c r="I66" s="431"/>
      <c r="J66" s="431"/>
      <c r="K66" s="596" t="s">
        <v>210</v>
      </c>
      <c r="L66" s="1379" t="s">
        <v>6179</v>
      </c>
      <c r="M66" s="1755" t="s">
        <v>6245</v>
      </c>
      <c r="N66" s="1376" t="s">
        <v>6180</v>
      </c>
      <c r="O66" s="2869" t="s">
        <v>6246</v>
      </c>
      <c r="P66" s="1459"/>
      <c r="Q66" s="2820" t="s">
        <v>287</v>
      </c>
      <c r="R66" s="2821" t="s">
        <v>4912</v>
      </c>
      <c r="S66" s="1418">
        <v>760000</v>
      </c>
      <c r="T66" s="753"/>
      <c r="U66" s="1546"/>
      <c r="V66" s="752"/>
      <c r="W66" s="2798">
        <v>900000</v>
      </c>
      <c r="X66" s="2798">
        <v>497000</v>
      </c>
      <c r="Y66" s="752"/>
      <c r="Z66" s="1504">
        <v>250000</v>
      </c>
      <c r="AA66" s="752"/>
      <c r="AB66" s="1315"/>
      <c r="AC66" s="1325">
        <f t="shared" si="14"/>
        <v>1647000</v>
      </c>
      <c r="AD66" s="755"/>
      <c r="AE66" s="2732">
        <f t="shared" si="12"/>
        <v>5940000</v>
      </c>
      <c r="AF66" s="2814">
        <f t="shared" si="13"/>
        <v>7587000</v>
      </c>
      <c r="AG66" s="1320"/>
      <c r="AI66" s="1915"/>
    </row>
    <row r="67" spans="1:36" s="1350" customFormat="1" ht="27">
      <c r="A67" s="1599">
        <f>+A69+1</f>
        <v>5</v>
      </c>
      <c r="B67" s="2066" t="s">
        <v>6301</v>
      </c>
      <c r="C67" s="166">
        <v>107332135630</v>
      </c>
      <c r="D67" s="386" t="s">
        <v>6208</v>
      </c>
      <c r="E67" s="179" t="s">
        <v>6281</v>
      </c>
      <c r="F67" s="1424" t="s">
        <v>6279</v>
      </c>
      <c r="G67" s="709" t="s">
        <v>206</v>
      </c>
      <c r="H67" s="167"/>
      <c r="I67" s="167"/>
      <c r="J67" s="167">
        <v>1</v>
      </c>
      <c r="K67" s="86" t="s">
        <v>418</v>
      </c>
      <c r="L67" s="154" t="s">
        <v>6280</v>
      </c>
      <c r="M67" s="707" t="s">
        <v>6439</v>
      </c>
      <c r="N67" s="170" t="s">
        <v>6184</v>
      </c>
      <c r="O67" s="2590" t="s">
        <v>5948</v>
      </c>
      <c r="P67" s="577"/>
      <c r="Q67" s="620" t="s">
        <v>6277</v>
      </c>
      <c r="R67" s="1664"/>
      <c r="S67" s="1404"/>
      <c r="T67" s="753"/>
      <c r="U67" s="1546"/>
      <c r="V67" s="752"/>
      <c r="W67" s="1769"/>
      <c r="X67" s="1769"/>
      <c r="Y67" s="2875">
        <v>3926889</v>
      </c>
      <c r="Z67" s="1504">
        <v>3000</v>
      </c>
      <c r="AA67" s="752"/>
      <c r="AB67" s="1315"/>
      <c r="AC67" s="1416">
        <f>+SUM(V67:AB67)</f>
        <v>3929889</v>
      </c>
      <c r="AD67" s="755"/>
      <c r="AE67" s="1418">
        <f>+(1100000+1680000)*1.08</f>
        <v>3002400</v>
      </c>
      <c r="AF67" s="1419">
        <f>+AC67+AE67</f>
        <v>6932289</v>
      </c>
      <c r="AG67" s="1320"/>
      <c r="AI67" s="1351"/>
    </row>
    <row r="68" spans="1:36" s="1350" customFormat="1" ht="15.6">
      <c r="A68" s="1599">
        <f>+A66+1</f>
        <v>2</v>
      </c>
      <c r="B68" s="2891" t="s">
        <v>6264</v>
      </c>
      <c r="C68" s="2808">
        <v>307567908450</v>
      </c>
      <c r="D68" s="386" t="s">
        <v>6264</v>
      </c>
      <c r="E68" s="179" t="s">
        <v>6344</v>
      </c>
      <c r="F68" s="2810" t="s">
        <v>4432</v>
      </c>
      <c r="G68" s="2819" t="s">
        <v>210</v>
      </c>
      <c r="H68" s="431">
        <v>1</v>
      </c>
      <c r="I68" s="167"/>
      <c r="J68" s="167"/>
      <c r="K68" s="86" t="s">
        <v>210</v>
      </c>
      <c r="L68" s="154" t="s">
        <v>6250</v>
      </c>
      <c r="M68" s="707" t="s">
        <v>6322</v>
      </c>
      <c r="N68" s="170" t="s">
        <v>6363</v>
      </c>
      <c r="O68" s="2590" t="s">
        <v>6246</v>
      </c>
      <c r="P68" s="577"/>
      <c r="Q68" s="2745" t="s">
        <v>2966</v>
      </c>
      <c r="R68" s="1664" t="s">
        <v>5491</v>
      </c>
      <c r="S68" s="1418">
        <v>760000</v>
      </c>
      <c r="T68" s="753"/>
      <c r="U68" s="1546"/>
      <c r="V68" s="752"/>
      <c r="W68" s="2798">
        <v>900000</v>
      </c>
      <c r="X68" s="2798">
        <v>497000</v>
      </c>
      <c r="Y68" s="752"/>
      <c r="Z68" s="1504">
        <v>250000</v>
      </c>
      <c r="AA68" s="752"/>
      <c r="AB68" s="1315"/>
      <c r="AC68" s="1416">
        <f t="shared" si="14"/>
        <v>1647000</v>
      </c>
      <c r="AD68" s="755"/>
      <c r="AE68" s="1418">
        <f t="shared" si="12"/>
        <v>5940000</v>
      </c>
      <c r="AF68" s="1419">
        <f t="shared" si="13"/>
        <v>7587000</v>
      </c>
      <c r="AG68" s="1320"/>
      <c r="AI68" s="1351"/>
    </row>
    <row r="69" spans="1:36" s="1350" customFormat="1" ht="27">
      <c r="A69" s="1599">
        <f>+A70+1</f>
        <v>4</v>
      </c>
      <c r="B69" s="2919" t="s">
        <v>6342</v>
      </c>
      <c r="C69" s="166">
        <v>107335744831</v>
      </c>
      <c r="D69" s="386" t="s">
        <v>6244</v>
      </c>
      <c r="E69" s="179" t="s">
        <v>6278</v>
      </c>
      <c r="F69" s="1424" t="s">
        <v>4869</v>
      </c>
      <c r="G69" s="709" t="s">
        <v>206</v>
      </c>
      <c r="H69" s="167"/>
      <c r="I69" s="167"/>
      <c r="J69" s="167">
        <v>1</v>
      </c>
      <c r="K69" s="86" t="s">
        <v>418</v>
      </c>
      <c r="L69" s="154" t="s">
        <v>6276</v>
      </c>
      <c r="M69" s="707" t="s">
        <v>6440</v>
      </c>
      <c r="N69" s="170" t="s">
        <v>6158</v>
      </c>
      <c r="O69" s="2590" t="s">
        <v>6371</v>
      </c>
      <c r="P69" s="577"/>
      <c r="Q69" s="620" t="s">
        <v>6277</v>
      </c>
      <c r="R69" s="1664"/>
      <c r="S69" s="1404"/>
      <c r="T69" s="753"/>
      <c r="U69" s="1546"/>
      <c r="W69" s="2158">
        <v>64800</v>
      </c>
      <c r="X69" s="1769"/>
      <c r="Y69" s="2875">
        <v>17856710</v>
      </c>
      <c r="Z69" s="1504">
        <v>41250</v>
      </c>
      <c r="AA69" s="752"/>
      <c r="AB69" s="1315"/>
      <c r="AC69" s="1416">
        <f>+SUM(W69:AB69)</f>
        <v>17962760</v>
      </c>
      <c r="AD69" s="755"/>
      <c r="AE69" s="1418">
        <f>+(1100000+2230000)*1.08</f>
        <v>3596400.0000000005</v>
      </c>
      <c r="AF69" s="1419">
        <f>+AC69+AE69</f>
        <v>21559160</v>
      </c>
      <c r="AG69" s="1320"/>
      <c r="AI69" s="1351"/>
    </row>
    <row r="70" spans="1:36" s="1350" customFormat="1" ht="15.6">
      <c r="A70" s="1599">
        <f>+A68+1</f>
        <v>3</v>
      </c>
      <c r="B70" s="2919" t="s">
        <v>6342</v>
      </c>
      <c r="C70" s="2808">
        <v>307573699700</v>
      </c>
      <c r="D70" s="2919" t="s">
        <v>6342</v>
      </c>
      <c r="E70" s="2206" t="s">
        <v>6379</v>
      </c>
      <c r="F70" s="2810" t="s">
        <v>5426</v>
      </c>
      <c r="G70" s="2819" t="s">
        <v>210</v>
      </c>
      <c r="H70" s="431">
        <v>1</v>
      </c>
      <c r="I70" s="167"/>
      <c r="J70" s="167"/>
      <c r="K70" s="86" t="s">
        <v>210</v>
      </c>
      <c r="L70" s="154" t="s">
        <v>6251</v>
      </c>
      <c r="M70" s="1570" t="s">
        <v>6368</v>
      </c>
      <c r="N70" s="170" t="s">
        <v>6369</v>
      </c>
      <c r="O70" s="2590" t="s">
        <v>6370</v>
      </c>
      <c r="P70" s="577"/>
      <c r="Q70" s="150" t="s">
        <v>287</v>
      </c>
      <c r="R70" s="1664" t="s">
        <v>4912</v>
      </c>
      <c r="S70" s="1418">
        <v>760000</v>
      </c>
      <c r="T70" s="753"/>
      <c r="U70" s="1546"/>
      <c r="V70" s="752"/>
      <c r="W70" s="2798">
        <v>1000000</v>
      </c>
      <c r="X70" s="2798">
        <v>497000</v>
      </c>
      <c r="Y70" s="752"/>
      <c r="Z70" s="1504">
        <v>250000</v>
      </c>
      <c r="AA70" s="752"/>
      <c r="AB70" s="1315"/>
      <c r="AC70" s="1416">
        <f>+SUM(V70:AB70)</f>
        <v>1747000</v>
      </c>
      <c r="AD70" s="755"/>
      <c r="AE70" s="1418">
        <f>(H70*4740000+I70*4840000)*1.08+(T70*1.08)+(S70*1.08)+(U70*1.08)</f>
        <v>5940000</v>
      </c>
      <c r="AF70" s="1419">
        <f>+AC70+AE70</f>
        <v>7687000</v>
      </c>
      <c r="AG70" s="1320"/>
      <c r="AI70" s="1351"/>
    </row>
    <row r="71" spans="1:36" s="1350" customFormat="1" ht="27">
      <c r="A71" s="1599">
        <f>+A67+1</f>
        <v>6</v>
      </c>
      <c r="B71" s="731" t="s">
        <v>6383</v>
      </c>
      <c r="C71" s="166">
        <v>107345792740</v>
      </c>
      <c r="D71" s="386" t="s">
        <v>6264</v>
      </c>
      <c r="E71" s="179" t="s">
        <v>6319</v>
      </c>
      <c r="F71" s="1424" t="s">
        <v>6315</v>
      </c>
      <c r="G71" s="709" t="s">
        <v>206</v>
      </c>
      <c r="H71" s="167"/>
      <c r="I71" s="167"/>
      <c r="J71" s="167">
        <v>1</v>
      </c>
      <c r="K71" s="86" t="s">
        <v>210</v>
      </c>
      <c r="L71" s="154" t="s">
        <v>6316</v>
      </c>
      <c r="M71" s="707" t="s">
        <v>6317</v>
      </c>
      <c r="N71" s="170" t="s">
        <v>6318</v>
      </c>
      <c r="O71" s="1549" t="s">
        <v>6401</v>
      </c>
      <c r="P71" s="577"/>
      <c r="Q71" s="620" t="s">
        <v>6277</v>
      </c>
      <c r="R71" s="1664"/>
      <c r="S71" s="1404"/>
      <c r="T71" s="753"/>
      <c r="U71" s="1546"/>
      <c r="V71" s="752"/>
      <c r="W71" s="1769"/>
      <c r="X71" s="1769"/>
      <c r="Y71" s="2875">
        <v>16058374</v>
      </c>
      <c r="Z71" s="1504">
        <v>50772</v>
      </c>
      <c r="AA71" s="752"/>
      <c r="AB71" s="1315"/>
      <c r="AC71" s="1416">
        <f t="shared" si="14"/>
        <v>16109146</v>
      </c>
      <c r="AD71" s="755"/>
      <c r="AE71" s="1418">
        <f>+(1100000+2230000)*1.08</f>
        <v>3596400.0000000005</v>
      </c>
      <c r="AF71" s="1419">
        <f t="shared" si="13"/>
        <v>19705546</v>
      </c>
      <c r="AG71" s="1320"/>
      <c r="AI71" s="1351"/>
    </row>
    <row r="72" spans="1:36" s="1350" customFormat="1" ht="27">
      <c r="A72" s="1599">
        <f>+A71+1</f>
        <v>7</v>
      </c>
      <c r="B72" s="2066" t="s">
        <v>6383</v>
      </c>
      <c r="C72" s="2225">
        <v>307582306640</v>
      </c>
      <c r="D72" s="386" t="s">
        <v>6383</v>
      </c>
      <c r="E72" s="179" t="s">
        <v>6426</v>
      </c>
      <c r="F72" s="1633" t="s">
        <v>4432</v>
      </c>
      <c r="G72" s="709" t="s">
        <v>210</v>
      </c>
      <c r="H72" s="167">
        <v>2</v>
      </c>
      <c r="I72" s="167"/>
      <c r="J72" s="167"/>
      <c r="K72" s="86" t="s">
        <v>210</v>
      </c>
      <c r="L72" s="154" t="s">
        <v>6364</v>
      </c>
      <c r="M72" s="2922" t="s">
        <v>6404</v>
      </c>
      <c r="N72" s="170" t="s">
        <v>6365</v>
      </c>
      <c r="O72" s="2657" t="s">
        <v>6152</v>
      </c>
      <c r="P72" s="577"/>
      <c r="Q72" s="2745" t="s">
        <v>2966</v>
      </c>
      <c r="R72" s="1664" t="s">
        <v>4912</v>
      </c>
      <c r="S72" s="1418">
        <v>760000</v>
      </c>
      <c r="T72" s="753"/>
      <c r="U72" s="1546"/>
      <c r="V72" s="752"/>
      <c r="W72" s="2798">
        <f>900000*2</f>
        <v>1800000</v>
      </c>
      <c r="X72" s="2798">
        <v>994000</v>
      </c>
      <c r="Y72" s="752"/>
      <c r="Z72" s="1502">
        <v>500000</v>
      </c>
      <c r="AA72" s="752"/>
      <c r="AB72" s="1315"/>
      <c r="AC72" s="1416">
        <f t="shared" si="14"/>
        <v>3294000</v>
      </c>
      <c r="AD72" s="755"/>
      <c r="AE72" s="1418">
        <f t="shared" si="12"/>
        <v>11059200</v>
      </c>
      <c r="AF72" s="1419">
        <f t="shared" si="13"/>
        <v>14353200</v>
      </c>
      <c r="AG72" s="1320"/>
      <c r="AI72" s="1351"/>
    </row>
    <row r="73" spans="1:36" s="1350" customFormat="1" ht="15.6">
      <c r="A73" s="1599">
        <f t="shared" si="10"/>
        <v>8</v>
      </c>
      <c r="B73" s="2066" t="s">
        <v>6456</v>
      </c>
      <c r="C73" s="166">
        <v>107375799640</v>
      </c>
      <c r="D73" s="386" t="s">
        <v>6437</v>
      </c>
      <c r="E73" s="179" t="s">
        <v>6421</v>
      </c>
      <c r="F73" s="1424" t="s">
        <v>6428</v>
      </c>
      <c r="G73" s="709" t="s">
        <v>206</v>
      </c>
      <c r="H73" s="167">
        <v>1</v>
      </c>
      <c r="I73" s="167"/>
      <c r="J73" s="167"/>
      <c r="K73" s="1787" t="s">
        <v>210</v>
      </c>
      <c r="L73" s="154" t="s">
        <v>6420</v>
      </c>
      <c r="M73" s="2922" t="s">
        <v>6429</v>
      </c>
      <c r="N73" s="1612" t="s">
        <v>6441</v>
      </c>
      <c r="O73" s="1612" t="s">
        <v>6487</v>
      </c>
      <c r="P73" s="1587"/>
      <c r="Q73" s="2820" t="s">
        <v>287</v>
      </c>
      <c r="R73" s="1664"/>
      <c r="S73" s="1693"/>
      <c r="T73" s="753"/>
      <c r="U73" s="1546"/>
      <c r="V73" s="752"/>
      <c r="W73" s="2158">
        <v>497000</v>
      </c>
      <c r="X73" s="2798">
        <v>930000</v>
      </c>
      <c r="Y73" s="2875">
        <v>5634737</v>
      </c>
      <c r="Z73" s="1502">
        <v>250000</v>
      </c>
      <c r="AA73" s="752"/>
      <c r="AB73" s="1315"/>
      <c r="AC73" s="1416">
        <f t="shared" si="14"/>
        <v>7311737</v>
      </c>
      <c r="AD73" s="755"/>
      <c r="AE73" s="1418">
        <f>(H73*4740000+I73*4840000)*1.08+(T73*1.08)+(S73*1.08)+(U73*1.08)</f>
        <v>5119200</v>
      </c>
      <c r="AF73" s="1419">
        <f t="shared" si="13"/>
        <v>12430937</v>
      </c>
      <c r="AG73" s="1320"/>
      <c r="AI73" s="1351"/>
    </row>
    <row r="74" spans="1:36" ht="15.6">
      <c r="A74" s="3994" t="s">
        <v>6485</v>
      </c>
      <c r="B74" s="3995"/>
      <c r="C74" s="3995"/>
      <c r="D74" s="3995"/>
      <c r="E74" s="3995"/>
      <c r="F74" s="3995"/>
      <c r="G74" s="3995"/>
      <c r="H74" s="3995"/>
      <c r="I74" s="3995"/>
      <c r="J74" s="3995"/>
      <c r="K74" s="3995"/>
      <c r="L74" s="3996"/>
      <c r="M74" s="1532"/>
      <c r="N74" s="1342"/>
      <c r="O74" s="1708"/>
      <c r="P74" s="1342"/>
      <c r="Q74" s="1343"/>
      <c r="R74" s="1988"/>
      <c r="S74" s="1403"/>
      <c r="T74" s="1345"/>
      <c r="U74" s="1543"/>
      <c r="V74" s="1344"/>
      <c r="W74" s="1343"/>
      <c r="X74" s="1343"/>
      <c r="Y74" s="1343"/>
      <c r="Z74" s="1345"/>
      <c r="AA74" s="1343"/>
      <c r="AB74" s="1346"/>
      <c r="AC74" s="1346"/>
      <c r="AD74" s="1347"/>
      <c r="AE74" s="1348">
        <f>SUM(AE66:AE73)</f>
        <v>44193600</v>
      </c>
      <c r="AF74" s="1348">
        <f>SUM(AF66:AF73)</f>
        <v>97842132</v>
      </c>
      <c r="AG74" s="1348"/>
      <c r="AH74" s="1354"/>
      <c r="AI74" s="1354"/>
      <c r="AJ74" s="1350"/>
    </row>
    <row r="75" spans="1:36" s="1350" customFormat="1" ht="15.6">
      <c r="A75" s="1599">
        <v>1</v>
      </c>
      <c r="B75" s="2066" t="s">
        <v>6532</v>
      </c>
      <c r="C75" s="1208">
        <v>307633517610</v>
      </c>
      <c r="D75" s="386" t="s">
        <v>6532</v>
      </c>
      <c r="E75" s="179" t="s">
        <v>6567</v>
      </c>
      <c r="F75" s="1633" t="s">
        <v>4432</v>
      </c>
      <c r="G75" s="709" t="s">
        <v>210</v>
      </c>
      <c r="H75" s="167">
        <v>1</v>
      </c>
      <c r="I75" s="167"/>
      <c r="J75" s="167"/>
      <c r="K75" s="86" t="s">
        <v>210</v>
      </c>
      <c r="L75" s="154" t="s">
        <v>6479</v>
      </c>
      <c r="M75" s="2037" t="s">
        <v>6553</v>
      </c>
      <c r="N75" s="1612" t="s">
        <v>6480</v>
      </c>
      <c r="O75" s="1612" t="s">
        <v>6543</v>
      </c>
      <c r="P75" s="1587"/>
      <c r="Q75" s="2745" t="s">
        <v>2966</v>
      </c>
      <c r="R75" s="1664" t="s">
        <v>4912</v>
      </c>
      <c r="S75" s="1418">
        <v>760000</v>
      </c>
      <c r="T75" s="753"/>
      <c r="U75" s="1546"/>
      <c r="V75" s="752"/>
      <c r="W75" s="2798">
        <v>900000</v>
      </c>
      <c r="X75" s="2798">
        <v>497000</v>
      </c>
      <c r="Y75" s="752"/>
      <c r="Z75" s="2875">
        <v>250000</v>
      </c>
      <c r="AA75" s="752"/>
      <c r="AB75" s="1315"/>
      <c r="AC75" s="1416">
        <f t="shared" si="14"/>
        <v>1647000</v>
      </c>
      <c r="AD75" s="755"/>
      <c r="AE75" s="1418">
        <f t="shared" si="12"/>
        <v>5940000</v>
      </c>
      <c r="AF75" s="1419">
        <f t="shared" si="13"/>
        <v>7587000</v>
      </c>
      <c r="AG75" s="1320"/>
      <c r="AI75" s="1351"/>
    </row>
    <row r="76" spans="1:36" s="1350" customFormat="1" ht="15.6">
      <c r="A76" s="1599">
        <f t="shared" si="10"/>
        <v>2</v>
      </c>
      <c r="B76" s="666" t="s">
        <v>6565</v>
      </c>
      <c r="C76" s="1208">
        <v>307646957130</v>
      </c>
      <c r="D76" s="666" t="s">
        <v>6565</v>
      </c>
      <c r="E76" s="179" t="s">
        <v>6631</v>
      </c>
      <c r="F76" s="1633" t="s">
        <v>6572</v>
      </c>
      <c r="G76" s="709" t="s">
        <v>210</v>
      </c>
      <c r="H76" s="167">
        <v>1</v>
      </c>
      <c r="I76" s="167"/>
      <c r="J76" s="167"/>
      <c r="K76" s="86" t="s">
        <v>210</v>
      </c>
      <c r="L76" s="154" t="s">
        <v>6570</v>
      </c>
      <c r="M76" s="2037" t="s">
        <v>6599</v>
      </c>
      <c r="N76" s="1612" t="s">
        <v>6571</v>
      </c>
      <c r="O76" s="1612" t="s">
        <v>6593</v>
      </c>
      <c r="P76" s="1587"/>
      <c r="Q76" s="2820" t="s">
        <v>287</v>
      </c>
      <c r="R76" s="1664" t="s">
        <v>5490</v>
      </c>
      <c r="S76" s="1418">
        <v>760000</v>
      </c>
      <c r="T76" s="753"/>
      <c r="U76" s="3014">
        <v>200000</v>
      </c>
      <c r="V76" s="752"/>
      <c r="W76" s="2798">
        <v>1000000</v>
      </c>
      <c r="X76" s="2798">
        <v>497000</v>
      </c>
      <c r="Y76" s="752"/>
      <c r="Z76" s="2875">
        <v>250000</v>
      </c>
      <c r="AA76" s="752"/>
      <c r="AB76" s="1315"/>
      <c r="AC76" s="1416">
        <f t="shared" si="14"/>
        <v>1747000</v>
      </c>
      <c r="AD76" s="755" t="s">
        <v>4678</v>
      </c>
      <c r="AE76" s="1418">
        <f t="shared" si="12"/>
        <v>6156000</v>
      </c>
      <c r="AF76" s="1419">
        <f t="shared" si="13"/>
        <v>7903000</v>
      </c>
      <c r="AG76" s="1320"/>
      <c r="AI76" s="1351"/>
    </row>
    <row r="77" spans="1:36" s="1350" customFormat="1" ht="27">
      <c r="A77" s="1599">
        <f t="shared" si="10"/>
        <v>3</v>
      </c>
      <c r="B77" s="666" t="s">
        <v>6611</v>
      </c>
      <c r="C77" s="1440" t="s">
        <v>6619</v>
      </c>
      <c r="D77" s="666" t="s">
        <v>6611</v>
      </c>
      <c r="E77" s="179" t="s">
        <v>6633</v>
      </c>
      <c r="F77" s="1633" t="s">
        <v>4422</v>
      </c>
      <c r="G77" s="709" t="s">
        <v>210</v>
      </c>
      <c r="H77" s="167">
        <v>2</v>
      </c>
      <c r="I77" s="167"/>
      <c r="J77" s="167"/>
      <c r="K77" s="86" t="s">
        <v>210</v>
      </c>
      <c r="L77" s="577" t="s">
        <v>6573</v>
      </c>
      <c r="M77" s="2362" t="s">
        <v>6618</v>
      </c>
      <c r="N77" s="1612" t="s">
        <v>6580</v>
      </c>
      <c r="O77" s="1612" t="s">
        <v>6626</v>
      </c>
      <c r="P77" s="2923"/>
      <c r="Q77" s="2820" t="s">
        <v>287</v>
      </c>
      <c r="R77" s="1989" t="s">
        <v>6774</v>
      </c>
      <c r="S77" s="1418">
        <f>760000*2</f>
        <v>1520000</v>
      </c>
      <c r="T77" s="753"/>
      <c r="U77" s="1546"/>
      <c r="V77" s="752"/>
      <c r="W77" s="2798">
        <v>2000000</v>
      </c>
      <c r="X77" s="2798">
        <v>994000</v>
      </c>
      <c r="Y77" s="752"/>
      <c r="Z77" s="2875">
        <v>500000</v>
      </c>
      <c r="AA77" s="752"/>
      <c r="AB77" s="1315"/>
      <c r="AC77" s="1416">
        <f t="shared" si="14"/>
        <v>3494000</v>
      </c>
      <c r="AD77" s="755"/>
      <c r="AE77" s="1418">
        <f>(H77*4740000+I77*4840000)*1.08+(T77*1.08)+(S77*1.08)+(U77*1.08)</f>
        <v>11880000</v>
      </c>
      <c r="AF77" s="1419">
        <f t="shared" si="13"/>
        <v>15374000</v>
      </c>
      <c r="AG77" s="1320"/>
      <c r="AI77" s="1351"/>
    </row>
    <row r="78" spans="1:36" s="1350" customFormat="1" ht="27">
      <c r="A78" s="1599">
        <f t="shared" si="10"/>
        <v>4</v>
      </c>
      <c r="B78" s="2450" t="s">
        <v>6654</v>
      </c>
      <c r="C78" s="2993" t="s">
        <v>6668</v>
      </c>
      <c r="D78" s="386" t="s">
        <v>6595</v>
      </c>
      <c r="E78" s="179" t="s">
        <v>6589</v>
      </c>
      <c r="F78" s="1424" t="s">
        <v>4423</v>
      </c>
      <c r="G78" s="709" t="s">
        <v>206</v>
      </c>
      <c r="H78" s="167">
        <v>1</v>
      </c>
      <c r="I78" s="167"/>
      <c r="J78" s="167"/>
      <c r="K78" s="1721" t="s">
        <v>136</v>
      </c>
      <c r="L78" s="154" t="s">
        <v>6584</v>
      </c>
      <c r="M78" s="2037" t="s">
        <v>6583</v>
      </c>
      <c r="N78" s="1612" t="s">
        <v>6607</v>
      </c>
      <c r="O78" s="1612" t="s">
        <v>6666</v>
      </c>
      <c r="P78" s="1587" t="s">
        <v>6642</v>
      </c>
      <c r="Q78" s="2820" t="s">
        <v>287</v>
      </c>
      <c r="R78" s="1664"/>
      <c r="S78" s="1693"/>
      <c r="T78" s="1418">
        <v>300000</v>
      </c>
      <c r="U78" s="1546"/>
      <c r="V78" s="752"/>
      <c r="W78" s="2158">
        <v>497000</v>
      </c>
      <c r="X78" s="2798">
        <v>1000000</v>
      </c>
      <c r="Y78" s="2875">
        <v>7028210</v>
      </c>
      <c r="Z78" s="2875">
        <v>250000</v>
      </c>
      <c r="AA78" s="752"/>
      <c r="AB78" s="1315"/>
      <c r="AC78" s="1416">
        <f t="shared" si="14"/>
        <v>8775210</v>
      </c>
      <c r="AD78" s="755"/>
      <c r="AE78" s="1418">
        <f t="shared" si="12"/>
        <v>5443200</v>
      </c>
      <c r="AF78" s="1419">
        <f t="shared" si="13"/>
        <v>14218410</v>
      </c>
      <c r="AG78" s="1320"/>
      <c r="AI78" s="1351"/>
    </row>
    <row r="79" spans="1:36" s="1350" customFormat="1" ht="27">
      <c r="A79" s="1599">
        <f t="shared" si="10"/>
        <v>5</v>
      </c>
      <c r="B79" s="2450" t="s">
        <v>6654</v>
      </c>
      <c r="C79" s="179">
        <v>307663476060</v>
      </c>
      <c r="D79" s="2450" t="s">
        <v>6654</v>
      </c>
      <c r="E79" s="179" t="s">
        <v>6671</v>
      </c>
      <c r="F79" s="1633" t="s">
        <v>4422</v>
      </c>
      <c r="G79" s="709" t="s">
        <v>210</v>
      </c>
      <c r="H79" s="167">
        <v>1</v>
      </c>
      <c r="I79" s="167"/>
      <c r="J79" s="167"/>
      <c r="K79" s="86" t="s">
        <v>210</v>
      </c>
      <c r="L79" s="154" t="s">
        <v>6627</v>
      </c>
      <c r="M79" s="2037" t="s">
        <v>6665</v>
      </c>
      <c r="N79" s="1612" t="s">
        <v>6628</v>
      </c>
      <c r="O79" s="1612" t="s">
        <v>6666</v>
      </c>
      <c r="P79" s="1587"/>
      <c r="Q79" s="2820" t="s">
        <v>287</v>
      </c>
      <c r="R79" s="1664" t="s">
        <v>4912</v>
      </c>
      <c r="S79" s="1418">
        <v>760000</v>
      </c>
      <c r="T79" s="753"/>
      <c r="U79" s="1546"/>
      <c r="V79" s="752"/>
      <c r="W79" s="2798">
        <v>1000000</v>
      </c>
      <c r="X79" s="2798">
        <v>497000</v>
      </c>
      <c r="Y79" s="752"/>
      <c r="Z79" s="2875">
        <v>250000</v>
      </c>
      <c r="AA79" s="752"/>
      <c r="AB79" s="1315"/>
      <c r="AC79" s="1416">
        <f t="shared" si="14"/>
        <v>1747000</v>
      </c>
      <c r="AD79" s="755"/>
      <c r="AE79" s="1418">
        <f t="shared" si="12"/>
        <v>5940000</v>
      </c>
      <c r="AF79" s="1419">
        <f t="shared" si="13"/>
        <v>7687000</v>
      </c>
      <c r="AG79" s="1320"/>
      <c r="AI79" s="1351"/>
    </row>
    <row r="80" spans="1:36" s="1350" customFormat="1" ht="27">
      <c r="A80" s="1599">
        <f t="shared" si="10"/>
        <v>6</v>
      </c>
      <c r="B80" s="1509" t="s">
        <v>6721</v>
      </c>
      <c r="C80" s="179">
        <v>307688228800</v>
      </c>
      <c r="D80" s="2450" t="s">
        <v>6721</v>
      </c>
      <c r="E80" s="179" t="s">
        <v>6775</v>
      </c>
      <c r="F80" s="1633" t="s">
        <v>4432</v>
      </c>
      <c r="G80" s="709" t="s">
        <v>210</v>
      </c>
      <c r="H80" s="167">
        <v>1</v>
      </c>
      <c r="I80" s="1745"/>
      <c r="J80" s="1745"/>
      <c r="K80" s="86" t="s">
        <v>210</v>
      </c>
      <c r="L80" s="154" t="s">
        <v>6738</v>
      </c>
      <c r="M80" s="3181" t="s">
        <v>6768</v>
      </c>
      <c r="N80" s="170" t="s">
        <v>6739</v>
      </c>
      <c r="O80" s="2590" t="s">
        <v>6759</v>
      </c>
      <c r="P80" s="577"/>
      <c r="Q80" s="2820" t="s">
        <v>287</v>
      </c>
      <c r="R80" s="1664" t="s">
        <v>5489</v>
      </c>
      <c r="S80" s="1418">
        <v>760000</v>
      </c>
      <c r="T80" s="753"/>
      <c r="U80" s="1546"/>
      <c r="V80" s="752"/>
      <c r="W80" s="2798">
        <v>900000</v>
      </c>
      <c r="X80" s="2798">
        <v>497000</v>
      </c>
      <c r="Y80" s="752"/>
      <c r="Z80" s="2875">
        <v>250000</v>
      </c>
      <c r="AA80" s="752"/>
      <c r="AB80" s="1315"/>
      <c r="AC80" s="1416">
        <f t="shared" si="14"/>
        <v>1647000</v>
      </c>
      <c r="AD80" s="755"/>
      <c r="AE80" s="1418">
        <f t="shared" si="12"/>
        <v>5940000</v>
      </c>
      <c r="AF80" s="1419">
        <f t="shared" si="13"/>
        <v>7587000</v>
      </c>
      <c r="AG80" s="1320"/>
      <c r="AI80" s="1351"/>
    </row>
    <row r="81" spans="1:36" s="1350" customFormat="1" ht="27">
      <c r="A81" s="1599">
        <f t="shared" si="10"/>
        <v>7</v>
      </c>
      <c r="B81" s="2450" t="s">
        <v>6694</v>
      </c>
      <c r="C81" s="166">
        <v>107462368161</v>
      </c>
      <c r="D81" s="386" t="s">
        <v>6663</v>
      </c>
      <c r="E81" s="179" t="s">
        <v>6756</v>
      </c>
      <c r="F81" s="1424" t="s">
        <v>6757</v>
      </c>
      <c r="G81" s="3061" t="s">
        <v>6769</v>
      </c>
      <c r="H81" s="167">
        <v>1</v>
      </c>
      <c r="I81" s="1745"/>
      <c r="J81" s="1697"/>
      <c r="K81" s="2426" t="s">
        <v>123</v>
      </c>
      <c r="L81" s="154" t="s">
        <v>6754</v>
      </c>
      <c r="M81" s="3262" t="s">
        <v>6755</v>
      </c>
      <c r="N81" s="170" t="s">
        <v>6642</v>
      </c>
      <c r="O81" s="2590" t="s">
        <v>6246</v>
      </c>
      <c r="P81" s="577" t="s">
        <v>6826</v>
      </c>
      <c r="Q81" s="2820" t="s">
        <v>287</v>
      </c>
      <c r="R81" s="1664"/>
      <c r="S81" s="1693"/>
      <c r="T81" s="753"/>
      <c r="U81" s="1546"/>
      <c r="V81" s="752"/>
      <c r="W81" s="2158">
        <v>727000</v>
      </c>
      <c r="X81" s="752"/>
      <c r="Y81" s="2875">
        <v>18403600</v>
      </c>
      <c r="Z81" s="2158">
        <v>2200000</v>
      </c>
      <c r="AA81" s="752"/>
      <c r="AB81" s="1315"/>
      <c r="AC81" s="1416">
        <f t="shared" si="14"/>
        <v>21330600</v>
      </c>
      <c r="AD81" s="755"/>
      <c r="AE81" s="1418">
        <f>(H81*5700000+I81*5700000)*1.08+(T81*1.08)+(S81*1.08)+(U81*1.08)</f>
        <v>6156000</v>
      </c>
      <c r="AF81" s="1419">
        <f t="shared" si="13"/>
        <v>27486600</v>
      </c>
      <c r="AG81" s="1320"/>
      <c r="AI81" s="1351"/>
    </row>
    <row r="82" spans="1:36" s="1350" customFormat="1" ht="40.200000000000003">
      <c r="A82" s="1599">
        <f t="shared" si="10"/>
        <v>8</v>
      </c>
      <c r="B82" s="2450" t="s">
        <v>6694</v>
      </c>
      <c r="C82" s="166">
        <v>107462499320</v>
      </c>
      <c r="D82" s="386" t="s">
        <v>6663</v>
      </c>
      <c r="E82" s="179" t="s">
        <v>6772</v>
      </c>
      <c r="F82" s="3072" t="s">
        <v>6773</v>
      </c>
      <c r="G82" s="709" t="s">
        <v>206</v>
      </c>
      <c r="H82" s="167">
        <v>1</v>
      </c>
      <c r="I82" s="445"/>
      <c r="J82" s="445"/>
      <c r="K82" s="2426" t="s">
        <v>123</v>
      </c>
      <c r="L82" s="154" t="s">
        <v>6771</v>
      </c>
      <c r="M82" s="707" t="s">
        <v>6770</v>
      </c>
      <c r="N82" s="170" t="s">
        <v>6643</v>
      </c>
      <c r="O82" s="2590" t="s">
        <v>6246</v>
      </c>
      <c r="P82" s="577" t="s">
        <v>6825</v>
      </c>
      <c r="Q82" s="2820" t="s">
        <v>287</v>
      </c>
      <c r="R82" s="1664"/>
      <c r="S82" s="1693"/>
      <c r="T82" s="753"/>
      <c r="U82" s="1546"/>
      <c r="V82" s="752"/>
      <c r="W82" s="2158">
        <v>497000</v>
      </c>
      <c r="X82" s="752"/>
      <c r="Y82" s="2875">
        <v>6284000</v>
      </c>
      <c r="Z82" s="2158">
        <v>250000</v>
      </c>
      <c r="AA82" s="752"/>
      <c r="AB82" s="1315"/>
      <c r="AC82" s="1416">
        <f t="shared" si="14"/>
        <v>7031000</v>
      </c>
      <c r="AD82" s="755"/>
      <c r="AE82" s="1418">
        <f t="shared" ref="AE82:AE83" si="15">(H82*4740000+I82*4840000)*1.08+(T82*1.08)+(S82*1.08)+(U82*1.08)</f>
        <v>5119200</v>
      </c>
      <c r="AF82" s="1419">
        <f t="shared" ref="AF82:AF83" si="16">+AC82+AE82</f>
        <v>12150200</v>
      </c>
      <c r="AG82" s="1320"/>
      <c r="AI82" s="1351"/>
    </row>
    <row r="83" spans="1:36" s="1350" customFormat="1" ht="15.6">
      <c r="A83" s="1599">
        <f t="shared" si="10"/>
        <v>9</v>
      </c>
      <c r="B83" s="2214" t="s">
        <v>6859</v>
      </c>
      <c r="C83" s="166">
        <v>107462696240</v>
      </c>
      <c r="D83" s="386" t="s">
        <v>6663</v>
      </c>
      <c r="E83" s="179" t="s">
        <v>6777</v>
      </c>
      <c r="F83" s="1424" t="s">
        <v>6781</v>
      </c>
      <c r="G83" s="709" t="s">
        <v>206</v>
      </c>
      <c r="H83" s="167">
        <v>1</v>
      </c>
      <c r="I83" s="167"/>
      <c r="J83" s="167"/>
      <c r="K83" s="86" t="s">
        <v>210</v>
      </c>
      <c r="L83" s="154" t="s">
        <v>6776</v>
      </c>
      <c r="M83" s="707" t="s">
        <v>6778</v>
      </c>
      <c r="N83" s="170" t="s">
        <v>6838</v>
      </c>
      <c r="O83" s="2590" t="s">
        <v>6593</v>
      </c>
      <c r="P83" s="577"/>
      <c r="Q83" s="2820" t="s">
        <v>287</v>
      </c>
      <c r="R83" s="1664"/>
      <c r="S83" s="1404"/>
      <c r="T83" s="753"/>
      <c r="U83" s="1546"/>
      <c r="V83" s="752"/>
      <c r="W83" s="2158">
        <v>497000</v>
      </c>
      <c r="X83" s="2798">
        <v>999000</v>
      </c>
      <c r="Y83" s="2875">
        <v>7561382</v>
      </c>
      <c r="Z83" s="2158">
        <v>250000</v>
      </c>
      <c r="AA83" s="752"/>
      <c r="AB83" s="1315"/>
      <c r="AC83" s="1416">
        <f t="shared" si="14"/>
        <v>9307382</v>
      </c>
      <c r="AD83" s="755" t="s">
        <v>7237</v>
      </c>
      <c r="AE83" s="1418">
        <f t="shared" si="15"/>
        <v>5119200</v>
      </c>
      <c r="AF83" s="1419">
        <f t="shared" si="16"/>
        <v>14426582</v>
      </c>
      <c r="AG83" s="1320"/>
      <c r="AI83" s="1351"/>
    </row>
    <row r="84" spans="1:36" ht="15.6">
      <c r="A84" s="3994" t="s">
        <v>6848</v>
      </c>
      <c r="B84" s="3995"/>
      <c r="C84" s="3995"/>
      <c r="D84" s="3995"/>
      <c r="E84" s="3995"/>
      <c r="F84" s="3995"/>
      <c r="G84" s="3995"/>
      <c r="H84" s="3995"/>
      <c r="I84" s="3995"/>
      <c r="J84" s="3995"/>
      <c r="K84" s="3995"/>
      <c r="L84" s="3996"/>
      <c r="M84" s="1532"/>
      <c r="N84" s="1342"/>
      <c r="O84" s="1708"/>
      <c r="P84" s="1342"/>
      <c r="Q84" s="1343"/>
      <c r="R84" s="1988"/>
      <c r="S84" s="1403"/>
      <c r="T84" s="1345"/>
      <c r="U84" s="1543"/>
      <c r="V84" s="1344"/>
      <c r="W84" s="1343"/>
      <c r="X84" s="1343"/>
      <c r="Y84" s="1343"/>
      <c r="Z84" s="1345"/>
      <c r="AA84" s="1343"/>
      <c r="AB84" s="1346"/>
      <c r="AC84" s="1346"/>
      <c r="AD84" s="1347"/>
      <c r="AE84" s="1348">
        <f>SUM(AE76:AE83)</f>
        <v>51753600</v>
      </c>
      <c r="AF84" s="1348">
        <f>SUM(AF76:AF83)</f>
        <v>106832792</v>
      </c>
      <c r="AG84" s="1348"/>
      <c r="AH84" s="1354"/>
      <c r="AI84" s="1354"/>
      <c r="AJ84" s="1350"/>
    </row>
    <row r="85" spans="1:36" s="1350" customFormat="1" ht="27">
      <c r="A85" s="1599">
        <v>1</v>
      </c>
      <c r="B85" s="2450" t="s">
        <v>6901</v>
      </c>
      <c r="C85" s="2173">
        <v>307737441120</v>
      </c>
      <c r="D85" s="2450" t="s">
        <v>6901</v>
      </c>
      <c r="E85" s="179" t="s">
        <v>6928</v>
      </c>
      <c r="F85" s="1633" t="s">
        <v>4432</v>
      </c>
      <c r="G85" s="709" t="s">
        <v>210</v>
      </c>
      <c r="H85" s="167">
        <v>2</v>
      </c>
      <c r="I85" s="167"/>
      <c r="J85" s="167"/>
      <c r="K85" s="86" t="s">
        <v>210</v>
      </c>
      <c r="L85" s="154" t="s">
        <v>6856</v>
      </c>
      <c r="M85" s="1618" t="s">
        <v>6919</v>
      </c>
      <c r="N85" s="170" t="s">
        <v>6888</v>
      </c>
      <c r="O85" s="2590" t="s">
        <v>6487</v>
      </c>
      <c r="P85" s="577"/>
      <c r="Q85" s="2820" t="s">
        <v>287</v>
      </c>
      <c r="R85" s="1664" t="s">
        <v>5489</v>
      </c>
      <c r="S85" s="1418">
        <v>760000</v>
      </c>
      <c r="T85" s="753"/>
      <c r="U85" s="1546"/>
      <c r="V85" s="752"/>
      <c r="W85" s="2798">
        <f>900000*2</f>
        <v>1800000</v>
      </c>
      <c r="X85" s="2798">
        <v>994000</v>
      </c>
      <c r="Y85" s="752"/>
      <c r="Z85" s="2875">
        <v>500000</v>
      </c>
      <c r="AA85" s="752"/>
      <c r="AB85" s="1315"/>
      <c r="AC85" s="1416">
        <f t="shared" ref="AC85" si="17">+SUM(V85:AB85)</f>
        <v>3294000</v>
      </c>
      <c r="AD85" s="755"/>
      <c r="AE85" s="1418">
        <f>(H85*4740000+I85*4840000)*1.08+(T85*1.08)+(S85*1.08)+(U85*1.08)</f>
        <v>11059200</v>
      </c>
      <c r="AF85" s="1419">
        <f t="shared" ref="AF85" si="18">+AC85+AE85</f>
        <v>14353200</v>
      </c>
      <c r="AG85" s="1320"/>
      <c r="AI85" s="1351"/>
    </row>
    <row r="86" spans="1:36" s="1350" customFormat="1" ht="27">
      <c r="A86" s="1599">
        <f t="shared" si="10"/>
        <v>2</v>
      </c>
      <c r="B86" s="2450" t="s">
        <v>6957</v>
      </c>
      <c r="C86" s="166">
        <v>107503575540</v>
      </c>
      <c r="D86" s="2450" t="s">
        <v>6901</v>
      </c>
      <c r="E86" s="179" t="s">
        <v>6906</v>
      </c>
      <c r="F86" s="1424" t="s">
        <v>6781</v>
      </c>
      <c r="G86" s="709" t="s">
        <v>1300</v>
      </c>
      <c r="H86" s="167"/>
      <c r="I86" s="167">
        <v>1</v>
      </c>
      <c r="J86" s="167"/>
      <c r="K86" s="86" t="s">
        <v>210</v>
      </c>
      <c r="L86" s="154" t="s">
        <v>6904</v>
      </c>
      <c r="M86" s="3185" t="s">
        <v>6905</v>
      </c>
      <c r="N86" s="170" t="s">
        <v>6829</v>
      </c>
      <c r="O86" s="2590" t="s">
        <v>6543</v>
      </c>
      <c r="P86" s="577" t="s">
        <v>6957</v>
      </c>
      <c r="Q86" s="2820" t="s">
        <v>287</v>
      </c>
      <c r="R86" s="1664"/>
      <c r="S86" s="1404"/>
      <c r="T86" s="753"/>
      <c r="U86" s="1546"/>
      <c r="V86" s="752"/>
      <c r="W86" s="2158">
        <v>1509000</v>
      </c>
      <c r="X86" s="2798">
        <v>1500000</v>
      </c>
      <c r="Y86" s="2875">
        <v>11681366</v>
      </c>
      <c r="Z86" s="2875">
        <v>500000</v>
      </c>
      <c r="AA86" s="752"/>
      <c r="AB86" s="1315"/>
      <c r="AC86" s="1416">
        <f t="shared" ref="AC86:AC97" si="19">+SUM(V86:AB86)</f>
        <v>15190366</v>
      </c>
      <c r="AD86" s="755"/>
      <c r="AE86" s="1418">
        <f t="shared" ref="AE86" si="20">(H86*4740000+I86*4840000)*1.08+(T86*1.08)+(S86*1.08)+(U86*1.08)</f>
        <v>5227200</v>
      </c>
      <c r="AF86" s="1419">
        <f t="shared" ref="AF86:AF93" si="21">+AC86+AE86</f>
        <v>20417566</v>
      </c>
      <c r="AG86" s="1320"/>
      <c r="AI86" s="1351"/>
    </row>
    <row r="87" spans="1:36" s="1350" customFormat="1" ht="27">
      <c r="A87" s="1599">
        <f t="shared" si="10"/>
        <v>3</v>
      </c>
      <c r="B87" s="2450" t="s">
        <v>7031</v>
      </c>
      <c r="C87" s="2206">
        <v>307769149501</v>
      </c>
      <c r="D87" s="2340" t="s">
        <v>7040</v>
      </c>
      <c r="E87" s="179" t="s">
        <v>7056</v>
      </c>
      <c r="F87" s="1633" t="s">
        <v>4432</v>
      </c>
      <c r="G87" s="3158" t="s">
        <v>6958</v>
      </c>
      <c r="H87" s="167">
        <v>1</v>
      </c>
      <c r="I87" s="167"/>
      <c r="J87" s="167"/>
      <c r="K87" s="3193" t="s">
        <v>136</v>
      </c>
      <c r="L87" s="154" t="s">
        <v>6959</v>
      </c>
      <c r="M87" s="3199" t="s">
        <v>7041</v>
      </c>
      <c r="N87" s="170" t="s">
        <v>7042</v>
      </c>
      <c r="O87" s="2590" t="s">
        <v>6543</v>
      </c>
      <c r="P87" s="577"/>
      <c r="Q87" s="2820" t="s">
        <v>287</v>
      </c>
      <c r="R87" s="1664"/>
      <c r="S87" s="1404"/>
      <c r="T87" s="753"/>
      <c r="U87" s="1546"/>
      <c r="V87" s="752"/>
      <c r="W87" s="2798">
        <v>900000</v>
      </c>
      <c r="X87" s="2798">
        <v>497000</v>
      </c>
      <c r="Y87" s="752"/>
      <c r="Z87" s="1316"/>
      <c r="AA87" s="752"/>
      <c r="AB87" s="1315"/>
      <c r="AC87" s="1416">
        <f t="shared" si="19"/>
        <v>1397000</v>
      </c>
      <c r="AD87" s="755"/>
      <c r="AE87" s="1418">
        <f>(H87*5700000+I87*5700000)*1.08+(T87*1.08)+(S87*1.08)+(U87*1.08)</f>
        <v>6156000</v>
      </c>
      <c r="AF87" s="1419">
        <f t="shared" si="21"/>
        <v>7553000</v>
      </c>
      <c r="AG87" s="1320"/>
      <c r="AI87" s="1351"/>
    </row>
    <row r="88" spans="1:36" s="1350" customFormat="1" ht="15.6">
      <c r="A88" s="1599">
        <f t="shared" si="10"/>
        <v>4</v>
      </c>
      <c r="B88" s="2450" t="s">
        <v>7031</v>
      </c>
      <c r="C88" s="166">
        <v>107529440210</v>
      </c>
      <c r="D88" s="386" t="s">
        <v>6988</v>
      </c>
      <c r="E88" s="179" t="s">
        <v>7046</v>
      </c>
      <c r="F88" s="1424" t="s">
        <v>4736</v>
      </c>
      <c r="G88" s="709" t="s">
        <v>1300</v>
      </c>
      <c r="H88" s="167"/>
      <c r="I88" s="167"/>
      <c r="J88" s="167" t="s">
        <v>128</v>
      </c>
      <c r="K88" s="2426" t="s">
        <v>123</v>
      </c>
      <c r="L88" s="154" t="s">
        <v>7007</v>
      </c>
      <c r="M88" s="3208" t="s">
        <v>7106</v>
      </c>
      <c r="N88" s="1566"/>
      <c r="O88" s="2590" t="s">
        <v>5948</v>
      </c>
      <c r="P88" s="577"/>
      <c r="Q88" s="150" t="s">
        <v>5026</v>
      </c>
      <c r="R88" s="1664"/>
      <c r="S88" s="1404"/>
      <c r="T88" s="753"/>
      <c r="U88" s="1546"/>
      <c r="V88" s="2158">
        <v>324000</v>
      </c>
      <c r="W88" s="752"/>
      <c r="X88" s="752"/>
      <c r="Y88" s="752"/>
      <c r="Z88" s="1316"/>
      <c r="AA88" s="752"/>
      <c r="AB88" s="1315"/>
      <c r="AC88" s="1416">
        <f t="shared" si="19"/>
        <v>324000</v>
      </c>
      <c r="AD88" s="755"/>
      <c r="AE88" s="1418">
        <f>+(1100000+1480000)*1.08+(T88*1.08)+(S88*1.08)+(U88*1.08)</f>
        <v>2786400</v>
      </c>
      <c r="AF88" s="1419">
        <f t="shared" si="21"/>
        <v>3110400</v>
      </c>
      <c r="AG88" s="1320"/>
      <c r="AI88" s="1351"/>
    </row>
    <row r="89" spans="1:36" s="1350" customFormat="1" ht="27">
      <c r="A89" s="1599">
        <f t="shared" si="10"/>
        <v>5</v>
      </c>
      <c r="B89" s="2450" t="s">
        <v>7080</v>
      </c>
      <c r="C89" s="179">
        <v>307791726450</v>
      </c>
      <c r="D89" s="386" t="s">
        <v>7080</v>
      </c>
      <c r="E89" s="179" t="s">
        <v>7103</v>
      </c>
      <c r="F89" s="1424"/>
      <c r="G89" s="709" t="s">
        <v>210</v>
      </c>
      <c r="H89" s="167"/>
      <c r="I89" s="167"/>
      <c r="J89" s="167">
        <v>1</v>
      </c>
      <c r="K89" s="86" t="s">
        <v>210</v>
      </c>
      <c r="L89" s="154" t="s">
        <v>7090</v>
      </c>
      <c r="M89" s="707" t="s">
        <v>7105</v>
      </c>
      <c r="N89" s="170" t="s">
        <v>7091</v>
      </c>
      <c r="O89" s="2590" t="s">
        <v>7102</v>
      </c>
      <c r="P89" s="577"/>
      <c r="Q89" s="3209" t="s">
        <v>6964</v>
      </c>
      <c r="R89" s="1664" t="s">
        <v>5491</v>
      </c>
      <c r="S89" s="1418">
        <v>760000</v>
      </c>
      <c r="T89" s="753"/>
      <c r="U89" s="3014">
        <v>200000</v>
      </c>
      <c r="V89" s="752"/>
      <c r="W89" s="752"/>
      <c r="X89" s="752"/>
      <c r="Y89" s="752"/>
      <c r="Z89" s="2875">
        <v>43343</v>
      </c>
      <c r="AA89" s="752"/>
      <c r="AB89" s="1315"/>
      <c r="AC89" s="1416">
        <f>+SUM(V89:AB89)</f>
        <v>43343</v>
      </c>
      <c r="AD89" s="755"/>
      <c r="AE89" s="1418">
        <f>+(1100000+2230000)*1.08+(T89*1.08)+(S89*1.08)+(U89*1.08)</f>
        <v>4633200</v>
      </c>
      <c r="AF89" s="1419">
        <f>+AC89+AE89</f>
        <v>4676543</v>
      </c>
      <c r="AG89" s="1320"/>
      <c r="AI89" s="1351"/>
    </row>
    <row r="90" spans="1:36" s="1350" customFormat="1" ht="27">
      <c r="A90" s="1599">
        <f>+A89+1</f>
        <v>6</v>
      </c>
      <c r="B90" s="2450" t="s">
        <v>7108</v>
      </c>
      <c r="C90" s="3222" t="s">
        <v>7131</v>
      </c>
      <c r="D90" s="2450" t="s">
        <v>7108</v>
      </c>
      <c r="E90" s="179" t="s">
        <v>7132</v>
      </c>
      <c r="F90" s="1633" t="s">
        <v>4432</v>
      </c>
      <c r="G90" s="709" t="s">
        <v>210</v>
      </c>
      <c r="H90" s="167">
        <v>2</v>
      </c>
      <c r="I90" s="1697"/>
      <c r="J90" s="728"/>
      <c r="K90" s="86" t="s">
        <v>210</v>
      </c>
      <c r="L90" s="154" t="s">
        <v>7113</v>
      </c>
      <c r="M90" s="1618" t="s">
        <v>7128</v>
      </c>
      <c r="N90" s="3221" t="s">
        <v>7097</v>
      </c>
      <c r="O90" s="2590" t="s">
        <v>7129</v>
      </c>
      <c r="P90" s="577"/>
      <c r="Q90" s="2745" t="s">
        <v>2966</v>
      </c>
      <c r="R90" s="1989" t="s">
        <v>7130</v>
      </c>
      <c r="S90" s="1418">
        <f>760000*2</f>
        <v>1520000</v>
      </c>
      <c r="T90" s="1418">
        <v>300000</v>
      </c>
      <c r="U90" s="1546"/>
      <c r="V90" s="752"/>
      <c r="W90" s="2798">
        <f>900000*2</f>
        <v>1800000</v>
      </c>
      <c r="X90" s="2798">
        <v>994000</v>
      </c>
      <c r="Y90" s="752"/>
      <c r="Z90" s="2158">
        <v>500000</v>
      </c>
      <c r="AA90" s="752"/>
      <c r="AB90" s="1315"/>
      <c r="AC90" s="1416">
        <f t="shared" si="19"/>
        <v>3294000</v>
      </c>
      <c r="AD90" s="755"/>
      <c r="AE90" s="1418">
        <f>(H90*4740000+I90*4840000)*1.08+(T90*1.08)+(S90*1.08)+(U90*1.08)</f>
        <v>12204000</v>
      </c>
      <c r="AF90" s="1419">
        <f t="shared" ref="AF90:AF91" si="22">+AC90+AE90</f>
        <v>15498000</v>
      </c>
      <c r="AG90" s="1320"/>
      <c r="AI90" s="1351"/>
    </row>
    <row r="91" spans="1:36" s="1350" customFormat="1" ht="27">
      <c r="A91" s="1599">
        <f>+A90+1</f>
        <v>7</v>
      </c>
      <c r="B91" s="2450" t="s">
        <v>7112</v>
      </c>
      <c r="C91" s="179">
        <v>307807942210</v>
      </c>
      <c r="D91" s="386" t="s">
        <v>7112</v>
      </c>
      <c r="E91" s="179" t="s">
        <v>7158</v>
      </c>
      <c r="F91" s="1633" t="s">
        <v>4432</v>
      </c>
      <c r="G91" s="709" t="s">
        <v>210</v>
      </c>
      <c r="H91" s="167">
        <v>2</v>
      </c>
      <c r="I91" s="1697"/>
      <c r="J91" s="728"/>
      <c r="K91" s="86" t="s">
        <v>210</v>
      </c>
      <c r="L91" s="154" t="s">
        <v>7127</v>
      </c>
      <c r="M91" s="1618" t="s">
        <v>7157</v>
      </c>
      <c r="N91" s="3223" t="s">
        <v>7143</v>
      </c>
      <c r="O91" s="2590" t="s">
        <v>6152</v>
      </c>
      <c r="P91" s="577"/>
      <c r="Q91" s="2745" t="s">
        <v>2966</v>
      </c>
      <c r="R91" s="1664" t="s">
        <v>5489</v>
      </c>
      <c r="S91" s="1418">
        <v>760000</v>
      </c>
      <c r="T91" s="753"/>
      <c r="U91" s="1546"/>
      <c r="V91" s="752"/>
      <c r="W91" s="2798">
        <f>900000*2</f>
        <v>1800000</v>
      </c>
      <c r="X91" s="2798">
        <v>994000</v>
      </c>
      <c r="Y91" s="752"/>
      <c r="Z91" s="2158">
        <v>500000</v>
      </c>
      <c r="AA91" s="752"/>
      <c r="AB91" s="1315"/>
      <c r="AC91" s="1416">
        <f t="shared" si="19"/>
        <v>3294000</v>
      </c>
      <c r="AD91" s="755"/>
      <c r="AE91" s="1418">
        <f>(H91*4740000+I91*4840000)*1.08+(T91*1.08)+(S91*1.08)+(U91*1.08)</f>
        <v>11059200</v>
      </c>
      <c r="AF91" s="1419">
        <f t="shared" si="22"/>
        <v>14353200</v>
      </c>
      <c r="AG91" s="1320"/>
      <c r="AI91" s="1351"/>
    </row>
    <row r="92" spans="1:36" ht="15.6">
      <c r="A92" s="3794" t="s">
        <v>7096</v>
      </c>
      <c r="B92" s="4095"/>
      <c r="C92" s="4095"/>
      <c r="D92" s="4095"/>
      <c r="E92" s="4095"/>
      <c r="F92" s="4095"/>
      <c r="G92" s="4095"/>
      <c r="H92" s="4095"/>
      <c r="I92" s="4095"/>
      <c r="J92" s="4095"/>
      <c r="K92" s="4095"/>
      <c r="L92" s="4096"/>
      <c r="M92" s="1532"/>
      <c r="N92" s="1342"/>
      <c r="O92" s="1708"/>
      <c r="P92" s="1342"/>
      <c r="Q92" s="1343"/>
      <c r="R92" s="1988"/>
      <c r="S92" s="1403"/>
      <c r="T92" s="1345"/>
      <c r="U92" s="1543"/>
      <c r="V92" s="1344"/>
      <c r="W92" s="1343"/>
      <c r="X92" s="1343"/>
      <c r="Y92" s="1343"/>
      <c r="Z92" s="1343"/>
      <c r="AA92" s="1343"/>
      <c r="AB92" s="1346"/>
      <c r="AC92" s="1346"/>
      <c r="AD92" s="1347"/>
      <c r="AE92" s="1348">
        <f>SUM(AE82:AE89)</f>
        <v>91854000</v>
      </c>
      <c r="AF92" s="1348">
        <f>SUM(AF82:AF89)</f>
        <v>183520283</v>
      </c>
      <c r="AG92" s="1348"/>
      <c r="AH92" s="1354"/>
      <c r="AI92" s="1354"/>
      <c r="AJ92" s="1350"/>
    </row>
    <row r="93" spans="1:36" s="1350" customFormat="1" ht="27">
      <c r="A93" s="1599">
        <v>1</v>
      </c>
      <c r="B93" s="1406" t="s">
        <v>7203</v>
      </c>
      <c r="C93" s="179">
        <v>307822029340</v>
      </c>
      <c r="D93" s="386" t="s">
        <v>7203</v>
      </c>
      <c r="E93" s="179" t="s">
        <v>7260</v>
      </c>
      <c r="F93" s="1633" t="s">
        <v>4432</v>
      </c>
      <c r="G93" s="709" t="s">
        <v>210</v>
      </c>
      <c r="H93" s="167">
        <v>2</v>
      </c>
      <c r="I93" s="167"/>
      <c r="J93" s="167"/>
      <c r="K93" s="86" t="s">
        <v>210</v>
      </c>
      <c r="L93" s="154" t="s">
        <v>7141</v>
      </c>
      <c r="M93" s="1618" t="s">
        <v>7217</v>
      </c>
      <c r="N93" s="170" t="s">
        <v>7142</v>
      </c>
      <c r="O93" s="2590" t="s">
        <v>7202</v>
      </c>
      <c r="P93" s="577"/>
      <c r="Q93" s="150" t="s">
        <v>287</v>
      </c>
      <c r="R93" s="1664" t="s">
        <v>5489</v>
      </c>
      <c r="S93" s="1418">
        <v>760000</v>
      </c>
      <c r="T93" s="753"/>
      <c r="U93" s="1546"/>
      <c r="V93" s="752"/>
      <c r="W93" s="2151">
        <f>900000*2</f>
        <v>1800000</v>
      </c>
      <c r="X93" s="2151">
        <v>994000</v>
      </c>
      <c r="Y93" s="752"/>
      <c r="Z93" s="1504">
        <v>500000</v>
      </c>
      <c r="AA93" s="752"/>
      <c r="AB93" s="1315"/>
      <c r="AC93" s="1416">
        <f t="shared" si="19"/>
        <v>3294000</v>
      </c>
      <c r="AD93" s="755"/>
      <c r="AE93" s="1418">
        <f>(H93*4740000+I93*4840000)*1.08+(T93*1.08)+(S93*1.08)+(U93*1.08)</f>
        <v>11059200</v>
      </c>
      <c r="AF93" s="1419">
        <f t="shared" si="21"/>
        <v>14353200</v>
      </c>
      <c r="AG93" s="1320"/>
      <c r="AI93" s="1351"/>
    </row>
    <row r="94" spans="1:36" s="1350" customFormat="1" ht="27">
      <c r="A94" s="1599">
        <f t="shared" si="10"/>
        <v>2</v>
      </c>
      <c r="B94" s="2450" t="s">
        <v>7109</v>
      </c>
      <c r="C94" s="3222" t="s">
        <v>7275</v>
      </c>
      <c r="D94" s="2450" t="s">
        <v>7109</v>
      </c>
      <c r="E94" s="179" t="s">
        <v>7285</v>
      </c>
      <c r="F94" s="1633" t="s">
        <v>4976</v>
      </c>
      <c r="G94" s="709" t="s">
        <v>210</v>
      </c>
      <c r="H94" s="167">
        <v>1</v>
      </c>
      <c r="I94" s="167"/>
      <c r="J94" s="167"/>
      <c r="K94" s="86" t="s">
        <v>210</v>
      </c>
      <c r="L94" s="154" t="s">
        <v>7231</v>
      </c>
      <c r="M94" s="1618" t="s">
        <v>7274</v>
      </c>
      <c r="N94" s="170" t="s">
        <v>7232</v>
      </c>
      <c r="O94" s="2590" t="s">
        <v>6543</v>
      </c>
      <c r="P94" s="577"/>
      <c r="Q94" s="150" t="s">
        <v>2966</v>
      </c>
      <c r="R94" s="1989" t="s">
        <v>7467</v>
      </c>
      <c r="S94" s="1418">
        <f>760000*2</f>
        <v>1520000</v>
      </c>
      <c r="T94" s="1418">
        <v>300000</v>
      </c>
      <c r="U94" s="1546"/>
      <c r="V94" s="752"/>
      <c r="W94" s="2151">
        <v>900000</v>
      </c>
      <c r="X94" s="2151">
        <v>497000</v>
      </c>
      <c r="Y94" s="752"/>
      <c r="Z94" s="1504">
        <v>250000</v>
      </c>
      <c r="AA94" s="1709"/>
      <c r="AB94" s="1315"/>
      <c r="AC94" s="1416">
        <f t="shared" si="19"/>
        <v>1647000</v>
      </c>
      <c r="AD94" s="755"/>
      <c r="AE94" s="1418">
        <f t="shared" ref="AE94:AE97" si="23">(H94*4740000+I94*4840000)*1.08+(T94*1.08)+(S94*1.08)+(U94*1.08)</f>
        <v>7084800</v>
      </c>
      <c r="AF94" s="1419">
        <f t="shared" ref="AF94:AF97" si="24">+AC94+AE94</f>
        <v>8731800</v>
      </c>
      <c r="AG94" s="1320"/>
      <c r="AI94" s="1351"/>
    </row>
    <row r="95" spans="1:36" s="1350" customFormat="1" ht="15.6">
      <c r="A95" s="1599">
        <f t="shared" si="10"/>
        <v>3</v>
      </c>
      <c r="B95" s="2450" t="s">
        <v>7168</v>
      </c>
      <c r="C95" s="166">
        <v>107586202400</v>
      </c>
      <c r="D95" s="386" t="s">
        <v>7224</v>
      </c>
      <c r="E95" s="179" t="s">
        <v>7246</v>
      </c>
      <c r="F95" s="3264" t="s">
        <v>4423</v>
      </c>
      <c r="G95" s="709" t="s">
        <v>1300</v>
      </c>
      <c r="H95" s="167">
        <v>1</v>
      </c>
      <c r="I95" s="167"/>
      <c r="J95" s="167"/>
      <c r="K95" s="86" t="s">
        <v>210</v>
      </c>
      <c r="L95" s="1350" t="s">
        <v>7247</v>
      </c>
      <c r="M95" s="3362" t="s">
        <v>7248</v>
      </c>
      <c r="N95" s="151"/>
      <c r="O95" s="2590" t="s">
        <v>7468</v>
      </c>
      <c r="P95" s="577" t="s">
        <v>7279</v>
      </c>
      <c r="Q95" s="150" t="s">
        <v>287</v>
      </c>
      <c r="R95" s="1664"/>
      <c r="S95" s="1404"/>
      <c r="T95" s="753"/>
      <c r="U95" s="1546"/>
      <c r="V95" s="752"/>
      <c r="W95" s="3279">
        <v>497000</v>
      </c>
      <c r="X95" s="2151">
        <v>1000000</v>
      </c>
      <c r="Y95" s="2875">
        <v>5880280</v>
      </c>
      <c r="Z95" s="1504">
        <v>250000</v>
      </c>
      <c r="AA95" s="752"/>
      <c r="AB95" s="1315"/>
      <c r="AC95" s="1416">
        <f t="shared" si="19"/>
        <v>7627280</v>
      </c>
      <c r="AD95" s="755" t="s">
        <v>7249</v>
      </c>
      <c r="AE95" s="1418">
        <f t="shared" si="23"/>
        <v>5119200</v>
      </c>
      <c r="AF95" s="1419">
        <f t="shared" si="24"/>
        <v>12746480</v>
      </c>
      <c r="AG95" s="1320"/>
      <c r="AI95" s="1351"/>
    </row>
    <row r="96" spans="1:36" s="1350" customFormat="1" ht="15.6">
      <c r="A96" s="1599">
        <f t="shared" si="10"/>
        <v>4</v>
      </c>
      <c r="B96" s="2450" t="s">
        <v>7262</v>
      </c>
      <c r="C96" s="166">
        <v>107591924860</v>
      </c>
      <c r="D96" s="386" t="s">
        <v>7109</v>
      </c>
      <c r="E96" s="179" t="s">
        <v>7286</v>
      </c>
      <c r="F96" s="1424" t="s">
        <v>4736</v>
      </c>
      <c r="G96" s="709" t="s">
        <v>1300</v>
      </c>
      <c r="H96" s="167"/>
      <c r="I96" s="167"/>
      <c r="J96" s="167" t="s">
        <v>128</v>
      </c>
      <c r="K96" s="2426" t="s">
        <v>123</v>
      </c>
      <c r="L96" s="154" t="s">
        <v>7265</v>
      </c>
      <c r="M96" s="3236" t="s">
        <v>7270</v>
      </c>
      <c r="N96" s="170" t="s">
        <v>7266</v>
      </c>
      <c r="O96" s="2590" t="s">
        <v>6818</v>
      </c>
      <c r="P96" s="577"/>
      <c r="Q96" s="150" t="s">
        <v>5026</v>
      </c>
      <c r="R96" s="1664"/>
      <c r="S96" s="1404"/>
      <c r="T96" s="753"/>
      <c r="U96" s="1546"/>
      <c r="W96" s="3279">
        <v>324000</v>
      </c>
      <c r="X96" s="752"/>
      <c r="Y96" s="752"/>
      <c r="Z96" s="1316"/>
      <c r="AA96" s="752"/>
      <c r="AB96" s="1315"/>
      <c r="AC96" s="1416">
        <f>+SUM(W96:AB96)</f>
        <v>324000</v>
      </c>
      <c r="AD96" s="755"/>
      <c r="AE96" s="1418">
        <f>+(1100000+1480000)*1.08</f>
        <v>2786400</v>
      </c>
      <c r="AF96" s="1419">
        <f t="shared" si="24"/>
        <v>3110400</v>
      </c>
      <c r="AG96" s="1320"/>
      <c r="AI96" s="1351"/>
    </row>
    <row r="97" spans="1:16384" s="1350" customFormat="1" ht="15.6">
      <c r="A97" s="1599">
        <f t="shared" si="10"/>
        <v>5</v>
      </c>
      <c r="B97" s="2450" t="s">
        <v>7279</v>
      </c>
      <c r="C97" s="179">
        <v>307850849850</v>
      </c>
      <c r="D97" s="46">
        <v>45941</v>
      </c>
      <c r="E97" s="179" t="s">
        <v>7344</v>
      </c>
      <c r="F97" s="1633" t="s">
        <v>4976</v>
      </c>
      <c r="G97" s="709" t="s">
        <v>210</v>
      </c>
      <c r="H97" s="167">
        <v>1</v>
      </c>
      <c r="I97" s="167"/>
      <c r="J97" s="167"/>
      <c r="K97" s="86" t="s">
        <v>210</v>
      </c>
      <c r="L97" s="154" t="s">
        <v>7302</v>
      </c>
      <c r="M97" s="1618" t="s">
        <v>7317</v>
      </c>
      <c r="N97" s="151"/>
      <c r="O97" s="2590" t="s">
        <v>7468</v>
      </c>
      <c r="P97" s="577"/>
      <c r="Q97" s="150" t="s">
        <v>287</v>
      </c>
      <c r="R97" s="1664" t="s">
        <v>5489</v>
      </c>
      <c r="S97" s="1418">
        <v>760000</v>
      </c>
      <c r="T97" s="753"/>
      <c r="U97" s="1546"/>
      <c r="V97" s="752"/>
      <c r="W97" s="2151">
        <v>900000</v>
      </c>
      <c r="X97" s="2151">
        <v>497000</v>
      </c>
      <c r="Y97" s="752"/>
      <c r="Z97" s="1504">
        <v>250000</v>
      </c>
      <c r="AA97" s="752"/>
      <c r="AB97" s="1315"/>
      <c r="AC97" s="1416">
        <f t="shared" si="19"/>
        <v>1647000</v>
      </c>
      <c r="AD97" s="755"/>
      <c r="AE97" s="1418">
        <f t="shared" si="23"/>
        <v>5940000</v>
      </c>
      <c r="AF97" s="1419">
        <f t="shared" si="24"/>
        <v>7587000</v>
      </c>
      <c r="AG97" s="1320"/>
      <c r="AI97" s="1351"/>
    </row>
    <row r="98" spans="1:16384" s="1350" customFormat="1" ht="27">
      <c r="A98" s="1599">
        <f t="shared" si="10"/>
        <v>6</v>
      </c>
      <c r="B98" s="2450" t="s">
        <v>7393</v>
      </c>
      <c r="C98" s="179">
        <v>307881980250</v>
      </c>
      <c r="D98" s="2450" t="s">
        <v>7393</v>
      </c>
      <c r="E98" s="179" t="s">
        <v>7460</v>
      </c>
      <c r="F98" s="1633" t="s">
        <v>4976</v>
      </c>
      <c r="G98" s="709" t="s">
        <v>210</v>
      </c>
      <c r="H98" s="167">
        <v>2</v>
      </c>
      <c r="I98" s="167"/>
      <c r="J98" s="167"/>
      <c r="K98" s="86" t="s">
        <v>210</v>
      </c>
      <c r="L98" s="154" t="s">
        <v>7380</v>
      </c>
      <c r="M98" s="1618" t="s">
        <v>7454</v>
      </c>
      <c r="N98" s="170" t="s">
        <v>7381</v>
      </c>
      <c r="O98" s="2590" t="s">
        <v>7451</v>
      </c>
      <c r="P98" s="577"/>
      <c r="Q98" s="150" t="s">
        <v>2966</v>
      </c>
      <c r="R98" s="1664" t="s">
        <v>5489</v>
      </c>
      <c r="S98" s="1418">
        <v>760000</v>
      </c>
      <c r="T98" s="753"/>
      <c r="U98" s="1546"/>
      <c r="V98" s="752"/>
      <c r="W98" s="2151">
        <v>900000</v>
      </c>
      <c r="X98" s="2151">
        <f>497000*2</f>
        <v>994000</v>
      </c>
      <c r="Y98" s="752"/>
      <c r="Z98" s="1504">
        <v>500000</v>
      </c>
      <c r="AA98" s="752"/>
      <c r="AB98" s="1315"/>
      <c r="AC98" s="1416">
        <f t="shared" ref="AC98:AC117" si="25">+SUM(V98:AB98)</f>
        <v>2394000</v>
      </c>
      <c r="AD98" s="755"/>
      <c r="AE98" s="1418">
        <f>(H98*4740000+I98*4840000)*1.08+(T98*1.08)+(S98*1.08)+(U98*1.08)-816666.67*1.08</f>
        <v>10177199.996400001</v>
      </c>
      <c r="AF98" s="1419">
        <f t="shared" ref="AF98" si="26">+AC98+AE98</f>
        <v>12571199.996400001</v>
      </c>
      <c r="AG98" s="1320"/>
      <c r="AI98" s="1351"/>
    </row>
    <row r="99" spans="1:16384" s="1350" customFormat="1" ht="27">
      <c r="A99" s="1599">
        <f t="shared" si="10"/>
        <v>7</v>
      </c>
      <c r="B99" s="2450" t="s">
        <v>7444</v>
      </c>
      <c r="C99" s="179">
        <v>307882025420</v>
      </c>
      <c r="D99" s="2450" t="s">
        <v>7393</v>
      </c>
      <c r="E99" s="179" t="s">
        <v>7461</v>
      </c>
      <c r="F99" s="1633" t="s">
        <v>7462</v>
      </c>
      <c r="G99" s="709" t="s">
        <v>210</v>
      </c>
      <c r="H99" s="167"/>
      <c r="I99" s="167"/>
      <c r="J99" s="167" t="s">
        <v>102</v>
      </c>
      <c r="K99" s="86" t="s">
        <v>210</v>
      </c>
      <c r="L99" s="154" t="s">
        <v>7446</v>
      </c>
      <c r="M99" s="3307" t="s">
        <v>7458</v>
      </c>
      <c r="N99" s="1729" t="s">
        <v>7463</v>
      </c>
      <c r="O99" s="1612" t="s">
        <v>6022</v>
      </c>
      <c r="P99" s="522"/>
      <c r="Q99" s="620" t="s">
        <v>3152</v>
      </c>
      <c r="R99" s="1664" t="s">
        <v>5489</v>
      </c>
      <c r="S99" s="1418">
        <v>760000</v>
      </c>
      <c r="T99" s="753"/>
      <c r="U99" s="1546"/>
      <c r="V99" s="752"/>
      <c r="W99" s="752"/>
      <c r="X99" s="752"/>
      <c r="Y99" s="752"/>
      <c r="Z99" s="1504">
        <v>2606</v>
      </c>
      <c r="AA99" s="752"/>
      <c r="AB99" s="1315"/>
      <c r="AC99" s="1416">
        <f t="shared" si="25"/>
        <v>2606</v>
      </c>
      <c r="AD99" s="755"/>
      <c r="AE99" s="1418">
        <f>+(1100000+1480000)*1.08+(T99*1.08)+(S99*1.08)+(U99*1.08)</f>
        <v>3607200</v>
      </c>
      <c r="AF99" s="1419">
        <f t="shared" ref="AF99:AF100" si="27">+AC99+AE99</f>
        <v>3609806</v>
      </c>
      <c r="AG99" s="1320"/>
      <c r="AI99" s="1351"/>
    </row>
    <row r="100" spans="1:16384" s="1350" customFormat="1" ht="15.6">
      <c r="A100" s="1599">
        <f t="shared" si="10"/>
        <v>8</v>
      </c>
      <c r="B100" s="2450" t="s">
        <v>7508</v>
      </c>
      <c r="C100" s="166">
        <v>107644359760</v>
      </c>
      <c r="D100" s="386" t="s">
        <v>7472</v>
      </c>
      <c r="E100" s="179" t="s">
        <v>7498</v>
      </c>
      <c r="F100" s="1424" t="s">
        <v>6315</v>
      </c>
      <c r="G100" s="709" t="s">
        <v>1300</v>
      </c>
      <c r="H100" s="3322" t="s">
        <v>973</v>
      </c>
      <c r="I100" s="1566"/>
      <c r="J100" s="1566"/>
      <c r="K100" s="86" t="s">
        <v>210</v>
      </c>
      <c r="L100" s="154" t="s">
        <v>7496</v>
      </c>
      <c r="M100" s="1618" t="s">
        <v>7497</v>
      </c>
      <c r="N100" s="1729" t="s">
        <v>7499</v>
      </c>
      <c r="O100" s="1612" t="s">
        <v>6626</v>
      </c>
      <c r="P100" s="1566"/>
      <c r="Q100" s="150" t="s">
        <v>287</v>
      </c>
      <c r="R100" s="1664"/>
      <c r="S100" s="1404"/>
      <c r="T100" s="753"/>
      <c r="U100" s="1546"/>
      <c r="V100" s="752"/>
      <c r="W100" s="3279">
        <v>497000</v>
      </c>
      <c r="X100" s="2151">
        <v>999000</v>
      </c>
      <c r="Y100" s="2875">
        <v>7968844</v>
      </c>
      <c r="Z100" s="3279">
        <v>250000</v>
      </c>
      <c r="AA100" s="752"/>
      <c r="AB100" s="1315"/>
      <c r="AC100" s="1416">
        <f t="shared" si="25"/>
        <v>9714844</v>
      </c>
      <c r="AD100" s="755"/>
      <c r="AE100" s="1418">
        <f t="shared" ref="AE100" si="28">(H100*4740000+I100*4840000)*1.08+(T100*1.08)+(S100*1.08)+(U100*1.08)</f>
        <v>5119200</v>
      </c>
      <c r="AF100" s="1419">
        <f t="shared" si="27"/>
        <v>14834044</v>
      </c>
      <c r="AG100" s="1320"/>
      <c r="AI100" s="1351"/>
    </row>
    <row r="101" spans="1:16384" ht="15.6">
      <c r="A101" s="4093" t="s">
        <v>7545</v>
      </c>
      <c r="B101" s="3812"/>
      <c r="C101" s="3812"/>
      <c r="D101" s="3812"/>
      <c r="E101" s="3812"/>
      <c r="F101" s="3812"/>
      <c r="G101" s="3812"/>
      <c r="H101" s="3812"/>
      <c r="I101" s="3812"/>
      <c r="J101" s="3812"/>
      <c r="K101" s="3812"/>
      <c r="L101" s="4094"/>
      <c r="M101" s="1532"/>
      <c r="N101" s="1342"/>
      <c r="O101" s="1708"/>
      <c r="P101" s="1342"/>
      <c r="Q101" s="1343"/>
      <c r="R101" s="1988"/>
      <c r="S101" s="1403"/>
      <c r="T101" s="1345"/>
      <c r="U101" s="1543"/>
      <c r="V101" s="1344"/>
      <c r="W101" s="1343"/>
      <c r="X101" s="1343"/>
      <c r="Y101" s="1343"/>
      <c r="Z101" s="1343"/>
      <c r="AA101" s="1343"/>
      <c r="AB101" s="1346"/>
      <c r="AC101" s="1346"/>
      <c r="AD101" s="1347"/>
      <c r="AE101" s="1348"/>
      <c r="AF101" s="1348"/>
      <c r="AG101" s="1348"/>
      <c r="AH101" s="1354"/>
      <c r="AI101" s="1354"/>
      <c r="AJ101" s="1350"/>
    </row>
    <row r="102" spans="1:16384" s="1350" customFormat="1" ht="15.6">
      <c r="A102" s="1104">
        <v>1</v>
      </c>
      <c r="B102" s="2723" t="s">
        <v>7224</v>
      </c>
      <c r="C102" s="3326">
        <v>107661494030</v>
      </c>
      <c r="D102" s="3327" t="s">
        <v>7394</v>
      </c>
      <c r="E102" s="805" t="s">
        <v>7563</v>
      </c>
      <c r="F102" s="672" t="s">
        <v>7562</v>
      </c>
      <c r="G102" s="1308" t="s">
        <v>1300</v>
      </c>
      <c r="H102" s="445">
        <v>1</v>
      </c>
      <c r="I102" s="445"/>
      <c r="J102" s="445"/>
      <c r="K102" s="1474" t="s">
        <v>210</v>
      </c>
      <c r="L102" s="1151" t="s">
        <v>7559</v>
      </c>
      <c r="M102" s="3389" t="s">
        <v>7560</v>
      </c>
      <c r="N102" s="1612" t="s">
        <v>7561</v>
      </c>
      <c r="O102" s="2590" t="s">
        <v>8028</v>
      </c>
      <c r="P102" s="577" t="s">
        <v>7631</v>
      </c>
      <c r="Q102" s="150" t="s">
        <v>287</v>
      </c>
      <c r="R102" s="1664"/>
      <c r="S102" s="1404"/>
      <c r="T102" s="753"/>
      <c r="U102" s="1546"/>
      <c r="V102" s="752"/>
      <c r="W102" s="3279">
        <v>497000</v>
      </c>
      <c r="X102" s="2151">
        <v>1000000</v>
      </c>
      <c r="Y102" s="2875">
        <v>8120000</v>
      </c>
      <c r="Z102" s="1504">
        <v>250000</v>
      </c>
      <c r="AA102" s="752"/>
      <c r="AB102" s="1315"/>
      <c r="AC102" s="1416">
        <f t="shared" si="25"/>
        <v>9867000</v>
      </c>
      <c r="AD102" s="755"/>
      <c r="AE102" s="1418">
        <f t="shared" ref="AE102" si="29">(H102*4740000+I102*4840000)*1.08+(T102*1.08)+(S102*1.08)+(U102*1.08)</f>
        <v>5119200</v>
      </c>
      <c r="AF102" s="1419">
        <f t="shared" ref="AF102" si="30">+AC102+AE102</f>
        <v>14986200</v>
      </c>
      <c r="AG102" s="1320"/>
      <c r="AI102" s="1351"/>
    </row>
    <row r="103" spans="1:16384" s="1350" customFormat="1" ht="15.6">
      <c r="A103" s="1599">
        <f t="shared" si="10"/>
        <v>2</v>
      </c>
      <c r="B103" s="2450" t="s">
        <v>7690</v>
      </c>
      <c r="C103" s="2173">
        <v>307937348630</v>
      </c>
      <c r="D103" s="3402" t="s">
        <v>7700</v>
      </c>
      <c r="E103" s="179" t="s">
        <v>7733</v>
      </c>
      <c r="F103" s="1633" t="s">
        <v>4422</v>
      </c>
      <c r="G103" s="709" t="s">
        <v>210</v>
      </c>
      <c r="H103" s="167">
        <v>1</v>
      </c>
      <c r="I103" s="167"/>
      <c r="J103" s="167"/>
      <c r="K103" s="1474" t="s">
        <v>210</v>
      </c>
      <c r="L103" s="3364" t="s">
        <v>7564</v>
      </c>
      <c r="M103" s="3396" t="s">
        <v>7712</v>
      </c>
      <c r="N103" s="170" t="s">
        <v>7713</v>
      </c>
      <c r="O103" s="2590" t="s">
        <v>6487</v>
      </c>
      <c r="P103" s="577"/>
      <c r="Q103" s="150" t="s">
        <v>287</v>
      </c>
      <c r="R103" s="1664" t="s">
        <v>5491</v>
      </c>
      <c r="S103" s="1418">
        <v>760000</v>
      </c>
      <c r="T103" s="753"/>
      <c r="U103" s="1418">
        <v>200000</v>
      </c>
      <c r="V103" s="752"/>
      <c r="W103" s="2151">
        <v>1000000</v>
      </c>
      <c r="X103" s="2151">
        <v>497000</v>
      </c>
      <c r="Y103" s="752"/>
      <c r="Z103" s="1504">
        <v>250000</v>
      </c>
      <c r="AA103" s="752"/>
      <c r="AB103" s="1315"/>
      <c r="AC103" s="1416">
        <f t="shared" si="25"/>
        <v>1747000</v>
      </c>
      <c r="AD103" s="755"/>
      <c r="AE103" s="1418">
        <f t="shared" ref="AE103:AE109" si="31">(H103*4740000+I103*4840000)*1.08+(T103*1.08)+(S103*1.08)+(U103*1.08)</f>
        <v>6156000</v>
      </c>
      <c r="AF103" s="1419">
        <f t="shared" ref="AF103:AF109" si="32">+AC103+AE103</f>
        <v>7903000</v>
      </c>
      <c r="AG103" s="1320"/>
      <c r="AI103" s="1351"/>
    </row>
    <row r="104" spans="1:16384" s="1350" customFormat="1" ht="27">
      <c r="A104" s="1599">
        <f t="shared" si="10"/>
        <v>3</v>
      </c>
      <c r="B104" s="2450" t="s">
        <v>7690</v>
      </c>
      <c r="C104" s="3397" t="s">
        <v>7706</v>
      </c>
      <c r="D104" s="1616" t="s">
        <v>7690</v>
      </c>
      <c r="E104" s="179" t="s">
        <v>7734</v>
      </c>
      <c r="F104" s="1633" t="s">
        <v>4976</v>
      </c>
      <c r="G104" s="709" t="s">
        <v>210</v>
      </c>
      <c r="H104" s="167">
        <v>1</v>
      </c>
      <c r="I104" s="167"/>
      <c r="J104" s="167"/>
      <c r="K104" s="86" t="s">
        <v>210</v>
      </c>
      <c r="L104" s="3364" t="s">
        <v>7571</v>
      </c>
      <c r="M104" s="3392" t="s">
        <v>7707</v>
      </c>
      <c r="N104" s="170" t="s">
        <v>7565</v>
      </c>
      <c r="O104" s="2590" t="s">
        <v>6487</v>
      </c>
      <c r="P104" s="577"/>
      <c r="Q104" s="620" t="s">
        <v>7735</v>
      </c>
      <c r="R104" s="1989" t="s">
        <v>7130</v>
      </c>
      <c r="S104" s="1418">
        <f>760000*2</f>
        <v>1520000</v>
      </c>
      <c r="T104" s="753"/>
      <c r="U104" s="1546"/>
      <c r="V104" s="752"/>
      <c r="W104" s="2151">
        <v>900000</v>
      </c>
      <c r="X104" s="2151">
        <v>497000</v>
      </c>
      <c r="Y104" s="752"/>
      <c r="Z104" s="1504">
        <v>250000</v>
      </c>
      <c r="AA104" s="752"/>
      <c r="AB104" s="1315"/>
      <c r="AC104" s="1416">
        <f t="shared" si="25"/>
        <v>1647000</v>
      </c>
      <c r="AD104" s="755"/>
      <c r="AE104" s="1418">
        <f t="shared" si="31"/>
        <v>6760800</v>
      </c>
      <c r="AF104" s="1419">
        <f t="shared" si="32"/>
        <v>8407800</v>
      </c>
      <c r="AG104" s="1320"/>
      <c r="AI104" s="1351"/>
    </row>
    <row r="105" spans="1:16384" s="1350" customFormat="1" ht="15.6">
      <c r="A105" s="1599">
        <f t="shared" si="10"/>
        <v>4</v>
      </c>
      <c r="B105" s="666" t="s">
        <v>7776</v>
      </c>
      <c r="C105" s="166">
        <v>107686983240</v>
      </c>
      <c r="D105" s="386" t="s">
        <v>7700</v>
      </c>
      <c r="E105" s="179" t="s">
        <v>7725</v>
      </c>
      <c r="F105" s="1424" t="s">
        <v>4423</v>
      </c>
      <c r="G105" s="1308" t="s">
        <v>1300</v>
      </c>
      <c r="H105" s="167">
        <v>1</v>
      </c>
      <c r="I105" s="167"/>
      <c r="J105" s="167"/>
      <c r="K105" s="86" t="s">
        <v>210</v>
      </c>
      <c r="L105" s="3364" t="s">
        <v>7723</v>
      </c>
      <c r="M105" s="3410" t="s">
        <v>7724</v>
      </c>
      <c r="N105" s="170" t="s">
        <v>7742</v>
      </c>
      <c r="O105" s="2590" t="s">
        <v>6487</v>
      </c>
      <c r="P105" s="577" t="s">
        <v>7770</v>
      </c>
      <c r="Q105" s="150" t="s">
        <v>287</v>
      </c>
      <c r="R105" s="1664"/>
      <c r="S105" s="1404"/>
      <c r="T105" s="753"/>
      <c r="U105" s="1546"/>
      <c r="V105" s="752"/>
      <c r="W105" s="3279">
        <v>497000</v>
      </c>
      <c r="X105" s="2151">
        <v>1000000</v>
      </c>
      <c r="Y105" s="2875">
        <v>6093825</v>
      </c>
      <c r="Z105" s="1504">
        <v>250000</v>
      </c>
      <c r="AA105" s="752"/>
      <c r="AB105" s="1315"/>
      <c r="AC105" s="1416">
        <f t="shared" si="25"/>
        <v>7840825</v>
      </c>
      <c r="AD105" s="755"/>
      <c r="AE105" s="1418">
        <f t="shared" si="31"/>
        <v>5119200</v>
      </c>
      <c r="AF105" s="1419">
        <f t="shared" si="32"/>
        <v>12960025</v>
      </c>
      <c r="AG105" s="1320"/>
      <c r="AI105" s="1351"/>
    </row>
    <row r="106" spans="1:16384" s="1350" customFormat="1" ht="24.75" customHeight="1">
      <c r="A106" s="1599">
        <f t="shared" si="10"/>
        <v>5</v>
      </c>
      <c r="B106" s="2188" t="s">
        <v>7820</v>
      </c>
      <c r="C106" s="166">
        <v>107715243900</v>
      </c>
      <c r="D106" s="46" t="s">
        <v>7813</v>
      </c>
      <c r="E106" s="179" t="s">
        <v>7835</v>
      </c>
      <c r="F106" s="3072" t="s">
        <v>7834</v>
      </c>
      <c r="G106" s="1308" t="s">
        <v>1300</v>
      </c>
      <c r="H106" s="1745"/>
      <c r="I106" s="1745"/>
      <c r="J106" s="728">
        <v>1</v>
      </c>
      <c r="K106" s="86" t="s">
        <v>210</v>
      </c>
      <c r="L106" s="3364" t="s">
        <v>7833</v>
      </c>
      <c r="M106" s="1618" t="s">
        <v>7836</v>
      </c>
      <c r="N106" s="170" t="s">
        <v>7696</v>
      </c>
      <c r="O106" s="3472" t="s">
        <v>7916</v>
      </c>
      <c r="P106" s="3398"/>
      <c r="Q106" s="150" t="s">
        <v>6964</v>
      </c>
      <c r="R106" s="1664"/>
      <c r="S106" s="1404"/>
      <c r="T106" s="753"/>
      <c r="U106" s="1546"/>
      <c r="V106" s="752"/>
      <c r="W106" s="752"/>
      <c r="X106" s="752"/>
      <c r="Y106" s="2875">
        <v>18258821</v>
      </c>
      <c r="Z106" s="1504">
        <v>49461</v>
      </c>
      <c r="AA106" s="752"/>
      <c r="AB106" s="1315"/>
      <c r="AC106" s="1416">
        <f t="shared" si="25"/>
        <v>18308282</v>
      </c>
      <c r="AD106" s="755"/>
      <c r="AE106" s="1418">
        <f>+(1100000+2230000)*1.08</f>
        <v>3596400.0000000005</v>
      </c>
      <c r="AF106" s="1419">
        <f t="shared" si="32"/>
        <v>21904682</v>
      </c>
      <c r="AG106" s="1320"/>
      <c r="AI106" s="1351"/>
    </row>
    <row r="107" spans="1:16384" s="1350" customFormat="1" ht="24.75" customHeight="1">
      <c r="A107" s="1599">
        <f t="shared" si="10"/>
        <v>6</v>
      </c>
      <c r="B107" s="2066" t="s">
        <v>7784</v>
      </c>
      <c r="C107" s="2173">
        <v>307989553820</v>
      </c>
      <c r="D107" s="386" t="s">
        <v>7784</v>
      </c>
      <c r="E107" s="2173" t="s">
        <v>7965</v>
      </c>
      <c r="F107" s="3504" t="s">
        <v>7462</v>
      </c>
      <c r="G107" s="709" t="s">
        <v>210</v>
      </c>
      <c r="H107" s="445"/>
      <c r="I107" s="445"/>
      <c r="J107" s="167">
        <v>1</v>
      </c>
      <c r="K107" s="86" t="s">
        <v>210</v>
      </c>
      <c r="L107" s="3364" t="s">
        <v>7902</v>
      </c>
      <c r="M107" s="1618" t="s">
        <v>7932</v>
      </c>
      <c r="N107" s="1612" t="s">
        <v>7933</v>
      </c>
      <c r="O107" s="1612" t="s">
        <v>6288</v>
      </c>
      <c r="P107" s="3398"/>
      <c r="Q107" s="620" t="s">
        <v>3152</v>
      </c>
      <c r="R107" s="1664" t="s">
        <v>5491</v>
      </c>
      <c r="S107" s="1418">
        <v>760000</v>
      </c>
      <c r="T107" s="2422"/>
      <c r="U107" s="2422"/>
      <c r="V107" s="1555"/>
      <c r="W107" s="1555"/>
      <c r="X107" s="1555"/>
      <c r="Y107" s="1769"/>
      <c r="Z107" s="3579">
        <v>5412</v>
      </c>
      <c r="AA107" s="1555"/>
      <c r="AB107" s="1555"/>
      <c r="AC107" s="1416">
        <f t="shared" si="25"/>
        <v>5412</v>
      </c>
      <c r="AD107" s="1767"/>
      <c r="AE107" s="1418">
        <f>+(1100000+1480000)*1.08+S107*1.08</f>
        <v>3607200</v>
      </c>
      <c r="AF107" s="1419">
        <f t="shared" si="32"/>
        <v>3612612</v>
      </c>
      <c r="AG107" s="2800"/>
      <c r="AI107" s="1351"/>
    </row>
    <row r="108" spans="1:16384" s="1350" customFormat="1" ht="26.25" customHeight="1">
      <c r="A108" s="1599">
        <f t="shared" si="10"/>
        <v>7</v>
      </c>
      <c r="B108" s="2066" t="s">
        <v>7784</v>
      </c>
      <c r="C108" s="179">
        <v>307989744920</v>
      </c>
      <c r="D108" s="386" t="s">
        <v>7784</v>
      </c>
      <c r="E108" s="179" t="s">
        <v>7966</v>
      </c>
      <c r="F108" s="1633" t="s">
        <v>4976</v>
      </c>
      <c r="G108" s="709" t="s">
        <v>210</v>
      </c>
      <c r="H108" s="167">
        <v>1</v>
      </c>
      <c r="I108" s="167"/>
      <c r="J108" s="167"/>
      <c r="K108" s="86" t="s">
        <v>210</v>
      </c>
      <c r="L108" s="3364" t="s">
        <v>7841</v>
      </c>
      <c r="M108" s="673" t="s">
        <v>7931</v>
      </c>
      <c r="N108" s="170" t="s">
        <v>7901</v>
      </c>
      <c r="O108" s="1612" t="s">
        <v>6246</v>
      </c>
      <c r="P108" s="3398"/>
      <c r="Q108" s="150" t="s">
        <v>287</v>
      </c>
      <c r="R108" s="1664" t="s">
        <v>5489</v>
      </c>
      <c r="S108" s="1418">
        <v>760000</v>
      </c>
      <c r="T108" s="753"/>
      <c r="U108" s="1546"/>
      <c r="V108" s="752"/>
      <c r="W108" s="2151">
        <v>900000</v>
      </c>
      <c r="X108" s="2151">
        <v>497000</v>
      </c>
      <c r="Y108" s="752"/>
      <c r="Z108" s="3580">
        <v>250000</v>
      </c>
      <c r="AA108" s="752"/>
      <c r="AB108" s="1315"/>
      <c r="AC108" s="1416">
        <f>+SUM(V108:AB108)</f>
        <v>1647000</v>
      </c>
      <c r="AD108" s="755"/>
      <c r="AE108" s="1418">
        <f t="shared" si="31"/>
        <v>5940000</v>
      </c>
      <c r="AF108" s="1419">
        <f t="shared" si="32"/>
        <v>7587000</v>
      </c>
      <c r="AG108" s="1320"/>
      <c r="AI108" s="1351"/>
    </row>
    <row r="109" spans="1:16384" s="1350" customFormat="1" ht="30" customHeight="1">
      <c r="A109" s="1599">
        <f t="shared" si="10"/>
        <v>8</v>
      </c>
      <c r="B109" s="2066" t="s">
        <v>7955</v>
      </c>
      <c r="C109" s="3222" t="s">
        <v>8025</v>
      </c>
      <c r="D109" s="386" t="s">
        <v>7955</v>
      </c>
      <c r="E109" s="179" t="s">
        <v>8027</v>
      </c>
      <c r="F109" s="1633" t="s">
        <v>4976</v>
      </c>
      <c r="G109" s="709" t="s">
        <v>210</v>
      </c>
      <c r="H109" s="167">
        <v>2</v>
      </c>
      <c r="I109" s="167"/>
      <c r="J109" s="167"/>
      <c r="K109" s="86" t="s">
        <v>210</v>
      </c>
      <c r="L109" s="3364" t="s">
        <v>7842</v>
      </c>
      <c r="M109" s="3472" t="s">
        <v>8026</v>
      </c>
      <c r="N109" s="170" t="s">
        <v>7901</v>
      </c>
      <c r="O109" s="1612" t="s">
        <v>8008</v>
      </c>
      <c r="P109" s="3398"/>
      <c r="Q109" s="150" t="s">
        <v>287</v>
      </c>
      <c r="R109" s="1989" t="s">
        <v>7130</v>
      </c>
      <c r="S109" s="1418">
        <f>760000*2</f>
        <v>1520000</v>
      </c>
      <c r="T109" s="753"/>
      <c r="U109" s="1546"/>
      <c r="V109" s="752"/>
      <c r="W109" s="2151">
        <v>1800000</v>
      </c>
      <c r="X109" s="2151">
        <v>994000</v>
      </c>
      <c r="Y109" s="752"/>
      <c r="Z109" s="3580">
        <v>500000</v>
      </c>
      <c r="AA109" s="752"/>
      <c r="AB109" s="1315"/>
      <c r="AC109" s="1416">
        <f t="shared" si="25"/>
        <v>3294000</v>
      </c>
      <c r="AD109" s="755"/>
      <c r="AE109" s="1418">
        <f t="shared" si="31"/>
        <v>11880000</v>
      </c>
      <c r="AF109" s="1419">
        <f t="shared" si="32"/>
        <v>15174000</v>
      </c>
      <c r="AG109" s="1320"/>
      <c r="AI109" s="1351"/>
    </row>
    <row r="110" spans="1:16384" ht="15.6">
      <c r="A110" s="4093" t="s">
        <v>7970</v>
      </c>
      <c r="B110" s="3812"/>
      <c r="C110" s="3812"/>
      <c r="D110" s="3812"/>
      <c r="E110" s="3812"/>
      <c r="F110" s="3812"/>
      <c r="G110" s="3812"/>
      <c r="H110" s="3812"/>
      <c r="I110" s="3812"/>
      <c r="J110" s="3812"/>
      <c r="K110" s="3812"/>
      <c r="L110" s="4094"/>
      <c r="M110" s="1532"/>
      <c r="N110" s="1342"/>
      <c r="O110" s="1708"/>
      <c r="P110" s="1342"/>
      <c r="Q110" s="1343"/>
      <c r="R110" s="1988"/>
      <c r="S110" s="1403"/>
      <c r="T110" s="1345"/>
      <c r="U110" s="1543"/>
      <c r="V110" s="1344"/>
      <c r="W110" s="1343"/>
      <c r="X110" s="1343"/>
      <c r="Y110" s="1343"/>
      <c r="Z110" s="1343"/>
      <c r="AA110" s="1343"/>
      <c r="AB110" s="1346"/>
      <c r="AC110" s="1346"/>
      <c r="AD110" s="1347"/>
      <c r="AE110" s="1348"/>
      <c r="AF110" s="1348"/>
      <c r="AG110" s="1348"/>
      <c r="AH110" s="1354"/>
      <c r="AI110" s="1354"/>
      <c r="AJ110" s="1350"/>
    </row>
    <row r="111" spans="1:16384" s="1350" customFormat="1" ht="32.25" customHeight="1">
      <c r="A111" s="1599">
        <v>1</v>
      </c>
      <c r="B111" s="3552" t="s">
        <v>7992</v>
      </c>
      <c r="C111" s="1308">
        <v>107730096130</v>
      </c>
      <c r="D111" s="673" t="s">
        <v>7844</v>
      </c>
      <c r="E111" s="1724" t="s">
        <v>7910</v>
      </c>
      <c r="F111" s="1308" t="s">
        <v>6315</v>
      </c>
      <c r="G111" s="1308" t="s">
        <v>1300</v>
      </c>
      <c r="H111" s="1601">
        <v>1</v>
      </c>
      <c r="I111" s="2421"/>
      <c r="J111" s="728"/>
      <c r="K111" s="86" t="s">
        <v>210</v>
      </c>
      <c r="L111" s="1308" t="s">
        <v>7906</v>
      </c>
      <c r="M111" s="673" t="s">
        <v>7907</v>
      </c>
      <c r="N111" s="3561" t="s">
        <v>7820</v>
      </c>
      <c r="O111" s="1697" t="s">
        <v>8068</v>
      </c>
      <c r="P111" s="3505" t="s">
        <v>7940</v>
      </c>
      <c r="Q111" s="1663" t="s">
        <v>6964</v>
      </c>
      <c r="R111" s="1308"/>
      <c r="S111" s="1308"/>
      <c r="T111" s="1308"/>
      <c r="U111" s="1308"/>
      <c r="V111" s="1308"/>
      <c r="W111" s="3279">
        <v>1370000</v>
      </c>
      <c r="X111" s="1308"/>
      <c r="Y111" s="1826">
        <v>7980940</v>
      </c>
      <c r="Z111" s="2438">
        <v>250000</v>
      </c>
      <c r="AA111" s="1308"/>
      <c r="AB111" s="1308"/>
      <c r="AC111" s="1416">
        <f>+SUM(V111:AB111)</f>
        <v>9600940</v>
      </c>
      <c r="AD111" s="1308"/>
      <c r="AE111" s="1418">
        <f>(H111*4740000+I111*4840000)*1.08+(T111*1.08)+(S111*1.08)+(U111*1.08)</f>
        <v>5119200</v>
      </c>
      <c r="AF111" s="1419">
        <f>+AC111+AE111</f>
        <v>14720140</v>
      </c>
      <c r="AG111" s="1308"/>
      <c r="AH111" s="1308"/>
      <c r="AI111" s="1308"/>
      <c r="AJ111" s="1308"/>
      <c r="AK111" s="1308"/>
      <c r="AL111" s="1308"/>
      <c r="AM111" s="1308"/>
      <c r="AN111" s="1308"/>
      <c r="AO111" s="1308"/>
      <c r="AP111" s="1308"/>
      <c r="AQ111" s="1308"/>
      <c r="AR111" s="1308"/>
      <c r="AS111" s="1308"/>
      <c r="AT111" s="1308"/>
      <c r="AU111" s="1308"/>
      <c r="AV111" s="1308"/>
      <c r="AW111" s="1308"/>
      <c r="AX111" s="1308"/>
      <c r="AY111" s="1308"/>
      <c r="AZ111" s="1308"/>
      <c r="BA111" s="1308"/>
      <c r="BB111" s="1308"/>
      <c r="BC111" s="1308"/>
      <c r="BD111" s="1308"/>
      <c r="BE111" s="1308"/>
      <c r="BF111" s="1308"/>
      <c r="BG111" s="1308"/>
      <c r="BH111" s="1308"/>
      <c r="BI111" s="1308"/>
      <c r="BJ111" s="1308"/>
      <c r="BK111" s="1308"/>
      <c r="BL111" s="1308"/>
      <c r="BM111" s="1308"/>
      <c r="BN111" s="1308"/>
      <c r="BO111" s="1308"/>
      <c r="BP111" s="1308"/>
      <c r="BQ111" s="1308"/>
      <c r="BR111" s="1308"/>
      <c r="BS111" s="1308"/>
      <c r="BT111" s="1308"/>
      <c r="BU111" s="1308"/>
      <c r="BV111" s="1308"/>
      <c r="BW111" s="1308"/>
      <c r="BX111" s="1308"/>
      <c r="BY111" s="1308"/>
      <c r="BZ111" s="1308"/>
      <c r="CA111" s="1308"/>
      <c r="CB111" s="1308"/>
      <c r="CC111" s="1308"/>
      <c r="CD111" s="1308"/>
      <c r="CE111" s="1308"/>
      <c r="CF111" s="1308"/>
      <c r="CG111" s="1308"/>
      <c r="CH111" s="1308"/>
      <c r="CI111" s="1308"/>
      <c r="CJ111" s="1308"/>
      <c r="CK111" s="1308"/>
      <c r="CL111" s="1308"/>
      <c r="CM111" s="1308"/>
      <c r="CN111" s="1308"/>
      <c r="CO111" s="1308"/>
      <c r="CP111" s="1308"/>
      <c r="CQ111" s="1308"/>
      <c r="CR111" s="1308"/>
      <c r="CS111" s="1308"/>
      <c r="CT111" s="1308"/>
      <c r="CU111" s="1308"/>
      <c r="CV111" s="1308"/>
      <c r="CW111" s="1308"/>
      <c r="CX111" s="1308"/>
      <c r="CY111" s="1308"/>
      <c r="CZ111" s="1308"/>
      <c r="DA111" s="1308"/>
      <c r="DB111" s="1308"/>
      <c r="DC111" s="1308"/>
      <c r="DD111" s="1308"/>
      <c r="DE111" s="1308"/>
      <c r="DF111" s="1308"/>
      <c r="DG111" s="1308"/>
      <c r="DH111" s="1308"/>
      <c r="DI111" s="1308"/>
      <c r="DJ111" s="1308"/>
      <c r="DK111" s="1308"/>
      <c r="DL111" s="1308"/>
      <c r="DM111" s="1308"/>
      <c r="DN111" s="1308"/>
      <c r="DO111" s="1308"/>
      <c r="DP111" s="1308"/>
      <c r="DQ111" s="1308"/>
      <c r="DR111" s="1308"/>
      <c r="DS111" s="1308"/>
      <c r="DT111" s="1308"/>
      <c r="DU111" s="1308"/>
      <c r="DV111" s="1308"/>
      <c r="DW111" s="1308"/>
      <c r="DX111" s="1308"/>
      <c r="DY111" s="1308"/>
      <c r="DZ111" s="1308"/>
      <c r="EA111" s="1308"/>
      <c r="EB111" s="1308"/>
      <c r="EC111" s="1308"/>
      <c r="ED111" s="1308"/>
      <c r="EE111" s="1308"/>
      <c r="EF111" s="1308"/>
      <c r="EG111" s="1308"/>
      <c r="EH111" s="1308"/>
      <c r="EI111" s="1308"/>
      <c r="EJ111" s="1308"/>
      <c r="EK111" s="1308"/>
      <c r="EL111" s="1308"/>
      <c r="EM111" s="1308"/>
      <c r="EN111" s="1308"/>
      <c r="EO111" s="1308"/>
      <c r="EP111" s="1308"/>
      <c r="EQ111" s="1308"/>
      <c r="ER111" s="1308"/>
      <c r="ES111" s="1308"/>
      <c r="ET111" s="1308"/>
      <c r="EU111" s="1308"/>
      <c r="EV111" s="1308"/>
      <c r="EW111" s="1308"/>
      <c r="EX111" s="1308"/>
      <c r="EY111" s="1308"/>
      <c r="EZ111" s="1308"/>
      <c r="FA111" s="1308"/>
      <c r="FB111" s="1308"/>
      <c r="FC111" s="1308"/>
      <c r="FD111" s="1308"/>
      <c r="FE111" s="1308"/>
      <c r="FF111" s="1308"/>
      <c r="FG111" s="1308"/>
      <c r="FH111" s="1308"/>
      <c r="FI111" s="1308"/>
      <c r="FJ111" s="1308"/>
      <c r="FK111" s="1308"/>
      <c r="FL111" s="1308"/>
      <c r="FM111" s="1308"/>
      <c r="FN111" s="1308"/>
      <c r="FO111" s="1308"/>
      <c r="FP111" s="1308"/>
      <c r="FQ111" s="1308"/>
      <c r="FR111" s="1308"/>
      <c r="FS111" s="1308"/>
      <c r="FT111" s="1308"/>
      <c r="FU111" s="1308"/>
      <c r="FV111" s="1308"/>
      <c r="FW111" s="1308"/>
      <c r="FX111" s="1308"/>
      <c r="FY111" s="1308"/>
      <c r="FZ111" s="1308"/>
      <c r="GA111" s="1308"/>
      <c r="GB111" s="1308"/>
      <c r="GC111" s="1308"/>
      <c r="GD111" s="1308"/>
      <c r="GE111" s="1308"/>
      <c r="GF111" s="1308"/>
      <c r="GG111" s="1308"/>
      <c r="GH111" s="1308"/>
      <c r="GI111" s="1308"/>
      <c r="GJ111" s="1308"/>
      <c r="GK111" s="1308"/>
      <c r="GL111" s="1308"/>
      <c r="GM111" s="1308"/>
      <c r="GN111" s="1308"/>
      <c r="GO111" s="1308"/>
      <c r="GP111" s="1308"/>
      <c r="GQ111" s="1308"/>
      <c r="GR111" s="1308"/>
      <c r="GS111" s="1308"/>
      <c r="GT111" s="1308"/>
      <c r="GU111" s="1308"/>
      <c r="GV111" s="1308"/>
      <c r="GW111" s="1308"/>
      <c r="GX111" s="1308"/>
      <c r="GY111" s="1308"/>
      <c r="GZ111" s="1308"/>
      <c r="HA111" s="1308"/>
      <c r="HB111" s="1308"/>
      <c r="HC111" s="1308"/>
      <c r="HD111" s="1308"/>
      <c r="HE111" s="1308"/>
      <c r="HF111" s="1308"/>
      <c r="HG111" s="1308"/>
      <c r="HH111" s="1308"/>
      <c r="HI111" s="1308"/>
      <c r="HJ111" s="1308"/>
      <c r="HK111" s="1308"/>
      <c r="HL111" s="1308"/>
      <c r="HM111" s="1308"/>
      <c r="HN111" s="1308"/>
      <c r="HO111" s="1308"/>
      <c r="HP111" s="1308"/>
      <c r="HQ111" s="1308"/>
      <c r="HR111" s="1308"/>
      <c r="HS111" s="1308"/>
      <c r="HT111" s="1308"/>
      <c r="HU111" s="1308"/>
      <c r="HV111" s="1308"/>
      <c r="HW111" s="1308"/>
      <c r="HX111" s="1308"/>
      <c r="HY111" s="1308"/>
      <c r="HZ111" s="1308"/>
      <c r="IA111" s="1308"/>
      <c r="IB111" s="1308"/>
      <c r="IC111" s="1308"/>
      <c r="ID111" s="1308"/>
      <c r="IE111" s="1308"/>
      <c r="IF111" s="1308"/>
      <c r="IG111" s="1308"/>
      <c r="IH111" s="1308"/>
      <c r="II111" s="1308"/>
      <c r="IJ111" s="1308"/>
      <c r="IK111" s="1308"/>
      <c r="IL111" s="1308"/>
      <c r="IM111" s="1308"/>
      <c r="IN111" s="1308"/>
      <c r="IO111" s="1308"/>
      <c r="IP111" s="1308"/>
      <c r="IQ111" s="1308"/>
      <c r="IR111" s="1308"/>
      <c r="IS111" s="1308"/>
      <c r="IT111" s="1308"/>
      <c r="IU111" s="1308"/>
      <c r="IV111" s="1308"/>
      <c r="IW111" s="1308"/>
      <c r="IX111" s="1308"/>
      <c r="IY111" s="1308"/>
      <c r="IZ111" s="1308"/>
      <c r="JA111" s="1308"/>
      <c r="JB111" s="1308"/>
      <c r="JC111" s="1308"/>
      <c r="JD111" s="1308"/>
      <c r="JE111" s="1308"/>
      <c r="JF111" s="1308"/>
      <c r="JG111" s="1308"/>
      <c r="JH111" s="1308"/>
      <c r="JI111" s="1308"/>
      <c r="JJ111" s="1308"/>
      <c r="JK111" s="1308"/>
      <c r="JL111" s="1308"/>
      <c r="JM111" s="1308"/>
      <c r="JN111" s="1308"/>
      <c r="JO111" s="1308"/>
      <c r="JP111" s="1308"/>
      <c r="JQ111" s="1308"/>
      <c r="JR111" s="1308"/>
      <c r="JS111" s="1308"/>
      <c r="JT111" s="1308"/>
      <c r="JU111" s="1308"/>
      <c r="JV111" s="1308"/>
      <c r="JW111" s="1308"/>
      <c r="JX111" s="1308"/>
      <c r="JY111" s="1308"/>
      <c r="JZ111" s="1308"/>
      <c r="KA111" s="1308"/>
      <c r="KB111" s="1308"/>
      <c r="KC111" s="1308"/>
      <c r="KD111" s="1308"/>
      <c r="KE111" s="1308"/>
      <c r="KF111" s="1308"/>
      <c r="KG111" s="1308"/>
      <c r="KH111" s="1308"/>
      <c r="KI111" s="1308"/>
      <c r="KJ111" s="1308"/>
      <c r="KK111" s="1308"/>
      <c r="KL111" s="1308"/>
      <c r="KM111" s="1308"/>
      <c r="KN111" s="1308"/>
      <c r="KO111" s="1308"/>
      <c r="KP111" s="1308"/>
      <c r="KQ111" s="1308"/>
      <c r="KR111" s="1308"/>
      <c r="KS111" s="1308"/>
      <c r="KT111" s="1308"/>
      <c r="KU111" s="1308"/>
      <c r="KV111" s="1308"/>
      <c r="KW111" s="1308"/>
      <c r="KX111" s="1308"/>
      <c r="KY111" s="1308"/>
      <c r="KZ111" s="1308"/>
      <c r="LA111" s="1308"/>
      <c r="LB111" s="1308"/>
      <c r="LC111" s="1308"/>
      <c r="LD111" s="1308"/>
      <c r="LE111" s="1308"/>
      <c r="LF111" s="1308"/>
      <c r="LG111" s="1308"/>
      <c r="LH111" s="1308"/>
      <c r="LI111" s="1308"/>
      <c r="LJ111" s="1308"/>
      <c r="LK111" s="1308"/>
      <c r="LL111" s="1308"/>
      <c r="LM111" s="1308"/>
      <c r="LN111" s="1308"/>
      <c r="LO111" s="1308"/>
      <c r="LP111" s="1308"/>
      <c r="LQ111" s="1308"/>
      <c r="LR111" s="1308"/>
      <c r="LS111" s="1308"/>
      <c r="LT111" s="1308"/>
      <c r="LU111" s="1308"/>
      <c r="LV111" s="1308"/>
      <c r="LW111" s="1308"/>
      <c r="LX111" s="1308"/>
      <c r="LY111" s="1308"/>
      <c r="LZ111" s="1308"/>
      <c r="MA111" s="1308"/>
      <c r="MB111" s="1308"/>
      <c r="MC111" s="1308"/>
      <c r="MD111" s="1308"/>
      <c r="ME111" s="1308"/>
      <c r="MF111" s="1308"/>
      <c r="MG111" s="1308"/>
      <c r="MH111" s="1308"/>
      <c r="MI111" s="1308"/>
      <c r="MJ111" s="1308"/>
      <c r="MK111" s="1308"/>
      <c r="ML111" s="1308"/>
      <c r="MM111" s="1308"/>
      <c r="MN111" s="1308"/>
      <c r="MO111" s="1308"/>
      <c r="MP111" s="1308"/>
      <c r="MQ111" s="1308"/>
      <c r="MR111" s="1308"/>
      <c r="MS111" s="1308"/>
      <c r="MT111" s="1308"/>
      <c r="MU111" s="1308"/>
      <c r="MV111" s="1308"/>
      <c r="MW111" s="1308"/>
      <c r="MX111" s="1308"/>
      <c r="MY111" s="1308"/>
      <c r="MZ111" s="1308"/>
      <c r="NA111" s="1308"/>
      <c r="NB111" s="1308"/>
      <c r="NC111" s="1308"/>
      <c r="ND111" s="1308"/>
      <c r="NE111" s="1308"/>
      <c r="NF111" s="1308"/>
      <c r="NG111" s="1308"/>
      <c r="NH111" s="1308"/>
      <c r="NI111" s="1308"/>
      <c r="NJ111" s="1308"/>
      <c r="NK111" s="1308"/>
      <c r="NL111" s="1308"/>
      <c r="NM111" s="1308"/>
      <c r="NN111" s="1308"/>
      <c r="NO111" s="1308"/>
      <c r="NP111" s="1308"/>
      <c r="NQ111" s="1308"/>
      <c r="NR111" s="1308"/>
      <c r="NS111" s="1308"/>
      <c r="NT111" s="1308"/>
      <c r="NU111" s="1308"/>
      <c r="NV111" s="1308"/>
      <c r="NW111" s="1308"/>
      <c r="NX111" s="1308"/>
      <c r="NY111" s="1308"/>
      <c r="NZ111" s="1308"/>
      <c r="OA111" s="1308"/>
      <c r="OB111" s="1308"/>
      <c r="OC111" s="1308"/>
      <c r="OD111" s="1308"/>
      <c r="OE111" s="1308"/>
      <c r="OF111" s="1308"/>
      <c r="OG111" s="1308"/>
      <c r="OH111" s="1308"/>
      <c r="OI111" s="1308"/>
      <c r="OJ111" s="1308"/>
      <c r="OK111" s="1308"/>
      <c r="OL111" s="1308"/>
      <c r="OM111" s="1308"/>
      <c r="ON111" s="1308"/>
      <c r="OO111" s="1308"/>
      <c r="OP111" s="1308"/>
      <c r="OQ111" s="1308"/>
      <c r="OR111" s="1308"/>
      <c r="OS111" s="1308"/>
      <c r="OT111" s="1308"/>
      <c r="OU111" s="1308"/>
      <c r="OV111" s="1308"/>
      <c r="OW111" s="1308"/>
      <c r="OX111" s="1308"/>
      <c r="OY111" s="1308"/>
      <c r="OZ111" s="1308"/>
      <c r="PA111" s="1308"/>
      <c r="PB111" s="1308"/>
      <c r="PC111" s="1308"/>
      <c r="PD111" s="1308"/>
      <c r="PE111" s="1308"/>
      <c r="PF111" s="1308"/>
      <c r="PG111" s="1308"/>
      <c r="PH111" s="1308"/>
      <c r="PI111" s="1308"/>
      <c r="PJ111" s="1308"/>
      <c r="PK111" s="1308"/>
      <c r="PL111" s="1308"/>
      <c r="PM111" s="1308"/>
      <c r="PN111" s="1308"/>
      <c r="PO111" s="1308"/>
      <c r="PP111" s="1308"/>
      <c r="PQ111" s="1308"/>
      <c r="PR111" s="1308"/>
      <c r="PS111" s="1308"/>
      <c r="PT111" s="1308"/>
      <c r="PU111" s="1308"/>
      <c r="PV111" s="1308"/>
      <c r="PW111" s="1308"/>
      <c r="PX111" s="1308"/>
      <c r="PY111" s="1308"/>
      <c r="PZ111" s="1308"/>
      <c r="QA111" s="1308"/>
      <c r="QB111" s="1308"/>
      <c r="QC111" s="1308"/>
      <c r="QD111" s="1308"/>
      <c r="QE111" s="1308"/>
      <c r="QF111" s="1308"/>
      <c r="QG111" s="1308"/>
      <c r="QH111" s="1308"/>
      <c r="QI111" s="1308"/>
      <c r="QJ111" s="1308"/>
      <c r="QK111" s="1308"/>
      <c r="QL111" s="1308"/>
      <c r="QM111" s="1308"/>
      <c r="QN111" s="1308"/>
      <c r="QO111" s="1308"/>
      <c r="QP111" s="1308"/>
      <c r="QQ111" s="1308"/>
      <c r="QR111" s="1308"/>
      <c r="QS111" s="1308"/>
      <c r="QT111" s="1308"/>
      <c r="QU111" s="1308"/>
      <c r="QV111" s="1308"/>
      <c r="QW111" s="1308"/>
      <c r="QX111" s="1308"/>
      <c r="QY111" s="1308"/>
      <c r="QZ111" s="1308"/>
      <c r="RA111" s="1308"/>
      <c r="RB111" s="1308"/>
      <c r="RC111" s="1308"/>
      <c r="RD111" s="1308"/>
      <c r="RE111" s="1308"/>
      <c r="RF111" s="1308"/>
      <c r="RG111" s="1308"/>
      <c r="RH111" s="1308"/>
      <c r="RI111" s="1308"/>
      <c r="RJ111" s="1308"/>
      <c r="RK111" s="1308"/>
      <c r="RL111" s="1308"/>
      <c r="RM111" s="1308"/>
      <c r="RN111" s="1308"/>
      <c r="RO111" s="1308"/>
      <c r="RP111" s="1308"/>
      <c r="RQ111" s="1308"/>
      <c r="RR111" s="1308"/>
      <c r="RS111" s="1308"/>
      <c r="RT111" s="1308"/>
      <c r="RU111" s="1308"/>
      <c r="RV111" s="1308"/>
      <c r="RW111" s="1308"/>
      <c r="RX111" s="1308"/>
      <c r="RY111" s="1308"/>
      <c r="RZ111" s="1308"/>
      <c r="SA111" s="1308"/>
      <c r="SB111" s="1308"/>
      <c r="SC111" s="1308"/>
      <c r="SD111" s="1308"/>
      <c r="SE111" s="1308"/>
      <c r="SF111" s="1308"/>
      <c r="SG111" s="1308"/>
      <c r="SH111" s="1308"/>
      <c r="SI111" s="1308"/>
      <c r="SJ111" s="1308"/>
      <c r="SK111" s="1308"/>
      <c r="SL111" s="1308"/>
      <c r="SM111" s="1308"/>
      <c r="SN111" s="1308"/>
      <c r="SO111" s="1308"/>
      <c r="SP111" s="1308"/>
      <c r="SQ111" s="1308"/>
      <c r="SR111" s="1308"/>
      <c r="SS111" s="1308"/>
      <c r="ST111" s="1308"/>
      <c r="SU111" s="1308"/>
      <c r="SV111" s="1308"/>
      <c r="SW111" s="1308"/>
      <c r="SX111" s="1308"/>
      <c r="SY111" s="1308"/>
      <c r="SZ111" s="1308"/>
      <c r="TA111" s="1308"/>
      <c r="TB111" s="1308"/>
      <c r="TC111" s="1308"/>
      <c r="TD111" s="1308"/>
      <c r="TE111" s="1308"/>
      <c r="TF111" s="1308"/>
      <c r="TG111" s="1308"/>
      <c r="TH111" s="1308"/>
      <c r="TI111" s="1308"/>
      <c r="TJ111" s="1308"/>
      <c r="TK111" s="1308"/>
      <c r="TL111" s="1308"/>
      <c r="TM111" s="1308"/>
      <c r="TN111" s="1308"/>
      <c r="TO111" s="1308"/>
      <c r="TP111" s="1308"/>
      <c r="TQ111" s="1308"/>
      <c r="TR111" s="1308"/>
      <c r="TS111" s="1308"/>
      <c r="TT111" s="1308"/>
      <c r="TU111" s="1308"/>
      <c r="TV111" s="1308"/>
      <c r="TW111" s="1308"/>
      <c r="TX111" s="1308"/>
      <c r="TY111" s="1308"/>
      <c r="TZ111" s="1308"/>
      <c r="UA111" s="1308"/>
      <c r="UB111" s="1308"/>
      <c r="UC111" s="1308"/>
      <c r="UD111" s="1308"/>
      <c r="UE111" s="1308"/>
      <c r="UF111" s="1308"/>
      <c r="UG111" s="1308"/>
      <c r="UH111" s="1308"/>
      <c r="UI111" s="1308"/>
      <c r="UJ111" s="1308"/>
      <c r="UK111" s="1308"/>
      <c r="UL111" s="1308"/>
      <c r="UM111" s="1308"/>
      <c r="UN111" s="1308"/>
      <c r="UO111" s="1308"/>
      <c r="UP111" s="1308"/>
      <c r="UQ111" s="1308"/>
      <c r="UR111" s="1308"/>
      <c r="US111" s="1308"/>
      <c r="UT111" s="1308"/>
      <c r="UU111" s="1308"/>
      <c r="UV111" s="1308"/>
      <c r="UW111" s="1308"/>
      <c r="UX111" s="1308"/>
      <c r="UY111" s="1308"/>
      <c r="UZ111" s="1308"/>
      <c r="VA111" s="1308"/>
      <c r="VB111" s="1308"/>
      <c r="VC111" s="1308"/>
      <c r="VD111" s="1308"/>
      <c r="VE111" s="1308"/>
      <c r="VF111" s="1308"/>
      <c r="VG111" s="1308"/>
      <c r="VH111" s="1308"/>
      <c r="VI111" s="1308"/>
      <c r="VJ111" s="1308"/>
      <c r="VK111" s="1308"/>
      <c r="VL111" s="1308"/>
      <c r="VM111" s="1308"/>
      <c r="VN111" s="1308"/>
      <c r="VO111" s="1308"/>
      <c r="VP111" s="1308"/>
      <c r="VQ111" s="1308"/>
      <c r="VR111" s="1308"/>
      <c r="VS111" s="1308"/>
      <c r="VT111" s="1308"/>
      <c r="VU111" s="1308"/>
      <c r="VV111" s="1308"/>
      <c r="VW111" s="1308"/>
      <c r="VX111" s="1308"/>
      <c r="VY111" s="1308"/>
      <c r="VZ111" s="1308"/>
      <c r="WA111" s="1308"/>
      <c r="WB111" s="1308"/>
      <c r="WC111" s="1308"/>
      <c r="WD111" s="1308"/>
      <c r="WE111" s="1308"/>
      <c r="WF111" s="1308"/>
      <c r="WG111" s="1308"/>
      <c r="WH111" s="1308"/>
      <c r="WI111" s="1308"/>
      <c r="WJ111" s="1308"/>
      <c r="WK111" s="1308"/>
      <c r="WL111" s="1308"/>
      <c r="WM111" s="1308"/>
      <c r="WN111" s="1308"/>
      <c r="WO111" s="1308"/>
      <c r="WP111" s="1308"/>
      <c r="WQ111" s="1308"/>
      <c r="WR111" s="1308"/>
      <c r="WS111" s="1308"/>
      <c r="WT111" s="1308"/>
      <c r="WU111" s="1308"/>
      <c r="WV111" s="1308"/>
      <c r="WW111" s="1308"/>
      <c r="WX111" s="1308"/>
      <c r="WY111" s="1308"/>
      <c r="WZ111" s="1308"/>
      <c r="XA111" s="1308"/>
      <c r="XB111" s="1308"/>
      <c r="XC111" s="1308"/>
      <c r="XD111" s="1308"/>
      <c r="XE111" s="1308"/>
      <c r="XF111" s="1308"/>
      <c r="XG111" s="1308"/>
      <c r="XH111" s="1308"/>
      <c r="XI111" s="1308"/>
      <c r="XJ111" s="1308"/>
      <c r="XK111" s="1308"/>
      <c r="XL111" s="1308"/>
      <c r="XM111" s="1308"/>
      <c r="XN111" s="1308"/>
      <c r="XO111" s="1308"/>
      <c r="XP111" s="1308"/>
      <c r="XQ111" s="1308"/>
      <c r="XR111" s="1308"/>
      <c r="XS111" s="1308"/>
      <c r="XT111" s="1308"/>
      <c r="XU111" s="1308"/>
      <c r="XV111" s="1308"/>
      <c r="XW111" s="1308"/>
      <c r="XX111" s="1308"/>
      <c r="XY111" s="1308"/>
      <c r="XZ111" s="1308"/>
      <c r="YA111" s="1308"/>
      <c r="YB111" s="1308"/>
      <c r="YC111" s="1308"/>
      <c r="YD111" s="1308"/>
      <c r="YE111" s="1308"/>
      <c r="YF111" s="1308"/>
      <c r="YG111" s="1308"/>
      <c r="YH111" s="1308"/>
      <c r="YI111" s="1308"/>
      <c r="YJ111" s="1308"/>
      <c r="YK111" s="1308"/>
      <c r="YL111" s="1308"/>
      <c r="YM111" s="1308"/>
      <c r="YN111" s="1308"/>
      <c r="YO111" s="1308"/>
      <c r="YP111" s="1308"/>
      <c r="YQ111" s="1308"/>
      <c r="YR111" s="1308"/>
      <c r="YS111" s="1308"/>
      <c r="YT111" s="1308"/>
      <c r="YU111" s="1308"/>
      <c r="YV111" s="1308"/>
      <c r="YW111" s="1308"/>
      <c r="YX111" s="1308"/>
      <c r="YY111" s="1308"/>
      <c r="YZ111" s="1308"/>
      <c r="ZA111" s="1308"/>
      <c r="ZB111" s="1308"/>
      <c r="ZC111" s="1308"/>
      <c r="ZD111" s="1308"/>
      <c r="ZE111" s="1308"/>
      <c r="ZF111" s="1308"/>
      <c r="ZG111" s="1308"/>
      <c r="ZH111" s="1308"/>
      <c r="ZI111" s="1308"/>
      <c r="ZJ111" s="1308"/>
      <c r="ZK111" s="1308"/>
      <c r="ZL111" s="1308"/>
      <c r="ZM111" s="1308"/>
      <c r="ZN111" s="1308"/>
      <c r="ZO111" s="1308"/>
      <c r="ZP111" s="1308"/>
      <c r="ZQ111" s="1308"/>
      <c r="ZR111" s="1308"/>
      <c r="ZS111" s="1308"/>
      <c r="ZT111" s="1308"/>
      <c r="ZU111" s="1308"/>
      <c r="ZV111" s="1308"/>
      <c r="ZW111" s="1308"/>
      <c r="ZX111" s="1308"/>
      <c r="ZY111" s="1308"/>
      <c r="ZZ111" s="1308"/>
      <c r="AAA111" s="1308"/>
      <c r="AAB111" s="1308"/>
      <c r="AAC111" s="1308"/>
      <c r="AAD111" s="1308"/>
      <c r="AAE111" s="1308"/>
      <c r="AAF111" s="1308"/>
      <c r="AAG111" s="1308"/>
      <c r="AAH111" s="1308"/>
      <c r="AAI111" s="1308"/>
      <c r="AAJ111" s="1308"/>
      <c r="AAK111" s="1308"/>
      <c r="AAL111" s="1308"/>
      <c r="AAM111" s="1308"/>
      <c r="AAN111" s="1308"/>
      <c r="AAO111" s="1308"/>
      <c r="AAP111" s="1308"/>
      <c r="AAQ111" s="1308"/>
      <c r="AAR111" s="1308"/>
      <c r="AAS111" s="1308"/>
      <c r="AAT111" s="1308"/>
      <c r="AAU111" s="1308"/>
      <c r="AAV111" s="1308"/>
      <c r="AAW111" s="1308"/>
      <c r="AAX111" s="1308"/>
      <c r="AAY111" s="1308"/>
      <c r="AAZ111" s="1308"/>
      <c r="ABA111" s="1308"/>
      <c r="ABB111" s="1308"/>
      <c r="ABC111" s="1308"/>
      <c r="ABD111" s="1308"/>
      <c r="ABE111" s="1308"/>
      <c r="ABF111" s="1308"/>
      <c r="ABG111" s="1308"/>
      <c r="ABH111" s="1308"/>
      <c r="ABI111" s="1308"/>
      <c r="ABJ111" s="1308"/>
      <c r="ABK111" s="1308"/>
      <c r="ABL111" s="1308"/>
      <c r="ABM111" s="1308"/>
      <c r="ABN111" s="1308"/>
      <c r="ABO111" s="1308"/>
      <c r="ABP111" s="1308"/>
      <c r="ABQ111" s="1308"/>
      <c r="ABR111" s="1308"/>
      <c r="ABS111" s="1308"/>
      <c r="ABT111" s="1308"/>
      <c r="ABU111" s="1308"/>
      <c r="ABV111" s="1308"/>
      <c r="ABW111" s="1308"/>
      <c r="ABX111" s="1308"/>
      <c r="ABY111" s="1308"/>
      <c r="ABZ111" s="1308"/>
      <c r="ACA111" s="1308"/>
      <c r="ACB111" s="1308"/>
      <c r="ACC111" s="1308"/>
      <c r="ACD111" s="1308"/>
      <c r="ACE111" s="1308"/>
      <c r="ACF111" s="1308"/>
      <c r="ACG111" s="1308"/>
      <c r="ACH111" s="1308"/>
      <c r="ACI111" s="1308"/>
      <c r="ACJ111" s="1308"/>
      <c r="ACK111" s="1308"/>
      <c r="ACL111" s="1308"/>
      <c r="ACM111" s="1308"/>
      <c r="ACN111" s="1308"/>
      <c r="ACO111" s="1308"/>
      <c r="ACP111" s="1308"/>
      <c r="ACQ111" s="1308"/>
      <c r="ACR111" s="1308"/>
      <c r="ACS111" s="1308"/>
      <c r="ACT111" s="1308"/>
      <c r="ACU111" s="1308"/>
      <c r="ACV111" s="1308"/>
      <c r="ACW111" s="1308"/>
      <c r="ACX111" s="1308"/>
      <c r="ACY111" s="1308"/>
      <c r="ACZ111" s="1308"/>
      <c r="ADA111" s="1308"/>
      <c r="ADB111" s="1308"/>
      <c r="ADC111" s="1308"/>
      <c r="ADD111" s="1308"/>
      <c r="ADE111" s="1308"/>
      <c r="ADF111" s="1308"/>
      <c r="ADG111" s="1308"/>
      <c r="ADH111" s="1308"/>
      <c r="ADI111" s="1308"/>
      <c r="ADJ111" s="1308"/>
      <c r="ADK111" s="1308"/>
      <c r="ADL111" s="1308"/>
      <c r="ADM111" s="1308"/>
      <c r="ADN111" s="1308"/>
      <c r="ADO111" s="1308"/>
      <c r="ADP111" s="1308"/>
      <c r="ADQ111" s="1308"/>
      <c r="ADR111" s="1308"/>
      <c r="ADS111" s="1308"/>
      <c r="ADT111" s="1308"/>
      <c r="ADU111" s="1308"/>
      <c r="ADV111" s="1308"/>
      <c r="ADW111" s="1308"/>
      <c r="ADX111" s="1308"/>
      <c r="ADY111" s="1308"/>
      <c r="ADZ111" s="1308"/>
      <c r="AEA111" s="1308"/>
      <c r="AEB111" s="1308"/>
      <c r="AEC111" s="1308"/>
      <c r="AED111" s="1308"/>
      <c r="AEE111" s="1308"/>
      <c r="AEF111" s="1308"/>
      <c r="AEG111" s="1308"/>
      <c r="AEH111" s="1308"/>
      <c r="AEI111" s="1308"/>
      <c r="AEJ111" s="1308"/>
      <c r="AEK111" s="1308"/>
      <c r="AEL111" s="1308"/>
      <c r="AEM111" s="1308"/>
      <c r="AEN111" s="1308"/>
      <c r="AEO111" s="1308"/>
      <c r="AEP111" s="1308"/>
      <c r="AEQ111" s="1308"/>
      <c r="AER111" s="1308"/>
      <c r="AES111" s="1308"/>
      <c r="AET111" s="1308"/>
      <c r="AEU111" s="1308"/>
      <c r="AEV111" s="1308"/>
      <c r="AEW111" s="1308"/>
      <c r="AEX111" s="1308"/>
      <c r="AEY111" s="1308"/>
      <c r="AEZ111" s="1308"/>
      <c r="AFA111" s="1308"/>
      <c r="AFB111" s="1308"/>
      <c r="AFC111" s="1308"/>
      <c r="AFD111" s="1308"/>
      <c r="AFE111" s="1308"/>
      <c r="AFF111" s="1308"/>
      <c r="AFG111" s="1308"/>
      <c r="AFH111" s="1308"/>
      <c r="AFI111" s="1308"/>
      <c r="AFJ111" s="1308"/>
      <c r="AFK111" s="1308"/>
      <c r="AFL111" s="1308"/>
      <c r="AFM111" s="1308"/>
      <c r="AFN111" s="1308"/>
      <c r="AFO111" s="1308"/>
      <c r="AFP111" s="1308"/>
      <c r="AFQ111" s="1308"/>
      <c r="AFR111" s="1308"/>
      <c r="AFS111" s="1308"/>
      <c r="AFT111" s="1308"/>
      <c r="AFU111" s="1308"/>
      <c r="AFV111" s="1308"/>
      <c r="AFW111" s="1308"/>
      <c r="AFX111" s="1308"/>
      <c r="AFY111" s="1308"/>
      <c r="AFZ111" s="1308"/>
      <c r="AGA111" s="1308"/>
      <c r="AGB111" s="1308"/>
      <c r="AGC111" s="1308"/>
      <c r="AGD111" s="1308"/>
      <c r="AGE111" s="1308"/>
      <c r="AGF111" s="1308"/>
      <c r="AGG111" s="1308"/>
      <c r="AGH111" s="1308"/>
      <c r="AGI111" s="1308"/>
      <c r="AGJ111" s="1308"/>
      <c r="AGK111" s="1308"/>
      <c r="AGL111" s="1308"/>
      <c r="AGM111" s="1308"/>
      <c r="AGN111" s="1308"/>
      <c r="AGO111" s="1308"/>
      <c r="AGP111" s="1308"/>
      <c r="AGQ111" s="1308"/>
      <c r="AGR111" s="1308"/>
      <c r="AGS111" s="1308"/>
      <c r="AGT111" s="1308"/>
      <c r="AGU111" s="1308"/>
      <c r="AGV111" s="1308"/>
      <c r="AGW111" s="1308"/>
      <c r="AGX111" s="1308"/>
      <c r="AGY111" s="1308"/>
      <c r="AGZ111" s="1308"/>
      <c r="AHA111" s="1308"/>
      <c r="AHB111" s="1308"/>
      <c r="AHC111" s="1308"/>
      <c r="AHD111" s="1308"/>
      <c r="AHE111" s="1308"/>
      <c r="AHF111" s="1308"/>
      <c r="AHG111" s="1308"/>
      <c r="AHH111" s="1308"/>
      <c r="AHI111" s="1308"/>
      <c r="AHJ111" s="1308"/>
      <c r="AHK111" s="1308"/>
      <c r="AHL111" s="1308"/>
      <c r="AHM111" s="1308"/>
      <c r="AHN111" s="1308"/>
      <c r="AHO111" s="1308"/>
      <c r="AHP111" s="1308"/>
      <c r="AHQ111" s="1308"/>
      <c r="AHR111" s="1308"/>
      <c r="AHS111" s="1308"/>
      <c r="AHT111" s="1308"/>
      <c r="AHU111" s="1308"/>
      <c r="AHV111" s="1308"/>
      <c r="AHW111" s="1308"/>
      <c r="AHX111" s="1308"/>
      <c r="AHY111" s="1308"/>
      <c r="AHZ111" s="1308"/>
      <c r="AIA111" s="1308"/>
      <c r="AIB111" s="1308"/>
      <c r="AIC111" s="1308"/>
      <c r="AID111" s="1308"/>
      <c r="AIE111" s="1308"/>
      <c r="AIF111" s="1308"/>
      <c r="AIG111" s="1308"/>
      <c r="AIH111" s="1308"/>
      <c r="AII111" s="1308"/>
      <c r="AIJ111" s="1308"/>
      <c r="AIK111" s="1308"/>
      <c r="AIL111" s="1308"/>
      <c r="AIM111" s="1308"/>
      <c r="AIN111" s="1308"/>
      <c r="AIO111" s="1308"/>
      <c r="AIP111" s="1308"/>
      <c r="AIQ111" s="1308"/>
      <c r="AIR111" s="1308"/>
      <c r="AIS111" s="1308"/>
      <c r="AIT111" s="1308"/>
      <c r="AIU111" s="1308"/>
      <c r="AIV111" s="1308"/>
      <c r="AIW111" s="1308"/>
      <c r="AIX111" s="1308"/>
      <c r="AIY111" s="1308"/>
      <c r="AIZ111" s="1308"/>
      <c r="AJA111" s="1308"/>
      <c r="AJB111" s="1308"/>
      <c r="AJC111" s="1308"/>
      <c r="AJD111" s="1308"/>
      <c r="AJE111" s="1308"/>
      <c r="AJF111" s="1308"/>
      <c r="AJG111" s="1308"/>
      <c r="AJH111" s="1308"/>
      <c r="AJI111" s="1308"/>
      <c r="AJJ111" s="1308"/>
      <c r="AJK111" s="1308"/>
      <c r="AJL111" s="1308"/>
      <c r="AJM111" s="1308"/>
      <c r="AJN111" s="1308"/>
      <c r="AJO111" s="1308"/>
      <c r="AJP111" s="1308"/>
      <c r="AJQ111" s="1308"/>
      <c r="AJR111" s="1308"/>
      <c r="AJS111" s="1308"/>
      <c r="AJT111" s="1308"/>
      <c r="AJU111" s="1308"/>
      <c r="AJV111" s="1308"/>
      <c r="AJW111" s="1308"/>
      <c r="AJX111" s="1308"/>
      <c r="AJY111" s="1308"/>
      <c r="AJZ111" s="1308"/>
      <c r="AKA111" s="1308"/>
      <c r="AKB111" s="1308"/>
      <c r="AKC111" s="1308"/>
      <c r="AKD111" s="1308"/>
      <c r="AKE111" s="1308"/>
      <c r="AKF111" s="1308"/>
      <c r="AKG111" s="1308"/>
      <c r="AKH111" s="1308"/>
      <c r="AKI111" s="1308"/>
      <c r="AKJ111" s="1308"/>
      <c r="AKK111" s="1308"/>
      <c r="AKL111" s="1308"/>
      <c r="AKM111" s="1308"/>
      <c r="AKN111" s="1308"/>
      <c r="AKO111" s="1308"/>
      <c r="AKP111" s="1308"/>
      <c r="AKQ111" s="1308"/>
      <c r="AKR111" s="1308"/>
      <c r="AKS111" s="1308"/>
      <c r="AKT111" s="1308"/>
      <c r="AKU111" s="1308"/>
      <c r="AKV111" s="1308"/>
      <c r="AKW111" s="1308"/>
      <c r="AKX111" s="1308"/>
      <c r="AKY111" s="1308"/>
      <c r="AKZ111" s="1308"/>
      <c r="ALA111" s="1308"/>
      <c r="ALB111" s="1308"/>
      <c r="ALC111" s="1308"/>
      <c r="ALD111" s="1308"/>
      <c r="ALE111" s="1308"/>
      <c r="ALF111" s="1308"/>
      <c r="ALG111" s="1308"/>
      <c r="ALH111" s="1308"/>
      <c r="ALI111" s="1308"/>
      <c r="ALJ111" s="1308"/>
      <c r="ALK111" s="1308"/>
      <c r="ALL111" s="1308"/>
      <c r="ALM111" s="1308"/>
      <c r="ALN111" s="1308"/>
      <c r="ALO111" s="1308"/>
      <c r="ALP111" s="1308"/>
      <c r="ALQ111" s="1308"/>
      <c r="ALR111" s="1308"/>
      <c r="ALS111" s="1308"/>
      <c r="ALT111" s="1308"/>
      <c r="ALU111" s="1308"/>
      <c r="ALV111" s="1308"/>
      <c r="ALW111" s="1308"/>
      <c r="ALX111" s="1308"/>
      <c r="ALY111" s="1308"/>
      <c r="ALZ111" s="1308"/>
      <c r="AMA111" s="1308"/>
      <c r="AMB111" s="1308"/>
      <c r="AMC111" s="1308"/>
      <c r="AMD111" s="1308"/>
      <c r="AME111" s="1308"/>
      <c r="AMF111" s="1308"/>
      <c r="AMG111" s="1308"/>
      <c r="AMH111" s="1308"/>
      <c r="AMI111" s="1308"/>
      <c r="AMJ111" s="1308"/>
      <c r="AMK111" s="1308"/>
      <c r="AML111" s="1308"/>
      <c r="AMM111" s="1308"/>
      <c r="AMN111" s="1308"/>
      <c r="AMO111" s="1308"/>
      <c r="AMP111" s="1308"/>
      <c r="AMQ111" s="1308"/>
      <c r="AMR111" s="1308"/>
      <c r="AMS111" s="1308"/>
      <c r="AMT111" s="1308"/>
      <c r="AMU111" s="1308"/>
      <c r="AMV111" s="1308"/>
      <c r="AMW111" s="1308"/>
      <c r="AMX111" s="1308"/>
      <c r="AMY111" s="1308"/>
      <c r="AMZ111" s="1308"/>
      <c r="ANA111" s="1308"/>
      <c r="ANB111" s="1308"/>
      <c r="ANC111" s="1308"/>
      <c r="AND111" s="1308"/>
      <c r="ANE111" s="1308"/>
      <c r="ANF111" s="1308"/>
      <c r="ANG111" s="1308"/>
      <c r="ANH111" s="1308"/>
      <c r="ANI111" s="1308"/>
      <c r="ANJ111" s="1308"/>
      <c r="ANK111" s="1308"/>
      <c r="ANL111" s="1308"/>
      <c r="ANM111" s="1308"/>
      <c r="ANN111" s="1308"/>
      <c r="ANO111" s="1308"/>
      <c r="ANP111" s="1308"/>
      <c r="ANQ111" s="1308"/>
      <c r="ANR111" s="1308"/>
      <c r="ANS111" s="1308"/>
      <c r="ANT111" s="1308"/>
      <c r="ANU111" s="1308"/>
      <c r="ANV111" s="1308"/>
      <c r="ANW111" s="1308"/>
      <c r="ANX111" s="1308"/>
      <c r="ANY111" s="1308"/>
      <c r="ANZ111" s="1308"/>
      <c r="AOA111" s="1308"/>
      <c r="AOB111" s="1308"/>
      <c r="AOC111" s="1308"/>
      <c r="AOD111" s="1308"/>
      <c r="AOE111" s="1308"/>
      <c r="AOF111" s="1308"/>
      <c r="AOG111" s="1308"/>
      <c r="AOH111" s="1308"/>
      <c r="AOI111" s="1308"/>
      <c r="AOJ111" s="1308"/>
      <c r="AOK111" s="1308"/>
      <c r="AOL111" s="1308"/>
      <c r="AOM111" s="1308"/>
      <c r="AON111" s="1308"/>
      <c r="AOO111" s="1308"/>
      <c r="AOP111" s="1308"/>
      <c r="AOQ111" s="1308"/>
      <c r="AOR111" s="1308"/>
      <c r="AOS111" s="1308"/>
      <c r="AOT111" s="1308"/>
      <c r="AOU111" s="1308"/>
      <c r="AOV111" s="1308"/>
      <c r="AOW111" s="1308"/>
      <c r="AOX111" s="1308"/>
      <c r="AOY111" s="1308"/>
      <c r="AOZ111" s="1308"/>
      <c r="APA111" s="1308"/>
      <c r="APB111" s="1308"/>
      <c r="APC111" s="1308"/>
      <c r="APD111" s="1308"/>
      <c r="APE111" s="1308"/>
      <c r="APF111" s="1308"/>
      <c r="APG111" s="1308"/>
      <c r="APH111" s="1308"/>
      <c r="API111" s="1308"/>
      <c r="APJ111" s="1308"/>
      <c r="APK111" s="1308"/>
      <c r="APL111" s="1308"/>
      <c r="APM111" s="1308"/>
      <c r="APN111" s="1308"/>
      <c r="APO111" s="1308"/>
      <c r="APP111" s="1308"/>
      <c r="APQ111" s="1308"/>
      <c r="APR111" s="1308"/>
      <c r="APS111" s="1308"/>
      <c r="APT111" s="1308"/>
      <c r="APU111" s="1308"/>
      <c r="APV111" s="1308"/>
      <c r="APW111" s="1308"/>
      <c r="APX111" s="1308"/>
      <c r="APY111" s="1308"/>
      <c r="APZ111" s="1308"/>
      <c r="AQA111" s="1308"/>
      <c r="AQB111" s="1308"/>
      <c r="AQC111" s="1308"/>
      <c r="AQD111" s="1308"/>
      <c r="AQE111" s="1308"/>
      <c r="AQF111" s="1308"/>
      <c r="AQG111" s="1308"/>
      <c r="AQH111" s="1308"/>
      <c r="AQI111" s="1308"/>
      <c r="AQJ111" s="1308"/>
      <c r="AQK111" s="1308"/>
      <c r="AQL111" s="1308"/>
      <c r="AQM111" s="1308"/>
      <c r="AQN111" s="1308"/>
      <c r="AQO111" s="1308"/>
      <c r="AQP111" s="1308"/>
      <c r="AQQ111" s="1308"/>
      <c r="AQR111" s="1308"/>
      <c r="AQS111" s="1308"/>
      <c r="AQT111" s="1308"/>
      <c r="AQU111" s="1308"/>
      <c r="AQV111" s="1308"/>
      <c r="AQW111" s="1308"/>
      <c r="AQX111" s="1308"/>
      <c r="AQY111" s="1308"/>
      <c r="AQZ111" s="1308"/>
      <c r="ARA111" s="1308"/>
      <c r="ARB111" s="1308"/>
      <c r="ARC111" s="1308"/>
      <c r="ARD111" s="1308"/>
      <c r="ARE111" s="1308"/>
      <c r="ARF111" s="1308"/>
      <c r="ARG111" s="1308"/>
      <c r="ARH111" s="1308"/>
      <c r="ARI111" s="1308"/>
      <c r="ARJ111" s="1308"/>
      <c r="ARK111" s="1308"/>
      <c r="ARL111" s="1308"/>
      <c r="ARM111" s="1308"/>
      <c r="ARN111" s="1308"/>
      <c r="ARO111" s="1308"/>
      <c r="ARP111" s="1308"/>
      <c r="ARQ111" s="1308"/>
      <c r="ARR111" s="1308"/>
      <c r="ARS111" s="1308"/>
      <c r="ART111" s="1308"/>
      <c r="ARU111" s="1308"/>
      <c r="ARV111" s="1308"/>
      <c r="ARW111" s="1308"/>
      <c r="ARX111" s="1308"/>
      <c r="ARY111" s="1308"/>
      <c r="ARZ111" s="1308"/>
      <c r="ASA111" s="1308"/>
      <c r="ASB111" s="1308"/>
      <c r="ASC111" s="1308"/>
      <c r="ASD111" s="1308"/>
      <c r="ASE111" s="1308"/>
      <c r="ASF111" s="1308"/>
      <c r="ASG111" s="1308"/>
      <c r="ASH111" s="1308"/>
      <c r="ASI111" s="1308"/>
      <c r="ASJ111" s="1308"/>
      <c r="ASK111" s="1308"/>
      <c r="ASL111" s="1308"/>
      <c r="ASM111" s="1308"/>
      <c r="ASN111" s="1308"/>
      <c r="ASO111" s="1308"/>
      <c r="ASP111" s="1308"/>
      <c r="ASQ111" s="1308"/>
      <c r="ASR111" s="1308"/>
      <c r="ASS111" s="1308"/>
      <c r="AST111" s="1308"/>
      <c r="ASU111" s="1308"/>
      <c r="ASV111" s="1308"/>
      <c r="ASW111" s="1308"/>
      <c r="ASX111" s="1308"/>
      <c r="ASY111" s="1308"/>
      <c r="ASZ111" s="1308"/>
      <c r="ATA111" s="1308"/>
      <c r="ATB111" s="1308"/>
      <c r="ATC111" s="1308"/>
      <c r="ATD111" s="1308"/>
      <c r="ATE111" s="1308"/>
      <c r="ATF111" s="1308"/>
      <c r="ATG111" s="1308"/>
      <c r="ATH111" s="1308"/>
      <c r="ATI111" s="1308"/>
      <c r="ATJ111" s="1308"/>
      <c r="ATK111" s="1308"/>
      <c r="ATL111" s="1308"/>
      <c r="ATM111" s="1308"/>
      <c r="ATN111" s="1308"/>
      <c r="ATO111" s="1308"/>
      <c r="ATP111" s="1308"/>
      <c r="ATQ111" s="1308"/>
      <c r="ATR111" s="1308"/>
      <c r="ATS111" s="1308"/>
      <c r="ATT111" s="1308"/>
      <c r="ATU111" s="1308"/>
      <c r="ATV111" s="1308"/>
      <c r="ATW111" s="1308"/>
      <c r="ATX111" s="1308"/>
      <c r="ATY111" s="1308"/>
      <c r="ATZ111" s="1308"/>
      <c r="AUA111" s="1308"/>
      <c r="AUB111" s="1308"/>
      <c r="AUC111" s="1308"/>
      <c r="AUD111" s="1308"/>
      <c r="AUE111" s="1308"/>
      <c r="AUF111" s="1308"/>
      <c r="AUG111" s="1308"/>
      <c r="AUH111" s="1308"/>
      <c r="AUI111" s="1308"/>
      <c r="AUJ111" s="1308"/>
      <c r="AUK111" s="1308"/>
      <c r="AUL111" s="1308"/>
      <c r="AUM111" s="1308"/>
      <c r="AUN111" s="1308"/>
      <c r="AUO111" s="1308"/>
      <c r="AUP111" s="1308"/>
      <c r="AUQ111" s="1308"/>
      <c r="AUR111" s="1308"/>
      <c r="AUS111" s="1308"/>
      <c r="AUT111" s="1308"/>
      <c r="AUU111" s="1308"/>
      <c r="AUV111" s="1308"/>
      <c r="AUW111" s="1308"/>
      <c r="AUX111" s="1308"/>
      <c r="AUY111" s="1308"/>
      <c r="AUZ111" s="1308"/>
      <c r="AVA111" s="1308"/>
      <c r="AVB111" s="1308"/>
      <c r="AVC111" s="1308"/>
      <c r="AVD111" s="1308"/>
      <c r="AVE111" s="1308"/>
      <c r="AVF111" s="1308"/>
      <c r="AVG111" s="1308"/>
      <c r="AVH111" s="1308"/>
      <c r="AVI111" s="1308"/>
      <c r="AVJ111" s="1308"/>
      <c r="AVK111" s="1308"/>
      <c r="AVL111" s="1308"/>
      <c r="AVM111" s="1308"/>
      <c r="AVN111" s="1308"/>
      <c r="AVO111" s="1308"/>
      <c r="AVP111" s="1308"/>
      <c r="AVQ111" s="1308"/>
      <c r="AVR111" s="1308"/>
      <c r="AVS111" s="1308"/>
      <c r="AVT111" s="1308"/>
      <c r="AVU111" s="1308"/>
      <c r="AVV111" s="1308"/>
      <c r="AVW111" s="1308"/>
      <c r="AVX111" s="1308"/>
      <c r="AVY111" s="1308"/>
      <c r="AVZ111" s="1308"/>
      <c r="AWA111" s="1308"/>
      <c r="AWB111" s="1308"/>
      <c r="AWC111" s="1308"/>
      <c r="AWD111" s="1308"/>
      <c r="AWE111" s="1308"/>
      <c r="AWF111" s="1308"/>
      <c r="AWG111" s="1308"/>
      <c r="AWH111" s="1308"/>
      <c r="AWI111" s="1308"/>
      <c r="AWJ111" s="1308"/>
      <c r="AWK111" s="1308"/>
      <c r="AWL111" s="1308"/>
      <c r="AWM111" s="1308"/>
      <c r="AWN111" s="1308"/>
      <c r="AWO111" s="1308"/>
      <c r="AWP111" s="1308"/>
      <c r="AWQ111" s="1308"/>
      <c r="AWR111" s="1308"/>
      <c r="AWS111" s="1308"/>
      <c r="AWT111" s="1308"/>
      <c r="AWU111" s="1308"/>
      <c r="AWV111" s="1308"/>
      <c r="AWW111" s="1308"/>
      <c r="AWX111" s="1308"/>
      <c r="AWY111" s="1308"/>
      <c r="AWZ111" s="1308"/>
      <c r="AXA111" s="1308"/>
      <c r="AXB111" s="1308"/>
      <c r="AXC111" s="1308"/>
      <c r="AXD111" s="1308"/>
      <c r="AXE111" s="1308"/>
      <c r="AXF111" s="1308"/>
      <c r="AXG111" s="1308"/>
      <c r="AXH111" s="1308"/>
      <c r="AXI111" s="1308"/>
      <c r="AXJ111" s="1308"/>
      <c r="AXK111" s="1308"/>
      <c r="AXL111" s="1308"/>
      <c r="AXM111" s="1308"/>
      <c r="AXN111" s="1308"/>
      <c r="AXO111" s="1308"/>
      <c r="AXP111" s="1308"/>
      <c r="AXQ111" s="1308"/>
      <c r="AXR111" s="1308"/>
      <c r="AXS111" s="1308"/>
      <c r="AXT111" s="1308"/>
      <c r="AXU111" s="1308"/>
      <c r="AXV111" s="1308"/>
      <c r="AXW111" s="1308"/>
      <c r="AXX111" s="1308"/>
      <c r="AXY111" s="1308"/>
      <c r="AXZ111" s="1308"/>
      <c r="AYA111" s="1308"/>
      <c r="AYB111" s="1308"/>
      <c r="AYC111" s="1308"/>
      <c r="AYD111" s="1308"/>
      <c r="AYE111" s="1308"/>
      <c r="AYF111" s="1308"/>
      <c r="AYG111" s="1308"/>
      <c r="AYH111" s="1308"/>
      <c r="AYI111" s="1308"/>
      <c r="AYJ111" s="1308"/>
      <c r="AYK111" s="1308"/>
      <c r="AYL111" s="1308"/>
      <c r="AYM111" s="1308"/>
      <c r="AYN111" s="1308"/>
      <c r="AYO111" s="1308"/>
      <c r="AYP111" s="1308"/>
      <c r="AYQ111" s="1308"/>
      <c r="AYR111" s="1308"/>
      <c r="AYS111" s="1308"/>
      <c r="AYT111" s="1308"/>
      <c r="AYU111" s="1308"/>
      <c r="AYV111" s="1308"/>
      <c r="AYW111" s="1308"/>
      <c r="AYX111" s="1308"/>
      <c r="AYY111" s="1308"/>
      <c r="AYZ111" s="1308"/>
      <c r="AZA111" s="1308"/>
      <c r="AZB111" s="1308"/>
      <c r="AZC111" s="1308"/>
      <c r="AZD111" s="1308"/>
      <c r="AZE111" s="1308"/>
      <c r="AZF111" s="1308"/>
      <c r="AZG111" s="1308"/>
      <c r="AZH111" s="1308"/>
      <c r="AZI111" s="1308"/>
      <c r="AZJ111" s="1308"/>
      <c r="AZK111" s="1308"/>
      <c r="AZL111" s="1308"/>
      <c r="AZM111" s="1308"/>
      <c r="AZN111" s="1308"/>
      <c r="AZO111" s="1308"/>
      <c r="AZP111" s="1308"/>
      <c r="AZQ111" s="1308"/>
      <c r="AZR111" s="1308"/>
      <c r="AZS111" s="1308"/>
      <c r="AZT111" s="1308"/>
      <c r="AZU111" s="1308"/>
      <c r="AZV111" s="1308"/>
      <c r="AZW111" s="1308"/>
      <c r="AZX111" s="1308"/>
      <c r="AZY111" s="1308"/>
      <c r="AZZ111" s="1308"/>
      <c r="BAA111" s="1308"/>
      <c r="BAB111" s="1308"/>
      <c r="BAC111" s="1308"/>
      <c r="BAD111" s="1308"/>
      <c r="BAE111" s="1308"/>
      <c r="BAF111" s="1308"/>
      <c r="BAG111" s="1308"/>
      <c r="BAH111" s="1308"/>
      <c r="BAI111" s="1308"/>
      <c r="BAJ111" s="1308"/>
      <c r="BAK111" s="1308"/>
      <c r="BAL111" s="1308"/>
      <c r="BAM111" s="1308"/>
      <c r="BAN111" s="1308"/>
      <c r="BAO111" s="1308"/>
      <c r="BAP111" s="1308"/>
      <c r="BAQ111" s="1308"/>
      <c r="BAR111" s="1308"/>
      <c r="BAS111" s="1308"/>
      <c r="BAT111" s="1308"/>
      <c r="BAU111" s="1308"/>
      <c r="BAV111" s="1308"/>
      <c r="BAW111" s="1308"/>
      <c r="BAX111" s="1308"/>
      <c r="BAY111" s="1308"/>
      <c r="BAZ111" s="1308"/>
      <c r="BBA111" s="1308"/>
      <c r="BBB111" s="1308"/>
      <c r="BBC111" s="1308"/>
      <c r="BBD111" s="1308"/>
      <c r="BBE111" s="1308"/>
      <c r="BBF111" s="1308"/>
      <c r="BBG111" s="1308"/>
      <c r="BBH111" s="1308"/>
      <c r="BBI111" s="1308"/>
      <c r="BBJ111" s="1308"/>
      <c r="BBK111" s="1308"/>
      <c r="BBL111" s="1308"/>
      <c r="BBM111" s="1308"/>
      <c r="BBN111" s="1308"/>
      <c r="BBO111" s="1308"/>
      <c r="BBP111" s="1308"/>
      <c r="BBQ111" s="1308"/>
      <c r="BBR111" s="1308"/>
      <c r="BBS111" s="1308"/>
      <c r="BBT111" s="1308"/>
      <c r="BBU111" s="1308"/>
      <c r="BBV111" s="1308"/>
      <c r="BBW111" s="1308"/>
      <c r="BBX111" s="1308"/>
      <c r="BBY111" s="1308"/>
      <c r="BBZ111" s="1308"/>
      <c r="BCA111" s="1308"/>
      <c r="BCB111" s="1308"/>
      <c r="BCC111" s="1308"/>
      <c r="BCD111" s="1308"/>
      <c r="BCE111" s="1308"/>
      <c r="BCF111" s="1308"/>
      <c r="BCG111" s="1308"/>
      <c r="BCH111" s="1308"/>
      <c r="BCI111" s="1308"/>
      <c r="BCJ111" s="1308"/>
      <c r="BCK111" s="1308"/>
      <c r="BCL111" s="1308"/>
      <c r="BCM111" s="1308"/>
      <c r="BCN111" s="1308"/>
      <c r="BCO111" s="1308"/>
      <c r="BCP111" s="1308"/>
      <c r="BCQ111" s="1308"/>
      <c r="BCR111" s="1308"/>
      <c r="BCS111" s="1308"/>
      <c r="BCT111" s="1308"/>
      <c r="BCU111" s="1308"/>
      <c r="BCV111" s="1308"/>
      <c r="BCW111" s="1308"/>
      <c r="BCX111" s="1308"/>
      <c r="BCY111" s="1308"/>
      <c r="BCZ111" s="1308"/>
      <c r="BDA111" s="1308"/>
      <c r="BDB111" s="1308"/>
      <c r="BDC111" s="1308"/>
      <c r="BDD111" s="1308"/>
      <c r="BDE111" s="1308"/>
      <c r="BDF111" s="1308"/>
      <c r="BDG111" s="1308"/>
      <c r="BDH111" s="1308"/>
      <c r="BDI111" s="1308"/>
      <c r="BDJ111" s="1308"/>
      <c r="BDK111" s="1308"/>
      <c r="BDL111" s="1308"/>
      <c r="BDM111" s="1308"/>
      <c r="BDN111" s="1308"/>
      <c r="BDO111" s="1308"/>
      <c r="BDP111" s="1308"/>
      <c r="BDQ111" s="1308"/>
      <c r="BDR111" s="1308"/>
      <c r="BDS111" s="1308"/>
      <c r="BDT111" s="1308"/>
      <c r="BDU111" s="1308"/>
      <c r="BDV111" s="1308"/>
      <c r="BDW111" s="1308"/>
      <c r="BDX111" s="1308"/>
      <c r="BDY111" s="1308"/>
      <c r="BDZ111" s="1308"/>
      <c r="BEA111" s="1308"/>
      <c r="BEB111" s="1308"/>
      <c r="BEC111" s="1308"/>
      <c r="BED111" s="1308"/>
      <c r="BEE111" s="1308"/>
      <c r="BEF111" s="1308"/>
      <c r="BEG111" s="1308"/>
      <c r="BEH111" s="1308"/>
      <c r="BEI111" s="1308"/>
      <c r="BEJ111" s="1308"/>
      <c r="BEK111" s="1308"/>
      <c r="BEL111" s="1308"/>
      <c r="BEM111" s="1308"/>
      <c r="BEN111" s="1308"/>
      <c r="BEO111" s="1308"/>
      <c r="BEP111" s="1308"/>
      <c r="BEQ111" s="1308"/>
      <c r="BER111" s="1308"/>
      <c r="BES111" s="1308"/>
      <c r="BET111" s="1308"/>
      <c r="BEU111" s="1308"/>
      <c r="BEV111" s="1308"/>
      <c r="BEW111" s="1308"/>
      <c r="BEX111" s="1308"/>
      <c r="BEY111" s="1308"/>
      <c r="BEZ111" s="1308"/>
      <c r="BFA111" s="1308"/>
      <c r="BFB111" s="1308"/>
      <c r="BFC111" s="1308"/>
      <c r="BFD111" s="1308"/>
      <c r="BFE111" s="1308"/>
      <c r="BFF111" s="1308"/>
      <c r="BFG111" s="1308"/>
      <c r="BFH111" s="1308"/>
      <c r="BFI111" s="1308"/>
      <c r="BFJ111" s="1308"/>
      <c r="BFK111" s="1308"/>
      <c r="BFL111" s="1308"/>
      <c r="BFM111" s="1308"/>
      <c r="BFN111" s="1308"/>
      <c r="BFO111" s="1308"/>
      <c r="BFP111" s="1308"/>
      <c r="BFQ111" s="1308"/>
      <c r="BFR111" s="1308"/>
      <c r="BFS111" s="1308"/>
      <c r="BFT111" s="1308"/>
      <c r="BFU111" s="1308"/>
      <c r="BFV111" s="1308"/>
      <c r="BFW111" s="1308"/>
      <c r="BFX111" s="1308"/>
      <c r="BFY111" s="1308"/>
      <c r="BFZ111" s="1308"/>
      <c r="BGA111" s="1308"/>
      <c r="BGB111" s="1308"/>
      <c r="BGC111" s="1308"/>
      <c r="BGD111" s="1308"/>
      <c r="BGE111" s="1308"/>
      <c r="BGF111" s="1308"/>
      <c r="BGG111" s="1308"/>
      <c r="BGH111" s="1308"/>
      <c r="BGI111" s="1308"/>
      <c r="BGJ111" s="1308"/>
      <c r="BGK111" s="1308"/>
      <c r="BGL111" s="1308"/>
      <c r="BGM111" s="1308"/>
      <c r="BGN111" s="1308"/>
      <c r="BGO111" s="1308"/>
      <c r="BGP111" s="1308"/>
      <c r="BGQ111" s="1308"/>
      <c r="BGR111" s="1308"/>
      <c r="BGS111" s="1308"/>
      <c r="BGT111" s="1308"/>
      <c r="BGU111" s="1308"/>
      <c r="BGV111" s="1308"/>
      <c r="BGW111" s="1308"/>
      <c r="BGX111" s="1308"/>
      <c r="BGY111" s="1308"/>
      <c r="BGZ111" s="1308"/>
      <c r="BHA111" s="1308"/>
      <c r="BHB111" s="1308"/>
      <c r="BHC111" s="1308"/>
      <c r="BHD111" s="1308"/>
      <c r="BHE111" s="1308"/>
      <c r="BHF111" s="1308"/>
      <c r="BHG111" s="1308"/>
      <c r="BHH111" s="1308"/>
      <c r="BHI111" s="1308"/>
      <c r="BHJ111" s="1308"/>
      <c r="BHK111" s="1308"/>
      <c r="BHL111" s="1308"/>
      <c r="BHM111" s="1308"/>
      <c r="BHN111" s="1308"/>
      <c r="BHO111" s="1308"/>
      <c r="BHP111" s="1308"/>
      <c r="BHQ111" s="1308"/>
      <c r="BHR111" s="1308"/>
      <c r="BHS111" s="1308"/>
      <c r="BHT111" s="1308"/>
      <c r="BHU111" s="1308"/>
      <c r="BHV111" s="1308"/>
      <c r="BHW111" s="1308"/>
      <c r="BHX111" s="1308"/>
      <c r="BHY111" s="1308"/>
      <c r="BHZ111" s="1308"/>
      <c r="BIA111" s="1308"/>
      <c r="BIB111" s="1308"/>
      <c r="BIC111" s="1308"/>
      <c r="BID111" s="1308"/>
      <c r="BIE111" s="1308"/>
      <c r="BIF111" s="1308"/>
      <c r="BIG111" s="1308"/>
      <c r="BIH111" s="1308"/>
      <c r="BII111" s="1308"/>
      <c r="BIJ111" s="1308"/>
      <c r="BIK111" s="1308"/>
      <c r="BIL111" s="1308"/>
      <c r="BIM111" s="1308"/>
      <c r="BIN111" s="1308"/>
      <c r="BIO111" s="1308"/>
      <c r="BIP111" s="1308"/>
      <c r="BIQ111" s="1308"/>
      <c r="BIR111" s="1308"/>
      <c r="BIS111" s="1308"/>
      <c r="BIT111" s="1308"/>
      <c r="BIU111" s="1308"/>
      <c r="BIV111" s="1308"/>
      <c r="BIW111" s="1308"/>
      <c r="BIX111" s="1308"/>
      <c r="BIY111" s="1308"/>
      <c r="BIZ111" s="1308"/>
      <c r="BJA111" s="1308"/>
      <c r="BJB111" s="1308"/>
      <c r="BJC111" s="1308"/>
      <c r="BJD111" s="1308"/>
      <c r="BJE111" s="1308"/>
      <c r="BJF111" s="1308"/>
      <c r="BJG111" s="1308"/>
      <c r="BJH111" s="1308"/>
      <c r="BJI111" s="1308"/>
      <c r="BJJ111" s="1308"/>
      <c r="BJK111" s="1308"/>
      <c r="BJL111" s="1308"/>
      <c r="BJM111" s="1308"/>
      <c r="BJN111" s="1308"/>
      <c r="BJO111" s="1308"/>
      <c r="BJP111" s="1308"/>
      <c r="BJQ111" s="1308"/>
      <c r="BJR111" s="1308"/>
      <c r="BJS111" s="1308"/>
      <c r="BJT111" s="1308"/>
      <c r="BJU111" s="1308"/>
      <c r="BJV111" s="1308"/>
      <c r="BJW111" s="1308"/>
      <c r="BJX111" s="1308"/>
      <c r="BJY111" s="1308"/>
      <c r="BJZ111" s="1308"/>
      <c r="BKA111" s="1308"/>
      <c r="BKB111" s="1308"/>
      <c r="BKC111" s="1308"/>
      <c r="BKD111" s="1308"/>
      <c r="BKE111" s="1308"/>
      <c r="BKF111" s="1308"/>
      <c r="BKG111" s="1308"/>
      <c r="BKH111" s="1308"/>
      <c r="BKI111" s="1308"/>
      <c r="BKJ111" s="1308"/>
      <c r="BKK111" s="1308"/>
      <c r="BKL111" s="1308"/>
      <c r="BKM111" s="1308"/>
      <c r="BKN111" s="1308"/>
      <c r="BKO111" s="1308"/>
      <c r="BKP111" s="1308"/>
      <c r="BKQ111" s="1308"/>
      <c r="BKR111" s="1308"/>
      <c r="BKS111" s="1308"/>
      <c r="BKT111" s="1308"/>
      <c r="BKU111" s="1308"/>
      <c r="BKV111" s="1308"/>
      <c r="BKW111" s="1308"/>
      <c r="BKX111" s="1308"/>
      <c r="BKY111" s="1308"/>
      <c r="BKZ111" s="1308"/>
      <c r="BLA111" s="1308"/>
      <c r="BLB111" s="1308"/>
      <c r="BLC111" s="1308"/>
      <c r="BLD111" s="1308"/>
      <c r="BLE111" s="1308"/>
      <c r="BLF111" s="1308"/>
      <c r="BLG111" s="1308"/>
      <c r="BLH111" s="1308"/>
      <c r="BLI111" s="1308"/>
      <c r="BLJ111" s="1308"/>
      <c r="BLK111" s="1308"/>
      <c r="BLL111" s="1308"/>
      <c r="BLM111" s="1308"/>
      <c r="BLN111" s="1308"/>
      <c r="BLO111" s="1308"/>
      <c r="BLP111" s="1308"/>
      <c r="BLQ111" s="1308"/>
      <c r="BLR111" s="1308"/>
      <c r="BLS111" s="1308"/>
      <c r="BLT111" s="1308"/>
      <c r="BLU111" s="1308"/>
      <c r="BLV111" s="1308"/>
      <c r="BLW111" s="1308"/>
      <c r="BLX111" s="1308"/>
      <c r="BLY111" s="1308"/>
      <c r="BLZ111" s="1308"/>
      <c r="BMA111" s="1308"/>
      <c r="BMB111" s="1308"/>
      <c r="BMC111" s="1308"/>
      <c r="BMD111" s="1308"/>
      <c r="BME111" s="1308"/>
      <c r="BMF111" s="1308"/>
      <c r="BMG111" s="1308"/>
      <c r="BMH111" s="1308"/>
      <c r="BMI111" s="1308"/>
      <c r="BMJ111" s="1308"/>
      <c r="BMK111" s="1308"/>
      <c r="BML111" s="1308"/>
      <c r="BMM111" s="1308"/>
      <c r="BMN111" s="1308"/>
      <c r="BMO111" s="1308"/>
      <c r="BMP111" s="1308"/>
      <c r="BMQ111" s="1308"/>
      <c r="BMR111" s="1308"/>
      <c r="BMS111" s="1308"/>
      <c r="BMT111" s="1308"/>
      <c r="BMU111" s="1308"/>
      <c r="BMV111" s="1308"/>
      <c r="BMW111" s="1308"/>
      <c r="BMX111" s="1308"/>
      <c r="BMY111" s="1308"/>
      <c r="BMZ111" s="1308"/>
      <c r="BNA111" s="1308"/>
      <c r="BNB111" s="1308"/>
      <c r="BNC111" s="1308"/>
      <c r="BND111" s="1308"/>
      <c r="BNE111" s="1308"/>
      <c r="BNF111" s="1308"/>
      <c r="BNG111" s="1308"/>
      <c r="BNH111" s="1308"/>
      <c r="BNI111" s="1308"/>
      <c r="BNJ111" s="1308"/>
      <c r="BNK111" s="1308"/>
      <c r="BNL111" s="1308"/>
      <c r="BNM111" s="1308"/>
      <c r="BNN111" s="1308"/>
      <c r="BNO111" s="1308"/>
      <c r="BNP111" s="1308"/>
      <c r="BNQ111" s="1308"/>
      <c r="BNR111" s="1308"/>
      <c r="BNS111" s="1308"/>
      <c r="BNT111" s="1308"/>
      <c r="BNU111" s="1308"/>
      <c r="BNV111" s="1308"/>
      <c r="BNW111" s="1308"/>
      <c r="BNX111" s="1308"/>
      <c r="BNY111" s="1308"/>
      <c r="BNZ111" s="1308"/>
      <c r="BOA111" s="1308"/>
      <c r="BOB111" s="1308"/>
      <c r="BOC111" s="1308"/>
      <c r="BOD111" s="1308"/>
      <c r="BOE111" s="1308"/>
      <c r="BOF111" s="1308"/>
      <c r="BOG111" s="1308"/>
      <c r="BOH111" s="1308"/>
      <c r="BOI111" s="1308"/>
      <c r="BOJ111" s="1308"/>
      <c r="BOK111" s="1308"/>
      <c r="BOL111" s="1308"/>
      <c r="BOM111" s="1308"/>
      <c r="BON111" s="1308"/>
      <c r="BOO111" s="1308"/>
      <c r="BOP111" s="1308"/>
      <c r="BOQ111" s="1308"/>
      <c r="BOR111" s="1308"/>
      <c r="BOS111" s="1308"/>
      <c r="BOT111" s="1308"/>
      <c r="BOU111" s="1308"/>
      <c r="BOV111" s="1308"/>
      <c r="BOW111" s="1308"/>
      <c r="BOX111" s="1308"/>
      <c r="BOY111" s="1308"/>
      <c r="BOZ111" s="1308"/>
      <c r="BPA111" s="1308"/>
      <c r="BPB111" s="1308"/>
      <c r="BPC111" s="1308"/>
      <c r="BPD111" s="1308"/>
      <c r="BPE111" s="1308"/>
      <c r="BPF111" s="1308"/>
      <c r="BPG111" s="1308"/>
      <c r="BPH111" s="1308"/>
      <c r="BPI111" s="1308"/>
      <c r="BPJ111" s="1308"/>
      <c r="BPK111" s="1308"/>
      <c r="BPL111" s="1308"/>
      <c r="BPM111" s="1308"/>
      <c r="BPN111" s="1308"/>
      <c r="BPO111" s="1308"/>
      <c r="BPP111" s="1308"/>
      <c r="BPQ111" s="1308"/>
      <c r="BPR111" s="1308"/>
      <c r="BPS111" s="1308"/>
      <c r="BPT111" s="1308"/>
      <c r="BPU111" s="1308"/>
      <c r="BPV111" s="1308"/>
      <c r="BPW111" s="1308"/>
      <c r="BPX111" s="1308"/>
      <c r="BPY111" s="1308"/>
      <c r="BPZ111" s="1308"/>
      <c r="BQA111" s="1308"/>
      <c r="BQB111" s="1308"/>
      <c r="BQC111" s="1308"/>
      <c r="BQD111" s="1308"/>
      <c r="BQE111" s="1308"/>
      <c r="BQF111" s="1308"/>
      <c r="BQG111" s="1308"/>
      <c r="BQH111" s="1308"/>
      <c r="BQI111" s="1308"/>
      <c r="BQJ111" s="1308"/>
      <c r="BQK111" s="1308"/>
      <c r="BQL111" s="1308"/>
      <c r="BQM111" s="1308"/>
      <c r="BQN111" s="1308"/>
      <c r="BQO111" s="1308"/>
      <c r="BQP111" s="1308"/>
      <c r="BQQ111" s="1308"/>
      <c r="BQR111" s="1308"/>
      <c r="BQS111" s="1308"/>
      <c r="BQT111" s="1308"/>
      <c r="BQU111" s="1308"/>
      <c r="BQV111" s="1308"/>
      <c r="BQW111" s="1308"/>
      <c r="BQX111" s="1308"/>
      <c r="BQY111" s="1308"/>
      <c r="BQZ111" s="1308"/>
      <c r="BRA111" s="1308"/>
      <c r="BRB111" s="1308"/>
      <c r="BRC111" s="1308"/>
      <c r="BRD111" s="1308"/>
      <c r="BRE111" s="1308"/>
      <c r="BRF111" s="1308"/>
      <c r="BRG111" s="1308"/>
      <c r="BRH111" s="1308"/>
      <c r="BRI111" s="1308"/>
      <c r="BRJ111" s="1308"/>
      <c r="BRK111" s="1308"/>
      <c r="BRL111" s="1308"/>
      <c r="BRM111" s="1308"/>
      <c r="BRN111" s="1308"/>
      <c r="BRO111" s="1308"/>
      <c r="BRP111" s="1308"/>
      <c r="BRQ111" s="1308"/>
      <c r="BRR111" s="1308"/>
      <c r="BRS111" s="1308"/>
      <c r="BRT111" s="1308"/>
      <c r="BRU111" s="1308"/>
      <c r="BRV111" s="1308"/>
      <c r="BRW111" s="1308"/>
      <c r="BRX111" s="1308"/>
      <c r="BRY111" s="1308"/>
      <c r="BRZ111" s="1308"/>
      <c r="BSA111" s="1308"/>
      <c r="BSB111" s="1308"/>
      <c r="BSC111" s="1308"/>
      <c r="BSD111" s="1308"/>
      <c r="BSE111" s="1308"/>
      <c r="BSF111" s="1308"/>
      <c r="BSG111" s="1308"/>
      <c r="BSH111" s="1308"/>
      <c r="BSI111" s="1308"/>
      <c r="BSJ111" s="1308"/>
      <c r="BSK111" s="1308"/>
      <c r="BSL111" s="1308"/>
      <c r="BSM111" s="1308"/>
      <c r="BSN111" s="1308"/>
      <c r="BSO111" s="1308"/>
      <c r="BSP111" s="1308"/>
      <c r="BSQ111" s="1308"/>
      <c r="BSR111" s="1308"/>
      <c r="BSS111" s="1308"/>
      <c r="BST111" s="1308"/>
      <c r="BSU111" s="1308"/>
      <c r="BSV111" s="1308"/>
      <c r="BSW111" s="1308"/>
      <c r="BSX111" s="1308"/>
      <c r="BSY111" s="1308"/>
      <c r="BSZ111" s="1308"/>
      <c r="BTA111" s="1308"/>
      <c r="BTB111" s="1308"/>
      <c r="BTC111" s="1308"/>
      <c r="BTD111" s="1308"/>
      <c r="BTE111" s="1308"/>
      <c r="BTF111" s="1308"/>
      <c r="BTG111" s="1308"/>
      <c r="BTH111" s="1308"/>
      <c r="BTI111" s="1308"/>
      <c r="BTJ111" s="1308"/>
      <c r="BTK111" s="1308"/>
      <c r="BTL111" s="1308"/>
      <c r="BTM111" s="1308"/>
      <c r="BTN111" s="1308"/>
      <c r="BTO111" s="1308"/>
      <c r="BTP111" s="1308"/>
      <c r="BTQ111" s="1308"/>
      <c r="BTR111" s="1308"/>
      <c r="BTS111" s="1308"/>
      <c r="BTT111" s="1308"/>
      <c r="BTU111" s="1308"/>
      <c r="BTV111" s="1308"/>
      <c r="BTW111" s="1308"/>
      <c r="BTX111" s="1308"/>
      <c r="BTY111" s="1308"/>
      <c r="BTZ111" s="1308"/>
      <c r="BUA111" s="1308"/>
      <c r="BUB111" s="1308"/>
      <c r="BUC111" s="1308"/>
      <c r="BUD111" s="1308"/>
      <c r="BUE111" s="1308"/>
      <c r="BUF111" s="1308"/>
      <c r="BUG111" s="1308"/>
      <c r="BUH111" s="1308"/>
      <c r="BUI111" s="1308"/>
      <c r="BUJ111" s="1308"/>
      <c r="BUK111" s="1308"/>
      <c r="BUL111" s="1308"/>
      <c r="BUM111" s="1308"/>
      <c r="BUN111" s="1308"/>
      <c r="BUO111" s="1308"/>
      <c r="BUP111" s="1308"/>
      <c r="BUQ111" s="1308"/>
      <c r="BUR111" s="1308"/>
      <c r="BUS111" s="1308"/>
      <c r="BUT111" s="1308"/>
      <c r="BUU111" s="1308"/>
      <c r="BUV111" s="1308"/>
      <c r="BUW111" s="1308"/>
      <c r="BUX111" s="1308"/>
      <c r="BUY111" s="1308"/>
      <c r="BUZ111" s="1308"/>
      <c r="BVA111" s="1308"/>
      <c r="BVB111" s="1308"/>
      <c r="BVC111" s="1308"/>
      <c r="BVD111" s="1308"/>
      <c r="BVE111" s="1308"/>
      <c r="BVF111" s="1308"/>
      <c r="BVG111" s="1308"/>
      <c r="BVH111" s="1308"/>
      <c r="BVI111" s="1308"/>
      <c r="BVJ111" s="1308"/>
      <c r="BVK111" s="1308"/>
      <c r="BVL111" s="1308"/>
      <c r="BVM111" s="1308"/>
      <c r="BVN111" s="1308"/>
      <c r="BVO111" s="1308"/>
      <c r="BVP111" s="1308"/>
      <c r="BVQ111" s="1308"/>
      <c r="BVR111" s="1308"/>
      <c r="BVS111" s="1308"/>
      <c r="BVT111" s="1308"/>
      <c r="BVU111" s="1308"/>
      <c r="BVV111" s="1308"/>
      <c r="BVW111" s="1308"/>
      <c r="BVX111" s="1308"/>
      <c r="BVY111" s="1308"/>
      <c r="BVZ111" s="1308"/>
      <c r="BWA111" s="1308"/>
      <c r="BWB111" s="1308"/>
      <c r="BWC111" s="1308"/>
      <c r="BWD111" s="1308"/>
      <c r="BWE111" s="1308"/>
      <c r="BWF111" s="1308"/>
      <c r="BWG111" s="1308"/>
      <c r="BWH111" s="1308"/>
      <c r="BWI111" s="1308"/>
      <c r="BWJ111" s="1308"/>
      <c r="BWK111" s="1308"/>
      <c r="BWL111" s="1308"/>
      <c r="BWM111" s="1308"/>
      <c r="BWN111" s="1308"/>
      <c r="BWO111" s="1308"/>
      <c r="BWP111" s="1308"/>
      <c r="BWQ111" s="1308"/>
      <c r="BWR111" s="1308"/>
      <c r="BWS111" s="1308"/>
      <c r="BWT111" s="1308"/>
      <c r="BWU111" s="1308"/>
      <c r="BWV111" s="1308"/>
      <c r="BWW111" s="1308"/>
      <c r="BWX111" s="1308"/>
      <c r="BWY111" s="1308"/>
      <c r="BWZ111" s="1308"/>
      <c r="BXA111" s="1308"/>
      <c r="BXB111" s="1308"/>
      <c r="BXC111" s="1308"/>
      <c r="BXD111" s="1308"/>
      <c r="BXE111" s="1308"/>
      <c r="BXF111" s="1308"/>
      <c r="BXG111" s="1308"/>
      <c r="BXH111" s="1308"/>
      <c r="BXI111" s="1308"/>
      <c r="BXJ111" s="1308"/>
      <c r="BXK111" s="1308"/>
      <c r="BXL111" s="1308"/>
      <c r="BXM111" s="1308"/>
      <c r="BXN111" s="1308"/>
      <c r="BXO111" s="1308"/>
      <c r="BXP111" s="1308"/>
      <c r="BXQ111" s="1308"/>
      <c r="BXR111" s="1308"/>
      <c r="BXS111" s="1308"/>
      <c r="BXT111" s="1308"/>
      <c r="BXU111" s="1308"/>
      <c r="BXV111" s="1308"/>
      <c r="BXW111" s="1308"/>
      <c r="BXX111" s="1308"/>
      <c r="BXY111" s="1308"/>
      <c r="BXZ111" s="1308"/>
      <c r="BYA111" s="1308"/>
      <c r="BYB111" s="1308"/>
      <c r="BYC111" s="1308"/>
      <c r="BYD111" s="1308"/>
      <c r="BYE111" s="1308"/>
      <c r="BYF111" s="1308"/>
      <c r="BYG111" s="1308"/>
      <c r="BYH111" s="1308"/>
      <c r="BYI111" s="1308"/>
      <c r="BYJ111" s="1308"/>
      <c r="BYK111" s="1308"/>
      <c r="BYL111" s="1308"/>
      <c r="BYM111" s="1308"/>
      <c r="BYN111" s="1308"/>
      <c r="BYO111" s="1308"/>
      <c r="BYP111" s="1308"/>
      <c r="BYQ111" s="1308"/>
      <c r="BYR111" s="1308"/>
      <c r="BYS111" s="1308"/>
      <c r="BYT111" s="1308"/>
      <c r="BYU111" s="1308"/>
      <c r="BYV111" s="1308"/>
      <c r="BYW111" s="1308"/>
      <c r="BYX111" s="1308"/>
      <c r="BYY111" s="1308"/>
      <c r="BYZ111" s="1308"/>
      <c r="BZA111" s="1308"/>
      <c r="BZB111" s="1308"/>
      <c r="BZC111" s="1308"/>
      <c r="BZD111" s="1308"/>
      <c r="BZE111" s="1308"/>
      <c r="BZF111" s="1308"/>
      <c r="BZG111" s="1308"/>
      <c r="BZH111" s="1308"/>
      <c r="BZI111" s="1308"/>
      <c r="BZJ111" s="1308"/>
      <c r="BZK111" s="1308"/>
      <c r="BZL111" s="1308"/>
      <c r="BZM111" s="1308"/>
      <c r="BZN111" s="1308"/>
      <c r="BZO111" s="1308"/>
      <c r="BZP111" s="1308"/>
      <c r="BZQ111" s="1308"/>
      <c r="BZR111" s="1308"/>
      <c r="BZS111" s="1308"/>
      <c r="BZT111" s="1308"/>
      <c r="BZU111" s="1308"/>
      <c r="BZV111" s="1308"/>
      <c r="BZW111" s="1308"/>
      <c r="BZX111" s="1308"/>
      <c r="BZY111" s="1308"/>
      <c r="BZZ111" s="1308"/>
      <c r="CAA111" s="1308"/>
      <c r="CAB111" s="1308"/>
      <c r="CAC111" s="1308"/>
      <c r="CAD111" s="1308"/>
      <c r="CAE111" s="1308"/>
      <c r="CAF111" s="1308"/>
      <c r="CAG111" s="1308"/>
      <c r="CAH111" s="1308"/>
      <c r="CAI111" s="1308"/>
      <c r="CAJ111" s="1308"/>
      <c r="CAK111" s="1308"/>
      <c r="CAL111" s="1308"/>
      <c r="CAM111" s="1308"/>
      <c r="CAN111" s="1308"/>
      <c r="CAO111" s="1308"/>
      <c r="CAP111" s="1308"/>
      <c r="CAQ111" s="1308"/>
      <c r="CAR111" s="1308"/>
      <c r="CAS111" s="1308"/>
      <c r="CAT111" s="1308"/>
      <c r="CAU111" s="1308"/>
      <c r="CAV111" s="1308"/>
      <c r="CAW111" s="1308"/>
      <c r="CAX111" s="1308"/>
      <c r="CAY111" s="1308"/>
      <c r="CAZ111" s="1308"/>
      <c r="CBA111" s="1308"/>
      <c r="CBB111" s="1308"/>
      <c r="CBC111" s="1308"/>
      <c r="CBD111" s="1308"/>
      <c r="CBE111" s="1308"/>
      <c r="CBF111" s="1308"/>
      <c r="CBG111" s="1308"/>
      <c r="CBH111" s="1308"/>
      <c r="CBI111" s="1308"/>
      <c r="CBJ111" s="1308"/>
      <c r="CBK111" s="1308"/>
      <c r="CBL111" s="1308"/>
      <c r="CBM111" s="1308"/>
      <c r="CBN111" s="1308"/>
      <c r="CBO111" s="1308"/>
      <c r="CBP111" s="1308"/>
      <c r="CBQ111" s="1308"/>
      <c r="CBR111" s="1308"/>
      <c r="CBS111" s="1308"/>
      <c r="CBT111" s="1308"/>
      <c r="CBU111" s="1308"/>
      <c r="CBV111" s="1308"/>
      <c r="CBW111" s="1308"/>
      <c r="CBX111" s="1308"/>
      <c r="CBY111" s="1308"/>
      <c r="CBZ111" s="1308"/>
      <c r="CCA111" s="1308"/>
      <c r="CCB111" s="1308"/>
      <c r="CCC111" s="1308"/>
      <c r="CCD111" s="1308"/>
      <c r="CCE111" s="1308"/>
      <c r="CCF111" s="1308"/>
      <c r="CCG111" s="1308"/>
      <c r="CCH111" s="1308"/>
      <c r="CCI111" s="1308"/>
      <c r="CCJ111" s="1308"/>
      <c r="CCK111" s="1308"/>
      <c r="CCL111" s="1308"/>
      <c r="CCM111" s="1308"/>
      <c r="CCN111" s="1308"/>
      <c r="CCO111" s="1308"/>
      <c r="CCP111" s="1308"/>
      <c r="CCQ111" s="1308"/>
      <c r="CCR111" s="1308"/>
      <c r="CCS111" s="1308"/>
      <c r="CCT111" s="1308"/>
      <c r="CCU111" s="1308"/>
      <c r="CCV111" s="1308"/>
      <c r="CCW111" s="1308"/>
      <c r="CCX111" s="1308"/>
      <c r="CCY111" s="1308"/>
      <c r="CCZ111" s="1308"/>
      <c r="CDA111" s="1308"/>
      <c r="CDB111" s="1308"/>
      <c r="CDC111" s="1308"/>
      <c r="CDD111" s="1308"/>
      <c r="CDE111" s="1308"/>
      <c r="CDF111" s="1308"/>
      <c r="CDG111" s="1308"/>
      <c r="CDH111" s="1308"/>
      <c r="CDI111" s="1308"/>
      <c r="CDJ111" s="1308"/>
      <c r="CDK111" s="1308"/>
      <c r="CDL111" s="1308"/>
      <c r="CDM111" s="1308"/>
      <c r="CDN111" s="1308"/>
      <c r="CDO111" s="1308"/>
      <c r="CDP111" s="1308"/>
      <c r="CDQ111" s="1308"/>
      <c r="CDR111" s="1308"/>
      <c r="CDS111" s="1308"/>
      <c r="CDT111" s="1308"/>
      <c r="CDU111" s="1308"/>
      <c r="CDV111" s="1308"/>
      <c r="CDW111" s="1308"/>
      <c r="CDX111" s="1308"/>
      <c r="CDY111" s="1308"/>
      <c r="CDZ111" s="1308"/>
      <c r="CEA111" s="1308"/>
      <c r="CEB111" s="1308"/>
      <c r="CEC111" s="1308"/>
      <c r="CED111" s="1308"/>
      <c r="CEE111" s="1308"/>
      <c r="CEF111" s="1308"/>
      <c r="CEG111" s="1308"/>
      <c r="CEH111" s="1308"/>
      <c r="CEI111" s="1308"/>
      <c r="CEJ111" s="1308"/>
      <c r="CEK111" s="1308"/>
      <c r="CEL111" s="1308"/>
      <c r="CEM111" s="1308"/>
      <c r="CEN111" s="1308"/>
      <c r="CEO111" s="1308"/>
      <c r="CEP111" s="1308"/>
      <c r="CEQ111" s="1308"/>
      <c r="CER111" s="1308"/>
      <c r="CES111" s="1308"/>
      <c r="CET111" s="1308"/>
      <c r="CEU111" s="1308"/>
      <c r="CEV111" s="1308"/>
      <c r="CEW111" s="1308"/>
      <c r="CEX111" s="1308"/>
      <c r="CEY111" s="1308"/>
      <c r="CEZ111" s="1308"/>
      <c r="CFA111" s="1308"/>
      <c r="CFB111" s="1308"/>
      <c r="CFC111" s="1308"/>
      <c r="CFD111" s="1308"/>
      <c r="CFE111" s="1308"/>
      <c r="CFF111" s="1308"/>
      <c r="CFG111" s="1308"/>
      <c r="CFH111" s="1308"/>
      <c r="CFI111" s="1308"/>
      <c r="CFJ111" s="1308"/>
      <c r="CFK111" s="1308"/>
      <c r="CFL111" s="1308"/>
      <c r="CFM111" s="1308"/>
      <c r="CFN111" s="1308"/>
      <c r="CFO111" s="1308"/>
      <c r="CFP111" s="1308"/>
      <c r="CFQ111" s="1308"/>
      <c r="CFR111" s="1308"/>
      <c r="CFS111" s="1308"/>
      <c r="CFT111" s="1308"/>
      <c r="CFU111" s="1308"/>
      <c r="CFV111" s="1308"/>
      <c r="CFW111" s="1308"/>
      <c r="CFX111" s="1308"/>
      <c r="CFY111" s="1308"/>
      <c r="CFZ111" s="1308"/>
      <c r="CGA111" s="1308"/>
      <c r="CGB111" s="1308"/>
      <c r="CGC111" s="1308"/>
      <c r="CGD111" s="1308"/>
      <c r="CGE111" s="1308"/>
      <c r="CGF111" s="1308"/>
      <c r="CGG111" s="1308"/>
      <c r="CGH111" s="1308"/>
      <c r="CGI111" s="1308"/>
      <c r="CGJ111" s="1308"/>
      <c r="CGK111" s="1308"/>
      <c r="CGL111" s="1308"/>
      <c r="CGM111" s="1308"/>
      <c r="CGN111" s="1308"/>
      <c r="CGO111" s="1308"/>
      <c r="CGP111" s="1308"/>
      <c r="CGQ111" s="1308"/>
      <c r="CGR111" s="1308"/>
      <c r="CGS111" s="1308"/>
      <c r="CGT111" s="1308"/>
      <c r="CGU111" s="1308"/>
      <c r="CGV111" s="1308"/>
      <c r="CGW111" s="1308"/>
      <c r="CGX111" s="1308"/>
      <c r="CGY111" s="1308"/>
      <c r="CGZ111" s="1308"/>
      <c r="CHA111" s="1308"/>
      <c r="CHB111" s="1308"/>
      <c r="CHC111" s="1308"/>
      <c r="CHD111" s="1308"/>
      <c r="CHE111" s="1308"/>
      <c r="CHF111" s="1308"/>
      <c r="CHG111" s="1308"/>
      <c r="CHH111" s="1308"/>
      <c r="CHI111" s="1308"/>
      <c r="CHJ111" s="1308"/>
      <c r="CHK111" s="1308"/>
      <c r="CHL111" s="1308"/>
      <c r="CHM111" s="1308"/>
      <c r="CHN111" s="1308"/>
      <c r="CHO111" s="1308"/>
      <c r="CHP111" s="1308"/>
      <c r="CHQ111" s="1308"/>
      <c r="CHR111" s="1308"/>
      <c r="CHS111" s="1308"/>
      <c r="CHT111" s="1308"/>
      <c r="CHU111" s="1308"/>
      <c r="CHV111" s="1308"/>
      <c r="CHW111" s="1308"/>
      <c r="CHX111" s="1308"/>
      <c r="CHY111" s="1308"/>
      <c r="CHZ111" s="1308"/>
      <c r="CIA111" s="1308"/>
      <c r="CIB111" s="1308"/>
      <c r="CIC111" s="1308"/>
      <c r="CID111" s="1308"/>
      <c r="CIE111" s="1308"/>
      <c r="CIF111" s="1308"/>
      <c r="CIG111" s="1308"/>
      <c r="CIH111" s="1308"/>
      <c r="CII111" s="1308"/>
      <c r="CIJ111" s="1308"/>
      <c r="CIK111" s="1308"/>
      <c r="CIL111" s="1308"/>
      <c r="CIM111" s="1308"/>
      <c r="CIN111" s="1308"/>
      <c r="CIO111" s="1308"/>
      <c r="CIP111" s="1308"/>
      <c r="CIQ111" s="1308"/>
      <c r="CIR111" s="1308"/>
      <c r="CIS111" s="1308"/>
      <c r="CIT111" s="1308"/>
      <c r="CIU111" s="1308"/>
      <c r="CIV111" s="1308"/>
      <c r="CIW111" s="1308"/>
      <c r="CIX111" s="1308"/>
      <c r="CIY111" s="1308"/>
      <c r="CIZ111" s="1308"/>
      <c r="CJA111" s="1308"/>
      <c r="CJB111" s="1308"/>
      <c r="CJC111" s="1308"/>
      <c r="CJD111" s="1308"/>
      <c r="CJE111" s="1308"/>
      <c r="CJF111" s="1308"/>
      <c r="CJG111" s="1308"/>
      <c r="CJH111" s="1308"/>
      <c r="CJI111" s="1308"/>
      <c r="CJJ111" s="1308"/>
      <c r="CJK111" s="1308"/>
      <c r="CJL111" s="1308"/>
      <c r="CJM111" s="1308"/>
      <c r="CJN111" s="1308"/>
      <c r="CJO111" s="1308"/>
      <c r="CJP111" s="1308"/>
      <c r="CJQ111" s="1308"/>
      <c r="CJR111" s="1308"/>
      <c r="CJS111" s="1308"/>
      <c r="CJT111" s="1308"/>
      <c r="CJU111" s="1308"/>
      <c r="CJV111" s="1308"/>
      <c r="CJW111" s="1308"/>
      <c r="CJX111" s="1308"/>
      <c r="CJY111" s="1308"/>
      <c r="CJZ111" s="1308"/>
      <c r="CKA111" s="1308"/>
      <c r="CKB111" s="1308"/>
      <c r="CKC111" s="1308"/>
      <c r="CKD111" s="1308"/>
      <c r="CKE111" s="1308"/>
      <c r="CKF111" s="1308"/>
      <c r="CKG111" s="1308"/>
      <c r="CKH111" s="1308"/>
      <c r="CKI111" s="1308"/>
      <c r="CKJ111" s="1308"/>
      <c r="CKK111" s="1308"/>
      <c r="CKL111" s="1308"/>
      <c r="CKM111" s="1308"/>
      <c r="CKN111" s="1308"/>
      <c r="CKO111" s="1308"/>
      <c r="CKP111" s="1308"/>
      <c r="CKQ111" s="1308"/>
      <c r="CKR111" s="1308"/>
      <c r="CKS111" s="1308"/>
      <c r="CKT111" s="1308"/>
      <c r="CKU111" s="1308"/>
      <c r="CKV111" s="1308"/>
      <c r="CKW111" s="1308"/>
      <c r="CKX111" s="1308"/>
      <c r="CKY111" s="1308"/>
      <c r="CKZ111" s="1308"/>
      <c r="CLA111" s="1308"/>
      <c r="CLB111" s="1308"/>
      <c r="CLC111" s="1308"/>
      <c r="CLD111" s="1308"/>
      <c r="CLE111" s="1308"/>
      <c r="CLF111" s="1308"/>
      <c r="CLG111" s="1308"/>
      <c r="CLH111" s="1308"/>
      <c r="CLI111" s="1308"/>
      <c r="CLJ111" s="1308"/>
      <c r="CLK111" s="1308"/>
      <c r="CLL111" s="1308"/>
      <c r="CLM111" s="1308"/>
      <c r="CLN111" s="1308"/>
      <c r="CLO111" s="1308"/>
      <c r="CLP111" s="1308"/>
      <c r="CLQ111" s="1308"/>
      <c r="CLR111" s="1308"/>
      <c r="CLS111" s="1308"/>
      <c r="CLT111" s="1308"/>
      <c r="CLU111" s="1308"/>
      <c r="CLV111" s="1308"/>
      <c r="CLW111" s="1308"/>
      <c r="CLX111" s="1308"/>
      <c r="CLY111" s="1308"/>
      <c r="CLZ111" s="1308"/>
      <c r="CMA111" s="1308"/>
      <c r="CMB111" s="1308"/>
      <c r="CMC111" s="1308"/>
      <c r="CMD111" s="1308"/>
      <c r="CME111" s="1308"/>
      <c r="CMF111" s="1308"/>
      <c r="CMG111" s="1308"/>
      <c r="CMH111" s="1308"/>
      <c r="CMI111" s="1308"/>
      <c r="CMJ111" s="1308"/>
      <c r="CMK111" s="1308"/>
      <c r="CML111" s="1308"/>
      <c r="CMM111" s="1308"/>
      <c r="CMN111" s="1308"/>
      <c r="CMO111" s="1308"/>
      <c r="CMP111" s="1308"/>
      <c r="CMQ111" s="1308"/>
      <c r="CMR111" s="1308"/>
      <c r="CMS111" s="1308"/>
      <c r="CMT111" s="1308"/>
      <c r="CMU111" s="1308"/>
      <c r="CMV111" s="1308"/>
      <c r="CMW111" s="1308"/>
      <c r="CMX111" s="1308"/>
      <c r="CMY111" s="1308"/>
      <c r="CMZ111" s="1308"/>
      <c r="CNA111" s="1308"/>
      <c r="CNB111" s="1308"/>
      <c r="CNC111" s="1308"/>
      <c r="CND111" s="1308"/>
      <c r="CNE111" s="1308"/>
      <c r="CNF111" s="1308"/>
      <c r="CNG111" s="1308"/>
      <c r="CNH111" s="1308"/>
      <c r="CNI111" s="1308"/>
      <c r="CNJ111" s="1308"/>
      <c r="CNK111" s="1308"/>
      <c r="CNL111" s="1308"/>
      <c r="CNM111" s="1308"/>
      <c r="CNN111" s="1308"/>
      <c r="CNO111" s="1308"/>
      <c r="CNP111" s="1308"/>
      <c r="CNQ111" s="1308"/>
      <c r="CNR111" s="1308"/>
      <c r="CNS111" s="1308"/>
      <c r="CNT111" s="1308"/>
      <c r="CNU111" s="1308"/>
      <c r="CNV111" s="1308"/>
      <c r="CNW111" s="1308"/>
      <c r="CNX111" s="1308"/>
      <c r="CNY111" s="1308"/>
      <c r="CNZ111" s="1308"/>
      <c r="COA111" s="1308"/>
      <c r="COB111" s="1308"/>
      <c r="COC111" s="1308"/>
      <c r="COD111" s="1308"/>
      <c r="COE111" s="1308"/>
      <c r="COF111" s="1308"/>
      <c r="COG111" s="1308"/>
      <c r="COH111" s="1308"/>
      <c r="COI111" s="1308"/>
      <c r="COJ111" s="1308"/>
      <c r="COK111" s="1308"/>
      <c r="COL111" s="1308"/>
      <c r="COM111" s="1308"/>
      <c r="CON111" s="1308"/>
      <c r="COO111" s="1308"/>
      <c r="COP111" s="1308"/>
      <c r="COQ111" s="1308"/>
      <c r="COR111" s="1308"/>
      <c r="COS111" s="1308"/>
      <c r="COT111" s="1308"/>
      <c r="COU111" s="1308"/>
      <c r="COV111" s="1308"/>
      <c r="COW111" s="1308"/>
      <c r="COX111" s="1308"/>
      <c r="COY111" s="1308"/>
      <c r="COZ111" s="1308"/>
      <c r="CPA111" s="1308"/>
      <c r="CPB111" s="1308"/>
      <c r="CPC111" s="1308"/>
      <c r="CPD111" s="1308"/>
      <c r="CPE111" s="1308"/>
      <c r="CPF111" s="1308"/>
      <c r="CPG111" s="1308"/>
      <c r="CPH111" s="1308"/>
      <c r="CPI111" s="1308"/>
      <c r="CPJ111" s="1308"/>
      <c r="CPK111" s="1308"/>
      <c r="CPL111" s="1308"/>
      <c r="CPM111" s="1308"/>
      <c r="CPN111" s="1308"/>
      <c r="CPO111" s="1308"/>
      <c r="CPP111" s="1308"/>
      <c r="CPQ111" s="1308"/>
      <c r="CPR111" s="1308"/>
      <c r="CPS111" s="1308"/>
      <c r="CPT111" s="1308"/>
      <c r="CPU111" s="1308"/>
      <c r="CPV111" s="1308"/>
      <c r="CPW111" s="1308"/>
      <c r="CPX111" s="1308"/>
      <c r="CPY111" s="1308"/>
      <c r="CPZ111" s="1308"/>
      <c r="CQA111" s="1308"/>
      <c r="CQB111" s="1308"/>
      <c r="CQC111" s="1308"/>
      <c r="CQD111" s="1308"/>
      <c r="CQE111" s="1308"/>
      <c r="CQF111" s="1308"/>
      <c r="CQG111" s="1308"/>
      <c r="CQH111" s="1308"/>
      <c r="CQI111" s="1308"/>
      <c r="CQJ111" s="1308"/>
      <c r="CQK111" s="1308"/>
      <c r="CQL111" s="1308"/>
      <c r="CQM111" s="1308"/>
      <c r="CQN111" s="1308"/>
      <c r="CQO111" s="1308"/>
      <c r="CQP111" s="1308"/>
      <c r="CQQ111" s="1308"/>
      <c r="CQR111" s="1308"/>
      <c r="CQS111" s="1308"/>
      <c r="CQT111" s="1308"/>
      <c r="CQU111" s="1308"/>
      <c r="CQV111" s="1308"/>
      <c r="CQW111" s="1308"/>
      <c r="CQX111" s="1308"/>
      <c r="CQY111" s="1308"/>
      <c r="CQZ111" s="1308"/>
      <c r="CRA111" s="1308"/>
      <c r="CRB111" s="1308"/>
      <c r="CRC111" s="1308"/>
      <c r="CRD111" s="1308"/>
      <c r="CRE111" s="1308"/>
      <c r="CRF111" s="1308"/>
      <c r="CRG111" s="1308"/>
      <c r="CRH111" s="1308"/>
      <c r="CRI111" s="1308"/>
      <c r="CRJ111" s="1308"/>
      <c r="CRK111" s="1308"/>
      <c r="CRL111" s="1308"/>
      <c r="CRM111" s="1308"/>
      <c r="CRN111" s="1308"/>
      <c r="CRO111" s="1308"/>
      <c r="CRP111" s="1308"/>
      <c r="CRQ111" s="1308"/>
      <c r="CRR111" s="1308"/>
      <c r="CRS111" s="1308"/>
      <c r="CRT111" s="1308"/>
      <c r="CRU111" s="1308"/>
      <c r="CRV111" s="1308"/>
      <c r="CRW111" s="1308"/>
      <c r="CRX111" s="1308"/>
      <c r="CRY111" s="1308"/>
      <c r="CRZ111" s="1308"/>
      <c r="CSA111" s="1308"/>
      <c r="CSB111" s="1308"/>
      <c r="CSC111" s="1308"/>
      <c r="CSD111" s="1308"/>
      <c r="CSE111" s="1308"/>
      <c r="CSF111" s="1308"/>
      <c r="CSG111" s="1308"/>
      <c r="CSH111" s="1308"/>
      <c r="CSI111" s="1308"/>
      <c r="CSJ111" s="1308"/>
      <c r="CSK111" s="1308"/>
      <c r="CSL111" s="1308"/>
      <c r="CSM111" s="1308"/>
      <c r="CSN111" s="1308"/>
      <c r="CSO111" s="1308"/>
      <c r="CSP111" s="1308"/>
      <c r="CSQ111" s="1308"/>
      <c r="CSR111" s="1308"/>
      <c r="CSS111" s="1308"/>
      <c r="CST111" s="1308"/>
      <c r="CSU111" s="1308"/>
      <c r="CSV111" s="1308"/>
      <c r="CSW111" s="1308"/>
      <c r="CSX111" s="1308"/>
      <c r="CSY111" s="1308"/>
      <c r="CSZ111" s="1308"/>
      <c r="CTA111" s="1308"/>
      <c r="CTB111" s="1308"/>
      <c r="CTC111" s="1308"/>
      <c r="CTD111" s="1308"/>
      <c r="CTE111" s="1308"/>
      <c r="CTF111" s="1308"/>
      <c r="CTG111" s="1308"/>
      <c r="CTH111" s="1308"/>
      <c r="CTI111" s="1308"/>
      <c r="CTJ111" s="1308"/>
      <c r="CTK111" s="1308"/>
      <c r="CTL111" s="1308"/>
      <c r="CTM111" s="1308"/>
      <c r="CTN111" s="1308"/>
      <c r="CTO111" s="1308"/>
      <c r="CTP111" s="1308"/>
      <c r="CTQ111" s="1308"/>
      <c r="CTR111" s="1308"/>
      <c r="CTS111" s="1308"/>
      <c r="CTT111" s="1308"/>
      <c r="CTU111" s="1308"/>
      <c r="CTV111" s="1308"/>
      <c r="CTW111" s="1308"/>
      <c r="CTX111" s="1308"/>
      <c r="CTY111" s="1308"/>
      <c r="CTZ111" s="1308"/>
      <c r="CUA111" s="1308"/>
      <c r="CUB111" s="1308"/>
      <c r="CUC111" s="1308"/>
      <c r="CUD111" s="1308"/>
      <c r="CUE111" s="1308"/>
      <c r="CUF111" s="1308"/>
      <c r="CUG111" s="1308"/>
      <c r="CUH111" s="1308"/>
      <c r="CUI111" s="1308"/>
      <c r="CUJ111" s="1308"/>
      <c r="CUK111" s="1308"/>
      <c r="CUL111" s="1308"/>
      <c r="CUM111" s="1308"/>
      <c r="CUN111" s="1308"/>
      <c r="CUO111" s="1308"/>
      <c r="CUP111" s="1308"/>
      <c r="CUQ111" s="1308"/>
      <c r="CUR111" s="1308"/>
      <c r="CUS111" s="1308"/>
      <c r="CUT111" s="1308"/>
      <c r="CUU111" s="1308"/>
      <c r="CUV111" s="1308"/>
      <c r="CUW111" s="1308"/>
      <c r="CUX111" s="1308"/>
      <c r="CUY111" s="1308"/>
      <c r="CUZ111" s="1308"/>
      <c r="CVA111" s="1308"/>
      <c r="CVB111" s="1308"/>
      <c r="CVC111" s="1308"/>
      <c r="CVD111" s="1308"/>
      <c r="CVE111" s="1308"/>
      <c r="CVF111" s="1308"/>
      <c r="CVG111" s="1308"/>
      <c r="CVH111" s="1308"/>
      <c r="CVI111" s="1308"/>
      <c r="CVJ111" s="1308"/>
      <c r="CVK111" s="1308"/>
      <c r="CVL111" s="1308"/>
      <c r="CVM111" s="1308"/>
      <c r="CVN111" s="1308"/>
      <c r="CVO111" s="1308"/>
      <c r="CVP111" s="1308"/>
      <c r="CVQ111" s="1308"/>
      <c r="CVR111" s="1308"/>
      <c r="CVS111" s="1308"/>
      <c r="CVT111" s="1308"/>
      <c r="CVU111" s="1308"/>
      <c r="CVV111" s="1308"/>
      <c r="CVW111" s="1308"/>
      <c r="CVX111" s="1308"/>
      <c r="CVY111" s="1308"/>
      <c r="CVZ111" s="1308"/>
      <c r="CWA111" s="1308"/>
      <c r="CWB111" s="1308"/>
      <c r="CWC111" s="1308"/>
      <c r="CWD111" s="1308"/>
      <c r="CWE111" s="1308"/>
      <c r="CWF111" s="1308"/>
      <c r="CWG111" s="1308"/>
      <c r="CWH111" s="1308"/>
      <c r="CWI111" s="1308"/>
      <c r="CWJ111" s="1308"/>
      <c r="CWK111" s="1308"/>
      <c r="CWL111" s="1308"/>
      <c r="CWM111" s="1308"/>
      <c r="CWN111" s="1308"/>
      <c r="CWO111" s="1308"/>
      <c r="CWP111" s="1308"/>
      <c r="CWQ111" s="1308"/>
      <c r="CWR111" s="1308"/>
      <c r="CWS111" s="1308"/>
      <c r="CWT111" s="1308"/>
      <c r="CWU111" s="1308"/>
      <c r="CWV111" s="1308"/>
      <c r="CWW111" s="1308"/>
      <c r="CWX111" s="1308"/>
      <c r="CWY111" s="1308"/>
      <c r="CWZ111" s="1308"/>
      <c r="CXA111" s="1308"/>
      <c r="CXB111" s="1308"/>
      <c r="CXC111" s="1308"/>
      <c r="CXD111" s="1308"/>
      <c r="CXE111" s="1308"/>
      <c r="CXF111" s="1308"/>
      <c r="CXG111" s="1308"/>
      <c r="CXH111" s="1308"/>
      <c r="CXI111" s="1308"/>
      <c r="CXJ111" s="1308"/>
      <c r="CXK111" s="1308"/>
      <c r="CXL111" s="1308"/>
      <c r="CXM111" s="1308"/>
      <c r="CXN111" s="1308"/>
      <c r="CXO111" s="1308"/>
      <c r="CXP111" s="1308"/>
      <c r="CXQ111" s="1308"/>
      <c r="CXR111" s="1308"/>
      <c r="CXS111" s="1308"/>
      <c r="CXT111" s="1308"/>
      <c r="CXU111" s="1308"/>
      <c r="CXV111" s="1308"/>
      <c r="CXW111" s="1308"/>
      <c r="CXX111" s="1308"/>
      <c r="CXY111" s="1308"/>
      <c r="CXZ111" s="1308"/>
      <c r="CYA111" s="1308"/>
      <c r="CYB111" s="1308"/>
      <c r="CYC111" s="1308"/>
      <c r="CYD111" s="1308"/>
      <c r="CYE111" s="1308"/>
      <c r="CYF111" s="1308"/>
      <c r="CYG111" s="1308"/>
      <c r="CYH111" s="1308"/>
      <c r="CYI111" s="1308"/>
      <c r="CYJ111" s="1308"/>
      <c r="CYK111" s="1308"/>
      <c r="CYL111" s="1308"/>
      <c r="CYM111" s="1308"/>
      <c r="CYN111" s="1308"/>
      <c r="CYO111" s="1308"/>
      <c r="CYP111" s="1308"/>
      <c r="CYQ111" s="1308"/>
      <c r="CYR111" s="1308"/>
      <c r="CYS111" s="1308"/>
      <c r="CYT111" s="1308"/>
      <c r="CYU111" s="1308"/>
      <c r="CYV111" s="1308"/>
      <c r="CYW111" s="1308"/>
      <c r="CYX111" s="1308"/>
      <c r="CYY111" s="1308"/>
      <c r="CYZ111" s="1308"/>
      <c r="CZA111" s="1308"/>
      <c r="CZB111" s="1308"/>
      <c r="CZC111" s="1308"/>
      <c r="CZD111" s="1308"/>
      <c r="CZE111" s="1308"/>
      <c r="CZF111" s="1308"/>
      <c r="CZG111" s="1308"/>
      <c r="CZH111" s="1308"/>
      <c r="CZI111" s="1308"/>
      <c r="CZJ111" s="1308"/>
      <c r="CZK111" s="1308"/>
      <c r="CZL111" s="1308"/>
      <c r="CZM111" s="1308"/>
      <c r="CZN111" s="1308"/>
      <c r="CZO111" s="1308"/>
      <c r="CZP111" s="1308"/>
      <c r="CZQ111" s="1308"/>
      <c r="CZR111" s="1308"/>
      <c r="CZS111" s="1308"/>
      <c r="CZT111" s="1308"/>
      <c r="CZU111" s="1308"/>
      <c r="CZV111" s="1308"/>
      <c r="CZW111" s="1308"/>
      <c r="CZX111" s="1308"/>
      <c r="CZY111" s="1308"/>
      <c r="CZZ111" s="1308"/>
      <c r="DAA111" s="1308"/>
      <c r="DAB111" s="1308"/>
      <c r="DAC111" s="1308"/>
      <c r="DAD111" s="1308"/>
      <c r="DAE111" s="1308"/>
      <c r="DAF111" s="1308"/>
      <c r="DAG111" s="1308"/>
      <c r="DAH111" s="1308"/>
      <c r="DAI111" s="1308"/>
      <c r="DAJ111" s="1308"/>
      <c r="DAK111" s="1308"/>
      <c r="DAL111" s="1308"/>
      <c r="DAM111" s="1308"/>
      <c r="DAN111" s="1308"/>
      <c r="DAO111" s="1308"/>
      <c r="DAP111" s="1308"/>
      <c r="DAQ111" s="1308"/>
      <c r="DAR111" s="1308"/>
      <c r="DAS111" s="1308"/>
      <c r="DAT111" s="1308"/>
      <c r="DAU111" s="1308"/>
      <c r="DAV111" s="1308"/>
      <c r="DAW111" s="1308"/>
      <c r="DAX111" s="1308"/>
      <c r="DAY111" s="1308"/>
      <c r="DAZ111" s="1308"/>
      <c r="DBA111" s="1308"/>
      <c r="DBB111" s="1308"/>
      <c r="DBC111" s="1308"/>
      <c r="DBD111" s="1308"/>
      <c r="DBE111" s="1308"/>
      <c r="DBF111" s="1308"/>
      <c r="DBG111" s="1308"/>
      <c r="DBH111" s="1308"/>
      <c r="DBI111" s="1308"/>
      <c r="DBJ111" s="1308"/>
      <c r="DBK111" s="1308"/>
      <c r="DBL111" s="1308"/>
      <c r="DBM111" s="1308"/>
      <c r="DBN111" s="1308"/>
      <c r="DBO111" s="1308"/>
      <c r="DBP111" s="1308"/>
      <c r="DBQ111" s="1308"/>
      <c r="DBR111" s="1308"/>
      <c r="DBS111" s="1308"/>
      <c r="DBT111" s="1308"/>
      <c r="DBU111" s="1308"/>
      <c r="DBV111" s="1308"/>
      <c r="DBW111" s="1308"/>
      <c r="DBX111" s="1308"/>
      <c r="DBY111" s="1308"/>
      <c r="DBZ111" s="1308"/>
      <c r="DCA111" s="1308"/>
      <c r="DCB111" s="1308"/>
      <c r="DCC111" s="1308"/>
      <c r="DCD111" s="1308"/>
      <c r="DCE111" s="1308"/>
      <c r="DCF111" s="1308"/>
      <c r="DCG111" s="1308"/>
      <c r="DCH111" s="1308"/>
      <c r="DCI111" s="1308"/>
      <c r="DCJ111" s="1308"/>
      <c r="DCK111" s="1308"/>
      <c r="DCL111" s="1308"/>
      <c r="DCM111" s="1308"/>
      <c r="DCN111" s="1308"/>
      <c r="DCO111" s="1308"/>
      <c r="DCP111" s="1308"/>
      <c r="DCQ111" s="1308"/>
      <c r="DCR111" s="1308"/>
      <c r="DCS111" s="1308"/>
      <c r="DCT111" s="1308"/>
      <c r="DCU111" s="1308"/>
      <c r="DCV111" s="1308"/>
      <c r="DCW111" s="1308"/>
      <c r="DCX111" s="1308"/>
      <c r="DCY111" s="1308"/>
      <c r="DCZ111" s="1308"/>
      <c r="DDA111" s="1308"/>
      <c r="DDB111" s="1308"/>
      <c r="DDC111" s="1308"/>
      <c r="DDD111" s="1308"/>
      <c r="DDE111" s="1308"/>
      <c r="DDF111" s="1308"/>
      <c r="DDG111" s="1308"/>
      <c r="DDH111" s="1308"/>
      <c r="DDI111" s="1308"/>
      <c r="DDJ111" s="1308"/>
      <c r="DDK111" s="1308"/>
      <c r="DDL111" s="1308"/>
      <c r="DDM111" s="1308"/>
      <c r="DDN111" s="1308"/>
      <c r="DDO111" s="1308"/>
      <c r="DDP111" s="1308"/>
      <c r="DDQ111" s="1308"/>
      <c r="DDR111" s="1308"/>
      <c r="DDS111" s="1308"/>
      <c r="DDT111" s="1308"/>
      <c r="DDU111" s="1308"/>
      <c r="DDV111" s="1308"/>
      <c r="DDW111" s="1308"/>
      <c r="DDX111" s="1308"/>
      <c r="DDY111" s="1308"/>
      <c r="DDZ111" s="1308"/>
      <c r="DEA111" s="1308"/>
      <c r="DEB111" s="1308"/>
      <c r="DEC111" s="1308"/>
      <c r="DED111" s="1308"/>
      <c r="DEE111" s="1308"/>
      <c r="DEF111" s="1308"/>
      <c r="DEG111" s="1308"/>
      <c r="DEH111" s="1308"/>
      <c r="DEI111" s="1308"/>
      <c r="DEJ111" s="1308"/>
      <c r="DEK111" s="1308"/>
      <c r="DEL111" s="1308"/>
      <c r="DEM111" s="1308"/>
      <c r="DEN111" s="1308"/>
      <c r="DEO111" s="1308"/>
      <c r="DEP111" s="1308"/>
      <c r="DEQ111" s="1308"/>
      <c r="DER111" s="1308"/>
      <c r="DES111" s="1308"/>
      <c r="DET111" s="1308"/>
      <c r="DEU111" s="1308"/>
      <c r="DEV111" s="1308"/>
      <c r="DEW111" s="1308"/>
      <c r="DEX111" s="1308"/>
      <c r="DEY111" s="1308"/>
      <c r="DEZ111" s="1308"/>
      <c r="DFA111" s="1308"/>
      <c r="DFB111" s="1308"/>
      <c r="DFC111" s="1308"/>
      <c r="DFD111" s="1308"/>
      <c r="DFE111" s="1308"/>
      <c r="DFF111" s="1308"/>
      <c r="DFG111" s="1308"/>
      <c r="DFH111" s="1308"/>
      <c r="DFI111" s="1308"/>
      <c r="DFJ111" s="1308"/>
      <c r="DFK111" s="1308"/>
      <c r="DFL111" s="1308"/>
      <c r="DFM111" s="1308"/>
      <c r="DFN111" s="1308"/>
      <c r="DFO111" s="1308"/>
      <c r="DFP111" s="1308"/>
      <c r="DFQ111" s="1308"/>
      <c r="DFR111" s="1308"/>
      <c r="DFS111" s="1308"/>
      <c r="DFT111" s="1308"/>
      <c r="DFU111" s="1308"/>
      <c r="DFV111" s="1308"/>
      <c r="DFW111" s="1308"/>
      <c r="DFX111" s="1308"/>
      <c r="DFY111" s="1308"/>
      <c r="DFZ111" s="1308"/>
      <c r="DGA111" s="1308"/>
      <c r="DGB111" s="1308"/>
      <c r="DGC111" s="1308"/>
      <c r="DGD111" s="1308"/>
      <c r="DGE111" s="1308"/>
      <c r="DGF111" s="1308"/>
      <c r="DGG111" s="1308"/>
      <c r="DGH111" s="1308"/>
      <c r="DGI111" s="1308"/>
      <c r="DGJ111" s="1308"/>
      <c r="DGK111" s="1308"/>
      <c r="DGL111" s="1308"/>
      <c r="DGM111" s="1308"/>
      <c r="DGN111" s="1308"/>
      <c r="DGO111" s="1308"/>
      <c r="DGP111" s="1308"/>
      <c r="DGQ111" s="1308"/>
      <c r="DGR111" s="1308"/>
      <c r="DGS111" s="1308"/>
      <c r="DGT111" s="1308"/>
      <c r="DGU111" s="1308"/>
      <c r="DGV111" s="1308"/>
      <c r="DGW111" s="1308"/>
      <c r="DGX111" s="1308"/>
      <c r="DGY111" s="1308"/>
      <c r="DGZ111" s="1308"/>
      <c r="DHA111" s="1308"/>
      <c r="DHB111" s="1308"/>
      <c r="DHC111" s="1308"/>
      <c r="DHD111" s="1308"/>
      <c r="DHE111" s="1308"/>
      <c r="DHF111" s="1308"/>
      <c r="DHG111" s="1308"/>
      <c r="DHH111" s="1308"/>
      <c r="DHI111" s="1308"/>
      <c r="DHJ111" s="1308"/>
      <c r="DHK111" s="1308"/>
      <c r="DHL111" s="1308"/>
      <c r="DHM111" s="1308"/>
      <c r="DHN111" s="1308"/>
      <c r="DHO111" s="1308"/>
      <c r="DHP111" s="1308"/>
      <c r="DHQ111" s="1308"/>
      <c r="DHR111" s="1308"/>
      <c r="DHS111" s="1308"/>
      <c r="DHT111" s="1308"/>
      <c r="DHU111" s="1308"/>
      <c r="DHV111" s="1308"/>
      <c r="DHW111" s="1308"/>
      <c r="DHX111" s="1308"/>
      <c r="DHY111" s="1308"/>
      <c r="DHZ111" s="1308"/>
      <c r="DIA111" s="1308"/>
      <c r="DIB111" s="1308"/>
      <c r="DIC111" s="1308"/>
      <c r="DID111" s="1308"/>
      <c r="DIE111" s="1308"/>
      <c r="DIF111" s="1308"/>
      <c r="DIG111" s="1308"/>
      <c r="DIH111" s="1308"/>
      <c r="DII111" s="1308"/>
      <c r="DIJ111" s="1308"/>
      <c r="DIK111" s="1308"/>
      <c r="DIL111" s="1308"/>
      <c r="DIM111" s="1308"/>
      <c r="DIN111" s="1308"/>
      <c r="DIO111" s="1308"/>
      <c r="DIP111" s="1308"/>
      <c r="DIQ111" s="1308"/>
      <c r="DIR111" s="1308"/>
      <c r="DIS111" s="1308"/>
      <c r="DIT111" s="1308"/>
      <c r="DIU111" s="1308"/>
      <c r="DIV111" s="1308"/>
      <c r="DIW111" s="1308"/>
      <c r="DIX111" s="1308"/>
      <c r="DIY111" s="1308"/>
      <c r="DIZ111" s="1308"/>
      <c r="DJA111" s="1308"/>
      <c r="DJB111" s="1308"/>
      <c r="DJC111" s="1308"/>
      <c r="DJD111" s="1308"/>
      <c r="DJE111" s="1308"/>
      <c r="DJF111" s="1308"/>
      <c r="DJG111" s="1308"/>
      <c r="DJH111" s="1308"/>
      <c r="DJI111" s="1308"/>
      <c r="DJJ111" s="1308"/>
      <c r="DJK111" s="1308"/>
      <c r="DJL111" s="1308"/>
      <c r="DJM111" s="1308"/>
      <c r="DJN111" s="1308"/>
      <c r="DJO111" s="1308"/>
      <c r="DJP111" s="1308"/>
      <c r="DJQ111" s="1308"/>
      <c r="DJR111" s="1308"/>
      <c r="DJS111" s="1308"/>
      <c r="DJT111" s="1308"/>
      <c r="DJU111" s="1308"/>
      <c r="DJV111" s="1308"/>
      <c r="DJW111" s="1308"/>
      <c r="DJX111" s="1308"/>
      <c r="DJY111" s="1308"/>
      <c r="DJZ111" s="1308"/>
      <c r="DKA111" s="1308"/>
      <c r="DKB111" s="1308"/>
      <c r="DKC111" s="1308"/>
      <c r="DKD111" s="1308"/>
      <c r="DKE111" s="1308"/>
      <c r="DKF111" s="1308"/>
      <c r="DKG111" s="1308"/>
      <c r="DKH111" s="1308"/>
      <c r="DKI111" s="1308"/>
      <c r="DKJ111" s="1308"/>
      <c r="DKK111" s="1308"/>
      <c r="DKL111" s="1308"/>
      <c r="DKM111" s="1308"/>
      <c r="DKN111" s="1308"/>
      <c r="DKO111" s="1308"/>
      <c r="DKP111" s="1308"/>
      <c r="DKQ111" s="1308"/>
      <c r="DKR111" s="1308"/>
      <c r="DKS111" s="1308"/>
      <c r="DKT111" s="1308"/>
      <c r="DKU111" s="1308"/>
      <c r="DKV111" s="1308"/>
      <c r="DKW111" s="1308"/>
      <c r="DKX111" s="1308"/>
      <c r="DKY111" s="1308"/>
      <c r="DKZ111" s="1308"/>
      <c r="DLA111" s="1308"/>
      <c r="DLB111" s="1308"/>
      <c r="DLC111" s="1308"/>
      <c r="DLD111" s="1308"/>
      <c r="DLE111" s="1308"/>
      <c r="DLF111" s="1308"/>
      <c r="DLG111" s="1308"/>
      <c r="DLH111" s="1308"/>
      <c r="DLI111" s="1308"/>
      <c r="DLJ111" s="1308"/>
      <c r="DLK111" s="1308"/>
      <c r="DLL111" s="1308"/>
      <c r="DLM111" s="1308"/>
      <c r="DLN111" s="1308"/>
      <c r="DLO111" s="1308"/>
      <c r="DLP111" s="1308"/>
      <c r="DLQ111" s="1308"/>
      <c r="DLR111" s="1308"/>
      <c r="DLS111" s="1308"/>
      <c r="DLT111" s="1308"/>
      <c r="DLU111" s="1308"/>
      <c r="DLV111" s="1308"/>
      <c r="DLW111" s="1308"/>
      <c r="DLX111" s="1308"/>
      <c r="DLY111" s="1308"/>
      <c r="DLZ111" s="1308"/>
      <c r="DMA111" s="1308"/>
      <c r="DMB111" s="1308"/>
      <c r="DMC111" s="1308"/>
      <c r="DMD111" s="1308"/>
      <c r="DME111" s="1308"/>
      <c r="DMF111" s="1308"/>
      <c r="DMG111" s="1308"/>
      <c r="DMH111" s="1308"/>
      <c r="DMI111" s="1308"/>
      <c r="DMJ111" s="1308"/>
      <c r="DMK111" s="1308"/>
      <c r="DML111" s="1308"/>
      <c r="DMM111" s="1308"/>
      <c r="DMN111" s="1308"/>
      <c r="DMO111" s="1308"/>
      <c r="DMP111" s="1308"/>
      <c r="DMQ111" s="1308"/>
      <c r="DMR111" s="1308"/>
      <c r="DMS111" s="1308"/>
      <c r="DMT111" s="1308"/>
      <c r="DMU111" s="1308"/>
      <c r="DMV111" s="1308"/>
      <c r="DMW111" s="1308"/>
      <c r="DMX111" s="1308"/>
      <c r="DMY111" s="1308"/>
      <c r="DMZ111" s="1308"/>
      <c r="DNA111" s="1308"/>
      <c r="DNB111" s="1308"/>
      <c r="DNC111" s="1308"/>
      <c r="DND111" s="1308"/>
      <c r="DNE111" s="1308"/>
      <c r="DNF111" s="1308"/>
      <c r="DNG111" s="1308"/>
      <c r="DNH111" s="1308"/>
      <c r="DNI111" s="1308"/>
      <c r="DNJ111" s="1308"/>
      <c r="DNK111" s="1308"/>
      <c r="DNL111" s="1308"/>
      <c r="DNM111" s="1308"/>
      <c r="DNN111" s="1308"/>
      <c r="DNO111" s="1308"/>
      <c r="DNP111" s="1308"/>
      <c r="DNQ111" s="1308"/>
      <c r="DNR111" s="1308"/>
      <c r="DNS111" s="1308"/>
      <c r="DNT111" s="1308"/>
      <c r="DNU111" s="1308"/>
      <c r="DNV111" s="1308"/>
      <c r="DNW111" s="1308"/>
      <c r="DNX111" s="1308"/>
      <c r="DNY111" s="1308"/>
      <c r="DNZ111" s="1308"/>
      <c r="DOA111" s="1308"/>
      <c r="DOB111" s="1308"/>
      <c r="DOC111" s="1308"/>
      <c r="DOD111" s="1308"/>
      <c r="DOE111" s="1308"/>
      <c r="DOF111" s="1308"/>
      <c r="DOG111" s="1308"/>
      <c r="DOH111" s="1308"/>
      <c r="DOI111" s="1308"/>
      <c r="DOJ111" s="1308"/>
      <c r="DOK111" s="1308"/>
      <c r="DOL111" s="1308"/>
      <c r="DOM111" s="1308"/>
      <c r="DON111" s="1308"/>
      <c r="DOO111" s="1308"/>
      <c r="DOP111" s="1308"/>
      <c r="DOQ111" s="1308"/>
      <c r="DOR111" s="1308"/>
      <c r="DOS111" s="1308"/>
      <c r="DOT111" s="1308"/>
      <c r="DOU111" s="1308"/>
      <c r="DOV111" s="1308"/>
      <c r="DOW111" s="1308"/>
      <c r="DOX111" s="1308"/>
      <c r="DOY111" s="1308"/>
      <c r="DOZ111" s="1308"/>
      <c r="DPA111" s="1308"/>
      <c r="DPB111" s="1308"/>
      <c r="DPC111" s="1308"/>
      <c r="DPD111" s="1308"/>
      <c r="DPE111" s="1308"/>
      <c r="DPF111" s="1308"/>
      <c r="DPG111" s="1308"/>
      <c r="DPH111" s="1308"/>
      <c r="DPI111" s="1308"/>
      <c r="DPJ111" s="1308"/>
      <c r="DPK111" s="1308"/>
      <c r="DPL111" s="1308"/>
      <c r="DPM111" s="1308"/>
      <c r="DPN111" s="1308"/>
      <c r="DPO111" s="1308"/>
      <c r="DPP111" s="1308"/>
      <c r="DPQ111" s="1308"/>
      <c r="DPR111" s="1308"/>
      <c r="DPS111" s="1308"/>
      <c r="DPT111" s="1308"/>
      <c r="DPU111" s="1308"/>
      <c r="DPV111" s="1308"/>
      <c r="DPW111" s="1308"/>
      <c r="DPX111" s="1308"/>
      <c r="DPY111" s="1308"/>
      <c r="DPZ111" s="1308"/>
      <c r="DQA111" s="1308"/>
      <c r="DQB111" s="1308"/>
      <c r="DQC111" s="1308"/>
      <c r="DQD111" s="1308"/>
      <c r="DQE111" s="1308"/>
      <c r="DQF111" s="1308"/>
      <c r="DQG111" s="1308"/>
      <c r="DQH111" s="1308"/>
      <c r="DQI111" s="1308"/>
      <c r="DQJ111" s="1308"/>
      <c r="DQK111" s="1308"/>
      <c r="DQL111" s="1308"/>
      <c r="DQM111" s="1308"/>
      <c r="DQN111" s="1308"/>
      <c r="DQO111" s="1308"/>
      <c r="DQP111" s="1308"/>
      <c r="DQQ111" s="1308"/>
      <c r="DQR111" s="1308"/>
      <c r="DQS111" s="1308"/>
      <c r="DQT111" s="1308"/>
      <c r="DQU111" s="1308"/>
      <c r="DQV111" s="1308"/>
      <c r="DQW111" s="1308"/>
      <c r="DQX111" s="1308"/>
      <c r="DQY111" s="1308"/>
      <c r="DQZ111" s="1308"/>
      <c r="DRA111" s="1308"/>
      <c r="DRB111" s="1308"/>
      <c r="DRC111" s="1308"/>
      <c r="DRD111" s="1308"/>
      <c r="DRE111" s="1308"/>
      <c r="DRF111" s="1308"/>
      <c r="DRG111" s="1308"/>
      <c r="DRH111" s="1308"/>
      <c r="DRI111" s="1308"/>
      <c r="DRJ111" s="1308"/>
      <c r="DRK111" s="1308"/>
      <c r="DRL111" s="1308"/>
      <c r="DRM111" s="1308"/>
      <c r="DRN111" s="1308"/>
      <c r="DRO111" s="1308"/>
      <c r="DRP111" s="1308"/>
      <c r="DRQ111" s="1308"/>
      <c r="DRR111" s="1308"/>
      <c r="DRS111" s="1308"/>
      <c r="DRT111" s="1308"/>
      <c r="DRU111" s="1308"/>
      <c r="DRV111" s="1308"/>
      <c r="DRW111" s="1308"/>
      <c r="DRX111" s="1308"/>
      <c r="DRY111" s="1308"/>
      <c r="DRZ111" s="1308"/>
      <c r="DSA111" s="1308"/>
      <c r="DSB111" s="1308"/>
      <c r="DSC111" s="1308"/>
      <c r="DSD111" s="1308"/>
      <c r="DSE111" s="1308"/>
      <c r="DSF111" s="1308"/>
      <c r="DSG111" s="1308"/>
      <c r="DSH111" s="1308"/>
      <c r="DSI111" s="1308"/>
      <c r="DSJ111" s="1308"/>
      <c r="DSK111" s="1308"/>
      <c r="DSL111" s="1308"/>
      <c r="DSM111" s="1308"/>
      <c r="DSN111" s="1308"/>
      <c r="DSO111" s="1308"/>
      <c r="DSP111" s="1308"/>
      <c r="DSQ111" s="1308"/>
      <c r="DSR111" s="1308"/>
      <c r="DSS111" s="1308"/>
      <c r="DST111" s="1308"/>
      <c r="DSU111" s="1308"/>
      <c r="DSV111" s="1308"/>
      <c r="DSW111" s="1308"/>
      <c r="DSX111" s="1308"/>
      <c r="DSY111" s="1308"/>
      <c r="DSZ111" s="1308"/>
      <c r="DTA111" s="1308"/>
      <c r="DTB111" s="1308"/>
      <c r="DTC111" s="1308"/>
      <c r="DTD111" s="1308"/>
      <c r="DTE111" s="1308"/>
      <c r="DTF111" s="1308"/>
      <c r="DTG111" s="1308"/>
      <c r="DTH111" s="1308"/>
      <c r="DTI111" s="1308"/>
      <c r="DTJ111" s="1308"/>
      <c r="DTK111" s="1308"/>
      <c r="DTL111" s="1308"/>
      <c r="DTM111" s="1308"/>
      <c r="DTN111" s="1308"/>
      <c r="DTO111" s="1308"/>
      <c r="DTP111" s="1308"/>
      <c r="DTQ111" s="1308"/>
      <c r="DTR111" s="1308"/>
      <c r="DTS111" s="1308"/>
      <c r="DTT111" s="1308"/>
      <c r="DTU111" s="1308"/>
      <c r="DTV111" s="1308"/>
      <c r="DTW111" s="1308"/>
      <c r="DTX111" s="1308"/>
      <c r="DTY111" s="1308"/>
      <c r="DTZ111" s="1308"/>
      <c r="DUA111" s="1308"/>
      <c r="DUB111" s="1308"/>
      <c r="DUC111" s="1308"/>
      <c r="DUD111" s="1308"/>
      <c r="DUE111" s="1308"/>
      <c r="DUF111" s="1308"/>
      <c r="DUG111" s="1308"/>
      <c r="DUH111" s="1308"/>
      <c r="DUI111" s="1308"/>
      <c r="DUJ111" s="1308"/>
      <c r="DUK111" s="1308"/>
      <c r="DUL111" s="1308"/>
      <c r="DUM111" s="1308"/>
      <c r="DUN111" s="1308"/>
      <c r="DUO111" s="1308"/>
      <c r="DUP111" s="1308"/>
      <c r="DUQ111" s="1308"/>
      <c r="DUR111" s="1308"/>
      <c r="DUS111" s="1308"/>
      <c r="DUT111" s="1308"/>
      <c r="DUU111" s="1308"/>
      <c r="DUV111" s="1308"/>
      <c r="DUW111" s="1308"/>
      <c r="DUX111" s="1308"/>
      <c r="DUY111" s="1308"/>
      <c r="DUZ111" s="1308"/>
      <c r="DVA111" s="1308"/>
      <c r="DVB111" s="1308"/>
      <c r="DVC111" s="1308"/>
      <c r="DVD111" s="1308"/>
      <c r="DVE111" s="1308"/>
      <c r="DVF111" s="1308"/>
      <c r="DVG111" s="1308"/>
      <c r="DVH111" s="1308"/>
      <c r="DVI111" s="1308"/>
      <c r="DVJ111" s="1308"/>
      <c r="DVK111" s="1308"/>
      <c r="DVL111" s="1308"/>
      <c r="DVM111" s="1308"/>
      <c r="DVN111" s="1308"/>
      <c r="DVO111" s="1308"/>
      <c r="DVP111" s="1308"/>
      <c r="DVQ111" s="1308"/>
      <c r="DVR111" s="1308"/>
      <c r="DVS111" s="1308"/>
      <c r="DVT111" s="1308"/>
      <c r="DVU111" s="1308"/>
      <c r="DVV111" s="1308"/>
      <c r="DVW111" s="1308"/>
      <c r="DVX111" s="1308"/>
      <c r="DVY111" s="1308"/>
      <c r="DVZ111" s="1308"/>
      <c r="DWA111" s="1308"/>
      <c r="DWB111" s="1308"/>
      <c r="DWC111" s="1308"/>
      <c r="DWD111" s="1308"/>
      <c r="DWE111" s="1308"/>
      <c r="DWF111" s="1308"/>
      <c r="DWG111" s="1308"/>
      <c r="DWH111" s="1308"/>
      <c r="DWI111" s="1308"/>
      <c r="DWJ111" s="1308"/>
      <c r="DWK111" s="1308"/>
      <c r="DWL111" s="1308"/>
      <c r="DWM111" s="1308"/>
      <c r="DWN111" s="1308"/>
      <c r="DWO111" s="1308"/>
      <c r="DWP111" s="1308"/>
      <c r="DWQ111" s="1308"/>
      <c r="DWR111" s="1308"/>
      <c r="DWS111" s="1308"/>
      <c r="DWT111" s="1308"/>
      <c r="DWU111" s="1308"/>
      <c r="DWV111" s="1308"/>
      <c r="DWW111" s="1308"/>
      <c r="DWX111" s="1308"/>
      <c r="DWY111" s="1308"/>
      <c r="DWZ111" s="1308"/>
      <c r="DXA111" s="1308"/>
      <c r="DXB111" s="1308"/>
      <c r="DXC111" s="1308"/>
      <c r="DXD111" s="1308"/>
      <c r="DXE111" s="1308"/>
      <c r="DXF111" s="1308"/>
      <c r="DXG111" s="1308"/>
      <c r="DXH111" s="1308"/>
      <c r="DXI111" s="1308"/>
      <c r="DXJ111" s="1308"/>
      <c r="DXK111" s="1308"/>
      <c r="DXL111" s="1308"/>
      <c r="DXM111" s="1308"/>
      <c r="DXN111" s="1308"/>
      <c r="DXO111" s="1308"/>
      <c r="DXP111" s="1308"/>
      <c r="DXQ111" s="1308"/>
      <c r="DXR111" s="1308"/>
      <c r="DXS111" s="1308"/>
      <c r="DXT111" s="1308"/>
      <c r="DXU111" s="1308"/>
      <c r="DXV111" s="1308"/>
      <c r="DXW111" s="1308"/>
      <c r="DXX111" s="1308"/>
      <c r="DXY111" s="1308"/>
      <c r="DXZ111" s="1308"/>
      <c r="DYA111" s="1308"/>
      <c r="DYB111" s="1308"/>
      <c r="DYC111" s="1308"/>
      <c r="DYD111" s="1308"/>
      <c r="DYE111" s="1308"/>
      <c r="DYF111" s="1308"/>
      <c r="DYG111" s="1308"/>
      <c r="DYH111" s="1308"/>
      <c r="DYI111" s="1308"/>
      <c r="DYJ111" s="1308"/>
      <c r="DYK111" s="1308"/>
      <c r="DYL111" s="1308"/>
      <c r="DYM111" s="1308"/>
      <c r="DYN111" s="1308"/>
      <c r="DYO111" s="1308"/>
      <c r="DYP111" s="1308"/>
      <c r="DYQ111" s="1308"/>
      <c r="DYR111" s="1308"/>
      <c r="DYS111" s="1308"/>
      <c r="DYT111" s="1308"/>
      <c r="DYU111" s="1308"/>
      <c r="DYV111" s="1308"/>
      <c r="DYW111" s="1308"/>
      <c r="DYX111" s="1308"/>
      <c r="DYY111" s="1308"/>
      <c r="DYZ111" s="1308"/>
      <c r="DZA111" s="1308"/>
      <c r="DZB111" s="1308"/>
      <c r="DZC111" s="1308"/>
      <c r="DZD111" s="1308"/>
      <c r="DZE111" s="1308"/>
      <c r="DZF111" s="1308"/>
      <c r="DZG111" s="1308"/>
      <c r="DZH111" s="1308"/>
      <c r="DZI111" s="1308"/>
      <c r="DZJ111" s="1308"/>
      <c r="DZK111" s="1308"/>
      <c r="DZL111" s="1308"/>
      <c r="DZM111" s="1308"/>
      <c r="DZN111" s="1308"/>
      <c r="DZO111" s="1308"/>
      <c r="DZP111" s="1308"/>
      <c r="DZQ111" s="1308"/>
      <c r="DZR111" s="1308"/>
      <c r="DZS111" s="1308"/>
      <c r="DZT111" s="1308"/>
      <c r="DZU111" s="1308"/>
      <c r="DZV111" s="1308"/>
      <c r="DZW111" s="1308"/>
      <c r="DZX111" s="1308"/>
      <c r="DZY111" s="1308"/>
      <c r="DZZ111" s="1308"/>
      <c r="EAA111" s="1308"/>
      <c r="EAB111" s="1308"/>
      <c r="EAC111" s="1308"/>
      <c r="EAD111" s="1308"/>
      <c r="EAE111" s="1308"/>
      <c r="EAF111" s="1308"/>
      <c r="EAG111" s="1308"/>
      <c r="EAH111" s="1308"/>
      <c r="EAI111" s="1308"/>
      <c r="EAJ111" s="1308"/>
      <c r="EAK111" s="1308"/>
      <c r="EAL111" s="1308"/>
      <c r="EAM111" s="1308"/>
      <c r="EAN111" s="1308"/>
      <c r="EAO111" s="1308"/>
      <c r="EAP111" s="1308"/>
      <c r="EAQ111" s="1308"/>
      <c r="EAR111" s="1308"/>
      <c r="EAS111" s="1308"/>
      <c r="EAT111" s="1308"/>
      <c r="EAU111" s="1308"/>
      <c r="EAV111" s="1308"/>
      <c r="EAW111" s="1308"/>
      <c r="EAX111" s="1308"/>
      <c r="EAY111" s="1308"/>
      <c r="EAZ111" s="1308"/>
      <c r="EBA111" s="1308"/>
      <c r="EBB111" s="1308"/>
      <c r="EBC111" s="1308"/>
      <c r="EBD111" s="1308"/>
      <c r="EBE111" s="1308"/>
      <c r="EBF111" s="1308"/>
      <c r="EBG111" s="1308"/>
      <c r="EBH111" s="1308"/>
      <c r="EBI111" s="1308"/>
      <c r="EBJ111" s="1308"/>
      <c r="EBK111" s="1308"/>
      <c r="EBL111" s="1308"/>
      <c r="EBM111" s="1308"/>
      <c r="EBN111" s="1308"/>
      <c r="EBO111" s="1308"/>
      <c r="EBP111" s="1308"/>
      <c r="EBQ111" s="1308"/>
      <c r="EBR111" s="1308"/>
      <c r="EBS111" s="1308"/>
      <c r="EBT111" s="1308"/>
      <c r="EBU111" s="1308"/>
      <c r="EBV111" s="1308"/>
      <c r="EBW111" s="1308"/>
      <c r="EBX111" s="1308"/>
      <c r="EBY111" s="1308"/>
      <c r="EBZ111" s="1308"/>
      <c r="ECA111" s="1308"/>
      <c r="ECB111" s="1308"/>
      <c r="ECC111" s="1308"/>
      <c r="ECD111" s="1308"/>
      <c r="ECE111" s="1308"/>
      <c r="ECF111" s="1308"/>
      <c r="ECG111" s="1308"/>
      <c r="ECH111" s="1308"/>
      <c r="ECI111" s="1308"/>
      <c r="ECJ111" s="1308"/>
      <c r="ECK111" s="1308"/>
      <c r="ECL111" s="1308"/>
      <c r="ECM111" s="1308"/>
      <c r="ECN111" s="1308"/>
      <c r="ECO111" s="1308"/>
      <c r="ECP111" s="1308"/>
      <c r="ECQ111" s="1308"/>
      <c r="ECR111" s="1308"/>
      <c r="ECS111" s="1308"/>
      <c r="ECT111" s="1308"/>
      <c r="ECU111" s="1308"/>
      <c r="ECV111" s="1308"/>
      <c r="ECW111" s="1308"/>
      <c r="ECX111" s="1308"/>
      <c r="ECY111" s="1308"/>
      <c r="ECZ111" s="1308"/>
      <c r="EDA111" s="1308"/>
      <c r="EDB111" s="1308"/>
      <c r="EDC111" s="1308"/>
      <c r="EDD111" s="1308"/>
      <c r="EDE111" s="1308"/>
      <c r="EDF111" s="1308"/>
      <c r="EDG111" s="1308"/>
      <c r="EDH111" s="1308"/>
      <c r="EDI111" s="1308"/>
      <c r="EDJ111" s="1308"/>
      <c r="EDK111" s="1308"/>
      <c r="EDL111" s="1308"/>
      <c r="EDM111" s="1308"/>
      <c r="EDN111" s="1308"/>
      <c r="EDO111" s="1308"/>
      <c r="EDP111" s="1308"/>
      <c r="EDQ111" s="1308"/>
      <c r="EDR111" s="1308"/>
      <c r="EDS111" s="1308"/>
      <c r="EDT111" s="1308"/>
      <c r="EDU111" s="1308"/>
      <c r="EDV111" s="1308"/>
      <c r="EDW111" s="1308"/>
      <c r="EDX111" s="1308"/>
      <c r="EDY111" s="1308"/>
      <c r="EDZ111" s="1308"/>
      <c r="EEA111" s="1308"/>
      <c r="EEB111" s="1308"/>
      <c r="EEC111" s="1308"/>
      <c r="EED111" s="1308"/>
      <c r="EEE111" s="1308"/>
      <c r="EEF111" s="1308"/>
      <c r="EEG111" s="1308"/>
      <c r="EEH111" s="1308"/>
      <c r="EEI111" s="1308"/>
      <c r="EEJ111" s="1308"/>
      <c r="EEK111" s="1308"/>
      <c r="EEL111" s="1308"/>
      <c r="EEM111" s="1308"/>
      <c r="EEN111" s="1308"/>
      <c r="EEO111" s="1308"/>
      <c r="EEP111" s="1308"/>
      <c r="EEQ111" s="1308"/>
      <c r="EER111" s="1308"/>
      <c r="EES111" s="1308"/>
      <c r="EET111" s="1308"/>
      <c r="EEU111" s="1308"/>
      <c r="EEV111" s="1308"/>
      <c r="EEW111" s="1308"/>
      <c r="EEX111" s="1308"/>
      <c r="EEY111" s="1308"/>
      <c r="EEZ111" s="1308"/>
      <c r="EFA111" s="1308"/>
      <c r="EFB111" s="1308"/>
      <c r="EFC111" s="1308"/>
      <c r="EFD111" s="1308"/>
      <c r="EFE111" s="1308"/>
      <c r="EFF111" s="1308"/>
      <c r="EFG111" s="1308"/>
      <c r="EFH111" s="1308"/>
      <c r="EFI111" s="1308"/>
      <c r="EFJ111" s="1308"/>
      <c r="EFK111" s="1308"/>
      <c r="EFL111" s="1308"/>
      <c r="EFM111" s="1308"/>
      <c r="EFN111" s="1308"/>
      <c r="EFO111" s="1308"/>
      <c r="EFP111" s="1308"/>
      <c r="EFQ111" s="1308"/>
      <c r="EFR111" s="1308"/>
      <c r="EFS111" s="1308"/>
      <c r="EFT111" s="1308"/>
      <c r="EFU111" s="1308"/>
      <c r="EFV111" s="1308"/>
      <c r="EFW111" s="1308"/>
      <c r="EFX111" s="1308"/>
      <c r="EFY111" s="1308"/>
      <c r="EFZ111" s="1308"/>
      <c r="EGA111" s="1308"/>
      <c r="EGB111" s="1308"/>
      <c r="EGC111" s="1308"/>
      <c r="EGD111" s="1308"/>
      <c r="EGE111" s="1308"/>
      <c r="EGF111" s="1308"/>
      <c r="EGG111" s="1308"/>
      <c r="EGH111" s="1308"/>
      <c r="EGI111" s="1308"/>
      <c r="EGJ111" s="1308"/>
      <c r="EGK111" s="1308"/>
      <c r="EGL111" s="1308"/>
      <c r="EGM111" s="1308"/>
      <c r="EGN111" s="1308"/>
      <c r="EGO111" s="1308"/>
      <c r="EGP111" s="1308"/>
      <c r="EGQ111" s="1308"/>
      <c r="EGR111" s="1308"/>
      <c r="EGS111" s="1308"/>
      <c r="EGT111" s="1308"/>
      <c r="EGU111" s="1308"/>
      <c r="EGV111" s="1308"/>
      <c r="EGW111" s="1308"/>
      <c r="EGX111" s="1308"/>
      <c r="EGY111" s="1308"/>
      <c r="EGZ111" s="1308"/>
      <c r="EHA111" s="1308"/>
      <c r="EHB111" s="1308"/>
      <c r="EHC111" s="1308"/>
      <c r="EHD111" s="1308"/>
      <c r="EHE111" s="1308"/>
      <c r="EHF111" s="1308"/>
      <c r="EHG111" s="1308"/>
      <c r="EHH111" s="1308"/>
      <c r="EHI111" s="1308"/>
      <c r="EHJ111" s="1308"/>
      <c r="EHK111" s="1308"/>
      <c r="EHL111" s="1308"/>
      <c r="EHM111" s="1308"/>
      <c r="EHN111" s="1308"/>
      <c r="EHO111" s="1308"/>
      <c r="EHP111" s="1308"/>
      <c r="EHQ111" s="1308"/>
      <c r="EHR111" s="1308"/>
      <c r="EHS111" s="1308"/>
      <c r="EHT111" s="1308"/>
      <c r="EHU111" s="1308"/>
      <c r="EHV111" s="1308"/>
      <c r="EHW111" s="1308"/>
      <c r="EHX111" s="1308"/>
      <c r="EHY111" s="1308"/>
      <c r="EHZ111" s="1308"/>
      <c r="EIA111" s="1308"/>
      <c r="EIB111" s="1308"/>
      <c r="EIC111" s="1308"/>
      <c r="EID111" s="1308"/>
      <c r="EIE111" s="1308"/>
      <c r="EIF111" s="1308"/>
      <c r="EIG111" s="1308"/>
      <c r="EIH111" s="1308"/>
      <c r="EII111" s="1308"/>
      <c r="EIJ111" s="1308"/>
      <c r="EIK111" s="1308"/>
      <c r="EIL111" s="1308"/>
      <c r="EIM111" s="1308"/>
      <c r="EIN111" s="1308"/>
      <c r="EIO111" s="1308"/>
      <c r="EIP111" s="1308"/>
      <c r="EIQ111" s="1308"/>
      <c r="EIR111" s="1308"/>
      <c r="EIS111" s="1308"/>
      <c r="EIT111" s="1308"/>
      <c r="EIU111" s="1308"/>
      <c r="EIV111" s="1308"/>
      <c r="EIW111" s="1308"/>
      <c r="EIX111" s="1308"/>
      <c r="EIY111" s="1308"/>
      <c r="EIZ111" s="1308"/>
      <c r="EJA111" s="1308"/>
      <c r="EJB111" s="1308"/>
      <c r="EJC111" s="1308"/>
      <c r="EJD111" s="1308"/>
      <c r="EJE111" s="1308"/>
      <c r="EJF111" s="1308"/>
      <c r="EJG111" s="1308"/>
      <c r="EJH111" s="1308"/>
      <c r="EJI111" s="1308"/>
      <c r="EJJ111" s="1308"/>
      <c r="EJK111" s="1308"/>
      <c r="EJL111" s="1308"/>
      <c r="EJM111" s="1308"/>
      <c r="EJN111" s="1308"/>
      <c r="EJO111" s="1308"/>
      <c r="EJP111" s="1308"/>
      <c r="EJQ111" s="1308"/>
      <c r="EJR111" s="1308"/>
      <c r="EJS111" s="1308"/>
      <c r="EJT111" s="1308"/>
      <c r="EJU111" s="1308"/>
      <c r="EJV111" s="1308"/>
      <c r="EJW111" s="1308"/>
      <c r="EJX111" s="1308"/>
      <c r="EJY111" s="1308"/>
      <c r="EJZ111" s="1308"/>
      <c r="EKA111" s="1308"/>
      <c r="EKB111" s="1308"/>
      <c r="EKC111" s="1308"/>
      <c r="EKD111" s="1308"/>
      <c r="EKE111" s="1308"/>
      <c r="EKF111" s="1308"/>
      <c r="EKG111" s="1308"/>
      <c r="EKH111" s="1308"/>
      <c r="EKI111" s="1308"/>
      <c r="EKJ111" s="1308"/>
      <c r="EKK111" s="1308"/>
      <c r="EKL111" s="1308"/>
      <c r="EKM111" s="1308"/>
      <c r="EKN111" s="1308"/>
      <c r="EKO111" s="1308"/>
      <c r="EKP111" s="1308"/>
      <c r="EKQ111" s="1308"/>
      <c r="EKR111" s="1308"/>
      <c r="EKS111" s="1308"/>
      <c r="EKT111" s="1308"/>
      <c r="EKU111" s="1308"/>
      <c r="EKV111" s="1308"/>
      <c r="EKW111" s="1308"/>
      <c r="EKX111" s="1308"/>
      <c r="EKY111" s="1308"/>
      <c r="EKZ111" s="1308"/>
      <c r="ELA111" s="1308"/>
      <c r="ELB111" s="1308"/>
      <c r="ELC111" s="1308"/>
      <c r="ELD111" s="1308"/>
      <c r="ELE111" s="1308"/>
      <c r="ELF111" s="1308"/>
      <c r="ELG111" s="1308"/>
      <c r="ELH111" s="1308"/>
      <c r="ELI111" s="1308"/>
      <c r="ELJ111" s="1308"/>
      <c r="ELK111" s="1308"/>
      <c r="ELL111" s="1308"/>
      <c r="ELM111" s="1308"/>
      <c r="ELN111" s="1308"/>
      <c r="ELO111" s="1308"/>
      <c r="ELP111" s="1308"/>
      <c r="ELQ111" s="1308"/>
      <c r="ELR111" s="1308"/>
      <c r="ELS111" s="1308"/>
      <c r="ELT111" s="1308"/>
      <c r="ELU111" s="1308"/>
      <c r="ELV111" s="1308"/>
      <c r="ELW111" s="1308"/>
      <c r="ELX111" s="1308"/>
      <c r="ELY111" s="1308"/>
      <c r="ELZ111" s="1308"/>
      <c r="EMA111" s="1308"/>
      <c r="EMB111" s="1308"/>
      <c r="EMC111" s="1308"/>
      <c r="EMD111" s="1308"/>
      <c r="EME111" s="1308"/>
      <c r="EMF111" s="1308"/>
      <c r="EMG111" s="1308"/>
      <c r="EMH111" s="1308"/>
      <c r="EMI111" s="1308"/>
      <c r="EMJ111" s="1308"/>
      <c r="EMK111" s="1308"/>
      <c r="EML111" s="1308"/>
      <c r="EMM111" s="1308"/>
      <c r="EMN111" s="1308"/>
      <c r="EMO111" s="1308"/>
      <c r="EMP111" s="1308"/>
      <c r="EMQ111" s="1308"/>
      <c r="EMR111" s="1308"/>
      <c r="EMS111" s="1308"/>
      <c r="EMT111" s="1308"/>
      <c r="EMU111" s="1308"/>
      <c r="EMV111" s="1308"/>
      <c r="EMW111" s="1308"/>
      <c r="EMX111" s="1308"/>
      <c r="EMY111" s="1308"/>
      <c r="EMZ111" s="1308"/>
      <c r="ENA111" s="1308"/>
      <c r="ENB111" s="1308"/>
      <c r="ENC111" s="1308"/>
      <c r="END111" s="1308"/>
      <c r="ENE111" s="1308"/>
      <c r="ENF111" s="1308"/>
      <c r="ENG111" s="1308"/>
      <c r="ENH111" s="1308"/>
      <c r="ENI111" s="1308"/>
      <c r="ENJ111" s="1308"/>
      <c r="ENK111" s="1308"/>
      <c r="ENL111" s="1308"/>
      <c r="ENM111" s="1308"/>
      <c r="ENN111" s="1308"/>
      <c r="ENO111" s="1308"/>
      <c r="ENP111" s="1308"/>
      <c r="ENQ111" s="1308"/>
      <c r="ENR111" s="1308"/>
      <c r="ENS111" s="1308"/>
      <c r="ENT111" s="1308"/>
      <c r="ENU111" s="1308"/>
      <c r="ENV111" s="1308"/>
      <c r="ENW111" s="1308"/>
      <c r="ENX111" s="1308"/>
      <c r="ENY111" s="1308"/>
      <c r="ENZ111" s="1308"/>
      <c r="EOA111" s="1308"/>
      <c r="EOB111" s="1308"/>
      <c r="EOC111" s="1308"/>
      <c r="EOD111" s="1308"/>
      <c r="EOE111" s="1308"/>
      <c r="EOF111" s="1308"/>
      <c r="EOG111" s="1308"/>
      <c r="EOH111" s="1308"/>
      <c r="EOI111" s="1308"/>
      <c r="EOJ111" s="1308"/>
      <c r="EOK111" s="1308"/>
      <c r="EOL111" s="1308"/>
      <c r="EOM111" s="1308"/>
      <c r="EON111" s="1308"/>
      <c r="EOO111" s="1308"/>
      <c r="EOP111" s="1308"/>
      <c r="EOQ111" s="1308"/>
      <c r="EOR111" s="1308"/>
      <c r="EOS111" s="1308"/>
      <c r="EOT111" s="1308"/>
      <c r="EOU111" s="1308"/>
      <c r="EOV111" s="1308"/>
      <c r="EOW111" s="1308"/>
      <c r="EOX111" s="1308"/>
      <c r="EOY111" s="1308"/>
      <c r="EOZ111" s="1308"/>
      <c r="EPA111" s="1308"/>
      <c r="EPB111" s="1308"/>
      <c r="EPC111" s="1308"/>
      <c r="EPD111" s="1308"/>
      <c r="EPE111" s="1308"/>
      <c r="EPF111" s="1308"/>
      <c r="EPG111" s="1308"/>
      <c r="EPH111" s="1308"/>
      <c r="EPI111" s="1308"/>
      <c r="EPJ111" s="1308"/>
      <c r="EPK111" s="1308"/>
      <c r="EPL111" s="1308"/>
      <c r="EPM111" s="1308"/>
      <c r="EPN111" s="1308"/>
      <c r="EPO111" s="1308"/>
      <c r="EPP111" s="1308"/>
      <c r="EPQ111" s="1308"/>
      <c r="EPR111" s="1308"/>
      <c r="EPS111" s="1308"/>
      <c r="EPT111" s="1308"/>
      <c r="EPU111" s="1308"/>
      <c r="EPV111" s="1308"/>
      <c r="EPW111" s="1308"/>
      <c r="EPX111" s="1308"/>
      <c r="EPY111" s="1308"/>
      <c r="EPZ111" s="1308"/>
      <c r="EQA111" s="1308"/>
      <c r="EQB111" s="1308"/>
      <c r="EQC111" s="1308"/>
      <c r="EQD111" s="1308"/>
      <c r="EQE111" s="1308"/>
      <c r="EQF111" s="1308"/>
      <c r="EQG111" s="1308"/>
      <c r="EQH111" s="1308"/>
      <c r="EQI111" s="1308"/>
      <c r="EQJ111" s="1308"/>
      <c r="EQK111" s="1308"/>
      <c r="EQL111" s="1308"/>
      <c r="EQM111" s="1308"/>
      <c r="EQN111" s="1308"/>
      <c r="EQO111" s="1308"/>
      <c r="EQP111" s="1308"/>
      <c r="EQQ111" s="1308"/>
      <c r="EQR111" s="1308"/>
      <c r="EQS111" s="1308"/>
      <c r="EQT111" s="1308"/>
      <c r="EQU111" s="1308"/>
      <c r="EQV111" s="1308"/>
      <c r="EQW111" s="1308"/>
      <c r="EQX111" s="1308"/>
      <c r="EQY111" s="1308"/>
      <c r="EQZ111" s="1308"/>
      <c r="ERA111" s="1308"/>
      <c r="ERB111" s="1308"/>
      <c r="ERC111" s="1308"/>
      <c r="ERD111" s="1308"/>
      <c r="ERE111" s="1308"/>
      <c r="ERF111" s="1308"/>
      <c r="ERG111" s="1308"/>
      <c r="ERH111" s="1308"/>
      <c r="ERI111" s="1308"/>
      <c r="ERJ111" s="1308"/>
      <c r="ERK111" s="1308"/>
      <c r="ERL111" s="1308"/>
      <c r="ERM111" s="1308"/>
      <c r="ERN111" s="1308"/>
      <c r="ERO111" s="1308"/>
      <c r="ERP111" s="1308"/>
      <c r="ERQ111" s="1308"/>
      <c r="ERR111" s="1308"/>
      <c r="ERS111" s="1308"/>
      <c r="ERT111" s="1308"/>
      <c r="ERU111" s="1308"/>
      <c r="ERV111" s="1308"/>
      <c r="ERW111" s="1308"/>
      <c r="ERX111" s="1308"/>
      <c r="ERY111" s="1308"/>
      <c r="ERZ111" s="1308"/>
      <c r="ESA111" s="1308"/>
      <c r="ESB111" s="1308"/>
      <c r="ESC111" s="1308"/>
      <c r="ESD111" s="1308"/>
      <c r="ESE111" s="1308"/>
      <c r="ESF111" s="1308"/>
      <c r="ESG111" s="1308"/>
      <c r="ESH111" s="1308"/>
      <c r="ESI111" s="1308"/>
      <c r="ESJ111" s="1308"/>
      <c r="ESK111" s="1308"/>
      <c r="ESL111" s="1308"/>
      <c r="ESM111" s="1308"/>
      <c r="ESN111" s="1308"/>
      <c r="ESO111" s="1308"/>
      <c r="ESP111" s="1308"/>
      <c r="ESQ111" s="1308"/>
      <c r="ESR111" s="1308"/>
      <c r="ESS111" s="1308"/>
      <c r="EST111" s="1308"/>
      <c r="ESU111" s="1308"/>
      <c r="ESV111" s="1308"/>
      <c r="ESW111" s="1308"/>
      <c r="ESX111" s="1308"/>
      <c r="ESY111" s="1308"/>
      <c r="ESZ111" s="1308"/>
      <c r="ETA111" s="1308"/>
      <c r="ETB111" s="1308"/>
      <c r="ETC111" s="1308"/>
      <c r="ETD111" s="1308"/>
      <c r="ETE111" s="1308"/>
      <c r="ETF111" s="1308"/>
      <c r="ETG111" s="1308"/>
      <c r="ETH111" s="1308"/>
      <c r="ETI111" s="1308"/>
      <c r="ETJ111" s="1308"/>
      <c r="ETK111" s="1308"/>
      <c r="ETL111" s="1308"/>
      <c r="ETM111" s="1308"/>
      <c r="ETN111" s="1308"/>
      <c r="ETO111" s="1308"/>
      <c r="ETP111" s="1308"/>
      <c r="ETQ111" s="1308"/>
      <c r="ETR111" s="1308"/>
      <c r="ETS111" s="1308"/>
      <c r="ETT111" s="1308"/>
      <c r="ETU111" s="1308"/>
      <c r="ETV111" s="1308"/>
      <c r="ETW111" s="1308"/>
      <c r="ETX111" s="1308"/>
      <c r="ETY111" s="1308"/>
      <c r="ETZ111" s="1308"/>
      <c r="EUA111" s="1308"/>
      <c r="EUB111" s="1308"/>
      <c r="EUC111" s="1308"/>
      <c r="EUD111" s="1308"/>
      <c r="EUE111" s="1308"/>
      <c r="EUF111" s="1308"/>
      <c r="EUG111" s="1308"/>
      <c r="EUH111" s="1308"/>
      <c r="EUI111" s="1308"/>
      <c r="EUJ111" s="1308"/>
      <c r="EUK111" s="1308"/>
      <c r="EUL111" s="1308"/>
      <c r="EUM111" s="1308"/>
      <c r="EUN111" s="1308"/>
      <c r="EUO111" s="1308"/>
      <c r="EUP111" s="1308"/>
      <c r="EUQ111" s="1308"/>
      <c r="EUR111" s="1308"/>
      <c r="EUS111" s="1308"/>
      <c r="EUT111" s="1308"/>
      <c r="EUU111" s="1308"/>
      <c r="EUV111" s="1308"/>
      <c r="EUW111" s="1308"/>
      <c r="EUX111" s="1308"/>
      <c r="EUY111" s="1308"/>
      <c r="EUZ111" s="1308"/>
      <c r="EVA111" s="1308"/>
      <c r="EVB111" s="1308"/>
      <c r="EVC111" s="1308"/>
      <c r="EVD111" s="1308"/>
      <c r="EVE111" s="1308"/>
      <c r="EVF111" s="1308"/>
      <c r="EVG111" s="1308"/>
      <c r="EVH111" s="1308"/>
      <c r="EVI111" s="1308"/>
      <c r="EVJ111" s="1308"/>
      <c r="EVK111" s="1308"/>
      <c r="EVL111" s="1308"/>
      <c r="EVM111" s="1308"/>
      <c r="EVN111" s="1308"/>
      <c r="EVO111" s="1308"/>
      <c r="EVP111" s="1308"/>
      <c r="EVQ111" s="1308"/>
      <c r="EVR111" s="1308"/>
      <c r="EVS111" s="1308"/>
      <c r="EVT111" s="1308"/>
      <c r="EVU111" s="1308"/>
      <c r="EVV111" s="1308"/>
      <c r="EVW111" s="1308"/>
      <c r="EVX111" s="1308"/>
      <c r="EVY111" s="1308"/>
      <c r="EVZ111" s="1308"/>
      <c r="EWA111" s="1308"/>
      <c r="EWB111" s="1308"/>
      <c r="EWC111" s="1308"/>
      <c r="EWD111" s="1308"/>
      <c r="EWE111" s="1308"/>
      <c r="EWF111" s="1308"/>
      <c r="EWG111" s="1308"/>
      <c r="EWH111" s="1308"/>
      <c r="EWI111" s="1308"/>
      <c r="EWJ111" s="1308"/>
      <c r="EWK111" s="1308"/>
      <c r="EWL111" s="1308"/>
      <c r="EWM111" s="1308"/>
      <c r="EWN111" s="1308"/>
      <c r="EWO111" s="1308"/>
      <c r="EWP111" s="1308"/>
      <c r="EWQ111" s="1308"/>
      <c r="EWR111" s="1308"/>
      <c r="EWS111" s="1308"/>
      <c r="EWT111" s="1308"/>
      <c r="EWU111" s="1308"/>
      <c r="EWV111" s="1308"/>
      <c r="EWW111" s="1308"/>
      <c r="EWX111" s="1308"/>
      <c r="EWY111" s="1308"/>
      <c r="EWZ111" s="1308"/>
      <c r="EXA111" s="1308"/>
      <c r="EXB111" s="1308"/>
      <c r="EXC111" s="1308"/>
      <c r="EXD111" s="1308"/>
      <c r="EXE111" s="1308"/>
      <c r="EXF111" s="1308"/>
      <c r="EXG111" s="1308"/>
      <c r="EXH111" s="1308"/>
      <c r="EXI111" s="1308"/>
      <c r="EXJ111" s="1308"/>
      <c r="EXK111" s="1308"/>
      <c r="EXL111" s="1308"/>
      <c r="EXM111" s="1308"/>
      <c r="EXN111" s="1308"/>
      <c r="EXO111" s="1308"/>
      <c r="EXP111" s="1308"/>
      <c r="EXQ111" s="1308"/>
      <c r="EXR111" s="1308"/>
      <c r="EXS111" s="1308"/>
      <c r="EXT111" s="1308"/>
      <c r="EXU111" s="1308"/>
      <c r="EXV111" s="1308"/>
      <c r="EXW111" s="1308"/>
      <c r="EXX111" s="1308"/>
      <c r="EXY111" s="1308"/>
      <c r="EXZ111" s="1308"/>
      <c r="EYA111" s="1308"/>
      <c r="EYB111" s="1308"/>
      <c r="EYC111" s="1308"/>
      <c r="EYD111" s="1308"/>
      <c r="EYE111" s="1308"/>
      <c r="EYF111" s="1308"/>
      <c r="EYG111" s="1308"/>
      <c r="EYH111" s="1308"/>
      <c r="EYI111" s="1308"/>
      <c r="EYJ111" s="1308"/>
      <c r="EYK111" s="1308"/>
      <c r="EYL111" s="1308"/>
      <c r="EYM111" s="1308"/>
      <c r="EYN111" s="1308"/>
      <c r="EYO111" s="1308"/>
      <c r="EYP111" s="1308"/>
      <c r="EYQ111" s="1308"/>
      <c r="EYR111" s="1308"/>
      <c r="EYS111" s="1308"/>
      <c r="EYT111" s="1308"/>
      <c r="EYU111" s="1308"/>
      <c r="EYV111" s="1308"/>
      <c r="EYW111" s="1308"/>
      <c r="EYX111" s="1308"/>
      <c r="EYY111" s="1308"/>
      <c r="EYZ111" s="1308"/>
      <c r="EZA111" s="1308"/>
      <c r="EZB111" s="1308"/>
      <c r="EZC111" s="1308"/>
      <c r="EZD111" s="1308"/>
      <c r="EZE111" s="1308"/>
      <c r="EZF111" s="1308"/>
      <c r="EZG111" s="1308"/>
      <c r="EZH111" s="1308"/>
      <c r="EZI111" s="1308"/>
      <c r="EZJ111" s="1308"/>
      <c r="EZK111" s="1308"/>
      <c r="EZL111" s="1308"/>
      <c r="EZM111" s="1308"/>
      <c r="EZN111" s="1308"/>
      <c r="EZO111" s="1308"/>
      <c r="EZP111" s="1308"/>
      <c r="EZQ111" s="1308"/>
      <c r="EZR111" s="1308"/>
      <c r="EZS111" s="1308"/>
      <c r="EZT111" s="1308"/>
      <c r="EZU111" s="1308"/>
      <c r="EZV111" s="1308"/>
      <c r="EZW111" s="1308"/>
      <c r="EZX111" s="1308"/>
      <c r="EZY111" s="1308"/>
      <c r="EZZ111" s="1308"/>
      <c r="FAA111" s="1308"/>
      <c r="FAB111" s="1308"/>
      <c r="FAC111" s="1308"/>
      <c r="FAD111" s="1308"/>
      <c r="FAE111" s="1308"/>
      <c r="FAF111" s="1308"/>
      <c r="FAG111" s="1308"/>
      <c r="FAH111" s="1308"/>
      <c r="FAI111" s="1308"/>
      <c r="FAJ111" s="1308"/>
      <c r="FAK111" s="1308"/>
      <c r="FAL111" s="1308"/>
      <c r="FAM111" s="1308"/>
      <c r="FAN111" s="1308"/>
      <c r="FAO111" s="1308"/>
      <c r="FAP111" s="1308"/>
      <c r="FAQ111" s="1308"/>
      <c r="FAR111" s="1308"/>
      <c r="FAS111" s="1308"/>
      <c r="FAT111" s="1308"/>
      <c r="FAU111" s="1308"/>
      <c r="FAV111" s="1308"/>
      <c r="FAW111" s="1308"/>
      <c r="FAX111" s="1308"/>
      <c r="FAY111" s="1308"/>
      <c r="FAZ111" s="1308"/>
      <c r="FBA111" s="1308"/>
      <c r="FBB111" s="1308"/>
      <c r="FBC111" s="1308"/>
      <c r="FBD111" s="1308"/>
      <c r="FBE111" s="1308"/>
      <c r="FBF111" s="1308"/>
      <c r="FBG111" s="1308"/>
      <c r="FBH111" s="1308"/>
      <c r="FBI111" s="1308"/>
      <c r="FBJ111" s="1308"/>
      <c r="FBK111" s="1308"/>
      <c r="FBL111" s="1308"/>
      <c r="FBM111" s="1308"/>
      <c r="FBN111" s="1308"/>
      <c r="FBO111" s="1308"/>
      <c r="FBP111" s="1308"/>
      <c r="FBQ111" s="1308"/>
      <c r="FBR111" s="1308"/>
      <c r="FBS111" s="1308"/>
      <c r="FBT111" s="1308"/>
      <c r="FBU111" s="1308"/>
      <c r="FBV111" s="1308"/>
      <c r="FBW111" s="1308"/>
      <c r="FBX111" s="1308"/>
      <c r="FBY111" s="1308"/>
      <c r="FBZ111" s="1308"/>
      <c r="FCA111" s="1308"/>
      <c r="FCB111" s="1308"/>
      <c r="FCC111" s="1308"/>
      <c r="FCD111" s="1308"/>
      <c r="FCE111" s="1308"/>
      <c r="FCF111" s="1308"/>
      <c r="FCG111" s="1308"/>
      <c r="FCH111" s="1308"/>
      <c r="FCI111" s="1308"/>
      <c r="FCJ111" s="1308"/>
      <c r="FCK111" s="1308"/>
      <c r="FCL111" s="1308"/>
      <c r="FCM111" s="1308"/>
      <c r="FCN111" s="1308"/>
      <c r="FCO111" s="1308"/>
      <c r="FCP111" s="1308"/>
      <c r="FCQ111" s="1308"/>
      <c r="FCR111" s="1308"/>
      <c r="FCS111" s="1308"/>
      <c r="FCT111" s="1308"/>
      <c r="FCU111" s="1308"/>
      <c r="FCV111" s="1308"/>
      <c r="FCW111" s="1308"/>
      <c r="FCX111" s="1308"/>
      <c r="FCY111" s="1308"/>
      <c r="FCZ111" s="1308"/>
      <c r="FDA111" s="1308"/>
      <c r="FDB111" s="1308"/>
      <c r="FDC111" s="1308"/>
      <c r="FDD111" s="1308"/>
      <c r="FDE111" s="1308"/>
      <c r="FDF111" s="1308"/>
      <c r="FDG111" s="1308"/>
      <c r="FDH111" s="1308"/>
      <c r="FDI111" s="1308"/>
      <c r="FDJ111" s="1308"/>
      <c r="FDK111" s="1308"/>
      <c r="FDL111" s="1308"/>
      <c r="FDM111" s="1308"/>
      <c r="FDN111" s="1308"/>
      <c r="FDO111" s="1308"/>
      <c r="FDP111" s="1308"/>
      <c r="FDQ111" s="1308"/>
      <c r="FDR111" s="1308"/>
      <c r="FDS111" s="1308"/>
      <c r="FDT111" s="1308"/>
      <c r="FDU111" s="1308"/>
      <c r="FDV111" s="1308"/>
      <c r="FDW111" s="1308"/>
      <c r="FDX111" s="1308"/>
      <c r="FDY111" s="1308"/>
      <c r="FDZ111" s="1308"/>
      <c r="FEA111" s="1308"/>
      <c r="FEB111" s="1308"/>
      <c r="FEC111" s="1308"/>
      <c r="FED111" s="1308"/>
      <c r="FEE111" s="1308"/>
      <c r="FEF111" s="1308"/>
      <c r="FEG111" s="1308"/>
      <c r="FEH111" s="1308"/>
      <c r="FEI111" s="1308"/>
      <c r="FEJ111" s="1308"/>
      <c r="FEK111" s="1308"/>
      <c r="FEL111" s="1308"/>
      <c r="FEM111" s="1308"/>
      <c r="FEN111" s="1308"/>
      <c r="FEO111" s="1308"/>
      <c r="FEP111" s="1308"/>
      <c r="FEQ111" s="1308"/>
      <c r="FER111" s="1308"/>
      <c r="FES111" s="1308"/>
      <c r="FET111" s="1308"/>
      <c r="FEU111" s="1308"/>
      <c r="FEV111" s="1308"/>
      <c r="FEW111" s="1308"/>
      <c r="FEX111" s="1308"/>
      <c r="FEY111" s="1308"/>
      <c r="FEZ111" s="1308"/>
      <c r="FFA111" s="1308"/>
      <c r="FFB111" s="1308"/>
      <c r="FFC111" s="1308"/>
      <c r="FFD111" s="1308"/>
      <c r="FFE111" s="1308"/>
      <c r="FFF111" s="1308"/>
      <c r="FFG111" s="1308"/>
      <c r="FFH111" s="1308"/>
      <c r="FFI111" s="1308"/>
      <c r="FFJ111" s="1308"/>
      <c r="FFK111" s="1308"/>
      <c r="FFL111" s="1308"/>
      <c r="FFM111" s="1308"/>
      <c r="FFN111" s="1308"/>
      <c r="FFO111" s="1308"/>
      <c r="FFP111" s="1308"/>
      <c r="FFQ111" s="1308"/>
      <c r="FFR111" s="1308"/>
      <c r="FFS111" s="1308"/>
      <c r="FFT111" s="1308"/>
      <c r="FFU111" s="1308"/>
      <c r="FFV111" s="1308"/>
      <c r="FFW111" s="1308"/>
      <c r="FFX111" s="1308"/>
      <c r="FFY111" s="1308"/>
      <c r="FFZ111" s="1308"/>
      <c r="FGA111" s="1308"/>
      <c r="FGB111" s="1308"/>
      <c r="FGC111" s="1308"/>
      <c r="FGD111" s="1308"/>
      <c r="FGE111" s="1308"/>
      <c r="FGF111" s="1308"/>
      <c r="FGG111" s="1308"/>
      <c r="FGH111" s="1308"/>
      <c r="FGI111" s="1308"/>
      <c r="FGJ111" s="1308"/>
      <c r="FGK111" s="1308"/>
      <c r="FGL111" s="1308"/>
      <c r="FGM111" s="1308"/>
      <c r="FGN111" s="1308"/>
      <c r="FGO111" s="1308"/>
      <c r="FGP111" s="1308"/>
      <c r="FGQ111" s="1308"/>
      <c r="FGR111" s="1308"/>
      <c r="FGS111" s="1308"/>
      <c r="FGT111" s="1308"/>
      <c r="FGU111" s="1308"/>
      <c r="FGV111" s="1308"/>
      <c r="FGW111" s="1308"/>
      <c r="FGX111" s="1308"/>
      <c r="FGY111" s="1308"/>
      <c r="FGZ111" s="1308"/>
      <c r="FHA111" s="1308"/>
      <c r="FHB111" s="1308"/>
      <c r="FHC111" s="1308"/>
      <c r="FHD111" s="1308"/>
      <c r="FHE111" s="1308"/>
      <c r="FHF111" s="1308"/>
      <c r="FHG111" s="1308"/>
      <c r="FHH111" s="1308"/>
      <c r="FHI111" s="1308"/>
      <c r="FHJ111" s="1308"/>
      <c r="FHK111" s="1308"/>
      <c r="FHL111" s="1308"/>
      <c r="FHM111" s="1308"/>
      <c r="FHN111" s="1308"/>
      <c r="FHO111" s="1308"/>
      <c r="FHP111" s="1308"/>
      <c r="FHQ111" s="1308"/>
      <c r="FHR111" s="1308"/>
      <c r="FHS111" s="1308"/>
      <c r="FHT111" s="1308"/>
      <c r="FHU111" s="1308"/>
      <c r="FHV111" s="1308"/>
      <c r="FHW111" s="1308"/>
      <c r="FHX111" s="1308"/>
      <c r="FHY111" s="1308"/>
      <c r="FHZ111" s="1308"/>
      <c r="FIA111" s="1308"/>
      <c r="FIB111" s="1308"/>
      <c r="FIC111" s="1308"/>
      <c r="FID111" s="1308"/>
      <c r="FIE111" s="1308"/>
      <c r="FIF111" s="1308"/>
      <c r="FIG111" s="1308"/>
      <c r="FIH111" s="1308"/>
      <c r="FII111" s="1308"/>
      <c r="FIJ111" s="1308"/>
      <c r="FIK111" s="1308"/>
      <c r="FIL111" s="1308"/>
      <c r="FIM111" s="1308"/>
      <c r="FIN111" s="1308"/>
      <c r="FIO111" s="1308"/>
      <c r="FIP111" s="1308"/>
      <c r="FIQ111" s="1308"/>
      <c r="FIR111" s="1308"/>
      <c r="FIS111" s="1308"/>
      <c r="FIT111" s="1308"/>
      <c r="FIU111" s="1308"/>
      <c r="FIV111" s="1308"/>
      <c r="FIW111" s="1308"/>
      <c r="FIX111" s="1308"/>
      <c r="FIY111" s="1308"/>
      <c r="FIZ111" s="1308"/>
      <c r="FJA111" s="1308"/>
      <c r="FJB111" s="1308"/>
      <c r="FJC111" s="1308"/>
      <c r="FJD111" s="1308"/>
      <c r="FJE111" s="1308"/>
      <c r="FJF111" s="1308"/>
      <c r="FJG111" s="1308"/>
      <c r="FJH111" s="1308"/>
      <c r="FJI111" s="1308"/>
      <c r="FJJ111" s="1308"/>
      <c r="FJK111" s="1308"/>
      <c r="FJL111" s="1308"/>
      <c r="FJM111" s="1308"/>
      <c r="FJN111" s="1308"/>
      <c r="FJO111" s="1308"/>
      <c r="FJP111" s="1308"/>
      <c r="FJQ111" s="1308"/>
      <c r="FJR111" s="1308"/>
      <c r="FJS111" s="1308"/>
      <c r="FJT111" s="1308"/>
      <c r="FJU111" s="1308"/>
      <c r="FJV111" s="1308"/>
      <c r="FJW111" s="1308"/>
      <c r="FJX111" s="1308"/>
      <c r="FJY111" s="1308"/>
      <c r="FJZ111" s="1308"/>
      <c r="FKA111" s="1308"/>
      <c r="FKB111" s="1308"/>
      <c r="FKC111" s="1308"/>
      <c r="FKD111" s="1308"/>
      <c r="FKE111" s="1308"/>
      <c r="FKF111" s="1308"/>
      <c r="FKG111" s="1308"/>
      <c r="FKH111" s="1308"/>
      <c r="FKI111" s="1308"/>
      <c r="FKJ111" s="1308"/>
      <c r="FKK111" s="1308"/>
      <c r="FKL111" s="1308"/>
      <c r="FKM111" s="1308"/>
      <c r="FKN111" s="1308"/>
      <c r="FKO111" s="1308"/>
      <c r="FKP111" s="1308"/>
      <c r="FKQ111" s="1308"/>
      <c r="FKR111" s="1308"/>
      <c r="FKS111" s="1308"/>
      <c r="FKT111" s="1308"/>
      <c r="FKU111" s="1308"/>
      <c r="FKV111" s="1308"/>
      <c r="FKW111" s="1308"/>
      <c r="FKX111" s="1308"/>
      <c r="FKY111" s="1308"/>
      <c r="FKZ111" s="1308"/>
      <c r="FLA111" s="1308"/>
      <c r="FLB111" s="1308"/>
      <c r="FLC111" s="1308"/>
      <c r="FLD111" s="1308"/>
      <c r="FLE111" s="1308"/>
      <c r="FLF111" s="1308"/>
      <c r="FLG111" s="1308"/>
      <c r="FLH111" s="1308"/>
      <c r="FLI111" s="1308"/>
      <c r="FLJ111" s="1308"/>
      <c r="FLK111" s="1308"/>
      <c r="FLL111" s="1308"/>
      <c r="FLM111" s="1308"/>
      <c r="FLN111" s="1308"/>
      <c r="FLO111" s="1308"/>
      <c r="FLP111" s="1308"/>
      <c r="FLQ111" s="1308"/>
      <c r="FLR111" s="1308"/>
      <c r="FLS111" s="1308"/>
      <c r="FLT111" s="1308"/>
      <c r="FLU111" s="1308"/>
      <c r="FLV111" s="1308"/>
      <c r="FLW111" s="1308"/>
      <c r="FLX111" s="1308"/>
      <c r="FLY111" s="1308"/>
      <c r="FLZ111" s="1308"/>
      <c r="FMA111" s="1308"/>
      <c r="FMB111" s="1308"/>
      <c r="FMC111" s="1308"/>
      <c r="FMD111" s="1308"/>
      <c r="FME111" s="1308"/>
      <c r="FMF111" s="1308"/>
      <c r="FMG111" s="1308"/>
      <c r="FMH111" s="1308"/>
      <c r="FMI111" s="1308"/>
      <c r="FMJ111" s="1308"/>
      <c r="FMK111" s="1308"/>
      <c r="FML111" s="1308"/>
      <c r="FMM111" s="1308"/>
      <c r="FMN111" s="1308"/>
      <c r="FMO111" s="1308"/>
      <c r="FMP111" s="1308"/>
      <c r="FMQ111" s="1308"/>
      <c r="FMR111" s="1308"/>
      <c r="FMS111" s="1308"/>
      <c r="FMT111" s="1308"/>
      <c r="FMU111" s="1308"/>
      <c r="FMV111" s="1308"/>
      <c r="FMW111" s="1308"/>
      <c r="FMX111" s="1308"/>
      <c r="FMY111" s="1308"/>
      <c r="FMZ111" s="1308"/>
      <c r="FNA111" s="1308"/>
      <c r="FNB111" s="1308"/>
      <c r="FNC111" s="1308"/>
      <c r="FND111" s="1308"/>
      <c r="FNE111" s="1308"/>
      <c r="FNF111" s="1308"/>
      <c r="FNG111" s="1308"/>
      <c r="FNH111" s="1308"/>
      <c r="FNI111" s="1308"/>
      <c r="FNJ111" s="1308"/>
      <c r="FNK111" s="1308"/>
      <c r="FNL111" s="1308"/>
      <c r="FNM111" s="1308"/>
      <c r="FNN111" s="1308"/>
      <c r="FNO111" s="1308"/>
      <c r="FNP111" s="1308"/>
      <c r="FNQ111" s="1308"/>
      <c r="FNR111" s="1308"/>
      <c r="FNS111" s="1308"/>
      <c r="FNT111" s="1308"/>
      <c r="FNU111" s="1308"/>
      <c r="FNV111" s="1308"/>
      <c r="FNW111" s="1308"/>
      <c r="FNX111" s="1308"/>
      <c r="FNY111" s="1308"/>
      <c r="FNZ111" s="1308"/>
      <c r="FOA111" s="1308"/>
      <c r="FOB111" s="1308"/>
      <c r="FOC111" s="1308"/>
      <c r="FOD111" s="1308"/>
      <c r="FOE111" s="1308"/>
      <c r="FOF111" s="1308"/>
      <c r="FOG111" s="1308"/>
      <c r="FOH111" s="1308"/>
      <c r="FOI111" s="1308"/>
      <c r="FOJ111" s="1308"/>
      <c r="FOK111" s="1308"/>
      <c r="FOL111" s="1308"/>
      <c r="FOM111" s="1308"/>
      <c r="FON111" s="1308"/>
      <c r="FOO111" s="1308"/>
      <c r="FOP111" s="1308"/>
      <c r="FOQ111" s="1308"/>
      <c r="FOR111" s="1308"/>
      <c r="FOS111" s="1308"/>
      <c r="FOT111" s="1308"/>
      <c r="FOU111" s="1308"/>
      <c r="FOV111" s="1308"/>
      <c r="FOW111" s="1308"/>
      <c r="FOX111" s="1308"/>
      <c r="FOY111" s="1308"/>
      <c r="FOZ111" s="1308"/>
      <c r="FPA111" s="1308"/>
      <c r="FPB111" s="1308"/>
      <c r="FPC111" s="1308"/>
      <c r="FPD111" s="1308"/>
      <c r="FPE111" s="1308"/>
      <c r="FPF111" s="1308"/>
      <c r="FPG111" s="1308"/>
      <c r="FPH111" s="1308"/>
      <c r="FPI111" s="1308"/>
      <c r="FPJ111" s="1308"/>
      <c r="FPK111" s="1308"/>
      <c r="FPL111" s="1308"/>
      <c r="FPM111" s="1308"/>
      <c r="FPN111" s="1308"/>
      <c r="FPO111" s="1308"/>
      <c r="FPP111" s="1308"/>
      <c r="FPQ111" s="1308"/>
      <c r="FPR111" s="1308"/>
      <c r="FPS111" s="1308"/>
      <c r="FPT111" s="1308"/>
      <c r="FPU111" s="1308"/>
      <c r="FPV111" s="1308"/>
      <c r="FPW111" s="1308"/>
      <c r="FPX111" s="1308"/>
      <c r="FPY111" s="1308"/>
      <c r="FPZ111" s="1308"/>
      <c r="FQA111" s="1308"/>
      <c r="FQB111" s="1308"/>
      <c r="FQC111" s="1308"/>
      <c r="FQD111" s="1308"/>
      <c r="FQE111" s="1308"/>
      <c r="FQF111" s="1308"/>
      <c r="FQG111" s="1308"/>
      <c r="FQH111" s="1308"/>
      <c r="FQI111" s="1308"/>
      <c r="FQJ111" s="1308"/>
      <c r="FQK111" s="1308"/>
      <c r="FQL111" s="1308"/>
      <c r="FQM111" s="1308"/>
      <c r="FQN111" s="1308"/>
      <c r="FQO111" s="1308"/>
      <c r="FQP111" s="1308"/>
      <c r="FQQ111" s="1308"/>
      <c r="FQR111" s="1308"/>
      <c r="FQS111" s="1308"/>
      <c r="FQT111" s="1308"/>
      <c r="FQU111" s="1308"/>
      <c r="FQV111" s="1308"/>
      <c r="FQW111" s="1308"/>
      <c r="FQX111" s="1308"/>
      <c r="FQY111" s="1308"/>
      <c r="FQZ111" s="1308"/>
      <c r="FRA111" s="1308"/>
      <c r="FRB111" s="1308"/>
      <c r="FRC111" s="1308"/>
      <c r="FRD111" s="1308"/>
      <c r="FRE111" s="1308"/>
      <c r="FRF111" s="1308"/>
      <c r="FRG111" s="1308"/>
      <c r="FRH111" s="1308"/>
      <c r="FRI111" s="1308"/>
      <c r="FRJ111" s="1308"/>
      <c r="FRK111" s="1308"/>
      <c r="FRL111" s="1308"/>
      <c r="FRM111" s="1308"/>
      <c r="FRN111" s="1308"/>
      <c r="FRO111" s="1308"/>
      <c r="FRP111" s="1308"/>
      <c r="FRQ111" s="1308"/>
      <c r="FRR111" s="1308"/>
      <c r="FRS111" s="1308"/>
      <c r="FRT111" s="1308"/>
      <c r="FRU111" s="1308"/>
      <c r="FRV111" s="1308"/>
      <c r="FRW111" s="1308"/>
      <c r="FRX111" s="1308"/>
      <c r="FRY111" s="1308"/>
      <c r="FRZ111" s="1308"/>
      <c r="FSA111" s="1308"/>
      <c r="FSB111" s="1308"/>
      <c r="FSC111" s="1308"/>
      <c r="FSD111" s="1308"/>
      <c r="FSE111" s="1308"/>
      <c r="FSF111" s="1308"/>
      <c r="FSG111" s="1308"/>
      <c r="FSH111" s="1308"/>
      <c r="FSI111" s="1308"/>
      <c r="FSJ111" s="1308"/>
      <c r="FSK111" s="1308"/>
      <c r="FSL111" s="1308"/>
      <c r="FSM111" s="1308"/>
      <c r="FSN111" s="1308"/>
      <c r="FSO111" s="1308"/>
      <c r="FSP111" s="1308"/>
      <c r="FSQ111" s="1308"/>
      <c r="FSR111" s="1308"/>
      <c r="FSS111" s="1308"/>
      <c r="FST111" s="1308"/>
      <c r="FSU111" s="1308"/>
      <c r="FSV111" s="1308"/>
      <c r="FSW111" s="1308"/>
      <c r="FSX111" s="1308"/>
      <c r="FSY111" s="1308"/>
      <c r="FSZ111" s="1308"/>
      <c r="FTA111" s="1308"/>
      <c r="FTB111" s="1308"/>
      <c r="FTC111" s="1308"/>
      <c r="FTD111" s="1308"/>
      <c r="FTE111" s="1308"/>
      <c r="FTF111" s="1308"/>
      <c r="FTG111" s="1308"/>
      <c r="FTH111" s="1308"/>
      <c r="FTI111" s="1308"/>
      <c r="FTJ111" s="1308"/>
      <c r="FTK111" s="1308"/>
      <c r="FTL111" s="1308"/>
      <c r="FTM111" s="1308"/>
      <c r="FTN111" s="1308"/>
      <c r="FTO111" s="1308"/>
      <c r="FTP111" s="1308"/>
      <c r="FTQ111" s="1308"/>
      <c r="FTR111" s="1308"/>
      <c r="FTS111" s="1308"/>
      <c r="FTT111" s="1308"/>
      <c r="FTU111" s="1308"/>
      <c r="FTV111" s="1308"/>
      <c r="FTW111" s="1308"/>
      <c r="FTX111" s="1308"/>
      <c r="FTY111" s="1308"/>
      <c r="FTZ111" s="1308"/>
      <c r="FUA111" s="1308"/>
      <c r="FUB111" s="1308"/>
      <c r="FUC111" s="1308"/>
      <c r="FUD111" s="1308"/>
      <c r="FUE111" s="1308"/>
      <c r="FUF111" s="1308"/>
      <c r="FUG111" s="1308"/>
      <c r="FUH111" s="1308"/>
      <c r="FUI111" s="1308"/>
      <c r="FUJ111" s="1308"/>
      <c r="FUK111" s="1308"/>
      <c r="FUL111" s="1308"/>
      <c r="FUM111" s="1308"/>
      <c r="FUN111" s="1308"/>
      <c r="FUO111" s="1308"/>
      <c r="FUP111" s="1308"/>
      <c r="FUQ111" s="1308"/>
      <c r="FUR111" s="1308"/>
      <c r="FUS111" s="1308"/>
      <c r="FUT111" s="1308"/>
      <c r="FUU111" s="1308"/>
      <c r="FUV111" s="1308"/>
      <c r="FUW111" s="1308"/>
      <c r="FUX111" s="1308"/>
      <c r="FUY111" s="1308"/>
      <c r="FUZ111" s="1308"/>
      <c r="FVA111" s="1308"/>
      <c r="FVB111" s="1308"/>
      <c r="FVC111" s="1308"/>
      <c r="FVD111" s="1308"/>
      <c r="FVE111" s="1308"/>
      <c r="FVF111" s="1308"/>
      <c r="FVG111" s="1308"/>
      <c r="FVH111" s="1308"/>
      <c r="FVI111" s="1308"/>
      <c r="FVJ111" s="1308"/>
      <c r="FVK111" s="1308"/>
      <c r="FVL111" s="1308"/>
      <c r="FVM111" s="1308"/>
      <c r="FVN111" s="1308"/>
      <c r="FVO111" s="1308"/>
      <c r="FVP111" s="1308"/>
      <c r="FVQ111" s="1308"/>
      <c r="FVR111" s="1308"/>
      <c r="FVS111" s="1308"/>
      <c r="FVT111" s="1308"/>
      <c r="FVU111" s="1308"/>
      <c r="FVV111" s="1308"/>
      <c r="FVW111" s="1308"/>
      <c r="FVX111" s="1308"/>
      <c r="FVY111" s="1308"/>
      <c r="FVZ111" s="1308"/>
      <c r="FWA111" s="1308"/>
      <c r="FWB111" s="1308"/>
      <c r="FWC111" s="1308"/>
      <c r="FWD111" s="1308"/>
      <c r="FWE111" s="1308"/>
      <c r="FWF111" s="1308"/>
      <c r="FWG111" s="1308"/>
      <c r="FWH111" s="1308"/>
      <c r="FWI111" s="1308"/>
      <c r="FWJ111" s="1308"/>
      <c r="FWK111" s="1308"/>
      <c r="FWL111" s="1308"/>
      <c r="FWM111" s="1308"/>
      <c r="FWN111" s="1308"/>
      <c r="FWO111" s="1308"/>
      <c r="FWP111" s="1308"/>
      <c r="FWQ111" s="1308"/>
      <c r="FWR111" s="1308"/>
      <c r="FWS111" s="1308"/>
      <c r="FWT111" s="1308"/>
      <c r="FWU111" s="1308"/>
      <c r="FWV111" s="1308"/>
      <c r="FWW111" s="1308"/>
      <c r="FWX111" s="1308"/>
      <c r="FWY111" s="1308"/>
      <c r="FWZ111" s="1308"/>
      <c r="FXA111" s="1308"/>
      <c r="FXB111" s="1308"/>
      <c r="FXC111" s="1308"/>
      <c r="FXD111" s="1308"/>
      <c r="FXE111" s="1308"/>
      <c r="FXF111" s="1308"/>
      <c r="FXG111" s="1308"/>
      <c r="FXH111" s="1308"/>
      <c r="FXI111" s="1308"/>
      <c r="FXJ111" s="1308"/>
      <c r="FXK111" s="1308"/>
      <c r="FXL111" s="1308"/>
      <c r="FXM111" s="1308"/>
      <c r="FXN111" s="1308"/>
      <c r="FXO111" s="1308"/>
      <c r="FXP111" s="1308"/>
      <c r="FXQ111" s="1308"/>
      <c r="FXR111" s="1308"/>
      <c r="FXS111" s="1308"/>
      <c r="FXT111" s="1308"/>
      <c r="FXU111" s="1308"/>
      <c r="FXV111" s="1308"/>
      <c r="FXW111" s="1308"/>
      <c r="FXX111" s="1308"/>
      <c r="FXY111" s="1308"/>
      <c r="FXZ111" s="1308"/>
      <c r="FYA111" s="1308"/>
      <c r="FYB111" s="1308"/>
      <c r="FYC111" s="1308"/>
      <c r="FYD111" s="1308"/>
      <c r="FYE111" s="1308"/>
      <c r="FYF111" s="1308"/>
      <c r="FYG111" s="1308"/>
      <c r="FYH111" s="1308"/>
      <c r="FYI111" s="1308"/>
      <c r="FYJ111" s="1308"/>
      <c r="FYK111" s="1308"/>
      <c r="FYL111" s="1308"/>
      <c r="FYM111" s="1308"/>
      <c r="FYN111" s="1308"/>
      <c r="FYO111" s="1308"/>
      <c r="FYP111" s="1308"/>
      <c r="FYQ111" s="1308"/>
      <c r="FYR111" s="1308"/>
      <c r="FYS111" s="1308"/>
      <c r="FYT111" s="1308"/>
      <c r="FYU111" s="1308"/>
      <c r="FYV111" s="1308"/>
      <c r="FYW111" s="1308"/>
      <c r="FYX111" s="1308"/>
      <c r="FYY111" s="1308"/>
      <c r="FYZ111" s="1308"/>
      <c r="FZA111" s="1308"/>
      <c r="FZB111" s="1308"/>
      <c r="FZC111" s="1308"/>
      <c r="FZD111" s="1308"/>
      <c r="FZE111" s="1308"/>
      <c r="FZF111" s="1308"/>
      <c r="FZG111" s="1308"/>
      <c r="FZH111" s="1308"/>
      <c r="FZI111" s="1308"/>
      <c r="FZJ111" s="1308"/>
      <c r="FZK111" s="1308"/>
      <c r="FZL111" s="1308"/>
      <c r="FZM111" s="1308"/>
      <c r="FZN111" s="1308"/>
      <c r="FZO111" s="1308"/>
      <c r="FZP111" s="1308"/>
      <c r="FZQ111" s="1308"/>
      <c r="FZR111" s="1308"/>
      <c r="FZS111" s="1308"/>
      <c r="FZT111" s="1308"/>
      <c r="FZU111" s="1308"/>
      <c r="FZV111" s="1308"/>
      <c r="FZW111" s="1308"/>
      <c r="FZX111" s="1308"/>
      <c r="FZY111" s="1308"/>
      <c r="FZZ111" s="1308"/>
      <c r="GAA111" s="1308"/>
      <c r="GAB111" s="1308"/>
      <c r="GAC111" s="1308"/>
      <c r="GAD111" s="1308"/>
      <c r="GAE111" s="1308"/>
      <c r="GAF111" s="1308"/>
      <c r="GAG111" s="1308"/>
      <c r="GAH111" s="1308"/>
      <c r="GAI111" s="1308"/>
      <c r="GAJ111" s="1308"/>
      <c r="GAK111" s="1308"/>
      <c r="GAL111" s="1308"/>
      <c r="GAM111" s="1308"/>
      <c r="GAN111" s="1308"/>
      <c r="GAO111" s="1308"/>
      <c r="GAP111" s="1308"/>
      <c r="GAQ111" s="1308"/>
      <c r="GAR111" s="1308"/>
      <c r="GAS111" s="1308"/>
      <c r="GAT111" s="1308"/>
      <c r="GAU111" s="1308"/>
      <c r="GAV111" s="1308"/>
      <c r="GAW111" s="1308"/>
      <c r="GAX111" s="1308"/>
      <c r="GAY111" s="1308"/>
      <c r="GAZ111" s="1308"/>
      <c r="GBA111" s="1308"/>
      <c r="GBB111" s="1308"/>
      <c r="GBC111" s="1308"/>
      <c r="GBD111" s="1308"/>
      <c r="GBE111" s="1308"/>
      <c r="GBF111" s="1308"/>
      <c r="GBG111" s="1308"/>
      <c r="GBH111" s="1308"/>
      <c r="GBI111" s="1308"/>
      <c r="GBJ111" s="1308"/>
      <c r="GBK111" s="1308"/>
      <c r="GBL111" s="1308"/>
      <c r="GBM111" s="1308"/>
      <c r="GBN111" s="1308"/>
      <c r="GBO111" s="1308"/>
      <c r="GBP111" s="1308"/>
      <c r="GBQ111" s="1308"/>
      <c r="GBR111" s="1308"/>
      <c r="GBS111" s="1308"/>
      <c r="GBT111" s="1308"/>
      <c r="GBU111" s="1308"/>
      <c r="GBV111" s="1308"/>
      <c r="GBW111" s="1308"/>
      <c r="GBX111" s="1308"/>
      <c r="GBY111" s="1308"/>
      <c r="GBZ111" s="1308"/>
      <c r="GCA111" s="1308"/>
      <c r="GCB111" s="1308"/>
      <c r="GCC111" s="1308"/>
      <c r="GCD111" s="1308"/>
      <c r="GCE111" s="1308"/>
      <c r="GCF111" s="1308"/>
      <c r="GCG111" s="1308"/>
      <c r="GCH111" s="1308"/>
      <c r="GCI111" s="1308"/>
      <c r="GCJ111" s="1308"/>
      <c r="GCK111" s="1308"/>
      <c r="GCL111" s="1308"/>
      <c r="GCM111" s="1308"/>
      <c r="GCN111" s="1308"/>
      <c r="GCO111" s="1308"/>
      <c r="GCP111" s="1308"/>
      <c r="GCQ111" s="1308"/>
      <c r="GCR111" s="1308"/>
      <c r="GCS111" s="1308"/>
      <c r="GCT111" s="1308"/>
      <c r="GCU111" s="1308"/>
      <c r="GCV111" s="1308"/>
      <c r="GCW111" s="1308"/>
      <c r="GCX111" s="1308"/>
      <c r="GCY111" s="1308"/>
      <c r="GCZ111" s="1308"/>
      <c r="GDA111" s="1308"/>
      <c r="GDB111" s="1308"/>
      <c r="GDC111" s="1308"/>
      <c r="GDD111" s="1308"/>
      <c r="GDE111" s="1308"/>
      <c r="GDF111" s="1308"/>
      <c r="GDG111" s="1308"/>
      <c r="GDH111" s="1308"/>
      <c r="GDI111" s="1308"/>
      <c r="GDJ111" s="1308"/>
      <c r="GDK111" s="1308"/>
      <c r="GDL111" s="1308"/>
      <c r="GDM111" s="1308"/>
      <c r="GDN111" s="1308"/>
      <c r="GDO111" s="1308"/>
      <c r="GDP111" s="1308"/>
      <c r="GDQ111" s="1308"/>
      <c r="GDR111" s="1308"/>
      <c r="GDS111" s="1308"/>
      <c r="GDT111" s="1308"/>
      <c r="GDU111" s="1308"/>
      <c r="GDV111" s="1308"/>
      <c r="GDW111" s="1308"/>
      <c r="GDX111" s="1308"/>
      <c r="GDY111" s="1308"/>
      <c r="GDZ111" s="1308"/>
      <c r="GEA111" s="1308"/>
      <c r="GEB111" s="1308"/>
      <c r="GEC111" s="1308"/>
      <c r="GED111" s="1308"/>
      <c r="GEE111" s="1308"/>
      <c r="GEF111" s="1308"/>
      <c r="GEG111" s="1308"/>
      <c r="GEH111" s="1308"/>
      <c r="GEI111" s="1308"/>
      <c r="GEJ111" s="1308"/>
      <c r="GEK111" s="1308"/>
      <c r="GEL111" s="1308"/>
      <c r="GEM111" s="1308"/>
      <c r="GEN111" s="1308"/>
      <c r="GEO111" s="1308"/>
      <c r="GEP111" s="1308"/>
      <c r="GEQ111" s="1308"/>
      <c r="GER111" s="1308"/>
      <c r="GES111" s="1308"/>
      <c r="GET111" s="1308"/>
      <c r="GEU111" s="1308"/>
      <c r="GEV111" s="1308"/>
      <c r="GEW111" s="1308"/>
      <c r="GEX111" s="1308"/>
      <c r="GEY111" s="1308"/>
      <c r="GEZ111" s="1308"/>
      <c r="GFA111" s="1308"/>
      <c r="GFB111" s="1308"/>
      <c r="GFC111" s="1308"/>
      <c r="GFD111" s="1308"/>
      <c r="GFE111" s="1308"/>
      <c r="GFF111" s="1308"/>
      <c r="GFG111" s="1308"/>
      <c r="GFH111" s="1308"/>
      <c r="GFI111" s="1308"/>
      <c r="GFJ111" s="1308"/>
      <c r="GFK111" s="1308"/>
      <c r="GFL111" s="1308"/>
      <c r="GFM111" s="1308"/>
      <c r="GFN111" s="1308"/>
      <c r="GFO111" s="1308"/>
      <c r="GFP111" s="1308"/>
      <c r="GFQ111" s="1308"/>
      <c r="GFR111" s="1308"/>
      <c r="GFS111" s="1308"/>
      <c r="GFT111" s="1308"/>
      <c r="GFU111" s="1308"/>
      <c r="GFV111" s="1308"/>
      <c r="GFW111" s="1308"/>
      <c r="GFX111" s="1308"/>
      <c r="GFY111" s="1308"/>
      <c r="GFZ111" s="1308"/>
      <c r="GGA111" s="1308"/>
      <c r="GGB111" s="1308"/>
      <c r="GGC111" s="1308"/>
      <c r="GGD111" s="1308"/>
      <c r="GGE111" s="1308"/>
      <c r="GGF111" s="1308"/>
      <c r="GGG111" s="1308"/>
      <c r="GGH111" s="1308"/>
      <c r="GGI111" s="1308"/>
      <c r="GGJ111" s="1308"/>
      <c r="GGK111" s="1308"/>
      <c r="GGL111" s="1308"/>
      <c r="GGM111" s="1308"/>
      <c r="GGN111" s="1308"/>
      <c r="GGO111" s="1308"/>
      <c r="GGP111" s="1308"/>
      <c r="GGQ111" s="1308"/>
      <c r="GGR111" s="1308"/>
      <c r="GGS111" s="1308"/>
      <c r="GGT111" s="1308"/>
      <c r="GGU111" s="1308"/>
      <c r="GGV111" s="1308"/>
      <c r="GGW111" s="1308"/>
      <c r="GGX111" s="1308"/>
      <c r="GGY111" s="1308"/>
      <c r="GGZ111" s="1308"/>
      <c r="GHA111" s="1308"/>
      <c r="GHB111" s="1308"/>
      <c r="GHC111" s="1308"/>
      <c r="GHD111" s="1308"/>
      <c r="GHE111" s="1308"/>
      <c r="GHF111" s="1308"/>
      <c r="GHG111" s="1308"/>
      <c r="GHH111" s="1308"/>
      <c r="GHI111" s="1308"/>
      <c r="GHJ111" s="1308"/>
      <c r="GHK111" s="1308"/>
      <c r="GHL111" s="1308"/>
      <c r="GHM111" s="1308"/>
      <c r="GHN111" s="1308"/>
      <c r="GHO111" s="1308"/>
      <c r="GHP111" s="1308"/>
      <c r="GHQ111" s="1308"/>
      <c r="GHR111" s="1308"/>
      <c r="GHS111" s="1308"/>
      <c r="GHT111" s="1308"/>
      <c r="GHU111" s="1308"/>
      <c r="GHV111" s="1308"/>
      <c r="GHW111" s="1308"/>
      <c r="GHX111" s="1308"/>
      <c r="GHY111" s="1308"/>
      <c r="GHZ111" s="1308"/>
      <c r="GIA111" s="1308"/>
      <c r="GIB111" s="1308"/>
      <c r="GIC111" s="1308"/>
      <c r="GID111" s="1308"/>
      <c r="GIE111" s="1308"/>
      <c r="GIF111" s="1308"/>
      <c r="GIG111" s="1308"/>
      <c r="GIH111" s="1308"/>
      <c r="GII111" s="1308"/>
      <c r="GIJ111" s="1308"/>
      <c r="GIK111" s="1308"/>
      <c r="GIL111" s="1308"/>
      <c r="GIM111" s="1308"/>
      <c r="GIN111" s="1308"/>
      <c r="GIO111" s="1308"/>
      <c r="GIP111" s="1308"/>
      <c r="GIQ111" s="1308"/>
      <c r="GIR111" s="1308"/>
      <c r="GIS111" s="1308"/>
      <c r="GIT111" s="1308"/>
      <c r="GIU111" s="1308"/>
      <c r="GIV111" s="1308"/>
      <c r="GIW111" s="1308"/>
      <c r="GIX111" s="1308"/>
      <c r="GIY111" s="1308"/>
      <c r="GIZ111" s="1308"/>
      <c r="GJA111" s="1308"/>
      <c r="GJB111" s="1308"/>
      <c r="GJC111" s="1308"/>
      <c r="GJD111" s="1308"/>
      <c r="GJE111" s="1308"/>
      <c r="GJF111" s="1308"/>
      <c r="GJG111" s="1308"/>
      <c r="GJH111" s="1308"/>
      <c r="GJI111" s="1308"/>
      <c r="GJJ111" s="1308"/>
      <c r="GJK111" s="1308"/>
      <c r="GJL111" s="1308"/>
      <c r="GJM111" s="1308"/>
      <c r="GJN111" s="1308"/>
      <c r="GJO111" s="1308"/>
      <c r="GJP111" s="1308"/>
      <c r="GJQ111" s="1308"/>
      <c r="GJR111" s="1308"/>
      <c r="GJS111" s="1308"/>
      <c r="GJT111" s="1308"/>
      <c r="GJU111" s="1308"/>
      <c r="GJV111" s="1308"/>
      <c r="GJW111" s="1308"/>
      <c r="GJX111" s="1308"/>
      <c r="GJY111" s="1308"/>
      <c r="GJZ111" s="1308"/>
      <c r="GKA111" s="1308"/>
      <c r="GKB111" s="1308"/>
      <c r="GKC111" s="1308"/>
      <c r="GKD111" s="1308"/>
      <c r="GKE111" s="1308"/>
      <c r="GKF111" s="1308"/>
      <c r="GKG111" s="1308"/>
      <c r="GKH111" s="1308"/>
      <c r="GKI111" s="1308"/>
      <c r="GKJ111" s="1308"/>
      <c r="GKK111" s="1308"/>
      <c r="GKL111" s="1308"/>
      <c r="GKM111" s="1308"/>
      <c r="GKN111" s="1308"/>
      <c r="GKO111" s="1308"/>
      <c r="GKP111" s="1308"/>
      <c r="GKQ111" s="1308"/>
      <c r="GKR111" s="1308"/>
      <c r="GKS111" s="1308"/>
      <c r="GKT111" s="1308"/>
      <c r="GKU111" s="1308"/>
      <c r="GKV111" s="1308"/>
      <c r="GKW111" s="1308"/>
      <c r="GKX111" s="1308"/>
      <c r="GKY111" s="1308"/>
      <c r="GKZ111" s="1308"/>
      <c r="GLA111" s="1308"/>
      <c r="GLB111" s="1308"/>
      <c r="GLC111" s="1308"/>
      <c r="GLD111" s="1308"/>
      <c r="GLE111" s="1308"/>
      <c r="GLF111" s="1308"/>
      <c r="GLG111" s="1308"/>
      <c r="GLH111" s="1308"/>
      <c r="GLI111" s="1308"/>
      <c r="GLJ111" s="1308"/>
      <c r="GLK111" s="1308"/>
      <c r="GLL111" s="1308"/>
      <c r="GLM111" s="1308"/>
      <c r="GLN111" s="1308"/>
      <c r="GLO111" s="1308"/>
      <c r="GLP111" s="1308"/>
      <c r="GLQ111" s="1308"/>
      <c r="GLR111" s="1308"/>
      <c r="GLS111" s="1308"/>
      <c r="GLT111" s="1308"/>
      <c r="GLU111" s="1308"/>
      <c r="GLV111" s="1308"/>
      <c r="GLW111" s="1308"/>
      <c r="GLX111" s="1308"/>
      <c r="GLY111" s="1308"/>
      <c r="GLZ111" s="1308"/>
      <c r="GMA111" s="1308"/>
      <c r="GMB111" s="1308"/>
      <c r="GMC111" s="1308"/>
      <c r="GMD111" s="1308"/>
      <c r="GME111" s="1308"/>
      <c r="GMF111" s="1308"/>
      <c r="GMG111" s="1308"/>
      <c r="GMH111" s="1308"/>
      <c r="GMI111" s="1308"/>
      <c r="GMJ111" s="1308"/>
      <c r="GMK111" s="1308"/>
      <c r="GML111" s="1308"/>
      <c r="GMM111" s="1308"/>
      <c r="GMN111" s="1308"/>
      <c r="GMO111" s="1308"/>
      <c r="GMP111" s="1308"/>
      <c r="GMQ111" s="1308"/>
      <c r="GMR111" s="1308"/>
      <c r="GMS111" s="1308"/>
      <c r="GMT111" s="1308"/>
      <c r="GMU111" s="1308"/>
      <c r="GMV111" s="1308"/>
      <c r="GMW111" s="1308"/>
      <c r="GMX111" s="1308"/>
      <c r="GMY111" s="1308"/>
      <c r="GMZ111" s="1308"/>
      <c r="GNA111" s="1308"/>
      <c r="GNB111" s="1308"/>
      <c r="GNC111" s="1308"/>
      <c r="GND111" s="1308"/>
      <c r="GNE111" s="1308"/>
      <c r="GNF111" s="1308"/>
      <c r="GNG111" s="1308"/>
      <c r="GNH111" s="1308"/>
      <c r="GNI111" s="1308"/>
      <c r="GNJ111" s="1308"/>
      <c r="GNK111" s="1308"/>
      <c r="GNL111" s="1308"/>
      <c r="GNM111" s="1308"/>
      <c r="GNN111" s="1308"/>
      <c r="GNO111" s="1308"/>
      <c r="GNP111" s="1308"/>
      <c r="GNQ111" s="1308"/>
      <c r="GNR111" s="1308"/>
      <c r="GNS111" s="1308"/>
      <c r="GNT111" s="1308"/>
      <c r="GNU111" s="1308"/>
      <c r="GNV111" s="1308"/>
      <c r="GNW111" s="1308"/>
      <c r="GNX111" s="1308"/>
      <c r="GNY111" s="1308"/>
      <c r="GNZ111" s="1308"/>
      <c r="GOA111" s="1308"/>
      <c r="GOB111" s="1308"/>
      <c r="GOC111" s="1308"/>
      <c r="GOD111" s="1308"/>
      <c r="GOE111" s="1308"/>
      <c r="GOF111" s="1308"/>
      <c r="GOG111" s="1308"/>
      <c r="GOH111" s="1308"/>
      <c r="GOI111" s="1308"/>
      <c r="GOJ111" s="1308"/>
      <c r="GOK111" s="1308"/>
      <c r="GOL111" s="1308"/>
      <c r="GOM111" s="1308"/>
      <c r="GON111" s="1308"/>
      <c r="GOO111" s="1308"/>
      <c r="GOP111" s="1308"/>
      <c r="GOQ111" s="1308"/>
      <c r="GOR111" s="1308"/>
      <c r="GOS111" s="1308"/>
      <c r="GOT111" s="1308"/>
      <c r="GOU111" s="1308"/>
      <c r="GOV111" s="1308"/>
      <c r="GOW111" s="1308"/>
      <c r="GOX111" s="1308"/>
      <c r="GOY111" s="1308"/>
      <c r="GOZ111" s="1308"/>
      <c r="GPA111" s="1308"/>
      <c r="GPB111" s="1308"/>
      <c r="GPC111" s="1308"/>
      <c r="GPD111" s="1308"/>
      <c r="GPE111" s="1308"/>
      <c r="GPF111" s="1308"/>
      <c r="GPG111" s="1308"/>
      <c r="GPH111" s="1308"/>
      <c r="GPI111" s="1308"/>
      <c r="GPJ111" s="1308"/>
      <c r="GPK111" s="1308"/>
      <c r="GPL111" s="1308"/>
      <c r="GPM111" s="1308"/>
      <c r="GPN111" s="1308"/>
      <c r="GPO111" s="1308"/>
      <c r="GPP111" s="1308"/>
      <c r="GPQ111" s="1308"/>
      <c r="GPR111" s="1308"/>
      <c r="GPS111" s="1308"/>
      <c r="GPT111" s="1308"/>
      <c r="GPU111" s="1308"/>
      <c r="GPV111" s="1308"/>
      <c r="GPW111" s="1308"/>
      <c r="GPX111" s="1308"/>
      <c r="GPY111" s="1308"/>
      <c r="GPZ111" s="1308"/>
      <c r="GQA111" s="1308"/>
      <c r="GQB111" s="1308"/>
      <c r="GQC111" s="1308"/>
      <c r="GQD111" s="1308"/>
      <c r="GQE111" s="1308"/>
      <c r="GQF111" s="1308"/>
      <c r="GQG111" s="1308"/>
      <c r="GQH111" s="1308"/>
      <c r="GQI111" s="1308"/>
      <c r="GQJ111" s="1308"/>
      <c r="GQK111" s="1308"/>
      <c r="GQL111" s="1308"/>
      <c r="GQM111" s="1308"/>
      <c r="GQN111" s="1308"/>
      <c r="GQO111" s="1308"/>
      <c r="GQP111" s="1308"/>
      <c r="GQQ111" s="1308"/>
      <c r="GQR111" s="1308"/>
      <c r="GQS111" s="1308"/>
      <c r="GQT111" s="1308"/>
      <c r="GQU111" s="1308"/>
      <c r="GQV111" s="1308"/>
      <c r="GQW111" s="1308"/>
      <c r="GQX111" s="1308"/>
      <c r="GQY111" s="1308"/>
      <c r="GQZ111" s="1308"/>
      <c r="GRA111" s="1308"/>
      <c r="GRB111" s="1308"/>
      <c r="GRC111" s="1308"/>
      <c r="GRD111" s="1308"/>
      <c r="GRE111" s="1308"/>
      <c r="GRF111" s="1308"/>
      <c r="GRG111" s="1308"/>
      <c r="GRH111" s="1308"/>
      <c r="GRI111" s="1308"/>
      <c r="GRJ111" s="1308"/>
      <c r="GRK111" s="1308"/>
      <c r="GRL111" s="1308"/>
      <c r="GRM111" s="1308"/>
      <c r="GRN111" s="1308"/>
      <c r="GRO111" s="1308"/>
      <c r="GRP111" s="1308"/>
      <c r="GRQ111" s="1308"/>
      <c r="GRR111" s="1308"/>
      <c r="GRS111" s="1308"/>
      <c r="GRT111" s="1308"/>
      <c r="GRU111" s="1308"/>
      <c r="GRV111" s="1308"/>
      <c r="GRW111" s="1308"/>
      <c r="GRX111" s="1308"/>
      <c r="GRY111" s="1308"/>
      <c r="GRZ111" s="1308"/>
      <c r="GSA111" s="1308"/>
      <c r="GSB111" s="1308"/>
      <c r="GSC111" s="1308"/>
      <c r="GSD111" s="1308"/>
      <c r="GSE111" s="1308"/>
      <c r="GSF111" s="1308"/>
      <c r="GSG111" s="1308"/>
      <c r="GSH111" s="1308"/>
      <c r="GSI111" s="1308"/>
      <c r="GSJ111" s="1308"/>
      <c r="GSK111" s="1308"/>
      <c r="GSL111" s="1308"/>
      <c r="GSM111" s="1308"/>
      <c r="GSN111" s="1308"/>
      <c r="GSO111" s="1308"/>
      <c r="GSP111" s="1308"/>
      <c r="GSQ111" s="1308"/>
      <c r="GSR111" s="1308"/>
      <c r="GSS111" s="1308"/>
      <c r="GST111" s="1308"/>
      <c r="GSU111" s="1308"/>
      <c r="GSV111" s="1308"/>
      <c r="GSW111" s="1308"/>
      <c r="GSX111" s="1308"/>
      <c r="GSY111" s="1308"/>
      <c r="GSZ111" s="1308"/>
      <c r="GTA111" s="1308"/>
      <c r="GTB111" s="1308"/>
      <c r="GTC111" s="1308"/>
      <c r="GTD111" s="1308"/>
      <c r="GTE111" s="1308"/>
      <c r="GTF111" s="1308"/>
      <c r="GTG111" s="1308"/>
      <c r="GTH111" s="1308"/>
      <c r="GTI111" s="1308"/>
      <c r="GTJ111" s="1308"/>
      <c r="GTK111" s="1308"/>
      <c r="GTL111" s="1308"/>
      <c r="GTM111" s="1308"/>
      <c r="GTN111" s="1308"/>
      <c r="GTO111" s="1308"/>
      <c r="GTP111" s="1308"/>
      <c r="GTQ111" s="1308"/>
      <c r="GTR111" s="1308"/>
      <c r="GTS111" s="1308"/>
      <c r="GTT111" s="1308"/>
      <c r="GTU111" s="1308"/>
      <c r="GTV111" s="1308"/>
      <c r="GTW111" s="1308"/>
      <c r="GTX111" s="1308"/>
      <c r="GTY111" s="1308"/>
      <c r="GTZ111" s="1308"/>
      <c r="GUA111" s="1308"/>
      <c r="GUB111" s="1308"/>
      <c r="GUC111" s="1308"/>
      <c r="GUD111" s="1308"/>
      <c r="GUE111" s="1308"/>
      <c r="GUF111" s="1308"/>
      <c r="GUG111" s="1308"/>
      <c r="GUH111" s="1308"/>
      <c r="GUI111" s="1308"/>
      <c r="GUJ111" s="1308"/>
      <c r="GUK111" s="1308"/>
      <c r="GUL111" s="1308"/>
      <c r="GUM111" s="1308"/>
      <c r="GUN111" s="1308"/>
      <c r="GUO111" s="1308"/>
      <c r="GUP111" s="1308"/>
      <c r="GUQ111" s="1308"/>
      <c r="GUR111" s="1308"/>
      <c r="GUS111" s="1308"/>
      <c r="GUT111" s="1308"/>
      <c r="GUU111" s="1308"/>
      <c r="GUV111" s="1308"/>
      <c r="GUW111" s="1308"/>
      <c r="GUX111" s="1308"/>
      <c r="GUY111" s="1308"/>
      <c r="GUZ111" s="1308"/>
      <c r="GVA111" s="1308"/>
      <c r="GVB111" s="1308"/>
      <c r="GVC111" s="1308"/>
      <c r="GVD111" s="1308"/>
      <c r="GVE111" s="1308"/>
      <c r="GVF111" s="1308"/>
      <c r="GVG111" s="1308"/>
      <c r="GVH111" s="1308"/>
      <c r="GVI111" s="1308"/>
      <c r="GVJ111" s="1308"/>
      <c r="GVK111" s="1308"/>
      <c r="GVL111" s="1308"/>
      <c r="GVM111" s="1308"/>
      <c r="GVN111" s="1308"/>
      <c r="GVO111" s="1308"/>
      <c r="GVP111" s="1308"/>
      <c r="GVQ111" s="1308"/>
      <c r="GVR111" s="1308"/>
      <c r="GVS111" s="1308"/>
      <c r="GVT111" s="1308"/>
      <c r="GVU111" s="1308"/>
      <c r="GVV111" s="1308"/>
      <c r="GVW111" s="1308"/>
      <c r="GVX111" s="1308"/>
      <c r="GVY111" s="1308"/>
      <c r="GVZ111" s="1308"/>
      <c r="GWA111" s="1308"/>
      <c r="GWB111" s="1308"/>
      <c r="GWC111" s="1308"/>
      <c r="GWD111" s="1308"/>
      <c r="GWE111" s="1308"/>
      <c r="GWF111" s="1308"/>
      <c r="GWG111" s="1308"/>
      <c r="GWH111" s="1308"/>
      <c r="GWI111" s="1308"/>
      <c r="GWJ111" s="1308"/>
      <c r="GWK111" s="1308"/>
      <c r="GWL111" s="1308"/>
      <c r="GWM111" s="1308"/>
      <c r="GWN111" s="1308"/>
      <c r="GWO111" s="1308"/>
      <c r="GWP111" s="1308"/>
      <c r="GWQ111" s="1308"/>
      <c r="GWR111" s="1308"/>
      <c r="GWS111" s="1308"/>
      <c r="GWT111" s="1308"/>
      <c r="GWU111" s="1308"/>
      <c r="GWV111" s="1308"/>
      <c r="GWW111" s="1308"/>
      <c r="GWX111" s="1308"/>
      <c r="GWY111" s="1308"/>
      <c r="GWZ111" s="1308"/>
      <c r="GXA111" s="1308"/>
      <c r="GXB111" s="1308"/>
      <c r="GXC111" s="1308"/>
      <c r="GXD111" s="1308"/>
      <c r="GXE111" s="1308"/>
      <c r="GXF111" s="1308"/>
      <c r="GXG111" s="1308"/>
      <c r="GXH111" s="1308"/>
      <c r="GXI111" s="1308"/>
      <c r="GXJ111" s="1308"/>
      <c r="GXK111" s="1308"/>
      <c r="GXL111" s="1308"/>
      <c r="GXM111" s="1308"/>
      <c r="GXN111" s="1308"/>
      <c r="GXO111" s="1308"/>
      <c r="GXP111" s="1308"/>
      <c r="GXQ111" s="1308"/>
      <c r="GXR111" s="1308"/>
      <c r="GXS111" s="1308"/>
      <c r="GXT111" s="1308"/>
      <c r="GXU111" s="1308"/>
      <c r="GXV111" s="1308"/>
      <c r="GXW111" s="1308"/>
      <c r="GXX111" s="1308"/>
      <c r="GXY111" s="1308"/>
      <c r="GXZ111" s="1308"/>
      <c r="GYA111" s="1308"/>
      <c r="GYB111" s="1308"/>
      <c r="GYC111" s="1308"/>
      <c r="GYD111" s="1308"/>
      <c r="GYE111" s="1308"/>
      <c r="GYF111" s="1308"/>
      <c r="GYG111" s="1308"/>
      <c r="GYH111" s="1308"/>
      <c r="GYI111" s="1308"/>
      <c r="GYJ111" s="1308"/>
      <c r="GYK111" s="1308"/>
      <c r="GYL111" s="1308"/>
      <c r="GYM111" s="1308"/>
      <c r="GYN111" s="1308"/>
      <c r="GYO111" s="1308"/>
      <c r="GYP111" s="1308"/>
      <c r="GYQ111" s="1308"/>
      <c r="GYR111" s="1308"/>
      <c r="GYS111" s="1308"/>
      <c r="GYT111" s="1308"/>
      <c r="GYU111" s="1308"/>
      <c r="GYV111" s="1308"/>
      <c r="GYW111" s="1308"/>
      <c r="GYX111" s="1308"/>
      <c r="GYY111" s="1308"/>
      <c r="GYZ111" s="1308"/>
      <c r="GZA111" s="1308"/>
      <c r="GZB111" s="1308"/>
      <c r="GZC111" s="1308"/>
      <c r="GZD111" s="1308"/>
      <c r="GZE111" s="1308"/>
      <c r="GZF111" s="1308"/>
      <c r="GZG111" s="1308"/>
      <c r="GZH111" s="1308"/>
      <c r="GZI111" s="1308"/>
      <c r="GZJ111" s="1308"/>
      <c r="GZK111" s="1308"/>
      <c r="GZL111" s="1308"/>
      <c r="GZM111" s="1308"/>
      <c r="GZN111" s="1308"/>
      <c r="GZO111" s="1308"/>
      <c r="GZP111" s="1308"/>
      <c r="GZQ111" s="1308"/>
      <c r="GZR111" s="1308"/>
      <c r="GZS111" s="1308"/>
      <c r="GZT111" s="1308"/>
      <c r="GZU111" s="1308"/>
      <c r="GZV111" s="1308"/>
      <c r="GZW111" s="1308"/>
      <c r="GZX111" s="1308"/>
      <c r="GZY111" s="1308"/>
      <c r="GZZ111" s="1308"/>
      <c r="HAA111" s="1308"/>
      <c r="HAB111" s="1308"/>
      <c r="HAC111" s="1308"/>
      <c r="HAD111" s="1308"/>
      <c r="HAE111" s="1308"/>
      <c r="HAF111" s="1308"/>
      <c r="HAG111" s="1308"/>
      <c r="HAH111" s="1308"/>
      <c r="HAI111" s="1308"/>
      <c r="HAJ111" s="1308"/>
      <c r="HAK111" s="1308"/>
      <c r="HAL111" s="1308"/>
      <c r="HAM111" s="1308"/>
      <c r="HAN111" s="1308"/>
      <c r="HAO111" s="1308"/>
      <c r="HAP111" s="1308"/>
      <c r="HAQ111" s="1308"/>
      <c r="HAR111" s="1308"/>
      <c r="HAS111" s="1308"/>
      <c r="HAT111" s="1308"/>
      <c r="HAU111" s="1308"/>
      <c r="HAV111" s="1308"/>
      <c r="HAW111" s="1308"/>
      <c r="HAX111" s="1308"/>
      <c r="HAY111" s="1308"/>
      <c r="HAZ111" s="1308"/>
      <c r="HBA111" s="1308"/>
      <c r="HBB111" s="1308"/>
      <c r="HBC111" s="1308"/>
      <c r="HBD111" s="1308"/>
      <c r="HBE111" s="1308"/>
      <c r="HBF111" s="1308"/>
      <c r="HBG111" s="1308"/>
      <c r="HBH111" s="1308"/>
      <c r="HBI111" s="1308"/>
      <c r="HBJ111" s="1308"/>
      <c r="HBK111" s="1308"/>
      <c r="HBL111" s="1308"/>
      <c r="HBM111" s="1308"/>
      <c r="HBN111" s="1308"/>
      <c r="HBO111" s="1308"/>
      <c r="HBP111" s="1308"/>
      <c r="HBQ111" s="1308"/>
      <c r="HBR111" s="1308"/>
      <c r="HBS111" s="1308"/>
      <c r="HBT111" s="1308"/>
      <c r="HBU111" s="1308"/>
      <c r="HBV111" s="1308"/>
      <c r="HBW111" s="1308"/>
      <c r="HBX111" s="1308"/>
      <c r="HBY111" s="1308"/>
      <c r="HBZ111" s="1308"/>
      <c r="HCA111" s="1308"/>
      <c r="HCB111" s="1308"/>
      <c r="HCC111" s="1308"/>
      <c r="HCD111" s="1308"/>
      <c r="HCE111" s="1308"/>
      <c r="HCF111" s="1308"/>
      <c r="HCG111" s="1308"/>
      <c r="HCH111" s="1308"/>
      <c r="HCI111" s="1308"/>
      <c r="HCJ111" s="1308"/>
      <c r="HCK111" s="1308"/>
      <c r="HCL111" s="1308"/>
      <c r="HCM111" s="1308"/>
      <c r="HCN111" s="1308"/>
      <c r="HCO111" s="1308"/>
      <c r="HCP111" s="1308"/>
      <c r="HCQ111" s="1308"/>
      <c r="HCR111" s="1308"/>
      <c r="HCS111" s="1308"/>
      <c r="HCT111" s="1308"/>
      <c r="HCU111" s="1308"/>
      <c r="HCV111" s="1308"/>
      <c r="HCW111" s="1308"/>
      <c r="HCX111" s="1308"/>
      <c r="HCY111" s="1308"/>
      <c r="HCZ111" s="1308"/>
      <c r="HDA111" s="1308"/>
      <c r="HDB111" s="1308"/>
      <c r="HDC111" s="1308"/>
      <c r="HDD111" s="1308"/>
      <c r="HDE111" s="1308"/>
      <c r="HDF111" s="1308"/>
      <c r="HDG111" s="1308"/>
      <c r="HDH111" s="1308"/>
      <c r="HDI111" s="1308"/>
      <c r="HDJ111" s="1308"/>
      <c r="HDK111" s="1308"/>
      <c r="HDL111" s="1308"/>
      <c r="HDM111" s="1308"/>
      <c r="HDN111" s="1308"/>
      <c r="HDO111" s="1308"/>
      <c r="HDP111" s="1308"/>
      <c r="HDQ111" s="1308"/>
      <c r="HDR111" s="1308"/>
      <c r="HDS111" s="1308"/>
      <c r="HDT111" s="1308"/>
      <c r="HDU111" s="1308"/>
      <c r="HDV111" s="1308"/>
      <c r="HDW111" s="1308"/>
      <c r="HDX111" s="1308"/>
      <c r="HDY111" s="1308"/>
      <c r="HDZ111" s="1308"/>
      <c r="HEA111" s="1308"/>
      <c r="HEB111" s="1308"/>
      <c r="HEC111" s="1308"/>
      <c r="HED111" s="1308"/>
      <c r="HEE111" s="1308"/>
      <c r="HEF111" s="1308"/>
      <c r="HEG111" s="1308"/>
      <c r="HEH111" s="1308"/>
      <c r="HEI111" s="1308"/>
      <c r="HEJ111" s="1308"/>
      <c r="HEK111" s="1308"/>
      <c r="HEL111" s="1308"/>
      <c r="HEM111" s="1308"/>
      <c r="HEN111" s="1308"/>
      <c r="HEO111" s="1308"/>
      <c r="HEP111" s="1308"/>
      <c r="HEQ111" s="1308"/>
      <c r="HER111" s="1308"/>
      <c r="HES111" s="1308"/>
      <c r="HET111" s="1308"/>
      <c r="HEU111" s="1308"/>
      <c r="HEV111" s="1308"/>
      <c r="HEW111" s="1308"/>
      <c r="HEX111" s="1308"/>
      <c r="HEY111" s="1308"/>
      <c r="HEZ111" s="1308"/>
      <c r="HFA111" s="1308"/>
      <c r="HFB111" s="1308"/>
      <c r="HFC111" s="1308"/>
      <c r="HFD111" s="1308"/>
      <c r="HFE111" s="1308"/>
      <c r="HFF111" s="1308"/>
      <c r="HFG111" s="1308"/>
      <c r="HFH111" s="1308"/>
      <c r="HFI111" s="1308"/>
      <c r="HFJ111" s="1308"/>
      <c r="HFK111" s="1308"/>
      <c r="HFL111" s="1308"/>
      <c r="HFM111" s="1308"/>
      <c r="HFN111" s="1308"/>
      <c r="HFO111" s="1308"/>
      <c r="HFP111" s="1308"/>
      <c r="HFQ111" s="1308"/>
      <c r="HFR111" s="1308"/>
      <c r="HFS111" s="1308"/>
      <c r="HFT111" s="1308"/>
      <c r="HFU111" s="1308"/>
      <c r="HFV111" s="1308"/>
      <c r="HFW111" s="1308"/>
      <c r="HFX111" s="1308"/>
      <c r="HFY111" s="1308"/>
      <c r="HFZ111" s="1308"/>
      <c r="HGA111" s="1308"/>
      <c r="HGB111" s="1308"/>
      <c r="HGC111" s="1308"/>
      <c r="HGD111" s="1308"/>
      <c r="HGE111" s="1308"/>
      <c r="HGF111" s="1308"/>
      <c r="HGG111" s="1308"/>
      <c r="HGH111" s="1308"/>
      <c r="HGI111" s="1308"/>
      <c r="HGJ111" s="1308"/>
      <c r="HGK111" s="1308"/>
      <c r="HGL111" s="1308"/>
      <c r="HGM111" s="1308"/>
      <c r="HGN111" s="1308"/>
      <c r="HGO111" s="1308"/>
      <c r="HGP111" s="1308"/>
      <c r="HGQ111" s="1308"/>
      <c r="HGR111" s="1308"/>
      <c r="HGS111" s="1308"/>
      <c r="HGT111" s="1308"/>
      <c r="HGU111" s="1308"/>
      <c r="HGV111" s="1308"/>
      <c r="HGW111" s="1308"/>
      <c r="HGX111" s="1308"/>
      <c r="HGY111" s="1308"/>
      <c r="HGZ111" s="1308"/>
      <c r="HHA111" s="1308"/>
      <c r="HHB111" s="1308"/>
      <c r="HHC111" s="1308"/>
      <c r="HHD111" s="1308"/>
      <c r="HHE111" s="1308"/>
      <c r="HHF111" s="1308"/>
      <c r="HHG111" s="1308"/>
      <c r="HHH111" s="1308"/>
      <c r="HHI111" s="1308"/>
      <c r="HHJ111" s="1308"/>
      <c r="HHK111" s="1308"/>
      <c r="HHL111" s="1308"/>
      <c r="HHM111" s="1308"/>
      <c r="HHN111" s="1308"/>
      <c r="HHO111" s="1308"/>
      <c r="HHP111" s="1308"/>
      <c r="HHQ111" s="1308"/>
      <c r="HHR111" s="1308"/>
      <c r="HHS111" s="1308"/>
      <c r="HHT111" s="1308"/>
      <c r="HHU111" s="1308"/>
      <c r="HHV111" s="1308"/>
      <c r="HHW111" s="1308"/>
      <c r="HHX111" s="1308"/>
      <c r="HHY111" s="1308"/>
      <c r="HHZ111" s="1308"/>
      <c r="HIA111" s="1308"/>
      <c r="HIB111" s="1308"/>
      <c r="HIC111" s="1308"/>
      <c r="HID111" s="1308"/>
      <c r="HIE111" s="1308"/>
      <c r="HIF111" s="1308"/>
      <c r="HIG111" s="1308"/>
      <c r="HIH111" s="1308"/>
      <c r="HII111" s="1308"/>
      <c r="HIJ111" s="1308"/>
      <c r="HIK111" s="1308"/>
      <c r="HIL111" s="1308"/>
      <c r="HIM111" s="1308"/>
      <c r="HIN111" s="1308"/>
      <c r="HIO111" s="1308"/>
      <c r="HIP111" s="1308"/>
      <c r="HIQ111" s="1308"/>
      <c r="HIR111" s="1308"/>
      <c r="HIS111" s="1308"/>
      <c r="HIT111" s="1308"/>
      <c r="HIU111" s="1308"/>
      <c r="HIV111" s="1308"/>
      <c r="HIW111" s="1308"/>
      <c r="HIX111" s="1308"/>
      <c r="HIY111" s="1308"/>
      <c r="HIZ111" s="1308"/>
      <c r="HJA111" s="1308"/>
      <c r="HJB111" s="1308"/>
      <c r="HJC111" s="1308"/>
      <c r="HJD111" s="1308"/>
      <c r="HJE111" s="1308"/>
      <c r="HJF111" s="1308"/>
      <c r="HJG111" s="1308"/>
      <c r="HJH111" s="1308"/>
      <c r="HJI111" s="1308"/>
      <c r="HJJ111" s="1308"/>
      <c r="HJK111" s="1308"/>
      <c r="HJL111" s="1308"/>
      <c r="HJM111" s="1308"/>
      <c r="HJN111" s="1308"/>
      <c r="HJO111" s="1308"/>
      <c r="HJP111" s="1308"/>
      <c r="HJQ111" s="1308"/>
      <c r="HJR111" s="1308"/>
      <c r="HJS111" s="1308"/>
      <c r="HJT111" s="1308"/>
      <c r="HJU111" s="1308"/>
      <c r="HJV111" s="1308"/>
      <c r="HJW111" s="1308"/>
      <c r="HJX111" s="1308"/>
      <c r="HJY111" s="1308"/>
      <c r="HJZ111" s="1308"/>
      <c r="HKA111" s="1308"/>
      <c r="HKB111" s="1308"/>
      <c r="HKC111" s="1308"/>
      <c r="HKD111" s="1308"/>
      <c r="HKE111" s="1308"/>
      <c r="HKF111" s="1308"/>
      <c r="HKG111" s="1308"/>
      <c r="HKH111" s="1308"/>
      <c r="HKI111" s="1308"/>
      <c r="HKJ111" s="1308"/>
      <c r="HKK111" s="1308"/>
      <c r="HKL111" s="1308"/>
      <c r="HKM111" s="1308"/>
      <c r="HKN111" s="1308"/>
      <c r="HKO111" s="1308"/>
      <c r="HKP111" s="1308"/>
      <c r="HKQ111" s="1308"/>
      <c r="HKR111" s="1308"/>
      <c r="HKS111" s="1308"/>
      <c r="HKT111" s="1308"/>
      <c r="HKU111" s="1308"/>
      <c r="HKV111" s="1308"/>
      <c r="HKW111" s="1308"/>
      <c r="HKX111" s="1308"/>
      <c r="HKY111" s="1308"/>
      <c r="HKZ111" s="1308"/>
      <c r="HLA111" s="1308"/>
      <c r="HLB111" s="1308"/>
      <c r="HLC111" s="1308"/>
      <c r="HLD111" s="1308"/>
      <c r="HLE111" s="1308"/>
      <c r="HLF111" s="1308"/>
      <c r="HLG111" s="1308"/>
      <c r="HLH111" s="1308"/>
      <c r="HLI111" s="1308"/>
      <c r="HLJ111" s="1308"/>
      <c r="HLK111" s="1308"/>
      <c r="HLL111" s="1308"/>
      <c r="HLM111" s="1308"/>
      <c r="HLN111" s="1308"/>
      <c r="HLO111" s="1308"/>
      <c r="HLP111" s="1308"/>
      <c r="HLQ111" s="1308"/>
      <c r="HLR111" s="1308"/>
      <c r="HLS111" s="1308"/>
      <c r="HLT111" s="1308"/>
      <c r="HLU111" s="1308"/>
      <c r="HLV111" s="1308"/>
      <c r="HLW111" s="1308"/>
      <c r="HLX111" s="1308"/>
      <c r="HLY111" s="1308"/>
      <c r="HLZ111" s="1308"/>
      <c r="HMA111" s="1308"/>
      <c r="HMB111" s="1308"/>
      <c r="HMC111" s="1308"/>
      <c r="HMD111" s="1308"/>
      <c r="HME111" s="1308"/>
      <c r="HMF111" s="1308"/>
      <c r="HMG111" s="1308"/>
      <c r="HMH111" s="1308"/>
      <c r="HMI111" s="1308"/>
      <c r="HMJ111" s="1308"/>
      <c r="HMK111" s="1308"/>
      <c r="HML111" s="1308"/>
      <c r="HMM111" s="1308"/>
      <c r="HMN111" s="1308"/>
      <c r="HMO111" s="1308"/>
      <c r="HMP111" s="1308"/>
      <c r="HMQ111" s="1308"/>
      <c r="HMR111" s="1308"/>
      <c r="HMS111" s="1308"/>
      <c r="HMT111" s="1308"/>
      <c r="HMU111" s="1308"/>
      <c r="HMV111" s="1308"/>
      <c r="HMW111" s="1308"/>
      <c r="HMX111" s="1308"/>
      <c r="HMY111" s="1308"/>
      <c r="HMZ111" s="1308"/>
      <c r="HNA111" s="1308"/>
      <c r="HNB111" s="1308"/>
      <c r="HNC111" s="1308"/>
      <c r="HND111" s="1308"/>
      <c r="HNE111" s="1308"/>
      <c r="HNF111" s="1308"/>
      <c r="HNG111" s="1308"/>
      <c r="HNH111" s="1308"/>
      <c r="HNI111" s="1308"/>
      <c r="HNJ111" s="1308"/>
      <c r="HNK111" s="1308"/>
      <c r="HNL111" s="1308"/>
      <c r="HNM111" s="1308"/>
      <c r="HNN111" s="1308"/>
      <c r="HNO111" s="1308"/>
      <c r="HNP111" s="1308"/>
      <c r="HNQ111" s="1308"/>
      <c r="HNR111" s="1308"/>
      <c r="HNS111" s="1308"/>
      <c r="HNT111" s="1308"/>
      <c r="HNU111" s="1308"/>
      <c r="HNV111" s="1308"/>
      <c r="HNW111" s="1308"/>
      <c r="HNX111" s="1308"/>
      <c r="HNY111" s="1308"/>
      <c r="HNZ111" s="1308"/>
      <c r="HOA111" s="1308"/>
      <c r="HOB111" s="1308"/>
      <c r="HOC111" s="1308"/>
      <c r="HOD111" s="1308"/>
      <c r="HOE111" s="1308"/>
      <c r="HOF111" s="1308"/>
      <c r="HOG111" s="1308"/>
      <c r="HOH111" s="1308"/>
      <c r="HOI111" s="1308"/>
      <c r="HOJ111" s="1308"/>
      <c r="HOK111" s="1308"/>
      <c r="HOL111" s="1308"/>
      <c r="HOM111" s="1308"/>
      <c r="HON111" s="1308"/>
      <c r="HOO111" s="1308"/>
      <c r="HOP111" s="1308"/>
      <c r="HOQ111" s="1308"/>
      <c r="HOR111" s="1308"/>
      <c r="HOS111" s="1308"/>
      <c r="HOT111" s="1308"/>
      <c r="HOU111" s="1308"/>
      <c r="HOV111" s="1308"/>
      <c r="HOW111" s="1308"/>
      <c r="HOX111" s="1308"/>
      <c r="HOY111" s="1308"/>
      <c r="HOZ111" s="1308"/>
      <c r="HPA111" s="1308"/>
      <c r="HPB111" s="1308"/>
      <c r="HPC111" s="1308"/>
      <c r="HPD111" s="1308"/>
      <c r="HPE111" s="1308"/>
      <c r="HPF111" s="1308"/>
      <c r="HPG111" s="1308"/>
      <c r="HPH111" s="1308"/>
      <c r="HPI111" s="1308"/>
      <c r="HPJ111" s="1308"/>
      <c r="HPK111" s="1308"/>
      <c r="HPL111" s="1308"/>
      <c r="HPM111" s="1308"/>
      <c r="HPN111" s="1308"/>
      <c r="HPO111" s="1308"/>
      <c r="HPP111" s="1308"/>
      <c r="HPQ111" s="1308"/>
      <c r="HPR111" s="1308"/>
      <c r="HPS111" s="1308"/>
      <c r="HPT111" s="1308"/>
      <c r="HPU111" s="1308"/>
      <c r="HPV111" s="1308"/>
      <c r="HPW111" s="1308"/>
      <c r="HPX111" s="1308"/>
      <c r="HPY111" s="1308"/>
      <c r="HPZ111" s="1308"/>
      <c r="HQA111" s="1308"/>
      <c r="HQB111" s="1308"/>
      <c r="HQC111" s="1308"/>
      <c r="HQD111" s="1308"/>
      <c r="HQE111" s="1308"/>
      <c r="HQF111" s="1308"/>
      <c r="HQG111" s="1308"/>
      <c r="HQH111" s="1308"/>
      <c r="HQI111" s="1308"/>
      <c r="HQJ111" s="1308"/>
      <c r="HQK111" s="1308"/>
      <c r="HQL111" s="1308"/>
      <c r="HQM111" s="1308"/>
      <c r="HQN111" s="1308"/>
      <c r="HQO111" s="1308"/>
      <c r="HQP111" s="1308"/>
      <c r="HQQ111" s="1308"/>
      <c r="HQR111" s="1308"/>
      <c r="HQS111" s="1308"/>
      <c r="HQT111" s="1308"/>
      <c r="HQU111" s="1308"/>
      <c r="HQV111" s="1308"/>
      <c r="HQW111" s="1308"/>
      <c r="HQX111" s="1308"/>
      <c r="HQY111" s="1308"/>
      <c r="HQZ111" s="1308"/>
      <c r="HRA111" s="1308"/>
      <c r="HRB111" s="1308"/>
      <c r="HRC111" s="1308"/>
      <c r="HRD111" s="1308"/>
      <c r="HRE111" s="1308"/>
      <c r="HRF111" s="1308"/>
      <c r="HRG111" s="1308"/>
      <c r="HRH111" s="1308"/>
      <c r="HRI111" s="1308"/>
      <c r="HRJ111" s="1308"/>
      <c r="HRK111" s="1308"/>
      <c r="HRL111" s="1308"/>
      <c r="HRM111" s="1308"/>
      <c r="HRN111" s="1308"/>
      <c r="HRO111" s="1308"/>
      <c r="HRP111" s="1308"/>
      <c r="HRQ111" s="1308"/>
      <c r="HRR111" s="1308"/>
      <c r="HRS111" s="1308"/>
      <c r="HRT111" s="1308"/>
      <c r="HRU111" s="1308"/>
      <c r="HRV111" s="1308"/>
      <c r="HRW111" s="1308"/>
      <c r="HRX111" s="1308"/>
      <c r="HRY111" s="1308"/>
      <c r="HRZ111" s="1308"/>
      <c r="HSA111" s="1308"/>
      <c r="HSB111" s="1308"/>
      <c r="HSC111" s="1308"/>
      <c r="HSD111" s="1308"/>
      <c r="HSE111" s="1308"/>
      <c r="HSF111" s="1308"/>
      <c r="HSG111" s="1308"/>
      <c r="HSH111" s="1308"/>
      <c r="HSI111" s="1308"/>
      <c r="HSJ111" s="1308"/>
      <c r="HSK111" s="1308"/>
      <c r="HSL111" s="1308"/>
      <c r="HSM111" s="1308"/>
      <c r="HSN111" s="1308"/>
      <c r="HSO111" s="1308"/>
      <c r="HSP111" s="1308"/>
      <c r="HSQ111" s="1308"/>
      <c r="HSR111" s="1308"/>
      <c r="HSS111" s="1308"/>
      <c r="HST111" s="1308"/>
      <c r="HSU111" s="1308"/>
      <c r="HSV111" s="1308"/>
      <c r="HSW111" s="1308"/>
      <c r="HSX111" s="1308"/>
      <c r="HSY111" s="1308"/>
      <c r="HSZ111" s="1308"/>
      <c r="HTA111" s="1308"/>
      <c r="HTB111" s="1308"/>
      <c r="HTC111" s="1308"/>
      <c r="HTD111" s="1308"/>
      <c r="HTE111" s="1308"/>
      <c r="HTF111" s="1308"/>
      <c r="HTG111" s="1308"/>
      <c r="HTH111" s="1308"/>
      <c r="HTI111" s="1308"/>
      <c r="HTJ111" s="1308"/>
      <c r="HTK111" s="1308"/>
      <c r="HTL111" s="1308"/>
      <c r="HTM111" s="1308"/>
      <c r="HTN111" s="1308"/>
      <c r="HTO111" s="1308"/>
      <c r="HTP111" s="1308"/>
      <c r="HTQ111" s="1308"/>
      <c r="HTR111" s="1308"/>
      <c r="HTS111" s="1308"/>
      <c r="HTT111" s="1308"/>
      <c r="HTU111" s="1308"/>
      <c r="HTV111" s="1308"/>
      <c r="HTW111" s="1308"/>
      <c r="HTX111" s="1308"/>
      <c r="HTY111" s="1308"/>
      <c r="HTZ111" s="1308"/>
      <c r="HUA111" s="1308"/>
      <c r="HUB111" s="1308"/>
      <c r="HUC111" s="1308"/>
      <c r="HUD111" s="1308"/>
      <c r="HUE111" s="1308"/>
      <c r="HUF111" s="1308"/>
      <c r="HUG111" s="1308"/>
      <c r="HUH111" s="1308"/>
      <c r="HUI111" s="1308"/>
      <c r="HUJ111" s="1308"/>
      <c r="HUK111" s="1308"/>
      <c r="HUL111" s="1308"/>
      <c r="HUM111" s="1308"/>
      <c r="HUN111" s="1308"/>
      <c r="HUO111" s="1308"/>
      <c r="HUP111" s="1308"/>
      <c r="HUQ111" s="1308"/>
      <c r="HUR111" s="1308"/>
      <c r="HUS111" s="1308"/>
      <c r="HUT111" s="1308"/>
      <c r="HUU111" s="1308"/>
      <c r="HUV111" s="1308"/>
      <c r="HUW111" s="1308"/>
      <c r="HUX111" s="1308"/>
      <c r="HUY111" s="1308"/>
      <c r="HUZ111" s="1308"/>
      <c r="HVA111" s="1308"/>
      <c r="HVB111" s="1308"/>
      <c r="HVC111" s="1308"/>
      <c r="HVD111" s="1308"/>
      <c r="HVE111" s="1308"/>
      <c r="HVF111" s="1308"/>
      <c r="HVG111" s="1308"/>
      <c r="HVH111" s="1308"/>
      <c r="HVI111" s="1308"/>
      <c r="HVJ111" s="1308"/>
      <c r="HVK111" s="1308"/>
      <c r="HVL111" s="1308"/>
      <c r="HVM111" s="1308"/>
      <c r="HVN111" s="1308"/>
      <c r="HVO111" s="1308"/>
      <c r="HVP111" s="1308"/>
      <c r="HVQ111" s="1308"/>
      <c r="HVR111" s="1308"/>
      <c r="HVS111" s="1308"/>
      <c r="HVT111" s="1308"/>
      <c r="HVU111" s="1308"/>
      <c r="HVV111" s="1308"/>
      <c r="HVW111" s="1308"/>
      <c r="HVX111" s="1308"/>
      <c r="HVY111" s="1308"/>
      <c r="HVZ111" s="1308"/>
      <c r="HWA111" s="1308"/>
      <c r="HWB111" s="1308"/>
      <c r="HWC111" s="1308"/>
      <c r="HWD111" s="1308"/>
      <c r="HWE111" s="1308"/>
      <c r="HWF111" s="1308"/>
      <c r="HWG111" s="1308"/>
      <c r="HWH111" s="1308"/>
      <c r="HWI111" s="1308"/>
      <c r="HWJ111" s="1308"/>
      <c r="HWK111" s="1308"/>
      <c r="HWL111" s="1308"/>
      <c r="HWM111" s="1308"/>
      <c r="HWN111" s="1308"/>
      <c r="HWO111" s="1308"/>
      <c r="HWP111" s="1308"/>
      <c r="HWQ111" s="1308"/>
      <c r="HWR111" s="1308"/>
      <c r="HWS111" s="1308"/>
      <c r="HWT111" s="1308"/>
      <c r="HWU111" s="1308"/>
      <c r="HWV111" s="1308"/>
      <c r="HWW111" s="1308"/>
      <c r="HWX111" s="1308"/>
      <c r="HWY111" s="1308"/>
      <c r="HWZ111" s="1308"/>
      <c r="HXA111" s="1308"/>
      <c r="HXB111" s="1308"/>
      <c r="HXC111" s="1308"/>
      <c r="HXD111" s="1308"/>
      <c r="HXE111" s="1308"/>
      <c r="HXF111" s="1308"/>
      <c r="HXG111" s="1308"/>
      <c r="HXH111" s="1308"/>
      <c r="HXI111" s="1308"/>
      <c r="HXJ111" s="1308"/>
      <c r="HXK111" s="1308"/>
      <c r="HXL111" s="1308"/>
      <c r="HXM111" s="1308"/>
      <c r="HXN111" s="1308"/>
      <c r="HXO111" s="1308"/>
      <c r="HXP111" s="1308"/>
      <c r="HXQ111" s="1308"/>
      <c r="HXR111" s="1308"/>
      <c r="HXS111" s="1308"/>
      <c r="HXT111" s="1308"/>
      <c r="HXU111" s="1308"/>
      <c r="HXV111" s="1308"/>
      <c r="HXW111" s="1308"/>
      <c r="HXX111" s="1308"/>
      <c r="HXY111" s="1308"/>
      <c r="HXZ111" s="1308"/>
      <c r="HYA111" s="1308"/>
      <c r="HYB111" s="1308"/>
      <c r="HYC111" s="1308"/>
      <c r="HYD111" s="1308"/>
      <c r="HYE111" s="1308"/>
      <c r="HYF111" s="1308"/>
      <c r="HYG111" s="1308"/>
      <c r="HYH111" s="1308"/>
      <c r="HYI111" s="1308"/>
      <c r="HYJ111" s="1308"/>
      <c r="HYK111" s="1308"/>
      <c r="HYL111" s="1308"/>
      <c r="HYM111" s="1308"/>
      <c r="HYN111" s="1308"/>
      <c r="HYO111" s="1308"/>
      <c r="HYP111" s="1308"/>
      <c r="HYQ111" s="1308"/>
      <c r="HYR111" s="1308"/>
      <c r="HYS111" s="1308"/>
      <c r="HYT111" s="1308"/>
      <c r="HYU111" s="1308"/>
      <c r="HYV111" s="1308"/>
      <c r="HYW111" s="1308"/>
      <c r="HYX111" s="1308"/>
      <c r="HYY111" s="1308"/>
      <c r="HYZ111" s="1308"/>
      <c r="HZA111" s="1308"/>
      <c r="HZB111" s="1308"/>
      <c r="HZC111" s="1308"/>
      <c r="HZD111" s="1308"/>
      <c r="HZE111" s="1308"/>
      <c r="HZF111" s="1308"/>
      <c r="HZG111" s="1308"/>
      <c r="HZH111" s="1308"/>
      <c r="HZI111" s="1308"/>
      <c r="HZJ111" s="1308"/>
      <c r="HZK111" s="1308"/>
      <c r="HZL111" s="1308"/>
      <c r="HZM111" s="1308"/>
      <c r="HZN111" s="1308"/>
      <c r="HZO111" s="1308"/>
      <c r="HZP111" s="1308"/>
      <c r="HZQ111" s="1308"/>
      <c r="HZR111" s="1308"/>
      <c r="HZS111" s="1308"/>
      <c r="HZT111" s="1308"/>
      <c r="HZU111" s="1308"/>
      <c r="HZV111" s="1308"/>
      <c r="HZW111" s="1308"/>
      <c r="HZX111" s="1308"/>
      <c r="HZY111" s="1308"/>
      <c r="HZZ111" s="1308"/>
      <c r="IAA111" s="1308"/>
      <c r="IAB111" s="1308"/>
      <c r="IAC111" s="1308"/>
      <c r="IAD111" s="1308"/>
      <c r="IAE111" s="1308"/>
      <c r="IAF111" s="1308"/>
      <c r="IAG111" s="1308"/>
      <c r="IAH111" s="1308"/>
      <c r="IAI111" s="1308"/>
      <c r="IAJ111" s="1308"/>
      <c r="IAK111" s="1308"/>
      <c r="IAL111" s="1308"/>
      <c r="IAM111" s="1308"/>
      <c r="IAN111" s="1308"/>
      <c r="IAO111" s="1308"/>
      <c r="IAP111" s="1308"/>
      <c r="IAQ111" s="1308"/>
      <c r="IAR111" s="1308"/>
      <c r="IAS111" s="1308"/>
      <c r="IAT111" s="1308"/>
      <c r="IAU111" s="1308"/>
      <c r="IAV111" s="1308"/>
      <c r="IAW111" s="1308"/>
      <c r="IAX111" s="1308"/>
      <c r="IAY111" s="1308"/>
      <c r="IAZ111" s="1308"/>
      <c r="IBA111" s="1308"/>
      <c r="IBB111" s="1308"/>
      <c r="IBC111" s="1308"/>
      <c r="IBD111" s="1308"/>
      <c r="IBE111" s="1308"/>
      <c r="IBF111" s="1308"/>
      <c r="IBG111" s="1308"/>
      <c r="IBH111" s="1308"/>
      <c r="IBI111" s="1308"/>
      <c r="IBJ111" s="1308"/>
      <c r="IBK111" s="1308"/>
      <c r="IBL111" s="1308"/>
      <c r="IBM111" s="1308"/>
      <c r="IBN111" s="1308"/>
      <c r="IBO111" s="1308"/>
      <c r="IBP111" s="1308"/>
      <c r="IBQ111" s="1308"/>
      <c r="IBR111" s="1308"/>
      <c r="IBS111" s="1308"/>
      <c r="IBT111" s="1308"/>
      <c r="IBU111" s="1308"/>
      <c r="IBV111" s="1308"/>
      <c r="IBW111" s="1308"/>
      <c r="IBX111" s="1308"/>
      <c r="IBY111" s="1308"/>
      <c r="IBZ111" s="1308"/>
      <c r="ICA111" s="1308"/>
      <c r="ICB111" s="1308"/>
      <c r="ICC111" s="1308"/>
      <c r="ICD111" s="1308"/>
      <c r="ICE111" s="1308"/>
      <c r="ICF111" s="1308"/>
      <c r="ICG111" s="1308"/>
      <c r="ICH111" s="1308"/>
      <c r="ICI111" s="1308"/>
      <c r="ICJ111" s="1308"/>
      <c r="ICK111" s="1308"/>
      <c r="ICL111" s="1308"/>
      <c r="ICM111" s="1308"/>
      <c r="ICN111" s="1308"/>
      <c r="ICO111" s="1308"/>
      <c r="ICP111" s="1308"/>
      <c r="ICQ111" s="1308"/>
      <c r="ICR111" s="1308"/>
      <c r="ICS111" s="1308"/>
      <c r="ICT111" s="1308"/>
      <c r="ICU111" s="1308"/>
      <c r="ICV111" s="1308"/>
      <c r="ICW111" s="1308"/>
      <c r="ICX111" s="1308"/>
      <c r="ICY111" s="1308"/>
      <c r="ICZ111" s="1308"/>
      <c r="IDA111" s="1308"/>
      <c r="IDB111" s="1308"/>
      <c r="IDC111" s="1308"/>
      <c r="IDD111" s="1308"/>
      <c r="IDE111" s="1308"/>
      <c r="IDF111" s="1308"/>
      <c r="IDG111" s="1308"/>
      <c r="IDH111" s="1308"/>
      <c r="IDI111" s="1308"/>
      <c r="IDJ111" s="1308"/>
      <c r="IDK111" s="1308"/>
      <c r="IDL111" s="1308"/>
      <c r="IDM111" s="1308"/>
      <c r="IDN111" s="1308"/>
      <c r="IDO111" s="1308"/>
      <c r="IDP111" s="1308"/>
      <c r="IDQ111" s="1308"/>
      <c r="IDR111" s="1308"/>
      <c r="IDS111" s="1308"/>
      <c r="IDT111" s="1308"/>
      <c r="IDU111" s="1308"/>
      <c r="IDV111" s="1308"/>
      <c r="IDW111" s="1308"/>
      <c r="IDX111" s="1308"/>
      <c r="IDY111" s="1308"/>
      <c r="IDZ111" s="1308"/>
      <c r="IEA111" s="1308"/>
      <c r="IEB111" s="1308"/>
      <c r="IEC111" s="1308"/>
      <c r="IED111" s="1308"/>
      <c r="IEE111" s="1308"/>
      <c r="IEF111" s="1308"/>
      <c r="IEG111" s="1308"/>
      <c r="IEH111" s="1308"/>
      <c r="IEI111" s="1308"/>
      <c r="IEJ111" s="1308"/>
      <c r="IEK111" s="1308"/>
      <c r="IEL111" s="1308"/>
      <c r="IEM111" s="1308"/>
      <c r="IEN111" s="1308"/>
      <c r="IEO111" s="1308"/>
      <c r="IEP111" s="1308"/>
      <c r="IEQ111" s="1308"/>
      <c r="IER111" s="1308"/>
      <c r="IES111" s="1308"/>
      <c r="IET111" s="1308"/>
      <c r="IEU111" s="1308"/>
      <c r="IEV111" s="1308"/>
      <c r="IEW111" s="1308"/>
      <c r="IEX111" s="1308"/>
      <c r="IEY111" s="1308"/>
      <c r="IEZ111" s="1308"/>
      <c r="IFA111" s="1308"/>
      <c r="IFB111" s="1308"/>
      <c r="IFC111" s="1308"/>
      <c r="IFD111" s="1308"/>
      <c r="IFE111" s="1308"/>
      <c r="IFF111" s="1308"/>
      <c r="IFG111" s="1308"/>
      <c r="IFH111" s="1308"/>
      <c r="IFI111" s="1308"/>
      <c r="IFJ111" s="1308"/>
      <c r="IFK111" s="1308"/>
      <c r="IFL111" s="1308"/>
      <c r="IFM111" s="1308"/>
      <c r="IFN111" s="1308"/>
      <c r="IFO111" s="1308"/>
      <c r="IFP111" s="1308"/>
      <c r="IFQ111" s="1308"/>
      <c r="IFR111" s="1308"/>
      <c r="IFS111" s="1308"/>
      <c r="IFT111" s="1308"/>
      <c r="IFU111" s="1308"/>
      <c r="IFV111" s="1308"/>
      <c r="IFW111" s="1308"/>
      <c r="IFX111" s="1308"/>
      <c r="IFY111" s="1308"/>
      <c r="IFZ111" s="1308"/>
      <c r="IGA111" s="1308"/>
      <c r="IGB111" s="1308"/>
      <c r="IGC111" s="1308"/>
      <c r="IGD111" s="1308"/>
      <c r="IGE111" s="1308"/>
      <c r="IGF111" s="1308"/>
      <c r="IGG111" s="1308"/>
      <c r="IGH111" s="1308"/>
      <c r="IGI111" s="1308"/>
      <c r="IGJ111" s="1308"/>
      <c r="IGK111" s="1308"/>
      <c r="IGL111" s="1308"/>
      <c r="IGM111" s="1308"/>
      <c r="IGN111" s="1308"/>
      <c r="IGO111" s="1308"/>
      <c r="IGP111" s="1308"/>
      <c r="IGQ111" s="1308"/>
      <c r="IGR111" s="1308"/>
      <c r="IGS111" s="1308"/>
      <c r="IGT111" s="1308"/>
      <c r="IGU111" s="1308"/>
      <c r="IGV111" s="1308"/>
      <c r="IGW111" s="1308"/>
      <c r="IGX111" s="1308"/>
      <c r="IGY111" s="1308"/>
      <c r="IGZ111" s="1308"/>
      <c r="IHA111" s="1308"/>
      <c r="IHB111" s="1308"/>
      <c r="IHC111" s="1308"/>
      <c r="IHD111" s="1308"/>
      <c r="IHE111" s="1308"/>
      <c r="IHF111" s="1308"/>
      <c r="IHG111" s="1308"/>
      <c r="IHH111" s="1308"/>
      <c r="IHI111" s="1308"/>
      <c r="IHJ111" s="1308"/>
      <c r="IHK111" s="1308"/>
      <c r="IHL111" s="1308"/>
      <c r="IHM111" s="1308"/>
      <c r="IHN111" s="1308"/>
      <c r="IHO111" s="1308"/>
      <c r="IHP111" s="1308"/>
      <c r="IHQ111" s="1308"/>
      <c r="IHR111" s="1308"/>
      <c r="IHS111" s="1308"/>
      <c r="IHT111" s="1308"/>
      <c r="IHU111" s="1308"/>
      <c r="IHV111" s="1308"/>
      <c r="IHW111" s="1308"/>
      <c r="IHX111" s="1308"/>
      <c r="IHY111" s="1308"/>
      <c r="IHZ111" s="1308"/>
      <c r="IIA111" s="1308"/>
      <c r="IIB111" s="1308"/>
      <c r="IIC111" s="1308"/>
      <c r="IID111" s="1308"/>
      <c r="IIE111" s="1308"/>
      <c r="IIF111" s="1308"/>
      <c r="IIG111" s="1308"/>
      <c r="IIH111" s="1308"/>
      <c r="III111" s="1308"/>
      <c r="IIJ111" s="1308"/>
      <c r="IIK111" s="1308"/>
      <c r="IIL111" s="1308"/>
      <c r="IIM111" s="1308"/>
      <c r="IIN111" s="1308"/>
      <c r="IIO111" s="1308"/>
      <c r="IIP111" s="1308"/>
      <c r="IIQ111" s="1308"/>
      <c r="IIR111" s="1308"/>
      <c r="IIS111" s="1308"/>
      <c r="IIT111" s="1308"/>
      <c r="IIU111" s="1308"/>
      <c r="IIV111" s="1308"/>
      <c r="IIW111" s="1308"/>
      <c r="IIX111" s="1308"/>
      <c r="IIY111" s="1308"/>
      <c r="IIZ111" s="1308"/>
      <c r="IJA111" s="1308"/>
      <c r="IJB111" s="1308"/>
      <c r="IJC111" s="1308"/>
      <c r="IJD111" s="1308"/>
      <c r="IJE111" s="1308"/>
      <c r="IJF111" s="1308"/>
      <c r="IJG111" s="1308"/>
      <c r="IJH111" s="1308"/>
      <c r="IJI111" s="1308"/>
      <c r="IJJ111" s="1308"/>
      <c r="IJK111" s="1308"/>
      <c r="IJL111" s="1308"/>
      <c r="IJM111" s="1308"/>
      <c r="IJN111" s="1308"/>
      <c r="IJO111" s="1308"/>
      <c r="IJP111" s="1308"/>
      <c r="IJQ111" s="1308"/>
      <c r="IJR111" s="1308"/>
      <c r="IJS111" s="1308"/>
      <c r="IJT111" s="1308"/>
      <c r="IJU111" s="1308"/>
      <c r="IJV111" s="1308"/>
      <c r="IJW111" s="1308"/>
      <c r="IJX111" s="1308"/>
      <c r="IJY111" s="1308"/>
      <c r="IJZ111" s="1308"/>
      <c r="IKA111" s="1308"/>
      <c r="IKB111" s="1308"/>
      <c r="IKC111" s="1308"/>
      <c r="IKD111" s="1308"/>
      <c r="IKE111" s="1308"/>
      <c r="IKF111" s="1308"/>
      <c r="IKG111" s="1308"/>
      <c r="IKH111" s="1308"/>
      <c r="IKI111" s="1308"/>
      <c r="IKJ111" s="1308"/>
      <c r="IKK111" s="1308"/>
      <c r="IKL111" s="1308"/>
      <c r="IKM111" s="1308"/>
      <c r="IKN111" s="1308"/>
      <c r="IKO111" s="1308"/>
      <c r="IKP111" s="1308"/>
      <c r="IKQ111" s="1308"/>
      <c r="IKR111" s="1308"/>
      <c r="IKS111" s="1308"/>
      <c r="IKT111" s="1308"/>
      <c r="IKU111" s="1308"/>
      <c r="IKV111" s="1308"/>
      <c r="IKW111" s="1308"/>
      <c r="IKX111" s="1308"/>
      <c r="IKY111" s="1308"/>
      <c r="IKZ111" s="1308"/>
      <c r="ILA111" s="1308"/>
      <c r="ILB111" s="1308"/>
      <c r="ILC111" s="1308"/>
      <c r="ILD111" s="1308"/>
      <c r="ILE111" s="1308"/>
      <c r="ILF111" s="1308"/>
      <c r="ILG111" s="1308"/>
      <c r="ILH111" s="1308"/>
      <c r="ILI111" s="1308"/>
      <c r="ILJ111" s="1308"/>
      <c r="ILK111" s="1308"/>
      <c r="ILL111" s="1308"/>
      <c r="ILM111" s="1308"/>
      <c r="ILN111" s="1308"/>
      <c r="ILO111" s="1308"/>
      <c r="ILP111" s="1308"/>
      <c r="ILQ111" s="1308"/>
      <c r="ILR111" s="1308"/>
      <c r="ILS111" s="1308"/>
      <c r="ILT111" s="1308"/>
      <c r="ILU111" s="1308"/>
      <c r="ILV111" s="1308"/>
      <c r="ILW111" s="1308"/>
      <c r="ILX111" s="1308"/>
      <c r="ILY111" s="1308"/>
      <c r="ILZ111" s="1308"/>
      <c r="IMA111" s="1308"/>
      <c r="IMB111" s="1308"/>
      <c r="IMC111" s="1308"/>
      <c r="IMD111" s="1308"/>
      <c r="IME111" s="1308"/>
      <c r="IMF111" s="1308"/>
      <c r="IMG111" s="1308"/>
      <c r="IMH111" s="1308"/>
      <c r="IMI111" s="1308"/>
      <c r="IMJ111" s="1308"/>
      <c r="IMK111" s="1308"/>
      <c r="IML111" s="1308"/>
      <c r="IMM111" s="1308"/>
      <c r="IMN111" s="1308"/>
      <c r="IMO111" s="1308"/>
      <c r="IMP111" s="1308"/>
      <c r="IMQ111" s="1308"/>
      <c r="IMR111" s="1308"/>
      <c r="IMS111" s="1308"/>
      <c r="IMT111" s="1308"/>
      <c r="IMU111" s="1308"/>
      <c r="IMV111" s="1308"/>
      <c r="IMW111" s="1308"/>
      <c r="IMX111" s="1308"/>
      <c r="IMY111" s="1308"/>
      <c r="IMZ111" s="1308"/>
      <c r="INA111" s="1308"/>
      <c r="INB111" s="1308"/>
      <c r="INC111" s="1308"/>
      <c r="IND111" s="1308"/>
      <c r="INE111" s="1308"/>
      <c r="INF111" s="1308"/>
      <c r="ING111" s="1308"/>
      <c r="INH111" s="1308"/>
      <c r="INI111" s="1308"/>
      <c r="INJ111" s="1308"/>
      <c r="INK111" s="1308"/>
      <c r="INL111" s="1308"/>
      <c r="INM111" s="1308"/>
      <c r="INN111" s="1308"/>
      <c r="INO111" s="1308"/>
      <c r="INP111" s="1308"/>
      <c r="INQ111" s="1308"/>
      <c r="INR111" s="1308"/>
      <c r="INS111" s="1308"/>
      <c r="INT111" s="1308"/>
      <c r="INU111" s="1308"/>
      <c r="INV111" s="1308"/>
      <c r="INW111" s="1308"/>
      <c r="INX111" s="1308"/>
      <c r="INY111" s="1308"/>
      <c r="INZ111" s="1308"/>
      <c r="IOA111" s="1308"/>
      <c r="IOB111" s="1308"/>
      <c r="IOC111" s="1308"/>
      <c r="IOD111" s="1308"/>
      <c r="IOE111" s="1308"/>
      <c r="IOF111" s="1308"/>
      <c r="IOG111" s="1308"/>
      <c r="IOH111" s="1308"/>
      <c r="IOI111" s="1308"/>
      <c r="IOJ111" s="1308"/>
      <c r="IOK111" s="1308"/>
      <c r="IOL111" s="1308"/>
      <c r="IOM111" s="1308"/>
      <c r="ION111" s="1308"/>
      <c r="IOO111" s="1308"/>
      <c r="IOP111" s="1308"/>
      <c r="IOQ111" s="1308"/>
      <c r="IOR111" s="1308"/>
      <c r="IOS111" s="1308"/>
      <c r="IOT111" s="1308"/>
      <c r="IOU111" s="1308"/>
      <c r="IOV111" s="1308"/>
      <c r="IOW111" s="1308"/>
      <c r="IOX111" s="1308"/>
      <c r="IOY111" s="1308"/>
      <c r="IOZ111" s="1308"/>
      <c r="IPA111" s="1308"/>
      <c r="IPB111" s="1308"/>
      <c r="IPC111" s="1308"/>
      <c r="IPD111" s="1308"/>
      <c r="IPE111" s="1308"/>
      <c r="IPF111" s="1308"/>
      <c r="IPG111" s="1308"/>
      <c r="IPH111" s="1308"/>
      <c r="IPI111" s="1308"/>
      <c r="IPJ111" s="1308"/>
      <c r="IPK111" s="1308"/>
      <c r="IPL111" s="1308"/>
      <c r="IPM111" s="1308"/>
      <c r="IPN111" s="1308"/>
      <c r="IPO111" s="1308"/>
      <c r="IPP111" s="1308"/>
      <c r="IPQ111" s="1308"/>
      <c r="IPR111" s="1308"/>
      <c r="IPS111" s="1308"/>
      <c r="IPT111" s="1308"/>
      <c r="IPU111" s="1308"/>
      <c r="IPV111" s="1308"/>
      <c r="IPW111" s="1308"/>
      <c r="IPX111" s="1308"/>
      <c r="IPY111" s="1308"/>
      <c r="IPZ111" s="1308"/>
      <c r="IQA111" s="1308"/>
      <c r="IQB111" s="1308"/>
      <c r="IQC111" s="1308"/>
      <c r="IQD111" s="1308"/>
      <c r="IQE111" s="1308"/>
      <c r="IQF111" s="1308"/>
      <c r="IQG111" s="1308"/>
      <c r="IQH111" s="1308"/>
      <c r="IQI111" s="1308"/>
      <c r="IQJ111" s="1308"/>
      <c r="IQK111" s="1308"/>
      <c r="IQL111" s="1308"/>
      <c r="IQM111" s="1308"/>
      <c r="IQN111" s="1308"/>
      <c r="IQO111" s="1308"/>
      <c r="IQP111" s="1308"/>
      <c r="IQQ111" s="1308"/>
      <c r="IQR111" s="1308"/>
      <c r="IQS111" s="1308"/>
      <c r="IQT111" s="1308"/>
      <c r="IQU111" s="1308"/>
      <c r="IQV111" s="1308"/>
      <c r="IQW111" s="1308"/>
      <c r="IQX111" s="1308"/>
      <c r="IQY111" s="1308"/>
      <c r="IQZ111" s="1308"/>
      <c r="IRA111" s="1308"/>
      <c r="IRB111" s="1308"/>
      <c r="IRC111" s="1308"/>
      <c r="IRD111" s="1308"/>
      <c r="IRE111" s="1308"/>
      <c r="IRF111" s="1308"/>
      <c r="IRG111" s="1308"/>
      <c r="IRH111" s="1308"/>
      <c r="IRI111" s="1308"/>
      <c r="IRJ111" s="1308"/>
      <c r="IRK111" s="1308"/>
      <c r="IRL111" s="1308"/>
      <c r="IRM111" s="1308"/>
      <c r="IRN111" s="1308"/>
      <c r="IRO111" s="1308"/>
      <c r="IRP111" s="1308"/>
      <c r="IRQ111" s="1308"/>
      <c r="IRR111" s="1308"/>
      <c r="IRS111" s="1308"/>
      <c r="IRT111" s="1308"/>
      <c r="IRU111" s="1308"/>
      <c r="IRV111" s="1308"/>
      <c r="IRW111" s="1308"/>
      <c r="IRX111" s="1308"/>
      <c r="IRY111" s="1308"/>
      <c r="IRZ111" s="1308"/>
      <c r="ISA111" s="1308"/>
      <c r="ISB111" s="1308"/>
      <c r="ISC111" s="1308"/>
      <c r="ISD111" s="1308"/>
      <c r="ISE111" s="1308"/>
      <c r="ISF111" s="1308"/>
      <c r="ISG111" s="1308"/>
      <c r="ISH111" s="1308"/>
      <c r="ISI111" s="1308"/>
      <c r="ISJ111" s="1308"/>
      <c r="ISK111" s="1308"/>
      <c r="ISL111" s="1308"/>
      <c r="ISM111" s="1308"/>
      <c r="ISN111" s="1308"/>
      <c r="ISO111" s="1308"/>
      <c r="ISP111" s="1308"/>
      <c r="ISQ111" s="1308"/>
      <c r="ISR111" s="1308"/>
      <c r="ISS111" s="1308"/>
      <c r="IST111" s="1308"/>
      <c r="ISU111" s="1308"/>
      <c r="ISV111" s="1308"/>
      <c r="ISW111" s="1308"/>
      <c r="ISX111" s="1308"/>
      <c r="ISY111" s="1308"/>
      <c r="ISZ111" s="1308"/>
      <c r="ITA111" s="1308"/>
      <c r="ITB111" s="1308"/>
      <c r="ITC111" s="1308"/>
      <c r="ITD111" s="1308"/>
      <c r="ITE111" s="1308"/>
      <c r="ITF111" s="1308"/>
      <c r="ITG111" s="1308"/>
      <c r="ITH111" s="1308"/>
      <c r="ITI111" s="1308"/>
      <c r="ITJ111" s="1308"/>
      <c r="ITK111" s="1308"/>
      <c r="ITL111" s="1308"/>
      <c r="ITM111" s="1308"/>
      <c r="ITN111" s="1308"/>
      <c r="ITO111" s="1308"/>
      <c r="ITP111" s="1308"/>
      <c r="ITQ111" s="1308"/>
      <c r="ITR111" s="1308"/>
      <c r="ITS111" s="1308"/>
      <c r="ITT111" s="1308"/>
      <c r="ITU111" s="1308"/>
      <c r="ITV111" s="1308"/>
      <c r="ITW111" s="1308"/>
      <c r="ITX111" s="1308"/>
      <c r="ITY111" s="1308"/>
      <c r="ITZ111" s="1308"/>
      <c r="IUA111" s="1308"/>
      <c r="IUB111" s="1308"/>
      <c r="IUC111" s="1308"/>
      <c r="IUD111" s="1308"/>
      <c r="IUE111" s="1308"/>
      <c r="IUF111" s="1308"/>
      <c r="IUG111" s="1308"/>
      <c r="IUH111" s="1308"/>
      <c r="IUI111" s="1308"/>
      <c r="IUJ111" s="1308"/>
      <c r="IUK111" s="1308"/>
      <c r="IUL111" s="1308"/>
      <c r="IUM111" s="1308"/>
      <c r="IUN111" s="1308"/>
      <c r="IUO111" s="1308"/>
      <c r="IUP111" s="1308"/>
      <c r="IUQ111" s="1308"/>
      <c r="IUR111" s="1308"/>
      <c r="IUS111" s="1308"/>
      <c r="IUT111" s="1308"/>
      <c r="IUU111" s="1308"/>
      <c r="IUV111" s="1308"/>
      <c r="IUW111" s="1308"/>
      <c r="IUX111" s="1308"/>
      <c r="IUY111" s="1308"/>
      <c r="IUZ111" s="1308"/>
      <c r="IVA111" s="1308"/>
      <c r="IVB111" s="1308"/>
      <c r="IVC111" s="1308"/>
      <c r="IVD111" s="1308"/>
      <c r="IVE111" s="1308"/>
      <c r="IVF111" s="1308"/>
      <c r="IVG111" s="1308"/>
      <c r="IVH111" s="1308"/>
      <c r="IVI111" s="1308"/>
      <c r="IVJ111" s="1308"/>
      <c r="IVK111" s="1308"/>
      <c r="IVL111" s="1308"/>
      <c r="IVM111" s="1308"/>
      <c r="IVN111" s="1308"/>
      <c r="IVO111" s="1308"/>
      <c r="IVP111" s="1308"/>
      <c r="IVQ111" s="1308"/>
      <c r="IVR111" s="1308"/>
      <c r="IVS111" s="1308"/>
      <c r="IVT111" s="1308"/>
      <c r="IVU111" s="1308"/>
      <c r="IVV111" s="1308"/>
      <c r="IVW111" s="1308"/>
      <c r="IVX111" s="1308"/>
      <c r="IVY111" s="1308"/>
      <c r="IVZ111" s="1308"/>
      <c r="IWA111" s="1308"/>
      <c r="IWB111" s="1308"/>
      <c r="IWC111" s="1308"/>
      <c r="IWD111" s="1308"/>
      <c r="IWE111" s="1308"/>
      <c r="IWF111" s="1308"/>
      <c r="IWG111" s="1308"/>
      <c r="IWH111" s="1308"/>
      <c r="IWI111" s="1308"/>
      <c r="IWJ111" s="1308"/>
      <c r="IWK111" s="1308"/>
      <c r="IWL111" s="1308"/>
      <c r="IWM111" s="1308"/>
      <c r="IWN111" s="1308"/>
      <c r="IWO111" s="1308"/>
      <c r="IWP111" s="1308"/>
      <c r="IWQ111" s="1308"/>
      <c r="IWR111" s="1308"/>
      <c r="IWS111" s="1308"/>
      <c r="IWT111" s="1308"/>
      <c r="IWU111" s="1308"/>
      <c r="IWV111" s="1308"/>
      <c r="IWW111" s="1308"/>
      <c r="IWX111" s="1308"/>
      <c r="IWY111" s="1308"/>
      <c r="IWZ111" s="1308"/>
      <c r="IXA111" s="1308"/>
      <c r="IXB111" s="1308"/>
      <c r="IXC111" s="1308"/>
      <c r="IXD111" s="1308"/>
      <c r="IXE111" s="1308"/>
      <c r="IXF111" s="1308"/>
      <c r="IXG111" s="1308"/>
      <c r="IXH111" s="1308"/>
      <c r="IXI111" s="1308"/>
      <c r="IXJ111" s="1308"/>
      <c r="IXK111" s="1308"/>
      <c r="IXL111" s="1308"/>
      <c r="IXM111" s="1308"/>
      <c r="IXN111" s="1308"/>
      <c r="IXO111" s="1308"/>
      <c r="IXP111" s="1308"/>
      <c r="IXQ111" s="1308"/>
      <c r="IXR111" s="1308"/>
      <c r="IXS111" s="1308"/>
      <c r="IXT111" s="1308"/>
      <c r="IXU111" s="1308"/>
      <c r="IXV111" s="1308"/>
      <c r="IXW111" s="1308"/>
      <c r="IXX111" s="1308"/>
      <c r="IXY111" s="1308"/>
      <c r="IXZ111" s="1308"/>
      <c r="IYA111" s="1308"/>
      <c r="IYB111" s="1308"/>
      <c r="IYC111" s="1308"/>
      <c r="IYD111" s="1308"/>
      <c r="IYE111" s="1308"/>
      <c r="IYF111" s="1308"/>
      <c r="IYG111" s="1308"/>
      <c r="IYH111" s="1308"/>
      <c r="IYI111" s="1308"/>
      <c r="IYJ111" s="1308"/>
      <c r="IYK111" s="1308"/>
      <c r="IYL111" s="1308"/>
      <c r="IYM111" s="1308"/>
      <c r="IYN111" s="1308"/>
      <c r="IYO111" s="1308"/>
      <c r="IYP111" s="1308"/>
      <c r="IYQ111" s="1308"/>
      <c r="IYR111" s="1308"/>
      <c r="IYS111" s="1308"/>
      <c r="IYT111" s="1308"/>
      <c r="IYU111" s="1308"/>
      <c r="IYV111" s="1308"/>
      <c r="IYW111" s="1308"/>
      <c r="IYX111" s="1308"/>
      <c r="IYY111" s="1308"/>
      <c r="IYZ111" s="1308"/>
      <c r="IZA111" s="1308"/>
      <c r="IZB111" s="1308"/>
      <c r="IZC111" s="1308"/>
      <c r="IZD111" s="1308"/>
      <c r="IZE111" s="1308"/>
      <c r="IZF111" s="1308"/>
      <c r="IZG111" s="1308"/>
      <c r="IZH111" s="1308"/>
      <c r="IZI111" s="1308"/>
      <c r="IZJ111" s="1308"/>
      <c r="IZK111" s="1308"/>
      <c r="IZL111" s="1308"/>
      <c r="IZM111" s="1308"/>
      <c r="IZN111" s="1308"/>
      <c r="IZO111" s="1308"/>
      <c r="IZP111" s="1308"/>
      <c r="IZQ111" s="1308"/>
      <c r="IZR111" s="1308"/>
      <c r="IZS111" s="1308"/>
      <c r="IZT111" s="1308"/>
      <c r="IZU111" s="1308"/>
      <c r="IZV111" s="1308"/>
      <c r="IZW111" s="1308"/>
      <c r="IZX111" s="1308"/>
      <c r="IZY111" s="1308"/>
      <c r="IZZ111" s="1308"/>
      <c r="JAA111" s="1308"/>
      <c r="JAB111" s="1308"/>
      <c r="JAC111" s="1308"/>
      <c r="JAD111" s="1308"/>
      <c r="JAE111" s="1308"/>
      <c r="JAF111" s="1308"/>
      <c r="JAG111" s="1308"/>
      <c r="JAH111" s="1308"/>
      <c r="JAI111" s="1308"/>
      <c r="JAJ111" s="1308"/>
      <c r="JAK111" s="1308"/>
      <c r="JAL111" s="1308"/>
      <c r="JAM111" s="1308"/>
      <c r="JAN111" s="1308"/>
      <c r="JAO111" s="1308"/>
      <c r="JAP111" s="1308"/>
      <c r="JAQ111" s="1308"/>
      <c r="JAR111" s="1308"/>
      <c r="JAS111" s="1308"/>
      <c r="JAT111" s="1308"/>
      <c r="JAU111" s="1308"/>
      <c r="JAV111" s="1308"/>
      <c r="JAW111" s="1308"/>
      <c r="JAX111" s="1308"/>
      <c r="JAY111" s="1308"/>
      <c r="JAZ111" s="1308"/>
      <c r="JBA111" s="1308"/>
      <c r="JBB111" s="1308"/>
      <c r="JBC111" s="1308"/>
      <c r="JBD111" s="1308"/>
      <c r="JBE111" s="1308"/>
      <c r="JBF111" s="1308"/>
      <c r="JBG111" s="1308"/>
      <c r="JBH111" s="1308"/>
      <c r="JBI111" s="1308"/>
      <c r="JBJ111" s="1308"/>
      <c r="JBK111" s="1308"/>
      <c r="JBL111" s="1308"/>
      <c r="JBM111" s="1308"/>
      <c r="JBN111" s="1308"/>
      <c r="JBO111" s="1308"/>
      <c r="JBP111" s="1308"/>
      <c r="JBQ111" s="1308"/>
      <c r="JBR111" s="1308"/>
      <c r="JBS111" s="1308"/>
      <c r="JBT111" s="1308"/>
      <c r="JBU111" s="1308"/>
      <c r="JBV111" s="1308"/>
      <c r="JBW111" s="1308"/>
      <c r="JBX111" s="1308"/>
      <c r="JBY111" s="1308"/>
      <c r="JBZ111" s="1308"/>
      <c r="JCA111" s="1308"/>
      <c r="JCB111" s="1308"/>
      <c r="JCC111" s="1308"/>
      <c r="JCD111" s="1308"/>
      <c r="JCE111" s="1308"/>
      <c r="JCF111" s="1308"/>
      <c r="JCG111" s="1308"/>
      <c r="JCH111" s="1308"/>
      <c r="JCI111" s="1308"/>
      <c r="JCJ111" s="1308"/>
      <c r="JCK111" s="1308"/>
      <c r="JCL111" s="1308"/>
      <c r="JCM111" s="1308"/>
      <c r="JCN111" s="1308"/>
      <c r="JCO111" s="1308"/>
      <c r="JCP111" s="1308"/>
      <c r="JCQ111" s="1308"/>
      <c r="JCR111" s="1308"/>
      <c r="JCS111" s="1308"/>
      <c r="JCT111" s="1308"/>
      <c r="JCU111" s="1308"/>
      <c r="JCV111" s="1308"/>
      <c r="JCW111" s="1308"/>
      <c r="JCX111" s="1308"/>
      <c r="JCY111" s="1308"/>
      <c r="JCZ111" s="1308"/>
      <c r="JDA111" s="1308"/>
      <c r="JDB111" s="1308"/>
      <c r="JDC111" s="1308"/>
      <c r="JDD111" s="1308"/>
      <c r="JDE111" s="1308"/>
      <c r="JDF111" s="1308"/>
      <c r="JDG111" s="1308"/>
      <c r="JDH111" s="1308"/>
      <c r="JDI111" s="1308"/>
      <c r="JDJ111" s="1308"/>
      <c r="JDK111" s="1308"/>
      <c r="JDL111" s="1308"/>
      <c r="JDM111" s="1308"/>
      <c r="JDN111" s="1308"/>
      <c r="JDO111" s="1308"/>
      <c r="JDP111" s="1308"/>
      <c r="JDQ111" s="1308"/>
      <c r="JDR111" s="1308"/>
      <c r="JDS111" s="1308"/>
      <c r="JDT111" s="1308"/>
      <c r="JDU111" s="1308"/>
      <c r="JDV111" s="1308"/>
      <c r="JDW111" s="1308"/>
      <c r="JDX111" s="1308"/>
      <c r="JDY111" s="1308"/>
      <c r="JDZ111" s="1308"/>
      <c r="JEA111" s="1308"/>
      <c r="JEB111" s="1308"/>
      <c r="JEC111" s="1308"/>
      <c r="JED111" s="1308"/>
      <c r="JEE111" s="1308"/>
      <c r="JEF111" s="1308"/>
      <c r="JEG111" s="1308"/>
      <c r="JEH111" s="1308"/>
      <c r="JEI111" s="1308"/>
      <c r="JEJ111" s="1308"/>
      <c r="JEK111" s="1308"/>
      <c r="JEL111" s="1308"/>
      <c r="JEM111" s="1308"/>
      <c r="JEN111" s="1308"/>
      <c r="JEO111" s="1308"/>
      <c r="JEP111" s="1308"/>
      <c r="JEQ111" s="1308"/>
      <c r="JER111" s="1308"/>
      <c r="JES111" s="1308"/>
      <c r="JET111" s="1308"/>
      <c r="JEU111" s="1308"/>
      <c r="JEV111" s="1308"/>
      <c r="JEW111" s="1308"/>
      <c r="JEX111" s="1308"/>
      <c r="JEY111" s="1308"/>
      <c r="JEZ111" s="1308"/>
      <c r="JFA111" s="1308"/>
      <c r="JFB111" s="1308"/>
      <c r="JFC111" s="1308"/>
      <c r="JFD111" s="1308"/>
      <c r="JFE111" s="1308"/>
      <c r="JFF111" s="1308"/>
      <c r="JFG111" s="1308"/>
      <c r="JFH111" s="1308"/>
      <c r="JFI111" s="1308"/>
      <c r="JFJ111" s="1308"/>
      <c r="JFK111" s="1308"/>
      <c r="JFL111" s="1308"/>
      <c r="JFM111" s="1308"/>
      <c r="JFN111" s="1308"/>
      <c r="JFO111" s="1308"/>
      <c r="JFP111" s="1308"/>
      <c r="JFQ111" s="1308"/>
      <c r="JFR111" s="1308"/>
      <c r="JFS111" s="1308"/>
      <c r="JFT111" s="1308"/>
      <c r="JFU111" s="1308"/>
      <c r="JFV111" s="1308"/>
      <c r="JFW111" s="1308"/>
      <c r="JFX111" s="1308"/>
      <c r="JFY111" s="1308"/>
      <c r="JFZ111" s="1308"/>
      <c r="JGA111" s="1308"/>
      <c r="JGB111" s="1308"/>
      <c r="JGC111" s="1308"/>
      <c r="JGD111" s="1308"/>
      <c r="JGE111" s="1308"/>
      <c r="JGF111" s="1308"/>
      <c r="JGG111" s="1308"/>
      <c r="JGH111" s="1308"/>
      <c r="JGI111" s="1308"/>
      <c r="JGJ111" s="1308"/>
      <c r="JGK111" s="1308"/>
      <c r="JGL111" s="1308"/>
      <c r="JGM111" s="1308"/>
      <c r="JGN111" s="1308"/>
      <c r="JGO111" s="1308"/>
      <c r="JGP111" s="1308"/>
      <c r="JGQ111" s="1308"/>
      <c r="JGR111" s="1308"/>
      <c r="JGS111" s="1308"/>
      <c r="JGT111" s="1308"/>
      <c r="JGU111" s="1308"/>
      <c r="JGV111" s="1308"/>
      <c r="JGW111" s="1308"/>
      <c r="JGX111" s="1308"/>
      <c r="JGY111" s="1308"/>
      <c r="JGZ111" s="1308"/>
      <c r="JHA111" s="1308"/>
      <c r="JHB111" s="1308"/>
      <c r="JHC111" s="1308"/>
      <c r="JHD111" s="1308"/>
      <c r="JHE111" s="1308"/>
      <c r="JHF111" s="1308"/>
      <c r="JHG111" s="1308"/>
      <c r="JHH111" s="1308"/>
      <c r="JHI111" s="1308"/>
      <c r="JHJ111" s="1308"/>
      <c r="JHK111" s="1308"/>
      <c r="JHL111" s="1308"/>
      <c r="JHM111" s="1308"/>
      <c r="JHN111" s="1308"/>
      <c r="JHO111" s="1308"/>
      <c r="JHP111" s="1308"/>
      <c r="JHQ111" s="1308"/>
      <c r="JHR111" s="1308"/>
      <c r="JHS111" s="1308"/>
      <c r="JHT111" s="1308"/>
      <c r="JHU111" s="1308"/>
      <c r="JHV111" s="1308"/>
      <c r="JHW111" s="1308"/>
      <c r="JHX111" s="1308"/>
      <c r="JHY111" s="1308"/>
      <c r="JHZ111" s="1308"/>
      <c r="JIA111" s="1308"/>
      <c r="JIB111" s="1308"/>
      <c r="JIC111" s="1308"/>
      <c r="JID111" s="1308"/>
      <c r="JIE111" s="1308"/>
      <c r="JIF111" s="1308"/>
      <c r="JIG111" s="1308"/>
      <c r="JIH111" s="1308"/>
      <c r="JII111" s="1308"/>
      <c r="JIJ111" s="1308"/>
      <c r="JIK111" s="1308"/>
      <c r="JIL111" s="1308"/>
      <c r="JIM111" s="1308"/>
      <c r="JIN111" s="1308"/>
      <c r="JIO111" s="1308"/>
      <c r="JIP111" s="1308"/>
      <c r="JIQ111" s="1308"/>
      <c r="JIR111" s="1308"/>
      <c r="JIS111" s="1308"/>
      <c r="JIT111" s="1308"/>
      <c r="JIU111" s="1308"/>
      <c r="JIV111" s="1308"/>
      <c r="JIW111" s="1308"/>
      <c r="JIX111" s="1308"/>
      <c r="JIY111" s="1308"/>
      <c r="JIZ111" s="1308"/>
      <c r="JJA111" s="1308"/>
      <c r="JJB111" s="1308"/>
      <c r="JJC111" s="1308"/>
      <c r="JJD111" s="1308"/>
      <c r="JJE111" s="1308"/>
      <c r="JJF111" s="1308"/>
      <c r="JJG111" s="1308"/>
      <c r="JJH111" s="1308"/>
      <c r="JJI111" s="1308"/>
      <c r="JJJ111" s="1308"/>
      <c r="JJK111" s="1308"/>
      <c r="JJL111" s="1308"/>
      <c r="JJM111" s="1308"/>
      <c r="JJN111" s="1308"/>
      <c r="JJO111" s="1308"/>
      <c r="JJP111" s="1308"/>
      <c r="JJQ111" s="1308"/>
      <c r="JJR111" s="1308"/>
      <c r="JJS111" s="1308"/>
      <c r="JJT111" s="1308"/>
      <c r="JJU111" s="1308"/>
      <c r="JJV111" s="1308"/>
      <c r="JJW111" s="1308"/>
      <c r="JJX111" s="1308"/>
      <c r="JJY111" s="1308"/>
      <c r="JJZ111" s="1308"/>
      <c r="JKA111" s="1308"/>
      <c r="JKB111" s="1308"/>
      <c r="JKC111" s="1308"/>
      <c r="JKD111" s="1308"/>
      <c r="JKE111" s="1308"/>
      <c r="JKF111" s="1308"/>
      <c r="JKG111" s="1308"/>
      <c r="JKH111" s="1308"/>
      <c r="JKI111" s="1308"/>
      <c r="JKJ111" s="1308"/>
      <c r="JKK111" s="1308"/>
      <c r="JKL111" s="1308"/>
      <c r="JKM111" s="1308"/>
      <c r="JKN111" s="1308"/>
      <c r="JKO111" s="1308"/>
      <c r="JKP111" s="1308"/>
      <c r="JKQ111" s="1308"/>
      <c r="JKR111" s="1308"/>
      <c r="JKS111" s="1308"/>
      <c r="JKT111" s="1308"/>
      <c r="JKU111" s="1308"/>
      <c r="JKV111" s="1308"/>
      <c r="JKW111" s="1308"/>
      <c r="JKX111" s="1308"/>
      <c r="JKY111" s="1308"/>
      <c r="JKZ111" s="1308"/>
      <c r="JLA111" s="1308"/>
      <c r="JLB111" s="1308"/>
      <c r="JLC111" s="1308"/>
      <c r="JLD111" s="1308"/>
      <c r="JLE111" s="1308"/>
      <c r="JLF111" s="1308"/>
      <c r="JLG111" s="1308"/>
      <c r="JLH111" s="1308"/>
      <c r="JLI111" s="1308"/>
      <c r="JLJ111" s="1308"/>
      <c r="JLK111" s="1308"/>
      <c r="JLL111" s="1308"/>
      <c r="JLM111" s="1308"/>
      <c r="JLN111" s="1308"/>
      <c r="JLO111" s="1308"/>
      <c r="JLP111" s="1308"/>
      <c r="JLQ111" s="1308"/>
      <c r="JLR111" s="1308"/>
      <c r="JLS111" s="1308"/>
      <c r="JLT111" s="1308"/>
      <c r="JLU111" s="1308"/>
      <c r="JLV111" s="1308"/>
      <c r="JLW111" s="1308"/>
      <c r="JLX111" s="1308"/>
      <c r="JLY111" s="1308"/>
      <c r="JLZ111" s="1308"/>
      <c r="JMA111" s="1308"/>
      <c r="JMB111" s="1308"/>
      <c r="JMC111" s="1308"/>
      <c r="JMD111" s="1308"/>
      <c r="JME111" s="1308"/>
      <c r="JMF111" s="1308"/>
      <c r="JMG111" s="1308"/>
      <c r="JMH111" s="1308"/>
      <c r="JMI111" s="1308"/>
      <c r="JMJ111" s="1308"/>
      <c r="JMK111" s="1308"/>
      <c r="JML111" s="1308"/>
      <c r="JMM111" s="1308"/>
      <c r="JMN111" s="1308"/>
      <c r="JMO111" s="1308"/>
      <c r="JMP111" s="1308"/>
      <c r="JMQ111" s="1308"/>
      <c r="JMR111" s="1308"/>
      <c r="JMS111" s="1308"/>
      <c r="JMT111" s="1308"/>
      <c r="JMU111" s="1308"/>
      <c r="JMV111" s="1308"/>
      <c r="JMW111" s="1308"/>
      <c r="JMX111" s="1308"/>
      <c r="JMY111" s="1308"/>
      <c r="JMZ111" s="1308"/>
      <c r="JNA111" s="1308"/>
      <c r="JNB111" s="1308"/>
      <c r="JNC111" s="1308"/>
      <c r="JND111" s="1308"/>
      <c r="JNE111" s="1308"/>
      <c r="JNF111" s="1308"/>
      <c r="JNG111" s="1308"/>
      <c r="JNH111" s="1308"/>
      <c r="JNI111" s="1308"/>
      <c r="JNJ111" s="1308"/>
      <c r="JNK111" s="1308"/>
      <c r="JNL111" s="1308"/>
      <c r="JNM111" s="1308"/>
      <c r="JNN111" s="1308"/>
      <c r="JNO111" s="1308"/>
      <c r="JNP111" s="1308"/>
      <c r="JNQ111" s="1308"/>
      <c r="JNR111" s="1308"/>
      <c r="JNS111" s="1308"/>
      <c r="JNT111" s="1308"/>
      <c r="JNU111" s="1308"/>
      <c r="JNV111" s="1308"/>
      <c r="JNW111" s="1308"/>
      <c r="JNX111" s="1308"/>
      <c r="JNY111" s="1308"/>
      <c r="JNZ111" s="1308"/>
      <c r="JOA111" s="1308"/>
      <c r="JOB111" s="1308"/>
      <c r="JOC111" s="1308"/>
      <c r="JOD111" s="1308"/>
      <c r="JOE111" s="1308"/>
      <c r="JOF111" s="1308"/>
      <c r="JOG111" s="1308"/>
      <c r="JOH111" s="1308"/>
      <c r="JOI111" s="1308"/>
      <c r="JOJ111" s="1308"/>
      <c r="JOK111" s="1308"/>
      <c r="JOL111" s="1308"/>
      <c r="JOM111" s="1308"/>
      <c r="JON111" s="1308"/>
      <c r="JOO111" s="1308"/>
      <c r="JOP111" s="1308"/>
      <c r="JOQ111" s="1308"/>
      <c r="JOR111" s="1308"/>
      <c r="JOS111" s="1308"/>
      <c r="JOT111" s="1308"/>
      <c r="JOU111" s="1308"/>
      <c r="JOV111" s="1308"/>
      <c r="JOW111" s="1308"/>
      <c r="JOX111" s="1308"/>
      <c r="JOY111" s="1308"/>
      <c r="JOZ111" s="1308"/>
      <c r="JPA111" s="1308"/>
      <c r="JPB111" s="1308"/>
      <c r="JPC111" s="1308"/>
      <c r="JPD111" s="1308"/>
      <c r="JPE111" s="1308"/>
      <c r="JPF111" s="1308"/>
      <c r="JPG111" s="1308"/>
      <c r="JPH111" s="1308"/>
      <c r="JPI111" s="1308"/>
      <c r="JPJ111" s="1308"/>
      <c r="JPK111" s="1308"/>
      <c r="JPL111" s="1308"/>
      <c r="JPM111" s="1308"/>
      <c r="JPN111" s="1308"/>
      <c r="JPO111" s="1308"/>
      <c r="JPP111" s="1308"/>
      <c r="JPQ111" s="1308"/>
      <c r="JPR111" s="1308"/>
      <c r="JPS111" s="1308"/>
      <c r="JPT111" s="1308"/>
      <c r="JPU111" s="1308"/>
      <c r="JPV111" s="1308"/>
      <c r="JPW111" s="1308"/>
      <c r="JPX111" s="1308"/>
      <c r="JPY111" s="1308"/>
      <c r="JPZ111" s="1308"/>
      <c r="JQA111" s="1308"/>
      <c r="JQB111" s="1308"/>
      <c r="JQC111" s="1308"/>
      <c r="JQD111" s="1308"/>
      <c r="JQE111" s="1308"/>
      <c r="JQF111" s="1308"/>
      <c r="JQG111" s="1308"/>
      <c r="JQH111" s="1308"/>
      <c r="JQI111" s="1308"/>
      <c r="JQJ111" s="1308"/>
      <c r="JQK111" s="1308"/>
      <c r="JQL111" s="1308"/>
      <c r="JQM111" s="1308"/>
      <c r="JQN111" s="1308"/>
      <c r="JQO111" s="1308"/>
      <c r="JQP111" s="1308"/>
      <c r="JQQ111" s="1308"/>
      <c r="JQR111" s="1308"/>
      <c r="JQS111" s="1308"/>
      <c r="JQT111" s="1308"/>
      <c r="JQU111" s="1308"/>
      <c r="JQV111" s="1308"/>
      <c r="JQW111" s="1308"/>
      <c r="JQX111" s="1308"/>
      <c r="JQY111" s="1308"/>
      <c r="JQZ111" s="1308"/>
      <c r="JRA111" s="1308"/>
      <c r="JRB111" s="1308"/>
      <c r="JRC111" s="1308"/>
      <c r="JRD111" s="1308"/>
      <c r="JRE111" s="1308"/>
      <c r="JRF111" s="1308"/>
      <c r="JRG111" s="1308"/>
      <c r="JRH111" s="1308"/>
      <c r="JRI111" s="1308"/>
      <c r="JRJ111" s="1308"/>
      <c r="JRK111" s="1308"/>
      <c r="JRL111" s="1308"/>
      <c r="JRM111" s="1308"/>
      <c r="JRN111" s="1308"/>
      <c r="JRO111" s="1308"/>
      <c r="JRP111" s="1308"/>
      <c r="JRQ111" s="1308"/>
      <c r="JRR111" s="1308"/>
      <c r="JRS111" s="1308"/>
      <c r="JRT111" s="1308"/>
      <c r="JRU111" s="1308"/>
      <c r="JRV111" s="1308"/>
      <c r="JRW111" s="1308"/>
      <c r="JRX111" s="1308"/>
      <c r="JRY111" s="1308"/>
      <c r="JRZ111" s="1308"/>
      <c r="JSA111" s="1308"/>
      <c r="JSB111" s="1308"/>
      <c r="JSC111" s="1308"/>
      <c r="JSD111" s="1308"/>
      <c r="JSE111" s="1308"/>
      <c r="JSF111" s="1308"/>
      <c r="JSG111" s="1308"/>
      <c r="JSH111" s="1308"/>
      <c r="JSI111" s="1308"/>
      <c r="JSJ111" s="1308"/>
      <c r="JSK111" s="1308"/>
      <c r="JSL111" s="1308"/>
      <c r="JSM111" s="1308"/>
      <c r="JSN111" s="1308"/>
      <c r="JSO111" s="1308"/>
      <c r="JSP111" s="1308"/>
      <c r="JSQ111" s="1308"/>
      <c r="JSR111" s="1308"/>
      <c r="JSS111" s="1308"/>
      <c r="JST111" s="1308"/>
      <c r="JSU111" s="1308"/>
      <c r="JSV111" s="1308"/>
      <c r="JSW111" s="1308"/>
      <c r="JSX111" s="1308"/>
      <c r="JSY111" s="1308"/>
      <c r="JSZ111" s="1308"/>
      <c r="JTA111" s="1308"/>
      <c r="JTB111" s="1308"/>
      <c r="JTC111" s="1308"/>
      <c r="JTD111" s="1308"/>
      <c r="JTE111" s="1308"/>
      <c r="JTF111" s="1308"/>
      <c r="JTG111" s="1308"/>
      <c r="JTH111" s="1308"/>
      <c r="JTI111" s="1308"/>
      <c r="JTJ111" s="1308"/>
      <c r="JTK111" s="1308"/>
      <c r="JTL111" s="1308"/>
      <c r="JTM111" s="1308"/>
      <c r="JTN111" s="1308"/>
      <c r="JTO111" s="1308"/>
      <c r="JTP111" s="1308"/>
      <c r="JTQ111" s="1308"/>
      <c r="JTR111" s="1308"/>
      <c r="JTS111" s="1308"/>
      <c r="JTT111" s="1308"/>
      <c r="JTU111" s="1308"/>
      <c r="JTV111" s="1308"/>
      <c r="JTW111" s="1308"/>
      <c r="JTX111" s="1308"/>
      <c r="JTY111" s="1308"/>
      <c r="JTZ111" s="1308"/>
      <c r="JUA111" s="1308"/>
      <c r="JUB111" s="1308"/>
      <c r="JUC111" s="1308"/>
      <c r="JUD111" s="1308"/>
      <c r="JUE111" s="1308"/>
      <c r="JUF111" s="1308"/>
      <c r="JUG111" s="1308"/>
      <c r="JUH111" s="1308"/>
      <c r="JUI111" s="1308"/>
      <c r="JUJ111" s="1308"/>
      <c r="JUK111" s="1308"/>
      <c r="JUL111" s="1308"/>
      <c r="JUM111" s="1308"/>
      <c r="JUN111" s="1308"/>
      <c r="JUO111" s="1308"/>
      <c r="JUP111" s="1308"/>
      <c r="JUQ111" s="1308"/>
      <c r="JUR111" s="1308"/>
      <c r="JUS111" s="1308"/>
      <c r="JUT111" s="1308"/>
      <c r="JUU111" s="1308"/>
      <c r="JUV111" s="1308"/>
      <c r="JUW111" s="1308"/>
      <c r="JUX111" s="1308"/>
      <c r="JUY111" s="1308"/>
      <c r="JUZ111" s="1308"/>
      <c r="JVA111" s="1308"/>
      <c r="JVB111" s="1308"/>
      <c r="JVC111" s="1308"/>
      <c r="JVD111" s="1308"/>
      <c r="JVE111" s="1308"/>
      <c r="JVF111" s="1308"/>
      <c r="JVG111" s="1308"/>
      <c r="JVH111" s="1308"/>
      <c r="JVI111" s="1308"/>
      <c r="JVJ111" s="1308"/>
      <c r="JVK111" s="1308"/>
      <c r="JVL111" s="1308"/>
      <c r="JVM111" s="1308"/>
      <c r="JVN111" s="1308"/>
      <c r="JVO111" s="1308"/>
      <c r="JVP111" s="1308"/>
      <c r="JVQ111" s="1308"/>
      <c r="JVR111" s="1308"/>
      <c r="JVS111" s="1308"/>
      <c r="JVT111" s="1308"/>
      <c r="JVU111" s="1308"/>
      <c r="JVV111" s="1308"/>
      <c r="JVW111" s="1308"/>
      <c r="JVX111" s="1308"/>
      <c r="JVY111" s="1308"/>
      <c r="JVZ111" s="1308"/>
      <c r="JWA111" s="1308"/>
      <c r="JWB111" s="1308"/>
      <c r="JWC111" s="1308"/>
      <c r="JWD111" s="1308"/>
      <c r="JWE111" s="1308"/>
      <c r="JWF111" s="1308"/>
      <c r="JWG111" s="1308"/>
      <c r="JWH111" s="1308"/>
      <c r="JWI111" s="1308"/>
      <c r="JWJ111" s="1308"/>
      <c r="JWK111" s="1308"/>
      <c r="JWL111" s="1308"/>
      <c r="JWM111" s="1308"/>
      <c r="JWN111" s="1308"/>
      <c r="JWO111" s="1308"/>
      <c r="JWP111" s="1308"/>
      <c r="JWQ111" s="1308"/>
      <c r="JWR111" s="1308"/>
      <c r="JWS111" s="1308"/>
      <c r="JWT111" s="1308"/>
      <c r="JWU111" s="1308"/>
      <c r="JWV111" s="1308"/>
      <c r="JWW111" s="1308"/>
      <c r="JWX111" s="1308"/>
      <c r="JWY111" s="1308"/>
      <c r="JWZ111" s="1308"/>
      <c r="JXA111" s="1308"/>
      <c r="JXB111" s="1308"/>
      <c r="JXC111" s="1308"/>
      <c r="JXD111" s="1308"/>
      <c r="JXE111" s="1308"/>
      <c r="JXF111" s="1308"/>
      <c r="JXG111" s="1308"/>
      <c r="JXH111" s="1308"/>
      <c r="JXI111" s="1308"/>
      <c r="JXJ111" s="1308"/>
      <c r="JXK111" s="1308"/>
      <c r="JXL111" s="1308"/>
      <c r="JXM111" s="1308"/>
      <c r="JXN111" s="1308"/>
      <c r="JXO111" s="1308"/>
      <c r="JXP111" s="1308"/>
      <c r="JXQ111" s="1308"/>
      <c r="JXR111" s="1308"/>
      <c r="JXS111" s="1308"/>
      <c r="JXT111" s="1308"/>
      <c r="JXU111" s="1308"/>
      <c r="JXV111" s="1308"/>
      <c r="JXW111" s="1308"/>
      <c r="JXX111" s="1308"/>
      <c r="JXY111" s="1308"/>
      <c r="JXZ111" s="1308"/>
      <c r="JYA111" s="1308"/>
      <c r="JYB111" s="1308"/>
      <c r="JYC111" s="1308"/>
      <c r="JYD111" s="1308"/>
      <c r="JYE111" s="1308"/>
      <c r="JYF111" s="1308"/>
      <c r="JYG111" s="1308"/>
      <c r="JYH111" s="1308"/>
      <c r="JYI111" s="1308"/>
      <c r="JYJ111" s="1308"/>
      <c r="JYK111" s="1308"/>
      <c r="JYL111" s="1308"/>
      <c r="JYM111" s="1308"/>
      <c r="JYN111" s="1308"/>
      <c r="JYO111" s="1308"/>
      <c r="JYP111" s="1308"/>
      <c r="JYQ111" s="1308"/>
      <c r="JYR111" s="1308"/>
      <c r="JYS111" s="1308"/>
      <c r="JYT111" s="1308"/>
      <c r="JYU111" s="1308"/>
      <c r="JYV111" s="1308"/>
      <c r="JYW111" s="1308"/>
      <c r="JYX111" s="1308"/>
      <c r="JYY111" s="1308"/>
      <c r="JYZ111" s="1308"/>
      <c r="JZA111" s="1308"/>
      <c r="JZB111" s="1308"/>
      <c r="JZC111" s="1308"/>
      <c r="JZD111" s="1308"/>
      <c r="JZE111" s="1308"/>
      <c r="JZF111" s="1308"/>
      <c r="JZG111" s="1308"/>
      <c r="JZH111" s="1308"/>
      <c r="JZI111" s="1308"/>
      <c r="JZJ111" s="1308"/>
      <c r="JZK111" s="1308"/>
      <c r="JZL111" s="1308"/>
      <c r="JZM111" s="1308"/>
      <c r="JZN111" s="1308"/>
      <c r="JZO111" s="1308"/>
      <c r="JZP111" s="1308"/>
      <c r="JZQ111" s="1308"/>
      <c r="JZR111" s="1308"/>
      <c r="JZS111" s="1308"/>
      <c r="JZT111" s="1308"/>
      <c r="JZU111" s="1308"/>
      <c r="JZV111" s="1308"/>
      <c r="JZW111" s="1308"/>
      <c r="JZX111" s="1308"/>
      <c r="JZY111" s="1308"/>
      <c r="JZZ111" s="1308"/>
      <c r="KAA111" s="1308"/>
      <c r="KAB111" s="1308"/>
      <c r="KAC111" s="1308"/>
      <c r="KAD111" s="1308"/>
      <c r="KAE111" s="1308"/>
      <c r="KAF111" s="1308"/>
      <c r="KAG111" s="1308"/>
      <c r="KAH111" s="1308"/>
      <c r="KAI111" s="1308"/>
      <c r="KAJ111" s="1308"/>
      <c r="KAK111" s="1308"/>
      <c r="KAL111" s="1308"/>
      <c r="KAM111" s="1308"/>
      <c r="KAN111" s="1308"/>
      <c r="KAO111" s="1308"/>
      <c r="KAP111" s="1308"/>
      <c r="KAQ111" s="1308"/>
      <c r="KAR111" s="1308"/>
      <c r="KAS111" s="1308"/>
      <c r="KAT111" s="1308"/>
      <c r="KAU111" s="1308"/>
      <c r="KAV111" s="1308"/>
      <c r="KAW111" s="1308"/>
      <c r="KAX111" s="1308"/>
      <c r="KAY111" s="1308"/>
      <c r="KAZ111" s="1308"/>
      <c r="KBA111" s="1308"/>
      <c r="KBB111" s="1308"/>
      <c r="KBC111" s="1308"/>
      <c r="KBD111" s="1308"/>
      <c r="KBE111" s="1308"/>
      <c r="KBF111" s="1308"/>
      <c r="KBG111" s="1308"/>
      <c r="KBH111" s="1308"/>
      <c r="KBI111" s="1308"/>
      <c r="KBJ111" s="1308"/>
      <c r="KBK111" s="1308"/>
      <c r="KBL111" s="1308"/>
      <c r="KBM111" s="1308"/>
      <c r="KBN111" s="1308"/>
      <c r="KBO111" s="1308"/>
      <c r="KBP111" s="1308"/>
      <c r="KBQ111" s="1308"/>
      <c r="KBR111" s="1308"/>
      <c r="KBS111" s="1308"/>
      <c r="KBT111" s="1308"/>
      <c r="KBU111" s="1308"/>
      <c r="KBV111" s="1308"/>
      <c r="KBW111" s="1308"/>
      <c r="KBX111" s="1308"/>
      <c r="KBY111" s="1308"/>
      <c r="KBZ111" s="1308"/>
      <c r="KCA111" s="1308"/>
      <c r="KCB111" s="1308"/>
      <c r="KCC111" s="1308"/>
      <c r="KCD111" s="1308"/>
      <c r="KCE111" s="1308"/>
      <c r="KCF111" s="1308"/>
      <c r="KCG111" s="1308"/>
      <c r="KCH111" s="1308"/>
      <c r="KCI111" s="1308"/>
      <c r="KCJ111" s="1308"/>
      <c r="KCK111" s="1308"/>
      <c r="KCL111" s="1308"/>
      <c r="KCM111" s="1308"/>
      <c r="KCN111" s="1308"/>
      <c r="KCO111" s="1308"/>
      <c r="KCP111" s="1308"/>
      <c r="KCQ111" s="1308"/>
      <c r="KCR111" s="1308"/>
      <c r="KCS111" s="1308"/>
      <c r="KCT111" s="1308"/>
      <c r="KCU111" s="1308"/>
      <c r="KCV111" s="1308"/>
      <c r="KCW111" s="1308"/>
      <c r="KCX111" s="1308"/>
      <c r="KCY111" s="1308"/>
      <c r="KCZ111" s="1308"/>
      <c r="KDA111" s="1308"/>
      <c r="KDB111" s="1308"/>
      <c r="KDC111" s="1308"/>
      <c r="KDD111" s="1308"/>
      <c r="KDE111" s="1308"/>
      <c r="KDF111" s="1308"/>
      <c r="KDG111" s="1308"/>
      <c r="KDH111" s="1308"/>
      <c r="KDI111" s="1308"/>
      <c r="KDJ111" s="1308"/>
      <c r="KDK111" s="1308"/>
      <c r="KDL111" s="1308"/>
      <c r="KDM111" s="1308"/>
      <c r="KDN111" s="1308"/>
      <c r="KDO111" s="1308"/>
      <c r="KDP111" s="1308"/>
      <c r="KDQ111" s="1308"/>
      <c r="KDR111" s="1308"/>
      <c r="KDS111" s="1308"/>
      <c r="KDT111" s="1308"/>
      <c r="KDU111" s="1308"/>
      <c r="KDV111" s="1308"/>
      <c r="KDW111" s="1308"/>
      <c r="KDX111" s="1308"/>
      <c r="KDY111" s="1308"/>
      <c r="KDZ111" s="1308"/>
      <c r="KEA111" s="1308"/>
      <c r="KEB111" s="1308"/>
      <c r="KEC111" s="1308"/>
      <c r="KED111" s="1308"/>
      <c r="KEE111" s="1308"/>
      <c r="KEF111" s="1308"/>
      <c r="KEG111" s="1308"/>
      <c r="KEH111" s="1308"/>
      <c r="KEI111" s="1308"/>
      <c r="KEJ111" s="1308"/>
      <c r="KEK111" s="1308"/>
      <c r="KEL111" s="1308"/>
      <c r="KEM111" s="1308"/>
      <c r="KEN111" s="1308"/>
      <c r="KEO111" s="1308"/>
      <c r="KEP111" s="1308"/>
      <c r="KEQ111" s="1308"/>
      <c r="KER111" s="1308"/>
      <c r="KES111" s="1308"/>
      <c r="KET111" s="1308"/>
      <c r="KEU111" s="1308"/>
      <c r="KEV111" s="1308"/>
      <c r="KEW111" s="1308"/>
      <c r="KEX111" s="1308"/>
      <c r="KEY111" s="1308"/>
      <c r="KEZ111" s="1308"/>
      <c r="KFA111" s="1308"/>
      <c r="KFB111" s="1308"/>
      <c r="KFC111" s="1308"/>
      <c r="KFD111" s="1308"/>
      <c r="KFE111" s="1308"/>
      <c r="KFF111" s="1308"/>
      <c r="KFG111" s="1308"/>
      <c r="KFH111" s="1308"/>
      <c r="KFI111" s="1308"/>
      <c r="KFJ111" s="1308"/>
      <c r="KFK111" s="1308"/>
      <c r="KFL111" s="1308"/>
      <c r="KFM111" s="1308"/>
      <c r="KFN111" s="1308"/>
      <c r="KFO111" s="1308"/>
      <c r="KFP111" s="1308"/>
      <c r="KFQ111" s="1308"/>
      <c r="KFR111" s="1308"/>
      <c r="KFS111" s="1308"/>
      <c r="KFT111" s="1308"/>
      <c r="KFU111" s="1308"/>
      <c r="KFV111" s="1308"/>
      <c r="KFW111" s="1308"/>
      <c r="KFX111" s="1308"/>
      <c r="KFY111" s="1308"/>
      <c r="KFZ111" s="1308"/>
      <c r="KGA111" s="1308"/>
      <c r="KGB111" s="1308"/>
      <c r="KGC111" s="1308"/>
      <c r="KGD111" s="1308"/>
      <c r="KGE111" s="1308"/>
      <c r="KGF111" s="1308"/>
      <c r="KGG111" s="1308"/>
      <c r="KGH111" s="1308"/>
      <c r="KGI111" s="1308"/>
      <c r="KGJ111" s="1308"/>
      <c r="KGK111" s="1308"/>
      <c r="KGL111" s="1308"/>
      <c r="KGM111" s="1308"/>
      <c r="KGN111" s="1308"/>
      <c r="KGO111" s="1308"/>
      <c r="KGP111" s="1308"/>
      <c r="KGQ111" s="1308"/>
      <c r="KGR111" s="1308"/>
      <c r="KGS111" s="1308"/>
      <c r="KGT111" s="1308"/>
      <c r="KGU111" s="1308"/>
      <c r="KGV111" s="1308"/>
      <c r="KGW111" s="1308"/>
      <c r="KGX111" s="1308"/>
      <c r="KGY111" s="1308"/>
      <c r="KGZ111" s="1308"/>
      <c r="KHA111" s="1308"/>
      <c r="KHB111" s="1308"/>
      <c r="KHC111" s="1308"/>
      <c r="KHD111" s="1308"/>
      <c r="KHE111" s="1308"/>
      <c r="KHF111" s="1308"/>
      <c r="KHG111" s="1308"/>
      <c r="KHH111" s="1308"/>
      <c r="KHI111" s="1308"/>
      <c r="KHJ111" s="1308"/>
      <c r="KHK111" s="1308"/>
      <c r="KHL111" s="1308"/>
      <c r="KHM111" s="1308"/>
      <c r="KHN111" s="1308"/>
      <c r="KHO111" s="1308"/>
      <c r="KHP111" s="1308"/>
      <c r="KHQ111" s="1308"/>
      <c r="KHR111" s="1308"/>
      <c r="KHS111" s="1308"/>
      <c r="KHT111" s="1308"/>
      <c r="KHU111" s="1308"/>
      <c r="KHV111" s="1308"/>
      <c r="KHW111" s="1308"/>
      <c r="KHX111" s="1308"/>
      <c r="KHY111" s="1308"/>
      <c r="KHZ111" s="1308"/>
      <c r="KIA111" s="1308"/>
      <c r="KIB111" s="1308"/>
      <c r="KIC111" s="1308"/>
      <c r="KID111" s="1308"/>
      <c r="KIE111" s="1308"/>
      <c r="KIF111" s="1308"/>
      <c r="KIG111" s="1308"/>
      <c r="KIH111" s="1308"/>
      <c r="KII111" s="1308"/>
      <c r="KIJ111" s="1308"/>
      <c r="KIK111" s="1308"/>
      <c r="KIL111" s="1308"/>
      <c r="KIM111" s="1308"/>
      <c r="KIN111" s="1308"/>
      <c r="KIO111" s="1308"/>
      <c r="KIP111" s="1308"/>
      <c r="KIQ111" s="1308"/>
      <c r="KIR111" s="1308"/>
      <c r="KIS111" s="1308"/>
      <c r="KIT111" s="1308"/>
      <c r="KIU111" s="1308"/>
      <c r="KIV111" s="1308"/>
      <c r="KIW111" s="1308"/>
      <c r="KIX111" s="1308"/>
      <c r="KIY111" s="1308"/>
      <c r="KIZ111" s="1308"/>
      <c r="KJA111" s="1308"/>
      <c r="KJB111" s="1308"/>
      <c r="KJC111" s="1308"/>
      <c r="KJD111" s="1308"/>
      <c r="KJE111" s="1308"/>
      <c r="KJF111" s="1308"/>
      <c r="KJG111" s="1308"/>
      <c r="KJH111" s="1308"/>
      <c r="KJI111" s="1308"/>
      <c r="KJJ111" s="1308"/>
      <c r="KJK111" s="1308"/>
      <c r="KJL111" s="1308"/>
      <c r="KJM111" s="1308"/>
      <c r="KJN111" s="1308"/>
      <c r="KJO111" s="1308"/>
      <c r="KJP111" s="1308"/>
      <c r="KJQ111" s="1308"/>
      <c r="KJR111" s="1308"/>
      <c r="KJS111" s="1308"/>
      <c r="KJT111" s="1308"/>
      <c r="KJU111" s="1308"/>
      <c r="KJV111" s="1308"/>
      <c r="KJW111" s="1308"/>
      <c r="KJX111" s="1308"/>
      <c r="KJY111" s="1308"/>
      <c r="KJZ111" s="1308"/>
      <c r="KKA111" s="1308"/>
      <c r="KKB111" s="1308"/>
      <c r="KKC111" s="1308"/>
      <c r="KKD111" s="1308"/>
      <c r="KKE111" s="1308"/>
      <c r="KKF111" s="1308"/>
      <c r="KKG111" s="1308"/>
      <c r="KKH111" s="1308"/>
      <c r="KKI111" s="1308"/>
      <c r="KKJ111" s="1308"/>
      <c r="KKK111" s="1308"/>
      <c r="KKL111" s="1308"/>
      <c r="KKM111" s="1308"/>
      <c r="KKN111" s="1308"/>
      <c r="KKO111" s="1308"/>
      <c r="KKP111" s="1308"/>
      <c r="KKQ111" s="1308"/>
      <c r="KKR111" s="1308"/>
      <c r="KKS111" s="1308"/>
      <c r="KKT111" s="1308"/>
      <c r="KKU111" s="1308"/>
      <c r="KKV111" s="1308"/>
      <c r="KKW111" s="1308"/>
      <c r="KKX111" s="1308"/>
      <c r="KKY111" s="1308"/>
      <c r="KKZ111" s="1308"/>
      <c r="KLA111" s="1308"/>
      <c r="KLB111" s="1308"/>
      <c r="KLC111" s="1308"/>
      <c r="KLD111" s="1308"/>
      <c r="KLE111" s="1308"/>
      <c r="KLF111" s="1308"/>
      <c r="KLG111" s="1308"/>
      <c r="KLH111" s="1308"/>
      <c r="KLI111" s="1308"/>
      <c r="KLJ111" s="1308"/>
      <c r="KLK111" s="1308"/>
      <c r="KLL111" s="1308"/>
      <c r="KLM111" s="1308"/>
      <c r="KLN111" s="1308"/>
      <c r="KLO111" s="1308"/>
      <c r="KLP111" s="1308"/>
      <c r="KLQ111" s="1308"/>
      <c r="KLR111" s="1308"/>
      <c r="KLS111" s="1308"/>
      <c r="KLT111" s="1308"/>
      <c r="KLU111" s="1308"/>
      <c r="KLV111" s="1308"/>
      <c r="KLW111" s="1308"/>
      <c r="KLX111" s="1308"/>
      <c r="KLY111" s="1308"/>
      <c r="KLZ111" s="1308"/>
      <c r="KMA111" s="1308"/>
      <c r="KMB111" s="1308"/>
      <c r="KMC111" s="1308"/>
      <c r="KMD111" s="1308"/>
      <c r="KME111" s="1308"/>
      <c r="KMF111" s="1308"/>
      <c r="KMG111" s="1308"/>
      <c r="KMH111" s="1308"/>
      <c r="KMI111" s="1308"/>
      <c r="KMJ111" s="1308"/>
      <c r="KMK111" s="1308"/>
      <c r="KML111" s="1308"/>
      <c r="KMM111" s="1308"/>
      <c r="KMN111" s="1308"/>
      <c r="KMO111" s="1308"/>
      <c r="KMP111" s="1308"/>
      <c r="KMQ111" s="1308"/>
      <c r="KMR111" s="1308"/>
      <c r="KMS111" s="1308"/>
      <c r="KMT111" s="1308"/>
      <c r="KMU111" s="1308"/>
      <c r="KMV111" s="1308"/>
      <c r="KMW111" s="1308"/>
      <c r="KMX111" s="1308"/>
      <c r="KMY111" s="1308"/>
      <c r="KMZ111" s="1308"/>
      <c r="KNA111" s="1308"/>
      <c r="KNB111" s="1308"/>
      <c r="KNC111" s="1308"/>
      <c r="KND111" s="1308"/>
      <c r="KNE111" s="1308"/>
      <c r="KNF111" s="1308"/>
      <c r="KNG111" s="1308"/>
      <c r="KNH111" s="1308"/>
      <c r="KNI111" s="1308"/>
      <c r="KNJ111" s="1308"/>
      <c r="KNK111" s="1308"/>
      <c r="KNL111" s="1308"/>
      <c r="KNM111" s="1308"/>
      <c r="KNN111" s="1308"/>
      <c r="KNO111" s="1308"/>
      <c r="KNP111" s="1308"/>
      <c r="KNQ111" s="1308"/>
      <c r="KNR111" s="1308"/>
      <c r="KNS111" s="1308"/>
      <c r="KNT111" s="1308"/>
      <c r="KNU111" s="1308"/>
      <c r="KNV111" s="1308"/>
      <c r="KNW111" s="1308"/>
      <c r="KNX111" s="1308"/>
      <c r="KNY111" s="1308"/>
      <c r="KNZ111" s="1308"/>
      <c r="KOA111" s="1308"/>
      <c r="KOB111" s="1308"/>
      <c r="KOC111" s="1308"/>
      <c r="KOD111" s="1308"/>
      <c r="KOE111" s="1308"/>
      <c r="KOF111" s="1308"/>
      <c r="KOG111" s="1308"/>
      <c r="KOH111" s="1308"/>
      <c r="KOI111" s="1308"/>
      <c r="KOJ111" s="1308"/>
      <c r="KOK111" s="1308"/>
      <c r="KOL111" s="1308"/>
      <c r="KOM111" s="1308"/>
      <c r="KON111" s="1308"/>
      <c r="KOO111" s="1308"/>
      <c r="KOP111" s="1308"/>
      <c r="KOQ111" s="1308"/>
      <c r="KOR111" s="1308"/>
      <c r="KOS111" s="1308"/>
      <c r="KOT111" s="1308"/>
      <c r="KOU111" s="1308"/>
      <c r="KOV111" s="1308"/>
      <c r="KOW111" s="1308"/>
      <c r="KOX111" s="1308"/>
      <c r="KOY111" s="1308"/>
      <c r="KOZ111" s="1308"/>
      <c r="KPA111" s="1308"/>
      <c r="KPB111" s="1308"/>
      <c r="KPC111" s="1308"/>
      <c r="KPD111" s="1308"/>
      <c r="KPE111" s="1308"/>
      <c r="KPF111" s="1308"/>
      <c r="KPG111" s="1308"/>
      <c r="KPH111" s="1308"/>
      <c r="KPI111" s="1308"/>
      <c r="KPJ111" s="1308"/>
      <c r="KPK111" s="1308"/>
      <c r="KPL111" s="1308"/>
      <c r="KPM111" s="1308"/>
      <c r="KPN111" s="1308"/>
      <c r="KPO111" s="1308"/>
      <c r="KPP111" s="1308"/>
      <c r="KPQ111" s="1308"/>
      <c r="KPR111" s="1308"/>
      <c r="KPS111" s="1308"/>
      <c r="KPT111" s="1308"/>
      <c r="KPU111" s="1308"/>
      <c r="KPV111" s="1308"/>
      <c r="KPW111" s="1308"/>
      <c r="KPX111" s="1308"/>
      <c r="KPY111" s="1308"/>
      <c r="KPZ111" s="1308"/>
      <c r="KQA111" s="1308"/>
      <c r="KQB111" s="1308"/>
      <c r="KQC111" s="1308"/>
      <c r="KQD111" s="1308"/>
      <c r="KQE111" s="1308"/>
      <c r="KQF111" s="1308"/>
      <c r="KQG111" s="1308"/>
      <c r="KQH111" s="1308"/>
      <c r="KQI111" s="1308"/>
      <c r="KQJ111" s="1308"/>
      <c r="KQK111" s="1308"/>
      <c r="KQL111" s="1308"/>
      <c r="KQM111" s="1308"/>
      <c r="KQN111" s="1308"/>
      <c r="KQO111" s="1308"/>
      <c r="KQP111" s="1308"/>
      <c r="KQQ111" s="1308"/>
      <c r="KQR111" s="1308"/>
      <c r="KQS111" s="1308"/>
      <c r="KQT111" s="1308"/>
      <c r="KQU111" s="1308"/>
      <c r="KQV111" s="1308"/>
      <c r="KQW111" s="1308"/>
      <c r="KQX111" s="1308"/>
      <c r="KQY111" s="1308"/>
      <c r="KQZ111" s="1308"/>
      <c r="KRA111" s="1308"/>
      <c r="KRB111" s="1308"/>
      <c r="KRC111" s="1308"/>
      <c r="KRD111" s="1308"/>
      <c r="KRE111" s="1308"/>
      <c r="KRF111" s="1308"/>
      <c r="KRG111" s="1308"/>
      <c r="KRH111" s="1308"/>
      <c r="KRI111" s="1308"/>
      <c r="KRJ111" s="1308"/>
      <c r="KRK111" s="1308"/>
      <c r="KRL111" s="1308"/>
      <c r="KRM111" s="1308"/>
      <c r="KRN111" s="1308"/>
      <c r="KRO111" s="1308"/>
      <c r="KRP111" s="1308"/>
      <c r="KRQ111" s="1308"/>
      <c r="KRR111" s="1308"/>
      <c r="KRS111" s="1308"/>
      <c r="KRT111" s="1308"/>
      <c r="KRU111" s="1308"/>
      <c r="KRV111" s="1308"/>
      <c r="KRW111" s="1308"/>
      <c r="KRX111" s="1308"/>
      <c r="KRY111" s="1308"/>
      <c r="KRZ111" s="1308"/>
      <c r="KSA111" s="1308"/>
      <c r="KSB111" s="1308"/>
      <c r="KSC111" s="1308"/>
      <c r="KSD111" s="1308"/>
      <c r="KSE111" s="1308"/>
      <c r="KSF111" s="1308"/>
      <c r="KSG111" s="1308"/>
      <c r="KSH111" s="1308"/>
      <c r="KSI111" s="1308"/>
      <c r="KSJ111" s="1308"/>
      <c r="KSK111" s="1308"/>
      <c r="KSL111" s="1308"/>
      <c r="KSM111" s="1308"/>
      <c r="KSN111" s="1308"/>
      <c r="KSO111" s="1308"/>
      <c r="KSP111" s="1308"/>
      <c r="KSQ111" s="1308"/>
      <c r="KSR111" s="1308"/>
      <c r="KSS111" s="1308"/>
      <c r="KST111" s="1308"/>
      <c r="KSU111" s="1308"/>
      <c r="KSV111" s="1308"/>
      <c r="KSW111" s="1308"/>
      <c r="KSX111" s="1308"/>
      <c r="KSY111" s="1308"/>
      <c r="KSZ111" s="1308"/>
      <c r="KTA111" s="1308"/>
      <c r="KTB111" s="1308"/>
      <c r="KTC111" s="1308"/>
      <c r="KTD111" s="1308"/>
      <c r="KTE111" s="1308"/>
      <c r="KTF111" s="1308"/>
      <c r="KTG111" s="1308"/>
      <c r="KTH111" s="1308"/>
      <c r="KTI111" s="1308"/>
      <c r="KTJ111" s="1308"/>
      <c r="KTK111" s="1308"/>
      <c r="KTL111" s="1308"/>
      <c r="KTM111" s="1308"/>
      <c r="KTN111" s="1308"/>
      <c r="KTO111" s="1308"/>
      <c r="KTP111" s="1308"/>
      <c r="KTQ111" s="1308"/>
      <c r="KTR111" s="1308"/>
      <c r="KTS111" s="1308"/>
      <c r="KTT111" s="1308"/>
      <c r="KTU111" s="1308"/>
      <c r="KTV111" s="1308"/>
      <c r="KTW111" s="1308"/>
      <c r="KTX111" s="1308"/>
      <c r="KTY111" s="1308"/>
      <c r="KTZ111" s="1308"/>
      <c r="KUA111" s="1308"/>
      <c r="KUB111" s="1308"/>
      <c r="KUC111" s="1308"/>
      <c r="KUD111" s="1308"/>
      <c r="KUE111" s="1308"/>
      <c r="KUF111" s="1308"/>
      <c r="KUG111" s="1308"/>
      <c r="KUH111" s="1308"/>
      <c r="KUI111" s="1308"/>
      <c r="KUJ111" s="1308"/>
      <c r="KUK111" s="1308"/>
      <c r="KUL111" s="1308"/>
      <c r="KUM111" s="1308"/>
      <c r="KUN111" s="1308"/>
      <c r="KUO111" s="1308"/>
      <c r="KUP111" s="1308"/>
      <c r="KUQ111" s="1308"/>
      <c r="KUR111" s="1308"/>
      <c r="KUS111" s="1308"/>
      <c r="KUT111" s="1308"/>
      <c r="KUU111" s="1308"/>
      <c r="KUV111" s="1308"/>
      <c r="KUW111" s="1308"/>
      <c r="KUX111" s="1308"/>
      <c r="KUY111" s="1308"/>
      <c r="KUZ111" s="1308"/>
      <c r="KVA111" s="1308"/>
      <c r="KVB111" s="1308"/>
      <c r="KVC111" s="1308"/>
      <c r="KVD111" s="1308"/>
      <c r="KVE111" s="1308"/>
      <c r="KVF111" s="1308"/>
      <c r="KVG111" s="1308"/>
      <c r="KVH111" s="1308"/>
      <c r="KVI111" s="1308"/>
      <c r="KVJ111" s="1308"/>
      <c r="KVK111" s="1308"/>
      <c r="KVL111" s="1308"/>
      <c r="KVM111" s="1308"/>
      <c r="KVN111" s="1308"/>
      <c r="KVO111" s="1308"/>
      <c r="KVP111" s="1308"/>
      <c r="KVQ111" s="1308"/>
      <c r="KVR111" s="1308"/>
      <c r="KVS111" s="1308"/>
      <c r="KVT111" s="1308"/>
      <c r="KVU111" s="1308"/>
      <c r="KVV111" s="1308"/>
      <c r="KVW111" s="1308"/>
      <c r="KVX111" s="1308"/>
      <c r="KVY111" s="1308"/>
      <c r="KVZ111" s="1308"/>
      <c r="KWA111" s="1308"/>
      <c r="KWB111" s="1308"/>
      <c r="KWC111" s="1308"/>
      <c r="KWD111" s="1308"/>
      <c r="KWE111" s="1308"/>
      <c r="KWF111" s="1308"/>
      <c r="KWG111" s="1308"/>
      <c r="KWH111" s="1308"/>
      <c r="KWI111" s="1308"/>
      <c r="KWJ111" s="1308"/>
      <c r="KWK111" s="1308"/>
      <c r="KWL111" s="1308"/>
      <c r="KWM111" s="1308"/>
      <c r="KWN111" s="1308"/>
      <c r="KWO111" s="1308"/>
      <c r="KWP111" s="1308"/>
      <c r="KWQ111" s="1308"/>
      <c r="KWR111" s="1308"/>
      <c r="KWS111" s="1308"/>
      <c r="KWT111" s="1308"/>
      <c r="KWU111" s="1308"/>
      <c r="KWV111" s="1308"/>
      <c r="KWW111" s="1308"/>
      <c r="KWX111" s="1308"/>
      <c r="KWY111" s="1308"/>
      <c r="KWZ111" s="1308"/>
      <c r="KXA111" s="1308"/>
      <c r="KXB111" s="1308"/>
      <c r="KXC111" s="1308"/>
      <c r="KXD111" s="1308"/>
      <c r="KXE111" s="1308"/>
      <c r="KXF111" s="1308"/>
      <c r="KXG111" s="1308"/>
      <c r="KXH111" s="1308"/>
      <c r="KXI111" s="1308"/>
      <c r="KXJ111" s="1308"/>
      <c r="KXK111" s="1308"/>
      <c r="KXL111" s="1308"/>
      <c r="KXM111" s="1308"/>
      <c r="KXN111" s="1308"/>
      <c r="KXO111" s="1308"/>
      <c r="KXP111" s="1308"/>
      <c r="KXQ111" s="1308"/>
      <c r="KXR111" s="1308"/>
      <c r="KXS111" s="1308"/>
      <c r="KXT111" s="1308"/>
      <c r="KXU111" s="1308"/>
      <c r="KXV111" s="1308"/>
      <c r="KXW111" s="1308"/>
      <c r="KXX111" s="1308"/>
      <c r="KXY111" s="1308"/>
      <c r="KXZ111" s="1308"/>
      <c r="KYA111" s="1308"/>
      <c r="KYB111" s="1308"/>
      <c r="KYC111" s="1308"/>
      <c r="KYD111" s="1308"/>
      <c r="KYE111" s="1308"/>
      <c r="KYF111" s="1308"/>
      <c r="KYG111" s="1308"/>
      <c r="KYH111" s="1308"/>
      <c r="KYI111" s="1308"/>
      <c r="KYJ111" s="1308"/>
      <c r="KYK111" s="1308"/>
      <c r="KYL111" s="1308"/>
      <c r="KYM111" s="1308"/>
      <c r="KYN111" s="1308"/>
      <c r="KYO111" s="1308"/>
      <c r="KYP111" s="1308"/>
      <c r="KYQ111" s="1308"/>
      <c r="KYR111" s="1308"/>
      <c r="KYS111" s="1308"/>
      <c r="KYT111" s="1308"/>
      <c r="KYU111" s="1308"/>
      <c r="KYV111" s="1308"/>
      <c r="KYW111" s="1308"/>
      <c r="KYX111" s="1308"/>
      <c r="KYY111" s="1308"/>
      <c r="KYZ111" s="1308"/>
      <c r="KZA111" s="1308"/>
      <c r="KZB111" s="1308"/>
      <c r="KZC111" s="1308"/>
      <c r="KZD111" s="1308"/>
      <c r="KZE111" s="1308"/>
      <c r="KZF111" s="1308"/>
      <c r="KZG111" s="1308"/>
      <c r="KZH111" s="1308"/>
      <c r="KZI111" s="1308"/>
      <c r="KZJ111" s="1308"/>
      <c r="KZK111" s="1308"/>
      <c r="KZL111" s="1308"/>
      <c r="KZM111" s="1308"/>
      <c r="KZN111" s="1308"/>
      <c r="KZO111" s="1308"/>
      <c r="KZP111" s="1308"/>
      <c r="KZQ111" s="1308"/>
      <c r="KZR111" s="1308"/>
      <c r="KZS111" s="1308"/>
      <c r="KZT111" s="1308"/>
      <c r="KZU111" s="1308"/>
      <c r="KZV111" s="1308"/>
      <c r="KZW111" s="1308"/>
      <c r="KZX111" s="1308"/>
      <c r="KZY111" s="1308"/>
      <c r="KZZ111" s="1308"/>
      <c r="LAA111" s="1308"/>
      <c r="LAB111" s="1308"/>
      <c r="LAC111" s="1308"/>
      <c r="LAD111" s="1308"/>
      <c r="LAE111" s="1308"/>
      <c r="LAF111" s="1308"/>
      <c r="LAG111" s="1308"/>
      <c r="LAH111" s="1308"/>
      <c r="LAI111" s="1308"/>
      <c r="LAJ111" s="1308"/>
      <c r="LAK111" s="1308"/>
      <c r="LAL111" s="1308"/>
      <c r="LAM111" s="1308"/>
      <c r="LAN111" s="1308"/>
      <c r="LAO111" s="1308"/>
      <c r="LAP111" s="1308"/>
      <c r="LAQ111" s="1308"/>
      <c r="LAR111" s="1308"/>
      <c r="LAS111" s="1308"/>
      <c r="LAT111" s="1308"/>
      <c r="LAU111" s="1308"/>
      <c r="LAV111" s="1308"/>
      <c r="LAW111" s="1308"/>
      <c r="LAX111" s="1308"/>
      <c r="LAY111" s="1308"/>
      <c r="LAZ111" s="1308"/>
      <c r="LBA111" s="1308"/>
      <c r="LBB111" s="1308"/>
      <c r="LBC111" s="1308"/>
      <c r="LBD111" s="1308"/>
      <c r="LBE111" s="1308"/>
      <c r="LBF111" s="1308"/>
      <c r="LBG111" s="1308"/>
      <c r="LBH111" s="1308"/>
      <c r="LBI111" s="1308"/>
      <c r="LBJ111" s="1308"/>
      <c r="LBK111" s="1308"/>
      <c r="LBL111" s="1308"/>
      <c r="LBM111" s="1308"/>
      <c r="LBN111" s="1308"/>
      <c r="LBO111" s="1308"/>
      <c r="LBP111" s="1308"/>
      <c r="LBQ111" s="1308"/>
      <c r="LBR111" s="1308"/>
      <c r="LBS111" s="1308"/>
      <c r="LBT111" s="1308"/>
      <c r="LBU111" s="1308"/>
      <c r="LBV111" s="1308"/>
      <c r="LBW111" s="1308"/>
      <c r="LBX111" s="1308"/>
      <c r="LBY111" s="1308"/>
      <c r="LBZ111" s="1308"/>
      <c r="LCA111" s="1308"/>
      <c r="LCB111" s="1308"/>
      <c r="LCC111" s="1308"/>
      <c r="LCD111" s="1308"/>
      <c r="LCE111" s="1308"/>
      <c r="LCF111" s="1308"/>
      <c r="LCG111" s="1308"/>
      <c r="LCH111" s="1308"/>
      <c r="LCI111" s="1308"/>
      <c r="LCJ111" s="1308"/>
      <c r="LCK111" s="1308"/>
      <c r="LCL111" s="1308"/>
      <c r="LCM111" s="1308"/>
      <c r="LCN111" s="1308"/>
      <c r="LCO111" s="1308"/>
      <c r="LCP111" s="1308"/>
      <c r="LCQ111" s="1308"/>
      <c r="LCR111" s="1308"/>
      <c r="LCS111" s="1308"/>
      <c r="LCT111" s="1308"/>
      <c r="LCU111" s="1308"/>
      <c r="LCV111" s="1308"/>
      <c r="LCW111" s="1308"/>
      <c r="LCX111" s="1308"/>
      <c r="LCY111" s="1308"/>
      <c r="LCZ111" s="1308"/>
      <c r="LDA111" s="1308"/>
      <c r="LDB111" s="1308"/>
      <c r="LDC111" s="1308"/>
      <c r="LDD111" s="1308"/>
      <c r="LDE111" s="1308"/>
      <c r="LDF111" s="1308"/>
      <c r="LDG111" s="1308"/>
      <c r="LDH111" s="1308"/>
      <c r="LDI111" s="1308"/>
      <c r="LDJ111" s="1308"/>
      <c r="LDK111" s="1308"/>
      <c r="LDL111" s="1308"/>
      <c r="LDM111" s="1308"/>
      <c r="LDN111" s="1308"/>
      <c r="LDO111" s="1308"/>
      <c r="LDP111" s="1308"/>
      <c r="LDQ111" s="1308"/>
      <c r="LDR111" s="1308"/>
      <c r="LDS111" s="1308"/>
      <c r="LDT111" s="1308"/>
      <c r="LDU111" s="1308"/>
      <c r="LDV111" s="1308"/>
      <c r="LDW111" s="1308"/>
      <c r="LDX111" s="1308"/>
      <c r="LDY111" s="1308"/>
      <c r="LDZ111" s="1308"/>
      <c r="LEA111" s="1308"/>
      <c r="LEB111" s="1308"/>
      <c r="LEC111" s="1308"/>
      <c r="LED111" s="1308"/>
      <c r="LEE111" s="1308"/>
      <c r="LEF111" s="1308"/>
      <c r="LEG111" s="1308"/>
      <c r="LEH111" s="1308"/>
      <c r="LEI111" s="1308"/>
      <c r="LEJ111" s="1308"/>
      <c r="LEK111" s="1308"/>
      <c r="LEL111" s="1308"/>
      <c r="LEM111" s="1308"/>
      <c r="LEN111" s="1308"/>
      <c r="LEO111" s="1308"/>
      <c r="LEP111" s="1308"/>
      <c r="LEQ111" s="1308"/>
      <c r="LER111" s="1308"/>
      <c r="LES111" s="1308"/>
      <c r="LET111" s="1308"/>
      <c r="LEU111" s="1308"/>
      <c r="LEV111" s="1308"/>
      <c r="LEW111" s="1308"/>
      <c r="LEX111" s="1308"/>
      <c r="LEY111" s="1308"/>
      <c r="LEZ111" s="1308"/>
      <c r="LFA111" s="1308"/>
      <c r="LFB111" s="1308"/>
      <c r="LFC111" s="1308"/>
      <c r="LFD111" s="1308"/>
      <c r="LFE111" s="1308"/>
      <c r="LFF111" s="1308"/>
      <c r="LFG111" s="1308"/>
      <c r="LFH111" s="1308"/>
      <c r="LFI111" s="1308"/>
      <c r="LFJ111" s="1308"/>
      <c r="LFK111" s="1308"/>
      <c r="LFL111" s="1308"/>
      <c r="LFM111" s="1308"/>
      <c r="LFN111" s="1308"/>
      <c r="LFO111" s="1308"/>
      <c r="LFP111" s="1308"/>
      <c r="LFQ111" s="1308"/>
      <c r="LFR111" s="1308"/>
      <c r="LFS111" s="1308"/>
      <c r="LFT111" s="1308"/>
      <c r="LFU111" s="1308"/>
      <c r="LFV111" s="1308"/>
      <c r="LFW111" s="1308"/>
      <c r="LFX111" s="1308"/>
      <c r="LFY111" s="1308"/>
      <c r="LFZ111" s="1308"/>
      <c r="LGA111" s="1308"/>
      <c r="LGB111" s="1308"/>
      <c r="LGC111" s="1308"/>
      <c r="LGD111" s="1308"/>
      <c r="LGE111" s="1308"/>
      <c r="LGF111" s="1308"/>
      <c r="LGG111" s="1308"/>
      <c r="LGH111" s="1308"/>
      <c r="LGI111" s="1308"/>
      <c r="LGJ111" s="1308"/>
      <c r="LGK111" s="1308"/>
      <c r="LGL111" s="1308"/>
      <c r="LGM111" s="1308"/>
      <c r="LGN111" s="1308"/>
      <c r="LGO111" s="1308"/>
      <c r="LGP111" s="1308"/>
      <c r="LGQ111" s="1308"/>
      <c r="LGR111" s="1308"/>
      <c r="LGS111" s="1308"/>
      <c r="LGT111" s="1308"/>
      <c r="LGU111" s="1308"/>
      <c r="LGV111" s="1308"/>
      <c r="LGW111" s="1308"/>
      <c r="LGX111" s="1308"/>
      <c r="LGY111" s="1308"/>
      <c r="LGZ111" s="1308"/>
      <c r="LHA111" s="1308"/>
      <c r="LHB111" s="1308"/>
      <c r="LHC111" s="1308"/>
      <c r="LHD111" s="1308"/>
      <c r="LHE111" s="1308"/>
      <c r="LHF111" s="1308"/>
      <c r="LHG111" s="1308"/>
      <c r="LHH111" s="1308"/>
      <c r="LHI111" s="1308"/>
      <c r="LHJ111" s="1308"/>
      <c r="LHK111" s="1308"/>
      <c r="LHL111" s="1308"/>
      <c r="LHM111" s="1308"/>
      <c r="LHN111" s="1308"/>
      <c r="LHO111" s="1308"/>
      <c r="LHP111" s="1308"/>
      <c r="LHQ111" s="1308"/>
      <c r="LHR111" s="1308"/>
      <c r="LHS111" s="1308"/>
      <c r="LHT111" s="1308"/>
      <c r="LHU111" s="1308"/>
      <c r="LHV111" s="1308"/>
      <c r="LHW111" s="1308"/>
      <c r="LHX111" s="1308"/>
      <c r="LHY111" s="1308"/>
      <c r="LHZ111" s="1308"/>
      <c r="LIA111" s="1308"/>
      <c r="LIB111" s="1308"/>
      <c r="LIC111" s="1308"/>
      <c r="LID111" s="1308"/>
      <c r="LIE111" s="1308"/>
      <c r="LIF111" s="1308"/>
      <c r="LIG111" s="1308"/>
      <c r="LIH111" s="1308"/>
      <c r="LII111" s="1308"/>
      <c r="LIJ111" s="1308"/>
      <c r="LIK111" s="1308"/>
      <c r="LIL111" s="1308"/>
      <c r="LIM111" s="1308"/>
      <c r="LIN111" s="1308"/>
      <c r="LIO111" s="1308"/>
      <c r="LIP111" s="1308"/>
      <c r="LIQ111" s="1308"/>
      <c r="LIR111" s="1308"/>
      <c r="LIS111" s="1308"/>
      <c r="LIT111" s="1308"/>
      <c r="LIU111" s="1308"/>
      <c r="LIV111" s="1308"/>
      <c r="LIW111" s="1308"/>
      <c r="LIX111" s="1308"/>
      <c r="LIY111" s="1308"/>
      <c r="LIZ111" s="1308"/>
      <c r="LJA111" s="1308"/>
      <c r="LJB111" s="1308"/>
      <c r="LJC111" s="1308"/>
      <c r="LJD111" s="1308"/>
      <c r="LJE111" s="1308"/>
      <c r="LJF111" s="1308"/>
      <c r="LJG111" s="1308"/>
      <c r="LJH111" s="1308"/>
      <c r="LJI111" s="1308"/>
      <c r="LJJ111" s="1308"/>
      <c r="LJK111" s="1308"/>
      <c r="LJL111" s="1308"/>
      <c r="LJM111" s="1308"/>
      <c r="LJN111" s="1308"/>
      <c r="LJO111" s="1308"/>
      <c r="LJP111" s="1308"/>
      <c r="LJQ111" s="1308"/>
      <c r="LJR111" s="1308"/>
      <c r="LJS111" s="1308"/>
      <c r="LJT111" s="1308"/>
      <c r="LJU111" s="1308"/>
      <c r="LJV111" s="1308"/>
      <c r="LJW111" s="1308"/>
      <c r="LJX111" s="1308"/>
      <c r="LJY111" s="1308"/>
      <c r="LJZ111" s="1308"/>
      <c r="LKA111" s="1308"/>
      <c r="LKB111" s="1308"/>
      <c r="LKC111" s="1308"/>
      <c r="LKD111" s="1308"/>
      <c r="LKE111" s="1308"/>
      <c r="LKF111" s="1308"/>
      <c r="LKG111" s="1308"/>
      <c r="LKH111" s="1308"/>
      <c r="LKI111" s="1308"/>
      <c r="LKJ111" s="1308"/>
      <c r="LKK111" s="1308"/>
      <c r="LKL111" s="1308"/>
      <c r="LKM111" s="1308"/>
      <c r="LKN111" s="1308"/>
      <c r="LKO111" s="1308"/>
      <c r="LKP111" s="1308"/>
      <c r="LKQ111" s="1308"/>
      <c r="LKR111" s="1308"/>
      <c r="LKS111" s="1308"/>
      <c r="LKT111" s="1308"/>
      <c r="LKU111" s="1308"/>
      <c r="LKV111" s="1308"/>
      <c r="LKW111" s="1308"/>
      <c r="LKX111" s="1308"/>
      <c r="LKY111" s="1308"/>
      <c r="LKZ111" s="1308"/>
      <c r="LLA111" s="1308"/>
      <c r="LLB111" s="1308"/>
      <c r="LLC111" s="1308"/>
      <c r="LLD111" s="1308"/>
      <c r="LLE111" s="1308"/>
      <c r="LLF111" s="1308"/>
      <c r="LLG111" s="1308"/>
      <c r="LLH111" s="1308"/>
      <c r="LLI111" s="1308"/>
      <c r="LLJ111" s="1308"/>
      <c r="LLK111" s="1308"/>
      <c r="LLL111" s="1308"/>
      <c r="LLM111" s="1308"/>
      <c r="LLN111" s="1308"/>
      <c r="LLO111" s="1308"/>
      <c r="LLP111" s="1308"/>
      <c r="LLQ111" s="1308"/>
      <c r="LLR111" s="1308"/>
      <c r="LLS111" s="1308"/>
      <c r="LLT111" s="1308"/>
      <c r="LLU111" s="1308"/>
      <c r="LLV111" s="1308"/>
      <c r="LLW111" s="1308"/>
      <c r="LLX111" s="1308"/>
      <c r="LLY111" s="1308"/>
      <c r="LLZ111" s="1308"/>
      <c r="LMA111" s="1308"/>
      <c r="LMB111" s="1308"/>
      <c r="LMC111" s="1308"/>
      <c r="LMD111" s="1308"/>
      <c r="LME111" s="1308"/>
      <c r="LMF111" s="1308"/>
      <c r="LMG111" s="1308"/>
      <c r="LMH111" s="1308"/>
      <c r="LMI111" s="1308"/>
      <c r="LMJ111" s="1308"/>
      <c r="LMK111" s="1308"/>
      <c r="LML111" s="1308"/>
      <c r="LMM111" s="1308"/>
      <c r="LMN111" s="1308"/>
      <c r="LMO111" s="1308"/>
      <c r="LMP111" s="1308"/>
      <c r="LMQ111" s="1308"/>
      <c r="LMR111" s="1308"/>
      <c r="LMS111" s="1308"/>
      <c r="LMT111" s="1308"/>
      <c r="LMU111" s="1308"/>
      <c r="LMV111" s="1308"/>
      <c r="LMW111" s="1308"/>
      <c r="LMX111" s="1308"/>
      <c r="LMY111" s="1308"/>
      <c r="LMZ111" s="1308"/>
      <c r="LNA111" s="1308"/>
      <c r="LNB111" s="1308"/>
      <c r="LNC111" s="1308"/>
      <c r="LND111" s="1308"/>
      <c r="LNE111" s="1308"/>
      <c r="LNF111" s="1308"/>
      <c r="LNG111" s="1308"/>
      <c r="LNH111" s="1308"/>
      <c r="LNI111" s="1308"/>
      <c r="LNJ111" s="1308"/>
      <c r="LNK111" s="1308"/>
      <c r="LNL111" s="1308"/>
      <c r="LNM111" s="1308"/>
      <c r="LNN111" s="1308"/>
      <c r="LNO111" s="1308"/>
      <c r="LNP111" s="1308"/>
      <c r="LNQ111" s="1308"/>
      <c r="LNR111" s="1308"/>
      <c r="LNS111" s="1308"/>
      <c r="LNT111" s="1308"/>
      <c r="LNU111" s="1308"/>
      <c r="LNV111" s="1308"/>
      <c r="LNW111" s="1308"/>
      <c r="LNX111" s="1308"/>
      <c r="LNY111" s="1308"/>
      <c r="LNZ111" s="1308"/>
      <c r="LOA111" s="1308"/>
      <c r="LOB111" s="1308"/>
      <c r="LOC111" s="1308"/>
      <c r="LOD111" s="1308"/>
      <c r="LOE111" s="1308"/>
      <c r="LOF111" s="1308"/>
      <c r="LOG111" s="1308"/>
      <c r="LOH111" s="1308"/>
      <c r="LOI111" s="1308"/>
      <c r="LOJ111" s="1308"/>
      <c r="LOK111" s="1308"/>
      <c r="LOL111" s="1308"/>
      <c r="LOM111" s="1308"/>
      <c r="LON111" s="1308"/>
      <c r="LOO111" s="1308"/>
      <c r="LOP111" s="1308"/>
      <c r="LOQ111" s="1308"/>
      <c r="LOR111" s="1308"/>
      <c r="LOS111" s="1308"/>
      <c r="LOT111" s="1308"/>
      <c r="LOU111" s="1308"/>
      <c r="LOV111" s="1308"/>
      <c r="LOW111" s="1308"/>
      <c r="LOX111" s="1308"/>
      <c r="LOY111" s="1308"/>
      <c r="LOZ111" s="1308"/>
      <c r="LPA111" s="1308"/>
      <c r="LPB111" s="1308"/>
      <c r="LPC111" s="1308"/>
      <c r="LPD111" s="1308"/>
      <c r="LPE111" s="1308"/>
      <c r="LPF111" s="1308"/>
      <c r="LPG111" s="1308"/>
      <c r="LPH111" s="1308"/>
      <c r="LPI111" s="1308"/>
      <c r="LPJ111" s="1308"/>
      <c r="LPK111" s="1308"/>
      <c r="LPL111" s="1308"/>
      <c r="LPM111" s="1308"/>
      <c r="LPN111" s="1308"/>
      <c r="LPO111" s="1308"/>
      <c r="LPP111" s="1308"/>
      <c r="LPQ111" s="1308"/>
      <c r="LPR111" s="1308"/>
      <c r="LPS111" s="1308"/>
      <c r="LPT111" s="1308"/>
      <c r="LPU111" s="1308"/>
      <c r="LPV111" s="1308"/>
      <c r="LPW111" s="1308"/>
      <c r="LPX111" s="1308"/>
      <c r="LPY111" s="1308"/>
      <c r="LPZ111" s="1308"/>
      <c r="LQA111" s="1308"/>
      <c r="LQB111" s="1308"/>
      <c r="LQC111" s="1308"/>
      <c r="LQD111" s="1308"/>
      <c r="LQE111" s="1308"/>
      <c r="LQF111" s="1308"/>
      <c r="LQG111" s="1308"/>
      <c r="LQH111" s="1308"/>
      <c r="LQI111" s="1308"/>
      <c r="LQJ111" s="1308"/>
      <c r="LQK111" s="1308"/>
      <c r="LQL111" s="1308"/>
      <c r="LQM111" s="1308"/>
      <c r="LQN111" s="1308"/>
      <c r="LQO111" s="1308"/>
      <c r="LQP111" s="1308"/>
      <c r="LQQ111" s="1308"/>
      <c r="LQR111" s="1308"/>
      <c r="LQS111" s="1308"/>
      <c r="LQT111" s="1308"/>
      <c r="LQU111" s="1308"/>
      <c r="LQV111" s="1308"/>
      <c r="LQW111" s="1308"/>
      <c r="LQX111" s="1308"/>
      <c r="LQY111" s="1308"/>
      <c r="LQZ111" s="1308"/>
      <c r="LRA111" s="1308"/>
      <c r="LRB111" s="1308"/>
      <c r="LRC111" s="1308"/>
      <c r="LRD111" s="1308"/>
      <c r="LRE111" s="1308"/>
      <c r="LRF111" s="1308"/>
      <c r="LRG111" s="1308"/>
      <c r="LRH111" s="1308"/>
      <c r="LRI111" s="1308"/>
      <c r="LRJ111" s="1308"/>
      <c r="LRK111" s="1308"/>
      <c r="LRL111" s="1308"/>
      <c r="LRM111" s="1308"/>
      <c r="LRN111" s="1308"/>
      <c r="LRO111" s="1308"/>
      <c r="LRP111" s="1308"/>
      <c r="LRQ111" s="1308"/>
      <c r="LRR111" s="1308"/>
      <c r="LRS111" s="1308"/>
      <c r="LRT111" s="1308"/>
      <c r="LRU111" s="1308"/>
      <c r="LRV111" s="1308"/>
      <c r="LRW111" s="1308"/>
      <c r="LRX111" s="1308"/>
      <c r="LRY111" s="1308"/>
      <c r="LRZ111" s="1308"/>
      <c r="LSA111" s="1308"/>
      <c r="LSB111" s="1308"/>
      <c r="LSC111" s="1308"/>
      <c r="LSD111" s="1308"/>
      <c r="LSE111" s="1308"/>
      <c r="LSF111" s="1308"/>
      <c r="LSG111" s="1308"/>
      <c r="LSH111" s="1308"/>
      <c r="LSI111" s="1308"/>
      <c r="LSJ111" s="1308"/>
      <c r="LSK111" s="1308"/>
      <c r="LSL111" s="1308"/>
      <c r="LSM111" s="1308"/>
      <c r="LSN111" s="1308"/>
      <c r="LSO111" s="1308"/>
      <c r="LSP111" s="1308"/>
      <c r="LSQ111" s="1308"/>
      <c r="LSR111" s="1308"/>
      <c r="LSS111" s="1308"/>
      <c r="LST111" s="1308"/>
      <c r="LSU111" s="1308"/>
      <c r="LSV111" s="1308"/>
      <c r="LSW111" s="1308"/>
      <c r="LSX111" s="1308"/>
      <c r="LSY111" s="1308"/>
      <c r="LSZ111" s="1308"/>
      <c r="LTA111" s="1308"/>
      <c r="LTB111" s="1308"/>
      <c r="LTC111" s="1308"/>
      <c r="LTD111" s="1308"/>
      <c r="LTE111" s="1308"/>
      <c r="LTF111" s="1308"/>
      <c r="LTG111" s="1308"/>
      <c r="LTH111" s="1308"/>
      <c r="LTI111" s="1308"/>
      <c r="LTJ111" s="1308"/>
      <c r="LTK111" s="1308"/>
      <c r="LTL111" s="1308"/>
      <c r="LTM111" s="1308"/>
      <c r="LTN111" s="1308"/>
      <c r="LTO111" s="1308"/>
      <c r="LTP111" s="1308"/>
      <c r="LTQ111" s="1308"/>
      <c r="LTR111" s="1308"/>
      <c r="LTS111" s="1308"/>
      <c r="LTT111" s="1308"/>
      <c r="LTU111" s="1308"/>
      <c r="LTV111" s="1308"/>
      <c r="LTW111" s="1308"/>
      <c r="LTX111" s="1308"/>
      <c r="LTY111" s="1308"/>
      <c r="LTZ111" s="1308"/>
      <c r="LUA111" s="1308"/>
      <c r="LUB111" s="1308"/>
      <c r="LUC111" s="1308"/>
      <c r="LUD111" s="1308"/>
      <c r="LUE111" s="1308"/>
      <c r="LUF111" s="1308"/>
      <c r="LUG111" s="1308"/>
      <c r="LUH111" s="1308"/>
      <c r="LUI111" s="1308"/>
      <c r="LUJ111" s="1308"/>
      <c r="LUK111" s="1308"/>
      <c r="LUL111" s="1308"/>
      <c r="LUM111" s="1308"/>
      <c r="LUN111" s="1308"/>
      <c r="LUO111" s="1308"/>
      <c r="LUP111" s="1308"/>
      <c r="LUQ111" s="1308"/>
      <c r="LUR111" s="1308"/>
      <c r="LUS111" s="1308"/>
      <c r="LUT111" s="1308"/>
      <c r="LUU111" s="1308"/>
      <c r="LUV111" s="1308"/>
      <c r="LUW111" s="1308"/>
      <c r="LUX111" s="1308"/>
      <c r="LUY111" s="1308"/>
      <c r="LUZ111" s="1308"/>
      <c r="LVA111" s="1308"/>
      <c r="LVB111" s="1308"/>
      <c r="LVC111" s="1308"/>
      <c r="LVD111" s="1308"/>
      <c r="LVE111" s="1308"/>
      <c r="LVF111" s="1308"/>
      <c r="LVG111" s="1308"/>
      <c r="LVH111" s="1308"/>
      <c r="LVI111" s="1308"/>
      <c r="LVJ111" s="1308"/>
      <c r="LVK111" s="1308"/>
      <c r="LVL111" s="1308"/>
      <c r="LVM111" s="1308"/>
      <c r="LVN111" s="1308"/>
      <c r="LVO111" s="1308"/>
      <c r="LVP111" s="1308"/>
      <c r="LVQ111" s="1308"/>
      <c r="LVR111" s="1308"/>
      <c r="LVS111" s="1308"/>
      <c r="LVT111" s="1308"/>
      <c r="LVU111" s="1308"/>
      <c r="LVV111" s="1308"/>
      <c r="LVW111" s="1308"/>
      <c r="LVX111" s="1308"/>
      <c r="LVY111" s="1308"/>
      <c r="LVZ111" s="1308"/>
      <c r="LWA111" s="1308"/>
      <c r="LWB111" s="1308"/>
      <c r="LWC111" s="1308"/>
      <c r="LWD111" s="1308"/>
      <c r="LWE111" s="1308"/>
      <c r="LWF111" s="1308"/>
      <c r="LWG111" s="1308"/>
      <c r="LWH111" s="1308"/>
      <c r="LWI111" s="1308"/>
      <c r="LWJ111" s="1308"/>
      <c r="LWK111" s="1308"/>
      <c r="LWL111" s="1308"/>
      <c r="LWM111" s="1308"/>
      <c r="LWN111" s="1308"/>
      <c r="LWO111" s="1308"/>
      <c r="LWP111" s="1308"/>
      <c r="LWQ111" s="1308"/>
      <c r="LWR111" s="1308"/>
      <c r="LWS111" s="1308"/>
      <c r="LWT111" s="1308"/>
      <c r="LWU111" s="1308"/>
      <c r="LWV111" s="1308"/>
      <c r="LWW111" s="1308"/>
      <c r="LWX111" s="1308"/>
      <c r="LWY111" s="1308"/>
      <c r="LWZ111" s="1308"/>
      <c r="LXA111" s="1308"/>
      <c r="LXB111" s="1308"/>
      <c r="LXC111" s="1308"/>
      <c r="LXD111" s="1308"/>
      <c r="LXE111" s="1308"/>
      <c r="LXF111" s="1308"/>
      <c r="LXG111" s="1308"/>
      <c r="LXH111" s="1308"/>
      <c r="LXI111" s="1308"/>
      <c r="LXJ111" s="1308"/>
      <c r="LXK111" s="1308"/>
      <c r="LXL111" s="1308"/>
      <c r="LXM111" s="1308"/>
      <c r="LXN111" s="1308"/>
      <c r="LXO111" s="1308"/>
      <c r="LXP111" s="1308"/>
      <c r="LXQ111" s="1308"/>
      <c r="LXR111" s="1308"/>
      <c r="LXS111" s="1308"/>
      <c r="LXT111" s="1308"/>
      <c r="LXU111" s="1308"/>
      <c r="LXV111" s="1308"/>
      <c r="LXW111" s="1308"/>
      <c r="LXX111" s="1308"/>
      <c r="LXY111" s="1308"/>
      <c r="LXZ111" s="1308"/>
      <c r="LYA111" s="1308"/>
      <c r="LYB111" s="1308"/>
      <c r="LYC111" s="1308"/>
      <c r="LYD111" s="1308"/>
      <c r="LYE111" s="1308"/>
      <c r="LYF111" s="1308"/>
      <c r="LYG111" s="1308"/>
      <c r="LYH111" s="1308"/>
      <c r="LYI111" s="1308"/>
      <c r="LYJ111" s="1308"/>
      <c r="LYK111" s="1308"/>
      <c r="LYL111" s="1308"/>
      <c r="LYM111" s="1308"/>
      <c r="LYN111" s="1308"/>
      <c r="LYO111" s="1308"/>
      <c r="LYP111" s="1308"/>
      <c r="LYQ111" s="1308"/>
      <c r="LYR111" s="1308"/>
      <c r="LYS111" s="1308"/>
      <c r="LYT111" s="1308"/>
      <c r="LYU111" s="1308"/>
      <c r="LYV111" s="1308"/>
      <c r="LYW111" s="1308"/>
      <c r="LYX111" s="1308"/>
      <c r="LYY111" s="1308"/>
      <c r="LYZ111" s="1308"/>
      <c r="LZA111" s="1308"/>
      <c r="LZB111" s="1308"/>
      <c r="LZC111" s="1308"/>
      <c r="LZD111" s="1308"/>
      <c r="LZE111" s="1308"/>
      <c r="LZF111" s="1308"/>
      <c r="LZG111" s="1308"/>
      <c r="LZH111" s="1308"/>
      <c r="LZI111" s="1308"/>
      <c r="LZJ111" s="1308"/>
      <c r="LZK111" s="1308"/>
      <c r="LZL111" s="1308"/>
      <c r="LZM111" s="1308"/>
      <c r="LZN111" s="1308"/>
      <c r="LZO111" s="1308"/>
      <c r="LZP111" s="1308"/>
      <c r="LZQ111" s="1308"/>
      <c r="LZR111" s="1308"/>
      <c r="LZS111" s="1308"/>
      <c r="LZT111" s="1308"/>
      <c r="LZU111" s="1308"/>
      <c r="LZV111" s="1308"/>
      <c r="LZW111" s="1308"/>
      <c r="LZX111" s="1308"/>
      <c r="LZY111" s="1308"/>
      <c r="LZZ111" s="1308"/>
      <c r="MAA111" s="1308"/>
      <c r="MAB111" s="1308"/>
      <c r="MAC111" s="1308"/>
      <c r="MAD111" s="1308"/>
      <c r="MAE111" s="1308"/>
      <c r="MAF111" s="1308"/>
      <c r="MAG111" s="1308"/>
      <c r="MAH111" s="1308"/>
      <c r="MAI111" s="1308"/>
      <c r="MAJ111" s="1308"/>
      <c r="MAK111" s="1308"/>
      <c r="MAL111" s="1308"/>
      <c r="MAM111" s="1308"/>
      <c r="MAN111" s="1308"/>
      <c r="MAO111" s="1308"/>
      <c r="MAP111" s="1308"/>
      <c r="MAQ111" s="1308"/>
      <c r="MAR111" s="1308"/>
      <c r="MAS111" s="1308"/>
      <c r="MAT111" s="1308"/>
      <c r="MAU111" s="1308"/>
      <c r="MAV111" s="1308"/>
      <c r="MAW111" s="1308"/>
      <c r="MAX111" s="1308"/>
      <c r="MAY111" s="1308"/>
      <c r="MAZ111" s="1308"/>
      <c r="MBA111" s="1308"/>
      <c r="MBB111" s="1308"/>
      <c r="MBC111" s="1308"/>
      <c r="MBD111" s="1308"/>
      <c r="MBE111" s="1308"/>
      <c r="MBF111" s="1308"/>
      <c r="MBG111" s="1308"/>
      <c r="MBH111" s="1308"/>
      <c r="MBI111" s="1308"/>
      <c r="MBJ111" s="1308"/>
      <c r="MBK111" s="1308"/>
      <c r="MBL111" s="1308"/>
      <c r="MBM111" s="1308"/>
      <c r="MBN111" s="1308"/>
      <c r="MBO111" s="1308"/>
      <c r="MBP111" s="1308"/>
      <c r="MBQ111" s="1308"/>
      <c r="MBR111" s="1308"/>
      <c r="MBS111" s="1308"/>
      <c r="MBT111" s="1308"/>
      <c r="MBU111" s="1308"/>
      <c r="MBV111" s="1308"/>
      <c r="MBW111" s="1308"/>
      <c r="MBX111" s="1308"/>
      <c r="MBY111" s="1308"/>
      <c r="MBZ111" s="1308"/>
      <c r="MCA111" s="1308"/>
      <c r="MCB111" s="1308"/>
      <c r="MCC111" s="1308"/>
      <c r="MCD111" s="1308"/>
      <c r="MCE111" s="1308"/>
      <c r="MCF111" s="1308"/>
      <c r="MCG111" s="1308"/>
      <c r="MCH111" s="1308"/>
      <c r="MCI111" s="1308"/>
      <c r="MCJ111" s="1308"/>
      <c r="MCK111" s="1308"/>
      <c r="MCL111" s="1308"/>
      <c r="MCM111" s="1308"/>
      <c r="MCN111" s="1308"/>
      <c r="MCO111" s="1308"/>
      <c r="MCP111" s="1308"/>
      <c r="MCQ111" s="1308"/>
      <c r="MCR111" s="1308"/>
      <c r="MCS111" s="1308"/>
      <c r="MCT111" s="1308"/>
      <c r="MCU111" s="1308"/>
      <c r="MCV111" s="1308"/>
      <c r="MCW111" s="1308"/>
      <c r="MCX111" s="1308"/>
      <c r="MCY111" s="1308"/>
      <c r="MCZ111" s="1308"/>
      <c r="MDA111" s="1308"/>
      <c r="MDB111" s="1308"/>
      <c r="MDC111" s="1308"/>
      <c r="MDD111" s="1308"/>
      <c r="MDE111" s="1308"/>
      <c r="MDF111" s="1308"/>
      <c r="MDG111" s="1308"/>
      <c r="MDH111" s="1308"/>
      <c r="MDI111" s="1308"/>
      <c r="MDJ111" s="1308"/>
      <c r="MDK111" s="1308"/>
      <c r="MDL111" s="1308"/>
      <c r="MDM111" s="1308"/>
      <c r="MDN111" s="1308"/>
      <c r="MDO111" s="1308"/>
      <c r="MDP111" s="1308"/>
      <c r="MDQ111" s="1308"/>
      <c r="MDR111" s="1308"/>
      <c r="MDS111" s="1308"/>
      <c r="MDT111" s="1308"/>
      <c r="MDU111" s="1308"/>
      <c r="MDV111" s="1308"/>
      <c r="MDW111" s="1308"/>
      <c r="MDX111" s="1308"/>
      <c r="MDY111" s="1308"/>
      <c r="MDZ111" s="1308"/>
      <c r="MEA111" s="1308"/>
      <c r="MEB111" s="1308"/>
      <c r="MEC111" s="1308"/>
      <c r="MED111" s="1308"/>
      <c r="MEE111" s="1308"/>
      <c r="MEF111" s="1308"/>
      <c r="MEG111" s="1308"/>
      <c r="MEH111" s="1308"/>
      <c r="MEI111" s="1308"/>
      <c r="MEJ111" s="1308"/>
      <c r="MEK111" s="1308"/>
      <c r="MEL111" s="1308"/>
      <c r="MEM111" s="1308"/>
      <c r="MEN111" s="1308"/>
      <c r="MEO111" s="1308"/>
      <c r="MEP111" s="1308"/>
      <c r="MEQ111" s="1308"/>
      <c r="MER111" s="1308"/>
      <c r="MES111" s="1308"/>
      <c r="MET111" s="1308"/>
      <c r="MEU111" s="1308"/>
      <c r="MEV111" s="1308"/>
      <c r="MEW111" s="1308"/>
      <c r="MEX111" s="1308"/>
      <c r="MEY111" s="1308"/>
      <c r="MEZ111" s="1308"/>
      <c r="MFA111" s="1308"/>
      <c r="MFB111" s="1308"/>
      <c r="MFC111" s="1308"/>
      <c r="MFD111" s="1308"/>
      <c r="MFE111" s="1308"/>
      <c r="MFF111" s="1308"/>
      <c r="MFG111" s="1308"/>
      <c r="MFH111" s="1308"/>
      <c r="MFI111" s="1308"/>
      <c r="MFJ111" s="1308"/>
      <c r="MFK111" s="1308"/>
      <c r="MFL111" s="1308"/>
      <c r="MFM111" s="1308"/>
      <c r="MFN111" s="1308"/>
      <c r="MFO111" s="1308"/>
      <c r="MFP111" s="1308"/>
      <c r="MFQ111" s="1308"/>
      <c r="MFR111" s="1308"/>
      <c r="MFS111" s="1308"/>
      <c r="MFT111" s="1308"/>
      <c r="MFU111" s="1308"/>
      <c r="MFV111" s="1308"/>
      <c r="MFW111" s="1308"/>
      <c r="MFX111" s="1308"/>
      <c r="MFY111" s="1308"/>
      <c r="MFZ111" s="1308"/>
      <c r="MGA111" s="1308"/>
      <c r="MGB111" s="1308"/>
      <c r="MGC111" s="1308"/>
      <c r="MGD111" s="1308"/>
      <c r="MGE111" s="1308"/>
      <c r="MGF111" s="1308"/>
      <c r="MGG111" s="1308"/>
      <c r="MGH111" s="1308"/>
      <c r="MGI111" s="1308"/>
      <c r="MGJ111" s="1308"/>
      <c r="MGK111" s="1308"/>
      <c r="MGL111" s="1308"/>
      <c r="MGM111" s="1308"/>
      <c r="MGN111" s="1308"/>
      <c r="MGO111" s="1308"/>
      <c r="MGP111" s="1308"/>
      <c r="MGQ111" s="1308"/>
      <c r="MGR111" s="1308"/>
      <c r="MGS111" s="1308"/>
      <c r="MGT111" s="1308"/>
      <c r="MGU111" s="1308"/>
      <c r="MGV111" s="1308"/>
      <c r="MGW111" s="1308"/>
      <c r="MGX111" s="1308"/>
      <c r="MGY111" s="1308"/>
      <c r="MGZ111" s="1308"/>
      <c r="MHA111" s="1308"/>
      <c r="MHB111" s="1308"/>
      <c r="MHC111" s="1308"/>
      <c r="MHD111" s="1308"/>
      <c r="MHE111" s="1308"/>
      <c r="MHF111" s="1308"/>
      <c r="MHG111" s="1308"/>
      <c r="MHH111" s="1308"/>
      <c r="MHI111" s="1308"/>
      <c r="MHJ111" s="1308"/>
      <c r="MHK111" s="1308"/>
      <c r="MHL111" s="1308"/>
      <c r="MHM111" s="1308"/>
      <c r="MHN111" s="1308"/>
      <c r="MHO111" s="1308"/>
      <c r="MHP111" s="1308"/>
      <c r="MHQ111" s="1308"/>
      <c r="MHR111" s="1308"/>
      <c r="MHS111" s="1308"/>
      <c r="MHT111" s="1308"/>
      <c r="MHU111" s="1308"/>
      <c r="MHV111" s="1308"/>
      <c r="MHW111" s="1308"/>
      <c r="MHX111" s="1308"/>
      <c r="MHY111" s="1308"/>
      <c r="MHZ111" s="1308"/>
      <c r="MIA111" s="1308"/>
      <c r="MIB111" s="1308"/>
      <c r="MIC111" s="1308"/>
      <c r="MID111" s="1308"/>
      <c r="MIE111" s="1308"/>
      <c r="MIF111" s="1308"/>
      <c r="MIG111" s="1308"/>
      <c r="MIH111" s="1308"/>
      <c r="MII111" s="1308"/>
      <c r="MIJ111" s="1308"/>
      <c r="MIK111" s="1308"/>
      <c r="MIL111" s="1308"/>
      <c r="MIM111" s="1308"/>
      <c r="MIN111" s="1308"/>
      <c r="MIO111" s="1308"/>
      <c r="MIP111" s="1308"/>
      <c r="MIQ111" s="1308"/>
      <c r="MIR111" s="1308"/>
      <c r="MIS111" s="1308"/>
      <c r="MIT111" s="1308"/>
      <c r="MIU111" s="1308"/>
      <c r="MIV111" s="1308"/>
      <c r="MIW111" s="1308"/>
      <c r="MIX111" s="1308"/>
      <c r="MIY111" s="1308"/>
      <c r="MIZ111" s="1308"/>
      <c r="MJA111" s="1308"/>
      <c r="MJB111" s="1308"/>
      <c r="MJC111" s="1308"/>
      <c r="MJD111" s="1308"/>
      <c r="MJE111" s="1308"/>
      <c r="MJF111" s="1308"/>
      <c r="MJG111" s="1308"/>
      <c r="MJH111" s="1308"/>
      <c r="MJI111" s="1308"/>
      <c r="MJJ111" s="1308"/>
      <c r="MJK111" s="1308"/>
      <c r="MJL111" s="1308"/>
      <c r="MJM111" s="1308"/>
      <c r="MJN111" s="1308"/>
      <c r="MJO111" s="1308"/>
      <c r="MJP111" s="1308"/>
      <c r="MJQ111" s="1308"/>
      <c r="MJR111" s="1308"/>
      <c r="MJS111" s="1308"/>
      <c r="MJT111" s="1308"/>
      <c r="MJU111" s="1308"/>
      <c r="MJV111" s="1308"/>
      <c r="MJW111" s="1308"/>
      <c r="MJX111" s="1308"/>
      <c r="MJY111" s="1308"/>
      <c r="MJZ111" s="1308"/>
      <c r="MKA111" s="1308"/>
      <c r="MKB111" s="1308"/>
      <c r="MKC111" s="1308"/>
      <c r="MKD111" s="1308"/>
      <c r="MKE111" s="1308"/>
      <c r="MKF111" s="1308"/>
      <c r="MKG111" s="1308"/>
      <c r="MKH111" s="1308"/>
      <c r="MKI111" s="1308"/>
      <c r="MKJ111" s="1308"/>
      <c r="MKK111" s="1308"/>
      <c r="MKL111" s="1308"/>
      <c r="MKM111" s="1308"/>
      <c r="MKN111" s="1308"/>
      <c r="MKO111" s="1308"/>
      <c r="MKP111" s="1308"/>
      <c r="MKQ111" s="1308"/>
      <c r="MKR111" s="1308"/>
      <c r="MKS111" s="1308"/>
      <c r="MKT111" s="1308"/>
      <c r="MKU111" s="1308"/>
      <c r="MKV111" s="1308"/>
      <c r="MKW111" s="1308"/>
      <c r="MKX111" s="1308"/>
      <c r="MKY111" s="1308"/>
      <c r="MKZ111" s="1308"/>
      <c r="MLA111" s="1308"/>
      <c r="MLB111" s="1308"/>
      <c r="MLC111" s="1308"/>
      <c r="MLD111" s="1308"/>
      <c r="MLE111" s="1308"/>
      <c r="MLF111" s="1308"/>
      <c r="MLG111" s="1308"/>
      <c r="MLH111" s="1308"/>
      <c r="MLI111" s="1308"/>
      <c r="MLJ111" s="1308"/>
      <c r="MLK111" s="1308"/>
      <c r="MLL111" s="1308"/>
      <c r="MLM111" s="1308"/>
      <c r="MLN111" s="1308"/>
      <c r="MLO111" s="1308"/>
      <c r="MLP111" s="1308"/>
      <c r="MLQ111" s="1308"/>
      <c r="MLR111" s="1308"/>
      <c r="MLS111" s="1308"/>
      <c r="MLT111" s="1308"/>
      <c r="MLU111" s="1308"/>
      <c r="MLV111" s="1308"/>
      <c r="MLW111" s="1308"/>
      <c r="MLX111" s="1308"/>
      <c r="MLY111" s="1308"/>
      <c r="MLZ111" s="1308"/>
      <c r="MMA111" s="1308"/>
      <c r="MMB111" s="1308"/>
      <c r="MMC111" s="1308"/>
      <c r="MMD111" s="1308"/>
      <c r="MME111" s="1308"/>
      <c r="MMF111" s="1308"/>
      <c r="MMG111" s="1308"/>
      <c r="MMH111" s="1308"/>
      <c r="MMI111" s="1308"/>
      <c r="MMJ111" s="1308"/>
      <c r="MMK111" s="1308"/>
      <c r="MML111" s="1308"/>
      <c r="MMM111" s="1308"/>
      <c r="MMN111" s="1308"/>
      <c r="MMO111" s="1308"/>
      <c r="MMP111" s="1308"/>
      <c r="MMQ111" s="1308"/>
      <c r="MMR111" s="1308"/>
      <c r="MMS111" s="1308"/>
      <c r="MMT111" s="1308"/>
      <c r="MMU111" s="1308"/>
      <c r="MMV111" s="1308"/>
      <c r="MMW111" s="1308"/>
      <c r="MMX111" s="1308"/>
      <c r="MMY111" s="1308"/>
      <c r="MMZ111" s="1308"/>
      <c r="MNA111" s="1308"/>
      <c r="MNB111" s="1308"/>
      <c r="MNC111" s="1308"/>
      <c r="MND111" s="1308"/>
      <c r="MNE111" s="1308"/>
      <c r="MNF111" s="1308"/>
      <c r="MNG111" s="1308"/>
      <c r="MNH111" s="1308"/>
      <c r="MNI111" s="1308"/>
      <c r="MNJ111" s="1308"/>
      <c r="MNK111" s="1308"/>
      <c r="MNL111" s="1308"/>
      <c r="MNM111" s="1308"/>
      <c r="MNN111" s="1308"/>
      <c r="MNO111" s="1308"/>
      <c r="MNP111" s="1308"/>
      <c r="MNQ111" s="1308"/>
      <c r="MNR111" s="1308"/>
      <c r="MNS111" s="1308"/>
      <c r="MNT111" s="1308"/>
      <c r="MNU111" s="1308"/>
      <c r="MNV111" s="1308"/>
      <c r="MNW111" s="1308"/>
      <c r="MNX111" s="1308"/>
      <c r="MNY111" s="1308"/>
      <c r="MNZ111" s="1308"/>
      <c r="MOA111" s="1308"/>
      <c r="MOB111" s="1308"/>
      <c r="MOC111" s="1308"/>
      <c r="MOD111" s="1308"/>
      <c r="MOE111" s="1308"/>
      <c r="MOF111" s="1308"/>
      <c r="MOG111" s="1308"/>
      <c r="MOH111" s="1308"/>
      <c r="MOI111" s="1308"/>
      <c r="MOJ111" s="1308"/>
      <c r="MOK111" s="1308"/>
      <c r="MOL111" s="1308"/>
      <c r="MOM111" s="1308"/>
      <c r="MON111" s="1308"/>
      <c r="MOO111" s="1308"/>
      <c r="MOP111" s="1308"/>
      <c r="MOQ111" s="1308"/>
      <c r="MOR111" s="1308"/>
      <c r="MOS111" s="1308"/>
      <c r="MOT111" s="1308"/>
      <c r="MOU111" s="1308"/>
      <c r="MOV111" s="1308"/>
      <c r="MOW111" s="1308"/>
      <c r="MOX111" s="1308"/>
      <c r="MOY111" s="1308"/>
      <c r="MOZ111" s="1308"/>
      <c r="MPA111" s="1308"/>
      <c r="MPB111" s="1308"/>
      <c r="MPC111" s="1308"/>
      <c r="MPD111" s="1308"/>
      <c r="MPE111" s="1308"/>
      <c r="MPF111" s="1308"/>
      <c r="MPG111" s="1308"/>
      <c r="MPH111" s="1308"/>
      <c r="MPI111" s="1308"/>
      <c r="MPJ111" s="1308"/>
      <c r="MPK111" s="1308"/>
      <c r="MPL111" s="1308"/>
      <c r="MPM111" s="1308"/>
      <c r="MPN111" s="1308"/>
      <c r="MPO111" s="1308"/>
      <c r="MPP111" s="1308"/>
      <c r="MPQ111" s="1308"/>
      <c r="MPR111" s="1308"/>
      <c r="MPS111" s="1308"/>
      <c r="MPT111" s="1308"/>
      <c r="MPU111" s="1308"/>
      <c r="MPV111" s="1308"/>
      <c r="MPW111" s="1308"/>
      <c r="MPX111" s="1308"/>
      <c r="MPY111" s="1308"/>
      <c r="MPZ111" s="1308"/>
      <c r="MQA111" s="1308"/>
      <c r="MQB111" s="1308"/>
      <c r="MQC111" s="1308"/>
      <c r="MQD111" s="1308"/>
      <c r="MQE111" s="1308"/>
      <c r="MQF111" s="1308"/>
      <c r="MQG111" s="1308"/>
      <c r="MQH111" s="1308"/>
      <c r="MQI111" s="1308"/>
      <c r="MQJ111" s="1308"/>
      <c r="MQK111" s="1308"/>
      <c r="MQL111" s="1308"/>
      <c r="MQM111" s="1308"/>
      <c r="MQN111" s="1308"/>
      <c r="MQO111" s="1308"/>
      <c r="MQP111" s="1308"/>
      <c r="MQQ111" s="1308"/>
      <c r="MQR111" s="1308"/>
      <c r="MQS111" s="1308"/>
      <c r="MQT111" s="1308"/>
      <c r="MQU111" s="1308"/>
      <c r="MQV111" s="1308"/>
      <c r="MQW111" s="1308"/>
      <c r="MQX111" s="1308"/>
      <c r="MQY111" s="1308"/>
      <c r="MQZ111" s="1308"/>
      <c r="MRA111" s="1308"/>
      <c r="MRB111" s="1308"/>
      <c r="MRC111" s="1308"/>
      <c r="MRD111" s="1308"/>
      <c r="MRE111" s="1308"/>
      <c r="MRF111" s="1308"/>
      <c r="MRG111" s="1308"/>
      <c r="MRH111" s="1308"/>
      <c r="MRI111" s="1308"/>
      <c r="MRJ111" s="1308"/>
      <c r="MRK111" s="1308"/>
      <c r="MRL111" s="1308"/>
      <c r="MRM111" s="1308"/>
      <c r="MRN111" s="1308"/>
      <c r="MRO111" s="1308"/>
      <c r="MRP111" s="1308"/>
      <c r="MRQ111" s="1308"/>
      <c r="MRR111" s="1308"/>
      <c r="MRS111" s="1308"/>
      <c r="MRT111" s="1308"/>
      <c r="MRU111" s="1308"/>
      <c r="MRV111" s="1308"/>
      <c r="MRW111" s="1308"/>
      <c r="MRX111" s="1308"/>
      <c r="MRY111" s="1308"/>
      <c r="MRZ111" s="1308"/>
      <c r="MSA111" s="1308"/>
      <c r="MSB111" s="1308"/>
      <c r="MSC111" s="1308"/>
      <c r="MSD111" s="1308"/>
      <c r="MSE111" s="1308"/>
      <c r="MSF111" s="1308"/>
      <c r="MSG111" s="1308"/>
      <c r="MSH111" s="1308"/>
      <c r="MSI111" s="1308"/>
      <c r="MSJ111" s="1308"/>
      <c r="MSK111" s="1308"/>
      <c r="MSL111" s="1308"/>
      <c r="MSM111" s="1308"/>
      <c r="MSN111" s="1308"/>
      <c r="MSO111" s="1308"/>
      <c r="MSP111" s="1308"/>
      <c r="MSQ111" s="1308"/>
      <c r="MSR111" s="1308"/>
      <c r="MSS111" s="1308"/>
      <c r="MST111" s="1308"/>
      <c r="MSU111" s="1308"/>
      <c r="MSV111" s="1308"/>
      <c r="MSW111" s="1308"/>
      <c r="MSX111" s="1308"/>
      <c r="MSY111" s="1308"/>
      <c r="MSZ111" s="1308"/>
      <c r="MTA111" s="1308"/>
      <c r="MTB111" s="1308"/>
      <c r="MTC111" s="1308"/>
      <c r="MTD111" s="1308"/>
      <c r="MTE111" s="1308"/>
      <c r="MTF111" s="1308"/>
      <c r="MTG111" s="1308"/>
      <c r="MTH111" s="1308"/>
      <c r="MTI111" s="1308"/>
      <c r="MTJ111" s="1308"/>
      <c r="MTK111" s="1308"/>
      <c r="MTL111" s="1308"/>
      <c r="MTM111" s="1308"/>
      <c r="MTN111" s="1308"/>
      <c r="MTO111" s="1308"/>
      <c r="MTP111" s="1308"/>
      <c r="MTQ111" s="1308"/>
      <c r="MTR111" s="1308"/>
      <c r="MTS111" s="1308"/>
      <c r="MTT111" s="1308"/>
      <c r="MTU111" s="1308"/>
      <c r="MTV111" s="1308"/>
      <c r="MTW111" s="1308"/>
      <c r="MTX111" s="1308"/>
      <c r="MTY111" s="1308"/>
      <c r="MTZ111" s="1308"/>
      <c r="MUA111" s="1308"/>
      <c r="MUB111" s="1308"/>
      <c r="MUC111" s="1308"/>
      <c r="MUD111" s="1308"/>
      <c r="MUE111" s="1308"/>
      <c r="MUF111" s="1308"/>
      <c r="MUG111" s="1308"/>
      <c r="MUH111" s="1308"/>
      <c r="MUI111" s="1308"/>
      <c r="MUJ111" s="1308"/>
      <c r="MUK111" s="1308"/>
      <c r="MUL111" s="1308"/>
      <c r="MUM111" s="1308"/>
      <c r="MUN111" s="1308"/>
      <c r="MUO111" s="1308"/>
      <c r="MUP111" s="1308"/>
      <c r="MUQ111" s="1308"/>
      <c r="MUR111" s="1308"/>
      <c r="MUS111" s="1308"/>
      <c r="MUT111" s="1308"/>
      <c r="MUU111" s="1308"/>
      <c r="MUV111" s="1308"/>
      <c r="MUW111" s="1308"/>
      <c r="MUX111" s="1308"/>
      <c r="MUY111" s="1308"/>
      <c r="MUZ111" s="1308"/>
      <c r="MVA111" s="1308"/>
      <c r="MVB111" s="1308"/>
      <c r="MVC111" s="1308"/>
      <c r="MVD111" s="1308"/>
      <c r="MVE111" s="1308"/>
      <c r="MVF111" s="1308"/>
      <c r="MVG111" s="1308"/>
      <c r="MVH111" s="1308"/>
      <c r="MVI111" s="1308"/>
      <c r="MVJ111" s="1308"/>
      <c r="MVK111" s="1308"/>
      <c r="MVL111" s="1308"/>
      <c r="MVM111" s="1308"/>
      <c r="MVN111" s="1308"/>
      <c r="MVO111" s="1308"/>
      <c r="MVP111" s="1308"/>
      <c r="MVQ111" s="1308"/>
      <c r="MVR111" s="1308"/>
      <c r="MVS111" s="1308"/>
      <c r="MVT111" s="1308"/>
      <c r="MVU111" s="1308"/>
      <c r="MVV111" s="1308"/>
      <c r="MVW111" s="1308"/>
      <c r="MVX111" s="1308"/>
      <c r="MVY111" s="1308"/>
      <c r="MVZ111" s="1308"/>
      <c r="MWA111" s="1308"/>
      <c r="MWB111" s="1308"/>
      <c r="MWC111" s="1308"/>
      <c r="MWD111" s="1308"/>
      <c r="MWE111" s="1308"/>
      <c r="MWF111" s="1308"/>
      <c r="MWG111" s="1308"/>
      <c r="MWH111" s="1308"/>
      <c r="MWI111" s="1308"/>
      <c r="MWJ111" s="1308"/>
      <c r="MWK111" s="1308"/>
      <c r="MWL111" s="1308"/>
      <c r="MWM111" s="1308"/>
      <c r="MWN111" s="1308"/>
      <c r="MWO111" s="1308"/>
      <c r="MWP111" s="1308"/>
      <c r="MWQ111" s="1308"/>
      <c r="MWR111" s="1308"/>
      <c r="MWS111" s="1308"/>
      <c r="MWT111" s="1308"/>
      <c r="MWU111" s="1308"/>
      <c r="MWV111" s="1308"/>
      <c r="MWW111" s="1308"/>
      <c r="MWX111" s="1308"/>
      <c r="MWY111" s="1308"/>
      <c r="MWZ111" s="1308"/>
      <c r="MXA111" s="1308"/>
      <c r="MXB111" s="1308"/>
      <c r="MXC111" s="1308"/>
      <c r="MXD111" s="1308"/>
      <c r="MXE111" s="1308"/>
      <c r="MXF111" s="1308"/>
      <c r="MXG111" s="1308"/>
      <c r="MXH111" s="1308"/>
      <c r="MXI111" s="1308"/>
      <c r="MXJ111" s="1308"/>
      <c r="MXK111" s="1308"/>
      <c r="MXL111" s="1308"/>
      <c r="MXM111" s="1308"/>
      <c r="MXN111" s="1308"/>
      <c r="MXO111" s="1308"/>
      <c r="MXP111" s="1308"/>
      <c r="MXQ111" s="1308"/>
      <c r="MXR111" s="1308"/>
      <c r="MXS111" s="1308"/>
      <c r="MXT111" s="1308"/>
      <c r="MXU111" s="1308"/>
      <c r="MXV111" s="1308"/>
      <c r="MXW111" s="1308"/>
      <c r="MXX111" s="1308"/>
      <c r="MXY111" s="1308"/>
      <c r="MXZ111" s="1308"/>
      <c r="MYA111" s="1308"/>
      <c r="MYB111" s="1308"/>
      <c r="MYC111" s="1308"/>
      <c r="MYD111" s="1308"/>
      <c r="MYE111" s="1308"/>
      <c r="MYF111" s="1308"/>
      <c r="MYG111" s="1308"/>
      <c r="MYH111" s="1308"/>
      <c r="MYI111" s="1308"/>
      <c r="MYJ111" s="1308"/>
      <c r="MYK111" s="1308"/>
      <c r="MYL111" s="1308"/>
      <c r="MYM111" s="1308"/>
      <c r="MYN111" s="1308"/>
      <c r="MYO111" s="1308"/>
      <c r="MYP111" s="1308"/>
      <c r="MYQ111" s="1308"/>
      <c r="MYR111" s="1308"/>
      <c r="MYS111" s="1308"/>
      <c r="MYT111" s="1308"/>
      <c r="MYU111" s="1308"/>
      <c r="MYV111" s="1308"/>
      <c r="MYW111" s="1308"/>
      <c r="MYX111" s="1308"/>
      <c r="MYY111" s="1308"/>
      <c r="MYZ111" s="1308"/>
      <c r="MZA111" s="1308"/>
      <c r="MZB111" s="1308"/>
      <c r="MZC111" s="1308"/>
      <c r="MZD111" s="1308"/>
      <c r="MZE111" s="1308"/>
      <c r="MZF111" s="1308"/>
      <c r="MZG111" s="1308"/>
      <c r="MZH111" s="1308"/>
      <c r="MZI111" s="1308"/>
      <c r="MZJ111" s="1308"/>
      <c r="MZK111" s="1308"/>
      <c r="MZL111" s="1308"/>
      <c r="MZM111" s="1308"/>
      <c r="MZN111" s="1308"/>
      <c r="MZO111" s="1308"/>
      <c r="MZP111" s="1308"/>
      <c r="MZQ111" s="1308"/>
      <c r="MZR111" s="1308"/>
      <c r="MZS111" s="1308"/>
      <c r="MZT111" s="1308"/>
      <c r="MZU111" s="1308"/>
      <c r="MZV111" s="1308"/>
      <c r="MZW111" s="1308"/>
      <c r="MZX111" s="1308"/>
      <c r="MZY111" s="1308"/>
      <c r="MZZ111" s="1308"/>
      <c r="NAA111" s="1308"/>
      <c r="NAB111" s="1308"/>
      <c r="NAC111" s="1308"/>
      <c r="NAD111" s="1308"/>
      <c r="NAE111" s="1308"/>
      <c r="NAF111" s="1308"/>
      <c r="NAG111" s="1308"/>
      <c r="NAH111" s="1308"/>
      <c r="NAI111" s="1308"/>
      <c r="NAJ111" s="1308"/>
      <c r="NAK111" s="1308"/>
      <c r="NAL111" s="1308"/>
      <c r="NAM111" s="1308"/>
      <c r="NAN111" s="1308"/>
      <c r="NAO111" s="1308"/>
      <c r="NAP111" s="1308"/>
      <c r="NAQ111" s="1308"/>
      <c r="NAR111" s="1308"/>
      <c r="NAS111" s="1308"/>
      <c r="NAT111" s="1308"/>
      <c r="NAU111" s="1308"/>
      <c r="NAV111" s="1308"/>
      <c r="NAW111" s="1308"/>
      <c r="NAX111" s="1308"/>
      <c r="NAY111" s="1308"/>
      <c r="NAZ111" s="1308"/>
      <c r="NBA111" s="1308"/>
      <c r="NBB111" s="1308"/>
      <c r="NBC111" s="1308"/>
      <c r="NBD111" s="1308"/>
      <c r="NBE111" s="1308"/>
      <c r="NBF111" s="1308"/>
      <c r="NBG111" s="1308"/>
      <c r="NBH111" s="1308"/>
      <c r="NBI111" s="1308"/>
      <c r="NBJ111" s="1308"/>
      <c r="NBK111" s="1308"/>
      <c r="NBL111" s="1308"/>
      <c r="NBM111" s="1308"/>
      <c r="NBN111" s="1308"/>
      <c r="NBO111" s="1308"/>
      <c r="NBP111" s="1308"/>
      <c r="NBQ111" s="1308"/>
      <c r="NBR111" s="1308"/>
      <c r="NBS111" s="1308"/>
      <c r="NBT111" s="1308"/>
      <c r="NBU111" s="1308"/>
      <c r="NBV111" s="1308"/>
      <c r="NBW111" s="1308"/>
      <c r="NBX111" s="1308"/>
      <c r="NBY111" s="1308"/>
      <c r="NBZ111" s="1308"/>
      <c r="NCA111" s="1308"/>
      <c r="NCB111" s="1308"/>
      <c r="NCC111" s="1308"/>
      <c r="NCD111" s="1308"/>
      <c r="NCE111" s="1308"/>
      <c r="NCF111" s="1308"/>
      <c r="NCG111" s="1308"/>
      <c r="NCH111" s="1308"/>
      <c r="NCI111" s="1308"/>
      <c r="NCJ111" s="1308"/>
      <c r="NCK111" s="1308"/>
      <c r="NCL111" s="1308"/>
      <c r="NCM111" s="1308"/>
      <c r="NCN111" s="1308"/>
      <c r="NCO111" s="1308"/>
      <c r="NCP111" s="1308"/>
      <c r="NCQ111" s="1308"/>
      <c r="NCR111" s="1308"/>
      <c r="NCS111" s="1308"/>
      <c r="NCT111" s="1308"/>
      <c r="NCU111" s="1308"/>
      <c r="NCV111" s="1308"/>
      <c r="NCW111" s="1308"/>
      <c r="NCX111" s="1308"/>
      <c r="NCY111" s="1308"/>
      <c r="NCZ111" s="1308"/>
      <c r="NDA111" s="1308"/>
      <c r="NDB111" s="1308"/>
      <c r="NDC111" s="1308"/>
      <c r="NDD111" s="1308"/>
      <c r="NDE111" s="1308"/>
      <c r="NDF111" s="1308"/>
      <c r="NDG111" s="1308"/>
      <c r="NDH111" s="1308"/>
      <c r="NDI111" s="1308"/>
      <c r="NDJ111" s="1308"/>
      <c r="NDK111" s="1308"/>
      <c r="NDL111" s="1308"/>
      <c r="NDM111" s="1308"/>
      <c r="NDN111" s="1308"/>
      <c r="NDO111" s="1308"/>
      <c r="NDP111" s="1308"/>
      <c r="NDQ111" s="1308"/>
      <c r="NDR111" s="1308"/>
      <c r="NDS111" s="1308"/>
      <c r="NDT111" s="1308"/>
      <c r="NDU111" s="1308"/>
      <c r="NDV111" s="1308"/>
      <c r="NDW111" s="1308"/>
      <c r="NDX111" s="1308"/>
      <c r="NDY111" s="1308"/>
      <c r="NDZ111" s="1308"/>
      <c r="NEA111" s="1308"/>
      <c r="NEB111" s="1308"/>
      <c r="NEC111" s="1308"/>
      <c r="NED111" s="1308"/>
      <c r="NEE111" s="1308"/>
      <c r="NEF111" s="1308"/>
      <c r="NEG111" s="1308"/>
      <c r="NEH111" s="1308"/>
      <c r="NEI111" s="1308"/>
      <c r="NEJ111" s="1308"/>
      <c r="NEK111" s="1308"/>
      <c r="NEL111" s="1308"/>
      <c r="NEM111" s="1308"/>
      <c r="NEN111" s="1308"/>
      <c r="NEO111" s="1308"/>
      <c r="NEP111" s="1308"/>
      <c r="NEQ111" s="1308"/>
      <c r="NER111" s="1308"/>
      <c r="NES111" s="1308"/>
      <c r="NET111" s="1308"/>
      <c r="NEU111" s="1308"/>
      <c r="NEV111" s="1308"/>
      <c r="NEW111" s="1308"/>
      <c r="NEX111" s="1308"/>
      <c r="NEY111" s="1308"/>
      <c r="NEZ111" s="1308"/>
      <c r="NFA111" s="1308"/>
      <c r="NFB111" s="1308"/>
      <c r="NFC111" s="1308"/>
      <c r="NFD111" s="1308"/>
      <c r="NFE111" s="1308"/>
      <c r="NFF111" s="1308"/>
      <c r="NFG111" s="1308"/>
      <c r="NFH111" s="1308"/>
      <c r="NFI111" s="1308"/>
      <c r="NFJ111" s="1308"/>
      <c r="NFK111" s="1308"/>
      <c r="NFL111" s="1308"/>
      <c r="NFM111" s="1308"/>
      <c r="NFN111" s="1308"/>
      <c r="NFO111" s="1308"/>
      <c r="NFP111" s="1308"/>
      <c r="NFQ111" s="1308"/>
      <c r="NFR111" s="1308"/>
      <c r="NFS111" s="1308"/>
      <c r="NFT111" s="1308"/>
      <c r="NFU111" s="1308"/>
      <c r="NFV111" s="1308"/>
      <c r="NFW111" s="1308"/>
      <c r="NFX111" s="1308"/>
      <c r="NFY111" s="1308"/>
      <c r="NFZ111" s="1308"/>
      <c r="NGA111" s="1308"/>
      <c r="NGB111" s="1308"/>
      <c r="NGC111" s="1308"/>
      <c r="NGD111" s="1308"/>
      <c r="NGE111" s="1308"/>
      <c r="NGF111" s="1308"/>
      <c r="NGG111" s="1308"/>
      <c r="NGH111" s="1308"/>
      <c r="NGI111" s="1308"/>
      <c r="NGJ111" s="1308"/>
      <c r="NGK111" s="1308"/>
      <c r="NGL111" s="1308"/>
      <c r="NGM111" s="1308"/>
      <c r="NGN111" s="1308"/>
      <c r="NGO111" s="1308"/>
      <c r="NGP111" s="1308"/>
      <c r="NGQ111" s="1308"/>
      <c r="NGR111" s="1308"/>
      <c r="NGS111" s="1308"/>
      <c r="NGT111" s="1308"/>
      <c r="NGU111" s="1308"/>
      <c r="NGV111" s="1308"/>
      <c r="NGW111" s="1308"/>
      <c r="NGX111" s="1308"/>
      <c r="NGY111" s="1308"/>
      <c r="NGZ111" s="1308"/>
      <c r="NHA111" s="1308"/>
      <c r="NHB111" s="1308"/>
      <c r="NHC111" s="1308"/>
      <c r="NHD111" s="1308"/>
      <c r="NHE111" s="1308"/>
      <c r="NHF111" s="1308"/>
      <c r="NHG111" s="1308"/>
      <c r="NHH111" s="1308"/>
      <c r="NHI111" s="1308"/>
      <c r="NHJ111" s="1308"/>
      <c r="NHK111" s="1308"/>
      <c r="NHL111" s="1308"/>
      <c r="NHM111" s="1308"/>
      <c r="NHN111" s="1308"/>
      <c r="NHO111" s="1308"/>
      <c r="NHP111" s="1308"/>
      <c r="NHQ111" s="1308"/>
      <c r="NHR111" s="1308"/>
      <c r="NHS111" s="1308"/>
      <c r="NHT111" s="1308"/>
      <c r="NHU111" s="1308"/>
      <c r="NHV111" s="1308"/>
      <c r="NHW111" s="1308"/>
      <c r="NHX111" s="1308"/>
      <c r="NHY111" s="1308"/>
      <c r="NHZ111" s="1308"/>
      <c r="NIA111" s="1308"/>
      <c r="NIB111" s="1308"/>
      <c r="NIC111" s="1308"/>
      <c r="NID111" s="1308"/>
      <c r="NIE111" s="1308"/>
      <c r="NIF111" s="1308"/>
      <c r="NIG111" s="1308"/>
      <c r="NIH111" s="1308"/>
      <c r="NII111" s="1308"/>
      <c r="NIJ111" s="1308"/>
      <c r="NIK111" s="1308"/>
      <c r="NIL111" s="1308"/>
      <c r="NIM111" s="1308"/>
      <c r="NIN111" s="1308"/>
      <c r="NIO111" s="1308"/>
      <c r="NIP111" s="1308"/>
      <c r="NIQ111" s="1308"/>
      <c r="NIR111" s="1308"/>
      <c r="NIS111" s="1308"/>
      <c r="NIT111" s="1308"/>
      <c r="NIU111" s="1308"/>
      <c r="NIV111" s="1308"/>
      <c r="NIW111" s="1308"/>
      <c r="NIX111" s="1308"/>
      <c r="NIY111" s="1308"/>
      <c r="NIZ111" s="1308"/>
      <c r="NJA111" s="1308"/>
      <c r="NJB111" s="1308"/>
      <c r="NJC111" s="1308"/>
      <c r="NJD111" s="1308"/>
      <c r="NJE111" s="1308"/>
      <c r="NJF111" s="1308"/>
      <c r="NJG111" s="1308"/>
      <c r="NJH111" s="1308"/>
      <c r="NJI111" s="1308"/>
      <c r="NJJ111" s="1308"/>
      <c r="NJK111" s="1308"/>
      <c r="NJL111" s="1308"/>
      <c r="NJM111" s="1308"/>
      <c r="NJN111" s="1308"/>
      <c r="NJO111" s="1308"/>
      <c r="NJP111" s="1308"/>
      <c r="NJQ111" s="1308"/>
      <c r="NJR111" s="1308"/>
      <c r="NJS111" s="1308"/>
      <c r="NJT111" s="1308"/>
      <c r="NJU111" s="1308"/>
      <c r="NJV111" s="1308"/>
      <c r="NJW111" s="1308"/>
      <c r="NJX111" s="1308"/>
      <c r="NJY111" s="1308"/>
      <c r="NJZ111" s="1308"/>
      <c r="NKA111" s="1308"/>
      <c r="NKB111" s="1308"/>
      <c r="NKC111" s="1308"/>
      <c r="NKD111" s="1308"/>
      <c r="NKE111" s="1308"/>
      <c r="NKF111" s="1308"/>
      <c r="NKG111" s="1308"/>
      <c r="NKH111" s="1308"/>
      <c r="NKI111" s="1308"/>
      <c r="NKJ111" s="1308"/>
      <c r="NKK111" s="1308"/>
      <c r="NKL111" s="1308"/>
      <c r="NKM111" s="1308"/>
      <c r="NKN111" s="1308"/>
      <c r="NKO111" s="1308"/>
      <c r="NKP111" s="1308"/>
      <c r="NKQ111" s="1308"/>
      <c r="NKR111" s="1308"/>
      <c r="NKS111" s="1308"/>
      <c r="NKT111" s="1308"/>
      <c r="NKU111" s="1308"/>
      <c r="NKV111" s="1308"/>
      <c r="NKW111" s="1308"/>
      <c r="NKX111" s="1308"/>
      <c r="NKY111" s="1308"/>
      <c r="NKZ111" s="1308"/>
      <c r="NLA111" s="1308"/>
      <c r="NLB111" s="1308"/>
      <c r="NLC111" s="1308"/>
      <c r="NLD111" s="1308"/>
      <c r="NLE111" s="1308"/>
      <c r="NLF111" s="1308"/>
      <c r="NLG111" s="1308"/>
      <c r="NLH111" s="1308"/>
      <c r="NLI111" s="1308"/>
      <c r="NLJ111" s="1308"/>
      <c r="NLK111" s="1308"/>
      <c r="NLL111" s="1308"/>
      <c r="NLM111" s="1308"/>
      <c r="NLN111" s="1308"/>
      <c r="NLO111" s="1308"/>
      <c r="NLP111" s="1308"/>
      <c r="NLQ111" s="1308"/>
      <c r="NLR111" s="1308"/>
      <c r="NLS111" s="1308"/>
      <c r="NLT111" s="1308"/>
      <c r="NLU111" s="1308"/>
      <c r="NLV111" s="1308"/>
      <c r="NLW111" s="1308"/>
      <c r="NLX111" s="1308"/>
      <c r="NLY111" s="1308"/>
      <c r="NLZ111" s="1308"/>
      <c r="NMA111" s="1308"/>
      <c r="NMB111" s="1308"/>
      <c r="NMC111" s="1308"/>
      <c r="NMD111" s="1308"/>
      <c r="NME111" s="1308"/>
      <c r="NMF111" s="1308"/>
      <c r="NMG111" s="1308"/>
      <c r="NMH111" s="1308"/>
      <c r="NMI111" s="1308"/>
      <c r="NMJ111" s="1308"/>
      <c r="NMK111" s="1308"/>
      <c r="NML111" s="1308"/>
      <c r="NMM111" s="1308"/>
      <c r="NMN111" s="1308"/>
      <c r="NMO111" s="1308"/>
      <c r="NMP111" s="1308"/>
      <c r="NMQ111" s="1308"/>
      <c r="NMR111" s="1308"/>
      <c r="NMS111" s="1308"/>
      <c r="NMT111" s="1308"/>
      <c r="NMU111" s="1308"/>
      <c r="NMV111" s="1308"/>
      <c r="NMW111" s="1308"/>
      <c r="NMX111" s="1308"/>
      <c r="NMY111" s="1308"/>
      <c r="NMZ111" s="1308"/>
      <c r="NNA111" s="1308"/>
      <c r="NNB111" s="1308"/>
      <c r="NNC111" s="1308"/>
      <c r="NND111" s="1308"/>
      <c r="NNE111" s="1308"/>
      <c r="NNF111" s="1308"/>
      <c r="NNG111" s="1308"/>
      <c r="NNH111" s="1308"/>
      <c r="NNI111" s="1308"/>
      <c r="NNJ111" s="1308"/>
      <c r="NNK111" s="1308"/>
      <c r="NNL111" s="1308"/>
      <c r="NNM111" s="1308"/>
      <c r="NNN111" s="1308"/>
      <c r="NNO111" s="1308"/>
      <c r="NNP111" s="1308"/>
      <c r="NNQ111" s="1308"/>
      <c r="NNR111" s="1308"/>
      <c r="NNS111" s="1308"/>
      <c r="NNT111" s="1308"/>
      <c r="NNU111" s="1308"/>
      <c r="NNV111" s="1308"/>
      <c r="NNW111" s="1308"/>
      <c r="NNX111" s="1308"/>
      <c r="NNY111" s="1308"/>
      <c r="NNZ111" s="1308"/>
      <c r="NOA111" s="1308"/>
      <c r="NOB111" s="1308"/>
      <c r="NOC111" s="1308"/>
      <c r="NOD111" s="1308"/>
      <c r="NOE111" s="1308"/>
      <c r="NOF111" s="1308"/>
      <c r="NOG111" s="1308"/>
      <c r="NOH111" s="1308"/>
      <c r="NOI111" s="1308"/>
      <c r="NOJ111" s="1308"/>
      <c r="NOK111" s="1308"/>
      <c r="NOL111" s="1308"/>
      <c r="NOM111" s="1308"/>
      <c r="NON111" s="1308"/>
      <c r="NOO111" s="1308"/>
      <c r="NOP111" s="1308"/>
      <c r="NOQ111" s="1308"/>
      <c r="NOR111" s="1308"/>
      <c r="NOS111" s="1308"/>
      <c r="NOT111" s="1308"/>
      <c r="NOU111" s="1308"/>
      <c r="NOV111" s="1308"/>
      <c r="NOW111" s="1308"/>
      <c r="NOX111" s="1308"/>
      <c r="NOY111" s="1308"/>
      <c r="NOZ111" s="1308"/>
      <c r="NPA111" s="1308"/>
      <c r="NPB111" s="1308"/>
      <c r="NPC111" s="1308"/>
      <c r="NPD111" s="1308"/>
      <c r="NPE111" s="1308"/>
      <c r="NPF111" s="1308"/>
      <c r="NPG111" s="1308"/>
      <c r="NPH111" s="1308"/>
      <c r="NPI111" s="1308"/>
      <c r="NPJ111" s="1308"/>
      <c r="NPK111" s="1308"/>
      <c r="NPL111" s="1308"/>
      <c r="NPM111" s="1308"/>
      <c r="NPN111" s="1308"/>
      <c r="NPO111" s="1308"/>
      <c r="NPP111" s="1308"/>
      <c r="NPQ111" s="1308"/>
      <c r="NPR111" s="1308"/>
      <c r="NPS111" s="1308"/>
      <c r="NPT111" s="1308"/>
      <c r="NPU111" s="1308"/>
      <c r="NPV111" s="1308"/>
      <c r="NPW111" s="1308"/>
      <c r="NPX111" s="1308"/>
      <c r="NPY111" s="1308"/>
      <c r="NPZ111" s="1308"/>
      <c r="NQA111" s="1308"/>
      <c r="NQB111" s="1308"/>
      <c r="NQC111" s="1308"/>
      <c r="NQD111" s="1308"/>
      <c r="NQE111" s="1308"/>
      <c r="NQF111" s="1308"/>
      <c r="NQG111" s="1308"/>
      <c r="NQH111" s="1308"/>
      <c r="NQI111" s="1308"/>
      <c r="NQJ111" s="1308"/>
      <c r="NQK111" s="1308"/>
      <c r="NQL111" s="1308"/>
      <c r="NQM111" s="1308"/>
      <c r="NQN111" s="1308"/>
      <c r="NQO111" s="1308"/>
      <c r="NQP111" s="1308"/>
      <c r="NQQ111" s="1308"/>
      <c r="NQR111" s="1308"/>
      <c r="NQS111" s="1308"/>
      <c r="NQT111" s="1308"/>
      <c r="NQU111" s="1308"/>
      <c r="NQV111" s="1308"/>
      <c r="NQW111" s="1308"/>
      <c r="NQX111" s="1308"/>
      <c r="NQY111" s="1308"/>
      <c r="NQZ111" s="1308"/>
      <c r="NRA111" s="1308"/>
      <c r="NRB111" s="1308"/>
      <c r="NRC111" s="1308"/>
      <c r="NRD111" s="1308"/>
      <c r="NRE111" s="1308"/>
      <c r="NRF111" s="1308"/>
      <c r="NRG111" s="1308"/>
      <c r="NRH111" s="1308"/>
      <c r="NRI111" s="1308"/>
      <c r="NRJ111" s="1308"/>
      <c r="NRK111" s="1308"/>
      <c r="NRL111" s="1308"/>
      <c r="NRM111" s="1308"/>
      <c r="NRN111" s="1308"/>
      <c r="NRO111" s="1308"/>
      <c r="NRP111" s="1308"/>
      <c r="NRQ111" s="1308"/>
      <c r="NRR111" s="1308"/>
      <c r="NRS111" s="1308"/>
      <c r="NRT111" s="1308"/>
      <c r="NRU111" s="1308"/>
      <c r="NRV111" s="1308"/>
      <c r="NRW111" s="1308"/>
      <c r="NRX111" s="1308"/>
      <c r="NRY111" s="1308"/>
      <c r="NRZ111" s="1308"/>
      <c r="NSA111" s="1308"/>
      <c r="NSB111" s="1308"/>
      <c r="NSC111" s="1308"/>
      <c r="NSD111" s="1308"/>
      <c r="NSE111" s="1308"/>
      <c r="NSF111" s="1308"/>
      <c r="NSG111" s="1308"/>
      <c r="NSH111" s="1308"/>
      <c r="NSI111" s="1308"/>
      <c r="NSJ111" s="1308"/>
      <c r="NSK111" s="1308"/>
      <c r="NSL111" s="1308"/>
      <c r="NSM111" s="1308"/>
      <c r="NSN111" s="1308"/>
      <c r="NSO111" s="1308"/>
      <c r="NSP111" s="1308"/>
      <c r="NSQ111" s="1308"/>
      <c r="NSR111" s="1308"/>
      <c r="NSS111" s="1308"/>
      <c r="NST111" s="1308"/>
      <c r="NSU111" s="1308"/>
      <c r="NSV111" s="1308"/>
      <c r="NSW111" s="1308"/>
      <c r="NSX111" s="1308"/>
      <c r="NSY111" s="1308"/>
      <c r="NSZ111" s="1308"/>
      <c r="NTA111" s="1308"/>
      <c r="NTB111" s="1308"/>
      <c r="NTC111" s="1308"/>
      <c r="NTD111" s="1308"/>
      <c r="NTE111" s="1308"/>
      <c r="NTF111" s="1308"/>
      <c r="NTG111" s="1308"/>
      <c r="NTH111" s="1308"/>
      <c r="NTI111" s="1308"/>
      <c r="NTJ111" s="1308"/>
      <c r="NTK111" s="1308"/>
      <c r="NTL111" s="1308"/>
      <c r="NTM111" s="1308"/>
      <c r="NTN111" s="1308"/>
      <c r="NTO111" s="1308"/>
      <c r="NTP111" s="1308"/>
      <c r="NTQ111" s="1308"/>
      <c r="NTR111" s="1308"/>
      <c r="NTS111" s="1308"/>
      <c r="NTT111" s="1308"/>
      <c r="NTU111" s="1308"/>
      <c r="NTV111" s="1308"/>
      <c r="NTW111" s="1308"/>
      <c r="NTX111" s="1308"/>
      <c r="NTY111" s="1308"/>
      <c r="NTZ111" s="1308"/>
      <c r="NUA111" s="1308"/>
      <c r="NUB111" s="1308"/>
      <c r="NUC111" s="1308"/>
      <c r="NUD111" s="1308"/>
      <c r="NUE111" s="1308"/>
      <c r="NUF111" s="1308"/>
      <c r="NUG111" s="1308"/>
      <c r="NUH111" s="1308"/>
      <c r="NUI111" s="1308"/>
      <c r="NUJ111" s="1308"/>
      <c r="NUK111" s="1308"/>
      <c r="NUL111" s="1308"/>
      <c r="NUM111" s="1308"/>
      <c r="NUN111" s="1308"/>
      <c r="NUO111" s="1308"/>
      <c r="NUP111" s="1308"/>
      <c r="NUQ111" s="1308"/>
      <c r="NUR111" s="1308"/>
      <c r="NUS111" s="1308"/>
      <c r="NUT111" s="1308"/>
      <c r="NUU111" s="1308"/>
      <c r="NUV111" s="1308"/>
      <c r="NUW111" s="1308"/>
      <c r="NUX111" s="1308"/>
      <c r="NUY111" s="1308"/>
      <c r="NUZ111" s="1308"/>
      <c r="NVA111" s="1308"/>
      <c r="NVB111" s="1308"/>
      <c r="NVC111" s="1308"/>
      <c r="NVD111" s="1308"/>
      <c r="NVE111" s="1308"/>
      <c r="NVF111" s="1308"/>
      <c r="NVG111" s="1308"/>
      <c r="NVH111" s="1308"/>
      <c r="NVI111" s="1308"/>
      <c r="NVJ111" s="1308"/>
      <c r="NVK111" s="1308"/>
      <c r="NVL111" s="1308"/>
      <c r="NVM111" s="1308"/>
      <c r="NVN111" s="1308"/>
      <c r="NVO111" s="1308"/>
      <c r="NVP111" s="1308"/>
      <c r="NVQ111" s="1308"/>
      <c r="NVR111" s="1308"/>
      <c r="NVS111" s="1308"/>
      <c r="NVT111" s="1308"/>
      <c r="NVU111" s="1308"/>
      <c r="NVV111" s="1308"/>
      <c r="NVW111" s="1308"/>
      <c r="NVX111" s="1308"/>
      <c r="NVY111" s="1308"/>
      <c r="NVZ111" s="1308"/>
      <c r="NWA111" s="1308"/>
      <c r="NWB111" s="1308"/>
      <c r="NWC111" s="1308"/>
      <c r="NWD111" s="1308"/>
      <c r="NWE111" s="1308"/>
      <c r="NWF111" s="1308"/>
      <c r="NWG111" s="1308"/>
      <c r="NWH111" s="1308"/>
      <c r="NWI111" s="1308"/>
      <c r="NWJ111" s="1308"/>
      <c r="NWK111" s="1308"/>
      <c r="NWL111" s="1308"/>
      <c r="NWM111" s="1308"/>
      <c r="NWN111" s="1308"/>
      <c r="NWO111" s="1308"/>
      <c r="NWP111" s="1308"/>
      <c r="NWQ111" s="1308"/>
      <c r="NWR111" s="1308"/>
      <c r="NWS111" s="1308"/>
      <c r="NWT111" s="1308"/>
      <c r="NWU111" s="1308"/>
      <c r="NWV111" s="1308"/>
      <c r="NWW111" s="1308"/>
      <c r="NWX111" s="1308"/>
      <c r="NWY111" s="1308"/>
      <c r="NWZ111" s="1308"/>
      <c r="NXA111" s="1308"/>
      <c r="NXB111" s="1308"/>
      <c r="NXC111" s="1308"/>
      <c r="NXD111" s="1308"/>
      <c r="NXE111" s="1308"/>
      <c r="NXF111" s="1308"/>
      <c r="NXG111" s="1308"/>
      <c r="NXH111" s="1308"/>
      <c r="NXI111" s="1308"/>
      <c r="NXJ111" s="1308"/>
      <c r="NXK111" s="1308"/>
      <c r="NXL111" s="1308"/>
      <c r="NXM111" s="1308"/>
      <c r="NXN111" s="1308"/>
      <c r="NXO111" s="1308"/>
      <c r="NXP111" s="1308"/>
      <c r="NXQ111" s="1308"/>
      <c r="NXR111" s="1308"/>
      <c r="NXS111" s="1308"/>
      <c r="NXT111" s="1308"/>
      <c r="NXU111" s="1308"/>
      <c r="NXV111" s="1308"/>
      <c r="NXW111" s="1308"/>
      <c r="NXX111" s="1308"/>
      <c r="NXY111" s="1308"/>
      <c r="NXZ111" s="1308"/>
      <c r="NYA111" s="1308"/>
      <c r="NYB111" s="1308"/>
      <c r="NYC111" s="1308"/>
      <c r="NYD111" s="1308"/>
      <c r="NYE111" s="1308"/>
      <c r="NYF111" s="1308"/>
      <c r="NYG111" s="1308"/>
      <c r="NYH111" s="1308"/>
      <c r="NYI111" s="1308"/>
      <c r="NYJ111" s="1308"/>
      <c r="NYK111" s="1308"/>
      <c r="NYL111" s="1308"/>
      <c r="NYM111" s="1308"/>
      <c r="NYN111" s="1308"/>
      <c r="NYO111" s="1308"/>
      <c r="NYP111" s="1308"/>
      <c r="NYQ111" s="1308"/>
      <c r="NYR111" s="1308"/>
      <c r="NYS111" s="1308"/>
      <c r="NYT111" s="1308"/>
      <c r="NYU111" s="1308"/>
      <c r="NYV111" s="1308"/>
      <c r="NYW111" s="1308"/>
      <c r="NYX111" s="1308"/>
      <c r="NYY111" s="1308"/>
      <c r="NYZ111" s="1308"/>
      <c r="NZA111" s="1308"/>
      <c r="NZB111" s="1308"/>
      <c r="NZC111" s="1308"/>
      <c r="NZD111" s="1308"/>
      <c r="NZE111" s="1308"/>
      <c r="NZF111" s="1308"/>
      <c r="NZG111" s="1308"/>
      <c r="NZH111" s="1308"/>
      <c r="NZI111" s="1308"/>
      <c r="NZJ111" s="1308"/>
      <c r="NZK111" s="1308"/>
      <c r="NZL111" s="1308"/>
      <c r="NZM111" s="1308"/>
      <c r="NZN111" s="1308"/>
      <c r="NZO111" s="1308"/>
      <c r="NZP111" s="1308"/>
      <c r="NZQ111" s="1308"/>
      <c r="NZR111" s="1308"/>
      <c r="NZS111" s="1308"/>
      <c r="NZT111" s="1308"/>
      <c r="NZU111" s="1308"/>
      <c r="NZV111" s="1308"/>
      <c r="NZW111" s="1308"/>
      <c r="NZX111" s="1308"/>
      <c r="NZY111" s="1308"/>
      <c r="NZZ111" s="1308"/>
      <c r="OAA111" s="1308"/>
      <c r="OAB111" s="1308"/>
      <c r="OAC111" s="1308"/>
      <c r="OAD111" s="1308"/>
      <c r="OAE111" s="1308"/>
      <c r="OAF111" s="1308"/>
      <c r="OAG111" s="1308"/>
      <c r="OAH111" s="1308"/>
      <c r="OAI111" s="1308"/>
      <c r="OAJ111" s="1308"/>
      <c r="OAK111" s="1308"/>
      <c r="OAL111" s="1308"/>
      <c r="OAM111" s="1308"/>
      <c r="OAN111" s="1308"/>
      <c r="OAO111" s="1308"/>
      <c r="OAP111" s="1308"/>
      <c r="OAQ111" s="1308"/>
      <c r="OAR111" s="1308"/>
      <c r="OAS111" s="1308"/>
      <c r="OAT111" s="1308"/>
      <c r="OAU111" s="1308"/>
      <c r="OAV111" s="1308"/>
      <c r="OAW111" s="1308"/>
      <c r="OAX111" s="1308"/>
      <c r="OAY111" s="1308"/>
      <c r="OAZ111" s="1308"/>
      <c r="OBA111" s="1308"/>
      <c r="OBB111" s="1308"/>
      <c r="OBC111" s="1308"/>
      <c r="OBD111" s="1308"/>
      <c r="OBE111" s="1308"/>
      <c r="OBF111" s="1308"/>
      <c r="OBG111" s="1308"/>
      <c r="OBH111" s="1308"/>
      <c r="OBI111" s="1308"/>
      <c r="OBJ111" s="1308"/>
      <c r="OBK111" s="1308"/>
      <c r="OBL111" s="1308"/>
      <c r="OBM111" s="1308"/>
      <c r="OBN111" s="1308"/>
      <c r="OBO111" s="1308"/>
      <c r="OBP111" s="1308"/>
      <c r="OBQ111" s="1308"/>
      <c r="OBR111" s="1308"/>
      <c r="OBS111" s="1308"/>
      <c r="OBT111" s="1308"/>
      <c r="OBU111" s="1308"/>
      <c r="OBV111" s="1308"/>
      <c r="OBW111" s="1308"/>
      <c r="OBX111" s="1308"/>
      <c r="OBY111" s="1308"/>
      <c r="OBZ111" s="1308"/>
      <c r="OCA111" s="1308"/>
      <c r="OCB111" s="1308"/>
      <c r="OCC111" s="1308"/>
      <c r="OCD111" s="1308"/>
      <c r="OCE111" s="1308"/>
      <c r="OCF111" s="1308"/>
      <c r="OCG111" s="1308"/>
      <c r="OCH111" s="1308"/>
      <c r="OCI111" s="1308"/>
      <c r="OCJ111" s="1308"/>
      <c r="OCK111" s="1308"/>
      <c r="OCL111" s="1308"/>
      <c r="OCM111" s="1308"/>
      <c r="OCN111" s="1308"/>
      <c r="OCO111" s="1308"/>
      <c r="OCP111" s="1308"/>
      <c r="OCQ111" s="1308"/>
      <c r="OCR111" s="1308"/>
      <c r="OCS111" s="1308"/>
      <c r="OCT111" s="1308"/>
      <c r="OCU111" s="1308"/>
      <c r="OCV111" s="1308"/>
      <c r="OCW111" s="1308"/>
      <c r="OCX111" s="1308"/>
      <c r="OCY111" s="1308"/>
      <c r="OCZ111" s="1308"/>
      <c r="ODA111" s="1308"/>
      <c r="ODB111" s="1308"/>
      <c r="ODC111" s="1308"/>
      <c r="ODD111" s="1308"/>
      <c r="ODE111" s="1308"/>
      <c r="ODF111" s="1308"/>
      <c r="ODG111" s="1308"/>
      <c r="ODH111" s="1308"/>
      <c r="ODI111" s="1308"/>
      <c r="ODJ111" s="1308"/>
      <c r="ODK111" s="1308"/>
      <c r="ODL111" s="1308"/>
      <c r="ODM111" s="1308"/>
      <c r="ODN111" s="1308"/>
      <c r="ODO111" s="1308"/>
      <c r="ODP111" s="1308"/>
      <c r="ODQ111" s="1308"/>
      <c r="ODR111" s="1308"/>
      <c r="ODS111" s="1308"/>
      <c r="ODT111" s="1308"/>
      <c r="ODU111" s="1308"/>
      <c r="ODV111" s="1308"/>
      <c r="ODW111" s="1308"/>
      <c r="ODX111" s="1308"/>
      <c r="ODY111" s="1308"/>
      <c r="ODZ111" s="1308"/>
      <c r="OEA111" s="1308"/>
      <c r="OEB111" s="1308"/>
      <c r="OEC111" s="1308"/>
      <c r="OED111" s="1308"/>
      <c r="OEE111" s="1308"/>
      <c r="OEF111" s="1308"/>
      <c r="OEG111" s="1308"/>
      <c r="OEH111" s="1308"/>
      <c r="OEI111" s="1308"/>
      <c r="OEJ111" s="1308"/>
      <c r="OEK111" s="1308"/>
      <c r="OEL111" s="1308"/>
      <c r="OEM111" s="1308"/>
      <c r="OEN111" s="1308"/>
      <c r="OEO111" s="1308"/>
      <c r="OEP111" s="1308"/>
      <c r="OEQ111" s="1308"/>
      <c r="OER111" s="1308"/>
      <c r="OES111" s="1308"/>
      <c r="OET111" s="1308"/>
      <c r="OEU111" s="1308"/>
      <c r="OEV111" s="1308"/>
      <c r="OEW111" s="1308"/>
      <c r="OEX111" s="1308"/>
      <c r="OEY111" s="1308"/>
      <c r="OEZ111" s="1308"/>
      <c r="OFA111" s="1308"/>
      <c r="OFB111" s="1308"/>
      <c r="OFC111" s="1308"/>
      <c r="OFD111" s="1308"/>
      <c r="OFE111" s="1308"/>
      <c r="OFF111" s="1308"/>
      <c r="OFG111" s="1308"/>
      <c r="OFH111" s="1308"/>
      <c r="OFI111" s="1308"/>
      <c r="OFJ111" s="1308"/>
      <c r="OFK111" s="1308"/>
      <c r="OFL111" s="1308"/>
      <c r="OFM111" s="1308"/>
      <c r="OFN111" s="1308"/>
      <c r="OFO111" s="1308"/>
      <c r="OFP111" s="1308"/>
      <c r="OFQ111" s="1308"/>
      <c r="OFR111" s="1308"/>
      <c r="OFS111" s="1308"/>
      <c r="OFT111" s="1308"/>
      <c r="OFU111" s="1308"/>
      <c r="OFV111" s="1308"/>
      <c r="OFW111" s="1308"/>
      <c r="OFX111" s="1308"/>
      <c r="OFY111" s="1308"/>
      <c r="OFZ111" s="1308"/>
      <c r="OGA111" s="1308"/>
      <c r="OGB111" s="1308"/>
      <c r="OGC111" s="1308"/>
      <c r="OGD111" s="1308"/>
      <c r="OGE111" s="1308"/>
      <c r="OGF111" s="1308"/>
      <c r="OGG111" s="1308"/>
      <c r="OGH111" s="1308"/>
      <c r="OGI111" s="1308"/>
      <c r="OGJ111" s="1308"/>
      <c r="OGK111" s="1308"/>
      <c r="OGL111" s="1308"/>
      <c r="OGM111" s="1308"/>
      <c r="OGN111" s="1308"/>
      <c r="OGO111" s="1308"/>
      <c r="OGP111" s="1308"/>
      <c r="OGQ111" s="1308"/>
      <c r="OGR111" s="1308"/>
      <c r="OGS111" s="1308"/>
      <c r="OGT111" s="1308"/>
      <c r="OGU111" s="1308"/>
      <c r="OGV111" s="1308"/>
      <c r="OGW111" s="1308"/>
      <c r="OGX111" s="1308"/>
      <c r="OGY111" s="1308"/>
      <c r="OGZ111" s="1308"/>
      <c r="OHA111" s="1308"/>
      <c r="OHB111" s="1308"/>
      <c r="OHC111" s="1308"/>
      <c r="OHD111" s="1308"/>
      <c r="OHE111" s="1308"/>
      <c r="OHF111" s="1308"/>
      <c r="OHG111" s="1308"/>
      <c r="OHH111" s="1308"/>
      <c r="OHI111" s="1308"/>
      <c r="OHJ111" s="1308"/>
      <c r="OHK111" s="1308"/>
      <c r="OHL111" s="1308"/>
      <c r="OHM111" s="1308"/>
      <c r="OHN111" s="1308"/>
      <c r="OHO111" s="1308"/>
      <c r="OHP111" s="1308"/>
      <c r="OHQ111" s="1308"/>
      <c r="OHR111" s="1308"/>
      <c r="OHS111" s="1308"/>
      <c r="OHT111" s="1308"/>
      <c r="OHU111" s="1308"/>
      <c r="OHV111" s="1308"/>
      <c r="OHW111" s="1308"/>
      <c r="OHX111" s="1308"/>
      <c r="OHY111" s="1308"/>
      <c r="OHZ111" s="1308"/>
      <c r="OIA111" s="1308"/>
      <c r="OIB111" s="1308"/>
      <c r="OIC111" s="1308"/>
      <c r="OID111" s="1308"/>
      <c r="OIE111" s="1308"/>
      <c r="OIF111" s="1308"/>
      <c r="OIG111" s="1308"/>
      <c r="OIH111" s="1308"/>
      <c r="OII111" s="1308"/>
      <c r="OIJ111" s="1308"/>
      <c r="OIK111" s="1308"/>
      <c r="OIL111" s="1308"/>
      <c r="OIM111" s="1308"/>
      <c r="OIN111" s="1308"/>
      <c r="OIO111" s="1308"/>
      <c r="OIP111" s="1308"/>
      <c r="OIQ111" s="1308"/>
      <c r="OIR111" s="1308"/>
      <c r="OIS111" s="1308"/>
      <c r="OIT111" s="1308"/>
      <c r="OIU111" s="1308"/>
      <c r="OIV111" s="1308"/>
      <c r="OIW111" s="1308"/>
      <c r="OIX111" s="1308"/>
      <c r="OIY111" s="1308"/>
      <c r="OIZ111" s="1308"/>
      <c r="OJA111" s="1308"/>
      <c r="OJB111" s="1308"/>
      <c r="OJC111" s="1308"/>
      <c r="OJD111" s="1308"/>
      <c r="OJE111" s="1308"/>
      <c r="OJF111" s="1308"/>
      <c r="OJG111" s="1308"/>
      <c r="OJH111" s="1308"/>
      <c r="OJI111" s="1308"/>
      <c r="OJJ111" s="1308"/>
      <c r="OJK111" s="1308"/>
      <c r="OJL111" s="1308"/>
      <c r="OJM111" s="1308"/>
      <c r="OJN111" s="1308"/>
      <c r="OJO111" s="1308"/>
      <c r="OJP111" s="1308"/>
      <c r="OJQ111" s="1308"/>
      <c r="OJR111" s="1308"/>
      <c r="OJS111" s="1308"/>
      <c r="OJT111" s="1308"/>
      <c r="OJU111" s="1308"/>
      <c r="OJV111" s="1308"/>
      <c r="OJW111" s="1308"/>
      <c r="OJX111" s="1308"/>
      <c r="OJY111" s="1308"/>
      <c r="OJZ111" s="1308"/>
      <c r="OKA111" s="1308"/>
      <c r="OKB111" s="1308"/>
      <c r="OKC111" s="1308"/>
      <c r="OKD111" s="1308"/>
      <c r="OKE111" s="1308"/>
      <c r="OKF111" s="1308"/>
      <c r="OKG111" s="1308"/>
      <c r="OKH111" s="1308"/>
      <c r="OKI111" s="1308"/>
      <c r="OKJ111" s="1308"/>
      <c r="OKK111" s="1308"/>
      <c r="OKL111" s="1308"/>
      <c r="OKM111" s="1308"/>
      <c r="OKN111" s="1308"/>
      <c r="OKO111" s="1308"/>
      <c r="OKP111" s="1308"/>
      <c r="OKQ111" s="1308"/>
      <c r="OKR111" s="1308"/>
      <c r="OKS111" s="1308"/>
      <c r="OKT111" s="1308"/>
      <c r="OKU111" s="1308"/>
      <c r="OKV111" s="1308"/>
      <c r="OKW111" s="1308"/>
      <c r="OKX111" s="1308"/>
      <c r="OKY111" s="1308"/>
      <c r="OKZ111" s="1308"/>
      <c r="OLA111" s="1308"/>
      <c r="OLB111" s="1308"/>
      <c r="OLC111" s="1308"/>
      <c r="OLD111" s="1308"/>
      <c r="OLE111" s="1308"/>
      <c r="OLF111" s="1308"/>
      <c r="OLG111" s="1308"/>
      <c r="OLH111" s="1308"/>
      <c r="OLI111" s="1308"/>
      <c r="OLJ111" s="1308"/>
      <c r="OLK111" s="1308"/>
      <c r="OLL111" s="1308"/>
      <c r="OLM111" s="1308"/>
      <c r="OLN111" s="1308"/>
      <c r="OLO111" s="1308"/>
      <c r="OLP111" s="1308"/>
      <c r="OLQ111" s="1308"/>
      <c r="OLR111" s="1308"/>
      <c r="OLS111" s="1308"/>
      <c r="OLT111" s="1308"/>
      <c r="OLU111" s="1308"/>
      <c r="OLV111" s="1308"/>
      <c r="OLW111" s="1308"/>
      <c r="OLX111" s="1308"/>
      <c r="OLY111" s="1308"/>
      <c r="OLZ111" s="1308"/>
      <c r="OMA111" s="1308"/>
      <c r="OMB111" s="1308"/>
      <c r="OMC111" s="1308"/>
      <c r="OMD111" s="1308"/>
      <c r="OME111" s="1308"/>
      <c r="OMF111" s="1308"/>
      <c r="OMG111" s="1308"/>
      <c r="OMH111" s="1308"/>
      <c r="OMI111" s="1308"/>
      <c r="OMJ111" s="1308"/>
      <c r="OMK111" s="1308"/>
      <c r="OML111" s="1308"/>
      <c r="OMM111" s="1308"/>
      <c r="OMN111" s="1308"/>
      <c r="OMO111" s="1308"/>
      <c r="OMP111" s="1308"/>
      <c r="OMQ111" s="1308"/>
      <c r="OMR111" s="1308"/>
      <c r="OMS111" s="1308"/>
      <c r="OMT111" s="1308"/>
      <c r="OMU111" s="1308"/>
      <c r="OMV111" s="1308"/>
      <c r="OMW111" s="1308"/>
      <c r="OMX111" s="1308"/>
      <c r="OMY111" s="1308"/>
      <c r="OMZ111" s="1308"/>
      <c r="ONA111" s="1308"/>
      <c r="ONB111" s="1308"/>
      <c r="ONC111" s="1308"/>
      <c r="OND111" s="1308"/>
      <c r="ONE111" s="1308"/>
      <c r="ONF111" s="1308"/>
      <c r="ONG111" s="1308"/>
      <c r="ONH111" s="1308"/>
      <c r="ONI111" s="1308"/>
      <c r="ONJ111" s="1308"/>
      <c r="ONK111" s="1308"/>
      <c r="ONL111" s="1308"/>
      <c r="ONM111" s="1308"/>
      <c r="ONN111" s="1308"/>
      <c r="ONO111" s="1308"/>
      <c r="ONP111" s="1308"/>
      <c r="ONQ111" s="1308"/>
      <c r="ONR111" s="1308"/>
      <c r="ONS111" s="1308"/>
      <c r="ONT111" s="1308"/>
      <c r="ONU111" s="1308"/>
      <c r="ONV111" s="1308"/>
      <c r="ONW111" s="1308"/>
      <c r="ONX111" s="1308"/>
      <c r="ONY111" s="1308"/>
      <c r="ONZ111" s="1308"/>
      <c r="OOA111" s="1308"/>
      <c r="OOB111" s="1308"/>
      <c r="OOC111" s="1308"/>
      <c r="OOD111" s="1308"/>
      <c r="OOE111" s="1308"/>
      <c r="OOF111" s="1308"/>
      <c r="OOG111" s="1308"/>
      <c r="OOH111" s="1308"/>
      <c r="OOI111" s="1308"/>
      <c r="OOJ111" s="1308"/>
      <c r="OOK111" s="1308"/>
      <c r="OOL111" s="1308"/>
      <c r="OOM111" s="1308"/>
      <c r="OON111" s="1308"/>
      <c r="OOO111" s="1308"/>
      <c r="OOP111" s="1308"/>
      <c r="OOQ111" s="1308"/>
      <c r="OOR111" s="1308"/>
      <c r="OOS111" s="1308"/>
      <c r="OOT111" s="1308"/>
      <c r="OOU111" s="1308"/>
      <c r="OOV111" s="1308"/>
      <c r="OOW111" s="1308"/>
      <c r="OOX111" s="1308"/>
      <c r="OOY111" s="1308"/>
      <c r="OOZ111" s="1308"/>
      <c r="OPA111" s="1308"/>
      <c r="OPB111" s="1308"/>
      <c r="OPC111" s="1308"/>
      <c r="OPD111" s="1308"/>
      <c r="OPE111" s="1308"/>
      <c r="OPF111" s="1308"/>
      <c r="OPG111" s="1308"/>
      <c r="OPH111" s="1308"/>
      <c r="OPI111" s="1308"/>
      <c r="OPJ111" s="1308"/>
      <c r="OPK111" s="1308"/>
      <c r="OPL111" s="1308"/>
      <c r="OPM111" s="1308"/>
      <c r="OPN111" s="1308"/>
      <c r="OPO111" s="1308"/>
      <c r="OPP111" s="1308"/>
      <c r="OPQ111" s="1308"/>
      <c r="OPR111" s="1308"/>
      <c r="OPS111" s="1308"/>
      <c r="OPT111" s="1308"/>
      <c r="OPU111" s="1308"/>
      <c r="OPV111" s="1308"/>
      <c r="OPW111" s="1308"/>
      <c r="OPX111" s="1308"/>
      <c r="OPY111" s="1308"/>
      <c r="OPZ111" s="1308"/>
      <c r="OQA111" s="1308"/>
      <c r="OQB111" s="1308"/>
      <c r="OQC111" s="1308"/>
      <c r="OQD111" s="1308"/>
      <c r="OQE111" s="1308"/>
      <c r="OQF111" s="1308"/>
      <c r="OQG111" s="1308"/>
      <c r="OQH111" s="1308"/>
      <c r="OQI111" s="1308"/>
      <c r="OQJ111" s="1308"/>
      <c r="OQK111" s="1308"/>
      <c r="OQL111" s="1308"/>
      <c r="OQM111" s="1308"/>
      <c r="OQN111" s="1308"/>
      <c r="OQO111" s="1308"/>
      <c r="OQP111" s="1308"/>
      <c r="OQQ111" s="1308"/>
      <c r="OQR111" s="1308"/>
      <c r="OQS111" s="1308"/>
      <c r="OQT111" s="1308"/>
      <c r="OQU111" s="1308"/>
      <c r="OQV111" s="1308"/>
      <c r="OQW111" s="1308"/>
      <c r="OQX111" s="1308"/>
      <c r="OQY111" s="1308"/>
      <c r="OQZ111" s="1308"/>
      <c r="ORA111" s="1308"/>
      <c r="ORB111" s="1308"/>
      <c r="ORC111" s="1308"/>
      <c r="ORD111" s="1308"/>
      <c r="ORE111" s="1308"/>
      <c r="ORF111" s="1308"/>
      <c r="ORG111" s="1308"/>
      <c r="ORH111" s="1308"/>
      <c r="ORI111" s="1308"/>
      <c r="ORJ111" s="1308"/>
      <c r="ORK111" s="1308"/>
      <c r="ORL111" s="1308"/>
      <c r="ORM111" s="1308"/>
      <c r="ORN111" s="1308"/>
      <c r="ORO111" s="1308"/>
      <c r="ORP111" s="1308"/>
      <c r="ORQ111" s="1308"/>
      <c r="ORR111" s="1308"/>
      <c r="ORS111" s="1308"/>
      <c r="ORT111" s="1308"/>
      <c r="ORU111" s="1308"/>
      <c r="ORV111" s="1308"/>
      <c r="ORW111" s="1308"/>
      <c r="ORX111" s="1308"/>
      <c r="ORY111" s="1308"/>
      <c r="ORZ111" s="1308"/>
      <c r="OSA111" s="1308"/>
      <c r="OSB111" s="1308"/>
      <c r="OSC111" s="1308"/>
      <c r="OSD111" s="1308"/>
      <c r="OSE111" s="1308"/>
      <c r="OSF111" s="1308"/>
      <c r="OSG111" s="1308"/>
      <c r="OSH111" s="1308"/>
      <c r="OSI111" s="1308"/>
      <c r="OSJ111" s="1308"/>
      <c r="OSK111" s="1308"/>
      <c r="OSL111" s="1308"/>
      <c r="OSM111" s="1308"/>
      <c r="OSN111" s="1308"/>
      <c r="OSO111" s="1308"/>
      <c r="OSP111" s="1308"/>
      <c r="OSQ111" s="1308"/>
      <c r="OSR111" s="1308"/>
      <c r="OSS111" s="1308"/>
      <c r="OST111" s="1308"/>
      <c r="OSU111" s="1308"/>
      <c r="OSV111" s="1308"/>
      <c r="OSW111" s="1308"/>
      <c r="OSX111" s="1308"/>
      <c r="OSY111" s="1308"/>
      <c r="OSZ111" s="1308"/>
      <c r="OTA111" s="1308"/>
      <c r="OTB111" s="1308"/>
      <c r="OTC111" s="1308"/>
      <c r="OTD111" s="1308"/>
      <c r="OTE111" s="1308"/>
      <c r="OTF111" s="1308"/>
      <c r="OTG111" s="1308"/>
      <c r="OTH111" s="1308"/>
      <c r="OTI111" s="1308"/>
      <c r="OTJ111" s="1308"/>
      <c r="OTK111" s="1308"/>
      <c r="OTL111" s="1308"/>
      <c r="OTM111" s="1308"/>
      <c r="OTN111" s="1308"/>
      <c r="OTO111" s="1308"/>
      <c r="OTP111" s="1308"/>
      <c r="OTQ111" s="1308"/>
      <c r="OTR111" s="1308"/>
      <c r="OTS111" s="1308"/>
      <c r="OTT111" s="1308"/>
      <c r="OTU111" s="1308"/>
      <c r="OTV111" s="1308"/>
      <c r="OTW111" s="1308"/>
      <c r="OTX111" s="1308"/>
      <c r="OTY111" s="1308"/>
      <c r="OTZ111" s="1308"/>
      <c r="OUA111" s="1308"/>
      <c r="OUB111" s="1308"/>
      <c r="OUC111" s="1308"/>
      <c r="OUD111" s="1308"/>
      <c r="OUE111" s="1308"/>
      <c r="OUF111" s="1308"/>
      <c r="OUG111" s="1308"/>
      <c r="OUH111" s="1308"/>
      <c r="OUI111" s="1308"/>
      <c r="OUJ111" s="1308"/>
      <c r="OUK111" s="1308"/>
      <c r="OUL111" s="1308"/>
      <c r="OUM111" s="1308"/>
      <c r="OUN111" s="1308"/>
      <c r="OUO111" s="1308"/>
      <c r="OUP111" s="1308"/>
      <c r="OUQ111" s="1308"/>
      <c r="OUR111" s="1308"/>
      <c r="OUS111" s="1308"/>
      <c r="OUT111" s="1308"/>
      <c r="OUU111" s="1308"/>
      <c r="OUV111" s="1308"/>
      <c r="OUW111" s="1308"/>
      <c r="OUX111" s="1308"/>
      <c r="OUY111" s="1308"/>
      <c r="OUZ111" s="1308"/>
      <c r="OVA111" s="1308"/>
      <c r="OVB111" s="1308"/>
      <c r="OVC111" s="1308"/>
      <c r="OVD111" s="1308"/>
      <c r="OVE111" s="1308"/>
      <c r="OVF111" s="1308"/>
      <c r="OVG111" s="1308"/>
      <c r="OVH111" s="1308"/>
      <c r="OVI111" s="1308"/>
      <c r="OVJ111" s="1308"/>
      <c r="OVK111" s="1308"/>
      <c r="OVL111" s="1308"/>
      <c r="OVM111" s="1308"/>
      <c r="OVN111" s="1308"/>
      <c r="OVO111" s="1308"/>
      <c r="OVP111" s="1308"/>
      <c r="OVQ111" s="1308"/>
      <c r="OVR111" s="1308"/>
      <c r="OVS111" s="1308"/>
      <c r="OVT111" s="1308"/>
      <c r="OVU111" s="1308"/>
      <c r="OVV111" s="1308"/>
      <c r="OVW111" s="1308"/>
      <c r="OVX111" s="1308"/>
      <c r="OVY111" s="1308"/>
      <c r="OVZ111" s="1308"/>
      <c r="OWA111" s="1308"/>
      <c r="OWB111" s="1308"/>
      <c r="OWC111" s="1308"/>
      <c r="OWD111" s="1308"/>
      <c r="OWE111" s="1308"/>
      <c r="OWF111" s="1308"/>
      <c r="OWG111" s="1308"/>
      <c r="OWH111" s="1308"/>
      <c r="OWI111" s="1308"/>
      <c r="OWJ111" s="1308"/>
      <c r="OWK111" s="1308"/>
      <c r="OWL111" s="1308"/>
      <c r="OWM111" s="1308"/>
      <c r="OWN111" s="1308"/>
      <c r="OWO111" s="1308"/>
      <c r="OWP111" s="1308"/>
      <c r="OWQ111" s="1308"/>
      <c r="OWR111" s="1308"/>
      <c r="OWS111" s="1308"/>
      <c r="OWT111" s="1308"/>
      <c r="OWU111" s="1308"/>
      <c r="OWV111" s="1308"/>
      <c r="OWW111" s="1308"/>
      <c r="OWX111" s="1308"/>
      <c r="OWY111" s="1308"/>
      <c r="OWZ111" s="1308"/>
      <c r="OXA111" s="1308"/>
      <c r="OXB111" s="1308"/>
      <c r="OXC111" s="1308"/>
      <c r="OXD111" s="1308"/>
      <c r="OXE111" s="1308"/>
      <c r="OXF111" s="1308"/>
      <c r="OXG111" s="1308"/>
      <c r="OXH111" s="1308"/>
      <c r="OXI111" s="1308"/>
      <c r="OXJ111" s="1308"/>
      <c r="OXK111" s="1308"/>
      <c r="OXL111" s="1308"/>
      <c r="OXM111" s="1308"/>
      <c r="OXN111" s="1308"/>
      <c r="OXO111" s="1308"/>
      <c r="OXP111" s="1308"/>
      <c r="OXQ111" s="1308"/>
      <c r="OXR111" s="1308"/>
      <c r="OXS111" s="1308"/>
      <c r="OXT111" s="1308"/>
      <c r="OXU111" s="1308"/>
      <c r="OXV111" s="1308"/>
      <c r="OXW111" s="1308"/>
      <c r="OXX111" s="1308"/>
      <c r="OXY111" s="1308"/>
      <c r="OXZ111" s="1308"/>
      <c r="OYA111" s="1308"/>
      <c r="OYB111" s="1308"/>
      <c r="OYC111" s="1308"/>
      <c r="OYD111" s="1308"/>
      <c r="OYE111" s="1308"/>
      <c r="OYF111" s="1308"/>
      <c r="OYG111" s="1308"/>
      <c r="OYH111" s="1308"/>
      <c r="OYI111" s="1308"/>
      <c r="OYJ111" s="1308"/>
      <c r="OYK111" s="1308"/>
      <c r="OYL111" s="1308"/>
      <c r="OYM111" s="1308"/>
      <c r="OYN111" s="1308"/>
      <c r="OYO111" s="1308"/>
      <c r="OYP111" s="1308"/>
      <c r="OYQ111" s="1308"/>
      <c r="OYR111" s="1308"/>
      <c r="OYS111" s="1308"/>
      <c r="OYT111" s="1308"/>
      <c r="OYU111" s="1308"/>
      <c r="OYV111" s="1308"/>
      <c r="OYW111" s="1308"/>
      <c r="OYX111" s="1308"/>
      <c r="OYY111" s="1308"/>
      <c r="OYZ111" s="1308"/>
      <c r="OZA111" s="1308"/>
      <c r="OZB111" s="1308"/>
      <c r="OZC111" s="1308"/>
      <c r="OZD111" s="1308"/>
      <c r="OZE111" s="1308"/>
      <c r="OZF111" s="1308"/>
      <c r="OZG111" s="1308"/>
      <c r="OZH111" s="1308"/>
      <c r="OZI111" s="1308"/>
      <c r="OZJ111" s="1308"/>
      <c r="OZK111" s="1308"/>
      <c r="OZL111" s="1308"/>
      <c r="OZM111" s="1308"/>
      <c r="OZN111" s="1308"/>
      <c r="OZO111" s="1308"/>
      <c r="OZP111" s="1308"/>
      <c r="OZQ111" s="1308"/>
      <c r="OZR111" s="1308"/>
      <c r="OZS111" s="1308"/>
      <c r="OZT111" s="1308"/>
      <c r="OZU111" s="1308"/>
      <c r="OZV111" s="1308"/>
      <c r="OZW111" s="1308"/>
      <c r="OZX111" s="1308"/>
      <c r="OZY111" s="1308"/>
      <c r="OZZ111" s="1308"/>
      <c r="PAA111" s="1308"/>
      <c r="PAB111" s="1308"/>
      <c r="PAC111" s="1308"/>
      <c r="PAD111" s="1308"/>
      <c r="PAE111" s="1308"/>
      <c r="PAF111" s="1308"/>
      <c r="PAG111" s="1308"/>
      <c r="PAH111" s="1308"/>
      <c r="PAI111" s="1308"/>
      <c r="PAJ111" s="1308"/>
      <c r="PAK111" s="1308"/>
      <c r="PAL111" s="1308"/>
      <c r="PAM111" s="1308"/>
      <c r="PAN111" s="1308"/>
      <c r="PAO111" s="1308"/>
      <c r="PAP111" s="1308"/>
      <c r="PAQ111" s="1308"/>
      <c r="PAR111" s="1308"/>
      <c r="PAS111" s="1308"/>
      <c r="PAT111" s="1308"/>
      <c r="PAU111" s="1308"/>
      <c r="PAV111" s="1308"/>
      <c r="PAW111" s="1308"/>
      <c r="PAX111" s="1308"/>
      <c r="PAY111" s="1308"/>
      <c r="PAZ111" s="1308"/>
      <c r="PBA111" s="1308"/>
      <c r="PBB111" s="1308"/>
      <c r="PBC111" s="1308"/>
      <c r="PBD111" s="1308"/>
      <c r="PBE111" s="1308"/>
      <c r="PBF111" s="1308"/>
      <c r="PBG111" s="1308"/>
      <c r="PBH111" s="1308"/>
      <c r="PBI111" s="1308"/>
      <c r="PBJ111" s="1308"/>
      <c r="PBK111" s="1308"/>
      <c r="PBL111" s="1308"/>
      <c r="PBM111" s="1308"/>
      <c r="PBN111" s="1308"/>
      <c r="PBO111" s="1308"/>
      <c r="PBP111" s="1308"/>
      <c r="PBQ111" s="1308"/>
      <c r="PBR111" s="1308"/>
      <c r="PBS111" s="1308"/>
      <c r="PBT111" s="1308"/>
      <c r="PBU111" s="1308"/>
      <c r="PBV111" s="1308"/>
      <c r="PBW111" s="1308"/>
      <c r="PBX111" s="1308"/>
      <c r="PBY111" s="1308"/>
      <c r="PBZ111" s="1308"/>
      <c r="PCA111" s="1308"/>
      <c r="PCB111" s="1308"/>
      <c r="PCC111" s="1308"/>
      <c r="PCD111" s="1308"/>
      <c r="PCE111" s="1308"/>
      <c r="PCF111" s="1308"/>
      <c r="PCG111" s="1308"/>
      <c r="PCH111" s="1308"/>
      <c r="PCI111" s="1308"/>
      <c r="PCJ111" s="1308"/>
      <c r="PCK111" s="1308"/>
      <c r="PCL111" s="1308"/>
      <c r="PCM111" s="1308"/>
      <c r="PCN111" s="1308"/>
      <c r="PCO111" s="1308"/>
      <c r="PCP111" s="1308"/>
      <c r="PCQ111" s="1308"/>
      <c r="PCR111" s="1308"/>
      <c r="PCS111" s="1308"/>
      <c r="PCT111" s="1308"/>
      <c r="PCU111" s="1308"/>
      <c r="PCV111" s="1308"/>
      <c r="PCW111" s="1308"/>
      <c r="PCX111" s="1308"/>
      <c r="PCY111" s="1308"/>
      <c r="PCZ111" s="1308"/>
      <c r="PDA111" s="1308"/>
      <c r="PDB111" s="1308"/>
      <c r="PDC111" s="1308"/>
      <c r="PDD111" s="1308"/>
      <c r="PDE111" s="1308"/>
      <c r="PDF111" s="1308"/>
      <c r="PDG111" s="1308"/>
      <c r="PDH111" s="1308"/>
      <c r="PDI111" s="1308"/>
      <c r="PDJ111" s="1308"/>
      <c r="PDK111" s="1308"/>
      <c r="PDL111" s="1308"/>
      <c r="PDM111" s="1308"/>
      <c r="PDN111" s="1308"/>
      <c r="PDO111" s="1308"/>
      <c r="PDP111" s="1308"/>
      <c r="PDQ111" s="1308"/>
      <c r="PDR111" s="1308"/>
      <c r="PDS111" s="1308"/>
      <c r="PDT111" s="1308"/>
      <c r="PDU111" s="1308"/>
      <c r="PDV111" s="1308"/>
      <c r="PDW111" s="1308"/>
      <c r="PDX111" s="1308"/>
      <c r="PDY111" s="1308"/>
      <c r="PDZ111" s="1308"/>
      <c r="PEA111" s="1308"/>
      <c r="PEB111" s="1308"/>
      <c r="PEC111" s="1308"/>
      <c r="PED111" s="1308"/>
      <c r="PEE111" s="1308"/>
      <c r="PEF111" s="1308"/>
      <c r="PEG111" s="1308"/>
      <c r="PEH111" s="1308"/>
      <c r="PEI111" s="1308"/>
      <c r="PEJ111" s="1308"/>
      <c r="PEK111" s="1308"/>
      <c r="PEL111" s="1308"/>
      <c r="PEM111" s="1308"/>
      <c r="PEN111" s="1308"/>
      <c r="PEO111" s="1308"/>
      <c r="PEP111" s="1308"/>
      <c r="PEQ111" s="1308"/>
      <c r="PER111" s="1308"/>
      <c r="PES111" s="1308"/>
      <c r="PET111" s="1308"/>
      <c r="PEU111" s="1308"/>
      <c r="PEV111" s="1308"/>
      <c r="PEW111" s="1308"/>
      <c r="PEX111" s="1308"/>
      <c r="PEY111" s="1308"/>
      <c r="PEZ111" s="1308"/>
      <c r="PFA111" s="1308"/>
      <c r="PFB111" s="1308"/>
      <c r="PFC111" s="1308"/>
      <c r="PFD111" s="1308"/>
      <c r="PFE111" s="1308"/>
      <c r="PFF111" s="1308"/>
      <c r="PFG111" s="1308"/>
      <c r="PFH111" s="1308"/>
      <c r="PFI111" s="1308"/>
      <c r="PFJ111" s="1308"/>
      <c r="PFK111" s="1308"/>
      <c r="PFL111" s="1308"/>
      <c r="PFM111" s="1308"/>
      <c r="PFN111" s="1308"/>
      <c r="PFO111" s="1308"/>
      <c r="PFP111" s="1308"/>
      <c r="PFQ111" s="1308"/>
      <c r="PFR111" s="1308"/>
      <c r="PFS111" s="1308"/>
      <c r="PFT111" s="1308"/>
      <c r="PFU111" s="1308"/>
      <c r="PFV111" s="1308"/>
      <c r="PFW111" s="1308"/>
      <c r="PFX111" s="1308"/>
      <c r="PFY111" s="1308"/>
      <c r="PFZ111" s="1308"/>
      <c r="PGA111" s="1308"/>
      <c r="PGB111" s="1308"/>
      <c r="PGC111" s="1308"/>
      <c r="PGD111" s="1308"/>
      <c r="PGE111" s="1308"/>
      <c r="PGF111" s="1308"/>
      <c r="PGG111" s="1308"/>
      <c r="PGH111" s="1308"/>
      <c r="PGI111" s="1308"/>
      <c r="PGJ111" s="1308"/>
      <c r="PGK111" s="1308"/>
      <c r="PGL111" s="1308"/>
      <c r="PGM111" s="1308"/>
      <c r="PGN111" s="1308"/>
      <c r="PGO111" s="1308"/>
      <c r="PGP111" s="1308"/>
      <c r="PGQ111" s="1308"/>
      <c r="PGR111" s="1308"/>
      <c r="PGS111" s="1308"/>
      <c r="PGT111" s="1308"/>
      <c r="PGU111" s="1308"/>
      <c r="PGV111" s="1308"/>
      <c r="PGW111" s="1308"/>
      <c r="PGX111" s="1308"/>
      <c r="PGY111" s="1308"/>
      <c r="PGZ111" s="1308"/>
      <c r="PHA111" s="1308"/>
      <c r="PHB111" s="1308"/>
      <c r="PHC111" s="1308"/>
      <c r="PHD111" s="1308"/>
      <c r="PHE111" s="1308"/>
      <c r="PHF111" s="1308"/>
      <c r="PHG111" s="1308"/>
      <c r="PHH111" s="1308"/>
      <c r="PHI111" s="1308"/>
      <c r="PHJ111" s="1308"/>
      <c r="PHK111" s="1308"/>
      <c r="PHL111" s="1308"/>
      <c r="PHM111" s="1308"/>
      <c r="PHN111" s="1308"/>
      <c r="PHO111" s="1308"/>
      <c r="PHP111" s="1308"/>
      <c r="PHQ111" s="1308"/>
      <c r="PHR111" s="1308"/>
      <c r="PHS111" s="1308"/>
      <c r="PHT111" s="1308"/>
      <c r="PHU111" s="1308"/>
      <c r="PHV111" s="1308"/>
      <c r="PHW111" s="1308"/>
      <c r="PHX111" s="1308"/>
      <c r="PHY111" s="1308"/>
      <c r="PHZ111" s="1308"/>
      <c r="PIA111" s="1308"/>
      <c r="PIB111" s="1308"/>
      <c r="PIC111" s="1308"/>
      <c r="PID111" s="1308"/>
      <c r="PIE111" s="1308"/>
      <c r="PIF111" s="1308"/>
      <c r="PIG111" s="1308"/>
      <c r="PIH111" s="1308"/>
      <c r="PII111" s="1308"/>
      <c r="PIJ111" s="1308"/>
      <c r="PIK111" s="1308"/>
      <c r="PIL111" s="1308"/>
      <c r="PIM111" s="1308"/>
      <c r="PIN111" s="1308"/>
      <c r="PIO111" s="1308"/>
      <c r="PIP111" s="1308"/>
      <c r="PIQ111" s="1308"/>
      <c r="PIR111" s="1308"/>
      <c r="PIS111" s="1308"/>
      <c r="PIT111" s="1308"/>
      <c r="PIU111" s="1308"/>
      <c r="PIV111" s="1308"/>
      <c r="PIW111" s="1308"/>
      <c r="PIX111" s="1308"/>
      <c r="PIY111" s="1308"/>
      <c r="PIZ111" s="1308"/>
      <c r="PJA111" s="1308"/>
      <c r="PJB111" s="1308"/>
      <c r="PJC111" s="1308"/>
      <c r="PJD111" s="1308"/>
      <c r="PJE111" s="1308"/>
      <c r="PJF111" s="1308"/>
      <c r="PJG111" s="1308"/>
      <c r="PJH111" s="1308"/>
      <c r="PJI111" s="1308"/>
      <c r="PJJ111" s="1308"/>
      <c r="PJK111" s="1308"/>
      <c r="PJL111" s="1308"/>
      <c r="PJM111" s="1308"/>
      <c r="PJN111" s="1308"/>
      <c r="PJO111" s="1308"/>
      <c r="PJP111" s="1308"/>
      <c r="PJQ111" s="1308"/>
      <c r="PJR111" s="1308"/>
      <c r="PJS111" s="1308"/>
      <c r="PJT111" s="1308"/>
      <c r="PJU111" s="1308"/>
      <c r="PJV111" s="1308"/>
      <c r="PJW111" s="1308"/>
      <c r="PJX111" s="1308"/>
      <c r="PJY111" s="1308"/>
      <c r="PJZ111" s="1308"/>
      <c r="PKA111" s="1308"/>
      <c r="PKB111" s="1308"/>
      <c r="PKC111" s="1308"/>
      <c r="PKD111" s="1308"/>
      <c r="PKE111" s="1308"/>
      <c r="PKF111" s="1308"/>
      <c r="PKG111" s="1308"/>
      <c r="PKH111" s="1308"/>
      <c r="PKI111" s="1308"/>
      <c r="PKJ111" s="1308"/>
      <c r="PKK111" s="1308"/>
      <c r="PKL111" s="1308"/>
      <c r="PKM111" s="1308"/>
      <c r="PKN111" s="1308"/>
      <c r="PKO111" s="1308"/>
      <c r="PKP111" s="1308"/>
      <c r="PKQ111" s="1308"/>
      <c r="PKR111" s="1308"/>
      <c r="PKS111" s="1308"/>
      <c r="PKT111" s="1308"/>
      <c r="PKU111" s="1308"/>
      <c r="PKV111" s="1308"/>
      <c r="PKW111" s="1308"/>
      <c r="PKX111" s="1308"/>
      <c r="PKY111" s="1308"/>
      <c r="PKZ111" s="1308"/>
      <c r="PLA111" s="1308"/>
      <c r="PLB111" s="1308"/>
      <c r="PLC111" s="1308"/>
      <c r="PLD111" s="1308"/>
      <c r="PLE111" s="1308"/>
      <c r="PLF111" s="1308"/>
      <c r="PLG111" s="1308"/>
      <c r="PLH111" s="1308"/>
      <c r="PLI111" s="1308"/>
      <c r="PLJ111" s="1308"/>
      <c r="PLK111" s="1308"/>
      <c r="PLL111" s="1308"/>
      <c r="PLM111" s="1308"/>
      <c r="PLN111" s="1308"/>
      <c r="PLO111" s="1308"/>
      <c r="PLP111" s="1308"/>
      <c r="PLQ111" s="1308"/>
      <c r="PLR111" s="1308"/>
      <c r="PLS111" s="1308"/>
      <c r="PLT111" s="1308"/>
      <c r="PLU111" s="1308"/>
      <c r="PLV111" s="1308"/>
      <c r="PLW111" s="1308"/>
      <c r="PLX111" s="1308"/>
      <c r="PLY111" s="1308"/>
      <c r="PLZ111" s="1308"/>
      <c r="PMA111" s="1308"/>
      <c r="PMB111" s="1308"/>
      <c r="PMC111" s="1308"/>
      <c r="PMD111" s="1308"/>
      <c r="PME111" s="1308"/>
      <c r="PMF111" s="1308"/>
      <c r="PMG111" s="1308"/>
      <c r="PMH111" s="1308"/>
      <c r="PMI111" s="1308"/>
      <c r="PMJ111" s="1308"/>
      <c r="PMK111" s="1308"/>
      <c r="PML111" s="1308"/>
      <c r="PMM111" s="1308"/>
      <c r="PMN111" s="1308"/>
      <c r="PMO111" s="1308"/>
      <c r="PMP111" s="1308"/>
      <c r="PMQ111" s="1308"/>
      <c r="PMR111" s="1308"/>
      <c r="PMS111" s="1308"/>
      <c r="PMT111" s="1308"/>
      <c r="PMU111" s="1308"/>
      <c r="PMV111" s="1308"/>
      <c r="PMW111" s="1308"/>
      <c r="PMX111" s="1308"/>
      <c r="PMY111" s="1308"/>
      <c r="PMZ111" s="1308"/>
      <c r="PNA111" s="1308"/>
      <c r="PNB111" s="1308"/>
      <c r="PNC111" s="1308"/>
      <c r="PND111" s="1308"/>
      <c r="PNE111" s="1308"/>
      <c r="PNF111" s="1308"/>
      <c r="PNG111" s="1308"/>
      <c r="PNH111" s="1308"/>
      <c r="PNI111" s="1308"/>
      <c r="PNJ111" s="1308"/>
      <c r="PNK111" s="1308"/>
      <c r="PNL111" s="1308"/>
      <c r="PNM111" s="1308"/>
      <c r="PNN111" s="1308"/>
      <c r="PNO111" s="1308"/>
      <c r="PNP111" s="1308"/>
      <c r="PNQ111" s="1308"/>
      <c r="PNR111" s="1308"/>
      <c r="PNS111" s="1308"/>
      <c r="PNT111" s="1308"/>
      <c r="PNU111" s="1308"/>
      <c r="PNV111" s="1308"/>
      <c r="PNW111" s="1308"/>
      <c r="PNX111" s="1308"/>
      <c r="PNY111" s="1308"/>
      <c r="PNZ111" s="1308"/>
      <c r="POA111" s="1308"/>
      <c r="POB111" s="1308"/>
      <c r="POC111" s="1308"/>
      <c r="POD111" s="1308"/>
      <c r="POE111" s="1308"/>
      <c r="POF111" s="1308"/>
      <c r="POG111" s="1308"/>
      <c r="POH111" s="1308"/>
      <c r="POI111" s="1308"/>
      <c r="POJ111" s="1308"/>
      <c r="POK111" s="1308"/>
      <c r="POL111" s="1308"/>
      <c r="POM111" s="1308"/>
      <c r="PON111" s="1308"/>
      <c r="POO111" s="1308"/>
      <c r="POP111" s="1308"/>
      <c r="POQ111" s="1308"/>
      <c r="POR111" s="1308"/>
      <c r="POS111" s="1308"/>
      <c r="POT111" s="1308"/>
      <c r="POU111" s="1308"/>
      <c r="POV111" s="1308"/>
      <c r="POW111" s="1308"/>
      <c r="POX111" s="1308"/>
      <c r="POY111" s="1308"/>
      <c r="POZ111" s="1308"/>
      <c r="PPA111" s="1308"/>
      <c r="PPB111" s="1308"/>
      <c r="PPC111" s="1308"/>
      <c r="PPD111" s="1308"/>
      <c r="PPE111" s="1308"/>
      <c r="PPF111" s="1308"/>
      <c r="PPG111" s="1308"/>
      <c r="PPH111" s="1308"/>
      <c r="PPI111" s="1308"/>
      <c r="PPJ111" s="1308"/>
      <c r="PPK111" s="1308"/>
      <c r="PPL111" s="1308"/>
      <c r="PPM111" s="1308"/>
      <c r="PPN111" s="1308"/>
      <c r="PPO111" s="1308"/>
      <c r="PPP111" s="1308"/>
      <c r="PPQ111" s="1308"/>
      <c r="PPR111" s="1308"/>
      <c r="PPS111" s="1308"/>
      <c r="PPT111" s="1308"/>
      <c r="PPU111" s="1308"/>
      <c r="PPV111" s="1308"/>
      <c r="PPW111" s="1308"/>
      <c r="PPX111" s="1308"/>
      <c r="PPY111" s="1308"/>
      <c r="PPZ111" s="1308"/>
      <c r="PQA111" s="1308"/>
      <c r="PQB111" s="1308"/>
      <c r="PQC111" s="1308"/>
      <c r="PQD111" s="1308"/>
      <c r="PQE111" s="1308"/>
      <c r="PQF111" s="1308"/>
      <c r="PQG111" s="1308"/>
      <c r="PQH111" s="1308"/>
      <c r="PQI111" s="1308"/>
      <c r="PQJ111" s="1308"/>
      <c r="PQK111" s="1308"/>
      <c r="PQL111" s="1308"/>
      <c r="PQM111" s="1308"/>
      <c r="PQN111" s="1308"/>
      <c r="PQO111" s="1308"/>
      <c r="PQP111" s="1308"/>
      <c r="PQQ111" s="1308"/>
      <c r="PQR111" s="1308"/>
      <c r="PQS111" s="1308"/>
      <c r="PQT111" s="1308"/>
      <c r="PQU111" s="1308"/>
      <c r="PQV111" s="1308"/>
      <c r="PQW111" s="1308"/>
      <c r="PQX111" s="1308"/>
      <c r="PQY111" s="1308"/>
      <c r="PQZ111" s="1308"/>
      <c r="PRA111" s="1308"/>
      <c r="PRB111" s="1308"/>
      <c r="PRC111" s="1308"/>
      <c r="PRD111" s="1308"/>
      <c r="PRE111" s="1308"/>
      <c r="PRF111" s="1308"/>
      <c r="PRG111" s="1308"/>
      <c r="PRH111" s="1308"/>
      <c r="PRI111" s="1308"/>
      <c r="PRJ111" s="1308"/>
      <c r="PRK111" s="1308"/>
      <c r="PRL111" s="1308"/>
      <c r="PRM111" s="1308"/>
      <c r="PRN111" s="1308"/>
      <c r="PRO111" s="1308"/>
      <c r="PRP111" s="1308"/>
      <c r="PRQ111" s="1308"/>
      <c r="PRR111" s="1308"/>
      <c r="PRS111" s="1308"/>
      <c r="PRT111" s="1308"/>
      <c r="PRU111" s="1308"/>
      <c r="PRV111" s="1308"/>
      <c r="PRW111" s="1308"/>
      <c r="PRX111" s="1308"/>
      <c r="PRY111" s="1308"/>
      <c r="PRZ111" s="1308"/>
      <c r="PSA111" s="1308"/>
      <c r="PSB111" s="1308"/>
      <c r="PSC111" s="1308"/>
      <c r="PSD111" s="1308"/>
      <c r="PSE111" s="1308"/>
      <c r="PSF111" s="1308"/>
      <c r="PSG111" s="1308"/>
      <c r="PSH111" s="1308"/>
      <c r="PSI111" s="1308"/>
      <c r="PSJ111" s="1308"/>
      <c r="PSK111" s="1308"/>
      <c r="PSL111" s="1308"/>
      <c r="PSM111" s="1308"/>
      <c r="PSN111" s="1308"/>
      <c r="PSO111" s="1308"/>
      <c r="PSP111" s="1308"/>
      <c r="PSQ111" s="1308"/>
      <c r="PSR111" s="1308"/>
      <c r="PSS111" s="1308"/>
      <c r="PST111" s="1308"/>
      <c r="PSU111" s="1308"/>
      <c r="PSV111" s="1308"/>
      <c r="PSW111" s="1308"/>
      <c r="PSX111" s="1308"/>
      <c r="PSY111" s="1308"/>
      <c r="PSZ111" s="1308"/>
      <c r="PTA111" s="1308"/>
      <c r="PTB111" s="1308"/>
      <c r="PTC111" s="1308"/>
      <c r="PTD111" s="1308"/>
      <c r="PTE111" s="1308"/>
      <c r="PTF111" s="1308"/>
      <c r="PTG111" s="1308"/>
      <c r="PTH111" s="1308"/>
      <c r="PTI111" s="1308"/>
      <c r="PTJ111" s="1308"/>
      <c r="PTK111" s="1308"/>
      <c r="PTL111" s="1308"/>
      <c r="PTM111" s="1308"/>
      <c r="PTN111" s="1308"/>
      <c r="PTO111" s="1308"/>
      <c r="PTP111" s="1308"/>
      <c r="PTQ111" s="1308"/>
      <c r="PTR111" s="1308"/>
      <c r="PTS111" s="1308"/>
      <c r="PTT111" s="1308"/>
      <c r="PTU111" s="1308"/>
      <c r="PTV111" s="1308"/>
      <c r="PTW111" s="1308"/>
      <c r="PTX111" s="1308"/>
      <c r="PTY111" s="1308"/>
      <c r="PTZ111" s="1308"/>
      <c r="PUA111" s="1308"/>
      <c r="PUB111" s="1308"/>
      <c r="PUC111" s="1308"/>
      <c r="PUD111" s="1308"/>
      <c r="PUE111" s="1308"/>
      <c r="PUF111" s="1308"/>
      <c r="PUG111" s="1308"/>
      <c r="PUH111" s="1308"/>
      <c r="PUI111" s="1308"/>
      <c r="PUJ111" s="1308"/>
      <c r="PUK111" s="1308"/>
      <c r="PUL111" s="1308"/>
      <c r="PUM111" s="1308"/>
      <c r="PUN111" s="1308"/>
      <c r="PUO111" s="1308"/>
      <c r="PUP111" s="1308"/>
      <c r="PUQ111" s="1308"/>
      <c r="PUR111" s="1308"/>
      <c r="PUS111" s="1308"/>
      <c r="PUT111" s="1308"/>
      <c r="PUU111" s="1308"/>
      <c r="PUV111" s="1308"/>
      <c r="PUW111" s="1308"/>
      <c r="PUX111" s="1308"/>
      <c r="PUY111" s="1308"/>
      <c r="PUZ111" s="1308"/>
      <c r="PVA111" s="1308"/>
      <c r="PVB111" s="1308"/>
      <c r="PVC111" s="1308"/>
      <c r="PVD111" s="1308"/>
      <c r="PVE111" s="1308"/>
      <c r="PVF111" s="1308"/>
      <c r="PVG111" s="1308"/>
      <c r="PVH111" s="1308"/>
      <c r="PVI111" s="1308"/>
      <c r="PVJ111" s="1308"/>
      <c r="PVK111" s="1308"/>
      <c r="PVL111" s="1308"/>
      <c r="PVM111" s="1308"/>
      <c r="PVN111" s="1308"/>
      <c r="PVO111" s="1308"/>
      <c r="PVP111" s="1308"/>
      <c r="PVQ111" s="1308"/>
      <c r="PVR111" s="1308"/>
      <c r="PVS111" s="1308"/>
      <c r="PVT111" s="1308"/>
      <c r="PVU111" s="1308"/>
      <c r="PVV111" s="1308"/>
      <c r="PVW111" s="1308"/>
      <c r="PVX111" s="1308"/>
      <c r="PVY111" s="1308"/>
      <c r="PVZ111" s="1308"/>
      <c r="PWA111" s="1308"/>
      <c r="PWB111" s="1308"/>
      <c r="PWC111" s="1308"/>
      <c r="PWD111" s="1308"/>
      <c r="PWE111" s="1308"/>
      <c r="PWF111" s="1308"/>
      <c r="PWG111" s="1308"/>
      <c r="PWH111" s="1308"/>
      <c r="PWI111" s="1308"/>
      <c r="PWJ111" s="1308"/>
      <c r="PWK111" s="1308"/>
      <c r="PWL111" s="1308"/>
      <c r="PWM111" s="1308"/>
      <c r="PWN111" s="1308"/>
      <c r="PWO111" s="1308"/>
      <c r="PWP111" s="1308"/>
      <c r="PWQ111" s="1308"/>
      <c r="PWR111" s="1308"/>
      <c r="PWS111" s="1308"/>
      <c r="PWT111" s="1308"/>
      <c r="PWU111" s="1308"/>
      <c r="PWV111" s="1308"/>
      <c r="PWW111" s="1308"/>
      <c r="PWX111" s="1308"/>
      <c r="PWY111" s="1308"/>
      <c r="PWZ111" s="1308"/>
      <c r="PXA111" s="1308"/>
      <c r="PXB111" s="1308"/>
      <c r="PXC111" s="1308"/>
      <c r="PXD111" s="1308"/>
      <c r="PXE111" s="1308"/>
      <c r="PXF111" s="1308"/>
      <c r="PXG111" s="1308"/>
      <c r="PXH111" s="1308"/>
      <c r="PXI111" s="1308"/>
      <c r="PXJ111" s="1308"/>
      <c r="PXK111" s="1308"/>
      <c r="PXL111" s="1308"/>
      <c r="PXM111" s="1308"/>
      <c r="PXN111" s="1308"/>
      <c r="PXO111" s="1308"/>
      <c r="PXP111" s="1308"/>
      <c r="PXQ111" s="1308"/>
      <c r="PXR111" s="1308"/>
      <c r="PXS111" s="1308"/>
      <c r="PXT111" s="1308"/>
      <c r="PXU111" s="1308"/>
      <c r="PXV111" s="1308"/>
      <c r="PXW111" s="1308"/>
      <c r="PXX111" s="1308"/>
      <c r="PXY111" s="1308"/>
      <c r="PXZ111" s="1308"/>
      <c r="PYA111" s="1308"/>
      <c r="PYB111" s="1308"/>
      <c r="PYC111" s="1308"/>
      <c r="PYD111" s="1308"/>
      <c r="PYE111" s="1308"/>
      <c r="PYF111" s="1308"/>
      <c r="PYG111" s="1308"/>
      <c r="PYH111" s="1308"/>
      <c r="PYI111" s="1308"/>
      <c r="PYJ111" s="1308"/>
      <c r="PYK111" s="1308"/>
      <c r="PYL111" s="1308"/>
      <c r="PYM111" s="1308"/>
      <c r="PYN111" s="1308"/>
      <c r="PYO111" s="1308"/>
      <c r="PYP111" s="1308"/>
      <c r="PYQ111" s="1308"/>
      <c r="PYR111" s="1308"/>
      <c r="PYS111" s="1308"/>
      <c r="PYT111" s="1308"/>
      <c r="PYU111" s="1308"/>
      <c r="PYV111" s="1308"/>
      <c r="PYW111" s="1308"/>
      <c r="PYX111" s="1308"/>
      <c r="PYY111" s="1308"/>
      <c r="PYZ111" s="1308"/>
      <c r="PZA111" s="1308"/>
      <c r="PZB111" s="1308"/>
      <c r="PZC111" s="1308"/>
      <c r="PZD111" s="1308"/>
      <c r="PZE111" s="1308"/>
      <c r="PZF111" s="1308"/>
      <c r="PZG111" s="1308"/>
      <c r="PZH111" s="1308"/>
      <c r="PZI111" s="1308"/>
      <c r="PZJ111" s="1308"/>
      <c r="PZK111" s="1308"/>
      <c r="PZL111" s="1308"/>
      <c r="PZM111" s="1308"/>
      <c r="PZN111" s="1308"/>
      <c r="PZO111" s="1308"/>
      <c r="PZP111" s="1308"/>
      <c r="PZQ111" s="1308"/>
      <c r="PZR111" s="1308"/>
      <c r="PZS111" s="1308"/>
      <c r="PZT111" s="1308"/>
      <c r="PZU111" s="1308"/>
      <c r="PZV111" s="1308"/>
      <c r="PZW111" s="1308"/>
      <c r="PZX111" s="1308"/>
      <c r="PZY111" s="1308"/>
      <c r="PZZ111" s="1308"/>
      <c r="QAA111" s="1308"/>
      <c r="QAB111" s="1308"/>
      <c r="QAC111" s="1308"/>
      <c r="QAD111" s="1308"/>
      <c r="QAE111" s="1308"/>
      <c r="QAF111" s="1308"/>
      <c r="QAG111" s="1308"/>
      <c r="QAH111" s="1308"/>
      <c r="QAI111" s="1308"/>
      <c r="QAJ111" s="1308"/>
      <c r="QAK111" s="1308"/>
      <c r="QAL111" s="1308"/>
      <c r="QAM111" s="1308"/>
      <c r="QAN111" s="1308"/>
      <c r="QAO111" s="1308"/>
      <c r="QAP111" s="1308"/>
      <c r="QAQ111" s="1308"/>
      <c r="QAR111" s="1308"/>
      <c r="QAS111" s="1308"/>
      <c r="QAT111" s="1308"/>
      <c r="QAU111" s="1308"/>
      <c r="QAV111" s="1308"/>
      <c r="QAW111" s="1308"/>
      <c r="QAX111" s="1308"/>
      <c r="QAY111" s="1308"/>
      <c r="QAZ111" s="1308"/>
      <c r="QBA111" s="1308"/>
      <c r="QBB111" s="1308"/>
      <c r="QBC111" s="1308"/>
      <c r="QBD111" s="1308"/>
      <c r="QBE111" s="1308"/>
      <c r="QBF111" s="1308"/>
      <c r="QBG111" s="1308"/>
      <c r="QBH111" s="1308"/>
      <c r="QBI111" s="1308"/>
      <c r="QBJ111" s="1308"/>
      <c r="QBK111" s="1308"/>
      <c r="QBL111" s="1308"/>
      <c r="QBM111" s="1308"/>
      <c r="QBN111" s="1308"/>
      <c r="QBO111" s="1308"/>
      <c r="QBP111" s="1308"/>
      <c r="QBQ111" s="1308"/>
      <c r="QBR111" s="1308"/>
      <c r="QBS111" s="1308"/>
      <c r="QBT111" s="1308"/>
      <c r="QBU111" s="1308"/>
      <c r="QBV111" s="1308"/>
      <c r="QBW111" s="1308"/>
      <c r="QBX111" s="1308"/>
      <c r="QBY111" s="1308"/>
      <c r="QBZ111" s="1308"/>
      <c r="QCA111" s="1308"/>
      <c r="QCB111" s="1308"/>
      <c r="QCC111" s="1308"/>
      <c r="QCD111" s="1308"/>
      <c r="QCE111" s="1308"/>
      <c r="QCF111" s="1308"/>
      <c r="QCG111" s="1308"/>
      <c r="QCH111" s="1308"/>
      <c r="QCI111" s="1308"/>
      <c r="QCJ111" s="1308"/>
      <c r="QCK111" s="1308"/>
      <c r="QCL111" s="1308"/>
      <c r="QCM111" s="1308"/>
      <c r="QCN111" s="1308"/>
      <c r="QCO111" s="1308"/>
      <c r="QCP111" s="1308"/>
      <c r="QCQ111" s="1308"/>
      <c r="QCR111" s="1308"/>
      <c r="QCS111" s="1308"/>
      <c r="QCT111" s="1308"/>
      <c r="QCU111" s="1308"/>
      <c r="QCV111" s="1308"/>
      <c r="QCW111" s="1308"/>
      <c r="QCX111" s="1308"/>
      <c r="QCY111" s="1308"/>
      <c r="QCZ111" s="1308"/>
      <c r="QDA111" s="1308"/>
      <c r="QDB111" s="1308"/>
      <c r="QDC111" s="1308"/>
      <c r="QDD111" s="1308"/>
      <c r="QDE111" s="1308"/>
      <c r="QDF111" s="1308"/>
      <c r="QDG111" s="1308"/>
      <c r="QDH111" s="1308"/>
      <c r="QDI111" s="1308"/>
      <c r="QDJ111" s="1308"/>
      <c r="QDK111" s="1308"/>
      <c r="QDL111" s="1308"/>
      <c r="QDM111" s="1308"/>
      <c r="QDN111" s="1308"/>
      <c r="QDO111" s="1308"/>
      <c r="QDP111" s="1308"/>
      <c r="QDQ111" s="1308"/>
      <c r="QDR111" s="1308"/>
      <c r="QDS111" s="1308"/>
      <c r="QDT111" s="1308"/>
      <c r="QDU111" s="1308"/>
      <c r="QDV111" s="1308"/>
      <c r="QDW111" s="1308"/>
      <c r="QDX111" s="1308"/>
      <c r="QDY111" s="1308"/>
      <c r="QDZ111" s="1308"/>
      <c r="QEA111" s="1308"/>
      <c r="QEB111" s="1308"/>
      <c r="QEC111" s="1308"/>
      <c r="QED111" s="1308"/>
      <c r="QEE111" s="1308"/>
      <c r="QEF111" s="1308"/>
      <c r="QEG111" s="1308"/>
      <c r="QEH111" s="1308"/>
      <c r="QEI111" s="1308"/>
      <c r="QEJ111" s="1308"/>
      <c r="QEK111" s="1308"/>
      <c r="QEL111" s="1308"/>
      <c r="QEM111" s="1308"/>
      <c r="QEN111" s="1308"/>
      <c r="QEO111" s="1308"/>
      <c r="QEP111" s="1308"/>
      <c r="QEQ111" s="1308"/>
      <c r="QER111" s="1308"/>
      <c r="QES111" s="1308"/>
      <c r="QET111" s="1308"/>
      <c r="QEU111" s="1308"/>
      <c r="QEV111" s="1308"/>
      <c r="QEW111" s="1308"/>
      <c r="QEX111" s="1308"/>
      <c r="QEY111" s="1308"/>
      <c r="QEZ111" s="1308"/>
      <c r="QFA111" s="1308"/>
      <c r="QFB111" s="1308"/>
      <c r="QFC111" s="1308"/>
      <c r="QFD111" s="1308"/>
      <c r="QFE111" s="1308"/>
      <c r="QFF111" s="1308"/>
      <c r="QFG111" s="1308"/>
      <c r="QFH111" s="1308"/>
      <c r="QFI111" s="1308"/>
      <c r="QFJ111" s="1308"/>
      <c r="QFK111" s="1308"/>
      <c r="QFL111" s="1308"/>
      <c r="QFM111" s="1308"/>
      <c r="QFN111" s="1308"/>
      <c r="QFO111" s="1308"/>
      <c r="QFP111" s="1308"/>
      <c r="QFQ111" s="1308"/>
      <c r="QFR111" s="1308"/>
      <c r="QFS111" s="1308"/>
      <c r="QFT111" s="1308"/>
      <c r="QFU111" s="1308"/>
      <c r="QFV111" s="1308"/>
      <c r="QFW111" s="1308"/>
      <c r="QFX111" s="1308"/>
      <c r="QFY111" s="1308"/>
      <c r="QFZ111" s="1308"/>
      <c r="QGA111" s="1308"/>
      <c r="QGB111" s="1308"/>
      <c r="QGC111" s="1308"/>
      <c r="QGD111" s="1308"/>
      <c r="QGE111" s="1308"/>
      <c r="QGF111" s="1308"/>
      <c r="QGG111" s="1308"/>
      <c r="QGH111" s="1308"/>
      <c r="QGI111" s="1308"/>
      <c r="QGJ111" s="1308"/>
      <c r="QGK111" s="1308"/>
      <c r="QGL111" s="1308"/>
      <c r="QGM111" s="1308"/>
      <c r="QGN111" s="1308"/>
      <c r="QGO111" s="1308"/>
      <c r="QGP111" s="1308"/>
      <c r="QGQ111" s="1308"/>
      <c r="QGR111" s="1308"/>
      <c r="QGS111" s="1308"/>
      <c r="QGT111" s="1308"/>
      <c r="QGU111" s="1308"/>
      <c r="QGV111" s="1308"/>
      <c r="QGW111" s="1308"/>
      <c r="QGX111" s="1308"/>
      <c r="QGY111" s="1308"/>
      <c r="QGZ111" s="1308"/>
      <c r="QHA111" s="1308"/>
      <c r="QHB111" s="1308"/>
      <c r="QHC111" s="1308"/>
      <c r="QHD111" s="1308"/>
      <c r="QHE111" s="1308"/>
      <c r="QHF111" s="1308"/>
      <c r="QHG111" s="1308"/>
      <c r="QHH111" s="1308"/>
      <c r="QHI111" s="1308"/>
      <c r="QHJ111" s="1308"/>
      <c r="QHK111" s="1308"/>
      <c r="QHL111" s="1308"/>
      <c r="QHM111" s="1308"/>
      <c r="QHN111" s="1308"/>
      <c r="QHO111" s="1308"/>
      <c r="QHP111" s="1308"/>
      <c r="QHQ111" s="1308"/>
      <c r="QHR111" s="1308"/>
      <c r="QHS111" s="1308"/>
      <c r="QHT111" s="1308"/>
      <c r="QHU111" s="1308"/>
      <c r="QHV111" s="1308"/>
      <c r="QHW111" s="1308"/>
      <c r="QHX111" s="1308"/>
      <c r="QHY111" s="1308"/>
      <c r="QHZ111" s="1308"/>
      <c r="QIA111" s="1308"/>
      <c r="QIB111" s="1308"/>
      <c r="QIC111" s="1308"/>
      <c r="QID111" s="1308"/>
      <c r="QIE111" s="1308"/>
      <c r="QIF111" s="1308"/>
      <c r="QIG111" s="1308"/>
      <c r="QIH111" s="1308"/>
      <c r="QII111" s="1308"/>
      <c r="QIJ111" s="1308"/>
      <c r="QIK111" s="1308"/>
      <c r="QIL111" s="1308"/>
      <c r="QIM111" s="1308"/>
      <c r="QIN111" s="1308"/>
      <c r="QIO111" s="1308"/>
      <c r="QIP111" s="1308"/>
      <c r="QIQ111" s="1308"/>
      <c r="QIR111" s="1308"/>
      <c r="QIS111" s="1308"/>
      <c r="QIT111" s="1308"/>
      <c r="QIU111" s="1308"/>
      <c r="QIV111" s="1308"/>
      <c r="QIW111" s="1308"/>
      <c r="QIX111" s="1308"/>
      <c r="QIY111" s="1308"/>
      <c r="QIZ111" s="1308"/>
      <c r="QJA111" s="1308"/>
      <c r="QJB111" s="1308"/>
      <c r="QJC111" s="1308"/>
      <c r="QJD111" s="1308"/>
      <c r="QJE111" s="1308"/>
      <c r="QJF111" s="1308"/>
      <c r="QJG111" s="1308"/>
      <c r="QJH111" s="1308"/>
      <c r="QJI111" s="1308"/>
      <c r="QJJ111" s="1308"/>
      <c r="QJK111" s="1308"/>
      <c r="QJL111" s="1308"/>
      <c r="QJM111" s="1308"/>
      <c r="QJN111" s="1308"/>
      <c r="QJO111" s="1308"/>
      <c r="QJP111" s="1308"/>
      <c r="QJQ111" s="1308"/>
      <c r="QJR111" s="1308"/>
      <c r="QJS111" s="1308"/>
      <c r="QJT111" s="1308"/>
      <c r="QJU111" s="1308"/>
      <c r="QJV111" s="1308"/>
      <c r="QJW111" s="1308"/>
      <c r="QJX111" s="1308"/>
      <c r="QJY111" s="1308"/>
      <c r="QJZ111" s="1308"/>
      <c r="QKA111" s="1308"/>
      <c r="QKB111" s="1308"/>
      <c r="QKC111" s="1308"/>
      <c r="QKD111" s="1308"/>
      <c r="QKE111" s="1308"/>
      <c r="QKF111" s="1308"/>
      <c r="QKG111" s="1308"/>
      <c r="QKH111" s="1308"/>
      <c r="QKI111" s="1308"/>
      <c r="QKJ111" s="1308"/>
      <c r="QKK111" s="1308"/>
      <c r="QKL111" s="1308"/>
      <c r="QKM111" s="1308"/>
      <c r="QKN111" s="1308"/>
      <c r="QKO111" s="1308"/>
      <c r="QKP111" s="1308"/>
      <c r="QKQ111" s="1308"/>
      <c r="QKR111" s="1308"/>
      <c r="QKS111" s="1308"/>
      <c r="QKT111" s="1308"/>
      <c r="QKU111" s="1308"/>
      <c r="QKV111" s="1308"/>
      <c r="QKW111" s="1308"/>
      <c r="QKX111" s="1308"/>
      <c r="QKY111" s="1308"/>
      <c r="QKZ111" s="1308"/>
      <c r="QLA111" s="1308"/>
      <c r="QLB111" s="1308"/>
      <c r="QLC111" s="1308"/>
      <c r="QLD111" s="1308"/>
      <c r="QLE111" s="1308"/>
      <c r="QLF111" s="1308"/>
      <c r="QLG111" s="1308"/>
      <c r="QLH111" s="1308"/>
      <c r="QLI111" s="1308"/>
      <c r="QLJ111" s="1308"/>
      <c r="QLK111" s="1308"/>
      <c r="QLL111" s="1308"/>
      <c r="QLM111" s="1308"/>
      <c r="QLN111" s="1308"/>
      <c r="QLO111" s="1308"/>
      <c r="QLP111" s="1308"/>
      <c r="QLQ111" s="1308"/>
      <c r="QLR111" s="1308"/>
      <c r="QLS111" s="1308"/>
      <c r="QLT111" s="1308"/>
      <c r="QLU111" s="1308"/>
      <c r="QLV111" s="1308"/>
      <c r="QLW111" s="1308"/>
      <c r="QLX111" s="1308"/>
      <c r="QLY111" s="1308"/>
      <c r="QLZ111" s="1308"/>
      <c r="QMA111" s="1308"/>
      <c r="QMB111" s="1308"/>
      <c r="QMC111" s="1308"/>
      <c r="QMD111" s="1308"/>
      <c r="QME111" s="1308"/>
      <c r="QMF111" s="1308"/>
      <c r="QMG111" s="1308"/>
      <c r="QMH111" s="1308"/>
      <c r="QMI111" s="1308"/>
      <c r="QMJ111" s="1308"/>
      <c r="QMK111" s="1308"/>
      <c r="QML111" s="1308"/>
      <c r="QMM111" s="1308"/>
      <c r="QMN111" s="1308"/>
      <c r="QMO111" s="1308"/>
      <c r="QMP111" s="1308"/>
      <c r="QMQ111" s="1308"/>
      <c r="QMR111" s="1308"/>
      <c r="QMS111" s="1308"/>
      <c r="QMT111" s="1308"/>
      <c r="QMU111" s="1308"/>
      <c r="QMV111" s="1308"/>
      <c r="QMW111" s="1308"/>
      <c r="QMX111" s="1308"/>
      <c r="QMY111" s="1308"/>
      <c r="QMZ111" s="1308"/>
      <c r="QNA111" s="1308"/>
      <c r="QNB111" s="1308"/>
      <c r="QNC111" s="1308"/>
      <c r="QND111" s="1308"/>
      <c r="QNE111" s="1308"/>
      <c r="QNF111" s="1308"/>
      <c r="QNG111" s="1308"/>
      <c r="QNH111" s="1308"/>
      <c r="QNI111" s="1308"/>
      <c r="QNJ111" s="1308"/>
      <c r="QNK111" s="1308"/>
      <c r="QNL111" s="1308"/>
      <c r="QNM111" s="1308"/>
      <c r="QNN111" s="1308"/>
      <c r="QNO111" s="1308"/>
      <c r="QNP111" s="1308"/>
      <c r="QNQ111" s="1308"/>
      <c r="QNR111" s="1308"/>
      <c r="QNS111" s="1308"/>
      <c r="QNT111" s="1308"/>
      <c r="QNU111" s="1308"/>
      <c r="QNV111" s="1308"/>
      <c r="QNW111" s="1308"/>
      <c r="QNX111" s="1308"/>
      <c r="QNY111" s="1308"/>
      <c r="QNZ111" s="1308"/>
      <c r="QOA111" s="1308"/>
      <c r="QOB111" s="1308"/>
      <c r="QOC111" s="1308"/>
      <c r="QOD111" s="1308"/>
      <c r="QOE111" s="1308"/>
      <c r="QOF111" s="1308"/>
      <c r="QOG111" s="1308"/>
      <c r="QOH111" s="1308"/>
      <c r="QOI111" s="1308"/>
      <c r="QOJ111" s="1308"/>
      <c r="QOK111" s="1308"/>
      <c r="QOL111" s="1308"/>
      <c r="QOM111" s="1308"/>
      <c r="QON111" s="1308"/>
      <c r="QOO111" s="1308"/>
      <c r="QOP111" s="1308"/>
      <c r="QOQ111" s="1308"/>
      <c r="QOR111" s="1308"/>
      <c r="QOS111" s="1308"/>
      <c r="QOT111" s="1308"/>
      <c r="QOU111" s="1308"/>
      <c r="QOV111" s="1308"/>
      <c r="QOW111" s="1308"/>
      <c r="QOX111" s="1308"/>
      <c r="QOY111" s="1308"/>
      <c r="QOZ111" s="1308"/>
      <c r="QPA111" s="1308"/>
      <c r="QPB111" s="1308"/>
      <c r="QPC111" s="1308"/>
      <c r="QPD111" s="1308"/>
      <c r="QPE111" s="1308"/>
      <c r="QPF111" s="1308"/>
      <c r="QPG111" s="1308"/>
      <c r="QPH111" s="1308"/>
      <c r="QPI111" s="1308"/>
      <c r="QPJ111" s="1308"/>
      <c r="QPK111" s="1308"/>
      <c r="QPL111" s="1308"/>
      <c r="QPM111" s="1308"/>
      <c r="QPN111" s="1308"/>
      <c r="QPO111" s="1308"/>
      <c r="QPP111" s="1308"/>
      <c r="QPQ111" s="1308"/>
      <c r="QPR111" s="1308"/>
      <c r="QPS111" s="1308"/>
      <c r="QPT111" s="1308"/>
      <c r="QPU111" s="1308"/>
      <c r="QPV111" s="1308"/>
      <c r="QPW111" s="1308"/>
      <c r="QPX111" s="1308"/>
      <c r="QPY111" s="1308"/>
      <c r="QPZ111" s="1308"/>
      <c r="QQA111" s="1308"/>
      <c r="QQB111" s="1308"/>
      <c r="QQC111" s="1308"/>
      <c r="QQD111" s="1308"/>
      <c r="QQE111" s="1308"/>
      <c r="QQF111" s="1308"/>
      <c r="QQG111" s="1308"/>
      <c r="QQH111" s="1308"/>
      <c r="QQI111" s="1308"/>
      <c r="QQJ111" s="1308"/>
      <c r="QQK111" s="1308"/>
      <c r="QQL111" s="1308"/>
      <c r="QQM111" s="1308"/>
      <c r="QQN111" s="1308"/>
      <c r="QQO111" s="1308"/>
      <c r="QQP111" s="1308"/>
      <c r="QQQ111" s="1308"/>
      <c r="QQR111" s="1308"/>
      <c r="QQS111" s="1308"/>
      <c r="QQT111" s="1308"/>
      <c r="QQU111" s="1308"/>
      <c r="QQV111" s="1308"/>
      <c r="QQW111" s="1308"/>
      <c r="QQX111" s="1308"/>
      <c r="QQY111" s="1308"/>
      <c r="QQZ111" s="1308"/>
      <c r="QRA111" s="1308"/>
      <c r="QRB111" s="1308"/>
      <c r="QRC111" s="1308"/>
      <c r="QRD111" s="1308"/>
      <c r="QRE111" s="1308"/>
      <c r="QRF111" s="1308"/>
      <c r="QRG111" s="1308"/>
      <c r="QRH111" s="1308"/>
      <c r="QRI111" s="1308"/>
      <c r="QRJ111" s="1308"/>
      <c r="QRK111" s="1308"/>
      <c r="QRL111" s="1308"/>
      <c r="QRM111" s="1308"/>
      <c r="QRN111" s="1308"/>
      <c r="QRO111" s="1308"/>
      <c r="QRP111" s="1308"/>
      <c r="QRQ111" s="1308"/>
      <c r="QRR111" s="1308"/>
      <c r="QRS111" s="1308"/>
      <c r="QRT111" s="1308"/>
      <c r="QRU111" s="1308"/>
      <c r="QRV111" s="1308"/>
      <c r="QRW111" s="1308"/>
      <c r="QRX111" s="1308"/>
      <c r="QRY111" s="1308"/>
      <c r="QRZ111" s="1308"/>
      <c r="QSA111" s="1308"/>
      <c r="QSB111" s="1308"/>
      <c r="QSC111" s="1308"/>
      <c r="QSD111" s="1308"/>
      <c r="QSE111" s="1308"/>
      <c r="QSF111" s="1308"/>
      <c r="QSG111" s="1308"/>
      <c r="QSH111" s="1308"/>
      <c r="QSI111" s="1308"/>
      <c r="QSJ111" s="1308"/>
      <c r="QSK111" s="1308"/>
      <c r="QSL111" s="1308"/>
      <c r="QSM111" s="1308"/>
      <c r="QSN111" s="1308"/>
      <c r="QSO111" s="1308"/>
      <c r="QSP111" s="1308"/>
      <c r="QSQ111" s="1308"/>
      <c r="QSR111" s="1308"/>
      <c r="QSS111" s="1308"/>
      <c r="QST111" s="1308"/>
      <c r="QSU111" s="1308"/>
      <c r="QSV111" s="1308"/>
      <c r="QSW111" s="1308"/>
      <c r="QSX111" s="1308"/>
      <c r="QSY111" s="1308"/>
      <c r="QSZ111" s="1308"/>
      <c r="QTA111" s="1308"/>
      <c r="QTB111" s="1308"/>
      <c r="QTC111" s="1308"/>
      <c r="QTD111" s="1308"/>
      <c r="QTE111" s="1308"/>
      <c r="QTF111" s="1308"/>
      <c r="QTG111" s="1308"/>
      <c r="QTH111" s="1308"/>
      <c r="QTI111" s="1308"/>
      <c r="QTJ111" s="1308"/>
      <c r="QTK111" s="1308"/>
      <c r="QTL111" s="1308"/>
      <c r="QTM111" s="1308"/>
      <c r="QTN111" s="1308"/>
      <c r="QTO111" s="1308"/>
      <c r="QTP111" s="1308"/>
      <c r="QTQ111" s="1308"/>
      <c r="QTR111" s="1308"/>
      <c r="QTS111" s="1308"/>
      <c r="QTT111" s="1308"/>
      <c r="QTU111" s="1308"/>
      <c r="QTV111" s="1308"/>
      <c r="QTW111" s="1308"/>
      <c r="QTX111" s="1308"/>
      <c r="QTY111" s="1308"/>
      <c r="QTZ111" s="1308"/>
      <c r="QUA111" s="1308"/>
      <c r="QUB111" s="1308"/>
      <c r="QUC111" s="1308"/>
      <c r="QUD111" s="1308"/>
      <c r="QUE111" s="1308"/>
      <c r="QUF111" s="1308"/>
      <c r="QUG111" s="1308"/>
      <c r="QUH111" s="1308"/>
      <c r="QUI111" s="1308"/>
      <c r="QUJ111" s="1308"/>
      <c r="QUK111" s="1308"/>
      <c r="QUL111" s="1308"/>
      <c r="QUM111" s="1308"/>
      <c r="QUN111" s="1308"/>
      <c r="QUO111" s="1308"/>
      <c r="QUP111" s="1308"/>
      <c r="QUQ111" s="1308"/>
      <c r="QUR111" s="1308"/>
      <c r="QUS111" s="1308"/>
      <c r="QUT111" s="1308"/>
      <c r="QUU111" s="1308"/>
      <c r="QUV111" s="1308"/>
      <c r="QUW111" s="1308"/>
      <c r="QUX111" s="1308"/>
      <c r="QUY111" s="1308"/>
      <c r="QUZ111" s="1308"/>
      <c r="QVA111" s="1308"/>
      <c r="QVB111" s="1308"/>
      <c r="QVC111" s="1308"/>
      <c r="QVD111" s="1308"/>
      <c r="QVE111" s="1308"/>
      <c r="QVF111" s="1308"/>
      <c r="QVG111" s="1308"/>
      <c r="QVH111" s="1308"/>
      <c r="QVI111" s="1308"/>
      <c r="QVJ111" s="1308"/>
      <c r="QVK111" s="1308"/>
      <c r="QVL111" s="1308"/>
      <c r="QVM111" s="1308"/>
      <c r="QVN111" s="1308"/>
      <c r="QVO111" s="1308"/>
      <c r="QVP111" s="1308"/>
      <c r="QVQ111" s="1308"/>
      <c r="QVR111" s="1308"/>
      <c r="QVS111" s="1308"/>
      <c r="QVT111" s="1308"/>
      <c r="QVU111" s="1308"/>
      <c r="QVV111" s="1308"/>
      <c r="QVW111" s="1308"/>
      <c r="QVX111" s="1308"/>
      <c r="QVY111" s="1308"/>
      <c r="QVZ111" s="1308"/>
      <c r="QWA111" s="1308"/>
      <c r="QWB111" s="1308"/>
      <c r="QWC111" s="1308"/>
      <c r="QWD111" s="1308"/>
      <c r="QWE111" s="1308"/>
      <c r="QWF111" s="1308"/>
      <c r="QWG111" s="1308"/>
      <c r="QWH111" s="1308"/>
      <c r="QWI111" s="1308"/>
      <c r="QWJ111" s="1308"/>
      <c r="QWK111" s="1308"/>
      <c r="QWL111" s="1308"/>
      <c r="QWM111" s="1308"/>
      <c r="QWN111" s="1308"/>
      <c r="QWO111" s="1308"/>
      <c r="QWP111" s="1308"/>
      <c r="QWQ111" s="1308"/>
      <c r="QWR111" s="1308"/>
      <c r="QWS111" s="1308"/>
      <c r="QWT111" s="1308"/>
      <c r="QWU111" s="1308"/>
      <c r="QWV111" s="1308"/>
      <c r="QWW111" s="1308"/>
      <c r="QWX111" s="1308"/>
      <c r="QWY111" s="1308"/>
      <c r="QWZ111" s="1308"/>
      <c r="QXA111" s="1308"/>
      <c r="QXB111" s="1308"/>
      <c r="QXC111" s="1308"/>
      <c r="QXD111" s="1308"/>
      <c r="QXE111" s="1308"/>
      <c r="QXF111" s="1308"/>
      <c r="QXG111" s="1308"/>
      <c r="QXH111" s="1308"/>
      <c r="QXI111" s="1308"/>
      <c r="QXJ111" s="1308"/>
      <c r="QXK111" s="1308"/>
      <c r="QXL111" s="1308"/>
      <c r="QXM111" s="1308"/>
      <c r="QXN111" s="1308"/>
      <c r="QXO111" s="1308"/>
      <c r="QXP111" s="1308"/>
      <c r="QXQ111" s="1308"/>
      <c r="QXR111" s="1308"/>
      <c r="QXS111" s="1308"/>
      <c r="QXT111" s="1308"/>
      <c r="QXU111" s="1308"/>
      <c r="QXV111" s="1308"/>
      <c r="QXW111" s="1308"/>
      <c r="QXX111" s="1308"/>
      <c r="QXY111" s="1308"/>
      <c r="QXZ111" s="1308"/>
      <c r="QYA111" s="1308"/>
      <c r="QYB111" s="1308"/>
      <c r="QYC111" s="1308"/>
      <c r="QYD111" s="1308"/>
      <c r="QYE111" s="1308"/>
      <c r="QYF111" s="1308"/>
      <c r="QYG111" s="1308"/>
      <c r="QYH111" s="1308"/>
      <c r="QYI111" s="1308"/>
      <c r="QYJ111" s="1308"/>
      <c r="QYK111" s="1308"/>
      <c r="QYL111" s="1308"/>
      <c r="QYM111" s="1308"/>
      <c r="QYN111" s="1308"/>
      <c r="QYO111" s="1308"/>
      <c r="QYP111" s="1308"/>
      <c r="QYQ111" s="1308"/>
      <c r="QYR111" s="1308"/>
      <c r="QYS111" s="1308"/>
      <c r="QYT111" s="1308"/>
      <c r="QYU111" s="1308"/>
      <c r="QYV111" s="1308"/>
      <c r="QYW111" s="1308"/>
      <c r="QYX111" s="1308"/>
      <c r="QYY111" s="1308"/>
      <c r="QYZ111" s="1308"/>
      <c r="QZA111" s="1308"/>
      <c r="QZB111" s="1308"/>
      <c r="QZC111" s="1308"/>
      <c r="QZD111" s="1308"/>
      <c r="QZE111" s="1308"/>
      <c r="QZF111" s="1308"/>
      <c r="QZG111" s="1308"/>
      <c r="QZH111" s="1308"/>
      <c r="QZI111" s="1308"/>
      <c r="QZJ111" s="1308"/>
      <c r="QZK111" s="1308"/>
      <c r="QZL111" s="1308"/>
      <c r="QZM111" s="1308"/>
      <c r="QZN111" s="1308"/>
      <c r="QZO111" s="1308"/>
      <c r="QZP111" s="1308"/>
      <c r="QZQ111" s="1308"/>
      <c r="QZR111" s="1308"/>
      <c r="QZS111" s="1308"/>
      <c r="QZT111" s="1308"/>
      <c r="QZU111" s="1308"/>
      <c r="QZV111" s="1308"/>
      <c r="QZW111" s="1308"/>
      <c r="QZX111" s="1308"/>
      <c r="QZY111" s="1308"/>
      <c r="QZZ111" s="1308"/>
      <c r="RAA111" s="1308"/>
      <c r="RAB111" s="1308"/>
      <c r="RAC111" s="1308"/>
      <c r="RAD111" s="1308"/>
      <c r="RAE111" s="1308"/>
      <c r="RAF111" s="1308"/>
      <c r="RAG111" s="1308"/>
      <c r="RAH111" s="1308"/>
      <c r="RAI111" s="1308"/>
      <c r="RAJ111" s="1308"/>
      <c r="RAK111" s="1308"/>
      <c r="RAL111" s="1308"/>
      <c r="RAM111" s="1308"/>
      <c r="RAN111" s="1308"/>
      <c r="RAO111" s="1308"/>
      <c r="RAP111" s="1308"/>
      <c r="RAQ111" s="1308"/>
      <c r="RAR111" s="1308"/>
      <c r="RAS111" s="1308"/>
      <c r="RAT111" s="1308"/>
      <c r="RAU111" s="1308"/>
      <c r="RAV111" s="1308"/>
      <c r="RAW111" s="1308"/>
      <c r="RAX111" s="1308"/>
      <c r="RAY111" s="1308"/>
      <c r="RAZ111" s="1308"/>
      <c r="RBA111" s="1308"/>
      <c r="RBB111" s="1308"/>
      <c r="RBC111" s="1308"/>
      <c r="RBD111" s="1308"/>
      <c r="RBE111" s="1308"/>
      <c r="RBF111" s="1308"/>
      <c r="RBG111" s="1308"/>
      <c r="RBH111" s="1308"/>
      <c r="RBI111" s="1308"/>
      <c r="RBJ111" s="1308"/>
      <c r="RBK111" s="1308"/>
      <c r="RBL111" s="1308"/>
      <c r="RBM111" s="1308"/>
      <c r="RBN111" s="1308"/>
      <c r="RBO111" s="1308"/>
      <c r="RBP111" s="1308"/>
      <c r="RBQ111" s="1308"/>
      <c r="RBR111" s="1308"/>
      <c r="RBS111" s="1308"/>
      <c r="RBT111" s="1308"/>
      <c r="RBU111" s="1308"/>
      <c r="RBV111" s="1308"/>
      <c r="RBW111" s="1308"/>
      <c r="RBX111" s="1308"/>
      <c r="RBY111" s="1308"/>
      <c r="RBZ111" s="1308"/>
      <c r="RCA111" s="1308"/>
      <c r="RCB111" s="1308"/>
      <c r="RCC111" s="1308"/>
      <c r="RCD111" s="1308"/>
      <c r="RCE111" s="1308"/>
      <c r="RCF111" s="1308"/>
      <c r="RCG111" s="1308"/>
      <c r="RCH111" s="1308"/>
      <c r="RCI111" s="1308"/>
      <c r="RCJ111" s="1308"/>
      <c r="RCK111" s="1308"/>
      <c r="RCL111" s="1308"/>
      <c r="RCM111" s="1308"/>
      <c r="RCN111" s="1308"/>
      <c r="RCO111" s="1308"/>
      <c r="RCP111" s="1308"/>
      <c r="RCQ111" s="1308"/>
      <c r="RCR111" s="1308"/>
      <c r="RCS111" s="1308"/>
      <c r="RCT111" s="1308"/>
      <c r="RCU111" s="1308"/>
      <c r="RCV111" s="1308"/>
      <c r="RCW111" s="1308"/>
      <c r="RCX111" s="1308"/>
      <c r="RCY111" s="1308"/>
      <c r="RCZ111" s="1308"/>
      <c r="RDA111" s="1308"/>
      <c r="RDB111" s="1308"/>
      <c r="RDC111" s="1308"/>
      <c r="RDD111" s="1308"/>
      <c r="RDE111" s="1308"/>
      <c r="RDF111" s="1308"/>
      <c r="RDG111" s="1308"/>
      <c r="RDH111" s="1308"/>
      <c r="RDI111" s="1308"/>
      <c r="RDJ111" s="1308"/>
      <c r="RDK111" s="1308"/>
      <c r="RDL111" s="1308"/>
      <c r="RDM111" s="1308"/>
      <c r="RDN111" s="1308"/>
      <c r="RDO111" s="1308"/>
      <c r="RDP111" s="1308"/>
      <c r="RDQ111" s="1308"/>
      <c r="RDR111" s="1308"/>
      <c r="RDS111" s="1308"/>
      <c r="RDT111" s="1308"/>
      <c r="RDU111" s="1308"/>
      <c r="RDV111" s="1308"/>
      <c r="RDW111" s="1308"/>
      <c r="RDX111" s="1308"/>
      <c r="RDY111" s="1308"/>
      <c r="RDZ111" s="1308"/>
      <c r="REA111" s="1308"/>
      <c r="REB111" s="1308"/>
      <c r="REC111" s="1308"/>
      <c r="RED111" s="1308"/>
      <c r="REE111" s="1308"/>
      <c r="REF111" s="1308"/>
      <c r="REG111" s="1308"/>
      <c r="REH111" s="1308"/>
      <c r="REI111" s="1308"/>
      <c r="REJ111" s="1308"/>
      <c r="REK111" s="1308"/>
      <c r="REL111" s="1308"/>
      <c r="REM111" s="1308"/>
      <c r="REN111" s="1308"/>
      <c r="REO111" s="1308"/>
      <c r="REP111" s="1308"/>
      <c r="REQ111" s="1308"/>
      <c r="RER111" s="1308"/>
      <c r="RES111" s="1308"/>
      <c r="RET111" s="1308"/>
      <c r="REU111" s="1308"/>
      <c r="REV111" s="1308"/>
      <c r="REW111" s="1308"/>
      <c r="REX111" s="1308"/>
      <c r="REY111" s="1308"/>
      <c r="REZ111" s="1308"/>
      <c r="RFA111" s="1308"/>
      <c r="RFB111" s="1308"/>
      <c r="RFC111" s="1308"/>
      <c r="RFD111" s="1308"/>
      <c r="RFE111" s="1308"/>
      <c r="RFF111" s="1308"/>
      <c r="RFG111" s="1308"/>
      <c r="RFH111" s="1308"/>
      <c r="RFI111" s="1308"/>
      <c r="RFJ111" s="1308"/>
      <c r="RFK111" s="1308"/>
      <c r="RFL111" s="1308"/>
      <c r="RFM111" s="1308"/>
      <c r="RFN111" s="1308"/>
      <c r="RFO111" s="1308"/>
      <c r="RFP111" s="1308"/>
      <c r="RFQ111" s="1308"/>
      <c r="RFR111" s="1308"/>
      <c r="RFS111" s="1308"/>
      <c r="RFT111" s="1308"/>
      <c r="RFU111" s="1308"/>
      <c r="RFV111" s="1308"/>
      <c r="RFW111" s="1308"/>
      <c r="RFX111" s="1308"/>
      <c r="RFY111" s="1308"/>
      <c r="RFZ111" s="1308"/>
      <c r="RGA111" s="1308"/>
      <c r="RGB111" s="1308"/>
      <c r="RGC111" s="1308"/>
      <c r="RGD111" s="1308"/>
      <c r="RGE111" s="1308"/>
      <c r="RGF111" s="1308"/>
      <c r="RGG111" s="1308"/>
      <c r="RGH111" s="1308"/>
      <c r="RGI111" s="1308"/>
      <c r="RGJ111" s="1308"/>
      <c r="RGK111" s="1308"/>
      <c r="RGL111" s="1308"/>
      <c r="RGM111" s="1308"/>
      <c r="RGN111" s="1308"/>
      <c r="RGO111" s="1308"/>
      <c r="RGP111" s="1308"/>
      <c r="RGQ111" s="1308"/>
      <c r="RGR111" s="1308"/>
      <c r="RGS111" s="1308"/>
      <c r="RGT111" s="1308"/>
      <c r="RGU111" s="1308"/>
      <c r="RGV111" s="1308"/>
      <c r="RGW111" s="1308"/>
      <c r="RGX111" s="1308"/>
      <c r="RGY111" s="1308"/>
      <c r="RGZ111" s="1308"/>
      <c r="RHA111" s="1308"/>
      <c r="RHB111" s="1308"/>
      <c r="RHC111" s="1308"/>
      <c r="RHD111" s="1308"/>
      <c r="RHE111" s="1308"/>
      <c r="RHF111" s="1308"/>
      <c r="RHG111" s="1308"/>
      <c r="RHH111" s="1308"/>
      <c r="RHI111" s="1308"/>
      <c r="RHJ111" s="1308"/>
      <c r="RHK111" s="1308"/>
      <c r="RHL111" s="1308"/>
      <c r="RHM111" s="1308"/>
      <c r="RHN111" s="1308"/>
      <c r="RHO111" s="1308"/>
      <c r="RHP111" s="1308"/>
      <c r="RHQ111" s="1308"/>
      <c r="RHR111" s="1308"/>
      <c r="RHS111" s="1308"/>
      <c r="RHT111" s="1308"/>
      <c r="RHU111" s="1308"/>
      <c r="RHV111" s="1308"/>
      <c r="RHW111" s="1308"/>
      <c r="RHX111" s="1308"/>
      <c r="RHY111" s="1308"/>
      <c r="RHZ111" s="1308"/>
      <c r="RIA111" s="1308"/>
      <c r="RIB111" s="1308"/>
      <c r="RIC111" s="1308"/>
      <c r="RID111" s="1308"/>
      <c r="RIE111" s="1308"/>
      <c r="RIF111" s="1308"/>
      <c r="RIG111" s="1308"/>
      <c r="RIH111" s="1308"/>
      <c r="RII111" s="1308"/>
      <c r="RIJ111" s="1308"/>
      <c r="RIK111" s="1308"/>
      <c r="RIL111" s="1308"/>
      <c r="RIM111" s="1308"/>
      <c r="RIN111" s="1308"/>
      <c r="RIO111" s="1308"/>
      <c r="RIP111" s="1308"/>
      <c r="RIQ111" s="1308"/>
      <c r="RIR111" s="1308"/>
      <c r="RIS111" s="1308"/>
      <c r="RIT111" s="1308"/>
      <c r="RIU111" s="1308"/>
      <c r="RIV111" s="1308"/>
      <c r="RIW111" s="1308"/>
      <c r="RIX111" s="1308"/>
      <c r="RIY111" s="1308"/>
      <c r="RIZ111" s="1308"/>
      <c r="RJA111" s="1308"/>
      <c r="RJB111" s="1308"/>
      <c r="RJC111" s="1308"/>
      <c r="RJD111" s="1308"/>
      <c r="RJE111" s="1308"/>
      <c r="RJF111" s="1308"/>
      <c r="RJG111" s="1308"/>
      <c r="RJH111" s="1308"/>
      <c r="RJI111" s="1308"/>
      <c r="RJJ111" s="1308"/>
      <c r="RJK111" s="1308"/>
      <c r="RJL111" s="1308"/>
      <c r="RJM111" s="1308"/>
      <c r="RJN111" s="1308"/>
      <c r="RJO111" s="1308"/>
      <c r="RJP111" s="1308"/>
      <c r="RJQ111" s="1308"/>
      <c r="RJR111" s="1308"/>
      <c r="RJS111" s="1308"/>
      <c r="RJT111" s="1308"/>
      <c r="RJU111" s="1308"/>
      <c r="RJV111" s="1308"/>
      <c r="RJW111" s="1308"/>
      <c r="RJX111" s="1308"/>
      <c r="RJY111" s="1308"/>
      <c r="RJZ111" s="1308"/>
      <c r="RKA111" s="1308"/>
      <c r="RKB111" s="1308"/>
      <c r="RKC111" s="1308"/>
      <c r="RKD111" s="1308"/>
      <c r="RKE111" s="1308"/>
      <c r="RKF111" s="1308"/>
      <c r="RKG111" s="1308"/>
      <c r="RKH111" s="1308"/>
      <c r="RKI111" s="1308"/>
      <c r="RKJ111" s="1308"/>
      <c r="RKK111" s="1308"/>
      <c r="RKL111" s="1308"/>
      <c r="RKM111" s="1308"/>
      <c r="RKN111" s="1308"/>
      <c r="RKO111" s="1308"/>
      <c r="RKP111" s="1308"/>
      <c r="RKQ111" s="1308"/>
      <c r="RKR111" s="1308"/>
      <c r="RKS111" s="1308"/>
      <c r="RKT111" s="1308"/>
      <c r="RKU111" s="1308"/>
      <c r="RKV111" s="1308"/>
      <c r="RKW111" s="1308"/>
      <c r="RKX111" s="1308"/>
      <c r="RKY111" s="1308"/>
      <c r="RKZ111" s="1308"/>
      <c r="RLA111" s="1308"/>
      <c r="RLB111" s="1308"/>
      <c r="RLC111" s="1308"/>
      <c r="RLD111" s="1308"/>
      <c r="RLE111" s="1308"/>
      <c r="RLF111" s="1308"/>
      <c r="RLG111" s="1308"/>
      <c r="RLH111" s="1308"/>
      <c r="RLI111" s="1308"/>
      <c r="RLJ111" s="1308"/>
      <c r="RLK111" s="1308"/>
      <c r="RLL111" s="1308"/>
      <c r="RLM111" s="1308"/>
      <c r="RLN111" s="1308"/>
      <c r="RLO111" s="1308"/>
      <c r="RLP111" s="1308"/>
      <c r="RLQ111" s="1308"/>
      <c r="RLR111" s="1308"/>
      <c r="RLS111" s="1308"/>
      <c r="RLT111" s="1308"/>
      <c r="RLU111" s="1308"/>
      <c r="RLV111" s="1308"/>
      <c r="RLW111" s="1308"/>
      <c r="RLX111" s="1308"/>
      <c r="RLY111" s="1308"/>
      <c r="RLZ111" s="1308"/>
      <c r="RMA111" s="1308"/>
      <c r="RMB111" s="1308"/>
      <c r="RMC111" s="1308"/>
      <c r="RMD111" s="1308"/>
      <c r="RME111" s="1308"/>
      <c r="RMF111" s="1308"/>
      <c r="RMG111" s="1308"/>
      <c r="RMH111" s="1308"/>
      <c r="RMI111" s="1308"/>
      <c r="RMJ111" s="1308"/>
      <c r="RMK111" s="1308"/>
      <c r="RML111" s="1308"/>
      <c r="RMM111" s="1308"/>
      <c r="RMN111" s="1308"/>
      <c r="RMO111" s="1308"/>
      <c r="RMP111" s="1308"/>
      <c r="RMQ111" s="1308"/>
      <c r="RMR111" s="1308"/>
      <c r="RMS111" s="1308"/>
      <c r="RMT111" s="1308"/>
      <c r="RMU111" s="1308"/>
      <c r="RMV111" s="1308"/>
      <c r="RMW111" s="1308"/>
      <c r="RMX111" s="1308"/>
      <c r="RMY111" s="1308"/>
      <c r="RMZ111" s="1308"/>
      <c r="RNA111" s="1308"/>
      <c r="RNB111" s="1308"/>
      <c r="RNC111" s="1308"/>
      <c r="RND111" s="1308"/>
      <c r="RNE111" s="1308"/>
      <c r="RNF111" s="1308"/>
      <c r="RNG111" s="1308"/>
      <c r="RNH111" s="1308"/>
      <c r="RNI111" s="1308"/>
      <c r="RNJ111" s="1308"/>
      <c r="RNK111" s="1308"/>
      <c r="RNL111" s="1308"/>
      <c r="RNM111" s="1308"/>
      <c r="RNN111" s="1308"/>
      <c r="RNO111" s="1308"/>
      <c r="RNP111" s="1308"/>
      <c r="RNQ111" s="1308"/>
      <c r="RNR111" s="1308"/>
      <c r="RNS111" s="1308"/>
      <c r="RNT111" s="1308"/>
      <c r="RNU111" s="1308"/>
      <c r="RNV111" s="1308"/>
      <c r="RNW111" s="1308"/>
      <c r="RNX111" s="1308"/>
      <c r="RNY111" s="1308"/>
      <c r="RNZ111" s="1308"/>
      <c r="ROA111" s="1308"/>
      <c r="ROB111" s="1308"/>
      <c r="ROC111" s="1308"/>
      <c r="ROD111" s="1308"/>
      <c r="ROE111" s="1308"/>
      <c r="ROF111" s="1308"/>
      <c r="ROG111" s="1308"/>
      <c r="ROH111" s="1308"/>
      <c r="ROI111" s="1308"/>
      <c r="ROJ111" s="1308"/>
      <c r="ROK111" s="1308"/>
      <c r="ROL111" s="1308"/>
      <c r="ROM111" s="1308"/>
      <c r="RON111" s="1308"/>
      <c r="ROO111" s="1308"/>
      <c r="ROP111" s="1308"/>
      <c r="ROQ111" s="1308"/>
      <c r="ROR111" s="1308"/>
      <c r="ROS111" s="1308"/>
      <c r="ROT111" s="1308"/>
      <c r="ROU111" s="1308"/>
      <c r="ROV111" s="1308"/>
      <c r="ROW111" s="1308"/>
      <c r="ROX111" s="1308"/>
      <c r="ROY111" s="1308"/>
      <c r="ROZ111" s="1308"/>
      <c r="RPA111" s="1308"/>
      <c r="RPB111" s="1308"/>
      <c r="RPC111" s="1308"/>
      <c r="RPD111" s="1308"/>
      <c r="RPE111" s="1308"/>
      <c r="RPF111" s="1308"/>
      <c r="RPG111" s="1308"/>
      <c r="RPH111" s="1308"/>
      <c r="RPI111" s="1308"/>
      <c r="RPJ111" s="1308"/>
      <c r="RPK111" s="1308"/>
      <c r="RPL111" s="1308"/>
      <c r="RPM111" s="1308"/>
      <c r="RPN111" s="1308"/>
      <c r="RPO111" s="1308"/>
      <c r="RPP111" s="1308"/>
      <c r="RPQ111" s="1308"/>
      <c r="RPR111" s="1308"/>
      <c r="RPS111" s="1308"/>
      <c r="RPT111" s="1308"/>
      <c r="RPU111" s="1308"/>
      <c r="RPV111" s="1308"/>
      <c r="RPW111" s="1308"/>
      <c r="RPX111" s="1308"/>
      <c r="RPY111" s="1308"/>
      <c r="RPZ111" s="1308"/>
      <c r="RQA111" s="1308"/>
      <c r="RQB111" s="1308"/>
      <c r="RQC111" s="1308"/>
      <c r="RQD111" s="1308"/>
      <c r="RQE111" s="1308"/>
      <c r="RQF111" s="1308"/>
      <c r="RQG111" s="1308"/>
      <c r="RQH111" s="1308"/>
      <c r="RQI111" s="1308"/>
      <c r="RQJ111" s="1308"/>
      <c r="RQK111" s="1308"/>
      <c r="RQL111" s="1308"/>
      <c r="RQM111" s="1308"/>
      <c r="RQN111" s="1308"/>
      <c r="RQO111" s="1308"/>
      <c r="RQP111" s="1308"/>
      <c r="RQQ111" s="1308"/>
      <c r="RQR111" s="1308"/>
      <c r="RQS111" s="1308"/>
      <c r="RQT111" s="1308"/>
      <c r="RQU111" s="1308"/>
      <c r="RQV111" s="1308"/>
      <c r="RQW111" s="1308"/>
      <c r="RQX111" s="1308"/>
      <c r="RQY111" s="1308"/>
      <c r="RQZ111" s="1308"/>
      <c r="RRA111" s="1308"/>
      <c r="RRB111" s="1308"/>
      <c r="RRC111" s="1308"/>
      <c r="RRD111" s="1308"/>
      <c r="RRE111" s="1308"/>
      <c r="RRF111" s="1308"/>
      <c r="RRG111" s="1308"/>
      <c r="RRH111" s="1308"/>
      <c r="RRI111" s="1308"/>
      <c r="RRJ111" s="1308"/>
      <c r="RRK111" s="1308"/>
      <c r="RRL111" s="1308"/>
      <c r="RRM111" s="1308"/>
      <c r="RRN111" s="1308"/>
      <c r="RRO111" s="1308"/>
      <c r="RRP111" s="1308"/>
      <c r="RRQ111" s="1308"/>
      <c r="RRR111" s="1308"/>
      <c r="RRS111" s="1308"/>
      <c r="RRT111" s="1308"/>
      <c r="RRU111" s="1308"/>
      <c r="RRV111" s="1308"/>
      <c r="RRW111" s="1308"/>
      <c r="RRX111" s="1308"/>
      <c r="RRY111" s="1308"/>
      <c r="RRZ111" s="1308"/>
      <c r="RSA111" s="1308"/>
      <c r="RSB111" s="1308"/>
      <c r="RSC111" s="1308"/>
      <c r="RSD111" s="1308"/>
      <c r="RSE111" s="1308"/>
      <c r="RSF111" s="1308"/>
      <c r="RSG111" s="1308"/>
      <c r="RSH111" s="1308"/>
      <c r="RSI111" s="1308"/>
      <c r="RSJ111" s="1308"/>
      <c r="RSK111" s="1308"/>
      <c r="RSL111" s="1308"/>
      <c r="RSM111" s="1308"/>
      <c r="RSN111" s="1308"/>
      <c r="RSO111" s="1308"/>
      <c r="RSP111" s="1308"/>
      <c r="RSQ111" s="1308"/>
      <c r="RSR111" s="1308"/>
      <c r="RSS111" s="1308"/>
      <c r="RST111" s="1308"/>
      <c r="RSU111" s="1308"/>
      <c r="RSV111" s="1308"/>
      <c r="RSW111" s="1308"/>
      <c r="RSX111" s="1308"/>
      <c r="RSY111" s="1308"/>
      <c r="RSZ111" s="1308"/>
      <c r="RTA111" s="1308"/>
      <c r="RTB111" s="1308"/>
      <c r="RTC111" s="1308"/>
      <c r="RTD111" s="1308"/>
      <c r="RTE111" s="1308"/>
      <c r="RTF111" s="1308"/>
      <c r="RTG111" s="1308"/>
      <c r="RTH111" s="1308"/>
      <c r="RTI111" s="1308"/>
      <c r="RTJ111" s="1308"/>
      <c r="RTK111" s="1308"/>
      <c r="RTL111" s="1308"/>
      <c r="RTM111" s="1308"/>
      <c r="RTN111" s="1308"/>
      <c r="RTO111" s="1308"/>
      <c r="RTP111" s="1308"/>
      <c r="RTQ111" s="1308"/>
      <c r="RTR111" s="1308"/>
      <c r="RTS111" s="1308"/>
      <c r="RTT111" s="1308"/>
      <c r="RTU111" s="1308"/>
      <c r="RTV111" s="1308"/>
      <c r="RTW111" s="1308"/>
      <c r="RTX111" s="1308"/>
      <c r="RTY111" s="1308"/>
      <c r="RTZ111" s="1308"/>
      <c r="RUA111" s="1308"/>
      <c r="RUB111" s="1308"/>
      <c r="RUC111" s="1308"/>
      <c r="RUD111" s="1308"/>
      <c r="RUE111" s="1308"/>
      <c r="RUF111" s="1308"/>
      <c r="RUG111" s="1308"/>
      <c r="RUH111" s="1308"/>
      <c r="RUI111" s="1308"/>
      <c r="RUJ111" s="1308"/>
      <c r="RUK111" s="1308"/>
      <c r="RUL111" s="1308"/>
      <c r="RUM111" s="1308"/>
      <c r="RUN111" s="1308"/>
      <c r="RUO111" s="1308"/>
      <c r="RUP111" s="1308"/>
      <c r="RUQ111" s="1308"/>
      <c r="RUR111" s="1308"/>
      <c r="RUS111" s="1308"/>
      <c r="RUT111" s="1308"/>
      <c r="RUU111" s="1308"/>
      <c r="RUV111" s="1308"/>
      <c r="RUW111" s="1308"/>
      <c r="RUX111" s="1308"/>
      <c r="RUY111" s="1308"/>
      <c r="RUZ111" s="1308"/>
      <c r="RVA111" s="1308"/>
      <c r="RVB111" s="1308"/>
      <c r="RVC111" s="1308"/>
      <c r="RVD111" s="1308"/>
      <c r="RVE111" s="1308"/>
      <c r="RVF111" s="1308"/>
      <c r="RVG111" s="1308"/>
      <c r="RVH111" s="1308"/>
      <c r="RVI111" s="1308"/>
      <c r="RVJ111" s="1308"/>
      <c r="RVK111" s="1308"/>
      <c r="RVL111" s="1308"/>
      <c r="RVM111" s="1308"/>
      <c r="RVN111" s="1308"/>
      <c r="RVO111" s="1308"/>
      <c r="RVP111" s="1308"/>
      <c r="RVQ111" s="1308"/>
      <c r="RVR111" s="1308"/>
      <c r="RVS111" s="1308"/>
      <c r="RVT111" s="1308"/>
      <c r="RVU111" s="1308"/>
      <c r="RVV111" s="1308"/>
      <c r="RVW111" s="1308"/>
      <c r="RVX111" s="1308"/>
      <c r="RVY111" s="1308"/>
      <c r="RVZ111" s="1308"/>
      <c r="RWA111" s="1308"/>
      <c r="RWB111" s="1308"/>
      <c r="RWC111" s="1308"/>
      <c r="RWD111" s="1308"/>
      <c r="RWE111" s="1308"/>
      <c r="RWF111" s="1308"/>
      <c r="RWG111" s="1308"/>
      <c r="RWH111" s="1308"/>
      <c r="RWI111" s="1308"/>
      <c r="RWJ111" s="1308"/>
      <c r="RWK111" s="1308"/>
      <c r="RWL111" s="1308"/>
      <c r="RWM111" s="1308"/>
      <c r="RWN111" s="1308"/>
      <c r="RWO111" s="1308"/>
      <c r="RWP111" s="1308"/>
      <c r="RWQ111" s="1308"/>
      <c r="RWR111" s="1308"/>
      <c r="RWS111" s="1308"/>
      <c r="RWT111" s="1308"/>
      <c r="RWU111" s="1308"/>
      <c r="RWV111" s="1308"/>
      <c r="RWW111" s="1308"/>
      <c r="RWX111" s="1308"/>
      <c r="RWY111" s="1308"/>
      <c r="RWZ111" s="1308"/>
      <c r="RXA111" s="1308"/>
      <c r="RXB111" s="1308"/>
      <c r="RXC111" s="1308"/>
      <c r="RXD111" s="1308"/>
      <c r="RXE111" s="1308"/>
      <c r="RXF111" s="1308"/>
      <c r="RXG111" s="1308"/>
      <c r="RXH111" s="1308"/>
      <c r="RXI111" s="1308"/>
      <c r="RXJ111" s="1308"/>
      <c r="RXK111" s="1308"/>
      <c r="RXL111" s="1308"/>
      <c r="RXM111" s="1308"/>
      <c r="RXN111" s="1308"/>
      <c r="RXO111" s="1308"/>
      <c r="RXP111" s="1308"/>
      <c r="RXQ111" s="1308"/>
      <c r="RXR111" s="1308"/>
      <c r="RXS111" s="1308"/>
      <c r="RXT111" s="1308"/>
      <c r="RXU111" s="1308"/>
      <c r="RXV111" s="1308"/>
      <c r="RXW111" s="1308"/>
      <c r="RXX111" s="1308"/>
      <c r="RXY111" s="1308"/>
      <c r="RXZ111" s="1308"/>
      <c r="RYA111" s="1308"/>
      <c r="RYB111" s="1308"/>
      <c r="RYC111" s="1308"/>
      <c r="RYD111" s="1308"/>
      <c r="RYE111" s="1308"/>
      <c r="RYF111" s="1308"/>
      <c r="RYG111" s="1308"/>
      <c r="RYH111" s="1308"/>
      <c r="RYI111" s="1308"/>
      <c r="RYJ111" s="1308"/>
      <c r="RYK111" s="1308"/>
      <c r="RYL111" s="1308"/>
      <c r="RYM111" s="1308"/>
      <c r="RYN111" s="1308"/>
      <c r="RYO111" s="1308"/>
      <c r="RYP111" s="1308"/>
      <c r="RYQ111" s="1308"/>
      <c r="RYR111" s="1308"/>
      <c r="RYS111" s="1308"/>
      <c r="RYT111" s="1308"/>
      <c r="RYU111" s="1308"/>
      <c r="RYV111" s="1308"/>
      <c r="RYW111" s="1308"/>
      <c r="RYX111" s="1308"/>
      <c r="RYY111" s="1308"/>
      <c r="RYZ111" s="1308"/>
      <c r="RZA111" s="1308"/>
      <c r="RZB111" s="1308"/>
      <c r="RZC111" s="1308"/>
      <c r="RZD111" s="1308"/>
      <c r="RZE111" s="1308"/>
      <c r="RZF111" s="1308"/>
      <c r="RZG111" s="1308"/>
      <c r="RZH111" s="1308"/>
      <c r="RZI111" s="1308"/>
      <c r="RZJ111" s="1308"/>
      <c r="RZK111" s="1308"/>
      <c r="RZL111" s="1308"/>
      <c r="RZM111" s="1308"/>
      <c r="RZN111" s="1308"/>
      <c r="RZO111" s="1308"/>
      <c r="RZP111" s="1308"/>
      <c r="RZQ111" s="1308"/>
      <c r="RZR111" s="1308"/>
      <c r="RZS111" s="1308"/>
      <c r="RZT111" s="1308"/>
      <c r="RZU111" s="1308"/>
      <c r="RZV111" s="1308"/>
      <c r="RZW111" s="1308"/>
      <c r="RZX111" s="1308"/>
      <c r="RZY111" s="1308"/>
      <c r="RZZ111" s="1308"/>
      <c r="SAA111" s="1308"/>
      <c r="SAB111" s="1308"/>
      <c r="SAC111" s="1308"/>
      <c r="SAD111" s="1308"/>
      <c r="SAE111" s="1308"/>
      <c r="SAF111" s="1308"/>
      <c r="SAG111" s="1308"/>
      <c r="SAH111" s="1308"/>
      <c r="SAI111" s="1308"/>
      <c r="SAJ111" s="1308"/>
      <c r="SAK111" s="1308"/>
      <c r="SAL111" s="1308"/>
      <c r="SAM111" s="1308"/>
      <c r="SAN111" s="1308"/>
      <c r="SAO111" s="1308"/>
      <c r="SAP111" s="1308"/>
      <c r="SAQ111" s="1308"/>
      <c r="SAR111" s="1308"/>
      <c r="SAS111" s="1308"/>
      <c r="SAT111" s="1308"/>
      <c r="SAU111" s="1308"/>
      <c r="SAV111" s="1308"/>
      <c r="SAW111" s="1308"/>
      <c r="SAX111" s="1308"/>
      <c r="SAY111" s="1308"/>
      <c r="SAZ111" s="1308"/>
      <c r="SBA111" s="1308"/>
      <c r="SBB111" s="1308"/>
      <c r="SBC111" s="1308"/>
      <c r="SBD111" s="1308"/>
      <c r="SBE111" s="1308"/>
      <c r="SBF111" s="1308"/>
      <c r="SBG111" s="1308"/>
      <c r="SBH111" s="1308"/>
      <c r="SBI111" s="1308"/>
      <c r="SBJ111" s="1308"/>
      <c r="SBK111" s="1308"/>
      <c r="SBL111" s="1308"/>
      <c r="SBM111" s="1308"/>
      <c r="SBN111" s="1308"/>
      <c r="SBO111" s="1308"/>
      <c r="SBP111" s="1308"/>
      <c r="SBQ111" s="1308"/>
      <c r="SBR111" s="1308"/>
      <c r="SBS111" s="1308"/>
      <c r="SBT111" s="1308"/>
      <c r="SBU111" s="1308"/>
      <c r="SBV111" s="1308"/>
      <c r="SBW111" s="1308"/>
      <c r="SBX111" s="1308"/>
      <c r="SBY111" s="1308"/>
      <c r="SBZ111" s="1308"/>
      <c r="SCA111" s="1308"/>
      <c r="SCB111" s="1308"/>
      <c r="SCC111" s="1308"/>
      <c r="SCD111" s="1308"/>
      <c r="SCE111" s="1308"/>
      <c r="SCF111" s="1308"/>
      <c r="SCG111" s="1308"/>
      <c r="SCH111" s="1308"/>
      <c r="SCI111" s="1308"/>
      <c r="SCJ111" s="1308"/>
      <c r="SCK111" s="1308"/>
      <c r="SCL111" s="1308"/>
      <c r="SCM111" s="1308"/>
      <c r="SCN111" s="1308"/>
      <c r="SCO111" s="1308"/>
      <c r="SCP111" s="1308"/>
      <c r="SCQ111" s="1308"/>
      <c r="SCR111" s="1308"/>
      <c r="SCS111" s="1308"/>
      <c r="SCT111" s="1308"/>
      <c r="SCU111" s="1308"/>
      <c r="SCV111" s="1308"/>
      <c r="SCW111" s="1308"/>
      <c r="SCX111" s="1308"/>
      <c r="SCY111" s="1308"/>
      <c r="SCZ111" s="1308"/>
      <c r="SDA111" s="1308"/>
      <c r="SDB111" s="1308"/>
      <c r="SDC111" s="1308"/>
      <c r="SDD111" s="1308"/>
      <c r="SDE111" s="1308"/>
      <c r="SDF111" s="1308"/>
      <c r="SDG111" s="1308"/>
      <c r="SDH111" s="1308"/>
      <c r="SDI111" s="1308"/>
      <c r="SDJ111" s="1308"/>
      <c r="SDK111" s="1308"/>
      <c r="SDL111" s="1308"/>
      <c r="SDM111" s="1308"/>
      <c r="SDN111" s="1308"/>
      <c r="SDO111" s="1308"/>
      <c r="SDP111" s="1308"/>
      <c r="SDQ111" s="1308"/>
      <c r="SDR111" s="1308"/>
      <c r="SDS111" s="1308"/>
      <c r="SDT111" s="1308"/>
      <c r="SDU111" s="1308"/>
      <c r="SDV111" s="1308"/>
      <c r="SDW111" s="1308"/>
      <c r="SDX111" s="1308"/>
      <c r="SDY111" s="1308"/>
      <c r="SDZ111" s="1308"/>
      <c r="SEA111" s="1308"/>
      <c r="SEB111" s="1308"/>
      <c r="SEC111" s="1308"/>
      <c r="SED111" s="1308"/>
      <c r="SEE111" s="1308"/>
      <c r="SEF111" s="1308"/>
      <c r="SEG111" s="1308"/>
      <c r="SEH111" s="1308"/>
      <c r="SEI111" s="1308"/>
      <c r="SEJ111" s="1308"/>
      <c r="SEK111" s="1308"/>
      <c r="SEL111" s="1308"/>
      <c r="SEM111" s="1308"/>
      <c r="SEN111" s="1308"/>
      <c r="SEO111" s="1308"/>
      <c r="SEP111" s="1308"/>
      <c r="SEQ111" s="1308"/>
      <c r="SER111" s="1308"/>
      <c r="SES111" s="1308"/>
      <c r="SET111" s="1308"/>
      <c r="SEU111" s="1308"/>
      <c r="SEV111" s="1308"/>
      <c r="SEW111" s="1308"/>
      <c r="SEX111" s="1308"/>
      <c r="SEY111" s="1308"/>
      <c r="SEZ111" s="1308"/>
      <c r="SFA111" s="1308"/>
      <c r="SFB111" s="1308"/>
      <c r="SFC111" s="1308"/>
      <c r="SFD111" s="1308"/>
      <c r="SFE111" s="1308"/>
      <c r="SFF111" s="1308"/>
      <c r="SFG111" s="1308"/>
      <c r="SFH111" s="1308"/>
      <c r="SFI111" s="1308"/>
      <c r="SFJ111" s="1308"/>
      <c r="SFK111" s="1308"/>
      <c r="SFL111" s="1308"/>
      <c r="SFM111" s="1308"/>
      <c r="SFN111" s="1308"/>
      <c r="SFO111" s="1308"/>
      <c r="SFP111" s="1308"/>
      <c r="SFQ111" s="1308"/>
      <c r="SFR111" s="1308"/>
      <c r="SFS111" s="1308"/>
      <c r="SFT111" s="1308"/>
      <c r="SFU111" s="1308"/>
      <c r="SFV111" s="1308"/>
      <c r="SFW111" s="1308"/>
      <c r="SFX111" s="1308"/>
      <c r="SFY111" s="1308"/>
      <c r="SFZ111" s="1308"/>
      <c r="SGA111" s="1308"/>
      <c r="SGB111" s="1308"/>
      <c r="SGC111" s="1308"/>
      <c r="SGD111" s="1308"/>
      <c r="SGE111" s="1308"/>
      <c r="SGF111" s="1308"/>
      <c r="SGG111" s="1308"/>
      <c r="SGH111" s="1308"/>
      <c r="SGI111" s="1308"/>
      <c r="SGJ111" s="1308"/>
      <c r="SGK111" s="1308"/>
      <c r="SGL111" s="1308"/>
      <c r="SGM111" s="1308"/>
      <c r="SGN111" s="1308"/>
      <c r="SGO111" s="1308"/>
      <c r="SGP111" s="1308"/>
      <c r="SGQ111" s="1308"/>
      <c r="SGR111" s="1308"/>
      <c r="SGS111" s="1308"/>
      <c r="SGT111" s="1308"/>
      <c r="SGU111" s="1308"/>
      <c r="SGV111" s="1308"/>
      <c r="SGW111" s="1308"/>
      <c r="SGX111" s="1308"/>
      <c r="SGY111" s="1308"/>
      <c r="SGZ111" s="1308"/>
      <c r="SHA111" s="1308"/>
      <c r="SHB111" s="1308"/>
      <c r="SHC111" s="1308"/>
      <c r="SHD111" s="1308"/>
      <c r="SHE111" s="1308"/>
      <c r="SHF111" s="1308"/>
      <c r="SHG111" s="1308"/>
      <c r="SHH111" s="1308"/>
      <c r="SHI111" s="1308"/>
      <c r="SHJ111" s="1308"/>
      <c r="SHK111" s="1308"/>
      <c r="SHL111" s="1308"/>
      <c r="SHM111" s="1308"/>
      <c r="SHN111" s="1308"/>
      <c r="SHO111" s="1308"/>
      <c r="SHP111" s="1308"/>
      <c r="SHQ111" s="1308"/>
      <c r="SHR111" s="1308"/>
      <c r="SHS111" s="1308"/>
      <c r="SHT111" s="1308"/>
      <c r="SHU111" s="1308"/>
      <c r="SHV111" s="1308"/>
      <c r="SHW111" s="1308"/>
      <c r="SHX111" s="1308"/>
      <c r="SHY111" s="1308"/>
      <c r="SHZ111" s="1308"/>
      <c r="SIA111" s="1308"/>
      <c r="SIB111" s="1308"/>
      <c r="SIC111" s="1308"/>
      <c r="SID111" s="1308"/>
      <c r="SIE111" s="1308"/>
      <c r="SIF111" s="1308"/>
      <c r="SIG111" s="1308"/>
      <c r="SIH111" s="1308"/>
      <c r="SII111" s="1308"/>
      <c r="SIJ111" s="1308"/>
      <c r="SIK111" s="1308"/>
      <c r="SIL111" s="1308"/>
      <c r="SIM111" s="1308"/>
      <c r="SIN111" s="1308"/>
      <c r="SIO111" s="1308"/>
      <c r="SIP111" s="1308"/>
      <c r="SIQ111" s="1308"/>
      <c r="SIR111" s="1308"/>
      <c r="SIS111" s="1308"/>
      <c r="SIT111" s="1308"/>
      <c r="SIU111" s="1308"/>
      <c r="SIV111" s="1308"/>
      <c r="SIW111" s="1308"/>
      <c r="SIX111" s="1308"/>
      <c r="SIY111" s="1308"/>
      <c r="SIZ111" s="1308"/>
      <c r="SJA111" s="1308"/>
      <c r="SJB111" s="1308"/>
      <c r="SJC111" s="1308"/>
      <c r="SJD111" s="1308"/>
      <c r="SJE111" s="1308"/>
      <c r="SJF111" s="1308"/>
      <c r="SJG111" s="1308"/>
      <c r="SJH111" s="1308"/>
      <c r="SJI111" s="1308"/>
      <c r="SJJ111" s="1308"/>
      <c r="SJK111" s="1308"/>
      <c r="SJL111" s="1308"/>
      <c r="SJM111" s="1308"/>
      <c r="SJN111" s="1308"/>
      <c r="SJO111" s="1308"/>
      <c r="SJP111" s="1308"/>
      <c r="SJQ111" s="1308"/>
      <c r="SJR111" s="1308"/>
      <c r="SJS111" s="1308"/>
      <c r="SJT111" s="1308"/>
      <c r="SJU111" s="1308"/>
      <c r="SJV111" s="1308"/>
      <c r="SJW111" s="1308"/>
      <c r="SJX111" s="1308"/>
      <c r="SJY111" s="1308"/>
      <c r="SJZ111" s="1308"/>
      <c r="SKA111" s="1308"/>
      <c r="SKB111" s="1308"/>
      <c r="SKC111" s="1308"/>
      <c r="SKD111" s="1308"/>
      <c r="SKE111" s="1308"/>
      <c r="SKF111" s="1308"/>
      <c r="SKG111" s="1308"/>
      <c r="SKH111" s="1308"/>
      <c r="SKI111" s="1308"/>
      <c r="SKJ111" s="1308"/>
      <c r="SKK111" s="1308"/>
      <c r="SKL111" s="1308"/>
      <c r="SKM111" s="1308"/>
      <c r="SKN111" s="1308"/>
      <c r="SKO111" s="1308"/>
      <c r="SKP111" s="1308"/>
      <c r="SKQ111" s="1308"/>
      <c r="SKR111" s="1308"/>
      <c r="SKS111" s="1308"/>
      <c r="SKT111" s="1308"/>
      <c r="SKU111" s="1308"/>
      <c r="SKV111" s="1308"/>
      <c r="SKW111" s="1308"/>
      <c r="SKX111" s="1308"/>
      <c r="SKY111" s="1308"/>
      <c r="SKZ111" s="1308"/>
      <c r="SLA111" s="1308"/>
      <c r="SLB111" s="1308"/>
      <c r="SLC111" s="1308"/>
      <c r="SLD111" s="1308"/>
      <c r="SLE111" s="1308"/>
      <c r="SLF111" s="1308"/>
      <c r="SLG111" s="1308"/>
      <c r="SLH111" s="1308"/>
      <c r="SLI111" s="1308"/>
      <c r="SLJ111" s="1308"/>
      <c r="SLK111" s="1308"/>
      <c r="SLL111" s="1308"/>
      <c r="SLM111" s="1308"/>
      <c r="SLN111" s="1308"/>
      <c r="SLO111" s="1308"/>
      <c r="SLP111" s="1308"/>
      <c r="SLQ111" s="1308"/>
      <c r="SLR111" s="1308"/>
      <c r="SLS111" s="1308"/>
      <c r="SLT111" s="1308"/>
      <c r="SLU111" s="1308"/>
      <c r="SLV111" s="1308"/>
      <c r="SLW111" s="1308"/>
      <c r="SLX111" s="1308"/>
      <c r="SLY111" s="1308"/>
      <c r="SLZ111" s="1308"/>
      <c r="SMA111" s="1308"/>
      <c r="SMB111" s="1308"/>
      <c r="SMC111" s="1308"/>
      <c r="SMD111" s="1308"/>
      <c r="SME111" s="1308"/>
      <c r="SMF111" s="1308"/>
      <c r="SMG111" s="1308"/>
      <c r="SMH111" s="1308"/>
      <c r="SMI111" s="1308"/>
      <c r="SMJ111" s="1308"/>
      <c r="SMK111" s="1308"/>
      <c r="SML111" s="1308"/>
      <c r="SMM111" s="1308"/>
      <c r="SMN111" s="1308"/>
      <c r="SMO111" s="1308"/>
      <c r="SMP111" s="1308"/>
      <c r="SMQ111" s="1308"/>
      <c r="SMR111" s="1308"/>
      <c r="SMS111" s="1308"/>
      <c r="SMT111" s="1308"/>
      <c r="SMU111" s="1308"/>
      <c r="SMV111" s="1308"/>
      <c r="SMW111" s="1308"/>
      <c r="SMX111" s="1308"/>
      <c r="SMY111" s="1308"/>
      <c r="SMZ111" s="1308"/>
      <c r="SNA111" s="1308"/>
      <c r="SNB111" s="1308"/>
      <c r="SNC111" s="1308"/>
      <c r="SND111" s="1308"/>
      <c r="SNE111" s="1308"/>
      <c r="SNF111" s="1308"/>
      <c r="SNG111" s="1308"/>
      <c r="SNH111" s="1308"/>
      <c r="SNI111" s="1308"/>
      <c r="SNJ111" s="1308"/>
      <c r="SNK111" s="1308"/>
      <c r="SNL111" s="1308"/>
      <c r="SNM111" s="1308"/>
      <c r="SNN111" s="1308"/>
      <c r="SNO111" s="1308"/>
      <c r="SNP111" s="1308"/>
      <c r="SNQ111" s="1308"/>
      <c r="SNR111" s="1308"/>
      <c r="SNS111" s="1308"/>
      <c r="SNT111" s="1308"/>
      <c r="SNU111" s="1308"/>
      <c r="SNV111" s="1308"/>
      <c r="SNW111" s="1308"/>
      <c r="SNX111" s="1308"/>
      <c r="SNY111" s="1308"/>
      <c r="SNZ111" s="1308"/>
      <c r="SOA111" s="1308"/>
      <c r="SOB111" s="1308"/>
      <c r="SOC111" s="1308"/>
      <c r="SOD111" s="1308"/>
      <c r="SOE111" s="1308"/>
      <c r="SOF111" s="1308"/>
      <c r="SOG111" s="1308"/>
      <c r="SOH111" s="1308"/>
      <c r="SOI111" s="1308"/>
      <c r="SOJ111" s="1308"/>
      <c r="SOK111" s="1308"/>
      <c r="SOL111" s="1308"/>
      <c r="SOM111" s="1308"/>
      <c r="SON111" s="1308"/>
      <c r="SOO111" s="1308"/>
      <c r="SOP111" s="1308"/>
      <c r="SOQ111" s="1308"/>
      <c r="SOR111" s="1308"/>
      <c r="SOS111" s="1308"/>
      <c r="SOT111" s="1308"/>
      <c r="SOU111" s="1308"/>
      <c r="SOV111" s="1308"/>
      <c r="SOW111" s="1308"/>
      <c r="SOX111" s="1308"/>
      <c r="SOY111" s="1308"/>
      <c r="SOZ111" s="1308"/>
      <c r="SPA111" s="1308"/>
      <c r="SPB111" s="1308"/>
      <c r="SPC111" s="1308"/>
      <c r="SPD111" s="1308"/>
      <c r="SPE111" s="1308"/>
      <c r="SPF111" s="1308"/>
      <c r="SPG111" s="1308"/>
      <c r="SPH111" s="1308"/>
      <c r="SPI111" s="1308"/>
      <c r="SPJ111" s="1308"/>
      <c r="SPK111" s="1308"/>
      <c r="SPL111" s="1308"/>
      <c r="SPM111" s="1308"/>
      <c r="SPN111" s="1308"/>
      <c r="SPO111" s="1308"/>
      <c r="SPP111" s="1308"/>
      <c r="SPQ111" s="1308"/>
      <c r="SPR111" s="1308"/>
      <c r="SPS111" s="1308"/>
      <c r="SPT111" s="1308"/>
      <c r="SPU111" s="1308"/>
      <c r="SPV111" s="1308"/>
      <c r="SPW111" s="1308"/>
      <c r="SPX111" s="1308"/>
      <c r="SPY111" s="1308"/>
      <c r="SPZ111" s="1308"/>
      <c r="SQA111" s="1308"/>
      <c r="SQB111" s="1308"/>
      <c r="SQC111" s="1308"/>
      <c r="SQD111" s="1308"/>
      <c r="SQE111" s="1308"/>
      <c r="SQF111" s="1308"/>
      <c r="SQG111" s="1308"/>
      <c r="SQH111" s="1308"/>
      <c r="SQI111" s="1308"/>
      <c r="SQJ111" s="1308"/>
      <c r="SQK111" s="1308"/>
      <c r="SQL111" s="1308"/>
      <c r="SQM111" s="1308"/>
      <c r="SQN111" s="1308"/>
      <c r="SQO111" s="1308"/>
      <c r="SQP111" s="1308"/>
      <c r="SQQ111" s="1308"/>
      <c r="SQR111" s="1308"/>
      <c r="SQS111" s="1308"/>
      <c r="SQT111" s="1308"/>
      <c r="SQU111" s="1308"/>
      <c r="SQV111" s="1308"/>
      <c r="SQW111" s="1308"/>
      <c r="SQX111" s="1308"/>
      <c r="SQY111" s="1308"/>
      <c r="SQZ111" s="1308"/>
      <c r="SRA111" s="1308"/>
      <c r="SRB111" s="1308"/>
      <c r="SRC111" s="1308"/>
      <c r="SRD111" s="1308"/>
      <c r="SRE111" s="1308"/>
      <c r="SRF111" s="1308"/>
      <c r="SRG111" s="1308"/>
      <c r="SRH111" s="1308"/>
      <c r="SRI111" s="1308"/>
      <c r="SRJ111" s="1308"/>
      <c r="SRK111" s="1308"/>
      <c r="SRL111" s="1308"/>
      <c r="SRM111" s="1308"/>
      <c r="SRN111" s="1308"/>
      <c r="SRO111" s="1308"/>
      <c r="SRP111" s="1308"/>
      <c r="SRQ111" s="1308"/>
      <c r="SRR111" s="1308"/>
      <c r="SRS111" s="1308"/>
      <c r="SRT111" s="1308"/>
      <c r="SRU111" s="1308"/>
      <c r="SRV111" s="1308"/>
      <c r="SRW111" s="1308"/>
      <c r="SRX111" s="1308"/>
      <c r="SRY111" s="1308"/>
      <c r="SRZ111" s="1308"/>
      <c r="SSA111" s="1308"/>
      <c r="SSB111" s="1308"/>
      <c r="SSC111" s="1308"/>
      <c r="SSD111" s="1308"/>
      <c r="SSE111" s="1308"/>
      <c r="SSF111" s="1308"/>
      <c r="SSG111" s="1308"/>
      <c r="SSH111" s="1308"/>
      <c r="SSI111" s="1308"/>
      <c r="SSJ111" s="1308"/>
      <c r="SSK111" s="1308"/>
      <c r="SSL111" s="1308"/>
      <c r="SSM111" s="1308"/>
      <c r="SSN111" s="1308"/>
      <c r="SSO111" s="1308"/>
      <c r="SSP111" s="1308"/>
      <c r="SSQ111" s="1308"/>
      <c r="SSR111" s="1308"/>
      <c r="SSS111" s="1308"/>
      <c r="SST111" s="1308"/>
      <c r="SSU111" s="1308"/>
      <c r="SSV111" s="1308"/>
      <c r="SSW111" s="1308"/>
      <c r="SSX111" s="1308"/>
      <c r="SSY111" s="1308"/>
      <c r="SSZ111" s="1308"/>
      <c r="STA111" s="1308"/>
      <c r="STB111" s="1308"/>
      <c r="STC111" s="1308"/>
      <c r="STD111" s="1308"/>
      <c r="STE111" s="1308"/>
      <c r="STF111" s="1308"/>
      <c r="STG111" s="1308"/>
      <c r="STH111" s="1308"/>
      <c r="STI111" s="1308"/>
      <c r="STJ111" s="1308"/>
      <c r="STK111" s="1308"/>
      <c r="STL111" s="1308"/>
      <c r="STM111" s="1308"/>
      <c r="STN111" s="1308"/>
      <c r="STO111" s="1308"/>
      <c r="STP111" s="1308"/>
      <c r="STQ111" s="1308"/>
      <c r="STR111" s="1308"/>
      <c r="STS111" s="1308"/>
      <c r="STT111" s="1308"/>
      <c r="STU111" s="1308"/>
      <c r="STV111" s="1308"/>
      <c r="STW111" s="1308"/>
      <c r="STX111" s="1308"/>
      <c r="STY111" s="1308"/>
      <c r="STZ111" s="1308"/>
      <c r="SUA111" s="1308"/>
      <c r="SUB111" s="1308"/>
      <c r="SUC111" s="1308"/>
      <c r="SUD111" s="1308"/>
      <c r="SUE111" s="1308"/>
      <c r="SUF111" s="1308"/>
      <c r="SUG111" s="1308"/>
      <c r="SUH111" s="1308"/>
      <c r="SUI111" s="1308"/>
      <c r="SUJ111" s="1308"/>
      <c r="SUK111" s="1308"/>
      <c r="SUL111" s="1308"/>
      <c r="SUM111" s="1308"/>
      <c r="SUN111" s="1308"/>
      <c r="SUO111" s="1308"/>
      <c r="SUP111" s="1308"/>
      <c r="SUQ111" s="1308"/>
      <c r="SUR111" s="1308"/>
      <c r="SUS111" s="1308"/>
      <c r="SUT111" s="1308"/>
      <c r="SUU111" s="1308"/>
      <c r="SUV111" s="1308"/>
      <c r="SUW111" s="1308"/>
      <c r="SUX111" s="1308"/>
      <c r="SUY111" s="1308"/>
      <c r="SUZ111" s="1308"/>
      <c r="SVA111" s="1308"/>
      <c r="SVB111" s="1308"/>
      <c r="SVC111" s="1308"/>
      <c r="SVD111" s="1308"/>
      <c r="SVE111" s="1308"/>
      <c r="SVF111" s="1308"/>
      <c r="SVG111" s="1308"/>
      <c r="SVH111" s="1308"/>
      <c r="SVI111" s="1308"/>
      <c r="SVJ111" s="1308"/>
      <c r="SVK111" s="1308"/>
      <c r="SVL111" s="1308"/>
      <c r="SVM111" s="1308"/>
      <c r="SVN111" s="1308"/>
      <c r="SVO111" s="1308"/>
      <c r="SVP111" s="1308"/>
      <c r="SVQ111" s="1308"/>
      <c r="SVR111" s="1308"/>
      <c r="SVS111" s="1308"/>
      <c r="SVT111" s="1308"/>
      <c r="SVU111" s="1308"/>
      <c r="SVV111" s="1308"/>
      <c r="SVW111" s="1308"/>
      <c r="SVX111" s="1308"/>
      <c r="SVY111" s="1308"/>
      <c r="SVZ111" s="1308"/>
      <c r="SWA111" s="1308"/>
      <c r="SWB111" s="1308"/>
      <c r="SWC111" s="1308"/>
      <c r="SWD111" s="1308"/>
      <c r="SWE111" s="1308"/>
      <c r="SWF111" s="1308"/>
      <c r="SWG111" s="1308"/>
      <c r="SWH111" s="1308"/>
      <c r="SWI111" s="1308"/>
      <c r="SWJ111" s="1308"/>
      <c r="SWK111" s="1308"/>
      <c r="SWL111" s="1308"/>
      <c r="SWM111" s="1308"/>
      <c r="SWN111" s="1308"/>
      <c r="SWO111" s="1308"/>
      <c r="SWP111" s="1308"/>
      <c r="SWQ111" s="1308"/>
      <c r="SWR111" s="1308"/>
      <c r="SWS111" s="1308"/>
      <c r="SWT111" s="1308"/>
      <c r="SWU111" s="1308"/>
      <c r="SWV111" s="1308"/>
      <c r="SWW111" s="1308"/>
      <c r="SWX111" s="1308"/>
      <c r="SWY111" s="1308"/>
      <c r="SWZ111" s="1308"/>
      <c r="SXA111" s="1308"/>
      <c r="SXB111" s="1308"/>
      <c r="SXC111" s="1308"/>
      <c r="SXD111" s="1308"/>
      <c r="SXE111" s="1308"/>
      <c r="SXF111" s="1308"/>
      <c r="SXG111" s="1308"/>
      <c r="SXH111" s="1308"/>
      <c r="SXI111" s="1308"/>
      <c r="SXJ111" s="1308"/>
      <c r="SXK111" s="1308"/>
      <c r="SXL111" s="1308"/>
      <c r="SXM111" s="1308"/>
      <c r="SXN111" s="1308"/>
      <c r="SXO111" s="1308"/>
      <c r="SXP111" s="1308"/>
      <c r="SXQ111" s="1308"/>
      <c r="SXR111" s="1308"/>
      <c r="SXS111" s="1308"/>
      <c r="SXT111" s="1308"/>
      <c r="SXU111" s="1308"/>
      <c r="SXV111" s="1308"/>
      <c r="SXW111" s="1308"/>
      <c r="SXX111" s="1308"/>
      <c r="SXY111" s="1308"/>
      <c r="SXZ111" s="1308"/>
      <c r="SYA111" s="1308"/>
      <c r="SYB111" s="1308"/>
      <c r="SYC111" s="1308"/>
      <c r="SYD111" s="1308"/>
      <c r="SYE111" s="1308"/>
      <c r="SYF111" s="1308"/>
      <c r="SYG111" s="1308"/>
      <c r="SYH111" s="1308"/>
      <c r="SYI111" s="1308"/>
      <c r="SYJ111" s="1308"/>
      <c r="SYK111" s="1308"/>
      <c r="SYL111" s="1308"/>
      <c r="SYM111" s="1308"/>
      <c r="SYN111" s="1308"/>
      <c r="SYO111" s="1308"/>
      <c r="SYP111" s="1308"/>
      <c r="SYQ111" s="1308"/>
      <c r="SYR111" s="1308"/>
      <c r="SYS111" s="1308"/>
      <c r="SYT111" s="1308"/>
      <c r="SYU111" s="1308"/>
      <c r="SYV111" s="1308"/>
      <c r="SYW111" s="1308"/>
      <c r="SYX111" s="1308"/>
      <c r="SYY111" s="1308"/>
      <c r="SYZ111" s="1308"/>
      <c r="SZA111" s="1308"/>
      <c r="SZB111" s="1308"/>
      <c r="SZC111" s="1308"/>
      <c r="SZD111" s="1308"/>
      <c r="SZE111" s="1308"/>
      <c r="SZF111" s="1308"/>
      <c r="SZG111" s="1308"/>
      <c r="SZH111" s="1308"/>
      <c r="SZI111" s="1308"/>
      <c r="SZJ111" s="1308"/>
      <c r="SZK111" s="1308"/>
      <c r="SZL111" s="1308"/>
      <c r="SZM111" s="1308"/>
      <c r="SZN111" s="1308"/>
      <c r="SZO111" s="1308"/>
      <c r="SZP111" s="1308"/>
      <c r="SZQ111" s="1308"/>
      <c r="SZR111" s="1308"/>
      <c r="SZS111" s="1308"/>
      <c r="SZT111" s="1308"/>
      <c r="SZU111" s="1308"/>
      <c r="SZV111" s="1308"/>
      <c r="SZW111" s="1308"/>
      <c r="SZX111" s="1308"/>
      <c r="SZY111" s="1308"/>
      <c r="SZZ111" s="1308"/>
      <c r="TAA111" s="1308"/>
      <c r="TAB111" s="1308"/>
      <c r="TAC111" s="1308"/>
      <c r="TAD111" s="1308"/>
      <c r="TAE111" s="1308"/>
      <c r="TAF111" s="1308"/>
      <c r="TAG111" s="1308"/>
      <c r="TAH111" s="1308"/>
      <c r="TAI111" s="1308"/>
      <c r="TAJ111" s="1308"/>
      <c r="TAK111" s="1308"/>
      <c r="TAL111" s="1308"/>
      <c r="TAM111" s="1308"/>
      <c r="TAN111" s="1308"/>
      <c r="TAO111" s="1308"/>
      <c r="TAP111" s="1308"/>
      <c r="TAQ111" s="1308"/>
      <c r="TAR111" s="1308"/>
      <c r="TAS111" s="1308"/>
      <c r="TAT111" s="1308"/>
      <c r="TAU111" s="1308"/>
      <c r="TAV111" s="1308"/>
      <c r="TAW111" s="1308"/>
      <c r="TAX111" s="1308"/>
      <c r="TAY111" s="1308"/>
      <c r="TAZ111" s="1308"/>
      <c r="TBA111" s="1308"/>
      <c r="TBB111" s="1308"/>
      <c r="TBC111" s="1308"/>
      <c r="TBD111" s="1308"/>
      <c r="TBE111" s="1308"/>
      <c r="TBF111" s="1308"/>
      <c r="TBG111" s="1308"/>
      <c r="TBH111" s="1308"/>
      <c r="TBI111" s="1308"/>
      <c r="TBJ111" s="1308"/>
      <c r="TBK111" s="1308"/>
      <c r="TBL111" s="1308"/>
      <c r="TBM111" s="1308"/>
      <c r="TBN111" s="1308"/>
      <c r="TBO111" s="1308"/>
      <c r="TBP111" s="1308"/>
      <c r="TBQ111" s="1308"/>
      <c r="TBR111" s="1308"/>
      <c r="TBS111" s="1308"/>
      <c r="TBT111" s="1308"/>
      <c r="TBU111" s="1308"/>
      <c r="TBV111" s="1308"/>
      <c r="TBW111" s="1308"/>
      <c r="TBX111" s="1308"/>
      <c r="TBY111" s="1308"/>
      <c r="TBZ111" s="1308"/>
      <c r="TCA111" s="1308"/>
      <c r="TCB111" s="1308"/>
      <c r="TCC111" s="1308"/>
      <c r="TCD111" s="1308"/>
      <c r="TCE111" s="1308"/>
      <c r="TCF111" s="1308"/>
      <c r="TCG111" s="1308"/>
      <c r="TCH111" s="1308"/>
      <c r="TCI111" s="1308"/>
      <c r="TCJ111" s="1308"/>
      <c r="TCK111" s="1308"/>
      <c r="TCL111" s="1308"/>
      <c r="TCM111" s="1308"/>
      <c r="TCN111" s="1308"/>
      <c r="TCO111" s="1308"/>
      <c r="TCP111" s="1308"/>
      <c r="TCQ111" s="1308"/>
      <c r="TCR111" s="1308"/>
      <c r="TCS111" s="1308"/>
      <c r="TCT111" s="1308"/>
      <c r="TCU111" s="1308"/>
      <c r="TCV111" s="1308"/>
      <c r="TCW111" s="1308"/>
      <c r="TCX111" s="1308"/>
      <c r="TCY111" s="1308"/>
      <c r="TCZ111" s="1308"/>
      <c r="TDA111" s="1308"/>
      <c r="TDB111" s="1308"/>
      <c r="TDC111" s="1308"/>
      <c r="TDD111" s="1308"/>
      <c r="TDE111" s="1308"/>
      <c r="TDF111" s="1308"/>
      <c r="TDG111" s="1308"/>
      <c r="TDH111" s="1308"/>
      <c r="TDI111" s="1308"/>
      <c r="TDJ111" s="1308"/>
      <c r="TDK111" s="1308"/>
      <c r="TDL111" s="1308"/>
      <c r="TDM111" s="1308"/>
      <c r="TDN111" s="1308"/>
      <c r="TDO111" s="1308"/>
      <c r="TDP111" s="1308"/>
      <c r="TDQ111" s="1308"/>
      <c r="TDR111" s="1308"/>
      <c r="TDS111" s="1308"/>
      <c r="TDT111" s="1308"/>
      <c r="TDU111" s="1308"/>
      <c r="TDV111" s="1308"/>
      <c r="TDW111" s="1308"/>
      <c r="TDX111" s="1308"/>
      <c r="TDY111" s="1308"/>
      <c r="TDZ111" s="1308"/>
      <c r="TEA111" s="1308"/>
      <c r="TEB111" s="1308"/>
      <c r="TEC111" s="1308"/>
      <c r="TED111" s="1308"/>
      <c r="TEE111" s="1308"/>
      <c r="TEF111" s="1308"/>
      <c r="TEG111" s="1308"/>
      <c r="TEH111" s="1308"/>
      <c r="TEI111" s="1308"/>
      <c r="TEJ111" s="1308"/>
      <c r="TEK111" s="1308"/>
      <c r="TEL111" s="1308"/>
      <c r="TEM111" s="1308"/>
      <c r="TEN111" s="1308"/>
      <c r="TEO111" s="1308"/>
      <c r="TEP111" s="1308"/>
      <c r="TEQ111" s="1308"/>
      <c r="TER111" s="1308"/>
      <c r="TES111" s="1308"/>
      <c r="TET111" s="1308"/>
      <c r="TEU111" s="1308"/>
      <c r="TEV111" s="1308"/>
      <c r="TEW111" s="1308"/>
      <c r="TEX111" s="1308"/>
      <c r="TEY111" s="1308"/>
      <c r="TEZ111" s="1308"/>
      <c r="TFA111" s="1308"/>
      <c r="TFB111" s="1308"/>
      <c r="TFC111" s="1308"/>
      <c r="TFD111" s="1308"/>
      <c r="TFE111" s="1308"/>
      <c r="TFF111" s="1308"/>
      <c r="TFG111" s="1308"/>
      <c r="TFH111" s="1308"/>
      <c r="TFI111" s="1308"/>
      <c r="TFJ111" s="1308"/>
      <c r="TFK111" s="1308"/>
      <c r="TFL111" s="1308"/>
      <c r="TFM111" s="1308"/>
      <c r="TFN111" s="1308"/>
      <c r="TFO111" s="1308"/>
      <c r="TFP111" s="1308"/>
      <c r="TFQ111" s="1308"/>
      <c r="TFR111" s="1308"/>
      <c r="TFS111" s="1308"/>
      <c r="TFT111" s="1308"/>
      <c r="TFU111" s="1308"/>
      <c r="TFV111" s="1308"/>
      <c r="TFW111" s="1308"/>
      <c r="TFX111" s="1308"/>
      <c r="TFY111" s="1308"/>
      <c r="TFZ111" s="1308"/>
      <c r="TGA111" s="1308"/>
      <c r="TGB111" s="1308"/>
      <c r="TGC111" s="1308"/>
      <c r="TGD111" s="1308"/>
      <c r="TGE111" s="1308"/>
      <c r="TGF111" s="1308"/>
      <c r="TGG111" s="1308"/>
      <c r="TGH111" s="1308"/>
      <c r="TGI111" s="1308"/>
      <c r="TGJ111" s="1308"/>
      <c r="TGK111" s="1308"/>
      <c r="TGL111" s="1308"/>
      <c r="TGM111" s="1308"/>
      <c r="TGN111" s="1308"/>
      <c r="TGO111" s="1308"/>
      <c r="TGP111" s="1308"/>
      <c r="TGQ111" s="1308"/>
      <c r="TGR111" s="1308"/>
      <c r="TGS111" s="1308"/>
      <c r="TGT111" s="1308"/>
      <c r="TGU111" s="1308"/>
      <c r="TGV111" s="1308"/>
      <c r="TGW111" s="1308"/>
      <c r="TGX111" s="1308"/>
      <c r="TGY111" s="1308"/>
      <c r="TGZ111" s="1308"/>
      <c r="THA111" s="1308"/>
      <c r="THB111" s="1308"/>
      <c r="THC111" s="1308"/>
      <c r="THD111" s="1308"/>
      <c r="THE111" s="1308"/>
      <c r="THF111" s="1308"/>
      <c r="THG111" s="1308"/>
      <c r="THH111" s="1308"/>
      <c r="THI111" s="1308"/>
      <c r="THJ111" s="1308"/>
      <c r="THK111" s="1308"/>
      <c r="THL111" s="1308"/>
      <c r="THM111" s="1308"/>
      <c r="THN111" s="1308"/>
      <c r="THO111" s="1308"/>
      <c r="THP111" s="1308"/>
      <c r="THQ111" s="1308"/>
      <c r="THR111" s="1308"/>
      <c r="THS111" s="1308"/>
      <c r="THT111" s="1308"/>
      <c r="THU111" s="1308"/>
      <c r="THV111" s="1308"/>
      <c r="THW111" s="1308"/>
      <c r="THX111" s="1308"/>
      <c r="THY111" s="1308"/>
      <c r="THZ111" s="1308"/>
      <c r="TIA111" s="1308"/>
      <c r="TIB111" s="1308"/>
      <c r="TIC111" s="1308"/>
      <c r="TID111" s="1308"/>
      <c r="TIE111" s="1308"/>
      <c r="TIF111" s="1308"/>
      <c r="TIG111" s="1308"/>
      <c r="TIH111" s="1308"/>
      <c r="TII111" s="1308"/>
      <c r="TIJ111" s="1308"/>
      <c r="TIK111" s="1308"/>
      <c r="TIL111" s="1308"/>
      <c r="TIM111" s="1308"/>
      <c r="TIN111" s="1308"/>
      <c r="TIO111" s="1308"/>
      <c r="TIP111" s="1308"/>
      <c r="TIQ111" s="1308"/>
      <c r="TIR111" s="1308"/>
      <c r="TIS111" s="1308"/>
      <c r="TIT111" s="1308"/>
      <c r="TIU111" s="1308"/>
      <c r="TIV111" s="1308"/>
      <c r="TIW111" s="1308"/>
      <c r="TIX111" s="1308"/>
      <c r="TIY111" s="1308"/>
      <c r="TIZ111" s="1308"/>
      <c r="TJA111" s="1308"/>
      <c r="TJB111" s="1308"/>
      <c r="TJC111" s="1308"/>
      <c r="TJD111" s="1308"/>
      <c r="TJE111" s="1308"/>
      <c r="TJF111" s="1308"/>
      <c r="TJG111" s="1308"/>
      <c r="TJH111" s="1308"/>
      <c r="TJI111" s="1308"/>
      <c r="TJJ111" s="1308"/>
      <c r="TJK111" s="1308"/>
      <c r="TJL111" s="1308"/>
      <c r="TJM111" s="1308"/>
      <c r="TJN111" s="1308"/>
      <c r="TJO111" s="1308"/>
      <c r="TJP111" s="1308"/>
      <c r="TJQ111" s="1308"/>
      <c r="TJR111" s="1308"/>
      <c r="TJS111" s="1308"/>
      <c r="TJT111" s="1308"/>
      <c r="TJU111" s="1308"/>
      <c r="TJV111" s="1308"/>
      <c r="TJW111" s="1308"/>
      <c r="TJX111" s="1308"/>
      <c r="TJY111" s="1308"/>
      <c r="TJZ111" s="1308"/>
      <c r="TKA111" s="1308"/>
      <c r="TKB111" s="1308"/>
      <c r="TKC111" s="1308"/>
      <c r="TKD111" s="1308"/>
      <c r="TKE111" s="1308"/>
      <c r="TKF111" s="1308"/>
      <c r="TKG111" s="1308"/>
      <c r="TKH111" s="1308"/>
      <c r="TKI111" s="1308"/>
      <c r="TKJ111" s="1308"/>
      <c r="TKK111" s="1308"/>
      <c r="TKL111" s="1308"/>
      <c r="TKM111" s="1308"/>
      <c r="TKN111" s="1308"/>
      <c r="TKO111" s="1308"/>
      <c r="TKP111" s="1308"/>
      <c r="TKQ111" s="1308"/>
      <c r="TKR111" s="1308"/>
      <c r="TKS111" s="1308"/>
      <c r="TKT111" s="1308"/>
      <c r="TKU111" s="1308"/>
      <c r="TKV111" s="1308"/>
      <c r="TKW111" s="1308"/>
      <c r="TKX111" s="1308"/>
      <c r="TKY111" s="1308"/>
      <c r="TKZ111" s="1308"/>
      <c r="TLA111" s="1308"/>
      <c r="TLB111" s="1308"/>
      <c r="TLC111" s="1308"/>
      <c r="TLD111" s="1308"/>
      <c r="TLE111" s="1308"/>
      <c r="TLF111" s="1308"/>
      <c r="TLG111" s="1308"/>
      <c r="TLH111" s="1308"/>
      <c r="TLI111" s="1308"/>
      <c r="TLJ111" s="1308"/>
      <c r="TLK111" s="1308"/>
      <c r="TLL111" s="1308"/>
      <c r="TLM111" s="1308"/>
      <c r="TLN111" s="1308"/>
      <c r="TLO111" s="1308"/>
      <c r="TLP111" s="1308"/>
      <c r="TLQ111" s="1308"/>
      <c r="TLR111" s="1308"/>
      <c r="TLS111" s="1308"/>
      <c r="TLT111" s="1308"/>
      <c r="TLU111" s="1308"/>
      <c r="TLV111" s="1308"/>
      <c r="TLW111" s="1308"/>
      <c r="TLX111" s="1308"/>
      <c r="TLY111" s="1308"/>
      <c r="TLZ111" s="1308"/>
      <c r="TMA111" s="1308"/>
      <c r="TMB111" s="1308"/>
      <c r="TMC111" s="1308"/>
      <c r="TMD111" s="1308"/>
      <c r="TME111" s="1308"/>
      <c r="TMF111" s="1308"/>
      <c r="TMG111" s="1308"/>
      <c r="TMH111" s="1308"/>
      <c r="TMI111" s="1308"/>
      <c r="TMJ111" s="1308"/>
      <c r="TMK111" s="1308"/>
      <c r="TML111" s="1308"/>
      <c r="TMM111" s="1308"/>
      <c r="TMN111" s="1308"/>
      <c r="TMO111" s="1308"/>
      <c r="TMP111" s="1308"/>
      <c r="TMQ111" s="1308"/>
      <c r="TMR111" s="1308"/>
      <c r="TMS111" s="1308"/>
      <c r="TMT111" s="1308"/>
      <c r="TMU111" s="1308"/>
      <c r="TMV111" s="1308"/>
      <c r="TMW111" s="1308"/>
      <c r="TMX111" s="1308"/>
      <c r="TMY111" s="1308"/>
      <c r="TMZ111" s="1308"/>
      <c r="TNA111" s="1308"/>
      <c r="TNB111" s="1308"/>
      <c r="TNC111" s="1308"/>
      <c r="TND111" s="1308"/>
      <c r="TNE111" s="1308"/>
      <c r="TNF111" s="1308"/>
      <c r="TNG111" s="1308"/>
      <c r="TNH111" s="1308"/>
      <c r="TNI111" s="1308"/>
      <c r="TNJ111" s="1308"/>
      <c r="TNK111" s="1308"/>
      <c r="TNL111" s="1308"/>
      <c r="TNM111" s="1308"/>
      <c r="TNN111" s="1308"/>
      <c r="TNO111" s="1308"/>
      <c r="TNP111" s="1308"/>
      <c r="TNQ111" s="1308"/>
      <c r="TNR111" s="1308"/>
      <c r="TNS111" s="1308"/>
      <c r="TNT111" s="1308"/>
      <c r="TNU111" s="1308"/>
      <c r="TNV111" s="1308"/>
      <c r="TNW111" s="1308"/>
      <c r="TNX111" s="1308"/>
      <c r="TNY111" s="1308"/>
      <c r="TNZ111" s="1308"/>
      <c r="TOA111" s="1308"/>
      <c r="TOB111" s="1308"/>
      <c r="TOC111" s="1308"/>
      <c r="TOD111" s="1308"/>
      <c r="TOE111" s="1308"/>
      <c r="TOF111" s="1308"/>
      <c r="TOG111" s="1308"/>
      <c r="TOH111" s="1308"/>
      <c r="TOI111" s="1308"/>
      <c r="TOJ111" s="1308"/>
      <c r="TOK111" s="1308"/>
      <c r="TOL111" s="1308"/>
      <c r="TOM111" s="1308"/>
      <c r="TON111" s="1308"/>
      <c r="TOO111" s="1308"/>
      <c r="TOP111" s="1308"/>
      <c r="TOQ111" s="1308"/>
      <c r="TOR111" s="1308"/>
      <c r="TOS111" s="1308"/>
      <c r="TOT111" s="1308"/>
      <c r="TOU111" s="1308"/>
      <c r="TOV111" s="1308"/>
      <c r="TOW111" s="1308"/>
      <c r="TOX111" s="1308"/>
      <c r="TOY111" s="1308"/>
      <c r="TOZ111" s="1308"/>
      <c r="TPA111" s="1308"/>
      <c r="TPB111" s="1308"/>
      <c r="TPC111" s="1308"/>
      <c r="TPD111" s="1308"/>
      <c r="TPE111" s="1308"/>
      <c r="TPF111" s="1308"/>
      <c r="TPG111" s="1308"/>
      <c r="TPH111" s="1308"/>
      <c r="TPI111" s="1308"/>
      <c r="TPJ111" s="1308"/>
      <c r="TPK111" s="1308"/>
      <c r="TPL111" s="1308"/>
      <c r="TPM111" s="1308"/>
      <c r="TPN111" s="1308"/>
      <c r="TPO111" s="1308"/>
      <c r="TPP111" s="1308"/>
      <c r="TPQ111" s="1308"/>
      <c r="TPR111" s="1308"/>
      <c r="TPS111" s="1308"/>
      <c r="TPT111" s="1308"/>
      <c r="TPU111" s="1308"/>
      <c r="TPV111" s="1308"/>
      <c r="TPW111" s="1308"/>
      <c r="TPX111" s="1308"/>
      <c r="TPY111" s="1308"/>
      <c r="TPZ111" s="1308"/>
      <c r="TQA111" s="1308"/>
      <c r="TQB111" s="1308"/>
      <c r="TQC111" s="1308"/>
      <c r="TQD111" s="1308"/>
      <c r="TQE111" s="1308"/>
      <c r="TQF111" s="1308"/>
      <c r="TQG111" s="1308"/>
      <c r="TQH111" s="1308"/>
      <c r="TQI111" s="1308"/>
      <c r="TQJ111" s="1308"/>
      <c r="TQK111" s="1308"/>
      <c r="TQL111" s="1308"/>
      <c r="TQM111" s="1308"/>
      <c r="TQN111" s="1308"/>
      <c r="TQO111" s="1308"/>
      <c r="TQP111" s="1308"/>
      <c r="TQQ111" s="1308"/>
      <c r="TQR111" s="1308"/>
      <c r="TQS111" s="1308"/>
      <c r="TQT111" s="1308"/>
      <c r="TQU111" s="1308"/>
      <c r="TQV111" s="1308"/>
      <c r="TQW111" s="1308"/>
      <c r="TQX111" s="1308"/>
      <c r="TQY111" s="1308"/>
      <c r="TQZ111" s="1308"/>
      <c r="TRA111" s="1308"/>
      <c r="TRB111" s="1308"/>
      <c r="TRC111" s="1308"/>
      <c r="TRD111" s="1308"/>
      <c r="TRE111" s="1308"/>
      <c r="TRF111" s="1308"/>
      <c r="TRG111" s="1308"/>
      <c r="TRH111" s="1308"/>
      <c r="TRI111" s="1308"/>
      <c r="TRJ111" s="1308"/>
      <c r="TRK111" s="1308"/>
      <c r="TRL111" s="1308"/>
      <c r="TRM111" s="1308"/>
      <c r="TRN111" s="1308"/>
      <c r="TRO111" s="1308"/>
      <c r="TRP111" s="1308"/>
      <c r="TRQ111" s="1308"/>
      <c r="TRR111" s="1308"/>
      <c r="TRS111" s="1308"/>
      <c r="TRT111" s="1308"/>
      <c r="TRU111" s="1308"/>
      <c r="TRV111" s="1308"/>
      <c r="TRW111" s="1308"/>
      <c r="TRX111" s="1308"/>
      <c r="TRY111" s="1308"/>
      <c r="TRZ111" s="1308"/>
      <c r="TSA111" s="1308"/>
      <c r="TSB111" s="1308"/>
      <c r="TSC111" s="1308"/>
      <c r="TSD111" s="1308"/>
      <c r="TSE111" s="1308"/>
      <c r="TSF111" s="1308"/>
      <c r="TSG111" s="1308"/>
      <c r="TSH111" s="1308"/>
      <c r="TSI111" s="1308"/>
      <c r="TSJ111" s="1308"/>
      <c r="TSK111" s="1308"/>
      <c r="TSL111" s="1308"/>
      <c r="TSM111" s="1308"/>
      <c r="TSN111" s="1308"/>
      <c r="TSO111" s="1308"/>
      <c r="TSP111" s="1308"/>
      <c r="TSQ111" s="1308"/>
      <c r="TSR111" s="1308"/>
      <c r="TSS111" s="1308"/>
      <c r="TST111" s="1308"/>
      <c r="TSU111" s="1308"/>
      <c r="TSV111" s="1308"/>
      <c r="TSW111" s="1308"/>
      <c r="TSX111" s="1308"/>
      <c r="TSY111" s="1308"/>
      <c r="TSZ111" s="1308"/>
      <c r="TTA111" s="1308"/>
      <c r="TTB111" s="1308"/>
      <c r="TTC111" s="1308"/>
      <c r="TTD111" s="1308"/>
      <c r="TTE111" s="1308"/>
      <c r="TTF111" s="1308"/>
      <c r="TTG111" s="1308"/>
      <c r="TTH111" s="1308"/>
      <c r="TTI111" s="1308"/>
      <c r="TTJ111" s="1308"/>
      <c r="TTK111" s="1308"/>
      <c r="TTL111" s="1308"/>
      <c r="TTM111" s="1308"/>
      <c r="TTN111" s="1308"/>
      <c r="TTO111" s="1308"/>
      <c r="TTP111" s="1308"/>
      <c r="TTQ111" s="1308"/>
      <c r="TTR111" s="1308"/>
      <c r="TTS111" s="1308"/>
      <c r="TTT111" s="1308"/>
      <c r="TTU111" s="1308"/>
      <c r="TTV111" s="1308"/>
      <c r="TTW111" s="1308"/>
      <c r="TTX111" s="1308"/>
      <c r="TTY111" s="1308"/>
      <c r="TTZ111" s="1308"/>
      <c r="TUA111" s="1308"/>
      <c r="TUB111" s="1308"/>
      <c r="TUC111" s="1308"/>
      <c r="TUD111" s="1308"/>
      <c r="TUE111" s="1308"/>
      <c r="TUF111" s="1308"/>
      <c r="TUG111" s="1308"/>
      <c r="TUH111" s="1308"/>
      <c r="TUI111" s="1308"/>
      <c r="TUJ111" s="1308"/>
      <c r="TUK111" s="1308"/>
      <c r="TUL111" s="1308"/>
      <c r="TUM111" s="1308"/>
      <c r="TUN111" s="1308"/>
      <c r="TUO111" s="1308"/>
      <c r="TUP111" s="1308"/>
      <c r="TUQ111" s="1308"/>
      <c r="TUR111" s="1308"/>
      <c r="TUS111" s="1308"/>
      <c r="TUT111" s="1308"/>
      <c r="TUU111" s="1308"/>
      <c r="TUV111" s="1308"/>
      <c r="TUW111" s="1308"/>
      <c r="TUX111" s="1308"/>
      <c r="TUY111" s="1308"/>
      <c r="TUZ111" s="1308"/>
      <c r="TVA111" s="1308"/>
      <c r="TVB111" s="1308"/>
      <c r="TVC111" s="1308"/>
      <c r="TVD111" s="1308"/>
      <c r="TVE111" s="1308"/>
      <c r="TVF111" s="1308"/>
      <c r="TVG111" s="1308"/>
      <c r="TVH111" s="1308"/>
      <c r="TVI111" s="1308"/>
      <c r="TVJ111" s="1308"/>
      <c r="TVK111" s="1308"/>
      <c r="TVL111" s="1308"/>
      <c r="TVM111" s="1308"/>
      <c r="TVN111" s="1308"/>
      <c r="TVO111" s="1308"/>
      <c r="TVP111" s="1308"/>
      <c r="TVQ111" s="1308"/>
      <c r="TVR111" s="1308"/>
      <c r="TVS111" s="1308"/>
      <c r="TVT111" s="1308"/>
      <c r="TVU111" s="1308"/>
      <c r="TVV111" s="1308"/>
      <c r="TVW111" s="1308"/>
      <c r="TVX111" s="1308"/>
      <c r="TVY111" s="1308"/>
      <c r="TVZ111" s="1308"/>
      <c r="TWA111" s="1308"/>
      <c r="TWB111" s="1308"/>
      <c r="TWC111" s="1308"/>
      <c r="TWD111" s="1308"/>
      <c r="TWE111" s="1308"/>
      <c r="TWF111" s="1308"/>
      <c r="TWG111" s="1308"/>
      <c r="TWH111" s="1308"/>
      <c r="TWI111" s="1308"/>
      <c r="TWJ111" s="1308"/>
      <c r="TWK111" s="1308"/>
      <c r="TWL111" s="1308"/>
      <c r="TWM111" s="1308"/>
      <c r="TWN111" s="1308"/>
      <c r="TWO111" s="1308"/>
      <c r="TWP111" s="1308"/>
      <c r="TWQ111" s="1308"/>
      <c r="TWR111" s="1308"/>
      <c r="TWS111" s="1308"/>
      <c r="TWT111" s="1308"/>
      <c r="TWU111" s="1308"/>
      <c r="TWV111" s="1308"/>
      <c r="TWW111" s="1308"/>
      <c r="TWX111" s="1308"/>
      <c r="TWY111" s="1308"/>
      <c r="TWZ111" s="1308"/>
      <c r="TXA111" s="1308"/>
      <c r="TXB111" s="1308"/>
      <c r="TXC111" s="1308"/>
      <c r="TXD111" s="1308"/>
      <c r="TXE111" s="1308"/>
      <c r="TXF111" s="1308"/>
      <c r="TXG111" s="1308"/>
      <c r="TXH111" s="1308"/>
      <c r="TXI111" s="1308"/>
      <c r="TXJ111" s="1308"/>
      <c r="TXK111" s="1308"/>
      <c r="TXL111" s="1308"/>
      <c r="TXM111" s="1308"/>
      <c r="TXN111" s="1308"/>
      <c r="TXO111" s="1308"/>
      <c r="TXP111" s="1308"/>
      <c r="TXQ111" s="1308"/>
      <c r="TXR111" s="1308"/>
      <c r="TXS111" s="1308"/>
      <c r="TXT111" s="1308"/>
      <c r="TXU111" s="1308"/>
      <c r="TXV111" s="1308"/>
      <c r="TXW111" s="1308"/>
      <c r="TXX111" s="1308"/>
      <c r="TXY111" s="1308"/>
      <c r="TXZ111" s="1308"/>
      <c r="TYA111" s="1308"/>
      <c r="TYB111" s="1308"/>
      <c r="TYC111" s="1308"/>
      <c r="TYD111" s="1308"/>
      <c r="TYE111" s="1308"/>
      <c r="TYF111" s="1308"/>
      <c r="TYG111" s="1308"/>
      <c r="TYH111" s="1308"/>
      <c r="TYI111" s="1308"/>
      <c r="TYJ111" s="1308"/>
      <c r="TYK111" s="1308"/>
      <c r="TYL111" s="1308"/>
      <c r="TYM111" s="1308"/>
      <c r="TYN111" s="1308"/>
      <c r="TYO111" s="1308"/>
      <c r="TYP111" s="1308"/>
      <c r="TYQ111" s="1308"/>
      <c r="TYR111" s="1308"/>
      <c r="TYS111" s="1308"/>
      <c r="TYT111" s="1308"/>
      <c r="TYU111" s="1308"/>
      <c r="TYV111" s="1308"/>
      <c r="TYW111" s="1308"/>
      <c r="TYX111" s="1308"/>
      <c r="TYY111" s="1308"/>
      <c r="TYZ111" s="1308"/>
      <c r="TZA111" s="1308"/>
      <c r="TZB111" s="1308"/>
      <c r="TZC111" s="1308"/>
      <c r="TZD111" s="1308"/>
      <c r="TZE111" s="1308"/>
      <c r="TZF111" s="1308"/>
      <c r="TZG111" s="1308"/>
      <c r="TZH111" s="1308"/>
      <c r="TZI111" s="1308"/>
      <c r="TZJ111" s="1308"/>
      <c r="TZK111" s="1308"/>
      <c r="TZL111" s="1308"/>
      <c r="TZM111" s="1308"/>
      <c r="TZN111" s="1308"/>
      <c r="TZO111" s="1308"/>
      <c r="TZP111" s="1308"/>
      <c r="TZQ111" s="1308"/>
      <c r="TZR111" s="1308"/>
      <c r="TZS111" s="1308"/>
      <c r="TZT111" s="1308"/>
      <c r="TZU111" s="1308"/>
      <c r="TZV111" s="1308"/>
      <c r="TZW111" s="1308"/>
      <c r="TZX111" s="1308"/>
      <c r="TZY111" s="1308"/>
      <c r="TZZ111" s="1308"/>
      <c r="UAA111" s="1308"/>
      <c r="UAB111" s="1308"/>
      <c r="UAC111" s="1308"/>
      <c r="UAD111" s="1308"/>
      <c r="UAE111" s="1308"/>
      <c r="UAF111" s="1308"/>
      <c r="UAG111" s="1308"/>
      <c r="UAH111" s="1308"/>
      <c r="UAI111" s="1308"/>
      <c r="UAJ111" s="1308"/>
      <c r="UAK111" s="1308"/>
      <c r="UAL111" s="1308"/>
      <c r="UAM111" s="1308"/>
      <c r="UAN111" s="1308"/>
      <c r="UAO111" s="1308"/>
      <c r="UAP111" s="1308"/>
      <c r="UAQ111" s="1308"/>
      <c r="UAR111" s="1308"/>
      <c r="UAS111" s="1308"/>
      <c r="UAT111" s="1308"/>
      <c r="UAU111" s="1308"/>
      <c r="UAV111" s="1308"/>
      <c r="UAW111" s="1308"/>
      <c r="UAX111" s="1308"/>
      <c r="UAY111" s="1308"/>
      <c r="UAZ111" s="1308"/>
      <c r="UBA111" s="1308"/>
      <c r="UBB111" s="1308"/>
      <c r="UBC111" s="1308"/>
      <c r="UBD111" s="1308"/>
      <c r="UBE111" s="1308"/>
      <c r="UBF111" s="1308"/>
      <c r="UBG111" s="1308"/>
      <c r="UBH111" s="1308"/>
      <c r="UBI111" s="1308"/>
      <c r="UBJ111" s="1308"/>
      <c r="UBK111" s="1308"/>
      <c r="UBL111" s="1308"/>
      <c r="UBM111" s="1308"/>
      <c r="UBN111" s="1308"/>
      <c r="UBO111" s="1308"/>
      <c r="UBP111" s="1308"/>
      <c r="UBQ111" s="1308"/>
      <c r="UBR111" s="1308"/>
      <c r="UBS111" s="1308"/>
      <c r="UBT111" s="1308"/>
      <c r="UBU111" s="1308"/>
      <c r="UBV111" s="1308"/>
      <c r="UBW111" s="1308"/>
      <c r="UBX111" s="1308"/>
      <c r="UBY111" s="1308"/>
      <c r="UBZ111" s="1308"/>
      <c r="UCA111" s="1308"/>
      <c r="UCB111" s="1308"/>
      <c r="UCC111" s="1308"/>
      <c r="UCD111" s="1308"/>
      <c r="UCE111" s="1308"/>
      <c r="UCF111" s="1308"/>
      <c r="UCG111" s="1308"/>
      <c r="UCH111" s="1308"/>
      <c r="UCI111" s="1308"/>
      <c r="UCJ111" s="1308"/>
      <c r="UCK111" s="1308"/>
      <c r="UCL111" s="1308"/>
      <c r="UCM111" s="1308"/>
      <c r="UCN111" s="1308"/>
      <c r="UCO111" s="1308"/>
      <c r="UCP111" s="1308"/>
      <c r="UCQ111" s="1308"/>
      <c r="UCR111" s="1308"/>
      <c r="UCS111" s="1308"/>
      <c r="UCT111" s="1308"/>
      <c r="UCU111" s="1308"/>
      <c r="UCV111" s="1308"/>
      <c r="UCW111" s="1308"/>
      <c r="UCX111" s="1308"/>
      <c r="UCY111" s="1308"/>
      <c r="UCZ111" s="1308"/>
      <c r="UDA111" s="1308"/>
      <c r="UDB111" s="1308"/>
      <c r="UDC111" s="1308"/>
      <c r="UDD111" s="1308"/>
      <c r="UDE111" s="1308"/>
      <c r="UDF111" s="1308"/>
      <c r="UDG111" s="1308"/>
      <c r="UDH111" s="1308"/>
      <c r="UDI111" s="1308"/>
      <c r="UDJ111" s="1308"/>
      <c r="UDK111" s="1308"/>
      <c r="UDL111" s="1308"/>
      <c r="UDM111" s="1308"/>
      <c r="UDN111" s="1308"/>
      <c r="UDO111" s="1308"/>
      <c r="UDP111" s="1308"/>
      <c r="UDQ111" s="1308"/>
      <c r="UDR111" s="1308"/>
      <c r="UDS111" s="1308"/>
      <c r="UDT111" s="1308"/>
      <c r="UDU111" s="1308"/>
      <c r="UDV111" s="1308"/>
      <c r="UDW111" s="1308"/>
      <c r="UDX111" s="1308"/>
      <c r="UDY111" s="1308"/>
      <c r="UDZ111" s="1308"/>
      <c r="UEA111" s="1308"/>
      <c r="UEB111" s="1308"/>
      <c r="UEC111" s="1308"/>
      <c r="UED111" s="1308"/>
      <c r="UEE111" s="1308"/>
      <c r="UEF111" s="1308"/>
      <c r="UEG111" s="1308"/>
      <c r="UEH111" s="1308"/>
      <c r="UEI111" s="1308"/>
      <c r="UEJ111" s="1308"/>
      <c r="UEK111" s="1308"/>
      <c r="UEL111" s="1308"/>
      <c r="UEM111" s="1308"/>
      <c r="UEN111" s="1308"/>
      <c r="UEO111" s="1308"/>
      <c r="UEP111" s="1308"/>
      <c r="UEQ111" s="1308"/>
      <c r="UER111" s="1308"/>
      <c r="UES111" s="1308"/>
      <c r="UET111" s="1308"/>
      <c r="UEU111" s="1308"/>
      <c r="UEV111" s="1308"/>
      <c r="UEW111" s="1308"/>
      <c r="UEX111" s="1308"/>
      <c r="UEY111" s="1308"/>
      <c r="UEZ111" s="1308"/>
      <c r="UFA111" s="1308"/>
      <c r="UFB111" s="1308"/>
      <c r="UFC111" s="1308"/>
      <c r="UFD111" s="1308"/>
      <c r="UFE111" s="1308"/>
      <c r="UFF111" s="1308"/>
      <c r="UFG111" s="1308"/>
      <c r="UFH111" s="1308"/>
      <c r="UFI111" s="1308"/>
      <c r="UFJ111" s="1308"/>
      <c r="UFK111" s="1308"/>
      <c r="UFL111" s="1308"/>
      <c r="UFM111" s="1308"/>
      <c r="UFN111" s="1308"/>
      <c r="UFO111" s="1308"/>
      <c r="UFP111" s="1308"/>
      <c r="UFQ111" s="1308"/>
      <c r="UFR111" s="1308"/>
      <c r="UFS111" s="1308"/>
      <c r="UFT111" s="1308"/>
      <c r="UFU111" s="1308"/>
      <c r="UFV111" s="1308"/>
      <c r="UFW111" s="1308"/>
      <c r="UFX111" s="1308"/>
      <c r="UFY111" s="1308"/>
      <c r="UFZ111" s="1308"/>
      <c r="UGA111" s="1308"/>
      <c r="UGB111" s="1308"/>
      <c r="UGC111" s="1308"/>
      <c r="UGD111" s="1308"/>
      <c r="UGE111" s="1308"/>
      <c r="UGF111" s="1308"/>
      <c r="UGG111" s="1308"/>
      <c r="UGH111" s="1308"/>
      <c r="UGI111" s="1308"/>
      <c r="UGJ111" s="1308"/>
      <c r="UGK111" s="1308"/>
      <c r="UGL111" s="1308"/>
      <c r="UGM111" s="1308"/>
      <c r="UGN111" s="1308"/>
      <c r="UGO111" s="1308"/>
      <c r="UGP111" s="1308"/>
      <c r="UGQ111" s="1308"/>
      <c r="UGR111" s="1308"/>
      <c r="UGS111" s="1308"/>
      <c r="UGT111" s="1308"/>
      <c r="UGU111" s="1308"/>
      <c r="UGV111" s="1308"/>
      <c r="UGW111" s="1308"/>
      <c r="UGX111" s="1308"/>
      <c r="UGY111" s="1308"/>
      <c r="UGZ111" s="1308"/>
      <c r="UHA111" s="1308"/>
      <c r="UHB111" s="1308"/>
      <c r="UHC111" s="1308"/>
      <c r="UHD111" s="1308"/>
      <c r="UHE111" s="1308"/>
      <c r="UHF111" s="1308"/>
      <c r="UHG111" s="1308"/>
      <c r="UHH111" s="1308"/>
      <c r="UHI111" s="1308"/>
      <c r="UHJ111" s="1308"/>
      <c r="UHK111" s="1308"/>
      <c r="UHL111" s="1308"/>
      <c r="UHM111" s="1308"/>
      <c r="UHN111" s="1308"/>
      <c r="UHO111" s="1308"/>
      <c r="UHP111" s="1308"/>
      <c r="UHQ111" s="1308"/>
      <c r="UHR111" s="1308"/>
      <c r="UHS111" s="1308"/>
      <c r="UHT111" s="1308"/>
      <c r="UHU111" s="1308"/>
      <c r="UHV111" s="1308"/>
      <c r="UHW111" s="1308"/>
      <c r="UHX111" s="1308"/>
      <c r="UHY111" s="1308"/>
      <c r="UHZ111" s="1308"/>
      <c r="UIA111" s="1308"/>
      <c r="UIB111" s="1308"/>
      <c r="UIC111" s="1308"/>
      <c r="UID111" s="1308"/>
      <c r="UIE111" s="1308"/>
      <c r="UIF111" s="1308"/>
      <c r="UIG111" s="1308"/>
      <c r="UIH111" s="1308"/>
      <c r="UII111" s="1308"/>
      <c r="UIJ111" s="1308"/>
      <c r="UIK111" s="1308"/>
      <c r="UIL111" s="1308"/>
      <c r="UIM111" s="1308"/>
      <c r="UIN111" s="1308"/>
      <c r="UIO111" s="1308"/>
      <c r="UIP111" s="1308"/>
      <c r="UIQ111" s="1308"/>
      <c r="UIR111" s="1308"/>
      <c r="UIS111" s="1308"/>
      <c r="UIT111" s="1308"/>
      <c r="UIU111" s="1308"/>
      <c r="UIV111" s="1308"/>
      <c r="UIW111" s="1308"/>
      <c r="UIX111" s="1308"/>
      <c r="UIY111" s="1308"/>
      <c r="UIZ111" s="1308"/>
      <c r="UJA111" s="1308"/>
      <c r="UJB111" s="1308"/>
      <c r="UJC111" s="1308"/>
      <c r="UJD111" s="1308"/>
      <c r="UJE111" s="1308"/>
      <c r="UJF111" s="1308"/>
      <c r="UJG111" s="1308"/>
      <c r="UJH111" s="1308"/>
      <c r="UJI111" s="1308"/>
      <c r="UJJ111" s="1308"/>
      <c r="UJK111" s="1308"/>
      <c r="UJL111" s="1308"/>
      <c r="UJM111" s="1308"/>
      <c r="UJN111" s="1308"/>
      <c r="UJO111" s="1308"/>
      <c r="UJP111" s="1308"/>
      <c r="UJQ111" s="1308"/>
      <c r="UJR111" s="1308"/>
      <c r="UJS111" s="1308"/>
      <c r="UJT111" s="1308"/>
      <c r="UJU111" s="1308"/>
      <c r="UJV111" s="1308"/>
      <c r="UJW111" s="1308"/>
      <c r="UJX111" s="1308"/>
      <c r="UJY111" s="1308"/>
      <c r="UJZ111" s="1308"/>
      <c r="UKA111" s="1308"/>
      <c r="UKB111" s="1308"/>
      <c r="UKC111" s="1308"/>
      <c r="UKD111" s="1308"/>
      <c r="UKE111" s="1308"/>
      <c r="UKF111" s="1308"/>
      <c r="UKG111" s="1308"/>
      <c r="UKH111" s="1308"/>
      <c r="UKI111" s="1308"/>
      <c r="UKJ111" s="1308"/>
      <c r="UKK111" s="1308"/>
      <c r="UKL111" s="1308"/>
      <c r="UKM111" s="1308"/>
      <c r="UKN111" s="1308"/>
      <c r="UKO111" s="1308"/>
      <c r="UKP111" s="1308"/>
      <c r="UKQ111" s="1308"/>
      <c r="UKR111" s="1308"/>
      <c r="UKS111" s="1308"/>
      <c r="UKT111" s="1308"/>
      <c r="UKU111" s="1308"/>
      <c r="UKV111" s="1308"/>
      <c r="UKW111" s="1308"/>
      <c r="UKX111" s="1308"/>
      <c r="UKY111" s="1308"/>
      <c r="UKZ111" s="1308"/>
      <c r="ULA111" s="1308"/>
      <c r="ULB111" s="1308"/>
      <c r="ULC111" s="1308"/>
      <c r="ULD111" s="1308"/>
      <c r="ULE111" s="1308"/>
      <c r="ULF111" s="1308"/>
      <c r="ULG111" s="1308"/>
      <c r="ULH111" s="1308"/>
      <c r="ULI111" s="1308"/>
      <c r="ULJ111" s="1308"/>
      <c r="ULK111" s="1308"/>
      <c r="ULL111" s="1308"/>
      <c r="ULM111" s="1308"/>
      <c r="ULN111" s="1308"/>
      <c r="ULO111" s="1308"/>
      <c r="ULP111" s="1308"/>
      <c r="ULQ111" s="1308"/>
      <c r="ULR111" s="1308"/>
      <c r="ULS111" s="1308"/>
      <c r="ULT111" s="1308"/>
      <c r="ULU111" s="1308"/>
      <c r="ULV111" s="1308"/>
      <c r="ULW111" s="1308"/>
      <c r="ULX111" s="1308"/>
      <c r="ULY111" s="1308"/>
      <c r="ULZ111" s="1308"/>
      <c r="UMA111" s="1308"/>
      <c r="UMB111" s="1308"/>
      <c r="UMC111" s="1308"/>
      <c r="UMD111" s="1308"/>
      <c r="UME111" s="1308"/>
      <c r="UMF111" s="1308"/>
      <c r="UMG111" s="1308"/>
      <c r="UMH111" s="1308"/>
      <c r="UMI111" s="1308"/>
      <c r="UMJ111" s="1308"/>
      <c r="UMK111" s="1308"/>
      <c r="UML111" s="1308"/>
      <c r="UMM111" s="1308"/>
      <c r="UMN111" s="1308"/>
      <c r="UMO111" s="1308"/>
      <c r="UMP111" s="1308"/>
      <c r="UMQ111" s="1308"/>
      <c r="UMR111" s="1308"/>
      <c r="UMS111" s="1308"/>
      <c r="UMT111" s="1308"/>
      <c r="UMU111" s="1308"/>
      <c r="UMV111" s="1308"/>
      <c r="UMW111" s="1308"/>
      <c r="UMX111" s="1308"/>
      <c r="UMY111" s="1308"/>
      <c r="UMZ111" s="1308"/>
      <c r="UNA111" s="1308"/>
      <c r="UNB111" s="1308"/>
      <c r="UNC111" s="1308"/>
      <c r="UND111" s="1308"/>
      <c r="UNE111" s="1308"/>
      <c r="UNF111" s="1308"/>
      <c r="UNG111" s="1308"/>
      <c r="UNH111" s="1308"/>
      <c r="UNI111" s="1308"/>
      <c r="UNJ111" s="1308"/>
      <c r="UNK111" s="1308"/>
      <c r="UNL111" s="1308"/>
      <c r="UNM111" s="1308"/>
      <c r="UNN111" s="1308"/>
      <c r="UNO111" s="1308"/>
      <c r="UNP111" s="1308"/>
      <c r="UNQ111" s="1308"/>
      <c r="UNR111" s="1308"/>
      <c r="UNS111" s="1308"/>
      <c r="UNT111" s="1308"/>
      <c r="UNU111" s="1308"/>
      <c r="UNV111" s="1308"/>
      <c r="UNW111" s="1308"/>
      <c r="UNX111" s="1308"/>
      <c r="UNY111" s="1308"/>
      <c r="UNZ111" s="1308"/>
      <c r="UOA111" s="1308"/>
      <c r="UOB111" s="1308"/>
      <c r="UOC111" s="1308"/>
      <c r="UOD111" s="1308"/>
      <c r="UOE111" s="1308"/>
      <c r="UOF111" s="1308"/>
      <c r="UOG111" s="1308"/>
      <c r="UOH111" s="1308"/>
      <c r="UOI111" s="1308"/>
      <c r="UOJ111" s="1308"/>
      <c r="UOK111" s="1308"/>
      <c r="UOL111" s="1308"/>
      <c r="UOM111" s="1308"/>
      <c r="UON111" s="1308"/>
      <c r="UOO111" s="1308"/>
      <c r="UOP111" s="1308"/>
      <c r="UOQ111" s="1308"/>
      <c r="UOR111" s="1308"/>
      <c r="UOS111" s="1308"/>
      <c r="UOT111" s="1308"/>
      <c r="UOU111" s="1308"/>
      <c r="UOV111" s="1308"/>
      <c r="UOW111" s="1308"/>
      <c r="UOX111" s="1308"/>
      <c r="UOY111" s="1308"/>
      <c r="UOZ111" s="1308"/>
      <c r="UPA111" s="1308"/>
      <c r="UPB111" s="1308"/>
      <c r="UPC111" s="1308"/>
      <c r="UPD111" s="1308"/>
      <c r="UPE111" s="1308"/>
      <c r="UPF111" s="1308"/>
      <c r="UPG111" s="1308"/>
      <c r="UPH111" s="1308"/>
      <c r="UPI111" s="1308"/>
      <c r="UPJ111" s="1308"/>
      <c r="UPK111" s="1308"/>
      <c r="UPL111" s="1308"/>
      <c r="UPM111" s="1308"/>
      <c r="UPN111" s="1308"/>
      <c r="UPO111" s="1308"/>
      <c r="UPP111" s="1308"/>
      <c r="UPQ111" s="1308"/>
      <c r="UPR111" s="1308"/>
      <c r="UPS111" s="1308"/>
      <c r="UPT111" s="1308"/>
      <c r="UPU111" s="1308"/>
      <c r="UPV111" s="1308"/>
      <c r="UPW111" s="1308"/>
      <c r="UPX111" s="1308"/>
      <c r="UPY111" s="1308"/>
      <c r="UPZ111" s="1308"/>
      <c r="UQA111" s="1308"/>
      <c r="UQB111" s="1308"/>
      <c r="UQC111" s="1308"/>
      <c r="UQD111" s="1308"/>
      <c r="UQE111" s="1308"/>
      <c r="UQF111" s="1308"/>
      <c r="UQG111" s="1308"/>
      <c r="UQH111" s="1308"/>
      <c r="UQI111" s="1308"/>
      <c r="UQJ111" s="1308"/>
      <c r="UQK111" s="1308"/>
      <c r="UQL111" s="1308"/>
      <c r="UQM111" s="1308"/>
      <c r="UQN111" s="1308"/>
      <c r="UQO111" s="1308"/>
      <c r="UQP111" s="1308"/>
      <c r="UQQ111" s="1308"/>
      <c r="UQR111" s="1308"/>
      <c r="UQS111" s="1308"/>
      <c r="UQT111" s="1308"/>
      <c r="UQU111" s="1308"/>
      <c r="UQV111" s="1308"/>
      <c r="UQW111" s="1308"/>
      <c r="UQX111" s="1308"/>
      <c r="UQY111" s="1308"/>
      <c r="UQZ111" s="1308"/>
      <c r="URA111" s="1308"/>
      <c r="URB111" s="1308"/>
      <c r="URC111" s="1308"/>
      <c r="URD111" s="1308"/>
      <c r="URE111" s="1308"/>
      <c r="URF111" s="1308"/>
      <c r="URG111" s="1308"/>
      <c r="URH111" s="1308"/>
      <c r="URI111" s="1308"/>
      <c r="URJ111" s="1308"/>
      <c r="URK111" s="1308"/>
      <c r="URL111" s="1308"/>
      <c r="URM111" s="1308"/>
      <c r="URN111" s="1308"/>
      <c r="URO111" s="1308"/>
      <c r="URP111" s="1308"/>
      <c r="URQ111" s="1308"/>
      <c r="URR111" s="1308"/>
      <c r="URS111" s="1308"/>
      <c r="URT111" s="1308"/>
      <c r="URU111" s="1308"/>
      <c r="URV111" s="1308"/>
      <c r="URW111" s="1308"/>
      <c r="URX111" s="1308"/>
      <c r="URY111" s="1308"/>
      <c r="URZ111" s="1308"/>
      <c r="USA111" s="1308"/>
      <c r="USB111" s="1308"/>
      <c r="USC111" s="1308"/>
      <c r="USD111" s="1308"/>
      <c r="USE111" s="1308"/>
      <c r="USF111" s="1308"/>
      <c r="USG111" s="1308"/>
      <c r="USH111" s="1308"/>
      <c r="USI111" s="1308"/>
      <c r="USJ111" s="1308"/>
      <c r="USK111" s="1308"/>
      <c r="USL111" s="1308"/>
      <c r="USM111" s="1308"/>
      <c r="USN111" s="1308"/>
      <c r="USO111" s="1308"/>
      <c r="USP111" s="1308"/>
      <c r="USQ111" s="1308"/>
      <c r="USR111" s="1308"/>
      <c r="USS111" s="1308"/>
      <c r="UST111" s="1308"/>
      <c r="USU111" s="1308"/>
      <c r="USV111" s="1308"/>
      <c r="USW111" s="1308"/>
      <c r="USX111" s="1308"/>
      <c r="USY111" s="1308"/>
      <c r="USZ111" s="1308"/>
      <c r="UTA111" s="1308"/>
      <c r="UTB111" s="1308"/>
      <c r="UTC111" s="1308"/>
      <c r="UTD111" s="1308"/>
      <c r="UTE111" s="1308"/>
      <c r="UTF111" s="1308"/>
      <c r="UTG111" s="1308"/>
      <c r="UTH111" s="1308"/>
      <c r="UTI111" s="1308"/>
      <c r="UTJ111" s="1308"/>
      <c r="UTK111" s="1308"/>
      <c r="UTL111" s="1308"/>
      <c r="UTM111" s="1308"/>
      <c r="UTN111" s="1308"/>
      <c r="UTO111" s="1308"/>
      <c r="UTP111" s="1308"/>
      <c r="UTQ111" s="1308"/>
      <c r="UTR111" s="1308"/>
      <c r="UTS111" s="1308"/>
      <c r="UTT111" s="1308"/>
      <c r="UTU111" s="1308"/>
      <c r="UTV111" s="1308"/>
      <c r="UTW111" s="1308"/>
      <c r="UTX111" s="1308"/>
      <c r="UTY111" s="1308"/>
      <c r="UTZ111" s="1308"/>
      <c r="UUA111" s="1308"/>
      <c r="UUB111" s="1308"/>
      <c r="UUC111" s="1308"/>
      <c r="UUD111" s="1308"/>
      <c r="UUE111" s="1308"/>
      <c r="UUF111" s="1308"/>
      <c r="UUG111" s="1308"/>
      <c r="UUH111" s="1308"/>
      <c r="UUI111" s="1308"/>
      <c r="UUJ111" s="1308"/>
      <c r="UUK111" s="1308"/>
      <c r="UUL111" s="1308"/>
      <c r="UUM111" s="1308"/>
      <c r="UUN111" s="1308"/>
      <c r="UUO111" s="1308"/>
      <c r="UUP111" s="1308"/>
      <c r="UUQ111" s="1308"/>
      <c r="UUR111" s="1308"/>
      <c r="UUS111" s="1308"/>
      <c r="UUT111" s="1308"/>
      <c r="UUU111" s="1308"/>
      <c r="UUV111" s="1308"/>
      <c r="UUW111" s="1308"/>
      <c r="UUX111" s="1308"/>
      <c r="UUY111" s="1308"/>
      <c r="UUZ111" s="1308"/>
      <c r="UVA111" s="1308"/>
      <c r="UVB111" s="1308"/>
      <c r="UVC111" s="1308"/>
      <c r="UVD111" s="1308"/>
      <c r="UVE111" s="1308"/>
      <c r="UVF111" s="1308"/>
      <c r="UVG111" s="1308"/>
      <c r="UVH111" s="1308"/>
      <c r="UVI111" s="1308"/>
      <c r="UVJ111" s="1308"/>
      <c r="UVK111" s="1308"/>
      <c r="UVL111" s="1308"/>
      <c r="UVM111" s="1308"/>
      <c r="UVN111" s="1308"/>
      <c r="UVO111" s="1308"/>
      <c r="UVP111" s="1308"/>
      <c r="UVQ111" s="1308"/>
      <c r="UVR111" s="1308"/>
      <c r="UVS111" s="1308"/>
      <c r="UVT111" s="1308"/>
      <c r="UVU111" s="1308"/>
      <c r="UVV111" s="1308"/>
      <c r="UVW111" s="1308"/>
      <c r="UVX111" s="1308"/>
      <c r="UVY111" s="1308"/>
      <c r="UVZ111" s="1308"/>
      <c r="UWA111" s="1308"/>
      <c r="UWB111" s="1308"/>
      <c r="UWC111" s="1308"/>
      <c r="UWD111" s="1308"/>
      <c r="UWE111" s="1308"/>
      <c r="UWF111" s="1308"/>
      <c r="UWG111" s="1308"/>
      <c r="UWH111" s="1308"/>
      <c r="UWI111" s="1308"/>
      <c r="UWJ111" s="1308"/>
      <c r="UWK111" s="1308"/>
      <c r="UWL111" s="1308"/>
      <c r="UWM111" s="1308"/>
      <c r="UWN111" s="1308"/>
      <c r="UWO111" s="1308"/>
      <c r="UWP111" s="1308"/>
      <c r="UWQ111" s="1308"/>
      <c r="UWR111" s="1308"/>
      <c r="UWS111" s="1308"/>
      <c r="UWT111" s="1308"/>
      <c r="UWU111" s="1308"/>
      <c r="UWV111" s="1308"/>
      <c r="UWW111" s="1308"/>
      <c r="UWX111" s="1308"/>
      <c r="UWY111" s="1308"/>
      <c r="UWZ111" s="1308"/>
      <c r="UXA111" s="1308"/>
      <c r="UXB111" s="1308"/>
      <c r="UXC111" s="1308"/>
      <c r="UXD111" s="1308"/>
      <c r="UXE111" s="1308"/>
      <c r="UXF111" s="1308"/>
      <c r="UXG111" s="1308"/>
      <c r="UXH111" s="1308"/>
      <c r="UXI111" s="1308"/>
      <c r="UXJ111" s="1308"/>
      <c r="UXK111" s="1308"/>
      <c r="UXL111" s="1308"/>
      <c r="UXM111" s="1308"/>
      <c r="UXN111" s="1308"/>
      <c r="UXO111" s="1308"/>
      <c r="UXP111" s="1308"/>
      <c r="UXQ111" s="1308"/>
      <c r="UXR111" s="1308"/>
      <c r="UXS111" s="1308"/>
      <c r="UXT111" s="1308"/>
      <c r="UXU111" s="1308"/>
      <c r="UXV111" s="1308"/>
      <c r="UXW111" s="1308"/>
      <c r="UXX111" s="1308"/>
      <c r="UXY111" s="1308"/>
      <c r="UXZ111" s="1308"/>
      <c r="UYA111" s="1308"/>
      <c r="UYB111" s="1308"/>
      <c r="UYC111" s="1308"/>
      <c r="UYD111" s="1308"/>
      <c r="UYE111" s="1308"/>
      <c r="UYF111" s="1308"/>
      <c r="UYG111" s="1308"/>
      <c r="UYH111" s="1308"/>
      <c r="UYI111" s="1308"/>
      <c r="UYJ111" s="1308"/>
      <c r="UYK111" s="1308"/>
      <c r="UYL111" s="1308"/>
      <c r="UYM111" s="1308"/>
      <c r="UYN111" s="1308"/>
      <c r="UYO111" s="1308"/>
      <c r="UYP111" s="1308"/>
      <c r="UYQ111" s="1308"/>
      <c r="UYR111" s="1308"/>
      <c r="UYS111" s="1308"/>
      <c r="UYT111" s="1308"/>
      <c r="UYU111" s="1308"/>
      <c r="UYV111" s="1308"/>
      <c r="UYW111" s="1308"/>
      <c r="UYX111" s="1308"/>
      <c r="UYY111" s="1308"/>
      <c r="UYZ111" s="1308"/>
      <c r="UZA111" s="1308"/>
      <c r="UZB111" s="1308"/>
      <c r="UZC111" s="1308"/>
      <c r="UZD111" s="1308"/>
      <c r="UZE111" s="1308"/>
      <c r="UZF111" s="1308"/>
      <c r="UZG111" s="1308"/>
      <c r="UZH111" s="1308"/>
      <c r="UZI111" s="1308"/>
      <c r="UZJ111" s="1308"/>
      <c r="UZK111" s="1308"/>
      <c r="UZL111" s="1308"/>
      <c r="UZM111" s="1308"/>
      <c r="UZN111" s="1308"/>
      <c r="UZO111" s="1308"/>
      <c r="UZP111" s="1308"/>
      <c r="UZQ111" s="1308"/>
      <c r="UZR111" s="1308"/>
      <c r="UZS111" s="1308"/>
      <c r="UZT111" s="1308"/>
      <c r="UZU111" s="1308"/>
      <c r="UZV111" s="1308"/>
      <c r="UZW111" s="1308"/>
      <c r="UZX111" s="1308"/>
      <c r="UZY111" s="1308"/>
      <c r="UZZ111" s="1308"/>
      <c r="VAA111" s="1308"/>
      <c r="VAB111" s="1308"/>
      <c r="VAC111" s="1308"/>
      <c r="VAD111" s="1308"/>
      <c r="VAE111" s="1308"/>
      <c r="VAF111" s="1308"/>
      <c r="VAG111" s="1308"/>
      <c r="VAH111" s="1308"/>
      <c r="VAI111" s="1308"/>
      <c r="VAJ111" s="1308"/>
      <c r="VAK111" s="1308"/>
      <c r="VAL111" s="1308"/>
      <c r="VAM111" s="1308"/>
      <c r="VAN111" s="1308"/>
      <c r="VAO111" s="1308"/>
      <c r="VAP111" s="1308"/>
      <c r="VAQ111" s="1308"/>
      <c r="VAR111" s="1308"/>
      <c r="VAS111" s="1308"/>
      <c r="VAT111" s="1308"/>
      <c r="VAU111" s="1308"/>
      <c r="VAV111" s="1308"/>
      <c r="VAW111" s="1308"/>
      <c r="VAX111" s="1308"/>
      <c r="VAY111" s="1308"/>
      <c r="VAZ111" s="1308"/>
      <c r="VBA111" s="1308"/>
      <c r="VBB111" s="1308"/>
      <c r="VBC111" s="1308"/>
      <c r="VBD111" s="1308"/>
      <c r="VBE111" s="1308"/>
      <c r="VBF111" s="1308"/>
      <c r="VBG111" s="1308"/>
      <c r="VBH111" s="1308"/>
      <c r="VBI111" s="1308"/>
      <c r="VBJ111" s="1308"/>
      <c r="VBK111" s="1308"/>
      <c r="VBL111" s="1308"/>
      <c r="VBM111" s="1308"/>
      <c r="VBN111" s="1308"/>
      <c r="VBO111" s="1308"/>
      <c r="VBP111" s="1308"/>
      <c r="VBQ111" s="1308"/>
      <c r="VBR111" s="1308"/>
      <c r="VBS111" s="1308"/>
      <c r="VBT111" s="1308"/>
      <c r="VBU111" s="1308"/>
      <c r="VBV111" s="1308"/>
      <c r="VBW111" s="1308"/>
      <c r="VBX111" s="1308"/>
      <c r="VBY111" s="1308"/>
      <c r="VBZ111" s="1308"/>
      <c r="VCA111" s="1308"/>
      <c r="VCB111" s="1308"/>
      <c r="VCC111" s="1308"/>
      <c r="VCD111" s="1308"/>
      <c r="VCE111" s="1308"/>
      <c r="VCF111" s="1308"/>
      <c r="VCG111" s="1308"/>
      <c r="VCH111" s="1308"/>
      <c r="VCI111" s="1308"/>
      <c r="VCJ111" s="1308"/>
      <c r="VCK111" s="1308"/>
      <c r="VCL111" s="1308"/>
      <c r="VCM111" s="1308"/>
      <c r="VCN111" s="1308"/>
      <c r="VCO111" s="1308"/>
      <c r="VCP111" s="1308"/>
      <c r="VCQ111" s="1308"/>
      <c r="VCR111" s="1308"/>
      <c r="VCS111" s="1308"/>
      <c r="VCT111" s="1308"/>
      <c r="VCU111" s="1308"/>
      <c r="VCV111" s="1308"/>
      <c r="VCW111" s="1308"/>
      <c r="VCX111" s="1308"/>
      <c r="VCY111" s="1308"/>
      <c r="VCZ111" s="1308"/>
      <c r="VDA111" s="1308"/>
      <c r="VDB111" s="1308"/>
      <c r="VDC111" s="1308"/>
      <c r="VDD111" s="1308"/>
      <c r="VDE111" s="1308"/>
      <c r="VDF111" s="1308"/>
      <c r="VDG111" s="1308"/>
      <c r="VDH111" s="1308"/>
      <c r="VDI111" s="1308"/>
      <c r="VDJ111" s="1308"/>
      <c r="VDK111" s="1308"/>
      <c r="VDL111" s="1308"/>
      <c r="VDM111" s="1308"/>
      <c r="VDN111" s="1308"/>
      <c r="VDO111" s="1308"/>
      <c r="VDP111" s="1308"/>
      <c r="VDQ111" s="1308"/>
      <c r="VDR111" s="1308"/>
      <c r="VDS111" s="1308"/>
      <c r="VDT111" s="1308"/>
      <c r="VDU111" s="1308"/>
      <c r="VDV111" s="1308"/>
      <c r="VDW111" s="1308"/>
      <c r="VDX111" s="1308"/>
      <c r="VDY111" s="1308"/>
      <c r="VDZ111" s="1308"/>
      <c r="VEA111" s="1308"/>
      <c r="VEB111" s="1308"/>
      <c r="VEC111" s="1308"/>
      <c r="VED111" s="1308"/>
      <c r="VEE111" s="1308"/>
      <c r="VEF111" s="1308"/>
      <c r="VEG111" s="1308"/>
      <c r="VEH111" s="1308"/>
      <c r="VEI111" s="1308"/>
      <c r="VEJ111" s="1308"/>
      <c r="VEK111" s="1308"/>
      <c r="VEL111" s="1308"/>
      <c r="VEM111" s="1308"/>
      <c r="VEN111" s="1308"/>
      <c r="VEO111" s="1308"/>
      <c r="VEP111" s="1308"/>
      <c r="VEQ111" s="1308"/>
      <c r="VER111" s="1308"/>
      <c r="VES111" s="1308"/>
      <c r="VET111" s="1308"/>
      <c r="VEU111" s="1308"/>
      <c r="VEV111" s="1308"/>
      <c r="VEW111" s="1308"/>
      <c r="VEX111" s="1308"/>
      <c r="VEY111" s="1308"/>
      <c r="VEZ111" s="1308"/>
      <c r="VFA111" s="1308"/>
      <c r="VFB111" s="1308"/>
      <c r="VFC111" s="1308"/>
      <c r="VFD111" s="1308"/>
      <c r="VFE111" s="1308"/>
      <c r="VFF111" s="1308"/>
      <c r="VFG111" s="1308"/>
      <c r="VFH111" s="1308"/>
      <c r="VFI111" s="1308"/>
      <c r="VFJ111" s="1308"/>
      <c r="VFK111" s="1308"/>
      <c r="VFL111" s="1308"/>
      <c r="VFM111" s="1308"/>
      <c r="VFN111" s="1308"/>
      <c r="VFO111" s="1308"/>
      <c r="VFP111" s="1308"/>
      <c r="VFQ111" s="1308"/>
      <c r="VFR111" s="1308"/>
      <c r="VFS111" s="1308"/>
      <c r="VFT111" s="1308"/>
      <c r="VFU111" s="1308"/>
      <c r="VFV111" s="1308"/>
      <c r="VFW111" s="1308"/>
      <c r="VFX111" s="1308"/>
      <c r="VFY111" s="1308"/>
      <c r="VFZ111" s="1308"/>
      <c r="VGA111" s="1308"/>
      <c r="VGB111" s="1308"/>
      <c r="VGC111" s="1308"/>
      <c r="VGD111" s="1308"/>
      <c r="VGE111" s="1308"/>
      <c r="VGF111" s="1308"/>
      <c r="VGG111" s="1308"/>
      <c r="VGH111" s="1308"/>
      <c r="VGI111" s="1308"/>
      <c r="VGJ111" s="1308"/>
      <c r="VGK111" s="1308"/>
      <c r="VGL111" s="1308"/>
      <c r="VGM111" s="1308"/>
      <c r="VGN111" s="1308"/>
      <c r="VGO111" s="1308"/>
      <c r="VGP111" s="1308"/>
      <c r="VGQ111" s="1308"/>
      <c r="VGR111" s="1308"/>
      <c r="VGS111" s="1308"/>
      <c r="VGT111" s="1308"/>
      <c r="VGU111" s="1308"/>
      <c r="VGV111" s="1308"/>
      <c r="VGW111" s="1308"/>
      <c r="VGX111" s="1308"/>
      <c r="VGY111" s="1308"/>
      <c r="VGZ111" s="1308"/>
      <c r="VHA111" s="1308"/>
      <c r="VHB111" s="1308"/>
      <c r="VHC111" s="1308"/>
      <c r="VHD111" s="1308"/>
      <c r="VHE111" s="1308"/>
      <c r="VHF111" s="1308"/>
      <c r="VHG111" s="1308"/>
      <c r="VHH111" s="1308"/>
      <c r="VHI111" s="1308"/>
      <c r="VHJ111" s="1308"/>
      <c r="VHK111" s="1308"/>
      <c r="VHL111" s="1308"/>
      <c r="VHM111" s="1308"/>
      <c r="VHN111" s="1308"/>
      <c r="VHO111" s="1308"/>
      <c r="VHP111" s="1308"/>
      <c r="VHQ111" s="1308"/>
      <c r="VHR111" s="1308"/>
      <c r="VHS111" s="1308"/>
      <c r="VHT111" s="1308"/>
      <c r="VHU111" s="1308"/>
      <c r="VHV111" s="1308"/>
      <c r="VHW111" s="1308"/>
      <c r="VHX111" s="1308"/>
      <c r="VHY111" s="1308"/>
      <c r="VHZ111" s="1308"/>
      <c r="VIA111" s="1308"/>
      <c r="VIB111" s="1308"/>
      <c r="VIC111" s="1308"/>
      <c r="VID111" s="1308"/>
      <c r="VIE111" s="1308"/>
      <c r="VIF111" s="1308"/>
      <c r="VIG111" s="1308"/>
      <c r="VIH111" s="1308"/>
      <c r="VII111" s="1308"/>
      <c r="VIJ111" s="1308"/>
      <c r="VIK111" s="1308"/>
      <c r="VIL111" s="1308"/>
      <c r="VIM111" s="1308"/>
      <c r="VIN111" s="1308"/>
      <c r="VIO111" s="1308"/>
      <c r="VIP111" s="1308"/>
      <c r="VIQ111" s="1308"/>
      <c r="VIR111" s="1308"/>
      <c r="VIS111" s="1308"/>
      <c r="VIT111" s="1308"/>
      <c r="VIU111" s="1308"/>
      <c r="VIV111" s="1308"/>
      <c r="VIW111" s="1308"/>
      <c r="VIX111" s="1308"/>
      <c r="VIY111" s="1308"/>
      <c r="VIZ111" s="1308"/>
      <c r="VJA111" s="1308"/>
      <c r="VJB111" s="1308"/>
      <c r="VJC111" s="1308"/>
      <c r="VJD111" s="1308"/>
      <c r="VJE111" s="1308"/>
      <c r="VJF111" s="1308"/>
      <c r="VJG111" s="1308"/>
      <c r="VJH111" s="1308"/>
      <c r="VJI111" s="1308"/>
      <c r="VJJ111" s="1308"/>
      <c r="VJK111" s="1308"/>
      <c r="VJL111" s="1308"/>
      <c r="VJM111" s="1308"/>
      <c r="VJN111" s="1308"/>
      <c r="VJO111" s="1308"/>
      <c r="VJP111" s="1308"/>
      <c r="VJQ111" s="1308"/>
      <c r="VJR111" s="1308"/>
      <c r="VJS111" s="1308"/>
      <c r="VJT111" s="1308"/>
      <c r="VJU111" s="1308"/>
      <c r="VJV111" s="1308"/>
      <c r="VJW111" s="1308"/>
      <c r="VJX111" s="1308"/>
      <c r="VJY111" s="1308"/>
      <c r="VJZ111" s="1308"/>
      <c r="VKA111" s="1308"/>
      <c r="VKB111" s="1308"/>
      <c r="VKC111" s="1308"/>
      <c r="VKD111" s="1308"/>
      <c r="VKE111" s="1308"/>
      <c r="VKF111" s="1308"/>
      <c r="VKG111" s="1308"/>
      <c r="VKH111" s="1308"/>
      <c r="VKI111" s="1308"/>
      <c r="VKJ111" s="1308"/>
      <c r="VKK111" s="1308"/>
      <c r="VKL111" s="1308"/>
      <c r="VKM111" s="1308"/>
      <c r="VKN111" s="1308"/>
      <c r="VKO111" s="1308"/>
      <c r="VKP111" s="1308"/>
      <c r="VKQ111" s="1308"/>
      <c r="VKR111" s="1308"/>
      <c r="VKS111" s="1308"/>
      <c r="VKT111" s="1308"/>
      <c r="VKU111" s="1308"/>
      <c r="VKV111" s="1308"/>
      <c r="VKW111" s="1308"/>
      <c r="VKX111" s="1308"/>
      <c r="VKY111" s="1308"/>
      <c r="VKZ111" s="1308"/>
      <c r="VLA111" s="1308"/>
      <c r="VLB111" s="1308"/>
      <c r="VLC111" s="1308"/>
      <c r="VLD111" s="1308"/>
      <c r="VLE111" s="1308"/>
      <c r="VLF111" s="1308"/>
      <c r="VLG111" s="1308"/>
      <c r="VLH111" s="1308"/>
      <c r="VLI111" s="1308"/>
      <c r="VLJ111" s="1308"/>
      <c r="VLK111" s="1308"/>
      <c r="VLL111" s="1308"/>
      <c r="VLM111" s="1308"/>
      <c r="VLN111" s="1308"/>
      <c r="VLO111" s="1308"/>
      <c r="VLP111" s="1308"/>
      <c r="VLQ111" s="1308"/>
      <c r="VLR111" s="1308"/>
      <c r="VLS111" s="1308"/>
      <c r="VLT111" s="1308"/>
      <c r="VLU111" s="1308"/>
      <c r="VLV111" s="1308"/>
      <c r="VLW111" s="1308"/>
      <c r="VLX111" s="1308"/>
      <c r="VLY111" s="1308"/>
      <c r="VLZ111" s="1308"/>
      <c r="VMA111" s="1308"/>
      <c r="VMB111" s="1308"/>
      <c r="VMC111" s="1308"/>
      <c r="VMD111" s="1308"/>
      <c r="VME111" s="1308"/>
      <c r="VMF111" s="1308"/>
      <c r="VMG111" s="1308"/>
      <c r="VMH111" s="1308"/>
      <c r="VMI111" s="1308"/>
      <c r="VMJ111" s="1308"/>
      <c r="VMK111" s="1308"/>
      <c r="VML111" s="1308"/>
      <c r="VMM111" s="1308"/>
      <c r="VMN111" s="1308"/>
      <c r="VMO111" s="1308"/>
      <c r="VMP111" s="1308"/>
      <c r="VMQ111" s="1308"/>
      <c r="VMR111" s="1308"/>
      <c r="VMS111" s="1308"/>
      <c r="VMT111" s="1308"/>
      <c r="VMU111" s="1308"/>
      <c r="VMV111" s="1308"/>
      <c r="VMW111" s="1308"/>
      <c r="VMX111" s="1308"/>
      <c r="VMY111" s="1308"/>
      <c r="VMZ111" s="1308"/>
      <c r="VNA111" s="1308"/>
      <c r="VNB111" s="1308"/>
      <c r="VNC111" s="1308"/>
      <c r="VND111" s="1308"/>
      <c r="VNE111" s="1308"/>
      <c r="VNF111" s="1308"/>
      <c r="VNG111" s="1308"/>
      <c r="VNH111" s="1308"/>
      <c r="VNI111" s="1308"/>
      <c r="VNJ111" s="1308"/>
      <c r="VNK111" s="1308"/>
      <c r="VNL111" s="1308"/>
      <c r="VNM111" s="1308"/>
      <c r="VNN111" s="1308"/>
      <c r="VNO111" s="1308"/>
      <c r="VNP111" s="1308"/>
      <c r="VNQ111" s="1308"/>
      <c r="VNR111" s="1308"/>
      <c r="VNS111" s="1308"/>
      <c r="VNT111" s="1308"/>
      <c r="VNU111" s="1308"/>
      <c r="VNV111" s="1308"/>
      <c r="VNW111" s="1308"/>
      <c r="VNX111" s="1308"/>
      <c r="VNY111" s="1308"/>
      <c r="VNZ111" s="1308"/>
      <c r="VOA111" s="1308"/>
      <c r="VOB111" s="1308"/>
      <c r="VOC111" s="1308"/>
      <c r="VOD111" s="1308"/>
      <c r="VOE111" s="1308"/>
      <c r="VOF111" s="1308"/>
      <c r="VOG111" s="1308"/>
      <c r="VOH111" s="1308"/>
      <c r="VOI111" s="1308"/>
      <c r="VOJ111" s="1308"/>
      <c r="VOK111" s="1308"/>
      <c r="VOL111" s="1308"/>
      <c r="VOM111" s="1308"/>
      <c r="VON111" s="1308"/>
      <c r="VOO111" s="1308"/>
      <c r="VOP111" s="1308"/>
      <c r="VOQ111" s="1308"/>
      <c r="VOR111" s="1308"/>
      <c r="VOS111" s="1308"/>
      <c r="VOT111" s="1308"/>
      <c r="VOU111" s="1308"/>
      <c r="VOV111" s="1308"/>
      <c r="VOW111" s="1308"/>
      <c r="VOX111" s="1308"/>
      <c r="VOY111" s="1308"/>
      <c r="VOZ111" s="1308"/>
      <c r="VPA111" s="1308"/>
      <c r="VPB111" s="1308"/>
      <c r="VPC111" s="1308"/>
      <c r="VPD111" s="1308"/>
      <c r="VPE111" s="1308"/>
      <c r="VPF111" s="1308"/>
      <c r="VPG111" s="1308"/>
      <c r="VPH111" s="1308"/>
      <c r="VPI111" s="1308"/>
      <c r="VPJ111" s="1308"/>
      <c r="VPK111" s="1308"/>
      <c r="VPL111" s="1308"/>
      <c r="VPM111" s="1308"/>
      <c r="VPN111" s="1308"/>
      <c r="VPO111" s="1308"/>
      <c r="VPP111" s="1308"/>
      <c r="VPQ111" s="1308"/>
      <c r="VPR111" s="1308"/>
      <c r="VPS111" s="1308"/>
      <c r="VPT111" s="1308"/>
      <c r="VPU111" s="1308"/>
      <c r="VPV111" s="1308"/>
      <c r="VPW111" s="1308"/>
      <c r="VPX111" s="1308"/>
      <c r="VPY111" s="1308"/>
      <c r="VPZ111" s="1308"/>
      <c r="VQA111" s="1308"/>
      <c r="VQB111" s="1308"/>
      <c r="VQC111" s="1308"/>
      <c r="VQD111" s="1308"/>
      <c r="VQE111" s="1308"/>
      <c r="VQF111" s="1308"/>
      <c r="VQG111" s="1308"/>
      <c r="VQH111" s="1308"/>
      <c r="VQI111" s="1308"/>
      <c r="VQJ111" s="1308"/>
      <c r="VQK111" s="1308"/>
      <c r="VQL111" s="1308"/>
      <c r="VQM111" s="1308"/>
      <c r="VQN111" s="1308"/>
      <c r="VQO111" s="1308"/>
      <c r="VQP111" s="1308"/>
      <c r="VQQ111" s="1308"/>
      <c r="VQR111" s="1308"/>
      <c r="VQS111" s="1308"/>
      <c r="VQT111" s="1308"/>
      <c r="VQU111" s="1308"/>
      <c r="VQV111" s="1308"/>
      <c r="VQW111" s="1308"/>
      <c r="VQX111" s="1308"/>
      <c r="VQY111" s="1308"/>
      <c r="VQZ111" s="1308"/>
      <c r="VRA111" s="1308"/>
      <c r="VRB111" s="1308"/>
      <c r="VRC111" s="1308"/>
      <c r="VRD111" s="1308"/>
      <c r="VRE111" s="1308"/>
      <c r="VRF111" s="1308"/>
      <c r="VRG111" s="1308"/>
      <c r="VRH111" s="1308"/>
      <c r="VRI111" s="1308"/>
      <c r="VRJ111" s="1308"/>
      <c r="VRK111" s="1308"/>
      <c r="VRL111" s="1308"/>
      <c r="VRM111" s="1308"/>
      <c r="VRN111" s="1308"/>
      <c r="VRO111" s="1308"/>
      <c r="VRP111" s="1308"/>
      <c r="VRQ111" s="1308"/>
      <c r="VRR111" s="1308"/>
      <c r="VRS111" s="1308"/>
      <c r="VRT111" s="1308"/>
      <c r="VRU111" s="1308"/>
      <c r="VRV111" s="1308"/>
      <c r="VRW111" s="1308"/>
      <c r="VRX111" s="1308"/>
      <c r="VRY111" s="1308"/>
      <c r="VRZ111" s="1308"/>
      <c r="VSA111" s="1308"/>
      <c r="VSB111" s="1308"/>
      <c r="VSC111" s="1308"/>
      <c r="VSD111" s="1308"/>
      <c r="VSE111" s="1308"/>
      <c r="VSF111" s="1308"/>
      <c r="VSG111" s="1308"/>
      <c r="VSH111" s="1308"/>
      <c r="VSI111" s="1308"/>
      <c r="VSJ111" s="1308"/>
      <c r="VSK111" s="1308"/>
      <c r="VSL111" s="1308"/>
      <c r="VSM111" s="1308"/>
      <c r="VSN111" s="1308"/>
      <c r="VSO111" s="1308"/>
      <c r="VSP111" s="1308"/>
      <c r="VSQ111" s="1308"/>
      <c r="VSR111" s="1308"/>
      <c r="VSS111" s="1308"/>
      <c r="VST111" s="1308"/>
      <c r="VSU111" s="1308"/>
      <c r="VSV111" s="1308"/>
      <c r="VSW111" s="1308"/>
      <c r="VSX111" s="1308"/>
      <c r="VSY111" s="1308"/>
      <c r="VSZ111" s="1308"/>
      <c r="VTA111" s="1308"/>
      <c r="VTB111" s="1308"/>
      <c r="VTC111" s="1308"/>
      <c r="VTD111" s="1308"/>
      <c r="VTE111" s="1308"/>
      <c r="VTF111" s="1308"/>
      <c r="VTG111" s="1308"/>
      <c r="VTH111" s="1308"/>
      <c r="VTI111" s="1308"/>
      <c r="VTJ111" s="1308"/>
      <c r="VTK111" s="1308"/>
      <c r="VTL111" s="1308"/>
      <c r="VTM111" s="1308"/>
      <c r="VTN111" s="1308"/>
      <c r="VTO111" s="1308"/>
      <c r="VTP111" s="1308"/>
      <c r="VTQ111" s="1308"/>
      <c r="VTR111" s="1308"/>
      <c r="VTS111" s="1308"/>
      <c r="VTT111" s="1308"/>
      <c r="VTU111" s="1308"/>
      <c r="VTV111" s="1308"/>
      <c r="VTW111" s="1308"/>
      <c r="VTX111" s="1308"/>
      <c r="VTY111" s="1308"/>
      <c r="VTZ111" s="1308"/>
      <c r="VUA111" s="1308"/>
      <c r="VUB111" s="1308"/>
      <c r="VUC111" s="1308"/>
      <c r="VUD111" s="1308"/>
      <c r="VUE111" s="1308"/>
      <c r="VUF111" s="1308"/>
      <c r="VUG111" s="1308"/>
      <c r="VUH111" s="1308"/>
      <c r="VUI111" s="1308"/>
      <c r="VUJ111" s="1308"/>
      <c r="VUK111" s="1308"/>
      <c r="VUL111" s="1308"/>
      <c r="VUM111" s="1308"/>
      <c r="VUN111" s="1308"/>
      <c r="VUO111" s="1308"/>
      <c r="VUP111" s="1308"/>
      <c r="VUQ111" s="1308"/>
      <c r="VUR111" s="1308"/>
      <c r="VUS111" s="1308"/>
      <c r="VUT111" s="1308"/>
      <c r="VUU111" s="1308"/>
      <c r="VUV111" s="1308"/>
      <c r="VUW111" s="1308"/>
      <c r="VUX111" s="1308"/>
      <c r="VUY111" s="1308"/>
      <c r="VUZ111" s="1308"/>
      <c r="VVA111" s="1308"/>
      <c r="VVB111" s="1308"/>
      <c r="VVC111" s="1308"/>
      <c r="VVD111" s="1308"/>
      <c r="VVE111" s="1308"/>
      <c r="VVF111" s="1308"/>
      <c r="VVG111" s="1308"/>
      <c r="VVH111" s="1308"/>
      <c r="VVI111" s="1308"/>
      <c r="VVJ111" s="1308"/>
      <c r="VVK111" s="1308"/>
      <c r="VVL111" s="1308"/>
      <c r="VVM111" s="1308"/>
      <c r="VVN111" s="1308"/>
      <c r="VVO111" s="1308"/>
      <c r="VVP111" s="1308"/>
      <c r="VVQ111" s="1308"/>
      <c r="VVR111" s="1308"/>
      <c r="VVS111" s="1308"/>
      <c r="VVT111" s="1308"/>
      <c r="VVU111" s="1308"/>
      <c r="VVV111" s="1308"/>
      <c r="VVW111" s="1308"/>
      <c r="VVX111" s="1308"/>
      <c r="VVY111" s="1308"/>
      <c r="VVZ111" s="1308"/>
      <c r="VWA111" s="1308"/>
      <c r="VWB111" s="1308"/>
      <c r="VWC111" s="1308"/>
      <c r="VWD111" s="1308"/>
      <c r="VWE111" s="1308"/>
      <c r="VWF111" s="1308"/>
      <c r="VWG111" s="1308"/>
      <c r="VWH111" s="1308"/>
      <c r="VWI111" s="1308"/>
      <c r="VWJ111" s="1308"/>
      <c r="VWK111" s="1308"/>
      <c r="VWL111" s="1308"/>
      <c r="VWM111" s="1308"/>
      <c r="VWN111" s="1308"/>
      <c r="VWO111" s="1308"/>
      <c r="VWP111" s="1308"/>
      <c r="VWQ111" s="1308"/>
      <c r="VWR111" s="1308"/>
      <c r="VWS111" s="1308"/>
      <c r="VWT111" s="1308"/>
      <c r="VWU111" s="1308"/>
      <c r="VWV111" s="1308"/>
      <c r="VWW111" s="1308"/>
      <c r="VWX111" s="1308"/>
      <c r="VWY111" s="1308"/>
      <c r="VWZ111" s="1308"/>
      <c r="VXA111" s="1308"/>
      <c r="VXB111" s="1308"/>
      <c r="VXC111" s="1308"/>
      <c r="VXD111" s="1308"/>
      <c r="VXE111" s="1308"/>
      <c r="VXF111" s="1308"/>
      <c r="VXG111" s="1308"/>
      <c r="VXH111" s="1308"/>
      <c r="VXI111" s="1308"/>
      <c r="VXJ111" s="1308"/>
      <c r="VXK111" s="1308"/>
      <c r="VXL111" s="1308"/>
      <c r="VXM111" s="1308"/>
      <c r="VXN111" s="1308"/>
      <c r="VXO111" s="1308"/>
      <c r="VXP111" s="1308"/>
      <c r="VXQ111" s="1308"/>
      <c r="VXR111" s="1308"/>
      <c r="VXS111" s="1308"/>
      <c r="VXT111" s="1308"/>
      <c r="VXU111" s="1308"/>
      <c r="VXV111" s="1308"/>
      <c r="VXW111" s="1308"/>
      <c r="VXX111" s="1308"/>
      <c r="VXY111" s="1308"/>
      <c r="VXZ111" s="1308"/>
      <c r="VYA111" s="1308"/>
      <c r="VYB111" s="1308"/>
      <c r="VYC111" s="1308"/>
      <c r="VYD111" s="1308"/>
      <c r="VYE111" s="1308"/>
      <c r="VYF111" s="1308"/>
      <c r="VYG111" s="1308"/>
      <c r="VYH111" s="1308"/>
      <c r="VYI111" s="1308"/>
      <c r="VYJ111" s="1308"/>
      <c r="VYK111" s="1308"/>
      <c r="VYL111" s="1308"/>
      <c r="VYM111" s="1308"/>
      <c r="VYN111" s="1308"/>
      <c r="VYO111" s="1308"/>
      <c r="VYP111" s="1308"/>
      <c r="VYQ111" s="1308"/>
      <c r="VYR111" s="1308"/>
      <c r="VYS111" s="1308"/>
      <c r="VYT111" s="1308"/>
      <c r="VYU111" s="1308"/>
      <c r="VYV111" s="1308"/>
      <c r="VYW111" s="1308"/>
      <c r="VYX111" s="1308"/>
      <c r="VYY111" s="1308"/>
      <c r="VYZ111" s="1308"/>
      <c r="VZA111" s="1308"/>
      <c r="VZB111" s="1308"/>
      <c r="VZC111" s="1308"/>
      <c r="VZD111" s="1308"/>
      <c r="VZE111" s="1308"/>
      <c r="VZF111" s="1308"/>
      <c r="VZG111" s="1308"/>
      <c r="VZH111" s="1308"/>
      <c r="VZI111" s="1308"/>
      <c r="VZJ111" s="1308"/>
      <c r="VZK111" s="1308"/>
      <c r="VZL111" s="1308"/>
      <c r="VZM111" s="1308"/>
      <c r="VZN111" s="1308"/>
      <c r="VZO111" s="1308"/>
      <c r="VZP111" s="1308"/>
      <c r="VZQ111" s="1308"/>
      <c r="VZR111" s="1308"/>
      <c r="VZS111" s="1308"/>
      <c r="VZT111" s="1308"/>
      <c r="VZU111" s="1308"/>
      <c r="VZV111" s="1308"/>
      <c r="VZW111" s="1308"/>
      <c r="VZX111" s="1308"/>
      <c r="VZY111" s="1308"/>
      <c r="VZZ111" s="1308"/>
      <c r="WAA111" s="1308"/>
      <c r="WAB111" s="1308"/>
      <c r="WAC111" s="1308"/>
      <c r="WAD111" s="1308"/>
      <c r="WAE111" s="1308"/>
      <c r="WAF111" s="1308"/>
      <c r="WAG111" s="1308"/>
      <c r="WAH111" s="1308"/>
      <c r="WAI111" s="1308"/>
      <c r="WAJ111" s="1308"/>
      <c r="WAK111" s="1308"/>
      <c r="WAL111" s="1308"/>
      <c r="WAM111" s="1308"/>
      <c r="WAN111" s="1308"/>
      <c r="WAO111" s="1308"/>
      <c r="WAP111" s="1308"/>
      <c r="WAQ111" s="1308"/>
      <c r="WAR111" s="1308"/>
      <c r="WAS111" s="1308"/>
      <c r="WAT111" s="1308"/>
      <c r="WAU111" s="1308"/>
      <c r="WAV111" s="1308"/>
      <c r="WAW111" s="1308"/>
      <c r="WAX111" s="1308"/>
      <c r="WAY111" s="1308"/>
      <c r="WAZ111" s="1308"/>
      <c r="WBA111" s="1308"/>
      <c r="WBB111" s="1308"/>
      <c r="WBC111" s="1308"/>
      <c r="WBD111" s="1308"/>
      <c r="WBE111" s="1308"/>
      <c r="WBF111" s="1308"/>
      <c r="WBG111" s="1308"/>
      <c r="WBH111" s="1308"/>
      <c r="WBI111" s="1308"/>
      <c r="WBJ111" s="1308"/>
      <c r="WBK111" s="1308"/>
      <c r="WBL111" s="1308"/>
      <c r="WBM111" s="1308"/>
      <c r="WBN111" s="1308"/>
      <c r="WBO111" s="1308"/>
      <c r="WBP111" s="1308"/>
      <c r="WBQ111" s="1308"/>
      <c r="WBR111" s="1308"/>
      <c r="WBS111" s="1308"/>
      <c r="WBT111" s="1308"/>
      <c r="WBU111" s="1308"/>
      <c r="WBV111" s="1308"/>
      <c r="WBW111" s="1308"/>
      <c r="WBX111" s="1308"/>
      <c r="WBY111" s="1308"/>
      <c r="WBZ111" s="1308"/>
      <c r="WCA111" s="1308"/>
      <c r="WCB111" s="1308"/>
      <c r="WCC111" s="1308"/>
      <c r="WCD111" s="1308"/>
      <c r="WCE111" s="1308"/>
      <c r="WCF111" s="1308"/>
      <c r="WCG111" s="1308"/>
      <c r="WCH111" s="1308"/>
      <c r="WCI111" s="1308"/>
      <c r="WCJ111" s="1308"/>
      <c r="WCK111" s="1308"/>
      <c r="WCL111" s="1308"/>
      <c r="WCM111" s="1308"/>
      <c r="WCN111" s="1308"/>
      <c r="WCO111" s="1308"/>
      <c r="WCP111" s="1308"/>
      <c r="WCQ111" s="1308"/>
      <c r="WCR111" s="1308"/>
      <c r="WCS111" s="1308"/>
      <c r="WCT111" s="1308"/>
      <c r="WCU111" s="1308"/>
      <c r="WCV111" s="1308"/>
      <c r="WCW111" s="1308"/>
      <c r="WCX111" s="1308"/>
      <c r="WCY111" s="1308"/>
      <c r="WCZ111" s="1308"/>
      <c r="WDA111" s="1308"/>
      <c r="WDB111" s="1308"/>
      <c r="WDC111" s="1308"/>
      <c r="WDD111" s="1308"/>
      <c r="WDE111" s="1308"/>
      <c r="WDF111" s="1308"/>
      <c r="WDG111" s="1308"/>
      <c r="WDH111" s="1308"/>
      <c r="WDI111" s="1308"/>
      <c r="WDJ111" s="1308"/>
      <c r="WDK111" s="1308"/>
      <c r="WDL111" s="1308"/>
      <c r="WDM111" s="1308"/>
      <c r="WDN111" s="1308"/>
      <c r="WDO111" s="1308"/>
      <c r="WDP111" s="1308"/>
      <c r="WDQ111" s="1308"/>
      <c r="WDR111" s="1308"/>
      <c r="WDS111" s="1308"/>
      <c r="WDT111" s="1308"/>
      <c r="WDU111" s="1308"/>
      <c r="WDV111" s="1308"/>
      <c r="WDW111" s="1308"/>
      <c r="WDX111" s="1308"/>
      <c r="WDY111" s="1308"/>
      <c r="WDZ111" s="1308"/>
      <c r="WEA111" s="1308"/>
      <c r="WEB111" s="1308"/>
      <c r="WEC111" s="1308"/>
      <c r="WED111" s="1308"/>
      <c r="WEE111" s="1308"/>
      <c r="WEF111" s="1308"/>
      <c r="WEG111" s="1308"/>
      <c r="WEH111" s="1308"/>
      <c r="WEI111" s="1308"/>
      <c r="WEJ111" s="1308"/>
      <c r="WEK111" s="1308"/>
      <c r="WEL111" s="1308"/>
      <c r="WEM111" s="1308"/>
      <c r="WEN111" s="1308"/>
      <c r="WEO111" s="1308"/>
      <c r="WEP111" s="1308"/>
      <c r="WEQ111" s="1308"/>
      <c r="WER111" s="1308"/>
      <c r="WES111" s="1308"/>
      <c r="WET111" s="1308"/>
      <c r="WEU111" s="1308"/>
      <c r="WEV111" s="1308"/>
      <c r="WEW111" s="1308"/>
      <c r="WEX111" s="1308"/>
      <c r="WEY111" s="1308"/>
      <c r="WEZ111" s="1308"/>
      <c r="WFA111" s="1308"/>
      <c r="WFB111" s="1308"/>
      <c r="WFC111" s="1308"/>
      <c r="WFD111" s="1308"/>
      <c r="WFE111" s="1308"/>
      <c r="WFF111" s="1308"/>
      <c r="WFG111" s="1308"/>
      <c r="WFH111" s="1308"/>
      <c r="WFI111" s="1308"/>
      <c r="WFJ111" s="1308"/>
      <c r="WFK111" s="1308"/>
      <c r="WFL111" s="1308"/>
      <c r="WFM111" s="1308"/>
      <c r="WFN111" s="1308"/>
      <c r="WFO111" s="1308"/>
      <c r="WFP111" s="1308"/>
      <c r="WFQ111" s="1308"/>
      <c r="WFR111" s="1308"/>
      <c r="WFS111" s="1308"/>
      <c r="WFT111" s="1308"/>
      <c r="WFU111" s="1308"/>
      <c r="WFV111" s="1308"/>
      <c r="WFW111" s="1308"/>
      <c r="WFX111" s="1308"/>
      <c r="WFY111" s="1308"/>
      <c r="WFZ111" s="1308"/>
      <c r="WGA111" s="1308"/>
      <c r="WGB111" s="1308"/>
      <c r="WGC111" s="1308"/>
      <c r="WGD111" s="1308"/>
      <c r="WGE111" s="1308"/>
      <c r="WGF111" s="1308"/>
      <c r="WGG111" s="1308"/>
      <c r="WGH111" s="1308"/>
      <c r="WGI111" s="1308"/>
      <c r="WGJ111" s="1308"/>
      <c r="WGK111" s="1308"/>
      <c r="WGL111" s="1308"/>
      <c r="WGM111" s="1308"/>
      <c r="WGN111" s="1308"/>
      <c r="WGO111" s="1308"/>
      <c r="WGP111" s="1308"/>
      <c r="WGQ111" s="1308"/>
      <c r="WGR111" s="1308"/>
      <c r="WGS111" s="1308"/>
      <c r="WGT111" s="1308"/>
      <c r="WGU111" s="1308"/>
      <c r="WGV111" s="1308"/>
      <c r="WGW111" s="1308"/>
      <c r="WGX111" s="1308"/>
      <c r="WGY111" s="1308"/>
      <c r="WGZ111" s="1308"/>
      <c r="WHA111" s="1308"/>
      <c r="WHB111" s="1308"/>
      <c r="WHC111" s="1308"/>
      <c r="WHD111" s="1308"/>
      <c r="WHE111" s="1308"/>
      <c r="WHF111" s="1308"/>
      <c r="WHG111" s="1308"/>
      <c r="WHH111" s="1308"/>
      <c r="WHI111" s="1308"/>
      <c r="WHJ111" s="1308"/>
      <c r="WHK111" s="1308"/>
      <c r="WHL111" s="1308"/>
      <c r="WHM111" s="1308"/>
      <c r="WHN111" s="1308"/>
      <c r="WHO111" s="1308"/>
      <c r="WHP111" s="1308"/>
      <c r="WHQ111" s="1308"/>
      <c r="WHR111" s="1308"/>
      <c r="WHS111" s="1308"/>
      <c r="WHT111" s="1308"/>
      <c r="WHU111" s="1308"/>
      <c r="WHV111" s="1308"/>
      <c r="WHW111" s="1308"/>
      <c r="WHX111" s="1308"/>
      <c r="WHY111" s="1308"/>
      <c r="WHZ111" s="1308"/>
      <c r="WIA111" s="1308"/>
      <c r="WIB111" s="1308"/>
      <c r="WIC111" s="1308"/>
      <c r="WID111" s="1308"/>
      <c r="WIE111" s="1308"/>
      <c r="WIF111" s="1308"/>
      <c r="WIG111" s="1308"/>
      <c r="WIH111" s="1308"/>
      <c r="WII111" s="1308"/>
      <c r="WIJ111" s="1308"/>
      <c r="WIK111" s="1308"/>
      <c r="WIL111" s="1308"/>
      <c r="WIM111" s="1308"/>
      <c r="WIN111" s="1308"/>
      <c r="WIO111" s="1308"/>
      <c r="WIP111" s="1308"/>
      <c r="WIQ111" s="1308"/>
      <c r="WIR111" s="1308"/>
      <c r="WIS111" s="1308"/>
      <c r="WIT111" s="1308"/>
      <c r="WIU111" s="1308"/>
      <c r="WIV111" s="1308"/>
      <c r="WIW111" s="1308"/>
      <c r="WIX111" s="1308"/>
      <c r="WIY111" s="1308"/>
      <c r="WIZ111" s="1308"/>
      <c r="WJA111" s="1308"/>
      <c r="WJB111" s="1308"/>
      <c r="WJC111" s="1308"/>
      <c r="WJD111" s="1308"/>
      <c r="WJE111" s="1308"/>
      <c r="WJF111" s="1308"/>
      <c r="WJG111" s="1308"/>
      <c r="WJH111" s="1308"/>
      <c r="WJI111" s="1308"/>
      <c r="WJJ111" s="1308"/>
      <c r="WJK111" s="1308"/>
      <c r="WJL111" s="1308"/>
      <c r="WJM111" s="1308"/>
      <c r="WJN111" s="1308"/>
      <c r="WJO111" s="1308"/>
      <c r="WJP111" s="1308"/>
      <c r="WJQ111" s="1308"/>
      <c r="WJR111" s="1308"/>
      <c r="WJS111" s="1308"/>
      <c r="WJT111" s="1308"/>
      <c r="WJU111" s="1308"/>
      <c r="WJV111" s="1308"/>
      <c r="WJW111" s="1308"/>
      <c r="WJX111" s="1308"/>
      <c r="WJY111" s="1308"/>
      <c r="WJZ111" s="1308"/>
      <c r="WKA111" s="1308"/>
      <c r="WKB111" s="1308"/>
      <c r="WKC111" s="1308"/>
      <c r="WKD111" s="1308"/>
      <c r="WKE111" s="1308"/>
      <c r="WKF111" s="1308"/>
      <c r="WKG111" s="1308"/>
      <c r="WKH111" s="1308"/>
      <c r="WKI111" s="1308"/>
      <c r="WKJ111" s="1308"/>
      <c r="WKK111" s="1308"/>
      <c r="WKL111" s="1308"/>
      <c r="WKM111" s="1308"/>
      <c r="WKN111" s="1308"/>
      <c r="WKO111" s="1308"/>
      <c r="WKP111" s="1308"/>
      <c r="WKQ111" s="1308"/>
      <c r="WKR111" s="1308"/>
      <c r="WKS111" s="1308"/>
      <c r="WKT111" s="1308"/>
      <c r="WKU111" s="1308"/>
      <c r="WKV111" s="1308"/>
      <c r="WKW111" s="1308"/>
      <c r="WKX111" s="1308"/>
      <c r="WKY111" s="1308"/>
      <c r="WKZ111" s="1308"/>
      <c r="WLA111" s="1308"/>
      <c r="WLB111" s="1308"/>
      <c r="WLC111" s="1308"/>
      <c r="WLD111" s="1308"/>
      <c r="WLE111" s="1308"/>
      <c r="WLF111" s="1308"/>
      <c r="WLG111" s="1308"/>
      <c r="WLH111" s="1308"/>
      <c r="WLI111" s="1308"/>
      <c r="WLJ111" s="1308"/>
      <c r="WLK111" s="1308"/>
      <c r="WLL111" s="1308"/>
      <c r="WLM111" s="1308"/>
      <c r="WLN111" s="1308"/>
      <c r="WLO111" s="1308"/>
      <c r="WLP111" s="1308"/>
      <c r="WLQ111" s="1308"/>
      <c r="WLR111" s="1308"/>
      <c r="WLS111" s="1308"/>
      <c r="WLT111" s="1308"/>
      <c r="WLU111" s="1308"/>
      <c r="WLV111" s="1308"/>
      <c r="WLW111" s="1308"/>
      <c r="WLX111" s="1308"/>
      <c r="WLY111" s="1308"/>
      <c r="WLZ111" s="1308"/>
      <c r="WMA111" s="1308"/>
      <c r="WMB111" s="1308"/>
      <c r="WMC111" s="1308"/>
      <c r="WMD111" s="1308"/>
      <c r="WME111" s="1308"/>
      <c r="WMF111" s="1308"/>
      <c r="WMG111" s="1308"/>
      <c r="WMH111" s="1308"/>
      <c r="WMI111" s="1308"/>
      <c r="WMJ111" s="1308"/>
      <c r="WMK111" s="1308"/>
      <c r="WML111" s="1308"/>
      <c r="WMM111" s="1308"/>
      <c r="WMN111" s="1308"/>
      <c r="WMO111" s="1308"/>
      <c r="WMP111" s="1308"/>
      <c r="WMQ111" s="1308"/>
      <c r="WMR111" s="1308"/>
      <c r="WMS111" s="1308"/>
      <c r="WMT111" s="1308"/>
      <c r="WMU111" s="1308"/>
      <c r="WMV111" s="1308"/>
      <c r="WMW111" s="1308"/>
      <c r="WMX111" s="1308"/>
      <c r="WMY111" s="1308"/>
      <c r="WMZ111" s="1308"/>
      <c r="WNA111" s="1308"/>
      <c r="WNB111" s="1308"/>
      <c r="WNC111" s="1308"/>
      <c r="WND111" s="1308"/>
      <c r="WNE111" s="1308"/>
      <c r="WNF111" s="1308"/>
      <c r="WNG111" s="1308"/>
      <c r="WNH111" s="1308"/>
      <c r="WNI111" s="1308"/>
      <c r="WNJ111" s="1308"/>
      <c r="WNK111" s="1308"/>
      <c r="WNL111" s="1308"/>
      <c r="WNM111" s="1308"/>
      <c r="WNN111" s="1308"/>
      <c r="WNO111" s="1308"/>
      <c r="WNP111" s="1308"/>
      <c r="WNQ111" s="1308"/>
      <c r="WNR111" s="1308"/>
      <c r="WNS111" s="1308"/>
      <c r="WNT111" s="1308"/>
      <c r="WNU111" s="1308"/>
      <c r="WNV111" s="1308"/>
      <c r="WNW111" s="1308"/>
      <c r="WNX111" s="1308"/>
      <c r="WNY111" s="1308"/>
      <c r="WNZ111" s="1308"/>
      <c r="WOA111" s="1308"/>
      <c r="WOB111" s="1308"/>
      <c r="WOC111" s="1308"/>
      <c r="WOD111" s="1308"/>
      <c r="WOE111" s="1308"/>
      <c r="WOF111" s="1308"/>
      <c r="WOG111" s="1308"/>
      <c r="WOH111" s="1308"/>
      <c r="WOI111" s="1308"/>
      <c r="WOJ111" s="1308"/>
      <c r="WOK111" s="1308"/>
      <c r="WOL111" s="1308"/>
      <c r="WOM111" s="1308"/>
      <c r="WON111" s="1308"/>
      <c r="WOO111" s="1308"/>
      <c r="WOP111" s="1308"/>
      <c r="WOQ111" s="1308"/>
      <c r="WOR111" s="1308"/>
      <c r="WOS111" s="1308"/>
      <c r="WOT111" s="1308"/>
      <c r="WOU111" s="1308"/>
      <c r="WOV111" s="1308"/>
      <c r="WOW111" s="1308"/>
      <c r="WOX111" s="1308"/>
      <c r="WOY111" s="1308"/>
      <c r="WOZ111" s="1308"/>
      <c r="WPA111" s="1308"/>
      <c r="WPB111" s="1308"/>
      <c r="WPC111" s="1308"/>
      <c r="WPD111" s="1308"/>
      <c r="WPE111" s="1308"/>
      <c r="WPF111" s="1308"/>
      <c r="WPG111" s="1308"/>
      <c r="WPH111" s="1308"/>
      <c r="WPI111" s="1308"/>
      <c r="WPJ111" s="1308"/>
      <c r="WPK111" s="1308"/>
      <c r="WPL111" s="1308"/>
      <c r="WPM111" s="1308"/>
      <c r="WPN111" s="1308"/>
      <c r="WPO111" s="1308"/>
      <c r="WPP111" s="1308"/>
      <c r="WPQ111" s="1308"/>
      <c r="WPR111" s="1308"/>
      <c r="WPS111" s="1308"/>
      <c r="WPT111" s="1308"/>
      <c r="WPU111" s="1308"/>
      <c r="WPV111" s="1308"/>
      <c r="WPW111" s="1308"/>
      <c r="WPX111" s="1308"/>
      <c r="WPY111" s="1308"/>
      <c r="WPZ111" s="1308"/>
      <c r="WQA111" s="1308"/>
      <c r="WQB111" s="1308"/>
      <c r="WQC111" s="1308"/>
      <c r="WQD111" s="1308"/>
      <c r="WQE111" s="1308"/>
      <c r="WQF111" s="1308"/>
      <c r="WQG111" s="1308"/>
      <c r="WQH111" s="1308"/>
      <c r="WQI111" s="1308"/>
      <c r="WQJ111" s="1308"/>
      <c r="WQK111" s="1308"/>
      <c r="WQL111" s="1308"/>
      <c r="WQM111" s="1308"/>
      <c r="WQN111" s="1308"/>
      <c r="WQO111" s="1308"/>
      <c r="WQP111" s="1308"/>
      <c r="WQQ111" s="1308"/>
      <c r="WQR111" s="1308"/>
      <c r="WQS111" s="1308"/>
      <c r="WQT111" s="1308"/>
      <c r="WQU111" s="1308"/>
      <c r="WQV111" s="1308"/>
      <c r="WQW111" s="1308"/>
      <c r="WQX111" s="1308"/>
      <c r="WQY111" s="1308"/>
      <c r="WQZ111" s="1308"/>
      <c r="WRA111" s="1308"/>
      <c r="WRB111" s="1308"/>
      <c r="WRC111" s="1308"/>
      <c r="WRD111" s="1308"/>
      <c r="WRE111" s="1308"/>
      <c r="WRF111" s="1308"/>
      <c r="WRG111" s="1308"/>
      <c r="WRH111" s="1308"/>
      <c r="WRI111" s="1308"/>
      <c r="WRJ111" s="1308"/>
      <c r="WRK111" s="1308"/>
      <c r="WRL111" s="1308"/>
      <c r="WRM111" s="1308"/>
      <c r="WRN111" s="1308"/>
      <c r="WRO111" s="1308"/>
      <c r="WRP111" s="1308"/>
      <c r="WRQ111" s="1308"/>
      <c r="WRR111" s="1308"/>
      <c r="WRS111" s="1308"/>
      <c r="WRT111" s="1308"/>
      <c r="WRU111" s="1308"/>
      <c r="WRV111" s="1308"/>
      <c r="WRW111" s="1308"/>
      <c r="WRX111" s="1308"/>
      <c r="WRY111" s="1308"/>
      <c r="WRZ111" s="1308"/>
      <c r="WSA111" s="1308"/>
      <c r="WSB111" s="1308"/>
      <c r="WSC111" s="1308"/>
      <c r="WSD111" s="1308"/>
      <c r="WSE111" s="1308"/>
      <c r="WSF111" s="1308"/>
      <c r="WSG111" s="1308"/>
      <c r="WSH111" s="1308"/>
      <c r="WSI111" s="1308"/>
      <c r="WSJ111" s="1308"/>
      <c r="WSK111" s="1308"/>
      <c r="WSL111" s="1308"/>
      <c r="WSM111" s="1308"/>
      <c r="WSN111" s="1308"/>
      <c r="WSO111" s="1308"/>
      <c r="WSP111" s="1308"/>
      <c r="WSQ111" s="1308"/>
      <c r="WSR111" s="1308"/>
      <c r="WSS111" s="1308"/>
      <c r="WST111" s="1308"/>
      <c r="WSU111" s="1308"/>
      <c r="WSV111" s="1308"/>
      <c r="WSW111" s="1308"/>
      <c r="WSX111" s="1308"/>
      <c r="WSY111" s="1308"/>
      <c r="WSZ111" s="1308"/>
      <c r="WTA111" s="1308"/>
      <c r="WTB111" s="1308"/>
      <c r="WTC111" s="1308"/>
      <c r="WTD111" s="1308"/>
      <c r="WTE111" s="1308"/>
      <c r="WTF111" s="1308"/>
      <c r="WTG111" s="1308"/>
      <c r="WTH111" s="1308"/>
      <c r="WTI111" s="1308"/>
      <c r="WTJ111" s="1308"/>
      <c r="WTK111" s="1308"/>
      <c r="WTL111" s="1308"/>
      <c r="WTM111" s="1308"/>
      <c r="WTN111" s="1308"/>
      <c r="WTO111" s="1308"/>
      <c r="WTP111" s="1308"/>
      <c r="WTQ111" s="1308"/>
      <c r="WTR111" s="1308"/>
      <c r="WTS111" s="1308"/>
      <c r="WTT111" s="1308"/>
      <c r="WTU111" s="1308"/>
      <c r="WTV111" s="1308"/>
      <c r="WTW111" s="1308"/>
      <c r="WTX111" s="1308"/>
      <c r="WTY111" s="1308"/>
      <c r="WTZ111" s="1308"/>
      <c r="WUA111" s="1308"/>
      <c r="WUB111" s="1308"/>
      <c r="WUC111" s="1308"/>
      <c r="WUD111" s="1308"/>
      <c r="WUE111" s="1308"/>
      <c r="WUF111" s="1308"/>
      <c r="WUG111" s="1308"/>
      <c r="WUH111" s="1308"/>
      <c r="WUI111" s="1308"/>
      <c r="WUJ111" s="1308"/>
      <c r="WUK111" s="1308"/>
      <c r="WUL111" s="1308"/>
      <c r="WUM111" s="1308"/>
      <c r="WUN111" s="1308"/>
      <c r="WUO111" s="1308"/>
      <c r="WUP111" s="1308"/>
      <c r="WUQ111" s="1308"/>
      <c r="WUR111" s="1308"/>
      <c r="WUS111" s="1308"/>
      <c r="WUT111" s="1308"/>
      <c r="WUU111" s="1308"/>
      <c r="WUV111" s="1308"/>
      <c r="WUW111" s="1308"/>
      <c r="WUX111" s="1308"/>
      <c r="WUY111" s="1308"/>
      <c r="WUZ111" s="1308"/>
      <c r="WVA111" s="1308"/>
      <c r="WVB111" s="1308"/>
      <c r="WVC111" s="1308"/>
      <c r="WVD111" s="1308"/>
      <c r="WVE111" s="1308"/>
      <c r="WVF111" s="1308"/>
      <c r="WVG111" s="1308"/>
      <c r="WVH111" s="1308"/>
      <c r="WVI111" s="1308"/>
      <c r="WVJ111" s="1308"/>
      <c r="WVK111" s="1308"/>
      <c r="WVL111" s="1308"/>
      <c r="WVM111" s="1308"/>
      <c r="WVN111" s="1308"/>
      <c r="WVO111" s="1308"/>
      <c r="WVP111" s="1308"/>
      <c r="WVQ111" s="1308"/>
      <c r="WVR111" s="1308"/>
      <c r="WVS111" s="1308"/>
      <c r="WVT111" s="1308"/>
      <c r="WVU111" s="1308"/>
      <c r="WVV111" s="1308"/>
      <c r="WVW111" s="1308"/>
      <c r="WVX111" s="1308"/>
      <c r="WVY111" s="1308"/>
      <c r="WVZ111" s="1308"/>
      <c r="WWA111" s="1308"/>
      <c r="WWB111" s="1308"/>
      <c r="WWC111" s="1308"/>
      <c r="WWD111" s="1308"/>
      <c r="WWE111" s="1308"/>
      <c r="WWF111" s="1308"/>
      <c r="WWG111" s="1308"/>
      <c r="WWH111" s="1308"/>
      <c r="WWI111" s="1308"/>
      <c r="WWJ111" s="1308"/>
      <c r="WWK111" s="1308"/>
      <c r="WWL111" s="1308"/>
      <c r="WWM111" s="1308"/>
      <c r="WWN111" s="1308"/>
      <c r="WWO111" s="1308"/>
      <c r="WWP111" s="1308"/>
      <c r="WWQ111" s="1308"/>
      <c r="WWR111" s="1308"/>
      <c r="WWS111" s="1308"/>
      <c r="WWT111" s="1308"/>
      <c r="WWU111" s="1308"/>
      <c r="WWV111" s="1308"/>
      <c r="WWW111" s="1308"/>
      <c r="WWX111" s="1308"/>
      <c r="WWY111" s="1308"/>
      <c r="WWZ111" s="1308"/>
      <c r="WXA111" s="1308"/>
      <c r="WXB111" s="1308"/>
      <c r="WXC111" s="1308"/>
      <c r="WXD111" s="1308"/>
      <c r="WXE111" s="1308"/>
      <c r="WXF111" s="1308"/>
      <c r="WXG111" s="1308"/>
      <c r="WXH111" s="1308"/>
      <c r="WXI111" s="1308"/>
      <c r="WXJ111" s="1308"/>
      <c r="WXK111" s="1308"/>
      <c r="WXL111" s="1308"/>
      <c r="WXM111" s="1308"/>
      <c r="WXN111" s="1308"/>
      <c r="WXO111" s="1308"/>
      <c r="WXP111" s="1308"/>
      <c r="WXQ111" s="1308"/>
      <c r="WXR111" s="1308"/>
      <c r="WXS111" s="1308"/>
      <c r="WXT111" s="1308"/>
      <c r="WXU111" s="1308"/>
      <c r="WXV111" s="1308"/>
      <c r="WXW111" s="1308"/>
      <c r="WXX111" s="1308"/>
      <c r="WXY111" s="1308"/>
      <c r="WXZ111" s="1308"/>
      <c r="WYA111" s="1308"/>
      <c r="WYB111" s="1308"/>
      <c r="WYC111" s="1308"/>
      <c r="WYD111" s="1308"/>
      <c r="WYE111" s="1308"/>
      <c r="WYF111" s="1308"/>
      <c r="WYG111" s="1308"/>
      <c r="WYH111" s="1308"/>
      <c r="WYI111" s="1308"/>
      <c r="WYJ111" s="1308"/>
      <c r="WYK111" s="1308"/>
      <c r="WYL111" s="1308"/>
      <c r="WYM111" s="1308"/>
      <c r="WYN111" s="1308"/>
      <c r="WYO111" s="1308"/>
      <c r="WYP111" s="1308"/>
      <c r="WYQ111" s="1308"/>
      <c r="WYR111" s="1308"/>
      <c r="WYS111" s="1308"/>
      <c r="WYT111" s="1308"/>
      <c r="WYU111" s="1308"/>
      <c r="WYV111" s="1308"/>
      <c r="WYW111" s="1308"/>
      <c r="WYX111" s="1308"/>
      <c r="WYY111" s="1308"/>
      <c r="WYZ111" s="1308"/>
      <c r="WZA111" s="1308"/>
      <c r="WZB111" s="1308"/>
      <c r="WZC111" s="1308"/>
      <c r="WZD111" s="1308"/>
      <c r="WZE111" s="1308"/>
      <c r="WZF111" s="1308"/>
      <c r="WZG111" s="1308"/>
      <c r="WZH111" s="1308"/>
      <c r="WZI111" s="1308"/>
      <c r="WZJ111" s="1308"/>
      <c r="WZK111" s="1308"/>
      <c r="WZL111" s="1308"/>
      <c r="WZM111" s="1308"/>
      <c r="WZN111" s="1308"/>
      <c r="WZO111" s="1308"/>
      <c r="WZP111" s="1308"/>
      <c r="WZQ111" s="1308"/>
      <c r="WZR111" s="1308"/>
      <c r="WZS111" s="1308"/>
      <c r="WZT111" s="1308"/>
      <c r="WZU111" s="1308"/>
      <c r="WZV111" s="1308"/>
      <c r="WZW111" s="1308"/>
      <c r="WZX111" s="1308"/>
      <c r="WZY111" s="1308"/>
      <c r="WZZ111" s="1308"/>
      <c r="XAA111" s="1308"/>
      <c r="XAB111" s="1308"/>
      <c r="XAC111" s="1308"/>
      <c r="XAD111" s="1308"/>
      <c r="XAE111" s="1308"/>
      <c r="XAF111" s="1308"/>
      <c r="XAG111" s="1308"/>
      <c r="XAH111" s="1308"/>
      <c r="XAI111" s="1308"/>
      <c r="XAJ111" s="1308"/>
      <c r="XAK111" s="1308"/>
      <c r="XAL111" s="1308"/>
      <c r="XAM111" s="1308"/>
      <c r="XAN111" s="1308"/>
      <c r="XAO111" s="1308"/>
      <c r="XAP111" s="1308"/>
      <c r="XAQ111" s="1308"/>
      <c r="XAR111" s="1308"/>
      <c r="XAS111" s="1308"/>
      <c r="XAT111" s="1308"/>
      <c r="XAU111" s="1308"/>
      <c r="XAV111" s="1308"/>
      <c r="XAW111" s="1308"/>
      <c r="XAX111" s="1308"/>
      <c r="XAY111" s="1308"/>
      <c r="XAZ111" s="1308"/>
      <c r="XBA111" s="1308"/>
      <c r="XBB111" s="1308"/>
      <c r="XBC111" s="1308"/>
      <c r="XBD111" s="1308"/>
      <c r="XBE111" s="1308"/>
      <c r="XBF111" s="1308"/>
      <c r="XBG111" s="1308"/>
      <c r="XBH111" s="1308"/>
      <c r="XBI111" s="1308"/>
      <c r="XBJ111" s="1308"/>
      <c r="XBK111" s="1308"/>
      <c r="XBL111" s="1308"/>
      <c r="XBM111" s="1308"/>
      <c r="XBN111" s="1308"/>
      <c r="XBO111" s="1308"/>
      <c r="XBP111" s="1308"/>
      <c r="XBQ111" s="1308"/>
      <c r="XBR111" s="1308"/>
      <c r="XBS111" s="1308"/>
      <c r="XBT111" s="1308"/>
      <c r="XBU111" s="1308"/>
      <c r="XBV111" s="1308"/>
      <c r="XBW111" s="1308"/>
      <c r="XBX111" s="1308"/>
      <c r="XBY111" s="1308"/>
      <c r="XBZ111" s="1308"/>
      <c r="XCA111" s="1308"/>
      <c r="XCB111" s="1308"/>
      <c r="XCC111" s="1308"/>
      <c r="XCD111" s="1308"/>
      <c r="XCE111" s="1308"/>
      <c r="XCF111" s="1308"/>
      <c r="XCG111" s="1308"/>
      <c r="XCH111" s="1308"/>
      <c r="XCI111" s="1308"/>
      <c r="XCJ111" s="1308"/>
      <c r="XCK111" s="1308"/>
      <c r="XCL111" s="1308"/>
      <c r="XCM111" s="1308"/>
      <c r="XCN111" s="1308"/>
      <c r="XCO111" s="1308"/>
      <c r="XCP111" s="1308"/>
      <c r="XCQ111" s="1308"/>
      <c r="XCR111" s="1308"/>
      <c r="XCS111" s="1308"/>
      <c r="XCT111" s="1308"/>
      <c r="XCU111" s="1308"/>
      <c r="XCV111" s="1308"/>
      <c r="XCW111" s="1308"/>
      <c r="XCX111" s="1308"/>
      <c r="XCY111" s="1308"/>
      <c r="XCZ111" s="1308"/>
      <c r="XDA111" s="1308"/>
      <c r="XDB111" s="1308"/>
      <c r="XDC111" s="1308"/>
      <c r="XDD111" s="1308"/>
      <c r="XDE111" s="1308"/>
      <c r="XDF111" s="1308"/>
      <c r="XDG111" s="1308"/>
      <c r="XDH111" s="1308"/>
      <c r="XDI111" s="1308"/>
      <c r="XDJ111" s="1308"/>
      <c r="XDK111" s="1308"/>
      <c r="XDL111" s="1308"/>
      <c r="XDM111" s="1308"/>
      <c r="XDN111" s="1308"/>
      <c r="XDO111" s="1308"/>
      <c r="XDP111" s="1308"/>
      <c r="XDQ111" s="1308"/>
      <c r="XDR111" s="1308"/>
      <c r="XDS111" s="1308"/>
      <c r="XDT111" s="1308"/>
      <c r="XDU111" s="1308"/>
      <c r="XDV111" s="1308"/>
      <c r="XDW111" s="1308"/>
      <c r="XDX111" s="1308"/>
      <c r="XDY111" s="1308"/>
      <c r="XDZ111" s="1308"/>
      <c r="XEA111" s="1308"/>
      <c r="XEB111" s="1308"/>
      <c r="XEC111" s="1308"/>
      <c r="XED111" s="1308"/>
      <c r="XEE111" s="1308"/>
      <c r="XEF111" s="1308"/>
      <c r="XEG111" s="1308"/>
      <c r="XEH111" s="1308"/>
      <c r="XEI111" s="1308"/>
      <c r="XEJ111" s="1308"/>
      <c r="XEK111" s="1308"/>
      <c r="XEL111" s="1308"/>
      <c r="XEM111" s="1308"/>
      <c r="XEN111" s="1308"/>
      <c r="XEO111" s="1308"/>
      <c r="XEP111" s="1308"/>
      <c r="XEQ111" s="1308"/>
      <c r="XER111" s="1308"/>
      <c r="XES111" s="1308"/>
      <c r="XET111" s="1308"/>
      <c r="XEU111" s="1308"/>
      <c r="XEV111" s="1308"/>
      <c r="XEW111" s="1308"/>
      <c r="XEX111" s="1308"/>
      <c r="XEY111" s="1308"/>
      <c r="XEZ111" s="1308"/>
      <c r="XFA111" s="1308"/>
      <c r="XFB111" s="1308"/>
      <c r="XFC111" s="1308"/>
      <c r="XFD111" s="1308"/>
    </row>
    <row r="112" spans="1:16384" s="1350" customFormat="1" ht="39" customHeight="1">
      <c r="A112" s="1599">
        <v>2</v>
      </c>
      <c r="B112" s="2450" t="s">
        <v>7985</v>
      </c>
      <c r="C112" s="166">
        <v>107752390210</v>
      </c>
      <c r="D112" s="46" t="s">
        <v>7955</v>
      </c>
      <c r="E112" s="179" t="s">
        <v>8005</v>
      </c>
      <c r="F112" s="1424" t="s">
        <v>4423</v>
      </c>
      <c r="G112" s="709" t="s">
        <v>1300</v>
      </c>
      <c r="H112" s="167">
        <v>1</v>
      </c>
      <c r="I112" s="167"/>
      <c r="J112" s="167"/>
      <c r="K112" s="86" t="s">
        <v>210</v>
      </c>
      <c r="L112" s="3364" t="s">
        <v>8002</v>
      </c>
      <c r="M112" s="673" t="s">
        <v>8003</v>
      </c>
      <c r="N112" s="3561" t="s">
        <v>8004</v>
      </c>
      <c r="O112" s="1697" t="s">
        <v>6246</v>
      </c>
      <c r="P112" s="3398"/>
      <c r="Q112" s="1663" t="s">
        <v>287</v>
      </c>
      <c r="R112" s="1664"/>
      <c r="S112" s="1404"/>
      <c r="T112" s="753"/>
      <c r="U112" s="1546"/>
      <c r="V112" s="752"/>
      <c r="W112" s="3279">
        <v>497000</v>
      </c>
      <c r="X112" s="752"/>
      <c r="Y112" s="1826">
        <v>6265000</v>
      </c>
      <c r="Z112" s="1826">
        <v>4000000</v>
      </c>
      <c r="AA112" s="752"/>
      <c r="AB112" s="1315"/>
      <c r="AC112" s="1416">
        <f t="shared" si="25"/>
        <v>10762000</v>
      </c>
      <c r="AD112" s="755" t="s">
        <v>8082</v>
      </c>
      <c r="AE112" s="1418">
        <f t="shared" ref="AE112" si="33">(H112*4740000+I112*4840000)*1.08+(T112*1.08)+(S112*1.08)+(U112*1.08)</f>
        <v>5119200</v>
      </c>
      <c r="AF112" s="1419">
        <f t="shared" ref="AF112" si="34">+AC112+AE112</f>
        <v>15881200</v>
      </c>
      <c r="AG112" s="1320"/>
      <c r="AI112" s="1351"/>
    </row>
    <row r="113" spans="1:35" s="1758" customFormat="1" ht="105.6">
      <c r="A113" s="2807">
        <f t="shared" si="10"/>
        <v>3</v>
      </c>
      <c r="B113" s="3640" t="s">
        <v>7940</v>
      </c>
      <c r="C113" s="595">
        <v>107757354502</v>
      </c>
      <c r="D113" s="3551" t="s">
        <v>7992</v>
      </c>
      <c r="E113" s="389" t="s">
        <v>8091</v>
      </c>
      <c r="F113" s="3538" t="s">
        <v>8006</v>
      </c>
      <c r="G113" s="2819" t="s">
        <v>1300</v>
      </c>
      <c r="H113" s="431"/>
      <c r="I113" s="431">
        <v>8</v>
      </c>
      <c r="J113" s="431"/>
      <c r="K113" s="723" t="s">
        <v>136</v>
      </c>
      <c r="L113" s="3635">
        <v>1069526064</v>
      </c>
      <c r="M113" s="3539" t="s">
        <v>8123</v>
      </c>
      <c r="N113" s="3562" t="s">
        <v>8037</v>
      </c>
      <c r="O113" s="3634" t="s">
        <v>8124</v>
      </c>
      <c r="P113" s="1459"/>
      <c r="Q113" s="3657" t="s">
        <v>8007</v>
      </c>
      <c r="R113" s="2821"/>
      <c r="S113" s="3540"/>
      <c r="T113" s="753"/>
      <c r="U113" s="1546"/>
      <c r="V113" s="752"/>
      <c r="W113" s="3279">
        <f>2748000+2748000</f>
        <v>5496000</v>
      </c>
      <c r="X113" s="752"/>
      <c r="Y113" s="752"/>
      <c r="Z113" s="1826">
        <v>4000000</v>
      </c>
      <c r="AA113" s="752"/>
      <c r="AB113" s="1315"/>
      <c r="AC113" s="1325">
        <f t="shared" si="25"/>
        <v>9496000</v>
      </c>
      <c r="AD113" s="1691" t="s">
        <v>8131</v>
      </c>
      <c r="AE113" s="2732">
        <f>(H113*5240000+I113*5340000)*1.08+(T113*1.08)+(S113*1.08)+(U113*1.08)+(49440*1.08)+(1000000*6*1.08)+(2000000*2*1.08)</f>
        <v>56990995.200000003</v>
      </c>
      <c r="AF113" s="2814">
        <f t="shared" ref="AF113" si="35">+AC113+AE113</f>
        <v>66486995.200000003</v>
      </c>
      <c r="AG113" s="1320"/>
      <c r="AI113" s="1915"/>
    </row>
    <row r="114" spans="1:35" s="1350" customFormat="1" ht="26.4">
      <c r="A114" s="1599">
        <f t="shared" si="10"/>
        <v>4</v>
      </c>
      <c r="B114" s="2450" t="s">
        <v>7940</v>
      </c>
      <c r="C114" s="179">
        <v>308028372430</v>
      </c>
      <c r="D114" s="386" t="s">
        <v>7940</v>
      </c>
      <c r="E114" s="179" t="s">
        <v>8111</v>
      </c>
      <c r="F114" s="1633" t="s">
        <v>4976</v>
      </c>
      <c r="G114" s="709" t="s">
        <v>210</v>
      </c>
      <c r="H114" s="167">
        <v>1</v>
      </c>
      <c r="I114" s="167"/>
      <c r="J114" s="167"/>
      <c r="K114" s="86" t="s">
        <v>210</v>
      </c>
      <c r="L114" s="3611" t="s">
        <v>8081</v>
      </c>
      <c r="M114" s="673" t="s">
        <v>8108</v>
      </c>
      <c r="N114" s="3562" t="s">
        <v>8109</v>
      </c>
      <c r="O114" s="1697" t="s">
        <v>8110</v>
      </c>
      <c r="P114" s="577"/>
      <c r="Q114" s="1663" t="s">
        <v>7735</v>
      </c>
      <c r="R114" s="1664"/>
      <c r="S114" s="1404"/>
      <c r="T114" s="753"/>
      <c r="U114" s="1546"/>
      <c r="V114" s="752"/>
      <c r="W114" s="752"/>
      <c r="X114" s="752"/>
      <c r="Y114" s="752"/>
      <c r="Z114" s="1826">
        <v>250000</v>
      </c>
      <c r="AA114" s="752"/>
      <c r="AB114" s="1315"/>
      <c r="AC114" s="1325">
        <f t="shared" si="25"/>
        <v>250000</v>
      </c>
      <c r="AD114" s="755"/>
      <c r="AE114" s="2732">
        <f>(H114*5240000+I114*5340000)*1.08+(T114*1.08)+(S114*1.08)+(U114*1.08)+(49440*1.08)+(1000000*6*1.08)+(2000000*2*1.08)</f>
        <v>16512595.199999999</v>
      </c>
      <c r="AF114" s="2814">
        <f t="shared" ref="AF114" si="36">+AC114+AE114</f>
        <v>16762595.199999999</v>
      </c>
      <c r="AG114" s="1320"/>
      <c r="AI114" s="1351"/>
    </row>
    <row r="115" spans="1:35" s="1350" customFormat="1" ht="26.4">
      <c r="A115" s="1599">
        <f t="shared" si="10"/>
        <v>5</v>
      </c>
      <c r="B115" s="3662" t="s">
        <v>8224</v>
      </c>
      <c r="C115" s="4092" t="s">
        <v>8225</v>
      </c>
      <c r="D115" s="4091"/>
      <c r="E115" s="179"/>
      <c r="F115" s="1633"/>
      <c r="G115" s="709" t="s">
        <v>210</v>
      </c>
      <c r="H115" s="167">
        <v>2</v>
      </c>
      <c r="I115" s="167"/>
      <c r="J115" s="167"/>
      <c r="K115" s="79"/>
      <c r="L115" s="1151" t="s">
        <v>8223</v>
      </c>
      <c r="M115" s="673"/>
      <c r="N115" s="3562" t="s">
        <v>8227</v>
      </c>
      <c r="O115" s="1566"/>
      <c r="P115" s="577"/>
      <c r="Q115" s="1663" t="s">
        <v>287</v>
      </c>
      <c r="R115" s="1664"/>
      <c r="S115" s="1404"/>
      <c r="T115" s="753"/>
      <c r="U115" s="1546"/>
      <c r="V115" s="752"/>
      <c r="W115" s="752"/>
      <c r="X115" s="752"/>
      <c r="Y115" s="752"/>
      <c r="Z115" s="1316"/>
      <c r="AA115" s="752"/>
      <c r="AB115" s="1315"/>
      <c r="AC115" s="1325">
        <f t="shared" si="25"/>
        <v>0</v>
      </c>
      <c r="AD115" s="755"/>
      <c r="AE115" s="2732">
        <f t="shared" ref="AE115:AE117" si="37">(H115*5240000+I115*5340000)*1.08+(T115*1.08)+(S115*1.08)+(U115*1.08)+(49440*1.08)+(1000000*6*1.08)+(2000000*2*1.08)</f>
        <v>22171795.199999999</v>
      </c>
      <c r="AF115" s="2814">
        <f t="shared" ref="AF115:AF117" si="38">+AC115+AE115</f>
        <v>22171795.199999999</v>
      </c>
      <c r="AG115" s="1320"/>
      <c r="AI115" s="1351"/>
    </row>
    <row r="116" spans="1:35" s="1350" customFormat="1" ht="26.4">
      <c r="A116" s="1599">
        <f t="shared" si="10"/>
        <v>6</v>
      </c>
      <c r="B116" s="3668" t="s">
        <v>8239</v>
      </c>
      <c r="C116" s="4090" t="s">
        <v>8240</v>
      </c>
      <c r="D116" s="4091"/>
      <c r="E116" s="179"/>
      <c r="F116" s="1424"/>
      <c r="G116" s="709" t="s">
        <v>210</v>
      </c>
      <c r="H116" s="167">
        <v>1</v>
      </c>
      <c r="I116" s="167"/>
      <c r="J116" s="167"/>
      <c r="K116" s="79"/>
      <c r="L116" s="1151" t="s">
        <v>8226</v>
      </c>
      <c r="M116" s="707"/>
      <c r="N116" s="3658" t="s">
        <v>8228</v>
      </c>
      <c r="O116" s="2620"/>
      <c r="P116" s="577"/>
      <c r="Q116" s="1663" t="s">
        <v>287</v>
      </c>
      <c r="R116" s="1664"/>
      <c r="S116" s="1404"/>
      <c r="T116" s="753"/>
      <c r="U116" s="1546"/>
      <c r="V116" s="752"/>
      <c r="W116" s="752"/>
      <c r="X116" s="752"/>
      <c r="Y116" s="752"/>
      <c r="Z116" s="1316"/>
      <c r="AA116" s="752"/>
      <c r="AB116" s="1315"/>
      <c r="AC116" s="1325">
        <f t="shared" si="25"/>
        <v>0</v>
      </c>
      <c r="AD116" s="755"/>
      <c r="AE116" s="2732">
        <f t="shared" si="37"/>
        <v>16512595.199999999</v>
      </c>
      <c r="AF116" s="2814">
        <f t="shared" si="38"/>
        <v>16512595.199999999</v>
      </c>
      <c r="AG116" s="1320"/>
      <c r="AI116" s="1351"/>
    </row>
    <row r="117" spans="1:35" s="1350" customFormat="1" ht="26.4">
      <c r="A117" s="1599">
        <f t="shared" si="10"/>
        <v>7</v>
      </c>
      <c r="B117" s="295"/>
      <c r="C117" s="166">
        <v>107806399410</v>
      </c>
      <c r="D117" s="386" t="s">
        <v>8229</v>
      </c>
      <c r="E117" s="179" t="s">
        <v>8248</v>
      </c>
      <c r="F117" s="1424" t="s">
        <v>8247</v>
      </c>
      <c r="G117" s="709" t="s">
        <v>1300</v>
      </c>
      <c r="H117" s="167"/>
      <c r="I117" s="167"/>
      <c r="J117" s="167">
        <v>1</v>
      </c>
      <c r="K117" s="86" t="s">
        <v>210</v>
      </c>
      <c r="L117" s="3364" t="s">
        <v>8244</v>
      </c>
      <c r="M117" s="707" t="s">
        <v>8245</v>
      </c>
      <c r="N117" s="170" t="s">
        <v>8156</v>
      </c>
      <c r="O117" s="2620"/>
      <c r="P117" s="577"/>
      <c r="Q117" s="1663" t="s">
        <v>8246</v>
      </c>
      <c r="R117" s="1664"/>
      <c r="S117" s="1404"/>
      <c r="T117" s="753"/>
      <c r="U117" s="1546"/>
      <c r="V117" s="752"/>
      <c r="W117" s="752"/>
      <c r="X117" s="752"/>
      <c r="Y117" s="1826">
        <v>4990545</v>
      </c>
      <c r="Z117" s="1316"/>
      <c r="AA117" s="752"/>
      <c r="AB117" s="1315"/>
      <c r="AC117" s="1325">
        <f t="shared" si="25"/>
        <v>4990545</v>
      </c>
      <c r="AD117" s="755"/>
      <c r="AE117" s="2732">
        <f t="shared" si="37"/>
        <v>10853395.199999999</v>
      </c>
      <c r="AF117" s="2814">
        <f t="shared" si="38"/>
        <v>15843940.199999999</v>
      </c>
      <c r="AG117" s="1320"/>
      <c r="AI117" s="1351"/>
    </row>
    <row r="118" spans="1:35" s="1350" customFormat="1">
      <c r="A118" s="1599">
        <f t="shared" si="10"/>
        <v>8</v>
      </c>
      <c r="B118" s="295"/>
      <c r="C118" s="166"/>
      <c r="D118" s="46"/>
      <c r="E118" s="179"/>
      <c r="F118" s="1424"/>
      <c r="G118" s="709"/>
      <c r="H118" s="167"/>
      <c r="I118" s="167"/>
      <c r="J118" s="167"/>
      <c r="K118" s="79"/>
      <c r="L118" s="154"/>
      <c r="M118" s="707"/>
      <c r="N118" s="3610"/>
      <c r="O118" s="2620"/>
      <c r="P118" s="577"/>
      <c r="Q118" s="150"/>
      <c r="R118" s="1664"/>
      <c r="S118" s="1404"/>
      <c r="T118" s="753"/>
      <c r="U118" s="1546"/>
      <c r="V118" s="752"/>
      <c r="W118" s="752"/>
      <c r="X118" s="752"/>
      <c r="Y118" s="752"/>
      <c r="Z118" s="1316"/>
      <c r="AA118" s="752"/>
      <c r="AB118" s="1315"/>
      <c r="AC118" s="752"/>
      <c r="AD118" s="755"/>
      <c r="AE118" s="756"/>
      <c r="AF118" s="757"/>
      <c r="AG118" s="1320"/>
      <c r="AI118" s="1351"/>
    </row>
    <row r="119" spans="1:35" s="1350" customFormat="1">
      <c r="A119" s="1599">
        <f t="shared" ref="A119:A129" si="39">+A118+1</f>
        <v>9</v>
      </c>
      <c r="B119" s="295"/>
      <c r="C119" s="166"/>
      <c r="D119" s="46"/>
      <c r="E119" s="179"/>
      <c r="F119" s="1424"/>
      <c r="G119" s="709"/>
      <c r="H119" s="167"/>
      <c r="I119" s="167"/>
      <c r="J119" s="167"/>
      <c r="K119" s="79"/>
      <c r="L119" s="154"/>
      <c r="M119" s="1618"/>
      <c r="N119" s="3610"/>
      <c r="O119" s="2620"/>
      <c r="P119" s="577"/>
      <c r="Q119" s="150"/>
      <c r="R119" s="1664"/>
      <c r="S119" s="1404"/>
      <c r="T119" s="753"/>
      <c r="U119" s="1546"/>
      <c r="V119" s="752"/>
      <c r="W119" s="752"/>
      <c r="X119" s="752"/>
      <c r="Y119" s="752"/>
      <c r="Z119" s="1316"/>
      <c r="AA119" s="752"/>
      <c r="AB119" s="1315"/>
      <c r="AC119" s="752"/>
      <c r="AD119" s="755"/>
      <c r="AE119" s="756"/>
      <c r="AF119" s="757"/>
      <c r="AG119" s="1320"/>
      <c r="AI119" s="1351"/>
    </row>
    <row r="120" spans="1:35" s="1350" customFormat="1">
      <c r="A120" s="1599">
        <f t="shared" si="39"/>
        <v>10</v>
      </c>
      <c r="B120" s="295"/>
      <c r="C120" s="166"/>
      <c r="D120" s="46"/>
      <c r="E120" s="179"/>
      <c r="F120" s="1424"/>
      <c r="G120" s="709"/>
      <c r="H120" s="167"/>
      <c r="I120" s="167"/>
      <c r="J120" s="167"/>
      <c r="K120" s="79"/>
      <c r="L120" s="154"/>
      <c r="M120" s="707"/>
      <c r="N120" s="3610"/>
      <c r="O120" s="2620"/>
      <c r="P120" s="577"/>
      <c r="Q120" s="150"/>
      <c r="R120" s="1664"/>
      <c r="S120" s="1404"/>
      <c r="T120" s="753"/>
      <c r="U120" s="1546"/>
      <c r="V120" s="752"/>
      <c r="W120" s="752"/>
      <c r="X120" s="752"/>
      <c r="Y120" s="752"/>
      <c r="Z120" s="1316"/>
      <c r="AA120" s="752"/>
      <c r="AB120" s="1315"/>
      <c r="AC120" s="752"/>
      <c r="AD120" s="755"/>
      <c r="AE120" s="756"/>
      <c r="AF120" s="757"/>
      <c r="AG120" s="1320"/>
      <c r="AI120" s="1351"/>
    </row>
    <row r="121" spans="1:35" s="1350" customFormat="1">
      <c r="A121" s="1599">
        <f t="shared" si="39"/>
        <v>11</v>
      </c>
      <c r="B121" s="295"/>
      <c r="C121" s="166"/>
      <c r="D121" s="46"/>
      <c r="E121" s="179"/>
      <c r="F121" s="1424"/>
      <c r="G121" s="709"/>
      <c r="H121" s="167"/>
      <c r="I121" s="167"/>
      <c r="J121" s="167"/>
      <c r="K121" s="79"/>
      <c r="L121" s="154"/>
      <c r="M121" s="707"/>
      <c r="N121" s="3610"/>
      <c r="O121" s="2620"/>
      <c r="P121" s="577"/>
      <c r="Q121" s="150"/>
      <c r="R121" s="1664"/>
      <c r="S121" s="1404"/>
      <c r="T121" s="753"/>
      <c r="U121" s="1546"/>
      <c r="V121" s="752"/>
      <c r="W121" s="752"/>
      <c r="X121" s="752"/>
      <c r="Y121" s="752"/>
      <c r="Z121" s="1316"/>
      <c r="AA121" s="752"/>
      <c r="AB121" s="1315"/>
      <c r="AC121" s="752"/>
      <c r="AD121" s="755"/>
      <c r="AE121" s="756"/>
      <c r="AF121" s="757"/>
      <c r="AG121" s="1320"/>
      <c r="AI121" s="1351"/>
    </row>
    <row r="122" spans="1:35" s="1350" customFormat="1">
      <c r="A122" s="1599">
        <f t="shared" si="39"/>
        <v>12</v>
      </c>
      <c r="B122" s="295"/>
      <c r="C122" s="166"/>
      <c r="D122" s="46"/>
      <c r="E122" s="179"/>
      <c r="F122" s="1424"/>
      <c r="G122" s="709"/>
      <c r="H122" s="167"/>
      <c r="I122" s="167"/>
      <c r="J122" s="167"/>
      <c r="K122" s="79"/>
      <c r="L122" s="154"/>
      <c r="M122" s="707"/>
      <c r="N122" s="151"/>
      <c r="O122" s="2620"/>
      <c r="P122" s="577"/>
      <c r="Q122" s="150"/>
      <c r="R122" s="1664"/>
      <c r="S122" s="1404"/>
      <c r="T122" s="753"/>
      <c r="U122" s="1546"/>
      <c r="V122" s="752"/>
      <c r="W122" s="752"/>
      <c r="X122" s="752"/>
      <c r="Y122" s="752"/>
      <c r="Z122" s="1316"/>
      <c r="AA122" s="752"/>
      <c r="AB122" s="1315"/>
      <c r="AC122" s="752"/>
      <c r="AD122" s="755"/>
      <c r="AE122" s="756"/>
      <c r="AF122" s="757"/>
      <c r="AG122" s="1320"/>
      <c r="AI122" s="1351"/>
    </row>
    <row r="123" spans="1:35" s="1350" customFormat="1">
      <c r="A123" s="1599">
        <f t="shared" si="39"/>
        <v>13</v>
      </c>
      <c r="B123" s="295"/>
      <c r="C123" s="166"/>
      <c r="D123" s="46"/>
      <c r="E123" s="179"/>
      <c r="F123" s="1424"/>
      <c r="G123" s="709"/>
      <c r="H123" s="167"/>
      <c r="I123" s="167"/>
      <c r="J123" s="167"/>
      <c r="K123" s="79"/>
      <c r="L123" s="154"/>
      <c r="M123" s="707"/>
      <c r="N123" s="151"/>
      <c r="O123" s="2620"/>
      <c r="P123" s="577"/>
      <c r="Q123" s="150"/>
      <c r="R123" s="1664"/>
      <c r="S123" s="1404"/>
      <c r="T123" s="753"/>
      <c r="U123" s="1546"/>
      <c r="V123" s="752"/>
      <c r="W123" s="752"/>
      <c r="X123" s="752"/>
      <c r="Y123" s="752"/>
      <c r="Z123" s="1316"/>
      <c r="AA123" s="752"/>
      <c r="AB123" s="1315"/>
      <c r="AC123" s="752"/>
      <c r="AD123" s="755"/>
      <c r="AE123" s="756"/>
      <c r="AF123" s="757"/>
      <c r="AG123" s="1320"/>
      <c r="AI123" s="1351"/>
    </row>
    <row r="124" spans="1:35" s="1350" customFormat="1">
      <c r="A124" s="1599">
        <f t="shared" si="39"/>
        <v>14</v>
      </c>
      <c r="B124" s="295"/>
      <c r="C124" s="166"/>
      <c r="D124" s="46"/>
      <c r="E124" s="179"/>
      <c r="F124" s="1424"/>
      <c r="G124" s="709"/>
      <c r="H124" s="167"/>
      <c r="I124" s="167"/>
      <c r="J124" s="167"/>
      <c r="K124" s="79"/>
      <c r="L124" s="154"/>
      <c r="M124" s="707"/>
      <c r="N124" s="151"/>
      <c r="O124" s="2620"/>
      <c r="P124" s="577"/>
      <c r="Q124" s="150"/>
      <c r="R124" s="1664"/>
      <c r="S124" s="1404"/>
      <c r="T124" s="753"/>
      <c r="U124" s="1546"/>
      <c r="V124" s="752"/>
      <c r="W124" s="752"/>
      <c r="X124" s="752"/>
      <c r="Y124" s="752"/>
      <c r="Z124" s="1316"/>
      <c r="AA124" s="752"/>
      <c r="AB124" s="1315"/>
      <c r="AC124" s="752"/>
      <c r="AD124" s="755"/>
      <c r="AE124" s="756"/>
      <c r="AF124" s="757"/>
      <c r="AG124" s="1320"/>
      <c r="AI124" s="1351"/>
    </row>
    <row r="125" spans="1:35" s="1350" customFormat="1">
      <c r="A125" s="1599">
        <f t="shared" si="39"/>
        <v>15</v>
      </c>
      <c r="B125" s="295"/>
      <c r="C125" s="166"/>
      <c r="D125" s="46"/>
      <c r="E125" s="179"/>
      <c r="F125" s="1424"/>
      <c r="G125" s="709"/>
      <c r="H125" s="167"/>
      <c r="I125" s="167"/>
      <c r="J125" s="167"/>
      <c r="K125" s="79"/>
      <c r="L125" s="154"/>
      <c r="M125" s="707"/>
      <c r="N125" s="151"/>
      <c r="O125" s="2620"/>
      <c r="P125" s="577"/>
      <c r="Q125" s="150"/>
      <c r="R125" s="1664"/>
      <c r="S125" s="1404"/>
      <c r="T125" s="753"/>
      <c r="U125" s="1546"/>
      <c r="V125" s="752"/>
      <c r="W125" s="752"/>
      <c r="X125" s="752"/>
      <c r="Y125" s="752"/>
      <c r="Z125" s="1316"/>
      <c r="AA125" s="752"/>
      <c r="AB125" s="1315"/>
      <c r="AC125" s="752"/>
      <c r="AD125" s="755"/>
      <c r="AE125" s="756"/>
      <c r="AF125" s="757"/>
      <c r="AG125" s="1320"/>
      <c r="AI125" s="1351"/>
    </row>
    <row r="126" spans="1:35" s="1350" customFormat="1">
      <c r="A126" s="1599">
        <f t="shared" si="39"/>
        <v>16</v>
      </c>
      <c r="B126" s="295"/>
      <c r="C126" s="166"/>
      <c r="D126" s="46"/>
      <c r="E126" s="179"/>
      <c r="F126" s="1424"/>
      <c r="G126" s="709"/>
      <c r="H126" s="167"/>
      <c r="I126" s="167"/>
      <c r="J126" s="167"/>
      <c r="K126" s="79"/>
      <c r="L126" s="154"/>
      <c r="M126" s="707"/>
      <c r="N126" s="151"/>
      <c r="O126" s="2620"/>
      <c r="P126" s="577"/>
      <c r="Q126" s="150"/>
      <c r="R126" s="1664"/>
      <c r="S126" s="1404"/>
      <c r="T126" s="753"/>
      <c r="U126" s="1546"/>
      <c r="V126" s="752"/>
      <c r="W126" s="752"/>
      <c r="X126" s="752"/>
      <c r="Y126" s="752"/>
      <c r="Z126" s="1316"/>
      <c r="AA126" s="752"/>
      <c r="AB126" s="1315"/>
      <c r="AC126" s="752"/>
      <c r="AD126" s="755"/>
      <c r="AE126" s="756"/>
      <c r="AF126" s="757"/>
      <c r="AG126" s="1320"/>
      <c r="AI126" s="1351"/>
    </row>
    <row r="127" spans="1:35" s="1350" customFormat="1">
      <c r="A127" s="1599">
        <f t="shared" si="39"/>
        <v>17</v>
      </c>
      <c r="B127" s="295"/>
      <c r="C127" s="166"/>
      <c r="D127" s="46"/>
      <c r="E127" s="179"/>
      <c r="F127" s="1424"/>
      <c r="G127" s="709"/>
      <c r="H127" s="167"/>
      <c r="I127" s="167"/>
      <c r="J127" s="167"/>
      <c r="K127" s="79"/>
      <c r="L127" s="154"/>
      <c r="M127" s="707"/>
      <c r="N127" s="151"/>
      <c r="O127" s="2620"/>
      <c r="P127" s="577"/>
      <c r="Q127" s="150"/>
      <c r="R127" s="1664"/>
      <c r="S127" s="1404"/>
      <c r="T127" s="753"/>
      <c r="U127" s="1546"/>
      <c r="V127" s="752"/>
      <c r="W127" s="752"/>
      <c r="X127" s="752"/>
      <c r="Y127" s="752"/>
      <c r="Z127" s="1316"/>
      <c r="AA127" s="752"/>
      <c r="AB127" s="1315"/>
      <c r="AC127" s="752"/>
      <c r="AD127" s="755"/>
      <c r="AE127" s="756"/>
      <c r="AF127" s="757"/>
      <c r="AG127" s="1320"/>
      <c r="AI127" s="1351"/>
    </row>
    <row r="128" spans="1:35" s="1350" customFormat="1">
      <c r="A128" s="1599">
        <f t="shared" si="39"/>
        <v>18</v>
      </c>
      <c r="B128" s="295"/>
      <c r="C128" s="166"/>
      <c r="D128" s="46"/>
      <c r="E128" s="179"/>
      <c r="F128" s="1424"/>
      <c r="G128" s="709"/>
      <c r="H128" s="167"/>
      <c r="I128" s="167"/>
      <c r="J128" s="167"/>
      <c r="K128" s="79"/>
      <c r="L128" s="154"/>
      <c r="M128" s="707"/>
      <c r="N128" s="151"/>
      <c r="O128" s="2620"/>
      <c r="P128" s="577"/>
      <c r="Q128" s="150"/>
      <c r="R128" s="1664"/>
      <c r="S128" s="1404"/>
      <c r="T128" s="753"/>
      <c r="U128" s="1546"/>
      <c r="V128" s="752"/>
      <c r="W128" s="752"/>
      <c r="X128" s="752"/>
      <c r="Y128" s="752"/>
      <c r="Z128" s="1316"/>
      <c r="AA128" s="752"/>
      <c r="AB128" s="1315"/>
      <c r="AC128" s="752"/>
      <c r="AD128" s="755"/>
      <c r="AE128" s="756"/>
      <c r="AF128" s="757"/>
      <c r="AG128" s="1320"/>
      <c r="AI128" s="1351"/>
    </row>
    <row r="129" spans="1:35" s="1350" customFormat="1">
      <c r="A129" s="1599">
        <f t="shared" si="39"/>
        <v>19</v>
      </c>
      <c r="B129" s="295"/>
      <c r="C129" s="166"/>
      <c r="D129" s="46"/>
      <c r="E129" s="179"/>
      <c r="F129" s="1424"/>
      <c r="G129" s="709"/>
      <c r="H129" s="167"/>
      <c r="I129" s="167"/>
      <c r="J129" s="167"/>
      <c r="K129" s="79"/>
      <c r="L129" s="154"/>
      <c r="M129" s="707"/>
      <c r="N129" s="151"/>
      <c r="O129" s="2620"/>
      <c r="P129" s="577"/>
      <c r="Q129" s="150"/>
      <c r="R129" s="1664"/>
      <c r="S129" s="1404"/>
      <c r="T129" s="753"/>
      <c r="U129" s="1546"/>
      <c r="V129" s="752"/>
      <c r="W129" s="752"/>
      <c r="X129" s="752"/>
      <c r="Y129" s="752"/>
      <c r="Z129" s="1316"/>
      <c r="AA129" s="752"/>
      <c r="AB129" s="1315"/>
      <c r="AC129" s="752"/>
      <c r="AD129" s="755"/>
      <c r="AE129" s="756"/>
      <c r="AF129" s="757"/>
      <c r="AG129" s="1320"/>
      <c r="AI129" s="1351"/>
    </row>
    <row r="130" spans="1:35" s="1350" customFormat="1">
      <c r="A130" s="1738">
        <v>87</v>
      </c>
      <c r="B130" s="295"/>
      <c r="C130" s="166"/>
      <c r="D130" s="46"/>
      <c r="E130" s="179"/>
      <c r="F130" s="1424"/>
      <c r="G130" s="709"/>
      <c r="H130" s="167"/>
      <c r="I130" s="167"/>
      <c r="J130" s="167"/>
      <c r="K130" s="1357"/>
      <c r="L130" s="154"/>
      <c r="M130" s="707"/>
      <c r="N130" s="151"/>
      <c r="O130" s="2620"/>
      <c r="P130" s="577"/>
      <c r="Q130" s="150"/>
      <c r="R130" s="1664"/>
      <c r="S130" s="1404"/>
      <c r="T130" s="1316"/>
      <c r="U130" s="1546"/>
      <c r="V130" s="1315"/>
      <c r="W130" s="1315"/>
      <c r="X130" s="1315"/>
      <c r="Y130" s="1315"/>
      <c r="Z130" s="1316"/>
      <c r="AA130" s="1315"/>
      <c r="AB130" s="1315"/>
      <c r="AC130" s="1315"/>
      <c r="AD130" s="1317"/>
      <c r="AE130" s="1318"/>
      <c r="AF130" s="1319"/>
      <c r="AG130" s="1320"/>
      <c r="AI130" s="1351"/>
    </row>
    <row r="131" spans="1:35" s="1350" customFormat="1">
      <c r="A131" s="1599">
        <v>88</v>
      </c>
      <c r="B131" s="1356"/>
      <c r="C131" s="166"/>
      <c r="D131" s="46"/>
      <c r="E131" s="179"/>
      <c r="F131" s="1424"/>
      <c r="G131" s="709"/>
      <c r="H131" s="1321"/>
      <c r="I131" s="1321"/>
      <c r="J131" s="1321"/>
      <c r="K131" s="1314"/>
      <c r="L131" s="154"/>
      <c r="M131" s="707"/>
      <c r="N131" s="151"/>
      <c r="O131" s="2620"/>
      <c r="P131" s="577"/>
      <c r="Q131" s="150"/>
      <c r="R131" s="1664"/>
      <c r="S131" s="1404"/>
      <c r="T131" s="1316"/>
      <c r="U131" s="1546"/>
      <c r="V131" s="1315"/>
      <c r="W131" s="1315"/>
      <c r="X131" s="1315"/>
      <c r="Y131" s="1315"/>
      <c r="Z131" s="1316"/>
      <c r="AA131" s="1315"/>
      <c r="AB131" s="1315"/>
      <c r="AC131" s="1315"/>
      <c r="AD131" s="1317"/>
      <c r="AE131" s="1318"/>
      <c r="AF131" s="1319"/>
      <c r="AG131" s="1320"/>
      <c r="AI131" s="1351"/>
    </row>
    <row r="132" spans="1:35" s="1350" customFormat="1">
      <c r="A132" s="1"/>
      <c r="B132" s="6"/>
      <c r="C132" s="4"/>
      <c r="D132" s="3"/>
      <c r="E132" s="4"/>
      <c r="F132" s="4"/>
      <c r="G132" s="4"/>
      <c r="H132" s="6"/>
      <c r="I132" s="6"/>
      <c r="J132" s="6"/>
      <c r="K132" s="11"/>
      <c r="L132" s="5"/>
      <c r="M132" s="5"/>
      <c r="N132" s="7"/>
      <c r="O132" s="7"/>
      <c r="P132" s="5"/>
      <c r="Q132" s="6"/>
      <c r="R132" s="1"/>
      <c r="S132" s="6"/>
      <c r="T132" s="744"/>
      <c r="U132" s="744"/>
      <c r="V132" s="743"/>
      <c r="W132" s="743"/>
      <c r="X132" s="743"/>
      <c r="Y132" s="743"/>
      <c r="Z132" s="744"/>
      <c r="AA132" s="743"/>
      <c r="AB132" s="743"/>
      <c r="AC132" s="743"/>
      <c r="AD132" s="1358"/>
      <c r="AE132" s="747"/>
      <c r="AF132" s="748"/>
      <c r="AG132" s="1359"/>
      <c r="AI132" s="1351"/>
    </row>
    <row r="133" spans="1:35" s="1350" customFormat="1">
      <c r="A133" s="1"/>
      <c r="B133" s="6"/>
      <c r="C133" s="4"/>
      <c r="D133" s="3"/>
      <c r="E133" s="4"/>
      <c r="F133" s="4"/>
      <c r="G133" s="4"/>
      <c r="H133" s="6"/>
      <c r="I133" s="6"/>
      <c r="J133" s="6"/>
      <c r="K133" s="11"/>
      <c r="L133" s="5"/>
      <c r="M133" s="5"/>
      <c r="N133" s="7"/>
      <c r="O133" s="7"/>
      <c r="P133" s="5"/>
      <c r="Q133" s="6"/>
      <c r="R133" s="1"/>
      <c r="S133" s="6"/>
      <c r="T133" s="744"/>
      <c r="U133" s="744"/>
      <c r="V133" s="743"/>
      <c r="W133" s="743"/>
      <c r="X133" s="743"/>
      <c r="Y133" s="743"/>
      <c r="Z133" s="744"/>
      <c r="AA133" s="743"/>
      <c r="AB133" s="743"/>
      <c r="AC133" s="743"/>
      <c r="AD133" s="1358"/>
      <c r="AE133" s="747"/>
      <c r="AF133" s="748"/>
      <c r="AG133" s="1359"/>
      <c r="AI133" s="1351"/>
    </row>
    <row r="134" spans="1:35" s="1350" customFormat="1">
      <c r="A134" s="1"/>
      <c r="B134" s="6"/>
      <c r="C134" s="4"/>
      <c r="D134" s="3"/>
      <c r="E134" s="4"/>
      <c r="F134" s="4"/>
      <c r="G134" s="4"/>
      <c r="H134" s="6"/>
      <c r="I134" s="6"/>
      <c r="J134" s="6"/>
      <c r="K134" s="11"/>
      <c r="L134" s="5"/>
      <c r="M134" s="5"/>
      <c r="N134" s="7"/>
      <c r="O134" s="7"/>
      <c r="P134" s="5"/>
      <c r="Q134" s="6"/>
      <c r="R134" s="1"/>
      <c r="S134" s="6"/>
      <c r="T134" s="744"/>
      <c r="U134" s="744"/>
      <c r="V134" s="743"/>
      <c r="W134" s="743"/>
      <c r="X134" s="743"/>
      <c r="Y134" s="743"/>
      <c r="Z134" s="744"/>
      <c r="AA134" s="743"/>
      <c r="AB134" s="743"/>
      <c r="AC134" s="743"/>
      <c r="AD134" s="1358"/>
      <c r="AE134" s="747"/>
      <c r="AF134" s="748"/>
      <c r="AG134" s="1359"/>
      <c r="AI134" s="1351"/>
    </row>
    <row r="135" spans="1:35" s="1350" customFormat="1">
      <c r="A135" s="1"/>
      <c r="B135" s="6"/>
      <c r="C135" s="4"/>
      <c r="D135" s="3"/>
      <c r="E135" s="4"/>
      <c r="F135" s="4"/>
      <c r="G135" s="4"/>
      <c r="H135" s="6"/>
      <c r="I135" s="6"/>
      <c r="J135" s="6"/>
      <c r="K135" s="11"/>
      <c r="L135" s="5"/>
      <c r="M135" s="5"/>
      <c r="N135" s="7"/>
      <c r="O135" s="7"/>
      <c r="P135" s="5"/>
      <c r="Q135" s="6"/>
      <c r="R135" s="1"/>
      <c r="S135" s="6"/>
      <c r="T135" s="744"/>
      <c r="U135" s="744"/>
      <c r="V135" s="743"/>
      <c r="W135" s="743"/>
      <c r="X135" s="743"/>
      <c r="Y135" s="743"/>
      <c r="Z135" s="744"/>
      <c r="AA135" s="743"/>
      <c r="AB135" s="743"/>
      <c r="AC135" s="743"/>
      <c r="AD135" s="1358"/>
      <c r="AE135" s="747"/>
      <c r="AF135" s="748"/>
      <c r="AG135" s="1359"/>
      <c r="AI135" s="1351"/>
    </row>
    <row r="136" spans="1:35" s="1350" customFormat="1">
      <c r="A136" s="1"/>
      <c r="B136" s="6"/>
      <c r="C136" s="4"/>
      <c r="D136" s="3"/>
      <c r="E136" s="4"/>
      <c r="F136" s="4"/>
      <c r="G136" s="4"/>
      <c r="H136" s="6"/>
      <c r="I136" s="6"/>
      <c r="J136" s="6"/>
      <c r="K136" s="11"/>
      <c r="L136" s="5"/>
      <c r="M136" s="5"/>
      <c r="N136" s="7"/>
      <c r="O136" s="7"/>
      <c r="P136" s="5"/>
      <c r="Q136" s="6"/>
      <c r="R136" s="1"/>
      <c r="S136" s="6"/>
      <c r="T136" s="744"/>
      <c r="U136" s="744"/>
      <c r="V136" s="743"/>
      <c r="W136" s="743"/>
      <c r="X136" s="743"/>
      <c r="Y136" s="743"/>
      <c r="Z136" s="744"/>
      <c r="AA136" s="743"/>
      <c r="AB136" s="743"/>
      <c r="AC136" s="743"/>
      <c r="AD136" s="1358"/>
      <c r="AE136" s="747"/>
      <c r="AF136" s="748"/>
      <c r="AG136" s="1359"/>
      <c r="AI136" s="1351"/>
    </row>
    <row r="137" spans="1:35" s="1350" customFormat="1">
      <c r="A137" s="1"/>
      <c r="B137" s="6"/>
      <c r="C137" s="4"/>
      <c r="D137" s="3"/>
      <c r="E137" s="4"/>
      <c r="F137" s="4"/>
      <c r="G137" s="4"/>
      <c r="H137" s="6"/>
      <c r="I137" s="6"/>
      <c r="J137" s="6"/>
      <c r="K137" s="11"/>
      <c r="L137" s="5"/>
      <c r="M137" s="5"/>
      <c r="N137" s="7"/>
      <c r="O137" s="7"/>
      <c r="P137" s="5"/>
      <c r="Q137" s="6"/>
      <c r="R137" s="1"/>
      <c r="S137" s="6"/>
      <c r="T137" s="744"/>
      <c r="U137" s="744"/>
      <c r="V137" s="743"/>
      <c r="W137" s="743"/>
      <c r="X137" s="743"/>
      <c r="Y137" s="743"/>
      <c r="Z137" s="744"/>
      <c r="AA137" s="743"/>
      <c r="AB137" s="743"/>
      <c r="AC137" s="743"/>
      <c r="AD137" s="1358"/>
      <c r="AE137" s="747"/>
      <c r="AF137" s="748"/>
      <c r="AG137" s="1359"/>
      <c r="AI137" s="1351"/>
    </row>
    <row r="138" spans="1:35" s="1350" customFormat="1">
      <c r="A138" s="1"/>
      <c r="B138" s="6"/>
      <c r="C138" s="4"/>
      <c r="D138" s="3"/>
      <c r="E138" s="4"/>
      <c r="F138" s="4"/>
      <c r="G138" s="4"/>
      <c r="H138" s="6"/>
      <c r="I138" s="6"/>
      <c r="J138" s="6"/>
      <c r="K138" s="11"/>
      <c r="L138" s="5"/>
      <c r="M138" s="5"/>
      <c r="N138" s="7"/>
      <c r="O138" s="7"/>
      <c r="P138" s="5"/>
      <c r="Q138" s="6"/>
      <c r="R138" s="1"/>
      <c r="S138" s="6"/>
      <c r="T138" s="744"/>
      <c r="U138" s="744"/>
      <c r="V138" s="743"/>
      <c r="W138" s="743"/>
      <c r="X138" s="743"/>
      <c r="Y138" s="743"/>
      <c r="Z138" s="744"/>
      <c r="AA138" s="743"/>
      <c r="AB138" s="743"/>
      <c r="AC138" s="743"/>
      <c r="AD138" s="1358"/>
      <c r="AE138" s="747"/>
      <c r="AF138" s="748"/>
      <c r="AG138" s="1359"/>
      <c r="AI138" s="1351"/>
    </row>
    <row r="139" spans="1:35" s="1350" customFormat="1">
      <c r="A139" s="1"/>
      <c r="B139" s="6"/>
      <c r="C139" s="4"/>
      <c r="D139" s="3"/>
      <c r="E139" s="4"/>
      <c r="F139" s="4"/>
      <c r="G139" s="4"/>
      <c r="H139" s="6"/>
      <c r="I139" s="6"/>
      <c r="J139" s="6"/>
      <c r="K139" s="11"/>
      <c r="L139" s="5"/>
      <c r="M139" s="5"/>
      <c r="N139" s="7"/>
      <c r="O139" s="7"/>
      <c r="P139" s="5"/>
      <c r="Q139" s="6"/>
      <c r="R139" s="1"/>
      <c r="S139" s="6"/>
      <c r="T139" s="744"/>
      <c r="U139" s="744"/>
      <c r="V139" s="743"/>
      <c r="W139" s="743"/>
      <c r="X139" s="743"/>
      <c r="Y139" s="743"/>
      <c r="Z139" s="744"/>
      <c r="AA139" s="743"/>
      <c r="AB139" s="743"/>
      <c r="AC139" s="743"/>
      <c r="AD139" s="1358"/>
      <c r="AE139" s="747"/>
      <c r="AF139" s="748"/>
      <c r="AG139" s="1359"/>
      <c r="AI139" s="1351"/>
    </row>
    <row r="140" spans="1:35" s="1350" customFormat="1">
      <c r="A140" s="1"/>
      <c r="B140" s="6"/>
      <c r="C140" s="4"/>
      <c r="D140" s="3"/>
      <c r="E140" s="4"/>
      <c r="F140" s="4"/>
      <c r="G140" s="4"/>
      <c r="H140" s="6"/>
      <c r="I140" s="6"/>
      <c r="J140" s="6"/>
      <c r="K140" s="11"/>
      <c r="L140" s="5"/>
      <c r="M140" s="5"/>
      <c r="N140" s="7"/>
      <c r="O140" s="7"/>
      <c r="P140" s="5"/>
      <c r="Q140" s="6"/>
      <c r="R140" s="1"/>
      <c r="S140" s="6"/>
      <c r="T140" s="744"/>
      <c r="U140" s="744"/>
      <c r="V140" s="743"/>
      <c r="W140" s="743"/>
      <c r="X140" s="743"/>
      <c r="Y140" s="743"/>
      <c r="Z140" s="744"/>
      <c r="AA140" s="743"/>
      <c r="AB140" s="743"/>
      <c r="AC140" s="743"/>
      <c r="AD140" s="1358"/>
      <c r="AE140" s="747"/>
      <c r="AF140" s="748"/>
      <c r="AG140" s="1359"/>
      <c r="AI140" s="1351"/>
    </row>
    <row r="141" spans="1:35" s="1350" customFormat="1">
      <c r="A141" s="1"/>
      <c r="B141" s="6"/>
      <c r="C141" s="4"/>
      <c r="D141" s="3"/>
      <c r="E141" s="4"/>
      <c r="F141" s="4"/>
      <c r="G141" s="4"/>
      <c r="H141" s="6"/>
      <c r="I141" s="6"/>
      <c r="J141" s="6"/>
      <c r="K141" s="11"/>
      <c r="L141" s="5"/>
      <c r="M141" s="5"/>
      <c r="N141" s="7"/>
      <c r="O141" s="7"/>
      <c r="P141" s="5"/>
      <c r="Q141" s="6"/>
      <c r="R141" s="1"/>
      <c r="S141" s="6"/>
      <c r="T141" s="744"/>
      <c r="U141" s="744"/>
      <c r="V141" s="743"/>
      <c r="W141" s="743"/>
      <c r="X141" s="743"/>
      <c r="Y141" s="743"/>
      <c r="Z141" s="744"/>
      <c r="AA141" s="743"/>
      <c r="AB141" s="743"/>
      <c r="AC141" s="743"/>
      <c r="AD141" s="1358"/>
      <c r="AE141" s="747"/>
      <c r="AF141" s="748"/>
      <c r="AG141" s="1359"/>
      <c r="AI141" s="1351"/>
    </row>
    <row r="142" spans="1:35" s="1350" customFormat="1">
      <c r="A142" s="1"/>
      <c r="B142" s="6"/>
      <c r="C142" s="4"/>
      <c r="D142" s="3"/>
      <c r="E142" s="4"/>
      <c r="F142" s="4"/>
      <c r="G142" s="4"/>
      <c r="H142" s="6"/>
      <c r="I142" s="6"/>
      <c r="J142" s="6"/>
      <c r="K142" s="11"/>
      <c r="L142" s="5"/>
      <c r="M142" s="5"/>
      <c r="N142" s="7"/>
      <c r="O142" s="7"/>
      <c r="P142" s="5"/>
      <c r="Q142" s="6"/>
      <c r="R142" s="1"/>
      <c r="S142" s="6"/>
      <c r="T142" s="744"/>
      <c r="U142" s="744"/>
      <c r="V142" s="743"/>
      <c r="W142" s="743"/>
      <c r="X142" s="743"/>
      <c r="Y142" s="743"/>
      <c r="Z142" s="744"/>
      <c r="AA142" s="743"/>
      <c r="AB142" s="743"/>
      <c r="AC142" s="743"/>
      <c r="AD142" s="1358"/>
      <c r="AE142" s="747"/>
      <c r="AF142" s="748"/>
      <c r="AG142" s="1359"/>
      <c r="AI142" s="1351"/>
    </row>
    <row r="143" spans="1:35" s="1350" customFormat="1">
      <c r="A143" s="1"/>
      <c r="B143" s="6"/>
      <c r="C143" s="4"/>
      <c r="D143" s="3"/>
      <c r="E143" s="4"/>
      <c r="F143" s="4"/>
      <c r="G143" s="4"/>
      <c r="H143" s="6"/>
      <c r="I143" s="6"/>
      <c r="J143" s="6"/>
      <c r="K143" s="11"/>
      <c r="L143" s="5"/>
      <c r="M143" s="5"/>
      <c r="N143" s="7"/>
      <c r="O143" s="7"/>
      <c r="P143" s="5"/>
      <c r="Q143" s="6"/>
      <c r="R143" s="1"/>
      <c r="S143" s="6"/>
      <c r="T143" s="744"/>
      <c r="U143" s="744"/>
      <c r="V143" s="743"/>
      <c r="W143" s="743"/>
      <c r="X143" s="743"/>
      <c r="Y143" s="743"/>
      <c r="Z143" s="744"/>
      <c r="AA143" s="743"/>
      <c r="AB143" s="743"/>
      <c r="AC143" s="743"/>
      <c r="AD143" s="1358"/>
      <c r="AE143" s="747"/>
      <c r="AF143" s="748"/>
      <c r="AG143" s="1359"/>
      <c r="AI143" s="1351"/>
    </row>
    <row r="144" spans="1:35" s="1350" customFormat="1">
      <c r="A144" s="1"/>
      <c r="B144" s="6"/>
      <c r="C144" s="4"/>
      <c r="D144" s="3"/>
      <c r="E144" s="4"/>
      <c r="F144" s="4"/>
      <c r="G144" s="4"/>
      <c r="H144" s="6"/>
      <c r="I144" s="6"/>
      <c r="J144" s="6"/>
      <c r="K144" s="11"/>
      <c r="L144" s="5"/>
      <c r="M144" s="5"/>
      <c r="N144" s="7"/>
      <c r="O144" s="7"/>
      <c r="P144" s="5"/>
      <c r="Q144" s="6"/>
      <c r="R144" s="1"/>
      <c r="S144" s="6"/>
      <c r="T144" s="744"/>
      <c r="U144" s="744"/>
      <c r="V144" s="743"/>
      <c r="W144" s="743"/>
      <c r="X144" s="743"/>
      <c r="Y144" s="743"/>
      <c r="Z144" s="744"/>
      <c r="AA144" s="743"/>
      <c r="AB144" s="743"/>
      <c r="AC144" s="743"/>
      <c r="AD144" s="1358"/>
      <c r="AE144" s="747"/>
      <c r="AF144" s="748"/>
      <c r="AG144" s="1359"/>
      <c r="AI144" s="1351"/>
    </row>
    <row r="145" spans="1:35" s="1350" customFormat="1">
      <c r="A145" s="1"/>
      <c r="B145" s="6"/>
      <c r="C145" s="4"/>
      <c r="D145" s="3"/>
      <c r="E145" s="4"/>
      <c r="F145" s="4"/>
      <c r="G145" s="4"/>
      <c r="H145" s="6"/>
      <c r="I145" s="6"/>
      <c r="J145" s="6"/>
      <c r="K145" s="11"/>
      <c r="L145" s="5"/>
      <c r="M145" s="5"/>
      <c r="N145" s="7"/>
      <c r="O145" s="7"/>
      <c r="P145" s="5"/>
      <c r="Q145" s="6"/>
      <c r="R145" s="1"/>
      <c r="S145" s="6"/>
      <c r="T145" s="744"/>
      <c r="U145" s="744"/>
      <c r="V145" s="743"/>
      <c r="W145" s="743"/>
      <c r="X145" s="743"/>
      <c r="Y145" s="743"/>
      <c r="Z145" s="744"/>
      <c r="AA145" s="743"/>
      <c r="AB145" s="743"/>
      <c r="AC145" s="743"/>
      <c r="AD145" s="1358"/>
      <c r="AE145" s="747"/>
      <c r="AF145" s="748"/>
      <c r="AG145" s="1359"/>
      <c r="AI145" s="1351"/>
    </row>
    <row r="146" spans="1:35" s="1350" customFormat="1">
      <c r="A146" s="1"/>
      <c r="B146" s="6"/>
      <c r="C146" s="4"/>
      <c r="D146" s="3"/>
      <c r="E146" s="4"/>
      <c r="F146" s="4"/>
      <c r="G146" s="4"/>
      <c r="H146" s="6"/>
      <c r="I146" s="6"/>
      <c r="J146" s="6"/>
      <c r="K146" s="11"/>
      <c r="L146" s="5"/>
      <c r="M146" s="5"/>
      <c r="N146" s="7"/>
      <c r="O146" s="7"/>
      <c r="P146" s="5"/>
      <c r="Q146" s="6"/>
      <c r="R146" s="1"/>
      <c r="S146" s="6"/>
      <c r="T146" s="744"/>
      <c r="U146" s="744"/>
      <c r="V146" s="743"/>
      <c r="W146" s="743"/>
      <c r="X146" s="743"/>
      <c r="Y146" s="743"/>
      <c r="Z146" s="744"/>
      <c r="AA146" s="743"/>
      <c r="AB146" s="743"/>
      <c r="AC146" s="743"/>
      <c r="AD146" s="1358"/>
      <c r="AE146" s="747"/>
      <c r="AF146" s="748"/>
      <c r="AG146" s="1359"/>
      <c r="AI146" s="1351"/>
    </row>
    <row r="147" spans="1:35" s="1350" customFormat="1">
      <c r="A147" s="1"/>
      <c r="B147" s="6"/>
      <c r="C147" s="4"/>
      <c r="D147" s="3"/>
      <c r="E147" s="4"/>
      <c r="F147" s="4"/>
      <c r="G147" s="4"/>
      <c r="H147" s="6"/>
      <c r="I147" s="6"/>
      <c r="J147" s="6"/>
      <c r="K147" s="11"/>
      <c r="L147" s="5"/>
      <c r="M147" s="5"/>
      <c r="N147" s="7"/>
      <c r="O147" s="7"/>
      <c r="P147" s="5"/>
      <c r="Q147" s="6"/>
      <c r="R147" s="1"/>
      <c r="S147" s="6"/>
      <c r="T147" s="744"/>
      <c r="U147" s="744"/>
      <c r="V147" s="743"/>
      <c r="W147" s="743"/>
      <c r="X147" s="743"/>
      <c r="Y147" s="743"/>
      <c r="Z147" s="744"/>
      <c r="AA147" s="743"/>
      <c r="AB147" s="743"/>
      <c r="AC147" s="743"/>
      <c r="AD147" s="1358"/>
      <c r="AE147" s="747"/>
      <c r="AF147" s="748"/>
      <c r="AG147" s="1359"/>
      <c r="AI147" s="1351"/>
    </row>
    <row r="148" spans="1:35" s="1350" customFormat="1">
      <c r="A148" s="1"/>
      <c r="B148" s="6"/>
      <c r="C148" s="4"/>
      <c r="D148" s="3"/>
      <c r="E148" s="4"/>
      <c r="F148" s="4"/>
      <c r="G148" s="4"/>
      <c r="H148" s="6"/>
      <c r="I148" s="6"/>
      <c r="J148" s="6"/>
      <c r="K148" s="11"/>
      <c r="L148" s="5"/>
      <c r="M148" s="5"/>
      <c r="N148" s="7"/>
      <c r="O148" s="7"/>
      <c r="P148" s="5"/>
      <c r="Q148" s="6"/>
      <c r="R148" s="1"/>
      <c r="S148" s="6"/>
      <c r="T148" s="744"/>
      <c r="U148" s="744"/>
      <c r="V148" s="743"/>
      <c r="W148" s="743"/>
      <c r="X148" s="743"/>
      <c r="Y148" s="743"/>
      <c r="Z148" s="744"/>
      <c r="AA148" s="743"/>
      <c r="AB148" s="743"/>
      <c r="AC148" s="743"/>
      <c r="AD148" s="1358"/>
      <c r="AE148" s="747"/>
      <c r="AF148" s="748"/>
      <c r="AG148" s="1359"/>
      <c r="AI148" s="1351"/>
    </row>
    <row r="149" spans="1:35" s="1350" customFormat="1">
      <c r="A149" s="1"/>
      <c r="B149" s="6"/>
      <c r="C149" s="4"/>
      <c r="D149" s="3"/>
      <c r="E149" s="4"/>
      <c r="F149" s="4"/>
      <c r="G149" s="4"/>
      <c r="H149" s="6"/>
      <c r="I149" s="6"/>
      <c r="J149" s="6"/>
      <c r="K149" s="11"/>
      <c r="L149" s="5"/>
      <c r="M149" s="5"/>
      <c r="N149" s="7"/>
      <c r="O149" s="7"/>
      <c r="P149" s="5"/>
      <c r="Q149" s="6"/>
      <c r="R149" s="1"/>
      <c r="S149" s="6"/>
      <c r="T149" s="744"/>
      <c r="U149" s="744"/>
      <c r="V149" s="743"/>
      <c r="W149" s="743"/>
      <c r="X149" s="743"/>
      <c r="Y149" s="743"/>
      <c r="Z149" s="744"/>
      <c r="AA149" s="743"/>
      <c r="AB149" s="743"/>
      <c r="AC149" s="743"/>
      <c r="AD149" s="1358"/>
      <c r="AE149" s="747"/>
      <c r="AF149" s="748"/>
      <c r="AG149" s="1359"/>
      <c r="AI149" s="1351"/>
    </row>
    <row r="150" spans="1:35" s="1350" customFormat="1">
      <c r="A150" s="1"/>
      <c r="B150" s="6"/>
      <c r="C150" s="4"/>
      <c r="D150" s="3"/>
      <c r="E150" s="4"/>
      <c r="F150" s="4"/>
      <c r="G150" s="4"/>
      <c r="H150" s="6"/>
      <c r="I150" s="6"/>
      <c r="J150" s="6"/>
      <c r="K150" s="11"/>
      <c r="L150" s="5"/>
      <c r="M150" s="5"/>
      <c r="N150" s="7"/>
      <c r="O150" s="7"/>
      <c r="P150" s="5"/>
      <c r="Q150" s="6"/>
      <c r="R150" s="1"/>
      <c r="S150" s="6"/>
      <c r="T150" s="744"/>
      <c r="U150" s="744"/>
      <c r="V150" s="743"/>
      <c r="W150" s="743"/>
      <c r="X150" s="743"/>
      <c r="Y150" s="743"/>
      <c r="Z150" s="744"/>
      <c r="AA150" s="743"/>
      <c r="AB150" s="743"/>
      <c r="AC150" s="743"/>
      <c r="AD150" s="1358"/>
      <c r="AE150" s="747"/>
      <c r="AF150" s="748"/>
      <c r="AG150" s="1359"/>
      <c r="AI150" s="1351"/>
    </row>
    <row r="151" spans="1:35" s="1350" customFormat="1">
      <c r="A151" s="1"/>
      <c r="B151" s="6"/>
      <c r="C151" s="4"/>
      <c r="D151" s="3"/>
      <c r="E151" s="4"/>
      <c r="F151" s="4"/>
      <c r="G151" s="4"/>
      <c r="H151" s="6"/>
      <c r="I151" s="6"/>
      <c r="J151" s="6"/>
      <c r="K151" s="11"/>
      <c r="L151" s="5"/>
      <c r="M151" s="5"/>
      <c r="N151" s="7"/>
      <c r="O151" s="7"/>
      <c r="P151" s="5"/>
      <c r="Q151" s="6"/>
      <c r="R151" s="1"/>
      <c r="S151" s="6"/>
      <c r="T151" s="744"/>
      <c r="U151" s="744"/>
      <c r="V151" s="743"/>
      <c r="W151" s="743"/>
      <c r="X151" s="743"/>
      <c r="Y151" s="743"/>
      <c r="Z151" s="744"/>
      <c r="AA151" s="743"/>
      <c r="AB151" s="743"/>
      <c r="AC151" s="743"/>
      <c r="AD151" s="1358"/>
      <c r="AE151" s="747"/>
      <c r="AF151" s="748"/>
      <c r="AG151" s="1359"/>
      <c r="AI151" s="1351"/>
    </row>
    <row r="152" spans="1:35" s="1350" customFormat="1">
      <c r="A152" s="1"/>
      <c r="B152" s="6"/>
      <c r="C152" s="4"/>
      <c r="D152" s="3"/>
      <c r="E152" s="4"/>
      <c r="F152" s="4"/>
      <c r="G152" s="4"/>
      <c r="H152" s="6"/>
      <c r="I152" s="6"/>
      <c r="J152" s="6"/>
      <c r="K152" s="11"/>
      <c r="L152" s="5"/>
      <c r="M152" s="5"/>
      <c r="N152" s="7"/>
      <c r="O152" s="7"/>
      <c r="P152" s="5"/>
      <c r="Q152" s="6"/>
      <c r="R152" s="1"/>
      <c r="S152" s="6"/>
      <c r="T152" s="744"/>
      <c r="U152" s="744"/>
      <c r="V152" s="743"/>
      <c r="W152" s="743"/>
      <c r="X152" s="743"/>
      <c r="Y152" s="743"/>
      <c r="Z152" s="744"/>
      <c r="AA152" s="743"/>
      <c r="AB152" s="743"/>
      <c r="AC152" s="743"/>
      <c r="AD152" s="1358"/>
      <c r="AE152" s="747"/>
      <c r="AF152" s="748"/>
      <c r="AG152" s="1359"/>
      <c r="AI152" s="1351"/>
    </row>
    <row r="153" spans="1:35" s="1350" customFormat="1">
      <c r="A153" s="1"/>
      <c r="B153" s="6"/>
      <c r="C153" s="4"/>
      <c r="D153" s="3"/>
      <c r="E153" s="4"/>
      <c r="F153" s="4"/>
      <c r="G153" s="4"/>
      <c r="H153" s="6"/>
      <c r="I153" s="6"/>
      <c r="J153" s="6"/>
      <c r="K153" s="11"/>
      <c r="L153" s="5"/>
      <c r="M153" s="5"/>
      <c r="N153" s="7"/>
      <c r="O153" s="7"/>
      <c r="P153" s="5"/>
      <c r="Q153" s="6"/>
      <c r="R153" s="1"/>
      <c r="S153" s="6"/>
      <c r="T153" s="744"/>
      <c r="U153" s="744"/>
      <c r="V153" s="743"/>
      <c r="W153" s="743"/>
      <c r="X153" s="743"/>
      <c r="Y153" s="743"/>
      <c r="Z153" s="744"/>
      <c r="AA153" s="743"/>
      <c r="AB153" s="743"/>
      <c r="AC153" s="743"/>
      <c r="AD153" s="1358"/>
      <c r="AE153" s="747"/>
      <c r="AF153" s="748"/>
      <c r="AG153" s="1359"/>
      <c r="AI153" s="1351"/>
    </row>
    <row r="154" spans="1:35" s="1350" customFormat="1">
      <c r="A154" s="1"/>
      <c r="B154" s="6"/>
      <c r="C154" s="4"/>
      <c r="D154" s="3"/>
      <c r="E154" s="4"/>
      <c r="F154" s="4"/>
      <c r="G154" s="4"/>
      <c r="H154" s="6"/>
      <c r="I154" s="6"/>
      <c r="J154" s="6"/>
      <c r="K154" s="11"/>
      <c r="L154" s="5"/>
      <c r="M154" s="5"/>
      <c r="N154" s="7"/>
      <c r="O154" s="7"/>
      <c r="P154" s="5"/>
      <c r="Q154" s="6"/>
      <c r="R154" s="1"/>
      <c r="S154" s="6"/>
      <c r="T154" s="744"/>
      <c r="U154" s="744"/>
      <c r="V154" s="743"/>
      <c r="W154" s="743"/>
      <c r="X154" s="743"/>
      <c r="Y154" s="743"/>
      <c r="Z154" s="744"/>
      <c r="AA154" s="743"/>
      <c r="AB154" s="743"/>
      <c r="AC154" s="743"/>
      <c r="AD154" s="1358"/>
      <c r="AE154" s="747"/>
      <c r="AF154" s="748"/>
      <c r="AG154" s="1359"/>
      <c r="AI154" s="1351"/>
    </row>
    <row r="155" spans="1:35" s="1350" customFormat="1">
      <c r="A155" s="1"/>
      <c r="B155" s="6"/>
      <c r="C155" s="4"/>
      <c r="D155" s="3"/>
      <c r="E155" s="4"/>
      <c r="F155" s="4"/>
      <c r="G155" s="4"/>
      <c r="H155" s="6"/>
      <c r="I155" s="6"/>
      <c r="J155" s="6"/>
      <c r="K155" s="11"/>
      <c r="L155" s="5"/>
      <c r="M155" s="5"/>
      <c r="N155" s="7"/>
      <c r="O155" s="7"/>
      <c r="P155" s="5"/>
      <c r="Q155" s="6"/>
      <c r="R155" s="1"/>
      <c r="S155" s="6"/>
      <c r="T155" s="744"/>
      <c r="U155" s="744"/>
      <c r="V155" s="743"/>
      <c r="W155" s="743"/>
      <c r="X155" s="743"/>
      <c r="Y155" s="743"/>
      <c r="Z155" s="744"/>
      <c r="AA155" s="743"/>
      <c r="AB155" s="743"/>
      <c r="AC155" s="743"/>
      <c r="AD155" s="1358"/>
      <c r="AE155" s="747"/>
      <c r="AF155" s="748"/>
      <c r="AG155" s="1359"/>
      <c r="AI155" s="1351"/>
    </row>
    <row r="156" spans="1:35" s="1350" customFormat="1">
      <c r="A156" s="1"/>
      <c r="B156" s="6"/>
      <c r="C156" s="4"/>
      <c r="D156" s="3"/>
      <c r="E156" s="4"/>
      <c r="F156" s="4"/>
      <c r="G156" s="4"/>
      <c r="H156" s="6"/>
      <c r="I156" s="6"/>
      <c r="J156" s="6"/>
      <c r="K156" s="11"/>
      <c r="L156" s="5"/>
      <c r="M156" s="5"/>
      <c r="N156" s="7"/>
      <c r="O156" s="7"/>
      <c r="P156" s="5"/>
      <c r="Q156" s="6"/>
      <c r="R156" s="1"/>
      <c r="S156" s="6"/>
      <c r="T156" s="744"/>
      <c r="U156" s="744"/>
      <c r="V156" s="743"/>
      <c r="W156" s="743"/>
      <c r="X156" s="743"/>
      <c r="Y156" s="743"/>
      <c r="Z156" s="744"/>
      <c r="AA156" s="743"/>
      <c r="AB156" s="743"/>
      <c r="AC156" s="743"/>
      <c r="AD156" s="1358"/>
      <c r="AE156" s="747"/>
      <c r="AF156" s="748"/>
      <c r="AG156" s="1359"/>
      <c r="AI156" s="1351"/>
    </row>
    <row r="157" spans="1:35" s="1350" customFormat="1">
      <c r="A157" s="1"/>
      <c r="B157" s="6"/>
      <c r="C157" s="4"/>
      <c r="D157" s="3"/>
      <c r="E157" s="4"/>
      <c r="F157" s="4"/>
      <c r="G157" s="4"/>
      <c r="H157" s="6"/>
      <c r="I157" s="6"/>
      <c r="J157" s="6"/>
      <c r="K157" s="11"/>
      <c r="L157" s="5"/>
      <c r="M157" s="5"/>
      <c r="N157" s="7"/>
      <c r="O157" s="7"/>
      <c r="P157" s="5"/>
      <c r="Q157" s="6"/>
      <c r="R157" s="1"/>
      <c r="S157" s="6"/>
      <c r="T157" s="744"/>
      <c r="U157" s="744"/>
      <c r="V157" s="743"/>
      <c r="W157" s="743"/>
      <c r="X157" s="743"/>
      <c r="Y157" s="743"/>
      <c r="Z157" s="744"/>
      <c r="AA157" s="743"/>
      <c r="AB157" s="743"/>
      <c r="AC157" s="743"/>
      <c r="AD157" s="1358"/>
      <c r="AE157" s="747"/>
      <c r="AF157" s="748"/>
      <c r="AG157" s="1359"/>
      <c r="AI157" s="1351"/>
    </row>
    <row r="158" spans="1:35" s="1350" customFormat="1">
      <c r="A158" s="1"/>
      <c r="B158" s="6"/>
      <c r="C158" s="4"/>
      <c r="D158" s="3"/>
      <c r="E158" s="4"/>
      <c r="F158" s="4"/>
      <c r="G158" s="4"/>
      <c r="H158" s="6"/>
      <c r="I158" s="6"/>
      <c r="J158" s="6"/>
      <c r="K158" s="11"/>
      <c r="L158" s="5"/>
      <c r="M158" s="5"/>
      <c r="N158" s="7"/>
      <c r="O158" s="7"/>
      <c r="P158" s="5"/>
      <c r="Q158" s="6"/>
      <c r="R158" s="1"/>
      <c r="S158" s="6"/>
      <c r="T158" s="744"/>
      <c r="U158" s="744"/>
      <c r="V158" s="743"/>
      <c r="W158" s="743"/>
      <c r="X158" s="743"/>
      <c r="Y158" s="743"/>
      <c r="Z158" s="744"/>
      <c r="AA158" s="743"/>
      <c r="AB158" s="743"/>
      <c r="AC158" s="743"/>
      <c r="AD158" s="1358"/>
      <c r="AE158" s="747"/>
      <c r="AF158" s="748"/>
      <c r="AG158" s="1359"/>
      <c r="AI158" s="1351"/>
    </row>
    <row r="159" spans="1:35" s="1350" customFormat="1">
      <c r="A159" s="1"/>
      <c r="B159" s="6"/>
      <c r="C159" s="4"/>
      <c r="D159" s="3"/>
      <c r="E159" s="4"/>
      <c r="F159" s="4"/>
      <c r="G159" s="4"/>
      <c r="H159" s="6"/>
      <c r="I159" s="6"/>
      <c r="J159" s="6"/>
      <c r="K159" s="11"/>
      <c r="L159" s="5"/>
      <c r="M159" s="5"/>
      <c r="N159" s="7"/>
      <c r="O159" s="7"/>
      <c r="P159" s="5"/>
      <c r="Q159" s="6"/>
      <c r="R159" s="1"/>
      <c r="S159" s="6"/>
      <c r="T159" s="744"/>
      <c r="U159" s="744"/>
      <c r="V159" s="743"/>
      <c r="W159" s="743"/>
      <c r="X159" s="743"/>
      <c r="Y159" s="743"/>
      <c r="Z159" s="744"/>
      <c r="AA159" s="743"/>
      <c r="AB159" s="743"/>
      <c r="AC159" s="743"/>
      <c r="AD159" s="1358"/>
      <c r="AE159" s="747"/>
      <c r="AF159" s="748"/>
      <c r="AG159" s="1359"/>
      <c r="AI159" s="1351"/>
    </row>
    <row r="160" spans="1:35" s="1350" customFormat="1">
      <c r="A160" s="1"/>
      <c r="B160" s="6"/>
      <c r="C160" s="4"/>
      <c r="D160" s="3"/>
      <c r="E160" s="4"/>
      <c r="F160" s="4"/>
      <c r="G160" s="4"/>
      <c r="H160" s="6"/>
      <c r="I160" s="6"/>
      <c r="J160" s="6"/>
      <c r="K160" s="11"/>
      <c r="L160" s="5"/>
      <c r="M160" s="5"/>
      <c r="N160" s="7"/>
      <c r="O160" s="7"/>
      <c r="P160" s="5"/>
      <c r="Q160" s="6"/>
      <c r="R160" s="1"/>
      <c r="S160" s="6"/>
      <c r="T160" s="744"/>
      <c r="U160" s="744"/>
      <c r="V160" s="743"/>
      <c r="W160" s="743"/>
      <c r="X160" s="743"/>
      <c r="Y160" s="743"/>
      <c r="Z160" s="744"/>
      <c r="AA160" s="743"/>
      <c r="AB160" s="743"/>
      <c r="AC160" s="743"/>
      <c r="AD160" s="1358"/>
      <c r="AE160" s="747"/>
      <c r="AF160" s="748"/>
      <c r="AG160" s="1359"/>
      <c r="AI160" s="1351"/>
    </row>
    <row r="161" spans="1:35" s="1350" customFormat="1">
      <c r="A161" s="1"/>
      <c r="B161" s="6"/>
      <c r="C161" s="4"/>
      <c r="D161" s="3"/>
      <c r="E161" s="4"/>
      <c r="F161" s="4"/>
      <c r="G161" s="4"/>
      <c r="H161" s="6"/>
      <c r="I161" s="6"/>
      <c r="J161" s="6"/>
      <c r="K161" s="11"/>
      <c r="L161" s="5"/>
      <c r="M161" s="5"/>
      <c r="N161" s="7"/>
      <c r="O161" s="7"/>
      <c r="P161" s="5"/>
      <c r="Q161" s="6"/>
      <c r="R161" s="1"/>
      <c r="S161" s="6"/>
      <c r="T161" s="744"/>
      <c r="U161" s="744"/>
      <c r="V161" s="743"/>
      <c r="W161" s="743"/>
      <c r="X161" s="743"/>
      <c r="Y161" s="743"/>
      <c r="Z161" s="744"/>
      <c r="AA161" s="743"/>
      <c r="AB161" s="743"/>
      <c r="AC161" s="743"/>
      <c r="AD161" s="1358"/>
      <c r="AE161" s="747"/>
      <c r="AF161" s="748"/>
      <c r="AG161" s="1359"/>
      <c r="AI161" s="1351"/>
    </row>
    <row r="162" spans="1:35" s="1350" customFormat="1">
      <c r="A162" s="1"/>
      <c r="B162" s="6"/>
      <c r="C162" s="4"/>
      <c r="D162" s="3"/>
      <c r="E162" s="4"/>
      <c r="F162" s="4"/>
      <c r="G162" s="4"/>
      <c r="H162" s="6"/>
      <c r="I162" s="6"/>
      <c r="J162" s="6"/>
      <c r="K162" s="11"/>
      <c r="L162" s="5"/>
      <c r="M162" s="5"/>
      <c r="N162" s="7"/>
      <c r="O162" s="7"/>
      <c r="P162" s="5"/>
      <c r="Q162" s="6"/>
      <c r="R162" s="1"/>
      <c r="S162" s="6"/>
      <c r="T162" s="744"/>
      <c r="U162" s="744"/>
      <c r="V162" s="743"/>
      <c r="W162" s="743"/>
      <c r="X162" s="743"/>
      <c r="Y162" s="743"/>
      <c r="Z162" s="744"/>
      <c r="AA162" s="743"/>
      <c r="AB162" s="743"/>
      <c r="AC162" s="743"/>
      <c r="AD162" s="1358"/>
      <c r="AE162" s="747"/>
      <c r="AF162" s="748"/>
      <c r="AG162" s="1359"/>
      <c r="AI162" s="1351"/>
    </row>
    <row r="163" spans="1:35" s="1350" customFormat="1">
      <c r="A163" s="1"/>
      <c r="B163" s="6"/>
      <c r="C163" s="4"/>
      <c r="D163" s="3"/>
      <c r="E163" s="4"/>
      <c r="F163" s="4"/>
      <c r="G163" s="4"/>
      <c r="H163" s="6"/>
      <c r="I163" s="6"/>
      <c r="J163" s="6"/>
      <c r="K163" s="11"/>
      <c r="L163" s="5"/>
      <c r="M163" s="5"/>
      <c r="N163" s="7"/>
      <c r="O163" s="7"/>
      <c r="P163" s="5"/>
      <c r="Q163" s="6"/>
      <c r="R163" s="1"/>
      <c r="S163" s="6"/>
      <c r="T163" s="744"/>
      <c r="U163" s="744"/>
      <c r="V163" s="743"/>
      <c r="W163" s="743"/>
      <c r="X163" s="743"/>
      <c r="Y163" s="743"/>
      <c r="Z163" s="744"/>
      <c r="AA163" s="743"/>
      <c r="AB163" s="743"/>
      <c r="AC163" s="743"/>
      <c r="AD163" s="1358"/>
      <c r="AE163" s="747"/>
      <c r="AF163" s="748"/>
      <c r="AG163" s="1359"/>
      <c r="AI163" s="1351"/>
    </row>
    <row r="164" spans="1:35" s="1350" customFormat="1">
      <c r="A164" s="1"/>
      <c r="B164" s="6"/>
      <c r="C164" s="4"/>
      <c r="D164" s="3"/>
      <c r="E164" s="4"/>
      <c r="F164" s="4"/>
      <c r="G164" s="4"/>
      <c r="H164" s="6"/>
      <c r="I164" s="6"/>
      <c r="J164" s="6"/>
      <c r="K164" s="11"/>
      <c r="L164" s="5"/>
      <c r="M164" s="5"/>
      <c r="N164" s="7"/>
      <c r="O164" s="7"/>
      <c r="P164" s="5"/>
      <c r="Q164" s="6"/>
      <c r="R164" s="1"/>
      <c r="S164" s="6"/>
      <c r="T164" s="744"/>
      <c r="U164" s="744"/>
      <c r="V164" s="743"/>
      <c r="W164" s="743"/>
      <c r="X164" s="743"/>
      <c r="Y164" s="743"/>
      <c r="Z164" s="744"/>
      <c r="AA164" s="743"/>
      <c r="AB164" s="743"/>
      <c r="AC164" s="743"/>
      <c r="AD164" s="1358"/>
      <c r="AE164" s="747"/>
      <c r="AF164" s="748"/>
      <c r="AG164" s="1359"/>
      <c r="AI164" s="1351"/>
    </row>
    <row r="165" spans="1:35" s="1350" customFormat="1">
      <c r="A165" s="1"/>
      <c r="B165" s="6"/>
      <c r="C165" s="4"/>
      <c r="D165" s="3"/>
      <c r="E165" s="4"/>
      <c r="F165" s="4"/>
      <c r="G165" s="4"/>
      <c r="H165" s="6"/>
      <c r="I165" s="6"/>
      <c r="J165" s="6"/>
      <c r="K165" s="11"/>
      <c r="L165" s="5"/>
      <c r="M165" s="5"/>
      <c r="N165" s="7"/>
      <c r="O165" s="7"/>
      <c r="P165" s="5"/>
      <c r="Q165" s="6"/>
      <c r="R165" s="1"/>
      <c r="S165" s="6"/>
      <c r="T165" s="744"/>
      <c r="U165" s="744"/>
      <c r="V165" s="743"/>
      <c r="W165" s="743"/>
      <c r="X165" s="743"/>
      <c r="Y165" s="743"/>
      <c r="Z165" s="744"/>
      <c r="AA165" s="743"/>
      <c r="AB165" s="743"/>
      <c r="AC165" s="743"/>
      <c r="AD165" s="1358"/>
      <c r="AE165" s="747"/>
      <c r="AF165" s="748"/>
      <c r="AG165" s="1359"/>
      <c r="AI165" s="1351"/>
    </row>
    <row r="166" spans="1:35" s="1350" customFormat="1">
      <c r="A166" s="1"/>
      <c r="B166" s="6"/>
      <c r="C166" s="4"/>
      <c r="D166" s="3"/>
      <c r="E166" s="4"/>
      <c r="F166" s="4"/>
      <c r="G166" s="4"/>
      <c r="H166" s="6"/>
      <c r="I166" s="6"/>
      <c r="J166" s="6"/>
      <c r="K166" s="11"/>
      <c r="L166" s="5"/>
      <c r="M166" s="5"/>
      <c r="N166" s="7"/>
      <c r="O166" s="7"/>
      <c r="P166" s="5"/>
      <c r="Q166" s="6"/>
      <c r="R166" s="1"/>
      <c r="S166" s="6"/>
      <c r="T166" s="744"/>
      <c r="U166" s="744"/>
      <c r="V166" s="743"/>
      <c r="W166" s="743"/>
      <c r="X166" s="743"/>
      <c r="Y166" s="743"/>
      <c r="Z166" s="744"/>
      <c r="AA166" s="743"/>
      <c r="AB166" s="743"/>
      <c r="AC166" s="743"/>
      <c r="AD166" s="1358"/>
      <c r="AE166" s="747"/>
      <c r="AF166" s="748"/>
      <c r="AG166" s="1359"/>
      <c r="AI166" s="1351"/>
    </row>
    <row r="167" spans="1:35" s="1350" customFormat="1">
      <c r="A167" s="1"/>
      <c r="B167" s="6"/>
      <c r="C167" s="4"/>
      <c r="D167" s="3"/>
      <c r="E167" s="4"/>
      <c r="F167" s="4"/>
      <c r="G167" s="4"/>
      <c r="H167" s="6"/>
      <c r="I167" s="6"/>
      <c r="J167" s="6"/>
      <c r="K167" s="11"/>
      <c r="L167" s="5"/>
      <c r="M167" s="5"/>
      <c r="N167" s="7"/>
      <c r="O167" s="7"/>
      <c r="P167" s="5"/>
      <c r="Q167" s="6"/>
      <c r="R167" s="1"/>
      <c r="S167" s="6"/>
      <c r="T167" s="744"/>
      <c r="U167" s="744"/>
      <c r="V167" s="743"/>
      <c r="W167" s="743"/>
      <c r="X167" s="743"/>
      <c r="Y167" s="743"/>
      <c r="Z167" s="744"/>
      <c r="AA167" s="743"/>
      <c r="AB167" s="743"/>
      <c r="AC167" s="743"/>
      <c r="AD167" s="1358"/>
      <c r="AE167" s="747"/>
      <c r="AF167" s="748"/>
      <c r="AG167" s="1359"/>
      <c r="AI167" s="1351"/>
    </row>
    <row r="168" spans="1:35" s="1350" customFormat="1">
      <c r="A168" s="1"/>
      <c r="B168" s="6"/>
      <c r="C168" s="4"/>
      <c r="D168" s="3"/>
      <c r="E168" s="4"/>
      <c r="F168" s="4"/>
      <c r="G168" s="4"/>
      <c r="H168" s="6"/>
      <c r="I168" s="6"/>
      <c r="J168" s="6"/>
      <c r="K168" s="11"/>
      <c r="L168" s="5"/>
      <c r="M168" s="5"/>
      <c r="N168" s="7"/>
      <c r="O168" s="7"/>
      <c r="P168" s="5"/>
      <c r="Q168" s="6"/>
      <c r="R168" s="1"/>
      <c r="S168" s="6"/>
      <c r="T168" s="744"/>
      <c r="U168" s="744"/>
      <c r="V168" s="743"/>
      <c r="W168" s="743"/>
      <c r="X168" s="743"/>
      <c r="Y168" s="743"/>
      <c r="Z168" s="744"/>
      <c r="AA168" s="743"/>
      <c r="AB168" s="743"/>
      <c r="AC168" s="743"/>
      <c r="AD168" s="1358"/>
      <c r="AE168" s="747"/>
      <c r="AF168" s="748"/>
      <c r="AG168" s="1359"/>
      <c r="AI168" s="1351"/>
    </row>
    <row r="169" spans="1:35" s="1350" customFormat="1">
      <c r="A169" s="1"/>
      <c r="B169" s="6"/>
      <c r="C169" s="4"/>
      <c r="D169" s="3"/>
      <c r="E169" s="4"/>
      <c r="F169" s="4"/>
      <c r="G169" s="4"/>
      <c r="H169" s="6"/>
      <c r="I169" s="6"/>
      <c r="J169" s="6"/>
      <c r="K169" s="11"/>
      <c r="L169" s="5"/>
      <c r="M169" s="5"/>
      <c r="N169" s="7"/>
      <c r="O169" s="7"/>
      <c r="P169" s="5"/>
      <c r="Q169" s="6"/>
      <c r="R169" s="1"/>
      <c r="S169" s="6"/>
      <c r="T169" s="744"/>
      <c r="U169" s="744"/>
      <c r="V169" s="743"/>
      <c r="W169" s="743"/>
      <c r="X169" s="743"/>
      <c r="Y169" s="743"/>
      <c r="Z169" s="744"/>
      <c r="AA169" s="743"/>
      <c r="AB169" s="743"/>
      <c r="AC169" s="743"/>
      <c r="AD169" s="1358"/>
      <c r="AE169" s="747"/>
      <c r="AF169" s="748"/>
      <c r="AG169" s="1359"/>
      <c r="AI169" s="1351"/>
    </row>
    <row r="170" spans="1:35" s="1350" customFormat="1">
      <c r="A170" s="1"/>
      <c r="B170" s="6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7"/>
      <c r="O170" s="7"/>
      <c r="P170" s="5"/>
      <c r="Q170" s="6"/>
      <c r="R170" s="1"/>
      <c r="S170" s="6"/>
      <c r="T170" s="744"/>
      <c r="U170" s="744"/>
      <c r="V170" s="743"/>
      <c r="W170" s="743"/>
      <c r="X170" s="743"/>
      <c r="Y170" s="743"/>
      <c r="Z170" s="744"/>
      <c r="AA170" s="743"/>
      <c r="AB170" s="743"/>
      <c r="AC170" s="743"/>
      <c r="AD170" s="1358"/>
      <c r="AE170" s="747"/>
      <c r="AF170" s="748"/>
      <c r="AG170" s="1359"/>
      <c r="AI170" s="1351"/>
    </row>
    <row r="171" spans="1:35" s="1350" customFormat="1">
      <c r="A171" s="1"/>
      <c r="B171" s="6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7"/>
      <c r="O171" s="7"/>
      <c r="P171" s="5"/>
      <c r="Q171" s="6"/>
      <c r="R171" s="1"/>
      <c r="S171" s="6"/>
      <c r="T171" s="744"/>
      <c r="U171" s="744"/>
      <c r="V171" s="743"/>
      <c r="W171" s="743"/>
      <c r="X171" s="743"/>
      <c r="Y171" s="743"/>
      <c r="Z171" s="744"/>
      <c r="AA171" s="743"/>
      <c r="AB171" s="743"/>
      <c r="AC171" s="743"/>
      <c r="AD171" s="1358"/>
      <c r="AE171" s="747"/>
      <c r="AF171" s="748"/>
      <c r="AG171" s="1359"/>
      <c r="AI171" s="1351"/>
    </row>
    <row r="172" spans="1:35" s="1350" customFormat="1">
      <c r="A172" s="1"/>
      <c r="B172" s="6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7"/>
      <c r="O172" s="7"/>
      <c r="P172" s="5"/>
      <c r="Q172" s="6"/>
      <c r="R172" s="1"/>
      <c r="S172" s="6"/>
      <c r="T172" s="744"/>
      <c r="U172" s="744"/>
      <c r="V172" s="743"/>
      <c r="W172" s="743"/>
      <c r="X172" s="743"/>
      <c r="Y172" s="743"/>
      <c r="Z172" s="744"/>
      <c r="AA172" s="743"/>
      <c r="AB172" s="743"/>
      <c r="AC172" s="743"/>
      <c r="AD172" s="1358"/>
      <c r="AE172" s="747"/>
      <c r="AF172" s="748"/>
      <c r="AG172" s="1359"/>
      <c r="AI172" s="1351"/>
    </row>
    <row r="173" spans="1:35" s="1350" customFormat="1">
      <c r="A173" s="1"/>
      <c r="B173" s="6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7"/>
      <c r="O173" s="7"/>
      <c r="P173" s="5"/>
      <c r="Q173" s="6"/>
      <c r="R173" s="1"/>
      <c r="S173" s="6"/>
      <c r="T173" s="744"/>
      <c r="U173" s="744"/>
      <c r="V173" s="743"/>
      <c r="W173" s="743"/>
      <c r="X173" s="743"/>
      <c r="Y173" s="743"/>
      <c r="Z173" s="744"/>
      <c r="AA173" s="743"/>
      <c r="AB173" s="743"/>
      <c r="AC173" s="743"/>
      <c r="AD173" s="1358"/>
      <c r="AE173" s="747"/>
      <c r="AF173" s="748"/>
      <c r="AG173" s="1359"/>
      <c r="AI173" s="1351"/>
    </row>
    <row r="174" spans="1:35" s="1350" customFormat="1">
      <c r="A174" s="1"/>
      <c r="B174" s="6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7"/>
      <c r="O174" s="7"/>
      <c r="P174" s="5"/>
      <c r="Q174" s="6"/>
      <c r="R174" s="1"/>
      <c r="S174" s="6"/>
      <c r="T174" s="744"/>
      <c r="U174" s="744"/>
      <c r="V174" s="743"/>
      <c r="W174" s="743"/>
      <c r="X174" s="743"/>
      <c r="Y174" s="743"/>
      <c r="Z174" s="744"/>
      <c r="AA174" s="743"/>
      <c r="AB174" s="743"/>
      <c r="AC174" s="743"/>
      <c r="AD174" s="1358"/>
      <c r="AE174" s="747"/>
      <c r="AF174" s="748"/>
      <c r="AG174" s="1359"/>
      <c r="AI174" s="1351"/>
    </row>
    <row r="175" spans="1:35" s="1350" customFormat="1">
      <c r="A175" s="1"/>
      <c r="B175" s="6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7"/>
      <c r="O175" s="7"/>
      <c r="P175" s="5"/>
      <c r="Q175" s="6"/>
      <c r="R175" s="1"/>
      <c r="S175" s="6"/>
      <c r="T175" s="744"/>
      <c r="U175" s="744"/>
      <c r="V175" s="743"/>
      <c r="W175" s="743"/>
      <c r="X175" s="743"/>
      <c r="Y175" s="743"/>
      <c r="Z175" s="744"/>
      <c r="AA175" s="743"/>
      <c r="AB175" s="743"/>
      <c r="AC175" s="743"/>
      <c r="AD175" s="1358"/>
      <c r="AE175" s="747"/>
      <c r="AF175" s="748"/>
      <c r="AG175" s="1359"/>
      <c r="AI175" s="1351"/>
    </row>
    <row r="176" spans="1:35" s="1350" customFormat="1">
      <c r="A176" s="1"/>
      <c r="B176" s="6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7"/>
      <c r="O176" s="7"/>
      <c r="P176" s="5"/>
      <c r="Q176" s="6"/>
      <c r="R176" s="1"/>
      <c r="S176" s="6"/>
      <c r="T176" s="744"/>
      <c r="U176" s="744"/>
      <c r="V176" s="743"/>
      <c r="W176" s="743"/>
      <c r="X176" s="743"/>
      <c r="Y176" s="743"/>
      <c r="Z176" s="744"/>
      <c r="AA176" s="743"/>
      <c r="AB176" s="743"/>
      <c r="AC176" s="743"/>
      <c r="AD176" s="1358"/>
      <c r="AE176" s="747"/>
      <c r="AF176" s="748"/>
      <c r="AG176" s="1359"/>
      <c r="AI176" s="1351"/>
    </row>
    <row r="177" spans="1:35" s="1350" customFormat="1">
      <c r="A177" s="1"/>
      <c r="B177" s="6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7"/>
      <c r="O177" s="7"/>
      <c r="P177" s="5"/>
      <c r="Q177" s="6"/>
      <c r="R177" s="1"/>
      <c r="S177" s="6"/>
      <c r="T177" s="744"/>
      <c r="U177" s="744"/>
      <c r="V177" s="743"/>
      <c r="W177" s="743"/>
      <c r="X177" s="743"/>
      <c r="Y177" s="743"/>
      <c r="Z177" s="744"/>
      <c r="AA177" s="743"/>
      <c r="AB177" s="743"/>
      <c r="AC177" s="743"/>
      <c r="AD177" s="1358"/>
      <c r="AE177" s="747"/>
      <c r="AF177" s="748"/>
      <c r="AG177" s="1359"/>
      <c r="AI177" s="1351"/>
    </row>
    <row r="178" spans="1:35" s="1350" customFormat="1">
      <c r="A178" s="1"/>
      <c r="B178" s="6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7"/>
      <c r="O178" s="7"/>
      <c r="P178" s="5"/>
      <c r="Q178" s="6"/>
      <c r="R178" s="1"/>
      <c r="S178" s="6"/>
      <c r="T178" s="744"/>
      <c r="U178" s="744"/>
      <c r="V178" s="743"/>
      <c r="W178" s="743"/>
      <c r="X178" s="743"/>
      <c r="Y178" s="743"/>
      <c r="Z178" s="744"/>
      <c r="AA178" s="743"/>
      <c r="AB178" s="743"/>
      <c r="AC178" s="743"/>
      <c r="AD178" s="1358"/>
      <c r="AE178" s="747"/>
      <c r="AF178" s="748"/>
      <c r="AG178" s="1359"/>
      <c r="AI178" s="1351"/>
    </row>
    <row r="179" spans="1:35" s="1350" customFormat="1">
      <c r="A179" s="1"/>
      <c r="B179" s="6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7"/>
      <c r="O179" s="7"/>
      <c r="P179" s="5"/>
      <c r="Q179" s="6"/>
      <c r="R179" s="1"/>
      <c r="S179" s="6"/>
      <c r="T179" s="744"/>
      <c r="U179" s="744"/>
      <c r="V179" s="743"/>
      <c r="W179" s="743"/>
      <c r="X179" s="743"/>
      <c r="Y179" s="743"/>
      <c r="Z179" s="744"/>
      <c r="AA179" s="743"/>
      <c r="AB179" s="743"/>
      <c r="AC179" s="743"/>
      <c r="AD179" s="1358"/>
      <c r="AE179" s="747"/>
      <c r="AF179" s="748"/>
      <c r="AG179" s="1359"/>
      <c r="AI179" s="1351"/>
    </row>
    <row r="180" spans="1:35" s="1350" customFormat="1">
      <c r="A180" s="1"/>
      <c r="B180" s="6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7"/>
      <c r="O180" s="7"/>
      <c r="P180" s="5"/>
      <c r="Q180" s="6"/>
      <c r="R180" s="1"/>
      <c r="S180" s="6"/>
      <c r="T180" s="744"/>
      <c r="U180" s="744"/>
      <c r="V180" s="743"/>
      <c r="W180" s="743"/>
      <c r="X180" s="743"/>
      <c r="Y180" s="743"/>
      <c r="Z180" s="744"/>
      <c r="AA180" s="743"/>
      <c r="AB180" s="743"/>
      <c r="AC180" s="743"/>
      <c r="AD180" s="1358"/>
      <c r="AE180" s="747"/>
      <c r="AF180" s="748"/>
      <c r="AG180" s="1359"/>
      <c r="AI180" s="1351"/>
    </row>
    <row r="181" spans="1:35" s="1350" customFormat="1">
      <c r="A181" s="1"/>
      <c r="B181" s="6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7"/>
      <c r="O181" s="7"/>
      <c r="P181" s="5"/>
      <c r="Q181" s="6"/>
      <c r="R181" s="1"/>
      <c r="S181" s="6"/>
      <c r="T181" s="744"/>
      <c r="U181" s="744"/>
      <c r="V181" s="743"/>
      <c r="W181" s="743"/>
      <c r="X181" s="743"/>
      <c r="Y181" s="743"/>
      <c r="Z181" s="744"/>
      <c r="AA181" s="743"/>
      <c r="AB181" s="743"/>
      <c r="AC181" s="743"/>
      <c r="AD181" s="1358"/>
      <c r="AE181" s="747"/>
      <c r="AF181" s="748"/>
      <c r="AG181" s="1359"/>
      <c r="AI181" s="1351"/>
    </row>
    <row r="182" spans="1:35" s="1350" customFormat="1">
      <c r="A182" s="1"/>
      <c r="B182" s="6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7"/>
      <c r="O182" s="7"/>
      <c r="P182" s="5"/>
      <c r="Q182" s="6"/>
      <c r="R182" s="1"/>
      <c r="S182" s="6"/>
      <c r="T182" s="744"/>
      <c r="U182" s="744"/>
      <c r="V182" s="743"/>
      <c r="W182" s="743"/>
      <c r="X182" s="743"/>
      <c r="Y182" s="743"/>
      <c r="Z182" s="744"/>
      <c r="AA182" s="743"/>
      <c r="AB182" s="743"/>
      <c r="AC182" s="743"/>
      <c r="AD182" s="1358"/>
      <c r="AE182" s="747"/>
      <c r="AF182" s="748"/>
      <c r="AG182" s="1359"/>
      <c r="AI182" s="1351"/>
    </row>
    <row r="183" spans="1:35" s="1350" customFormat="1">
      <c r="A183" s="1"/>
      <c r="B183" s="6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7"/>
      <c r="O183" s="7"/>
      <c r="P183" s="5"/>
      <c r="Q183" s="6"/>
      <c r="R183" s="1"/>
      <c r="S183" s="6"/>
      <c r="T183" s="744"/>
      <c r="U183" s="744"/>
      <c r="V183" s="743"/>
      <c r="W183" s="743"/>
      <c r="X183" s="743"/>
      <c r="Y183" s="743"/>
      <c r="Z183" s="744"/>
      <c r="AA183" s="743"/>
      <c r="AB183" s="743"/>
      <c r="AC183" s="743"/>
      <c r="AD183" s="1358"/>
      <c r="AE183" s="747"/>
      <c r="AF183" s="748"/>
      <c r="AG183" s="1359"/>
      <c r="AI183" s="1351"/>
    </row>
    <row r="184" spans="1:35" s="1350" customFormat="1">
      <c r="A184" s="1"/>
      <c r="B184" s="6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7"/>
      <c r="O184" s="7"/>
      <c r="P184" s="5"/>
      <c r="Q184" s="6"/>
      <c r="R184" s="1"/>
      <c r="S184" s="6"/>
      <c r="T184" s="744"/>
      <c r="U184" s="744"/>
      <c r="V184" s="743"/>
      <c r="W184" s="743"/>
      <c r="X184" s="743"/>
      <c r="Y184" s="743"/>
      <c r="Z184" s="744"/>
      <c r="AA184" s="743"/>
      <c r="AB184" s="743"/>
      <c r="AC184" s="743"/>
      <c r="AD184" s="1358"/>
      <c r="AE184" s="747"/>
      <c r="AF184" s="748"/>
      <c r="AG184" s="1359"/>
      <c r="AI184" s="1351"/>
    </row>
    <row r="185" spans="1:35" s="1350" customFormat="1">
      <c r="A185" s="1"/>
      <c r="B185" s="6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7"/>
      <c r="O185" s="7"/>
      <c r="P185" s="5"/>
      <c r="Q185" s="6"/>
      <c r="R185" s="1"/>
      <c r="S185" s="6"/>
      <c r="T185" s="744"/>
      <c r="U185" s="744"/>
      <c r="V185" s="743"/>
      <c r="W185" s="743"/>
      <c r="X185" s="743"/>
      <c r="Y185" s="743"/>
      <c r="Z185" s="744"/>
      <c r="AA185" s="743"/>
      <c r="AB185" s="743"/>
      <c r="AC185" s="743"/>
      <c r="AD185" s="1358"/>
      <c r="AE185" s="747"/>
      <c r="AF185" s="748"/>
      <c r="AG185" s="1359"/>
      <c r="AI185" s="1351"/>
    </row>
    <row r="186" spans="1:35" s="1350" customFormat="1">
      <c r="A186" s="1"/>
      <c r="B186" s="6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7"/>
      <c r="O186" s="7"/>
      <c r="P186" s="5"/>
      <c r="Q186" s="6"/>
      <c r="R186" s="1"/>
      <c r="S186" s="6"/>
      <c r="T186" s="744"/>
      <c r="U186" s="744"/>
      <c r="V186" s="743"/>
      <c r="W186" s="743"/>
      <c r="X186" s="743"/>
      <c r="Y186" s="743"/>
      <c r="Z186" s="744"/>
      <c r="AA186" s="743"/>
      <c r="AB186" s="743"/>
      <c r="AC186" s="743"/>
      <c r="AD186" s="1358"/>
      <c r="AE186" s="747"/>
      <c r="AF186" s="748"/>
      <c r="AG186" s="1359"/>
      <c r="AI186" s="1351"/>
    </row>
    <row r="187" spans="1:35" s="1350" customFormat="1">
      <c r="A187" s="1"/>
      <c r="B187" s="6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7"/>
      <c r="O187" s="7"/>
      <c r="P187" s="5"/>
      <c r="Q187" s="6"/>
      <c r="R187" s="1"/>
      <c r="S187" s="6"/>
      <c r="T187" s="744"/>
      <c r="U187" s="744"/>
      <c r="V187" s="743"/>
      <c r="W187" s="743"/>
      <c r="X187" s="743"/>
      <c r="Y187" s="743"/>
      <c r="Z187" s="744"/>
      <c r="AA187" s="743"/>
      <c r="AB187" s="743"/>
      <c r="AC187" s="743"/>
      <c r="AD187" s="1358"/>
      <c r="AE187" s="747"/>
      <c r="AF187" s="748"/>
      <c r="AG187" s="1359"/>
      <c r="AI187" s="1351"/>
    </row>
    <row r="188" spans="1:35" s="1350" customFormat="1">
      <c r="A188" s="1"/>
      <c r="B188" s="6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7"/>
      <c r="O188" s="7"/>
      <c r="P188" s="5"/>
      <c r="Q188" s="6"/>
      <c r="R188" s="1"/>
      <c r="S188" s="6"/>
      <c r="T188" s="744"/>
      <c r="U188" s="744"/>
      <c r="V188" s="743"/>
      <c r="W188" s="743"/>
      <c r="X188" s="743"/>
      <c r="Y188" s="743"/>
      <c r="Z188" s="744"/>
      <c r="AA188" s="743"/>
      <c r="AB188" s="743"/>
      <c r="AC188" s="743"/>
      <c r="AD188" s="1358"/>
      <c r="AE188" s="747"/>
      <c r="AF188" s="748"/>
      <c r="AG188" s="1359"/>
      <c r="AI188" s="1351"/>
    </row>
    <row r="189" spans="1:35" s="1350" customFormat="1">
      <c r="A189" s="1"/>
      <c r="B189" s="6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7"/>
      <c r="O189" s="7"/>
      <c r="P189" s="5"/>
      <c r="Q189" s="6"/>
      <c r="R189" s="1"/>
      <c r="S189" s="6"/>
      <c r="T189" s="744"/>
      <c r="U189" s="744"/>
      <c r="V189" s="743"/>
      <c r="W189" s="743"/>
      <c r="X189" s="743"/>
      <c r="Y189" s="743"/>
      <c r="Z189" s="744"/>
      <c r="AA189" s="743"/>
      <c r="AB189" s="743"/>
      <c r="AC189" s="743"/>
      <c r="AD189" s="1358"/>
      <c r="AE189" s="747"/>
      <c r="AF189" s="748"/>
      <c r="AG189" s="1359"/>
      <c r="AI189" s="1351"/>
    </row>
    <row r="190" spans="1:35" s="1350" customFormat="1">
      <c r="A190" s="1"/>
      <c r="B190" s="6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7"/>
      <c r="O190" s="7"/>
      <c r="P190" s="5"/>
      <c r="Q190" s="6"/>
      <c r="R190" s="1"/>
      <c r="S190" s="6"/>
      <c r="T190" s="744"/>
      <c r="U190" s="744"/>
      <c r="V190" s="743"/>
      <c r="W190" s="743"/>
      <c r="X190" s="743"/>
      <c r="Y190" s="743"/>
      <c r="Z190" s="744"/>
      <c r="AA190" s="743"/>
      <c r="AB190" s="743"/>
      <c r="AC190" s="743"/>
      <c r="AD190" s="1358"/>
      <c r="AE190" s="747"/>
      <c r="AF190" s="748"/>
      <c r="AG190" s="1359"/>
      <c r="AI190" s="1351"/>
    </row>
    <row r="191" spans="1:35" s="1350" customFormat="1">
      <c r="A191" s="1"/>
      <c r="B191" s="6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7"/>
      <c r="O191" s="7"/>
      <c r="P191" s="5"/>
      <c r="Q191" s="6"/>
      <c r="R191" s="1"/>
      <c r="S191" s="6"/>
      <c r="T191" s="744"/>
      <c r="U191" s="744"/>
      <c r="V191" s="743"/>
      <c r="W191" s="743"/>
      <c r="X191" s="743"/>
      <c r="Y191" s="743"/>
      <c r="Z191" s="744"/>
      <c r="AA191" s="743"/>
      <c r="AB191" s="743"/>
      <c r="AC191" s="743"/>
      <c r="AD191" s="1358"/>
      <c r="AE191" s="747"/>
      <c r="AF191" s="748"/>
      <c r="AG191" s="1359"/>
      <c r="AI191" s="1351"/>
    </row>
    <row r="192" spans="1:35" s="1350" customFormat="1">
      <c r="A192" s="1"/>
      <c r="B192" s="6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7"/>
      <c r="O192" s="7"/>
      <c r="P192" s="5"/>
      <c r="Q192" s="6"/>
      <c r="R192" s="1"/>
      <c r="S192" s="6"/>
      <c r="T192" s="744"/>
      <c r="U192" s="744"/>
      <c r="V192" s="743"/>
      <c r="W192" s="743"/>
      <c r="X192" s="743"/>
      <c r="Y192" s="743"/>
      <c r="Z192" s="744"/>
      <c r="AA192" s="743"/>
      <c r="AB192" s="743"/>
      <c r="AC192" s="743"/>
      <c r="AD192" s="1358"/>
      <c r="AE192" s="747"/>
      <c r="AF192" s="748"/>
      <c r="AG192" s="1359"/>
      <c r="AI192" s="1351"/>
    </row>
    <row r="193" spans="1:35" s="1350" customFormat="1">
      <c r="A193" s="1"/>
      <c r="B193" s="6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7"/>
      <c r="O193" s="7"/>
      <c r="P193" s="5"/>
      <c r="Q193" s="6"/>
      <c r="R193" s="1"/>
      <c r="S193" s="6"/>
      <c r="T193" s="744"/>
      <c r="U193" s="744"/>
      <c r="V193" s="743"/>
      <c r="W193" s="743"/>
      <c r="X193" s="743"/>
      <c r="Y193" s="743"/>
      <c r="Z193" s="744"/>
      <c r="AA193" s="743"/>
      <c r="AB193" s="743"/>
      <c r="AC193" s="743"/>
      <c r="AD193" s="1358"/>
      <c r="AE193" s="747"/>
      <c r="AF193" s="748"/>
      <c r="AG193" s="1359"/>
      <c r="AI193" s="1351"/>
    </row>
    <row r="194" spans="1:35" s="1350" customFormat="1">
      <c r="A194" s="1"/>
      <c r="B194" s="6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7"/>
      <c r="O194" s="7"/>
      <c r="P194" s="5"/>
      <c r="Q194" s="6"/>
      <c r="R194" s="1"/>
      <c r="S194" s="6"/>
      <c r="T194" s="744"/>
      <c r="U194" s="744"/>
      <c r="V194" s="743"/>
      <c r="W194" s="743"/>
      <c r="X194" s="743"/>
      <c r="Y194" s="743"/>
      <c r="Z194" s="744"/>
      <c r="AA194" s="743"/>
      <c r="AB194" s="743"/>
      <c r="AC194" s="743"/>
      <c r="AD194" s="1358"/>
      <c r="AE194" s="747"/>
      <c r="AF194" s="748"/>
      <c r="AG194" s="1359"/>
      <c r="AI194" s="1351"/>
    </row>
    <row r="195" spans="1:35" s="1350" customFormat="1">
      <c r="A195" s="1"/>
      <c r="B195" s="6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7"/>
      <c r="O195" s="7"/>
      <c r="P195" s="5"/>
      <c r="Q195" s="6"/>
      <c r="R195" s="1"/>
      <c r="S195" s="6"/>
      <c r="T195" s="744"/>
      <c r="U195" s="744"/>
      <c r="V195" s="743"/>
      <c r="W195" s="743"/>
      <c r="X195" s="743"/>
      <c r="Y195" s="743"/>
      <c r="Z195" s="744"/>
      <c r="AA195" s="743"/>
      <c r="AB195" s="743"/>
      <c r="AC195" s="743"/>
      <c r="AD195" s="1358"/>
      <c r="AE195" s="747"/>
      <c r="AF195" s="748"/>
      <c r="AG195" s="1359"/>
      <c r="AI195" s="1351"/>
    </row>
    <row r="196" spans="1:35" s="1350" customFormat="1">
      <c r="A196" s="1"/>
      <c r="B196" s="6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7"/>
      <c r="O196" s="7"/>
      <c r="P196" s="5"/>
      <c r="Q196" s="6"/>
      <c r="R196" s="1"/>
      <c r="S196" s="6"/>
      <c r="T196" s="744"/>
      <c r="U196" s="744"/>
      <c r="V196" s="743"/>
      <c r="W196" s="743"/>
      <c r="X196" s="743"/>
      <c r="Y196" s="743"/>
      <c r="Z196" s="744"/>
      <c r="AA196" s="743"/>
      <c r="AB196" s="743"/>
      <c r="AC196" s="743"/>
      <c r="AD196" s="1358"/>
      <c r="AE196" s="747"/>
      <c r="AF196" s="748"/>
      <c r="AG196" s="1359"/>
      <c r="AI196" s="1351"/>
    </row>
    <row r="197" spans="1:35" s="1350" customFormat="1">
      <c r="A197" s="1"/>
      <c r="B197" s="6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7"/>
      <c r="O197" s="7"/>
      <c r="P197" s="5"/>
      <c r="Q197" s="6"/>
      <c r="R197" s="1"/>
      <c r="S197" s="6"/>
      <c r="T197" s="744"/>
      <c r="U197" s="744"/>
      <c r="V197" s="743"/>
      <c r="W197" s="743"/>
      <c r="X197" s="743"/>
      <c r="Y197" s="743"/>
      <c r="Z197" s="744"/>
      <c r="AA197" s="743"/>
      <c r="AB197" s="743"/>
      <c r="AC197" s="743"/>
      <c r="AD197" s="1358"/>
      <c r="AE197" s="747"/>
      <c r="AF197" s="748"/>
      <c r="AG197" s="1359"/>
      <c r="AI197" s="1351"/>
    </row>
    <row r="198" spans="1:35" s="1350" customFormat="1">
      <c r="A198" s="1"/>
      <c r="B198" s="6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7"/>
      <c r="O198" s="7"/>
      <c r="P198" s="5"/>
      <c r="Q198" s="6"/>
      <c r="R198" s="1"/>
      <c r="S198" s="6"/>
      <c r="T198" s="744"/>
      <c r="U198" s="744"/>
      <c r="V198" s="743"/>
      <c r="W198" s="743"/>
      <c r="X198" s="743"/>
      <c r="Y198" s="743"/>
      <c r="Z198" s="744"/>
      <c r="AA198" s="743"/>
      <c r="AB198" s="743"/>
      <c r="AC198" s="743"/>
      <c r="AD198" s="1358"/>
      <c r="AE198" s="747"/>
      <c r="AF198" s="748"/>
      <c r="AG198" s="1359"/>
      <c r="AI198" s="1351"/>
    </row>
    <row r="199" spans="1:35" s="1350" customFormat="1">
      <c r="A199" s="1"/>
      <c r="B199" s="6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7"/>
      <c r="O199" s="7"/>
      <c r="P199" s="5"/>
      <c r="Q199" s="6"/>
      <c r="R199" s="1"/>
      <c r="S199" s="6"/>
      <c r="T199" s="744"/>
      <c r="U199" s="744"/>
      <c r="V199" s="743"/>
      <c r="W199" s="743"/>
      <c r="X199" s="743"/>
      <c r="Y199" s="743"/>
      <c r="Z199" s="744"/>
      <c r="AA199" s="743"/>
      <c r="AB199" s="743"/>
      <c r="AC199" s="743"/>
      <c r="AD199" s="1358"/>
      <c r="AE199" s="747"/>
      <c r="AF199" s="748"/>
      <c r="AG199" s="1359"/>
      <c r="AI199" s="1351"/>
    </row>
    <row r="200" spans="1:35" s="1350" customFormat="1">
      <c r="A200" s="1"/>
      <c r="B200" s="6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7"/>
      <c r="O200" s="7"/>
      <c r="P200" s="5"/>
      <c r="Q200" s="6"/>
      <c r="R200" s="1"/>
      <c r="S200" s="6"/>
      <c r="T200" s="744"/>
      <c r="U200" s="744"/>
      <c r="V200" s="743"/>
      <c r="W200" s="743"/>
      <c r="X200" s="743"/>
      <c r="Y200" s="743"/>
      <c r="Z200" s="744"/>
      <c r="AA200" s="743"/>
      <c r="AB200" s="743"/>
      <c r="AC200" s="743"/>
      <c r="AD200" s="1358"/>
      <c r="AE200" s="747"/>
      <c r="AF200" s="748"/>
      <c r="AG200" s="1359"/>
      <c r="AI200" s="1351"/>
    </row>
    <row r="201" spans="1:35" s="1350" customFormat="1">
      <c r="A201" s="1"/>
      <c r="B201" s="6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7"/>
      <c r="O201" s="7"/>
      <c r="P201" s="5"/>
      <c r="Q201" s="6"/>
      <c r="R201" s="1"/>
      <c r="S201" s="6"/>
      <c r="T201" s="744"/>
      <c r="U201" s="744"/>
      <c r="V201" s="743"/>
      <c r="W201" s="743"/>
      <c r="X201" s="743"/>
      <c r="Y201" s="743"/>
      <c r="Z201" s="744"/>
      <c r="AA201" s="743"/>
      <c r="AB201" s="743"/>
      <c r="AC201" s="743"/>
      <c r="AD201" s="1358"/>
      <c r="AE201" s="747"/>
      <c r="AF201" s="748"/>
      <c r="AG201" s="1359"/>
      <c r="AI201" s="1351"/>
    </row>
    <row r="202" spans="1:35" s="1350" customFormat="1">
      <c r="A202" s="1"/>
      <c r="B202" s="6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7"/>
      <c r="O202" s="7"/>
      <c r="P202" s="5"/>
      <c r="Q202" s="6"/>
      <c r="R202" s="1"/>
      <c r="S202" s="6"/>
      <c r="T202" s="744"/>
      <c r="U202" s="744"/>
      <c r="V202" s="743"/>
      <c r="W202" s="743"/>
      <c r="X202" s="743"/>
      <c r="Y202" s="743"/>
      <c r="Z202" s="744"/>
      <c r="AA202" s="743"/>
      <c r="AB202" s="743"/>
      <c r="AC202" s="743"/>
      <c r="AD202" s="1358"/>
      <c r="AE202" s="747"/>
      <c r="AF202" s="748"/>
      <c r="AG202" s="1359"/>
      <c r="AI202" s="1351"/>
    </row>
    <row r="203" spans="1:35" s="1350" customFormat="1">
      <c r="A203" s="1"/>
      <c r="B203" s="6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7"/>
      <c r="O203" s="7"/>
      <c r="P203" s="5"/>
      <c r="Q203" s="6"/>
      <c r="R203" s="1"/>
      <c r="S203" s="6"/>
      <c r="T203" s="744"/>
      <c r="U203" s="744"/>
      <c r="V203" s="743"/>
      <c r="W203" s="743"/>
      <c r="X203" s="743"/>
      <c r="Y203" s="743"/>
      <c r="Z203" s="744"/>
      <c r="AA203" s="743"/>
      <c r="AB203" s="743"/>
      <c r="AC203" s="743"/>
      <c r="AD203" s="1358"/>
      <c r="AE203" s="747"/>
      <c r="AF203" s="748"/>
      <c r="AG203" s="1359"/>
      <c r="AI203" s="1351"/>
    </row>
    <row r="204" spans="1:35" s="1350" customFormat="1">
      <c r="A204" s="1"/>
      <c r="B204" s="6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7"/>
      <c r="O204" s="7"/>
      <c r="P204" s="5"/>
      <c r="Q204" s="6"/>
      <c r="R204" s="1"/>
      <c r="S204" s="6"/>
      <c r="T204" s="744"/>
      <c r="U204" s="744"/>
      <c r="V204" s="743"/>
      <c r="W204" s="743"/>
      <c r="X204" s="743"/>
      <c r="Y204" s="743"/>
      <c r="Z204" s="744"/>
      <c r="AA204" s="743"/>
      <c r="AB204" s="743"/>
      <c r="AC204" s="743"/>
      <c r="AD204" s="1358"/>
      <c r="AE204" s="747"/>
      <c r="AF204" s="748"/>
      <c r="AG204" s="1359"/>
      <c r="AI204" s="1351"/>
    </row>
    <row r="205" spans="1:35" s="1350" customFormat="1">
      <c r="A205" s="1"/>
      <c r="B205" s="6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7"/>
      <c r="O205" s="7"/>
      <c r="P205" s="5"/>
      <c r="Q205" s="6"/>
      <c r="R205" s="1"/>
      <c r="S205" s="6"/>
      <c r="T205" s="744"/>
      <c r="U205" s="744"/>
      <c r="V205" s="743"/>
      <c r="W205" s="743"/>
      <c r="X205" s="743"/>
      <c r="Y205" s="743"/>
      <c r="Z205" s="744"/>
      <c r="AA205" s="743"/>
      <c r="AB205" s="743"/>
      <c r="AC205" s="743"/>
      <c r="AD205" s="1358"/>
      <c r="AE205" s="747"/>
      <c r="AF205" s="748"/>
      <c r="AG205" s="1359"/>
      <c r="AI205" s="1351"/>
    </row>
    <row r="206" spans="1:35" s="1350" customFormat="1">
      <c r="A206" s="1"/>
      <c r="B206" s="6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7"/>
      <c r="O206" s="7"/>
      <c r="P206" s="5"/>
      <c r="Q206" s="6"/>
      <c r="R206" s="1"/>
      <c r="S206" s="6"/>
      <c r="T206" s="744"/>
      <c r="U206" s="744"/>
      <c r="V206" s="743"/>
      <c r="W206" s="743"/>
      <c r="X206" s="743"/>
      <c r="Y206" s="743"/>
      <c r="Z206" s="744"/>
      <c r="AA206" s="743"/>
      <c r="AB206" s="743"/>
      <c r="AC206" s="743"/>
      <c r="AD206" s="1358"/>
      <c r="AE206" s="747"/>
      <c r="AF206" s="748"/>
      <c r="AG206" s="1359"/>
      <c r="AI206" s="1351"/>
    </row>
    <row r="207" spans="1:35" s="1350" customFormat="1">
      <c r="A207" s="1"/>
      <c r="B207" s="6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7"/>
      <c r="O207" s="7"/>
      <c r="P207" s="5"/>
      <c r="Q207" s="6"/>
      <c r="R207" s="1"/>
      <c r="S207" s="6"/>
      <c r="T207" s="744"/>
      <c r="U207" s="744"/>
      <c r="V207" s="743"/>
      <c r="W207" s="743"/>
      <c r="X207" s="743"/>
      <c r="Y207" s="743"/>
      <c r="Z207" s="744"/>
      <c r="AA207" s="743"/>
      <c r="AB207" s="743"/>
      <c r="AC207" s="743"/>
      <c r="AD207" s="1358"/>
      <c r="AE207" s="747"/>
      <c r="AF207" s="748"/>
      <c r="AG207" s="1359"/>
      <c r="AI207" s="1351"/>
    </row>
    <row r="208" spans="1:35" s="1350" customFormat="1">
      <c r="A208" s="1"/>
      <c r="B208" s="6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7"/>
      <c r="O208" s="7"/>
      <c r="P208" s="5"/>
      <c r="Q208" s="6"/>
      <c r="R208" s="1"/>
      <c r="S208" s="6"/>
      <c r="T208" s="744"/>
      <c r="U208" s="744"/>
      <c r="V208" s="743"/>
      <c r="W208" s="743"/>
      <c r="X208" s="743"/>
      <c r="Y208" s="743"/>
      <c r="Z208" s="744"/>
      <c r="AA208" s="743"/>
      <c r="AB208" s="743"/>
      <c r="AC208" s="743"/>
      <c r="AD208" s="1358"/>
      <c r="AE208" s="747"/>
      <c r="AF208" s="748"/>
      <c r="AG208" s="1359"/>
      <c r="AI208" s="1351"/>
    </row>
    <row r="209" spans="1:35" s="1350" customFormat="1">
      <c r="A209" s="1"/>
      <c r="B209" s="6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7"/>
      <c r="O209" s="7"/>
      <c r="P209" s="5"/>
      <c r="Q209" s="6"/>
      <c r="R209" s="1"/>
      <c r="S209" s="6"/>
      <c r="T209" s="744"/>
      <c r="U209" s="744"/>
      <c r="V209" s="743"/>
      <c r="W209" s="743"/>
      <c r="X209" s="743"/>
      <c r="Y209" s="743"/>
      <c r="Z209" s="744"/>
      <c r="AA209" s="743"/>
      <c r="AB209" s="743"/>
      <c r="AC209" s="743"/>
      <c r="AD209" s="1358"/>
      <c r="AE209" s="747"/>
      <c r="AF209" s="748"/>
      <c r="AG209" s="1359"/>
      <c r="AI209" s="1351"/>
    </row>
    <row r="210" spans="1:35" s="1350" customFormat="1">
      <c r="A210" s="1"/>
      <c r="B210" s="6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7"/>
      <c r="O210" s="7"/>
      <c r="P210" s="5"/>
      <c r="Q210" s="6"/>
      <c r="R210" s="1"/>
      <c r="S210" s="6"/>
      <c r="T210" s="744"/>
      <c r="U210" s="744"/>
      <c r="V210" s="743"/>
      <c r="W210" s="743"/>
      <c r="X210" s="743"/>
      <c r="Y210" s="743"/>
      <c r="Z210" s="744"/>
      <c r="AA210" s="743"/>
      <c r="AB210" s="743"/>
      <c r="AC210" s="743"/>
      <c r="AD210" s="1358"/>
      <c r="AE210" s="747"/>
      <c r="AF210" s="748"/>
      <c r="AG210" s="1359"/>
      <c r="AI210" s="1351"/>
    </row>
    <row r="211" spans="1:35" s="1350" customFormat="1">
      <c r="A211" s="1"/>
      <c r="B211" s="6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7"/>
      <c r="O211" s="7"/>
      <c r="P211" s="5"/>
      <c r="Q211" s="6"/>
      <c r="R211" s="1"/>
      <c r="S211" s="6"/>
      <c r="T211" s="744"/>
      <c r="U211" s="744"/>
      <c r="V211" s="743"/>
      <c r="W211" s="743"/>
      <c r="X211" s="743"/>
      <c r="Y211" s="743"/>
      <c r="Z211" s="744"/>
      <c r="AA211" s="743"/>
      <c r="AB211" s="743"/>
      <c r="AC211" s="743"/>
      <c r="AD211" s="1358"/>
      <c r="AE211" s="747"/>
      <c r="AF211" s="748"/>
      <c r="AG211" s="1359"/>
      <c r="AI211" s="1351"/>
    </row>
    <row r="212" spans="1:35" s="1350" customFormat="1">
      <c r="A212" s="1"/>
      <c r="B212" s="6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7"/>
      <c r="O212" s="7"/>
      <c r="P212" s="5"/>
      <c r="Q212" s="6"/>
      <c r="R212" s="1"/>
      <c r="S212" s="6"/>
      <c r="T212" s="744"/>
      <c r="U212" s="744"/>
      <c r="V212" s="743"/>
      <c r="W212" s="743"/>
      <c r="X212" s="743"/>
      <c r="Y212" s="743"/>
      <c r="Z212" s="744"/>
      <c r="AA212" s="743"/>
      <c r="AB212" s="743"/>
      <c r="AC212" s="743"/>
      <c r="AD212" s="1358"/>
      <c r="AE212" s="747"/>
      <c r="AF212" s="748"/>
      <c r="AG212" s="1359"/>
      <c r="AI212" s="1351"/>
    </row>
    <row r="213" spans="1:35" s="1350" customFormat="1">
      <c r="A213" s="1"/>
      <c r="B213" s="6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7"/>
      <c r="O213" s="7"/>
      <c r="P213" s="5"/>
      <c r="Q213" s="6"/>
      <c r="R213" s="1"/>
      <c r="S213" s="6"/>
      <c r="T213" s="744"/>
      <c r="U213" s="744"/>
      <c r="V213" s="743"/>
      <c r="W213" s="743"/>
      <c r="X213" s="743"/>
      <c r="Y213" s="743"/>
      <c r="Z213" s="744"/>
      <c r="AA213" s="743"/>
      <c r="AB213" s="743"/>
      <c r="AC213" s="743"/>
      <c r="AD213" s="1358"/>
      <c r="AE213" s="747"/>
      <c r="AF213" s="748"/>
      <c r="AG213" s="1359"/>
      <c r="AI213" s="1351"/>
    </row>
    <row r="214" spans="1:35" s="1350" customFormat="1">
      <c r="A214" s="1"/>
      <c r="B214" s="6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7"/>
      <c r="O214" s="7"/>
      <c r="P214" s="5"/>
      <c r="Q214" s="6"/>
      <c r="R214" s="1"/>
      <c r="S214" s="6"/>
      <c r="T214" s="744"/>
      <c r="U214" s="744"/>
      <c r="V214" s="743"/>
      <c r="W214" s="743"/>
      <c r="X214" s="743"/>
      <c r="Y214" s="743"/>
      <c r="Z214" s="744"/>
      <c r="AA214" s="743"/>
      <c r="AB214" s="743"/>
      <c r="AC214" s="743"/>
      <c r="AD214" s="1358"/>
      <c r="AE214" s="747"/>
      <c r="AF214" s="748"/>
      <c r="AG214" s="1359"/>
      <c r="AI214" s="1351"/>
    </row>
    <row r="215" spans="1:35" s="1350" customFormat="1">
      <c r="A215" s="1"/>
      <c r="B215" s="6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7"/>
      <c r="O215" s="7"/>
      <c r="P215" s="5"/>
      <c r="Q215" s="6"/>
      <c r="R215" s="1"/>
      <c r="S215" s="6"/>
      <c r="T215" s="744"/>
      <c r="U215" s="744"/>
      <c r="V215" s="743"/>
      <c r="W215" s="743"/>
      <c r="X215" s="743"/>
      <c r="Y215" s="743"/>
      <c r="Z215" s="744"/>
      <c r="AA215" s="743"/>
      <c r="AB215" s="743"/>
      <c r="AC215" s="743"/>
      <c r="AD215" s="1358"/>
      <c r="AE215" s="747"/>
      <c r="AF215" s="748"/>
      <c r="AG215" s="1359"/>
      <c r="AI215" s="1351"/>
    </row>
    <row r="216" spans="1:35" s="1350" customFormat="1">
      <c r="A216" s="1"/>
      <c r="B216" s="6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7"/>
      <c r="O216" s="7"/>
      <c r="P216" s="5"/>
      <c r="Q216" s="6"/>
      <c r="R216" s="1"/>
      <c r="S216" s="6"/>
      <c r="T216" s="744"/>
      <c r="U216" s="744"/>
      <c r="V216" s="743"/>
      <c r="W216" s="743"/>
      <c r="X216" s="743"/>
      <c r="Y216" s="743"/>
      <c r="Z216" s="744"/>
      <c r="AA216" s="743"/>
      <c r="AB216" s="743"/>
      <c r="AC216" s="743"/>
      <c r="AD216" s="1358"/>
      <c r="AE216" s="747"/>
      <c r="AF216" s="748"/>
      <c r="AG216" s="1359"/>
      <c r="AI216" s="1351"/>
    </row>
    <row r="217" spans="1:35" s="1350" customFormat="1">
      <c r="A217" s="1"/>
      <c r="B217" s="6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7"/>
      <c r="O217" s="7"/>
      <c r="P217" s="5"/>
      <c r="Q217" s="6"/>
      <c r="R217" s="1"/>
      <c r="S217" s="6"/>
      <c r="T217" s="744"/>
      <c r="U217" s="744"/>
      <c r="V217" s="743"/>
      <c r="W217" s="743"/>
      <c r="X217" s="743"/>
      <c r="Y217" s="743"/>
      <c r="Z217" s="744"/>
      <c r="AA217" s="743"/>
      <c r="AB217" s="743"/>
      <c r="AC217" s="743"/>
      <c r="AD217" s="1358"/>
      <c r="AE217" s="747"/>
      <c r="AF217" s="748"/>
      <c r="AG217" s="1359"/>
      <c r="AI217" s="1351"/>
    </row>
    <row r="218" spans="1:35" s="1350" customFormat="1">
      <c r="A218" s="1"/>
      <c r="B218" s="6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7"/>
      <c r="O218" s="7"/>
      <c r="P218" s="5"/>
      <c r="Q218" s="6"/>
      <c r="R218" s="1"/>
      <c r="S218" s="6"/>
      <c r="T218" s="744"/>
      <c r="U218" s="744"/>
      <c r="V218" s="743"/>
      <c r="W218" s="743"/>
      <c r="X218" s="743"/>
      <c r="Y218" s="743"/>
      <c r="Z218" s="744"/>
      <c r="AA218" s="743"/>
      <c r="AB218" s="743"/>
      <c r="AC218" s="743"/>
      <c r="AD218" s="1358"/>
      <c r="AE218" s="747"/>
      <c r="AF218" s="748"/>
      <c r="AG218" s="1359"/>
      <c r="AI218" s="1351"/>
    </row>
    <row r="219" spans="1:35" s="1350" customFormat="1">
      <c r="A219" s="1"/>
      <c r="B219" s="6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7"/>
      <c r="O219" s="7"/>
      <c r="P219" s="5"/>
      <c r="Q219" s="6"/>
      <c r="R219" s="1"/>
      <c r="S219" s="6"/>
      <c r="T219" s="744"/>
      <c r="U219" s="744"/>
      <c r="V219" s="743"/>
      <c r="W219" s="743"/>
      <c r="X219" s="743"/>
      <c r="Y219" s="743"/>
      <c r="Z219" s="744"/>
      <c r="AA219" s="743"/>
      <c r="AB219" s="743"/>
      <c r="AC219" s="743"/>
      <c r="AD219" s="1358"/>
      <c r="AE219" s="747"/>
      <c r="AF219" s="748"/>
      <c r="AG219" s="1359"/>
      <c r="AI219" s="1351"/>
    </row>
    <row r="220" spans="1:35" s="1350" customFormat="1">
      <c r="A220" s="1"/>
      <c r="B220" s="6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7"/>
      <c r="O220" s="7"/>
      <c r="P220" s="5"/>
      <c r="Q220" s="6"/>
      <c r="R220" s="1"/>
      <c r="S220" s="6"/>
      <c r="T220" s="744"/>
      <c r="U220" s="744"/>
      <c r="V220" s="743"/>
      <c r="W220" s="743"/>
      <c r="X220" s="743"/>
      <c r="Y220" s="743"/>
      <c r="Z220" s="744"/>
      <c r="AA220" s="743"/>
      <c r="AB220" s="743"/>
      <c r="AC220" s="743"/>
      <c r="AD220" s="1358"/>
      <c r="AE220" s="747"/>
      <c r="AF220" s="748"/>
      <c r="AG220" s="1359"/>
      <c r="AI220" s="1351"/>
    </row>
    <row r="221" spans="1:35" s="1350" customFormat="1">
      <c r="A221" s="1"/>
      <c r="B221" s="6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7"/>
      <c r="O221" s="7"/>
      <c r="P221" s="5"/>
      <c r="Q221" s="6"/>
      <c r="R221" s="1"/>
      <c r="S221" s="6"/>
      <c r="T221" s="744"/>
      <c r="U221" s="744"/>
      <c r="V221" s="743"/>
      <c r="W221" s="743"/>
      <c r="X221" s="743"/>
      <c r="Y221" s="743"/>
      <c r="Z221" s="744"/>
      <c r="AA221" s="743"/>
      <c r="AB221" s="743"/>
      <c r="AC221" s="743"/>
      <c r="AD221" s="1358"/>
      <c r="AE221" s="747"/>
      <c r="AF221" s="748"/>
      <c r="AG221" s="1359"/>
      <c r="AI221" s="1351"/>
    </row>
    <row r="222" spans="1:35" s="1350" customFormat="1">
      <c r="A222" s="1"/>
      <c r="B222" s="6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7"/>
      <c r="O222" s="7"/>
      <c r="P222" s="5"/>
      <c r="Q222" s="6"/>
      <c r="R222" s="1"/>
      <c r="S222" s="6"/>
      <c r="T222" s="744"/>
      <c r="U222" s="744"/>
      <c r="V222" s="743"/>
      <c r="W222" s="743"/>
      <c r="X222" s="743"/>
      <c r="Y222" s="743"/>
      <c r="Z222" s="744"/>
      <c r="AA222" s="743"/>
      <c r="AB222" s="743"/>
      <c r="AC222" s="743"/>
      <c r="AD222" s="1358"/>
      <c r="AE222" s="747"/>
      <c r="AF222" s="748"/>
      <c r="AG222" s="1359"/>
      <c r="AI222" s="1351"/>
    </row>
    <row r="223" spans="1:35" s="1350" customFormat="1">
      <c r="A223" s="1"/>
      <c r="B223" s="6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7"/>
      <c r="O223" s="7"/>
      <c r="P223" s="5"/>
      <c r="Q223" s="6"/>
      <c r="R223" s="1"/>
      <c r="S223" s="6"/>
      <c r="T223" s="744"/>
      <c r="U223" s="744"/>
      <c r="V223" s="743"/>
      <c r="W223" s="743"/>
      <c r="X223" s="743"/>
      <c r="Y223" s="743"/>
      <c r="Z223" s="744"/>
      <c r="AA223" s="743"/>
      <c r="AB223" s="743"/>
      <c r="AC223" s="743"/>
      <c r="AD223" s="1358"/>
      <c r="AE223" s="747"/>
      <c r="AF223" s="748"/>
      <c r="AG223" s="1359"/>
      <c r="AI223" s="1351"/>
    </row>
    <row r="224" spans="1:35" s="1350" customFormat="1">
      <c r="A224" s="1"/>
      <c r="B224" s="6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7"/>
      <c r="O224" s="7"/>
      <c r="P224" s="5"/>
      <c r="Q224" s="6"/>
      <c r="R224" s="1"/>
      <c r="S224" s="6"/>
      <c r="T224" s="744"/>
      <c r="U224" s="744"/>
      <c r="V224" s="743"/>
      <c r="W224" s="743"/>
      <c r="X224" s="743"/>
      <c r="Y224" s="743"/>
      <c r="Z224" s="744"/>
      <c r="AA224" s="743"/>
      <c r="AB224" s="743"/>
      <c r="AC224" s="743"/>
      <c r="AD224" s="1358"/>
      <c r="AE224" s="747"/>
      <c r="AF224" s="748"/>
      <c r="AG224" s="1359"/>
      <c r="AI224" s="1351"/>
    </row>
    <row r="225" spans="1:35" s="1350" customFormat="1">
      <c r="A225" s="1"/>
      <c r="B225" s="6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7"/>
      <c r="O225" s="7"/>
      <c r="P225" s="5"/>
      <c r="Q225" s="6"/>
      <c r="R225" s="1"/>
      <c r="S225" s="6"/>
      <c r="T225" s="744"/>
      <c r="U225" s="744"/>
      <c r="V225" s="743"/>
      <c r="W225" s="743"/>
      <c r="X225" s="743"/>
      <c r="Y225" s="743"/>
      <c r="Z225" s="744"/>
      <c r="AA225" s="743"/>
      <c r="AB225" s="743"/>
      <c r="AC225" s="743"/>
      <c r="AD225" s="1358"/>
      <c r="AE225" s="747"/>
      <c r="AF225" s="748"/>
      <c r="AG225" s="1359"/>
      <c r="AI225" s="1351"/>
    </row>
    <row r="226" spans="1:35" s="1350" customFormat="1">
      <c r="A226" s="1"/>
      <c r="B226" s="6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7"/>
      <c r="O226" s="7"/>
      <c r="P226" s="5"/>
      <c r="Q226" s="6"/>
      <c r="R226" s="1"/>
      <c r="S226" s="6"/>
      <c r="T226" s="744"/>
      <c r="U226" s="744"/>
      <c r="V226" s="743"/>
      <c r="W226" s="743"/>
      <c r="X226" s="743"/>
      <c r="Y226" s="743"/>
      <c r="Z226" s="744"/>
      <c r="AA226" s="743"/>
      <c r="AB226" s="743"/>
      <c r="AC226" s="743"/>
      <c r="AD226" s="1358"/>
      <c r="AE226" s="747"/>
      <c r="AF226" s="748"/>
      <c r="AG226" s="1359"/>
      <c r="AI226" s="1351"/>
    </row>
    <row r="227" spans="1:35" s="1350" customFormat="1">
      <c r="A227" s="1"/>
      <c r="B227" s="6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7"/>
      <c r="O227" s="7"/>
      <c r="P227" s="5"/>
      <c r="Q227" s="6"/>
      <c r="R227" s="1"/>
      <c r="S227" s="6"/>
      <c r="T227" s="744"/>
      <c r="U227" s="744"/>
      <c r="V227" s="743"/>
      <c r="W227" s="743"/>
      <c r="X227" s="743"/>
      <c r="Y227" s="743"/>
      <c r="Z227" s="744"/>
      <c r="AA227" s="743"/>
      <c r="AB227" s="743"/>
      <c r="AC227" s="743"/>
      <c r="AD227" s="1358"/>
      <c r="AE227" s="747"/>
      <c r="AF227" s="748"/>
      <c r="AG227" s="1359"/>
      <c r="AI227" s="1351"/>
    </row>
    <row r="228" spans="1:35" s="1350" customFormat="1">
      <c r="A228" s="1"/>
      <c r="B228" s="6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7"/>
      <c r="O228" s="7"/>
      <c r="P228" s="5"/>
      <c r="Q228" s="6"/>
      <c r="R228" s="1"/>
      <c r="S228" s="6"/>
      <c r="T228" s="744"/>
      <c r="U228" s="744"/>
      <c r="V228" s="743"/>
      <c r="W228" s="743"/>
      <c r="X228" s="743"/>
      <c r="Y228" s="743"/>
      <c r="Z228" s="744"/>
      <c r="AA228" s="743"/>
      <c r="AB228" s="743"/>
      <c r="AC228" s="743"/>
      <c r="AD228" s="1358"/>
      <c r="AE228" s="747"/>
      <c r="AF228" s="748"/>
      <c r="AG228" s="1359"/>
      <c r="AI228" s="1351"/>
    </row>
    <row r="229" spans="1:35" s="1350" customFormat="1">
      <c r="A229" s="1"/>
      <c r="B229" s="6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7"/>
      <c r="O229" s="7"/>
      <c r="P229" s="5"/>
      <c r="Q229" s="6"/>
      <c r="R229" s="1"/>
      <c r="S229" s="6"/>
      <c r="T229" s="744"/>
      <c r="U229" s="744"/>
      <c r="V229" s="743"/>
      <c r="W229" s="743"/>
      <c r="X229" s="743"/>
      <c r="Y229" s="743"/>
      <c r="Z229" s="744"/>
      <c r="AA229" s="743"/>
      <c r="AB229" s="743"/>
      <c r="AC229" s="743"/>
      <c r="AD229" s="1358"/>
      <c r="AE229" s="747"/>
      <c r="AF229" s="748"/>
      <c r="AG229" s="1359"/>
      <c r="AI229" s="1351"/>
    </row>
    <row r="230" spans="1:35" s="1350" customFormat="1">
      <c r="A230" s="1"/>
      <c r="B230" s="6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7"/>
      <c r="O230" s="7"/>
      <c r="P230" s="5"/>
      <c r="Q230" s="6"/>
      <c r="R230" s="1"/>
      <c r="S230" s="6"/>
      <c r="T230" s="744"/>
      <c r="U230" s="744"/>
      <c r="V230" s="743"/>
      <c r="W230" s="743"/>
      <c r="X230" s="743"/>
      <c r="Y230" s="743"/>
      <c r="Z230" s="744"/>
      <c r="AA230" s="743"/>
      <c r="AB230" s="743"/>
      <c r="AC230" s="743"/>
      <c r="AD230" s="1358"/>
      <c r="AE230" s="747"/>
      <c r="AF230" s="748"/>
      <c r="AG230" s="1359"/>
      <c r="AI230" s="1351"/>
    </row>
    <row r="231" spans="1:35" s="1350" customFormat="1">
      <c r="A231" s="1"/>
      <c r="B231" s="6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7"/>
      <c r="O231" s="7"/>
      <c r="P231" s="5"/>
      <c r="Q231" s="6"/>
      <c r="R231" s="1"/>
      <c r="S231" s="6"/>
      <c r="T231" s="744"/>
      <c r="U231" s="744"/>
      <c r="V231" s="743"/>
      <c r="W231" s="743"/>
      <c r="X231" s="743"/>
      <c r="Y231" s="743"/>
      <c r="Z231" s="744"/>
      <c r="AA231" s="743"/>
      <c r="AB231" s="743"/>
      <c r="AC231" s="743"/>
      <c r="AD231" s="1358"/>
      <c r="AE231" s="747"/>
      <c r="AF231" s="748"/>
      <c r="AG231" s="1359"/>
      <c r="AI231" s="1351"/>
    </row>
    <row r="232" spans="1:35" s="1350" customFormat="1">
      <c r="A232" s="1"/>
      <c r="B232" s="6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7"/>
      <c r="O232" s="7"/>
      <c r="P232" s="5"/>
      <c r="Q232" s="6"/>
      <c r="R232" s="1"/>
      <c r="S232" s="6"/>
      <c r="T232" s="744"/>
      <c r="U232" s="744"/>
      <c r="V232" s="743"/>
      <c r="W232" s="743"/>
      <c r="X232" s="743"/>
      <c r="Y232" s="743"/>
      <c r="Z232" s="744"/>
      <c r="AA232" s="743"/>
      <c r="AB232" s="743"/>
      <c r="AC232" s="743"/>
      <c r="AD232" s="1358"/>
      <c r="AE232" s="747"/>
      <c r="AF232" s="748"/>
      <c r="AG232" s="1359"/>
      <c r="AI232" s="1351"/>
    </row>
    <row r="233" spans="1:35" s="1350" customFormat="1">
      <c r="A233" s="1"/>
      <c r="B233" s="6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7"/>
      <c r="O233" s="7"/>
      <c r="P233" s="5"/>
      <c r="Q233" s="6"/>
      <c r="R233" s="1"/>
      <c r="S233" s="6"/>
      <c r="T233" s="744"/>
      <c r="U233" s="744"/>
      <c r="V233" s="743"/>
      <c r="W233" s="743"/>
      <c r="X233" s="743"/>
      <c r="Y233" s="743"/>
      <c r="Z233" s="744"/>
      <c r="AA233" s="743"/>
      <c r="AB233" s="743"/>
      <c r="AC233" s="743"/>
      <c r="AD233" s="1358"/>
      <c r="AE233" s="747"/>
      <c r="AF233" s="748"/>
      <c r="AG233" s="1359"/>
      <c r="AI233" s="1351"/>
    </row>
    <row r="234" spans="1:35" s="1350" customFormat="1">
      <c r="A234" s="1"/>
      <c r="B234" s="6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7"/>
      <c r="O234" s="7"/>
      <c r="P234" s="5"/>
      <c r="Q234" s="6"/>
      <c r="R234" s="1"/>
      <c r="S234" s="6"/>
      <c r="T234" s="744"/>
      <c r="U234" s="744"/>
      <c r="V234" s="743"/>
      <c r="W234" s="743"/>
      <c r="X234" s="743"/>
      <c r="Y234" s="743"/>
      <c r="Z234" s="744"/>
      <c r="AA234" s="743"/>
      <c r="AB234" s="743"/>
      <c r="AC234" s="743"/>
      <c r="AD234" s="1358"/>
      <c r="AE234" s="747"/>
      <c r="AF234" s="748"/>
      <c r="AG234" s="1359"/>
      <c r="AI234" s="1351"/>
    </row>
    <row r="235" spans="1:35" s="1350" customFormat="1">
      <c r="A235" s="1"/>
      <c r="B235" s="6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7"/>
      <c r="O235" s="7"/>
      <c r="P235" s="5"/>
      <c r="Q235" s="6"/>
      <c r="R235" s="1"/>
      <c r="S235" s="6"/>
      <c r="T235" s="744"/>
      <c r="U235" s="744"/>
      <c r="V235" s="743"/>
      <c r="W235" s="743"/>
      <c r="X235" s="743"/>
      <c r="Y235" s="743"/>
      <c r="Z235" s="744"/>
      <c r="AA235" s="743"/>
      <c r="AB235" s="743"/>
      <c r="AC235" s="743"/>
      <c r="AD235" s="1358"/>
      <c r="AE235" s="747"/>
      <c r="AF235" s="748"/>
      <c r="AG235" s="1359"/>
      <c r="AI235" s="1351"/>
    </row>
    <row r="236" spans="1:35" s="1350" customFormat="1">
      <c r="A236" s="1"/>
      <c r="B236" s="6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7"/>
      <c r="O236" s="7"/>
      <c r="P236" s="5"/>
      <c r="Q236" s="6"/>
      <c r="R236" s="1"/>
      <c r="S236" s="6"/>
      <c r="T236" s="744"/>
      <c r="U236" s="744"/>
      <c r="V236" s="743"/>
      <c r="W236" s="743"/>
      <c r="X236" s="743"/>
      <c r="Y236" s="743"/>
      <c r="Z236" s="744"/>
      <c r="AA236" s="743"/>
      <c r="AB236" s="743"/>
      <c r="AC236" s="743"/>
      <c r="AD236" s="1358"/>
      <c r="AE236" s="747"/>
      <c r="AF236" s="748"/>
      <c r="AG236" s="1359"/>
      <c r="AI236" s="1351"/>
    </row>
    <row r="237" spans="1:35" s="1350" customFormat="1">
      <c r="A237" s="1"/>
      <c r="B237" s="6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7"/>
      <c r="O237" s="7"/>
      <c r="P237" s="5"/>
      <c r="Q237" s="6"/>
      <c r="R237" s="1"/>
      <c r="S237" s="6"/>
      <c r="T237" s="744"/>
      <c r="U237" s="744"/>
      <c r="V237" s="743"/>
      <c r="W237" s="743"/>
      <c r="X237" s="743"/>
      <c r="Y237" s="743"/>
      <c r="Z237" s="744"/>
      <c r="AA237" s="743"/>
      <c r="AB237" s="743"/>
      <c r="AC237" s="743"/>
      <c r="AD237" s="1358"/>
      <c r="AE237" s="747"/>
      <c r="AF237" s="748"/>
      <c r="AG237" s="1359"/>
      <c r="AI237" s="1351"/>
    </row>
    <row r="238" spans="1:35" s="1350" customFormat="1">
      <c r="A238" s="1"/>
      <c r="B238" s="6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7"/>
      <c r="O238" s="7"/>
      <c r="P238" s="5"/>
      <c r="Q238" s="6"/>
      <c r="R238" s="1"/>
      <c r="S238" s="6"/>
      <c r="T238" s="744"/>
      <c r="U238" s="744"/>
      <c r="V238" s="743"/>
      <c r="W238" s="743"/>
      <c r="X238" s="743"/>
      <c r="Y238" s="743"/>
      <c r="Z238" s="744"/>
      <c r="AA238" s="743"/>
      <c r="AB238" s="743"/>
      <c r="AC238" s="743"/>
      <c r="AD238" s="1358"/>
      <c r="AE238" s="747"/>
      <c r="AF238" s="748"/>
      <c r="AG238" s="1359"/>
      <c r="AI238" s="1351"/>
    </row>
    <row r="239" spans="1:35" s="1350" customFormat="1">
      <c r="A239" s="1"/>
      <c r="B239" s="6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7"/>
      <c r="O239" s="7"/>
      <c r="P239" s="5"/>
      <c r="Q239" s="6"/>
      <c r="R239" s="1"/>
      <c r="S239" s="6"/>
      <c r="T239" s="744"/>
      <c r="U239" s="744"/>
      <c r="V239" s="743"/>
      <c r="W239" s="743"/>
      <c r="X239" s="743"/>
      <c r="Y239" s="743"/>
      <c r="Z239" s="744"/>
      <c r="AA239" s="743"/>
      <c r="AB239" s="743"/>
      <c r="AC239" s="743"/>
      <c r="AD239" s="1358"/>
      <c r="AE239" s="747"/>
      <c r="AF239" s="748"/>
      <c r="AG239" s="1359"/>
      <c r="AI239" s="1351"/>
    </row>
    <row r="240" spans="1:35" s="1350" customFormat="1">
      <c r="A240" s="1"/>
      <c r="B240" s="6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7"/>
      <c r="O240" s="7"/>
      <c r="P240" s="5"/>
      <c r="Q240" s="6"/>
      <c r="R240" s="1"/>
      <c r="S240" s="6"/>
      <c r="T240" s="744"/>
      <c r="U240" s="744"/>
      <c r="V240" s="743"/>
      <c r="W240" s="743"/>
      <c r="X240" s="743"/>
      <c r="Y240" s="743"/>
      <c r="Z240" s="744"/>
      <c r="AA240" s="743"/>
      <c r="AB240" s="743"/>
      <c r="AC240" s="743"/>
      <c r="AD240" s="1358"/>
      <c r="AE240" s="747"/>
      <c r="AF240" s="748"/>
      <c r="AG240" s="1359"/>
      <c r="AI240" s="1351"/>
    </row>
    <row r="241" spans="1:35" s="1350" customFormat="1">
      <c r="A241" s="1"/>
      <c r="B241" s="6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7"/>
      <c r="O241" s="7"/>
      <c r="P241" s="5"/>
      <c r="Q241" s="6"/>
      <c r="R241" s="1"/>
      <c r="S241" s="6"/>
      <c r="T241" s="744"/>
      <c r="U241" s="744"/>
      <c r="V241" s="743"/>
      <c r="W241" s="743"/>
      <c r="X241" s="743"/>
      <c r="Y241" s="743"/>
      <c r="Z241" s="744"/>
      <c r="AA241" s="743"/>
      <c r="AB241" s="743"/>
      <c r="AC241" s="743"/>
      <c r="AD241" s="1358"/>
      <c r="AE241" s="747"/>
      <c r="AF241" s="748"/>
      <c r="AG241" s="1359"/>
      <c r="AI241" s="1351"/>
    </row>
    <row r="242" spans="1:35" s="1350" customFormat="1">
      <c r="A242" s="1"/>
      <c r="B242" s="6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7"/>
      <c r="O242" s="7"/>
      <c r="P242" s="5"/>
      <c r="Q242" s="6"/>
      <c r="R242" s="1"/>
      <c r="S242" s="6"/>
      <c r="T242" s="744"/>
      <c r="U242" s="744"/>
      <c r="V242" s="743"/>
      <c r="W242" s="743"/>
      <c r="X242" s="743"/>
      <c r="Y242" s="743"/>
      <c r="Z242" s="744"/>
      <c r="AA242" s="743"/>
      <c r="AB242" s="743"/>
      <c r="AC242" s="743"/>
      <c r="AD242" s="1358"/>
      <c r="AE242" s="747"/>
      <c r="AF242" s="748"/>
      <c r="AG242" s="1359"/>
      <c r="AI242" s="1351"/>
    </row>
    <row r="243" spans="1:35" s="1350" customFormat="1">
      <c r="A243" s="1"/>
      <c r="B243" s="6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7"/>
      <c r="O243" s="7"/>
      <c r="P243" s="5"/>
      <c r="Q243" s="6"/>
      <c r="R243" s="1"/>
      <c r="S243" s="6"/>
      <c r="T243" s="744"/>
      <c r="U243" s="744"/>
      <c r="V243" s="743"/>
      <c r="W243" s="743"/>
      <c r="X243" s="743"/>
      <c r="Y243" s="743"/>
      <c r="Z243" s="744"/>
      <c r="AA243" s="743"/>
      <c r="AB243" s="743"/>
      <c r="AC243" s="743"/>
      <c r="AD243" s="1358"/>
      <c r="AE243" s="747"/>
      <c r="AF243" s="748"/>
      <c r="AG243" s="1359"/>
      <c r="AI243" s="1351"/>
    </row>
    <row r="244" spans="1:35" s="1350" customFormat="1">
      <c r="A244" s="1"/>
      <c r="B244" s="6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7"/>
      <c r="O244" s="7"/>
      <c r="P244" s="5"/>
      <c r="Q244" s="6"/>
      <c r="R244" s="1"/>
      <c r="S244" s="6"/>
      <c r="T244" s="744"/>
      <c r="U244" s="744"/>
      <c r="V244" s="743"/>
      <c r="W244" s="743"/>
      <c r="X244" s="743"/>
      <c r="Y244" s="743"/>
      <c r="Z244" s="744"/>
      <c r="AA244" s="743"/>
      <c r="AB244" s="743"/>
      <c r="AC244" s="743"/>
      <c r="AD244" s="1358"/>
      <c r="AE244" s="747"/>
      <c r="AF244" s="748"/>
      <c r="AG244" s="1359"/>
      <c r="AI244" s="1351"/>
    </row>
    <row r="245" spans="1:35" s="1350" customFormat="1">
      <c r="A245" s="1"/>
      <c r="B245" s="6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7"/>
      <c r="O245" s="7"/>
      <c r="P245" s="5"/>
      <c r="Q245" s="6"/>
      <c r="R245" s="1"/>
      <c r="S245" s="6"/>
      <c r="T245" s="744"/>
      <c r="U245" s="744"/>
      <c r="V245" s="743"/>
      <c r="W245" s="743"/>
      <c r="X245" s="743"/>
      <c r="Y245" s="743"/>
      <c r="Z245" s="744"/>
      <c r="AA245" s="743"/>
      <c r="AB245" s="743"/>
      <c r="AC245" s="743"/>
      <c r="AD245" s="1358"/>
      <c r="AE245" s="747"/>
      <c r="AF245" s="748"/>
      <c r="AG245" s="1359"/>
      <c r="AI245" s="1351"/>
    </row>
    <row r="246" spans="1:35" s="1350" customFormat="1">
      <c r="A246" s="1"/>
      <c r="B246" s="6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7"/>
      <c r="O246" s="7"/>
      <c r="P246" s="5"/>
      <c r="Q246" s="6"/>
      <c r="R246" s="1"/>
      <c r="S246" s="6"/>
      <c r="T246" s="744"/>
      <c r="U246" s="744"/>
      <c r="V246" s="743"/>
      <c r="W246" s="743"/>
      <c r="X246" s="743"/>
      <c r="Y246" s="743"/>
      <c r="Z246" s="744"/>
      <c r="AA246" s="743"/>
      <c r="AB246" s="743"/>
      <c r="AC246" s="743"/>
      <c r="AD246" s="1358"/>
      <c r="AE246" s="747"/>
      <c r="AF246" s="748"/>
      <c r="AG246" s="1359"/>
      <c r="AI246" s="1351"/>
    </row>
    <row r="247" spans="1:35" s="1350" customFormat="1">
      <c r="A247" s="1"/>
      <c r="B247" s="6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7"/>
      <c r="O247" s="7"/>
      <c r="P247" s="5"/>
      <c r="Q247" s="6"/>
      <c r="R247" s="1"/>
      <c r="S247" s="6"/>
      <c r="T247" s="744"/>
      <c r="U247" s="744"/>
      <c r="V247" s="743"/>
      <c r="W247" s="743"/>
      <c r="X247" s="743"/>
      <c r="Y247" s="743"/>
      <c r="Z247" s="744"/>
      <c r="AA247" s="743"/>
      <c r="AB247" s="743"/>
      <c r="AC247" s="743"/>
      <c r="AD247" s="1358"/>
      <c r="AE247" s="747"/>
      <c r="AF247" s="748"/>
      <c r="AG247" s="1359"/>
      <c r="AI247" s="1351"/>
    </row>
    <row r="248" spans="1:35" s="1350" customFormat="1">
      <c r="A248" s="1"/>
      <c r="B248" s="6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7"/>
      <c r="O248" s="7"/>
      <c r="P248" s="5"/>
      <c r="Q248" s="6"/>
      <c r="R248" s="1"/>
      <c r="S248" s="6"/>
      <c r="T248" s="744"/>
      <c r="U248" s="744"/>
      <c r="V248" s="743"/>
      <c r="W248" s="743"/>
      <c r="X248" s="743"/>
      <c r="Y248" s="743"/>
      <c r="Z248" s="744"/>
      <c r="AA248" s="743"/>
      <c r="AB248" s="743"/>
      <c r="AC248" s="743"/>
      <c r="AD248" s="1358"/>
      <c r="AE248" s="747"/>
      <c r="AF248" s="748"/>
      <c r="AG248" s="1359"/>
      <c r="AI248" s="1351"/>
    </row>
    <row r="249" spans="1:35" s="1350" customFormat="1">
      <c r="A249" s="1"/>
      <c r="B249" s="6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7"/>
      <c r="O249" s="7"/>
      <c r="P249" s="5"/>
      <c r="Q249" s="6"/>
      <c r="R249" s="1"/>
      <c r="S249" s="6"/>
      <c r="T249" s="744"/>
      <c r="U249" s="744"/>
      <c r="V249" s="743"/>
      <c r="W249" s="743"/>
      <c r="X249" s="743"/>
      <c r="Y249" s="743"/>
      <c r="Z249" s="744"/>
      <c r="AA249" s="743"/>
      <c r="AB249" s="743"/>
      <c r="AC249" s="743"/>
      <c r="AD249" s="1358"/>
      <c r="AE249" s="747"/>
      <c r="AF249" s="748"/>
      <c r="AG249" s="1359"/>
      <c r="AI249" s="1351"/>
    </row>
    <row r="250" spans="1:35" s="1350" customFormat="1">
      <c r="A250" s="1"/>
      <c r="B250" s="6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7"/>
      <c r="O250" s="7"/>
      <c r="P250" s="5"/>
      <c r="Q250" s="6"/>
      <c r="R250" s="1"/>
      <c r="S250" s="6"/>
      <c r="T250" s="744"/>
      <c r="U250" s="744"/>
      <c r="V250" s="743"/>
      <c r="W250" s="743"/>
      <c r="X250" s="743"/>
      <c r="Y250" s="743"/>
      <c r="Z250" s="744"/>
      <c r="AA250" s="743"/>
      <c r="AB250" s="743"/>
      <c r="AC250" s="743"/>
      <c r="AD250" s="1358"/>
      <c r="AE250" s="747"/>
      <c r="AF250" s="748"/>
      <c r="AG250" s="1359"/>
      <c r="AI250" s="1351"/>
    </row>
    <row r="251" spans="1:35" s="1350" customFormat="1">
      <c r="A251" s="1"/>
      <c r="B251" s="6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7"/>
      <c r="O251" s="7"/>
      <c r="P251" s="5"/>
      <c r="Q251" s="6"/>
      <c r="R251" s="1"/>
      <c r="S251" s="6"/>
      <c r="T251" s="744"/>
      <c r="U251" s="744"/>
      <c r="V251" s="743"/>
      <c r="W251" s="743"/>
      <c r="X251" s="743"/>
      <c r="Y251" s="743"/>
      <c r="Z251" s="744"/>
      <c r="AA251" s="743"/>
      <c r="AB251" s="743"/>
      <c r="AC251" s="743"/>
      <c r="AD251" s="1358"/>
      <c r="AE251" s="747"/>
      <c r="AF251" s="748"/>
      <c r="AG251" s="1359"/>
      <c r="AI251" s="1351"/>
    </row>
    <row r="252" spans="1:35" s="1350" customFormat="1">
      <c r="A252" s="1"/>
      <c r="B252" s="6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7"/>
      <c r="O252" s="7"/>
      <c r="P252" s="5"/>
      <c r="Q252" s="6"/>
      <c r="R252" s="1"/>
      <c r="S252" s="6"/>
      <c r="T252" s="744"/>
      <c r="U252" s="744"/>
      <c r="V252" s="743"/>
      <c r="W252" s="743"/>
      <c r="X252" s="743"/>
      <c r="Y252" s="743"/>
      <c r="Z252" s="744"/>
      <c r="AA252" s="743"/>
      <c r="AB252" s="743"/>
      <c r="AC252" s="743"/>
      <c r="AD252" s="1358"/>
      <c r="AE252" s="747"/>
      <c r="AF252" s="748"/>
      <c r="AG252" s="1359"/>
      <c r="AI252" s="1351"/>
    </row>
    <row r="253" spans="1:35" s="1350" customFormat="1">
      <c r="A253" s="1"/>
      <c r="B253" s="6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7"/>
      <c r="O253" s="7"/>
      <c r="P253" s="5"/>
      <c r="Q253" s="6"/>
      <c r="R253" s="1"/>
      <c r="S253" s="6"/>
      <c r="T253" s="744"/>
      <c r="U253" s="744"/>
      <c r="V253" s="743"/>
      <c r="W253" s="743"/>
      <c r="X253" s="743"/>
      <c r="Y253" s="743"/>
      <c r="Z253" s="744"/>
      <c r="AA253" s="743"/>
      <c r="AB253" s="743"/>
      <c r="AC253" s="743"/>
      <c r="AD253" s="1358"/>
      <c r="AE253" s="747"/>
      <c r="AF253" s="748"/>
      <c r="AG253" s="1359"/>
      <c r="AI253" s="1351"/>
    </row>
    <row r="254" spans="1:35" s="1350" customFormat="1">
      <c r="A254" s="1"/>
      <c r="B254" s="6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7"/>
      <c r="O254" s="7"/>
      <c r="P254" s="5"/>
      <c r="Q254" s="6"/>
      <c r="R254" s="1"/>
      <c r="S254" s="6"/>
      <c r="T254" s="744"/>
      <c r="U254" s="744"/>
      <c r="V254" s="743"/>
      <c r="W254" s="743"/>
      <c r="X254" s="743"/>
      <c r="Y254" s="743"/>
      <c r="Z254" s="744"/>
      <c r="AA254" s="743"/>
      <c r="AB254" s="743"/>
      <c r="AC254" s="743"/>
      <c r="AD254" s="1358"/>
      <c r="AE254" s="747"/>
      <c r="AF254" s="748"/>
      <c r="AG254" s="1359"/>
      <c r="AI254" s="1351"/>
    </row>
    <row r="255" spans="1:35" s="1350" customFormat="1">
      <c r="A255" s="1"/>
      <c r="B255" s="6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7"/>
      <c r="O255" s="7"/>
      <c r="P255" s="5"/>
      <c r="Q255" s="6"/>
      <c r="R255" s="1"/>
      <c r="S255" s="6"/>
      <c r="T255" s="744"/>
      <c r="U255" s="744"/>
      <c r="V255" s="743"/>
      <c r="W255" s="743"/>
      <c r="X255" s="743"/>
      <c r="Y255" s="743"/>
      <c r="Z255" s="744"/>
      <c r="AA255" s="743"/>
      <c r="AB255" s="743"/>
      <c r="AC255" s="743"/>
      <c r="AD255" s="1358"/>
      <c r="AE255" s="747"/>
      <c r="AF255" s="748"/>
      <c r="AG255" s="1359"/>
      <c r="AI255" s="1351"/>
    </row>
    <row r="256" spans="1:35" s="1350" customFormat="1">
      <c r="A256" s="1"/>
      <c r="B256" s="6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7"/>
      <c r="O256" s="7"/>
      <c r="P256" s="5"/>
      <c r="Q256" s="6"/>
      <c r="R256" s="1"/>
      <c r="S256" s="6"/>
      <c r="T256" s="744"/>
      <c r="U256" s="744"/>
      <c r="V256" s="743"/>
      <c r="W256" s="743"/>
      <c r="X256" s="743"/>
      <c r="Y256" s="743"/>
      <c r="Z256" s="744"/>
      <c r="AA256" s="743"/>
      <c r="AB256" s="743"/>
      <c r="AC256" s="743"/>
      <c r="AD256" s="1358"/>
      <c r="AE256" s="747"/>
      <c r="AF256" s="748"/>
      <c r="AG256" s="1359"/>
      <c r="AI256" s="1351"/>
    </row>
    <row r="257" spans="1:35" s="1350" customFormat="1">
      <c r="A257" s="1"/>
      <c r="B257" s="6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7"/>
      <c r="O257" s="7"/>
      <c r="P257" s="5"/>
      <c r="Q257" s="6"/>
      <c r="R257" s="1"/>
      <c r="S257" s="6"/>
      <c r="T257" s="744"/>
      <c r="U257" s="744"/>
      <c r="V257" s="743"/>
      <c r="W257" s="743"/>
      <c r="X257" s="743"/>
      <c r="Y257" s="743"/>
      <c r="Z257" s="744"/>
      <c r="AA257" s="743"/>
      <c r="AB257" s="743"/>
      <c r="AC257" s="743"/>
      <c r="AD257" s="1358"/>
      <c r="AE257" s="747"/>
      <c r="AF257" s="748"/>
      <c r="AG257" s="1359"/>
      <c r="AI257" s="1351"/>
    </row>
    <row r="258" spans="1:35" s="1350" customFormat="1">
      <c r="A258" s="1"/>
      <c r="B258" s="6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7"/>
      <c r="O258" s="7"/>
      <c r="P258" s="5"/>
      <c r="Q258" s="6"/>
      <c r="R258" s="1"/>
      <c r="S258" s="6"/>
      <c r="T258" s="744"/>
      <c r="U258" s="744"/>
      <c r="V258" s="743"/>
      <c r="W258" s="743"/>
      <c r="X258" s="743"/>
      <c r="Y258" s="743"/>
      <c r="Z258" s="744"/>
      <c r="AA258" s="743"/>
      <c r="AB258" s="743"/>
      <c r="AC258" s="743"/>
      <c r="AD258" s="1358"/>
      <c r="AE258" s="747"/>
      <c r="AF258" s="748"/>
      <c r="AG258" s="1359"/>
      <c r="AI258" s="1351"/>
    </row>
    <row r="259" spans="1:35" s="1350" customFormat="1">
      <c r="A259" s="1"/>
      <c r="B259" s="6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7"/>
      <c r="O259" s="7"/>
      <c r="P259" s="5"/>
      <c r="Q259" s="6"/>
      <c r="R259" s="1"/>
      <c r="S259" s="6"/>
      <c r="T259" s="744"/>
      <c r="U259" s="744"/>
      <c r="V259" s="743"/>
      <c r="W259" s="743"/>
      <c r="X259" s="743"/>
      <c r="Y259" s="743"/>
      <c r="Z259" s="744"/>
      <c r="AA259" s="743"/>
      <c r="AB259" s="743"/>
      <c r="AC259" s="743"/>
      <c r="AD259" s="1358"/>
      <c r="AE259" s="747"/>
      <c r="AF259" s="748"/>
      <c r="AG259" s="1359"/>
      <c r="AI259" s="1351"/>
    </row>
    <row r="260" spans="1:35" s="1350" customFormat="1">
      <c r="A260" s="1"/>
      <c r="B260" s="6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7"/>
      <c r="O260" s="7"/>
      <c r="P260" s="5"/>
      <c r="Q260" s="6"/>
      <c r="R260" s="1"/>
      <c r="S260" s="6"/>
      <c r="T260" s="744"/>
      <c r="U260" s="744"/>
      <c r="V260" s="743"/>
      <c r="W260" s="743"/>
      <c r="X260" s="743"/>
      <c r="Y260" s="743"/>
      <c r="Z260" s="744"/>
      <c r="AA260" s="743"/>
      <c r="AB260" s="743"/>
      <c r="AC260" s="743"/>
      <c r="AD260" s="1358"/>
      <c r="AE260" s="747"/>
      <c r="AF260" s="748"/>
      <c r="AG260" s="1359"/>
      <c r="AI260" s="1351"/>
    </row>
    <row r="261" spans="1:35" s="1350" customFormat="1">
      <c r="A261" s="1"/>
      <c r="B261" s="6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7"/>
      <c r="O261" s="7"/>
      <c r="P261" s="5"/>
      <c r="Q261" s="6"/>
      <c r="R261" s="1"/>
      <c r="S261" s="6"/>
      <c r="T261" s="744"/>
      <c r="U261" s="744"/>
      <c r="V261" s="743"/>
      <c r="W261" s="743"/>
      <c r="X261" s="743"/>
      <c r="Y261" s="743"/>
      <c r="Z261" s="744"/>
      <c r="AA261" s="743"/>
      <c r="AB261" s="743"/>
      <c r="AC261" s="743"/>
      <c r="AD261" s="1358"/>
      <c r="AE261" s="747"/>
      <c r="AF261" s="748"/>
      <c r="AG261" s="1359"/>
      <c r="AI261" s="1351"/>
    </row>
    <row r="262" spans="1:35" s="1350" customFormat="1">
      <c r="A262" s="1"/>
      <c r="B262" s="6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7"/>
      <c r="O262" s="7"/>
      <c r="P262" s="5"/>
      <c r="Q262" s="6"/>
      <c r="R262" s="1"/>
      <c r="S262" s="6"/>
      <c r="T262" s="744"/>
      <c r="U262" s="744"/>
      <c r="V262" s="743"/>
      <c r="W262" s="743"/>
      <c r="X262" s="743"/>
      <c r="Y262" s="743"/>
      <c r="Z262" s="744"/>
      <c r="AA262" s="743"/>
      <c r="AB262" s="743"/>
      <c r="AC262" s="743"/>
      <c r="AD262" s="1358"/>
      <c r="AE262" s="747"/>
      <c r="AF262" s="748"/>
      <c r="AG262" s="1359"/>
      <c r="AI262" s="1351"/>
    </row>
    <row r="263" spans="1:35" s="1350" customFormat="1">
      <c r="A263" s="1"/>
      <c r="B263" s="6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7"/>
      <c r="O263" s="7"/>
      <c r="P263" s="5"/>
      <c r="Q263" s="6"/>
      <c r="R263" s="1"/>
      <c r="S263" s="6"/>
      <c r="T263" s="744"/>
      <c r="U263" s="744"/>
      <c r="V263" s="743"/>
      <c r="W263" s="743"/>
      <c r="X263" s="743"/>
      <c r="Y263" s="743"/>
      <c r="Z263" s="744"/>
      <c r="AA263" s="743"/>
      <c r="AB263" s="743"/>
      <c r="AC263" s="743"/>
      <c r="AD263" s="1358"/>
      <c r="AE263" s="747"/>
      <c r="AF263" s="748"/>
      <c r="AG263" s="1359"/>
      <c r="AI263" s="1351"/>
    </row>
    <row r="264" spans="1:35" s="1350" customFormat="1">
      <c r="A264" s="1"/>
      <c r="B264" s="6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7"/>
      <c r="O264" s="7"/>
      <c r="P264" s="5"/>
      <c r="Q264" s="6"/>
      <c r="R264" s="1"/>
      <c r="S264" s="6"/>
      <c r="T264" s="744"/>
      <c r="U264" s="744"/>
      <c r="V264" s="743"/>
      <c r="W264" s="743"/>
      <c r="X264" s="743"/>
      <c r="Y264" s="743"/>
      <c r="Z264" s="744"/>
      <c r="AA264" s="743"/>
      <c r="AB264" s="743"/>
      <c r="AC264" s="743"/>
      <c r="AD264" s="1358"/>
      <c r="AE264" s="747"/>
      <c r="AF264" s="748"/>
      <c r="AG264" s="1359"/>
      <c r="AI264" s="1351"/>
    </row>
    <row r="265" spans="1:35" s="1350" customFormat="1">
      <c r="A265" s="1"/>
      <c r="B265" s="6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7"/>
      <c r="O265" s="7"/>
      <c r="P265" s="5"/>
      <c r="Q265" s="6"/>
      <c r="R265" s="1"/>
      <c r="S265" s="6"/>
      <c r="T265" s="744"/>
      <c r="U265" s="744"/>
      <c r="V265" s="743"/>
      <c r="W265" s="743"/>
      <c r="X265" s="743"/>
      <c r="Y265" s="743"/>
      <c r="Z265" s="744"/>
      <c r="AA265" s="743"/>
      <c r="AB265" s="743"/>
      <c r="AC265" s="743"/>
      <c r="AD265" s="1358"/>
      <c r="AE265" s="747"/>
      <c r="AF265" s="748"/>
      <c r="AG265" s="1359"/>
      <c r="AI265" s="1351"/>
    </row>
    <row r="266" spans="1:35" s="1350" customFormat="1">
      <c r="A266" s="1"/>
      <c r="B266" s="6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7"/>
      <c r="O266" s="7"/>
      <c r="P266" s="5"/>
      <c r="Q266" s="6"/>
      <c r="R266" s="1"/>
      <c r="S266" s="6"/>
      <c r="T266" s="744"/>
      <c r="U266" s="744"/>
      <c r="V266" s="743"/>
      <c r="W266" s="743"/>
      <c r="X266" s="743"/>
      <c r="Y266" s="743"/>
      <c r="Z266" s="744"/>
      <c r="AA266" s="743"/>
      <c r="AB266" s="743"/>
      <c r="AC266" s="743"/>
      <c r="AD266" s="1358"/>
      <c r="AE266" s="747"/>
      <c r="AF266" s="748"/>
      <c r="AG266" s="1359"/>
      <c r="AI266" s="1351"/>
    </row>
    <row r="267" spans="1:35" s="1350" customFormat="1">
      <c r="A267" s="1"/>
      <c r="B267" s="6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7"/>
      <c r="O267" s="7"/>
      <c r="P267" s="5"/>
      <c r="Q267" s="6"/>
      <c r="R267" s="1"/>
      <c r="S267" s="6"/>
      <c r="T267" s="744"/>
      <c r="U267" s="744"/>
      <c r="V267" s="743"/>
      <c r="W267" s="743"/>
      <c r="X267" s="743"/>
      <c r="Y267" s="743"/>
      <c r="Z267" s="744"/>
      <c r="AA267" s="743"/>
      <c r="AB267" s="743"/>
      <c r="AC267" s="743"/>
      <c r="AD267" s="1358"/>
      <c r="AE267" s="747"/>
      <c r="AF267" s="748"/>
      <c r="AG267" s="1359"/>
      <c r="AI267" s="1351"/>
    </row>
    <row r="268" spans="1:35" s="1350" customFormat="1">
      <c r="A268" s="1"/>
      <c r="B268" s="6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7"/>
      <c r="O268" s="7"/>
      <c r="P268" s="5"/>
      <c r="Q268" s="6"/>
      <c r="R268" s="1"/>
      <c r="S268" s="6"/>
      <c r="T268" s="744"/>
      <c r="U268" s="744"/>
      <c r="V268" s="743"/>
      <c r="W268" s="743"/>
      <c r="X268" s="743"/>
      <c r="Y268" s="743"/>
      <c r="Z268" s="744"/>
      <c r="AA268" s="743"/>
      <c r="AB268" s="743"/>
      <c r="AC268" s="743"/>
      <c r="AD268" s="1358"/>
      <c r="AE268" s="747"/>
      <c r="AF268" s="748"/>
      <c r="AG268" s="1359"/>
      <c r="AI268" s="1351"/>
    </row>
    <row r="269" spans="1:35" s="1350" customFormat="1">
      <c r="A269" s="1"/>
      <c r="B269" s="6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7"/>
      <c r="O269" s="7"/>
      <c r="P269" s="5"/>
      <c r="Q269" s="6"/>
      <c r="R269" s="1"/>
      <c r="S269" s="6"/>
      <c r="T269" s="744"/>
      <c r="U269" s="744"/>
      <c r="V269" s="743"/>
      <c r="W269" s="743"/>
      <c r="X269" s="743"/>
      <c r="Y269" s="743"/>
      <c r="Z269" s="744"/>
      <c r="AA269" s="743"/>
      <c r="AB269" s="743"/>
      <c r="AC269" s="743"/>
      <c r="AD269" s="1358"/>
      <c r="AE269" s="747"/>
      <c r="AF269" s="748"/>
      <c r="AG269" s="1359"/>
      <c r="AI269" s="1351"/>
    </row>
    <row r="270" spans="1:35" s="1350" customFormat="1">
      <c r="A270" s="1"/>
      <c r="B270" s="6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7"/>
      <c r="O270" s="7"/>
      <c r="P270" s="5"/>
      <c r="Q270" s="6"/>
      <c r="R270" s="1"/>
      <c r="S270" s="6"/>
      <c r="T270" s="744"/>
      <c r="U270" s="744"/>
      <c r="V270" s="743"/>
      <c r="W270" s="743"/>
      <c r="X270" s="743"/>
      <c r="Y270" s="743"/>
      <c r="Z270" s="744"/>
      <c r="AA270" s="743"/>
      <c r="AB270" s="743"/>
      <c r="AC270" s="743"/>
      <c r="AD270" s="1358"/>
      <c r="AE270" s="747"/>
      <c r="AF270" s="748"/>
      <c r="AG270" s="1359"/>
      <c r="AI270" s="1351"/>
    </row>
    <row r="271" spans="1:35" s="1350" customFormat="1">
      <c r="A271" s="1"/>
      <c r="B271" s="6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7"/>
      <c r="O271" s="7"/>
      <c r="P271" s="5"/>
      <c r="Q271" s="6"/>
      <c r="R271" s="1"/>
      <c r="S271" s="6"/>
      <c r="T271" s="744"/>
      <c r="U271" s="744"/>
      <c r="V271" s="743"/>
      <c r="W271" s="743"/>
      <c r="X271" s="743"/>
      <c r="Y271" s="743"/>
      <c r="Z271" s="744"/>
      <c r="AA271" s="743"/>
      <c r="AB271" s="743"/>
      <c r="AC271" s="743"/>
      <c r="AD271" s="1358"/>
      <c r="AE271" s="747"/>
      <c r="AF271" s="748"/>
      <c r="AG271" s="1359"/>
      <c r="AI271" s="1351"/>
    </row>
    <row r="272" spans="1:35" s="1350" customFormat="1">
      <c r="A272" s="1"/>
      <c r="B272" s="6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7"/>
      <c r="O272" s="7"/>
      <c r="P272" s="5"/>
      <c r="Q272" s="6"/>
      <c r="R272" s="1"/>
      <c r="S272" s="6"/>
      <c r="T272" s="744"/>
      <c r="U272" s="744"/>
      <c r="V272" s="743"/>
      <c r="W272" s="743"/>
      <c r="X272" s="743"/>
      <c r="Y272" s="743"/>
      <c r="Z272" s="744"/>
      <c r="AA272" s="743"/>
      <c r="AB272" s="743"/>
      <c r="AC272" s="743"/>
      <c r="AD272" s="1358"/>
      <c r="AE272" s="747"/>
      <c r="AF272" s="748"/>
      <c r="AG272" s="1359"/>
      <c r="AI272" s="1351"/>
    </row>
    <row r="273" spans="1:35" s="1350" customFormat="1">
      <c r="A273" s="1"/>
      <c r="B273" s="6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7"/>
      <c r="O273" s="7"/>
      <c r="P273" s="5"/>
      <c r="Q273" s="6"/>
      <c r="R273" s="1"/>
      <c r="S273" s="6"/>
      <c r="T273" s="744"/>
      <c r="U273" s="744"/>
      <c r="V273" s="743"/>
      <c r="W273" s="743"/>
      <c r="X273" s="743"/>
      <c r="Y273" s="743"/>
      <c r="Z273" s="744"/>
      <c r="AA273" s="743"/>
      <c r="AB273" s="743"/>
      <c r="AC273" s="743"/>
      <c r="AD273" s="1358"/>
      <c r="AE273" s="747"/>
      <c r="AF273" s="748"/>
      <c r="AG273" s="1359"/>
      <c r="AI273" s="1351"/>
    </row>
    <row r="274" spans="1:35" s="1350" customFormat="1">
      <c r="A274" s="1"/>
      <c r="B274" s="6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7"/>
      <c r="O274" s="7"/>
      <c r="P274" s="5"/>
      <c r="Q274" s="6"/>
      <c r="R274" s="1"/>
      <c r="S274" s="6"/>
      <c r="T274" s="744"/>
      <c r="U274" s="744"/>
      <c r="V274" s="743"/>
      <c r="W274" s="743"/>
      <c r="X274" s="743"/>
      <c r="Y274" s="743"/>
      <c r="Z274" s="744"/>
      <c r="AA274" s="743"/>
      <c r="AB274" s="743"/>
      <c r="AC274" s="743"/>
      <c r="AD274" s="1358"/>
      <c r="AE274" s="747"/>
      <c r="AF274" s="748"/>
      <c r="AG274" s="1359"/>
      <c r="AI274" s="1351"/>
    </row>
    <row r="275" spans="1:35" s="1350" customFormat="1">
      <c r="A275" s="1"/>
      <c r="B275" s="6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7"/>
      <c r="O275" s="7"/>
      <c r="P275" s="5"/>
      <c r="Q275" s="6"/>
      <c r="R275" s="1"/>
      <c r="S275" s="6"/>
      <c r="T275" s="744"/>
      <c r="U275" s="744"/>
      <c r="V275" s="743"/>
      <c r="W275" s="743"/>
      <c r="X275" s="743"/>
      <c r="Y275" s="743"/>
      <c r="Z275" s="744"/>
      <c r="AA275" s="743"/>
      <c r="AB275" s="743"/>
      <c r="AC275" s="743"/>
      <c r="AD275" s="1358"/>
      <c r="AE275" s="747"/>
      <c r="AF275" s="748"/>
      <c r="AG275" s="1359"/>
      <c r="AI275" s="1351"/>
    </row>
    <row r="276" spans="1:35" s="1350" customFormat="1">
      <c r="A276" s="1"/>
      <c r="B276" s="6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7"/>
      <c r="O276" s="7"/>
      <c r="P276" s="5"/>
      <c r="Q276" s="6"/>
      <c r="R276" s="1"/>
      <c r="S276" s="6"/>
      <c r="T276" s="744"/>
      <c r="U276" s="744"/>
      <c r="V276" s="743"/>
      <c r="W276" s="743"/>
      <c r="X276" s="743"/>
      <c r="Y276" s="743"/>
      <c r="Z276" s="744"/>
      <c r="AA276" s="743"/>
      <c r="AB276" s="743"/>
      <c r="AC276" s="743"/>
      <c r="AD276" s="1358"/>
      <c r="AE276" s="747"/>
      <c r="AF276" s="748"/>
      <c r="AG276" s="1359"/>
      <c r="AI276" s="1351"/>
    </row>
    <row r="277" spans="1:35" s="1350" customFormat="1">
      <c r="A277" s="1"/>
      <c r="B277" s="6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7"/>
      <c r="O277" s="7"/>
      <c r="P277" s="5"/>
      <c r="Q277" s="6"/>
      <c r="R277" s="1"/>
      <c r="S277" s="6"/>
      <c r="T277" s="744"/>
      <c r="U277" s="744"/>
      <c r="V277" s="743"/>
      <c r="W277" s="743"/>
      <c r="X277" s="743"/>
      <c r="Y277" s="743"/>
      <c r="Z277" s="744"/>
      <c r="AA277" s="743"/>
      <c r="AB277" s="743"/>
      <c r="AC277" s="743"/>
      <c r="AD277" s="1358"/>
      <c r="AE277" s="747"/>
      <c r="AF277" s="748"/>
      <c r="AG277" s="1359"/>
      <c r="AI277" s="1351"/>
    </row>
    <row r="278" spans="1:35" s="1350" customFormat="1">
      <c r="A278" s="1"/>
      <c r="B278" s="6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7"/>
      <c r="O278" s="7"/>
      <c r="P278" s="5"/>
      <c r="Q278" s="6"/>
      <c r="R278" s="1"/>
      <c r="S278" s="6"/>
      <c r="T278" s="744"/>
      <c r="U278" s="744"/>
      <c r="V278" s="743"/>
      <c r="W278" s="743"/>
      <c r="X278" s="743"/>
      <c r="Y278" s="743"/>
      <c r="Z278" s="744"/>
      <c r="AA278" s="743"/>
      <c r="AB278" s="743"/>
      <c r="AC278" s="743"/>
      <c r="AD278" s="1358"/>
      <c r="AE278" s="747"/>
      <c r="AF278" s="748"/>
      <c r="AG278" s="1359"/>
      <c r="AI278" s="1351"/>
    </row>
    <row r="279" spans="1:35" s="1350" customFormat="1">
      <c r="A279" s="1"/>
      <c r="B279" s="6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7"/>
      <c r="O279" s="7"/>
      <c r="P279" s="5"/>
      <c r="Q279" s="6"/>
      <c r="R279" s="1"/>
      <c r="S279" s="6"/>
      <c r="T279" s="744"/>
      <c r="U279" s="744"/>
      <c r="V279" s="743"/>
      <c r="W279" s="743"/>
      <c r="X279" s="743"/>
      <c r="Y279" s="743"/>
      <c r="Z279" s="744"/>
      <c r="AA279" s="743"/>
      <c r="AB279" s="743"/>
      <c r="AC279" s="743"/>
      <c r="AD279" s="1358"/>
      <c r="AE279" s="747"/>
      <c r="AF279" s="748"/>
      <c r="AG279" s="1359"/>
      <c r="AI279" s="1351"/>
    </row>
    <row r="280" spans="1:35" s="1350" customFormat="1">
      <c r="A280" s="1"/>
      <c r="B280" s="6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7"/>
      <c r="O280" s="7"/>
      <c r="P280" s="5"/>
      <c r="Q280" s="6"/>
      <c r="R280" s="1"/>
      <c r="S280" s="6"/>
      <c r="T280" s="744"/>
      <c r="U280" s="744"/>
      <c r="V280" s="743"/>
      <c r="W280" s="743"/>
      <c r="X280" s="743"/>
      <c r="Y280" s="743"/>
      <c r="Z280" s="744"/>
      <c r="AA280" s="743"/>
      <c r="AB280" s="743"/>
      <c r="AC280" s="743"/>
      <c r="AD280" s="1358"/>
      <c r="AE280" s="747"/>
      <c r="AF280" s="748"/>
      <c r="AG280" s="1359"/>
      <c r="AI280" s="1351"/>
    </row>
    <row r="281" spans="1:35" s="1350" customFormat="1">
      <c r="A281" s="1"/>
      <c r="B281" s="6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7"/>
      <c r="O281" s="7"/>
      <c r="P281" s="5"/>
      <c r="Q281" s="6"/>
      <c r="R281" s="1"/>
      <c r="S281" s="6"/>
      <c r="T281" s="744"/>
      <c r="U281" s="744"/>
      <c r="V281" s="743"/>
      <c r="W281" s="743"/>
      <c r="X281" s="743"/>
      <c r="Y281" s="743"/>
      <c r="Z281" s="744"/>
      <c r="AA281" s="743"/>
      <c r="AB281" s="743"/>
      <c r="AC281" s="743"/>
      <c r="AD281" s="1358"/>
      <c r="AE281" s="747"/>
      <c r="AF281" s="748"/>
      <c r="AG281" s="1359"/>
      <c r="AI281" s="1351"/>
    </row>
    <row r="282" spans="1:35" s="1350" customFormat="1">
      <c r="A282" s="1"/>
      <c r="B282" s="6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7"/>
      <c r="O282" s="7"/>
      <c r="P282" s="5"/>
      <c r="Q282" s="6"/>
      <c r="R282" s="1"/>
      <c r="S282" s="6"/>
      <c r="T282" s="744"/>
      <c r="U282" s="744"/>
      <c r="V282" s="743"/>
      <c r="W282" s="743"/>
      <c r="X282" s="743"/>
      <c r="Y282" s="743"/>
      <c r="Z282" s="744"/>
      <c r="AA282" s="743"/>
      <c r="AB282" s="743"/>
      <c r="AC282" s="743"/>
      <c r="AD282" s="1358"/>
      <c r="AE282" s="747"/>
      <c r="AF282" s="748"/>
      <c r="AG282" s="1359"/>
      <c r="AI282" s="1351"/>
    </row>
    <row r="283" spans="1:35" s="1350" customFormat="1">
      <c r="A283" s="1"/>
      <c r="B283" s="6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7"/>
      <c r="O283" s="7"/>
      <c r="P283" s="5"/>
      <c r="Q283" s="6"/>
      <c r="R283" s="1"/>
      <c r="S283" s="6"/>
      <c r="T283" s="744"/>
      <c r="U283" s="744"/>
      <c r="V283" s="743"/>
      <c r="W283" s="743"/>
      <c r="X283" s="743"/>
      <c r="Y283" s="743"/>
      <c r="Z283" s="744"/>
      <c r="AA283" s="743"/>
      <c r="AB283" s="743"/>
      <c r="AC283" s="743"/>
      <c r="AD283" s="1358"/>
      <c r="AE283" s="747"/>
      <c r="AF283" s="748"/>
      <c r="AG283" s="1359"/>
      <c r="AI283" s="1351"/>
    </row>
    <row r="284" spans="1:35" s="1350" customFormat="1">
      <c r="A284" s="1"/>
      <c r="B284" s="6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7"/>
      <c r="O284" s="7"/>
      <c r="P284" s="5"/>
      <c r="Q284" s="6"/>
      <c r="R284" s="1"/>
      <c r="S284" s="6"/>
      <c r="T284" s="744"/>
      <c r="U284" s="744"/>
      <c r="V284" s="743"/>
      <c r="W284" s="743"/>
      <c r="X284" s="743"/>
      <c r="Y284" s="743"/>
      <c r="Z284" s="744"/>
      <c r="AA284" s="743"/>
      <c r="AB284" s="743"/>
      <c r="AC284" s="743"/>
      <c r="AD284" s="1358"/>
      <c r="AE284" s="747"/>
      <c r="AF284" s="748"/>
      <c r="AG284" s="1359"/>
      <c r="AI284" s="1351"/>
    </row>
    <row r="285" spans="1:35" s="1350" customFormat="1">
      <c r="A285" s="1"/>
      <c r="B285" s="6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7"/>
      <c r="O285" s="7"/>
      <c r="P285" s="5"/>
      <c r="Q285" s="6"/>
      <c r="R285" s="1"/>
      <c r="S285" s="6"/>
      <c r="T285" s="744"/>
      <c r="U285" s="744"/>
      <c r="V285" s="743"/>
      <c r="W285" s="743"/>
      <c r="X285" s="743"/>
      <c r="Y285" s="743"/>
      <c r="Z285" s="744"/>
      <c r="AA285" s="743"/>
      <c r="AB285" s="743"/>
      <c r="AC285" s="743"/>
      <c r="AD285" s="1358"/>
      <c r="AE285" s="747"/>
      <c r="AF285" s="748"/>
      <c r="AG285" s="1359"/>
      <c r="AI285" s="1351"/>
    </row>
    <row r="286" spans="1:35" s="1350" customFormat="1">
      <c r="A286" s="1"/>
      <c r="B286" s="6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7"/>
      <c r="O286" s="7"/>
      <c r="P286" s="5"/>
      <c r="Q286" s="6"/>
      <c r="R286" s="1"/>
      <c r="S286" s="6"/>
      <c r="T286" s="744"/>
      <c r="U286" s="744"/>
      <c r="V286" s="743"/>
      <c r="W286" s="743"/>
      <c r="X286" s="743"/>
      <c r="Y286" s="743"/>
      <c r="Z286" s="744"/>
      <c r="AA286" s="743"/>
      <c r="AB286" s="743"/>
      <c r="AC286" s="743"/>
      <c r="AD286" s="1358"/>
      <c r="AE286" s="747"/>
      <c r="AF286" s="748"/>
      <c r="AG286" s="1359"/>
      <c r="AI286" s="1351"/>
    </row>
    <row r="287" spans="1:35" s="1350" customFormat="1">
      <c r="A287" s="1"/>
      <c r="B287" s="6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7"/>
      <c r="O287" s="7"/>
      <c r="P287" s="5"/>
      <c r="Q287" s="6"/>
      <c r="R287" s="1"/>
      <c r="S287" s="6"/>
      <c r="T287" s="744"/>
      <c r="U287" s="744"/>
      <c r="V287" s="743"/>
      <c r="W287" s="743"/>
      <c r="X287" s="743"/>
      <c r="Y287" s="743"/>
      <c r="Z287" s="744"/>
      <c r="AA287" s="743"/>
      <c r="AB287" s="743"/>
      <c r="AC287" s="743"/>
      <c r="AD287" s="1358"/>
      <c r="AE287" s="747"/>
      <c r="AF287" s="748"/>
      <c r="AG287" s="1359"/>
      <c r="AI287" s="1351"/>
    </row>
    <row r="288" spans="1:35" s="1350" customFormat="1">
      <c r="A288" s="1"/>
      <c r="B288" s="6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7"/>
      <c r="O288" s="7"/>
      <c r="P288" s="5"/>
      <c r="Q288" s="6"/>
      <c r="R288" s="1"/>
      <c r="S288" s="6"/>
      <c r="T288" s="744"/>
      <c r="U288" s="744"/>
      <c r="V288" s="743"/>
      <c r="W288" s="743"/>
      <c r="X288" s="743"/>
      <c r="Y288" s="743"/>
      <c r="Z288" s="744"/>
      <c r="AA288" s="743"/>
      <c r="AB288" s="743"/>
      <c r="AC288" s="743"/>
      <c r="AD288" s="1358"/>
      <c r="AE288" s="747"/>
      <c r="AF288" s="748"/>
      <c r="AG288" s="1359"/>
      <c r="AI288" s="1351"/>
    </row>
    <row r="289" spans="1:35" s="1350" customFormat="1">
      <c r="A289" s="1"/>
      <c r="B289" s="6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7"/>
      <c r="O289" s="7"/>
      <c r="P289" s="5"/>
      <c r="Q289" s="6"/>
      <c r="R289" s="1"/>
      <c r="S289" s="6"/>
      <c r="T289" s="744"/>
      <c r="U289" s="744"/>
      <c r="V289" s="743"/>
      <c r="W289" s="743"/>
      <c r="X289" s="743"/>
      <c r="Y289" s="743"/>
      <c r="Z289" s="744"/>
      <c r="AA289" s="743"/>
      <c r="AB289" s="743"/>
      <c r="AC289" s="743"/>
      <c r="AD289" s="1358"/>
      <c r="AE289" s="747"/>
      <c r="AF289" s="748"/>
      <c r="AG289" s="1359"/>
      <c r="AI289" s="1351"/>
    </row>
    <row r="290" spans="1:35" s="1350" customFormat="1">
      <c r="A290" s="1"/>
      <c r="B290" s="6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7"/>
      <c r="O290" s="7"/>
      <c r="P290" s="5"/>
      <c r="Q290" s="6"/>
      <c r="R290" s="1"/>
      <c r="S290" s="6"/>
      <c r="T290" s="744"/>
      <c r="U290" s="744"/>
      <c r="V290" s="743"/>
      <c r="W290" s="743"/>
      <c r="X290" s="743"/>
      <c r="Y290" s="743"/>
      <c r="Z290" s="744"/>
      <c r="AA290" s="743"/>
      <c r="AB290" s="743"/>
      <c r="AC290" s="743"/>
      <c r="AD290" s="1358"/>
      <c r="AE290" s="747"/>
      <c r="AF290" s="748"/>
      <c r="AG290" s="1359"/>
      <c r="AI290" s="1351"/>
    </row>
    <row r="291" spans="1:35" s="1350" customFormat="1">
      <c r="A291" s="1"/>
      <c r="B291" s="6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7"/>
      <c r="O291" s="7"/>
      <c r="P291" s="5"/>
      <c r="Q291" s="6"/>
      <c r="R291" s="1"/>
      <c r="S291" s="6"/>
      <c r="T291" s="744"/>
      <c r="U291" s="744"/>
      <c r="V291" s="743"/>
      <c r="W291" s="743"/>
      <c r="X291" s="743"/>
      <c r="Y291" s="743"/>
      <c r="Z291" s="744"/>
      <c r="AA291" s="743"/>
      <c r="AB291" s="743"/>
      <c r="AC291" s="743"/>
      <c r="AD291" s="1358"/>
      <c r="AE291" s="747"/>
      <c r="AF291" s="748"/>
      <c r="AG291" s="1359"/>
      <c r="AI291" s="1351"/>
    </row>
    <row r="292" spans="1:35" s="1350" customFormat="1">
      <c r="A292" s="1"/>
      <c r="B292" s="6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7"/>
      <c r="O292" s="7"/>
      <c r="P292" s="5"/>
      <c r="Q292" s="6"/>
      <c r="R292" s="1"/>
      <c r="S292" s="6"/>
      <c r="T292" s="744"/>
      <c r="U292" s="744"/>
      <c r="V292" s="743"/>
      <c r="W292" s="743"/>
      <c r="X292" s="743"/>
      <c r="Y292" s="743"/>
      <c r="Z292" s="744"/>
      <c r="AA292" s="743"/>
      <c r="AB292" s="743"/>
      <c r="AC292" s="743"/>
      <c r="AD292" s="1358"/>
      <c r="AE292" s="747"/>
      <c r="AF292" s="748"/>
      <c r="AG292" s="1359"/>
      <c r="AI292" s="1351"/>
    </row>
    <row r="293" spans="1:35" s="1350" customFormat="1">
      <c r="A293" s="1"/>
      <c r="B293" s="6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7"/>
      <c r="O293" s="7"/>
      <c r="P293" s="5"/>
      <c r="Q293" s="6"/>
      <c r="R293" s="1"/>
      <c r="S293" s="6"/>
      <c r="T293" s="744"/>
      <c r="U293" s="744"/>
      <c r="V293" s="743"/>
      <c r="W293" s="743"/>
      <c r="X293" s="743"/>
      <c r="Y293" s="743"/>
      <c r="Z293" s="744"/>
      <c r="AA293" s="743"/>
      <c r="AB293" s="743"/>
      <c r="AC293" s="743"/>
      <c r="AD293" s="1358"/>
      <c r="AE293" s="747"/>
      <c r="AF293" s="748"/>
      <c r="AG293" s="1359"/>
      <c r="AI293" s="1351"/>
    </row>
    <row r="294" spans="1:35" s="1350" customFormat="1">
      <c r="A294" s="1"/>
      <c r="B294" s="6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7"/>
      <c r="O294" s="7"/>
      <c r="P294" s="5"/>
      <c r="Q294" s="6"/>
      <c r="R294" s="1"/>
      <c r="S294" s="6"/>
      <c r="T294" s="744"/>
      <c r="U294" s="744"/>
      <c r="V294" s="743"/>
      <c r="W294" s="743"/>
      <c r="X294" s="743"/>
      <c r="Y294" s="743"/>
      <c r="Z294" s="744"/>
      <c r="AA294" s="743"/>
      <c r="AB294" s="743"/>
      <c r="AC294" s="743"/>
      <c r="AD294" s="1358"/>
      <c r="AE294" s="747"/>
      <c r="AF294" s="748"/>
      <c r="AG294" s="1359"/>
      <c r="AI294" s="1351"/>
    </row>
    <row r="295" spans="1:35" s="1350" customFormat="1">
      <c r="A295" s="1"/>
      <c r="B295" s="6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7"/>
      <c r="O295" s="7"/>
      <c r="P295" s="5"/>
      <c r="Q295" s="6"/>
      <c r="R295" s="1"/>
      <c r="S295" s="6"/>
      <c r="T295" s="744"/>
      <c r="U295" s="744"/>
      <c r="V295" s="743"/>
      <c r="W295" s="743"/>
      <c r="X295" s="743"/>
      <c r="Y295" s="743"/>
      <c r="Z295" s="744"/>
      <c r="AA295" s="743"/>
      <c r="AB295" s="743"/>
      <c r="AC295" s="743"/>
      <c r="AD295" s="1358"/>
      <c r="AE295" s="747"/>
      <c r="AF295" s="748"/>
      <c r="AG295" s="1359"/>
      <c r="AI295" s="1351"/>
    </row>
    <row r="296" spans="1:35" s="1350" customFormat="1">
      <c r="A296" s="1"/>
      <c r="B296" s="6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7"/>
      <c r="O296" s="7"/>
      <c r="P296" s="5"/>
      <c r="Q296" s="6"/>
      <c r="R296" s="1"/>
      <c r="S296" s="6"/>
      <c r="T296" s="744"/>
      <c r="U296" s="744"/>
      <c r="V296" s="743"/>
      <c r="W296" s="743"/>
      <c r="X296" s="743"/>
      <c r="Y296" s="743"/>
      <c r="Z296" s="744"/>
      <c r="AA296" s="743"/>
      <c r="AB296" s="743"/>
      <c r="AC296" s="743"/>
      <c r="AD296" s="1358"/>
      <c r="AE296" s="747"/>
      <c r="AF296" s="748"/>
      <c r="AG296" s="1359"/>
      <c r="AI296" s="1351"/>
    </row>
    <row r="297" spans="1:35" s="1350" customFormat="1">
      <c r="A297" s="1"/>
      <c r="B297" s="6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7"/>
      <c r="O297" s="7"/>
      <c r="P297" s="5"/>
      <c r="Q297" s="6"/>
      <c r="R297" s="1"/>
      <c r="S297" s="6"/>
      <c r="T297" s="744"/>
      <c r="U297" s="744"/>
      <c r="V297" s="743"/>
      <c r="W297" s="743"/>
      <c r="X297" s="743"/>
      <c r="Y297" s="743"/>
      <c r="Z297" s="744"/>
      <c r="AA297" s="743"/>
      <c r="AB297" s="743"/>
      <c r="AC297" s="743"/>
      <c r="AD297" s="1358"/>
      <c r="AE297" s="747"/>
      <c r="AF297" s="748"/>
      <c r="AG297" s="1359"/>
      <c r="AI297" s="1351"/>
    </row>
    <row r="298" spans="1:35" s="1350" customFormat="1">
      <c r="A298" s="1"/>
      <c r="B298" s="6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7"/>
      <c r="O298" s="7"/>
      <c r="P298" s="5"/>
      <c r="Q298" s="6"/>
      <c r="R298" s="1"/>
      <c r="S298" s="6"/>
      <c r="T298" s="744"/>
      <c r="U298" s="744"/>
      <c r="V298" s="743"/>
      <c r="W298" s="743"/>
      <c r="X298" s="743"/>
      <c r="Y298" s="743"/>
      <c r="Z298" s="744"/>
      <c r="AA298" s="743"/>
      <c r="AB298" s="743"/>
      <c r="AC298" s="743"/>
      <c r="AD298" s="1358"/>
      <c r="AE298" s="747"/>
      <c r="AF298" s="748"/>
      <c r="AG298" s="1359"/>
      <c r="AI298" s="1351"/>
    </row>
    <row r="299" spans="1:35" s="1350" customFormat="1">
      <c r="A299" s="1"/>
      <c r="B299" s="6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7"/>
      <c r="O299" s="7"/>
      <c r="P299" s="5"/>
      <c r="Q299" s="6"/>
      <c r="R299" s="1"/>
      <c r="S299" s="6"/>
      <c r="T299" s="744"/>
      <c r="U299" s="744"/>
      <c r="V299" s="743"/>
      <c r="W299" s="743"/>
      <c r="X299" s="743"/>
      <c r="Y299" s="743"/>
      <c r="Z299" s="744"/>
      <c r="AA299" s="743"/>
      <c r="AB299" s="743"/>
      <c r="AC299" s="743"/>
      <c r="AD299" s="1358"/>
      <c r="AE299" s="747"/>
      <c r="AF299" s="748"/>
      <c r="AG299" s="1359"/>
      <c r="AI299" s="1351"/>
    </row>
    <row r="300" spans="1:35" s="1350" customFormat="1">
      <c r="A300" s="1"/>
      <c r="B300" s="6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7"/>
      <c r="O300" s="7"/>
      <c r="P300" s="5"/>
      <c r="Q300" s="6"/>
      <c r="R300" s="1"/>
      <c r="S300" s="6"/>
      <c r="T300" s="744"/>
      <c r="U300" s="744"/>
      <c r="V300" s="743"/>
      <c r="W300" s="743"/>
      <c r="X300" s="743"/>
      <c r="Y300" s="743"/>
      <c r="Z300" s="744"/>
      <c r="AA300" s="743"/>
      <c r="AB300" s="743"/>
      <c r="AC300" s="743"/>
      <c r="AD300" s="1358"/>
      <c r="AE300" s="747"/>
      <c r="AF300" s="748"/>
      <c r="AG300" s="1359"/>
      <c r="AI300" s="1351"/>
    </row>
    <row r="301" spans="1:35" s="1350" customFormat="1">
      <c r="A301" s="1"/>
      <c r="B301" s="6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7"/>
      <c r="O301" s="7"/>
      <c r="P301" s="5"/>
      <c r="Q301" s="6"/>
      <c r="R301" s="1"/>
      <c r="S301" s="6"/>
      <c r="T301" s="744"/>
      <c r="U301" s="744"/>
      <c r="V301" s="743"/>
      <c r="W301" s="743"/>
      <c r="X301" s="743"/>
      <c r="Y301" s="743"/>
      <c r="Z301" s="744"/>
      <c r="AA301" s="743"/>
      <c r="AB301" s="743"/>
      <c r="AC301" s="743"/>
      <c r="AD301" s="1358"/>
      <c r="AE301" s="747"/>
      <c r="AF301" s="748"/>
      <c r="AG301" s="1359"/>
      <c r="AI301" s="1351"/>
    </row>
    <row r="302" spans="1:35" s="1350" customFormat="1">
      <c r="A302" s="1"/>
      <c r="B302" s="6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7"/>
      <c r="O302" s="7"/>
      <c r="P302" s="5"/>
      <c r="Q302" s="6"/>
      <c r="R302" s="1"/>
      <c r="S302" s="6"/>
      <c r="T302" s="744"/>
      <c r="U302" s="744"/>
      <c r="V302" s="743"/>
      <c r="W302" s="743"/>
      <c r="X302" s="743"/>
      <c r="Y302" s="743"/>
      <c r="Z302" s="744"/>
      <c r="AA302" s="743"/>
      <c r="AB302" s="743"/>
      <c r="AC302" s="743"/>
      <c r="AD302" s="1358"/>
      <c r="AE302" s="747"/>
      <c r="AF302" s="748"/>
      <c r="AG302" s="1359"/>
      <c r="AI302" s="1351"/>
    </row>
    <row r="303" spans="1:35" s="1350" customFormat="1">
      <c r="A303" s="1"/>
      <c r="B303" s="6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7"/>
      <c r="O303" s="7"/>
      <c r="P303" s="5"/>
      <c r="Q303" s="6"/>
      <c r="R303" s="1"/>
      <c r="S303" s="6"/>
      <c r="T303" s="744"/>
      <c r="U303" s="744"/>
      <c r="V303" s="743"/>
      <c r="W303" s="743"/>
      <c r="X303" s="743"/>
      <c r="Y303" s="743"/>
      <c r="Z303" s="744"/>
      <c r="AA303" s="743"/>
      <c r="AB303" s="743"/>
      <c r="AC303" s="743"/>
      <c r="AD303" s="1358"/>
      <c r="AE303" s="747"/>
      <c r="AF303" s="748"/>
      <c r="AG303" s="1359"/>
      <c r="AI303" s="1351"/>
    </row>
    <row r="304" spans="1:35" s="1350" customFormat="1">
      <c r="A304" s="1"/>
      <c r="B304" s="6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7"/>
      <c r="O304" s="7"/>
      <c r="P304" s="5"/>
      <c r="Q304" s="6"/>
      <c r="R304" s="1"/>
      <c r="S304" s="6"/>
      <c r="T304" s="744"/>
      <c r="U304" s="744"/>
      <c r="V304" s="743"/>
      <c r="W304" s="743"/>
      <c r="X304" s="743"/>
      <c r="Y304" s="743"/>
      <c r="Z304" s="744"/>
      <c r="AA304" s="743"/>
      <c r="AB304" s="743"/>
      <c r="AC304" s="743"/>
      <c r="AD304" s="1358"/>
      <c r="AE304" s="747"/>
      <c r="AF304" s="748"/>
      <c r="AG304" s="1359"/>
      <c r="AI304" s="1351"/>
    </row>
    <row r="305" spans="1:35" s="1350" customFormat="1">
      <c r="A305" s="1"/>
      <c r="B305" s="6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7"/>
      <c r="O305" s="7"/>
      <c r="P305" s="5"/>
      <c r="Q305" s="6"/>
      <c r="R305" s="1"/>
      <c r="S305" s="6"/>
      <c r="T305" s="744"/>
      <c r="U305" s="744"/>
      <c r="V305" s="743"/>
      <c r="W305" s="743"/>
      <c r="X305" s="743"/>
      <c r="Y305" s="743"/>
      <c r="Z305" s="744"/>
      <c r="AA305" s="743"/>
      <c r="AB305" s="743"/>
      <c r="AC305" s="743"/>
      <c r="AD305" s="1358"/>
      <c r="AE305" s="747"/>
      <c r="AF305" s="748"/>
      <c r="AG305" s="1359"/>
      <c r="AI305" s="1351"/>
    </row>
    <row r="306" spans="1:35" s="1350" customFormat="1">
      <c r="A306" s="1"/>
      <c r="B306" s="6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7"/>
      <c r="O306" s="7"/>
      <c r="P306" s="5"/>
      <c r="Q306" s="6"/>
      <c r="R306" s="1"/>
      <c r="S306" s="6"/>
      <c r="T306" s="744"/>
      <c r="U306" s="744"/>
      <c r="V306" s="743"/>
      <c r="W306" s="743"/>
      <c r="X306" s="743"/>
      <c r="Y306" s="743"/>
      <c r="Z306" s="744"/>
      <c r="AA306" s="743"/>
      <c r="AB306" s="743"/>
      <c r="AC306" s="743"/>
      <c r="AD306" s="1358"/>
      <c r="AE306" s="747"/>
      <c r="AF306" s="748"/>
      <c r="AG306" s="1359"/>
      <c r="AI306" s="1351"/>
    </row>
    <row r="307" spans="1:35" s="1350" customFormat="1">
      <c r="A307" s="1"/>
      <c r="B307" s="6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7"/>
      <c r="O307" s="7"/>
      <c r="P307" s="5"/>
      <c r="Q307" s="6"/>
      <c r="R307" s="1"/>
      <c r="S307" s="6"/>
      <c r="T307" s="744"/>
      <c r="U307" s="744"/>
      <c r="V307" s="743"/>
      <c r="W307" s="743"/>
      <c r="X307" s="743"/>
      <c r="Y307" s="743"/>
      <c r="Z307" s="744"/>
      <c r="AA307" s="743"/>
      <c r="AB307" s="743"/>
      <c r="AC307" s="743"/>
      <c r="AD307" s="1358"/>
      <c r="AE307" s="747"/>
      <c r="AF307" s="748"/>
      <c r="AG307" s="1359"/>
      <c r="AI307" s="1351"/>
    </row>
    <row r="308" spans="1:35" s="1350" customFormat="1">
      <c r="A308" s="1"/>
      <c r="B308" s="6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7"/>
      <c r="O308" s="7"/>
      <c r="P308" s="5"/>
      <c r="Q308" s="6"/>
      <c r="R308" s="1"/>
      <c r="S308" s="6"/>
      <c r="T308" s="744"/>
      <c r="U308" s="744"/>
      <c r="V308" s="743"/>
      <c r="W308" s="743"/>
      <c r="X308" s="743"/>
      <c r="Y308" s="743"/>
      <c r="Z308" s="744"/>
      <c r="AA308" s="743"/>
      <c r="AB308" s="743"/>
      <c r="AC308" s="743"/>
      <c r="AD308" s="1358"/>
      <c r="AE308" s="747"/>
      <c r="AF308" s="748"/>
      <c r="AG308" s="1359"/>
      <c r="AI308" s="1351"/>
    </row>
    <row r="309" spans="1:35" s="1350" customFormat="1">
      <c r="A309" s="1"/>
      <c r="B309" s="6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7"/>
      <c r="O309" s="7"/>
      <c r="P309" s="5"/>
      <c r="Q309" s="6"/>
      <c r="R309" s="1"/>
      <c r="S309" s="6"/>
      <c r="T309" s="744"/>
      <c r="U309" s="744"/>
      <c r="V309" s="743"/>
      <c r="W309" s="743"/>
      <c r="X309" s="743"/>
      <c r="Y309" s="743"/>
      <c r="Z309" s="744"/>
      <c r="AA309" s="743"/>
      <c r="AB309" s="743"/>
      <c r="AC309" s="743"/>
      <c r="AD309" s="1358"/>
      <c r="AE309" s="747"/>
      <c r="AF309" s="748"/>
      <c r="AG309" s="1359"/>
      <c r="AI309" s="1351"/>
    </row>
    <row r="310" spans="1:35" s="1350" customFormat="1">
      <c r="A310" s="1"/>
      <c r="B310" s="6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7"/>
      <c r="O310" s="7"/>
      <c r="P310" s="5"/>
      <c r="Q310" s="6"/>
      <c r="R310" s="1"/>
      <c r="S310" s="6"/>
      <c r="T310" s="744"/>
      <c r="U310" s="744"/>
      <c r="V310" s="743"/>
      <c r="W310" s="743"/>
      <c r="X310" s="743"/>
      <c r="Y310" s="743"/>
      <c r="Z310" s="744"/>
      <c r="AA310" s="743"/>
      <c r="AB310" s="743"/>
      <c r="AC310" s="743"/>
      <c r="AD310" s="1358"/>
      <c r="AE310" s="747"/>
      <c r="AF310" s="748"/>
      <c r="AG310" s="1359"/>
      <c r="AI310" s="1351"/>
    </row>
    <row r="311" spans="1:35" s="1350" customFormat="1">
      <c r="A311" s="1"/>
      <c r="B311" s="6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7"/>
      <c r="O311" s="7"/>
      <c r="P311" s="5"/>
      <c r="Q311" s="6"/>
      <c r="R311" s="1"/>
      <c r="S311" s="6"/>
      <c r="T311" s="744"/>
      <c r="U311" s="744"/>
      <c r="V311" s="743"/>
      <c r="W311" s="743"/>
      <c r="X311" s="743"/>
      <c r="Y311" s="743"/>
      <c r="Z311" s="744"/>
      <c r="AA311" s="743"/>
      <c r="AB311" s="743"/>
      <c r="AC311" s="743"/>
      <c r="AD311" s="1358"/>
      <c r="AE311" s="747"/>
      <c r="AF311" s="748"/>
      <c r="AG311" s="1359"/>
      <c r="AI311" s="1351"/>
    </row>
    <row r="312" spans="1:35" s="1350" customFormat="1">
      <c r="A312" s="1"/>
      <c r="B312" s="6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7"/>
      <c r="O312" s="7"/>
      <c r="P312" s="5"/>
      <c r="Q312" s="6"/>
      <c r="R312" s="1"/>
      <c r="S312" s="6"/>
      <c r="T312" s="744"/>
      <c r="U312" s="744"/>
      <c r="V312" s="743"/>
      <c r="W312" s="743"/>
      <c r="X312" s="743"/>
      <c r="Y312" s="743"/>
      <c r="Z312" s="744"/>
      <c r="AA312" s="743"/>
      <c r="AB312" s="743"/>
      <c r="AC312" s="743"/>
      <c r="AD312" s="1358"/>
      <c r="AE312" s="747"/>
      <c r="AF312" s="748"/>
      <c r="AG312" s="1359"/>
      <c r="AI312" s="1351"/>
    </row>
    <row r="313" spans="1:35" s="1350" customFormat="1">
      <c r="A313" s="1"/>
      <c r="B313" s="6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7"/>
      <c r="O313" s="7"/>
      <c r="P313" s="5"/>
      <c r="Q313" s="6"/>
      <c r="R313" s="1"/>
      <c r="S313" s="6"/>
      <c r="T313" s="744"/>
      <c r="U313" s="744"/>
      <c r="V313" s="743"/>
      <c r="W313" s="743"/>
      <c r="X313" s="743"/>
      <c r="Y313" s="743"/>
      <c r="Z313" s="744"/>
      <c r="AA313" s="743"/>
      <c r="AB313" s="743"/>
      <c r="AC313" s="743"/>
      <c r="AD313" s="1358"/>
      <c r="AE313" s="747"/>
      <c r="AF313" s="748"/>
      <c r="AG313" s="1359"/>
      <c r="AI313" s="1351"/>
    </row>
    <row r="314" spans="1:35" s="1350" customFormat="1">
      <c r="A314" s="1"/>
      <c r="B314" s="6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7"/>
      <c r="O314" s="7"/>
      <c r="P314" s="5"/>
      <c r="Q314" s="6"/>
      <c r="R314" s="1"/>
      <c r="S314" s="6"/>
      <c r="T314" s="744"/>
      <c r="U314" s="744"/>
      <c r="V314" s="743"/>
      <c r="W314" s="743"/>
      <c r="X314" s="743"/>
      <c r="Y314" s="743"/>
      <c r="Z314" s="744"/>
      <c r="AA314" s="743"/>
      <c r="AB314" s="743"/>
      <c r="AC314" s="743"/>
      <c r="AD314" s="1358"/>
      <c r="AE314" s="747"/>
      <c r="AF314" s="748"/>
      <c r="AG314" s="1359"/>
      <c r="AI314" s="1351"/>
    </row>
    <row r="315" spans="1:35" s="1350" customFormat="1">
      <c r="A315" s="1"/>
      <c r="B315" s="6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7"/>
      <c r="O315" s="7"/>
      <c r="P315" s="5"/>
      <c r="Q315" s="6"/>
      <c r="R315" s="1"/>
      <c r="S315" s="6"/>
      <c r="T315" s="744"/>
      <c r="U315" s="744"/>
      <c r="V315" s="743"/>
      <c r="W315" s="743"/>
      <c r="X315" s="743"/>
      <c r="Y315" s="743"/>
      <c r="Z315" s="744"/>
      <c r="AA315" s="743"/>
      <c r="AB315" s="743"/>
      <c r="AC315" s="743"/>
      <c r="AD315" s="1358"/>
      <c r="AE315" s="747"/>
      <c r="AF315" s="748"/>
      <c r="AG315" s="1359"/>
      <c r="AI315" s="1351"/>
    </row>
    <row r="316" spans="1:35" s="1350" customFormat="1">
      <c r="A316" s="1"/>
      <c r="B316" s="6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7"/>
      <c r="O316" s="7"/>
      <c r="P316" s="5"/>
      <c r="Q316" s="6"/>
      <c r="R316" s="1"/>
      <c r="S316" s="6"/>
      <c r="T316" s="744"/>
      <c r="U316" s="744"/>
      <c r="V316" s="743"/>
      <c r="W316" s="743"/>
      <c r="X316" s="743"/>
      <c r="Y316" s="743"/>
      <c r="Z316" s="744"/>
      <c r="AA316" s="743"/>
      <c r="AB316" s="743"/>
      <c r="AC316" s="743"/>
      <c r="AD316" s="1358"/>
      <c r="AE316" s="747"/>
      <c r="AF316" s="748"/>
      <c r="AG316" s="1359"/>
      <c r="AI316" s="1351"/>
    </row>
    <row r="317" spans="1:35" s="1350" customFormat="1">
      <c r="A317" s="1"/>
      <c r="B317" s="6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7"/>
      <c r="O317" s="7"/>
      <c r="P317" s="5"/>
      <c r="Q317" s="6"/>
      <c r="R317" s="1"/>
      <c r="S317" s="6"/>
      <c r="T317" s="744"/>
      <c r="U317" s="744"/>
      <c r="V317" s="743"/>
      <c r="W317" s="743"/>
      <c r="X317" s="743"/>
      <c r="Y317" s="743"/>
      <c r="Z317" s="744"/>
      <c r="AA317" s="743"/>
      <c r="AB317" s="743"/>
      <c r="AC317" s="743"/>
      <c r="AD317" s="1358"/>
      <c r="AE317" s="747"/>
      <c r="AF317" s="748"/>
      <c r="AG317" s="1359"/>
      <c r="AI317" s="1351"/>
    </row>
    <row r="318" spans="1:35" s="1350" customFormat="1">
      <c r="A318" s="1"/>
      <c r="B318" s="6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7"/>
      <c r="O318" s="7"/>
      <c r="P318" s="5"/>
      <c r="Q318" s="6"/>
      <c r="R318" s="1"/>
      <c r="S318" s="6"/>
      <c r="T318" s="744"/>
      <c r="U318" s="744"/>
      <c r="V318" s="743"/>
      <c r="W318" s="743"/>
      <c r="X318" s="743"/>
      <c r="Y318" s="743"/>
      <c r="Z318" s="744"/>
      <c r="AA318" s="743"/>
      <c r="AB318" s="743"/>
      <c r="AC318" s="743"/>
      <c r="AD318" s="1358"/>
      <c r="AE318" s="747"/>
      <c r="AF318" s="748"/>
      <c r="AG318" s="1359"/>
      <c r="AI318" s="1351"/>
    </row>
    <row r="319" spans="1:35" s="1350" customFormat="1">
      <c r="A319" s="1"/>
      <c r="B319" s="6"/>
      <c r="C319" s="4"/>
      <c r="D319" s="3"/>
      <c r="E319" s="4"/>
      <c r="F319" s="4"/>
      <c r="G319" s="4"/>
      <c r="H319" s="6"/>
      <c r="I319" s="6"/>
      <c r="J319" s="6"/>
      <c r="K319" s="11"/>
      <c r="L319" s="5"/>
      <c r="M319" s="5"/>
      <c r="N319" s="7"/>
      <c r="O319" s="7"/>
      <c r="P319" s="5"/>
      <c r="Q319" s="6"/>
      <c r="R319" s="1"/>
      <c r="S319" s="6"/>
      <c r="T319" s="744"/>
      <c r="U319" s="744"/>
      <c r="V319" s="743"/>
      <c r="W319" s="743"/>
      <c r="X319" s="743"/>
      <c r="Y319" s="743"/>
      <c r="Z319" s="744"/>
      <c r="AA319" s="743"/>
      <c r="AB319" s="743"/>
      <c r="AC319" s="743"/>
      <c r="AD319" s="1358"/>
      <c r="AE319" s="747"/>
      <c r="AF319" s="748"/>
      <c r="AG319" s="1359"/>
      <c r="AI319" s="1351"/>
    </row>
    <row r="320" spans="1:35" s="1350" customFormat="1">
      <c r="A320" s="1"/>
      <c r="B320" s="6"/>
      <c r="C320" s="4"/>
      <c r="D320" s="3"/>
      <c r="E320" s="4"/>
      <c r="F320" s="4"/>
      <c r="G320" s="4"/>
      <c r="H320" s="6"/>
      <c r="I320" s="6"/>
      <c r="J320" s="6"/>
      <c r="K320" s="11"/>
      <c r="L320" s="5"/>
      <c r="M320" s="5"/>
      <c r="N320" s="7"/>
      <c r="O320" s="7"/>
      <c r="P320" s="5"/>
      <c r="Q320" s="6"/>
      <c r="R320" s="1"/>
      <c r="S320" s="6"/>
      <c r="T320" s="744"/>
      <c r="U320" s="744"/>
      <c r="V320" s="743"/>
      <c r="W320" s="743"/>
      <c r="X320" s="743"/>
      <c r="Y320" s="743"/>
      <c r="Z320" s="744"/>
      <c r="AA320" s="743"/>
      <c r="AB320" s="743"/>
      <c r="AC320" s="743"/>
      <c r="AD320" s="1358"/>
      <c r="AE320" s="747"/>
      <c r="AF320" s="748"/>
      <c r="AG320" s="1359"/>
      <c r="AI320" s="1351"/>
    </row>
    <row r="321" spans="1:35" s="1350" customFormat="1">
      <c r="A321" s="1"/>
      <c r="B321" s="6"/>
      <c r="C321" s="4"/>
      <c r="D321" s="3"/>
      <c r="E321" s="4"/>
      <c r="F321" s="4"/>
      <c r="G321" s="4"/>
      <c r="H321" s="6"/>
      <c r="I321" s="6"/>
      <c r="J321" s="6"/>
      <c r="K321" s="11"/>
      <c r="L321" s="5"/>
      <c r="M321" s="5"/>
      <c r="N321" s="7"/>
      <c r="O321" s="7"/>
      <c r="P321" s="5"/>
      <c r="Q321" s="6"/>
      <c r="R321" s="1"/>
      <c r="S321" s="6"/>
      <c r="T321" s="744"/>
      <c r="U321" s="744"/>
      <c r="V321" s="743"/>
      <c r="W321" s="743"/>
      <c r="X321" s="743"/>
      <c r="Y321" s="743"/>
      <c r="Z321" s="744"/>
      <c r="AA321" s="743"/>
      <c r="AB321" s="743"/>
      <c r="AC321" s="743"/>
      <c r="AD321" s="1358"/>
      <c r="AE321" s="747"/>
      <c r="AF321" s="748"/>
      <c r="AG321" s="1359"/>
      <c r="AI321" s="1351"/>
    </row>
    <row r="322" spans="1:35" s="1350" customFormat="1">
      <c r="A322" s="1"/>
      <c r="B322" s="6"/>
      <c r="C322" s="4"/>
      <c r="D322" s="3"/>
      <c r="E322" s="4"/>
      <c r="F322" s="4"/>
      <c r="G322" s="4"/>
      <c r="H322" s="6"/>
      <c r="I322" s="6"/>
      <c r="J322" s="6"/>
      <c r="K322" s="11"/>
      <c r="L322" s="5"/>
      <c r="M322" s="5"/>
      <c r="N322" s="7"/>
      <c r="O322" s="7"/>
      <c r="P322" s="5"/>
      <c r="Q322" s="6"/>
      <c r="R322" s="1"/>
      <c r="S322" s="6"/>
      <c r="T322" s="744"/>
      <c r="U322" s="744"/>
      <c r="V322" s="743"/>
      <c r="W322" s="743"/>
      <c r="X322" s="743"/>
      <c r="Y322" s="743"/>
      <c r="Z322" s="744"/>
      <c r="AA322" s="743"/>
      <c r="AB322" s="743"/>
      <c r="AC322" s="743"/>
      <c r="AD322" s="1358"/>
      <c r="AE322" s="747"/>
      <c r="AF322" s="748"/>
      <c r="AG322" s="1359"/>
      <c r="AI322" s="1351"/>
    </row>
  </sheetData>
  <mergeCells count="16">
    <mergeCell ref="C116:D116"/>
    <mergeCell ref="C115:D115"/>
    <mergeCell ref="A110:L110"/>
    <mergeCell ref="A101:L101"/>
    <mergeCell ref="A92:L92"/>
    <mergeCell ref="A37:L37"/>
    <mergeCell ref="A84:L84"/>
    <mergeCell ref="A74:L74"/>
    <mergeCell ref="A65:L65"/>
    <mergeCell ref="A58:L58"/>
    <mergeCell ref="A46:L46"/>
    <mergeCell ref="A2:P2"/>
    <mergeCell ref="D3:L3"/>
    <mergeCell ref="A5:L5"/>
    <mergeCell ref="A13:L13"/>
    <mergeCell ref="A25:L2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6"/>
  <sheetViews>
    <sheetView zoomScale="115" zoomScaleNormal="115" workbookViewId="0">
      <pane xSplit="9" ySplit="4" topLeftCell="M101" activePane="bottomRight" state="frozen"/>
      <selection activeCell="D17" sqref="D17"/>
      <selection pane="topRight" activeCell="D17" sqref="D17"/>
      <selection pane="bottomLeft" activeCell="D17" sqref="D17"/>
      <selection pane="bottomRight" activeCell="Y113" sqref="Y113"/>
    </sheetView>
  </sheetViews>
  <sheetFormatPr defaultColWidth="10.33203125" defaultRowHeight="15.6"/>
  <cols>
    <col min="1" max="1" width="7" style="1" customWidth="1"/>
    <col min="2" max="2" width="15.5546875" style="6" hidden="1" customWidth="1"/>
    <col min="3" max="3" width="19.109375" style="2756" customWidth="1"/>
    <col min="4" max="4" width="14.109375" style="3" customWidth="1"/>
    <col min="5" max="5" width="13.33203125" style="4" customWidth="1"/>
    <col min="6" max="6" width="6.33203125" style="4" customWidth="1"/>
    <col min="7" max="8" width="5.109375" style="6" hidden="1" customWidth="1"/>
    <col min="9" max="9" width="43.88671875" style="5" customWidth="1"/>
    <col min="10" max="10" width="10.109375" style="3416" customWidth="1"/>
    <col min="11" max="11" width="18.33203125" style="7" customWidth="1"/>
    <col min="12" max="12" width="7.5546875" style="3416" customWidth="1"/>
    <col min="13" max="13" width="9.5546875" style="11" customWidth="1"/>
    <col min="14" max="14" width="19.109375" style="6" hidden="1" customWidth="1"/>
    <col min="15" max="15" width="17.33203125" style="6" hidden="1" customWidth="1"/>
    <col min="16" max="16" width="11.88671875" style="268" hidden="1" customWidth="1"/>
    <col min="17" max="17" width="13.109375" style="268" hidden="1" customWidth="1"/>
    <col min="18" max="18" width="13" style="268" hidden="1" customWidth="1"/>
    <col min="19" max="19" width="11.88671875" style="268" hidden="1" customWidth="1"/>
    <col min="20" max="20" width="15.33203125" style="264" hidden="1" customWidth="1"/>
    <col min="21" max="21" width="11.88671875" style="268" hidden="1" customWidth="1"/>
    <col min="22" max="22" width="19.44140625" style="268" hidden="1" customWidth="1"/>
    <col min="23" max="23" width="15.5546875" style="269" hidden="1" customWidth="1"/>
    <col min="24" max="24" width="34.33203125" style="270" customWidth="1"/>
    <col min="25" max="25" width="18.6640625" style="271" customWidth="1"/>
    <col min="26" max="26" width="16.6640625" style="272" customWidth="1"/>
    <col min="27" max="27" width="18.5546875" style="273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35" ht="15" customHeight="1">
      <c r="B1" s="125"/>
      <c r="N1" s="125"/>
      <c r="P1" s="2780"/>
      <c r="Q1" s="2780"/>
      <c r="R1" s="2780"/>
      <c r="S1" s="2780"/>
      <c r="T1" s="2781"/>
      <c r="U1" s="2781"/>
      <c r="V1" s="2781"/>
      <c r="W1" s="2781"/>
      <c r="X1" s="2782"/>
      <c r="Y1" s="2781"/>
      <c r="Z1" s="2781"/>
      <c r="AA1" s="2783"/>
    </row>
    <row r="2" spans="1:35" ht="20.25" customHeight="1">
      <c r="A2" s="3719" t="s">
        <v>6136</v>
      </c>
      <c r="B2" s="3720"/>
      <c r="C2" s="3720"/>
      <c r="D2" s="3720"/>
      <c r="E2" s="3720"/>
      <c r="F2" s="3720"/>
      <c r="G2" s="3720"/>
      <c r="H2" s="3720"/>
      <c r="I2" s="3720"/>
      <c r="J2" s="3720"/>
      <c r="K2" s="3720"/>
      <c r="L2" s="3421"/>
      <c r="N2" s="294"/>
      <c r="O2" s="2755"/>
      <c r="P2" s="2755"/>
      <c r="Q2" s="2755"/>
      <c r="R2" s="2755"/>
      <c r="S2" s="2755"/>
      <c r="T2" s="2755"/>
      <c r="U2" s="2755"/>
      <c r="V2" s="2755"/>
      <c r="W2" s="2755"/>
      <c r="X2" s="2755"/>
      <c r="Y2" s="2755"/>
      <c r="Z2" s="2755"/>
      <c r="AA2" s="2755"/>
      <c r="AB2" s="13"/>
    </row>
    <row r="3" spans="1:35" ht="15.75" customHeight="1">
      <c r="B3" s="478"/>
      <c r="C3" s="654" t="s">
        <v>6126</v>
      </c>
      <c r="D3" s="4063" t="s">
        <v>6861</v>
      </c>
      <c r="E3" s="4063"/>
      <c r="F3" s="4063"/>
      <c r="G3" s="4063"/>
      <c r="H3" s="4063"/>
      <c r="I3" s="4063"/>
      <c r="J3" s="4063"/>
      <c r="K3" s="4063"/>
      <c r="L3" s="4063"/>
      <c r="N3" s="478"/>
    </row>
    <row r="4" spans="1:35" s="3395" customFormat="1" ht="39.6">
      <c r="A4" s="33" t="s">
        <v>2</v>
      </c>
      <c r="B4" s="483" t="s">
        <v>2773</v>
      </c>
      <c r="C4" s="3393" t="s">
        <v>3</v>
      </c>
      <c r="D4" s="3394" t="s">
        <v>4</v>
      </c>
      <c r="E4" s="3393" t="s">
        <v>5</v>
      </c>
      <c r="F4" s="3393" t="s">
        <v>401</v>
      </c>
      <c r="G4" s="33" t="s">
        <v>8</v>
      </c>
      <c r="H4" s="33" t="s">
        <v>9</v>
      </c>
      <c r="I4" s="323" t="s">
        <v>2793</v>
      </c>
      <c r="J4" s="3417" t="s">
        <v>2884</v>
      </c>
      <c r="K4" s="323" t="s">
        <v>2791</v>
      </c>
      <c r="L4" s="3417" t="s">
        <v>2883</v>
      </c>
      <c r="M4" s="323" t="s">
        <v>63</v>
      </c>
      <c r="N4" s="33" t="s">
        <v>1583</v>
      </c>
      <c r="O4" s="33" t="s">
        <v>15</v>
      </c>
      <c r="P4" s="1654" t="s">
        <v>1291</v>
      </c>
      <c r="Q4" s="1654" t="s">
        <v>190</v>
      </c>
      <c r="R4" s="1654" t="s">
        <v>191</v>
      </c>
      <c r="S4" s="2784" t="s">
        <v>192</v>
      </c>
      <c r="T4" s="2784" t="s">
        <v>193</v>
      </c>
      <c r="U4" s="2785" t="s">
        <v>194</v>
      </c>
      <c r="V4" s="2785" t="s">
        <v>195</v>
      </c>
      <c r="W4" s="2786" t="s">
        <v>196</v>
      </c>
      <c r="X4" s="2787" t="s">
        <v>197</v>
      </c>
      <c r="Y4" s="2784" t="s">
        <v>198</v>
      </c>
      <c r="Z4" s="2785" t="s">
        <v>199</v>
      </c>
      <c r="AA4" s="2772" t="s">
        <v>200</v>
      </c>
      <c r="AB4" s="3394" t="s">
        <v>204</v>
      </c>
    </row>
    <row r="5" spans="1:35" s="5" customFormat="1">
      <c r="A5" s="4097" t="s">
        <v>6085</v>
      </c>
      <c r="B5" s="4098"/>
      <c r="C5" s="4098"/>
      <c r="D5" s="4098"/>
      <c r="E5" s="4098"/>
      <c r="F5" s="4098"/>
      <c r="G5" s="4098"/>
      <c r="H5" s="4098"/>
      <c r="I5" s="4098"/>
      <c r="J5" s="4098"/>
      <c r="K5" s="4098"/>
      <c r="L5" s="4098"/>
      <c r="M5" s="4099"/>
      <c r="N5" s="2788"/>
      <c r="O5" s="2789"/>
      <c r="P5" s="1004"/>
      <c r="Q5" s="1004"/>
      <c r="R5" s="937"/>
      <c r="S5" s="937"/>
      <c r="T5" s="956"/>
      <c r="U5" s="937"/>
      <c r="V5" s="1004"/>
      <c r="W5" s="1008"/>
      <c r="X5" s="1009"/>
      <c r="Y5" s="1007"/>
      <c r="Z5" s="1007"/>
      <c r="AA5" s="1596"/>
      <c r="AB5" s="1824"/>
      <c r="AC5" s="13"/>
      <c r="AD5" s="13"/>
      <c r="AE5" s="13"/>
      <c r="AF5" s="13"/>
      <c r="AG5" s="13"/>
      <c r="AH5" s="13"/>
      <c r="AI5" s="13"/>
    </row>
    <row r="6" spans="1:35" s="5" customFormat="1">
      <c r="A6" s="1599">
        <v>1</v>
      </c>
      <c r="B6" s="1647"/>
      <c r="C6" s="2173">
        <v>307509048840</v>
      </c>
      <c r="D6" s="2159" t="s">
        <v>6033</v>
      </c>
      <c r="E6" s="2931" t="s">
        <v>6446</v>
      </c>
      <c r="F6" s="2039" t="s">
        <v>1299</v>
      </c>
      <c r="G6" s="1647"/>
      <c r="H6" s="1647"/>
      <c r="I6" s="2159" t="s">
        <v>6114</v>
      </c>
      <c r="J6" s="2518" t="s">
        <v>6115</v>
      </c>
      <c r="K6" s="2159" t="s">
        <v>6116</v>
      </c>
      <c r="L6" s="2518" t="s">
        <v>6117</v>
      </c>
      <c r="M6" s="2159" t="s">
        <v>108</v>
      </c>
      <c r="N6" s="1579"/>
      <c r="O6" s="1579"/>
      <c r="P6" s="1579"/>
      <c r="Q6" s="1579"/>
      <c r="R6" s="1579"/>
      <c r="S6" s="1579"/>
      <c r="T6" s="1579"/>
      <c r="U6" s="1579"/>
      <c r="V6" s="1579"/>
      <c r="W6" s="1579"/>
      <c r="X6" s="1579"/>
      <c r="Y6" s="2878">
        <v>550000</v>
      </c>
      <c r="Z6" s="2879">
        <f t="shared" ref="Z6:Z15" si="0">+Y6*1.08</f>
        <v>594000</v>
      </c>
      <c r="AA6" s="1579"/>
      <c r="AB6" s="1579"/>
      <c r="AC6" s="2603"/>
      <c r="AD6" s="1579"/>
      <c r="AE6" s="13"/>
      <c r="AF6" s="13"/>
      <c r="AG6" s="13"/>
      <c r="AH6" s="13"/>
      <c r="AI6" s="13"/>
    </row>
    <row r="7" spans="1:35" s="5" customFormat="1">
      <c r="A7" s="1599">
        <f t="shared" ref="A7:A21" si="1">+A6+1</f>
        <v>2</v>
      </c>
      <c r="B7" s="1647"/>
      <c r="C7" s="2173">
        <v>307517002720</v>
      </c>
      <c r="D7" s="1919" t="s">
        <v>6137</v>
      </c>
      <c r="E7" s="2931" t="s">
        <v>6446</v>
      </c>
      <c r="F7" s="2039" t="s">
        <v>1299</v>
      </c>
      <c r="G7" s="1647"/>
      <c r="H7" s="1647"/>
      <c r="I7" s="2159" t="s">
        <v>6114</v>
      </c>
      <c r="J7" s="2518" t="s">
        <v>6162</v>
      </c>
      <c r="K7" s="2159" t="s">
        <v>6138</v>
      </c>
      <c r="L7" s="2518" t="s">
        <v>6163</v>
      </c>
      <c r="M7" s="2159" t="s">
        <v>108</v>
      </c>
      <c r="N7" s="1579"/>
      <c r="O7" s="1579"/>
      <c r="P7" s="1579"/>
      <c r="Q7" s="1579"/>
      <c r="R7" s="1579"/>
      <c r="S7" s="1579"/>
      <c r="T7" s="1579"/>
      <c r="U7" s="1579"/>
      <c r="V7" s="1579"/>
      <c r="W7" s="1579"/>
      <c r="X7" s="1579"/>
      <c r="Y7" s="2878">
        <v>550000</v>
      </c>
      <c r="Z7" s="2879">
        <f t="shared" si="0"/>
        <v>594000</v>
      </c>
      <c r="AA7" s="1579"/>
      <c r="AB7" s="1579"/>
      <c r="AC7" s="2603"/>
      <c r="AD7" s="1579"/>
      <c r="AE7" s="13"/>
      <c r="AF7" s="13"/>
      <c r="AG7" s="13"/>
      <c r="AH7" s="13"/>
      <c r="AI7" s="13"/>
    </row>
    <row r="8" spans="1:35" s="5" customFormat="1" ht="24" customHeight="1">
      <c r="A8" s="1599">
        <f t="shared" si="1"/>
        <v>3</v>
      </c>
      <c r="B8" s="1647"/>
      <c r="C8" s="2039">
        <v>107299997230</v>
      </c>
      <c r="D8" s="2159" t="s">
        <v>6124</v>
      </c>
      <c r="E8" s="2931" t="s">
        <v>6446</v>
      </c>
      <c r="F8" s="2039" t="s">
        <v>206</v>
      </c>
      <c r="G8" s="1647"/>
      <c r="H8" s="1647"/>
      <c r="I8" s="2757" t="s">
        <v>6139</v>
      </c>
      <c r="J8" s="2817"/>
      <c r="K8" s="2790" t="s">
        <v>6140</v>
      </c>
      <c r="L8" s="2817">
        <v>420</v>
      </c>
      <c r="M8" s="3066" t="s">
        <v>123</v>
      </c>
      <c r="N8" s="6"/>
      <c r="O8" s="6"/>
      <c r="P8" s="425"/>
      <c r="Q8" s="425"/>
      <c r="R8" s="425"/>
      <c r="S8" s="425"/>
      <c r="T8" s="426"/>
      <c r="U8" s="425"/>
      <c r="V8" s="425"/>
      <c r="W8" s="427"/>
      <c r="X8" s="2758"/>
      <c r="Y8" s="2878">
        <v>550000</v>
      </c>
      <c r="Z8" s="2879">
        <f t="shared" si="0"/>
        <v>594000</v>
      </c>
      <c r="AA8" s="808"/>
      <c r="AB8" s="1824"/>
      <c r="AC8" s="13"/>
      <c r="AD8" s="13"/>
      <c r="AE8" s="13"/>
      <c r="AF8" s="13"/>
      <c r="AG8" s="13"/>
      <c r="AH8" s="13"/>
      <c r="AI8" s="13"/>
    </row>
    <row r="9" spans="1:35" s="5" customFormat="1">
      <c r="A9" s="1599">
        <f t="shared" si="1"/>
        <v>4</v>
      </c>
      <c r="B9" s="1647"/>
      <c r="C9" s="2173">
        <v>307524459600</v>
      </c>
      <c r="D9" s="1919" t="s">
        <v>6122</v>
      </c>
      <c r="E9" s="2931" t="s">
        <v>6446</v>
      </c>
      <c r="F9" s="2039" t="s">
        <v>1299</v>
      </c>
      <c r="G9" s="1647"/>
      <c r="H9" s="1647"/>
      <c r="I9" s="2159" t="s">
        <v>6114</v>
      </c>
      <c r="J9" s="2518" t="s">
        <v>6172</v>
      </c>
      <c r="K9" s="1919" t="s">
        <v>6160</v>
      </c>
      <c r="L9" s="2518" t="s">
        <v>6161</v>
      </c>
      <c r="M9" s="2159" t="s">
        <v>108</v>
      </c>
      <c r="N9" s="6"/>
      <c r="O9" s="6"/>
      <c r="P9" s="1603"/>
      <c r="Q9" s="1603"/>
      <c r="R9" s="1603"/>
      <c r="S9" s="1603"/>
      <c r="T9" s="1604"/>
      <c r="U9" s="1603"/>
      <c r="V9" s="1603"/>
      <c r="W9" s="2791"/>
      <c r="X9" s="1614"/>
      <c r="Y9" s="2878">
        <v>550000</v>
      </c>
      <c r="Z9" s="2879">
        <f t="shared" si="0"/>
        <v>594000</v>
      </c>
      <c r="AA9" s="1606"/>
      <c r="AB9" s="1824"/>
      <c r="AC9" s="13"/>
      <c r="AD9" s="13"/>
      <c r="AE9" s="13"/>
      <c r="AF9" s="13"/>
      <c r="AG9" s="13"/>
      <c r="AH9" s="13"/>
      <c r="AI9" s="13"/>
    </row>
    <row r="10" spans="1:35" s="5" customFormat="1">
      <c r="A10" s="1599">
        <f t="shared" si="1"/>
        <v>5</v>
      </c>
      <c r="B10" s="1647"/>
      <c r="C10" s="2173">
        <v>307529612740</v>
      </c>
      <c r="D10" s="1919" t="s">
        <v>6143</v>
      </c>
      <c r="E10" s="2931" t="s">
        <v>6446</v>
      </c>
      <c r="F10" s="2039" t="s">
        <v>1299</v>
      </c>
      <c r="G10" s="1647"/>
      <c r="H10" s="1647"/>
      <c r="I10" s="2159" t="s">
        <v>6174</v>
      </c>
      <c r="J10" s="2516"/>
      <c r="K10" s="1919" t="s">
        <v>6173</v>
      </c>
      <c r="L10" s="2516">
        <v>6</v>
      </c>
      <c r="M10" s="2159" t="s">
        <v>108</v>
      </c>
      <c r="N10" s="6"/>
      <c r="O10" s="6"/>
      <c r="P10" s="1603"/>
      <c r="Q10" s="1603"/>
      <c r="R10" s="1603"/>
      <c r="S10" s="1603"/>
      <c r="T10" s="1604"/>
      <c r="U10" s="1603"/>
      <c r="V10" s="1603"/>
      <c r="W10" s="2791"/>
      <c r="X10" s="1614"/>
      <c r="Y10" s="2878">
        <v>550000</v>
      </c>
      <c r="Z10" s="2879">
        <f t="shared" si="0"/>
        <v>594000</v>
      </c>
      <c r="AA10" s="1606"/>
      <c r="AB10" s="1824"/>
      <c r="AC10" s="13"/>
      <c r="AD10" s="13"/>
      <c r="AE10" s="13"/>
      <c r="AF10" s="13"/>
      <c r="AG10" s="13"/>
      <c r="AH10" s="13"/>
      <c r="AI10" s="13"/>
    </row>
    <row r="11" spans="1:35" s="5" customFormat="1">
      <c r="A11" s="1599">
        <f t="shared" si="1"/>
        <v>6</v>
      </c>
      <c r="B11" s="6"/>
      <c r="C11" s="2173">
        <v>307533624220</v>
      </c>
      <c r="D11" s="2159" t="s">
        <v>6189</v>
      </c>
      <c r="E11" s="2931" t="s">
        <v>6446</v>
      </c>
      <c r="F11" s="2039" t="s">
        <v>1299</v>
      </c>
      <c r="G11" s="1647"/>
      <c r="H11" s="1647"/>
      <c r="I11" s="2159" t="s">
        <v>6114</v>
      </c>
      <c r="J11" s="2516">
        <v>37</v>
      </c>
      <c r="K11" s="1919" t="s">
        <v>6175</v>
      </c>
      <c r="L11" s="2516">
        <v>1034</v>
      </c>
      <c r="M11" s="2159" t="s">
        <v>108</v>
      </c>
      <c r="N11" s="6"/>
      <c r="O11" s="6"/>
      <c r="P11" s="1603"/>
      <c r="Q11" s="1603"/>
      <c r="R11" s="1603"/>
      <c r="S11" s="1603"/>
      <c r="T11" s="1604"/>
      <c r="U11" s="1603"/>
      <c r="V11" s="1603"/>
      <c r="W11" s="2791"/>
      <c r="X11" s="1614"/>
      <c r="Y11" s="2878">
        <v>550000</v>
      </c>
      <c r="Z11" s="2879">
        <f t="shared" si="0"/>
        <v>594000</v>
      </c>
      <c r="AA11" s="1606"/>
      <c r="AB11" s="1824"/>
      <c r="AC11" s="13"/>
      <c r="AD11" s="13"/>
      <c r="AE11" s="13"/>
      <c r="AF11" s="13"/>
      <c r="AG11" s="13"/>
      <c r="AH11" s="13"/>
      <c r="AI11" s="13"/>
    </row>
    <row r="12" spans="1:35" s="5" customFormat="1">
      <c r="A12" s="1599">
        <f t="shared" si="1"/>
        <v>7</v>
      </c>
      <c r="B12" s="6"/>
      <c r="C12" s="2173">
        <v>307533806440</v>
      </c>
      <c r="D12" s="2159" t="s">
        <v>6189</v>
      </c>
      <c r="E12" s="2931" t="s">
        <v>6446</v>
      </c>
      <c r="F12" s="2039" t="s">
        <v>1299</v>
      </c>
      <c r="G12" s="1647"/>
      <c r="H12" s="1647"/>
      <c r="I12" s="2159" t="s">
        <v>6114</v>
      </c>
      <c r="J12" s="2516">
        <v>38</v>
      </c>
      <c r="K12" s="1919" t="s">
        <v>6175</v>
      </c>
      <c r="L12" s="2516">
        <v>888</v>
      </c>
      <c r="M12" s="2159" t="s">
        <v>108</v>
      </c>
      <c r="N12" s="6"/>
      <c r="O12" s="6"/>
      <c r="P12" s="1603"/>
      <c r="Q12" s="1603"/>
      <c r="R12" s="1603"/>
      <c r="S12" s="1603"/>
      <c r="T12" s="1604"/>
      <c r="U12" s="1603"/>
      <c r="V12" s="1603"/>
      <c r="W12" s="2791"/>
      <c r="X12" s="1614"/>
      <c r="Y12" s="2878">
        <v>550000</v>
      </c>
      <c r="Z12" s="2879">
        <f t="shared" si="0"/>
        <v>594000</v>
      </c>
      <c r="AA12" s="1606"/>
      <c r="AB12" s="1824"/>
      <c r="AC12" s="13"/>
      <c r="AD12" s="13"/>
      <c r="AE12" s="13"/>
      <c r="AF12" s="13"/>
      <c r="AG12" s="13"/>
      <c r="AH12" s="13"/>
      <c r="AI12" s="13"/>
    </row>
    <row r="13" spans="1:35" s="5" customFormat="1">
      <c r="A13" s="1599">
        <f t="shared" si="1"/>
        <v>8</v>
      </c>
      <c r="B13" s="6"/>
      <c r="C13" s="2173">
        <v>307549757560</v>
      </c>
      <c r="D13" s="2159" t="s">
        <v>6208</v>
      </c>
      <c r="E13" s="2931" t="s">
        <v>6446</v>
      </c>
      <c r="F13" s="2039" t="s">
        <v>1299</v>
      </c>
      <c r="G13" s="1647"/>
      <c r="H13" s="1647"/>
      <c r="I13" s="2159" t="s">
        <v>6114</v>
      </c>
      <c r="J13" s="2518" t="s">
        <v>6284</v>
      </c>
      <c r="K13" s="1919" t="s">
        <v>6262</v>
      </c>
      <c r="L13" s="2518" t="s">
        <v>6287</v>
      </c>
      <c r="M13" s="2159" t="s">
        <v>108</v>
      </c>
      <c r="N13" s="6"/>
      <c r="O13" s="6"/>
      <c r="P13" s="1603"/>
      <c r="Q13" s="1603"/>
      <c r="R13" s="1603"/>
      <c r="S13" s="1603"/>
      <c r="T13" s="1604"/>
      <c r="U13" s="1603"/>
      <c r="V13" s="1603"/>
      <c r="W13" s="2791"/>
      <c r="X13" s="1614"/>
      <c r="Y13" s="2878">
        <v>550000</v>
      </c>
      <c r="Z13" s="2879">
        <f t="shared" si="0"/>
        <v>594000</v>
      </c>
      <c r="AA13" s="1606"/>
      <c r="AB13" s="1824"/>
      <c r="AC13" s="13"/>
      <c r="AD13" s="13"/>
      <c r="AE13" s="13"/>
      <c r="AF13" s="13"/>
      <c r="AG13" s="13"/>
      <c r="AH13" s="13"/>
      <c r="AI13" s="13"/>
    </row>
    <row r="14" spans="1:35" s="5" customFormat="1">
      <c r="A14" s="1599">
        <f t="shared" si="1"/>
        <v>9</v>
      </c>
      <c r="B14" s="6"/>
      <c r="C14" s="2173">
        <v>307552232100</v>
      </c>
      <c r="D14" s="2159" t="s">
        <v>6208</v>
      </c>
      <c r="E14" s="2931" t="s">
        <v>6446</v>
      </c>
      <c r="F14" s="2039" t="s">
        <v>1299</v>
      </c>
      <c r="G14" s="1647"/>
      <c r="H14" s="1647"/>
      <c r="I14" s="2159" t="s">
        <v>6114</v>
      </c>
      <c r="J14" s="2518" t="s">
        <v>6286</v>
      </c>
      <c r="K14" s="1919" t="s">
        <v>6285</v>
      </c>
      <c r="L14" s="2516">
        <v>428</v>
      </c>
      <c r="M14" s="2159" t="s">
        <v>108</v>
      </c>
      <c r="N14" s="6"/>
      <c r="O14" s="6"/>
      <c r="P14" s="1603"/>
      <c r="Q14" s="1603"/>
      <c r="R14" s="1603"/>
      <c r="S14" s="1603"/>
      <c r="T14" s="1604"/>
      <c r="U14" s="1603"/>
      <c r="V14" s="1603"/>
      <c r="W14" s="2791"/>
      <c r="X14" s="1614"/>
      <c r="Y14" s="2878">
        <v>550000</v>
      </c>
      <c r="Z14" s="2879">
        <f t="shared" si="0"/>
        <v>594000</v>
      </c>
      <c r="AA14" s="1606"/>
      <c r="AB14" s="1824"/>
      <c r="AC14" s="13"/>
      <c r="AD14" s="13"/>
      <c r="AE14" s="13"/>
      <c r="AF14" s="13"/>
      <c r="AG14" s="13"/>
      <c r="AH14" s="13"/>
      <c r="AI14" s="13"/>
    </row>
    <row r="15" spans="1:35" s="5" customFormat="1">
      <c r="A15" s="1599">
        <f t="shared" si="1"/>
        <v>10</v>
      </c>
      <c r="B15" s="6"/>
      <c r="C15" s="2173">
        <v>307555936020</v>
      </c>
      <c r="D15" s="2159" t="s">
        <v>6244</v>
      </c>
      <c r="E15" s="2931" t="s">
        <v>6446</v>
      </c>
      <c r="F15" s="2039" t="s">
        <v>1299</v>
      </c>
      <c r="G15" s="1647"/>
      <c r="H15" s="1647"/>
      <c r="I15" s="2159" t="s">
        <v>6114</v>
      </c>
      <c r="J15" s="2518" t="s">
        <v>6291</v>
      </c>
      <c r="K15" s="1919" t="s">
        <v>6289</v>
      </c>
      <c r="L15" s="2516">
        <v>3</v>
      </c>
      <c r="M15" s="2159" t="s">
        <v>108</v>
      </c>
      <c r="N15" s="6"/>
      <c r="O15" s="6"/>
      <c r="P15" s="1603"/>
      <c r="Q15" s="1603"/>
      <c r="R15" s="1603"/>
      <c r="S15" s="1603"/>
      <c r="T15" s="1604"/>
      <c r="U15" s="1603"/>
      <c r="V15" s="1603"/>
      <c r="W15" s="2791"/>
      <c r="X15" s="1614"/>
      <c r="Y15" s="2878">
        <v>550000</v>
      </c>
      <c r="Z15" s="2879">
        <f t="shared" si="0"/>
        <v>594000</v>
      </c>
      <c r="AA15" s="1606"/>
      <c r="AB15" s="1824"/>
      <c r="AC15" s="13"/>
      <c r="AD15" s="13"/>
      <c r="AE15" s="13"/>
      <c r="AF15" s="13"/>
      <c r="AG15" s="13"/>
      <c r="AH15" s="13"/>
      <c r="AI15" s="13"/>
    </row>
    <row r="16" spans="1:35" s="5" customFormat="1">
      <c r="A16" s="1599">
        <f t="shared" si="1"/>
        <v>11</v>
      </c>
      <c r="B16" s="6"/>
      <c r="C16" s="2173">
        <v>307563133860</v>
      </c>
      <c r="D16" s="2159" t="s">
        <v>6301</v>
      </c>
      <c r="E16" s="2931" t="s">
        <v>6446</v>
      </c>
      <c r="F16" s="2039" t="s">
        <v>1299</v>
      </c>
      <c r="G16" s="1647"/>
      <c r="H16" s="1647"/>
      <c r="I16" s="2159" t="s">
        <v>6114</v>
      </c>
      <c r="J16" s="2518">
        <v>42</v>
      </c>
      <c r="K16" s="1919" t="s">
        <v>6302</v>
      </c>
      <c r="L16" s="2516">
        <v>400</v>
      </c>
      <c r="M16" s="2159" t="s">
        <v>108</v>
      </c>
      <c r="N16" s="6"/>
      <c r="O16" s="6"/>
      <c r="P16" s="1603"/>
      <c r="Q16" s="1603"/>
      <c r="R16" s="1603"/>
      <c r="S16" s="1603"/>
      <c r="T16" s="1604"/>
      <c r="U16" s="1603"/>
      <c r="V16" s="1603"/>
      <c r="W16" s="2791"/>
      <c r="X16" s="1614"/>
      <c r="Y16" s="2878">
        <v>550000</v>
      </c>
      <c r="Z16" s="2879">
        <f t="shared" ref="Z16:Z26" si="2">+Y16*1.08</f>
        <v>594000</v>
      </c>
      <c r="AA16" s="1606"/>
      <c r="AB16" s="1824"/>
      <c r="AC16" s="13"/>
      <c r="AD16" s="13"/>
      <c r="AE16" s="13"/>
      <c r="AF16" s="13"/>
      <c r="AG16" s="13"/>
      <c r="AH16" s="13"/>
      <c r="AI16" s="13"/>
    </row>
    <row r="17" spans="1:35" s="5" customFormat="1">
      <c r="A17" s="1599">
        <f t="shared" si="1"/>
        <v>12</v>
      </c>
      <c r="B17" s="6"/>
      <c r="C17" s="2173">
        <v>307563160240</v>
      </c>
      <c r="D17" s="2159" t="s">
        <v>6301</v>
      </c>
      <c r="E17" s="2931" t="s">
        <v>6446</v>
      </c>
      <c r="F17" s="2039" t="s">
        <v>1299</v>
      </c>
      <c r="G17" s="1647"/>
      <c r="H17" s="1647"/>
      <c r="I17" s="2159" t="s">
        <v>6114</v>
      </c>
      <c r="J17" s="2516">
        <v>43</v>
      </c>
      <c r="K17" s="1919" t="s">
        <v>6303</v>
      </c>
      <c r="L17" s="2516">
        <v>433</v>
      </c>
      <c r="M17" s="2159" t="s">
        <v>108</v>
      </c>
      <c r="N17" s="6"/>
      <c r="O17" s="6"/>
      <c r="P17" s="1603"/>
      <c r="Q17" s="1603"/>
      <c r="R17" s="1603"/>
      <c r="S17" s="1603"/>
      <c r="T17" s="1604"/>
      <c r="U17" s="1603"/>
      <c r="V17" s="1603"/>
      <c r="W17" s="2791"/>
      <c r="X17" s="1614"/>
      <c r="Y17" s="2878">
        <v>550000</v>
      </c>
      <c r="Z17" s="2879">
        <f t="shared" si="2"/>
        <v>594000</v>
      </c>
      <c r="AA17" s="1606"/>
      <c r="AB17" s="1824"/>
      <c r="AC17" s="13"/>
      <c r="AD17" s="13"/>
      <c r="AE17" s="13"/>
      <c r="AF17" s="13"/>
      <c r="AG17" s="13"/>
      <c r="AH17" s="13"/>
      <c r="AI17" s="13"/>
    </row>
    <row r="18" spans="1:35" s="5" customFormat="1">
      <c r="A18" s="1599">
        <f t="shared" si="1"/>
        <v>13</v>
      </c>
      <c r="B18" s="6"/>
      <c r="C18" s="2173">
        <v>307570004620</v>
      </c>
      <c r="D18" s="2159" t="s">
        <v>6342</v>
      </c>
      <c r="E18" s="2931" t="s">
        <v>6446</v>
      </c>
      <c r="F18" s="2039" t="s">
        <v>1299</v>
      </c>
      <c r="G18" s="1647"/>
      <c r="H18" s="1647"/>
      <c r="I18" s="2159" t="s">
        <v>6114</v>
      </c>
      <c r="J18" s="2516">
        <v>44</v>
      </c>
      <c r="K18" s="1919" t="s">
        <v>6345</v>
      </c>
      <c r="L18" s="2516">
        <v>95</v>
      </c>
      <c r="M18" s="2159" t="s">
        <v>108</v>
      </c>
      <c r="N18" s="6"/>
      <c r="O18" s="6"/>
      <c r="P18" s="1603"/>
      <c r="Q18" s="1603"/>
      <c r="R18" s="1603"/>
      <c r="S18" s="1603"/>
      <c r="T18" s="1604"/>
      <c r="U18" s="1603"/>
      <c r="V18" s="1603"/>
      <c r="W18" s="2791"/>
      <c r="X18" s="1614"/>
      <c r="Y18" s="2878">
        <v>550000</v>
      </c>
      <c r="Z18" s="2879">
        <f t="shared" si="2"/>
        <v>594000</v>
      </c>
      <c r="AA18" s="1606"/>
      <c r="AB18" s="1824"/>
      <c r="AC18" s="13"/>
      <c r="AD18" s="13"/>
      <c r="AE18" s="13"/>
      <c r="AF18" s="13"/>
      <c r="AG18" s="13"/>
      <c r="AH18" s="13"/>
      <c r="AI18" s="13"/>
    </row>
    <row r="19" spans="1:35" s="5" customFormat="1" ht="26.4">
      <c r="A19" s="1599">
        <f t="shared" si="1"/>
        <v>14</v>
      </c>
      <c r="B19" s="6"/>
      <c r="C19" s="2039">
        <v>107350137860</v>
      </c>
      <c r="D19" s="2159" t="s">
        <v>6342</v>
      </c>
      <c r="E19" s="2931" t="s">
        <v>6446</v>
      </c>
      <c r="F19" s="2039" t="s">
        <v>206</v>
      </c>
      <c r="G19" s="1647"/>
      <c r="H19" s="1647"/>
      <c r="I19" s="2920" t="s">
        <v>6139</v>
      </c>
      <c r="J19" s="2870"/>
      <c r="K19" s="2921" t="s">
        <v>6382</v>
      </c>
      <c r="L19" s="2870">
        <v>420</v>
      </c>
      <c r="M19" s="3066" t="s">
        <v>123</v>
      </c>
      <c r="N19" s="6"/>
      <c r="O19" s="6"/>
      <c r="P19" s="1593"/>
      <c r="Q19" s="1593"/>
      <c r="R19" s="1603"/>
      <c r="S19" s="1603"/>
      <c r="T19" s="1604"/>
      <c r="U19" s="1603"/>
      <c r="V19" s="1603"/>
      <c r="W19" s="2791"/>
      <c r="X19" s="1614"/>
      <c r="Y19" s="2878">
        <v>550000</v>
      </c>
      <c r="Z19" s="2879">
        <f t="shared" si="2"/>
        <v>594000</v>
      </c>
      <c r="AA19" s="1606"/>
      <c r="AB19" s="1824"/>
      <c r="AC19" s="13"/>
      <c r="AD19" s="13"/>
      <c r="AE19" s="13"/>
      <c r="AF19" s="13"/>
      <c r="AG19" s="13"/>
      <c r="AH19" s="13"/>
      <c r="AI19" s="13"/>
    </row>
    <row r="20" spans="1:35" s="5" customFormat="1">
      <c r="A20" s="1599">
        <f t="shared" si="1"/>
        <v>15</v>
      </c>
      <c r="B20" s="6"/>
      <c r="C20" s="2173">
        <v>307574225140</v>
      </c>
      <c r="D20" s="2159" t="s">
        <v>6342</v>
      </c>
      <c r="E20" s="2931" t="s">
        <v>6446</v>
      </c>
      <c r="F20" s="2039" t="s">
        <v>1299</v>
      </c>
      <c r="G20" s="1647"/>
      <c r="H20" s="1647"/>
      <c r="I20" s="2159" t="s">
        <v>6114</v>
      </c>
      <c r="J20" s="2516">
        <v>45</v>
      </c>
      <c r="K20" s="1919" t="s">
        <v>6380</v>
      </c>
      <c r="L20" s="2516">
        <v>378</v>
      </c>
      <c r="M20" s="2159" t="s">
        <v>108</v>
      </c>
      <c r="N20" s="2871"/>
      <c r="O20" s="2871"/>
      <c r="P20" s="2871"/>
      <c r="Q20" s="2871"/>
      <c r="R20" s="1603"/>
      <c r="S20" s="1603"/>
      <c r="T20" s="1604"/>
      <c r="U20" s="1603"/>
      <c r="V20" s="1603"/>
      <c r="W20" s="2791"/>
      <c r="X20" s="1614"/>
      <c r="Y20" s="2878">
        <v>550000</v>
      </c>
      <c r="Z20" s="2879">
        <f t="shared" si="2"/>
        <v>594000</v>
      </c>
      <c r="AA20" s="1606"/>
      <c r="AB20" s="1824"/>
      <c r="AC20" s="13"/>
      <c r="AD20" s="13"/>
      <c r="AE20" s="13"/>
      <c r="AF20" s="13"/>
      <c r="AG20" s="13"/>
      <c r="AH20" s="13"/>
      <c r="AI20" s="13"/>
    </row>
    <row r="21" spans="1:35" s="5" customFormat="1">
      <c r="A21" s="1599">
        <f t="shared" si="1"/>
        <v>16</v>
      </c>
      <c r="B21" s="6"/>
      <c r="C21" s="2173">
        <v>307574247540</v>
      </c>
      <c r="D21" s="2159" t="s">
        <v>6342</v>
      </c>
      <c r="E21" s="2931" t="s">
        <v>6446</v>
      </c>
      <c r="F21" s="2039" t="s">
        <v>1299</v>
      </c>
      <c r="G21" s="1647"/>
      <c r="H21" s="1647"/>
      <c r="I21" s="2159" t="s">
        <v>6114</v>
      </c>
      <c r="J21" s="2516">
        <v>46</v>
      </c>
      <c r="K21" s="1919" t="s">
        <v>6381</v>
      </c>
      <c r="L21" s="2516">
        <v>608</v>
      </c>
      <c r="M21" s="2159" t="s">
        <v>108</v>
      </c>
      <c r="N21" s="6"/>
      <c r="O21" s="6"/>
      <c r="P21" s="425"/>
      <c r="Q21" s="425"/>
      <c r="R21" s="1603"/>
      <c r="S21" s="1603"/>
      <c r="T21" s="1604"/>
      <c r="U21" s="1603"/>
      <c r="V21" s="1603"/>
      <c r="W21" s="2791"/>
      <c r="X21" s="1614"/>
      <c r="Y21" s="2878">
        <v>550000</v>
      </c>
      <c r="Z21" s="2879">
        <f t="shared" si="2"/>
        <v>594000</v>
      </c>
      <c r="AA21" s="1606"/>
      <c r="AB21" s="1824"/>
      <c r="AC21" s="13"/>
      <c r="AD21" s="13"/>
      <c r="AE21" s="13"/>
      <c r="AF21" s="13"/>
      <c r="AG21" s="13"/>
      <c r="AH21" s="13"/>
      <c r="AI21" s="13"/>
    </row>
    <row r="22" spans="1:35" s="5" customFormat="1">
      <c r="A22" s="1599">
        <f t="shared" ref="A22:A28" si="3">+A21+1</f>
        <v>17</v>
      </c>
      <c r="B22" s="6"/>
      <c r="C22" s="2173">
        <v>307578082510</v>
      </c>
      <c r="D22" s="2159" t="s">
        <v>6373</v>
      </c>
      <c r="E22" s="2931" t="s">
        <v>6446</v>
      </c>
      <c r="F22" s="2039" t="s">
        <v>1299</v>
      </c>
      <c r="G22" s="1647"/>
      <c r="H22" s="1647"/>
      <c r="I22" s="2159" t="s">
        <v>6114</v>
      </c>
      <c r="J22" s="2516">
        <v>47</v>
      </c>
      <c r="K22" s="1919" t="s">
        <v>6389</v>
      </c>
      <c r="L22" s="2516">
        <v>30</v>
      </c>
      <c r="M22" s="2159" t="s">
        <v>108</v>
      </c>
      <c r="N22" s="6"/>
      <c r="O22" s="6"/>
      <c r="P22" s="1603"/>
      <c r="Q22" s="1603"/>
      <c r="R22" s="1603"/>
      <c r="S22" s="1603"/>
      <c r="T22" s="1604"/>
      <c r="U22" s="1603"/>
      <c r="V22" s="1603"/>
      <c r="W22" s="2791"/>
      <c r="X22" s="1614"/>
      <c r="Y22" s="2878">
        <v>550000</v>
      </c>
      <c r="Z22" s="2879">
        <f t="shared" si="2"/>
        <v>594000</v>
      </c>
      <c r="AA22" s="1606"/>
      <c r="AB22" s="1824"/>
      <c r="AC22" s="13"/>
      <c r="AD22" s="13"/>
      <c r="AE22" s="13"/>
      <c r="AF22" s="13"/>
      <c r="AG22" s="13"/>
      <c r="AH22" s="13"/>
      <c r="AI22" s="13"/>
    </row>
    <row r="23" spans="1:35" s="5" customFormat="1">
      <c r="A23" s="1599">
        <f t="shared" si="3"/>
        <v>18</v>
      </c>
      <c r="B23" s="6"/>
      <c r="C23" s="2173">
        <v>307584346000</v>
      </c>
      <c r="D23" s="2159" t="s">
        <v>6375</v>
      </c>
      <c r="E23" s="2931" t="s">
        <v>6446</v>
      </c>
      <c r="F23" s="2039" t="s">
        <v>1299</v>
      </c>
      <c r="G23" s="1647"/>
      <c r="H23" s="1647"/>
      <c r="I23" s="2159" t="s">
        <v>6114</v>
      </c>
      <c r="J23" s="2516">
        <v>48</v>
      </c>
      <c r="K23" s="1919" t="s">
        <v>6403</v>
      </c>
      <c r="L23" s="2516">
        <v>551</v>
      </c>
      <c r="M23" s="2159" t="s">
        <v>108</v>
      </c>
      <c r="N23" s="6"/>
      <c r="O23" s="6"/>
      <c r="P23" s="1603"/>
      <c r="Q23" s="1603"/>
      <c r="R23" s="1603"/>
      <c r="S23" s="1603"/>
      <c r="T23" s="1604"/>
      <c r="U23" s="1603"/>
      <c r="V23" s="1603"/>
      <c r="W23" s="2791"/>
      <c r="X23" s="1614"/>
      <c r="Y23" s="2878">
        <v>550000</v>
      </c>
      <c r="Z23" s="2879">
        <f t="shared" si="2"/>
        <v>594000</v>
      </c>
      <c r="AA23" s="1606"/>
      <c r="AB23" s="1824"/>
      <c r="AC23" s="13"/>
      <c r="AD23" s="13"/>
      <c r="AE23" s="13"/>
      <c r="AF23" s="13"/>
      <c r="AG23" s="13"/>
      <c r="AH23" s="13"/>
      <c r="AI23" s="13"/>
    </row>
    <row r="24" spans="1:35" s="5" customFormat="1">
      <c r="A24" s="1599">
        <f t="shared" si="3"/>
        <v>19</v>
      </c>
      <c r="B24" s="6"/>
      <c r="C24" s="2173">
        <v>307587430200</v>
      </c>
      <c r="D24" s="2159" t="s">
        <v>6400</v>
      </c>
      <c r="E24" s="2931" t="s">
        <v>6446</v>
      </c>
      <c r="F24" s="2039" t="s">
        <v>1299</v>
      </c>
      <c r="G24" s="1647"/>
      <c r="H24" s="1647"/>
      <c r="I24" s="2159" t="s">
        <v>6114</v>
      </c>
      <c r="J24" s="2516">
        <v>49</v>
      </c>
      <c r="K24" s="1919" t="s">
        <v>6422</v>
      </c>
      <c r="L24" s="2516">
        <v>39</v>
      </c>
      <c r="M24" s="2159" t="s">
        <v>108</v>
      </c>
      <c r="N24" s="6"/>
      <c r="O24" s="6"/>
      <c r="P24" s="1603"/>
      <c r="Q24" s="1603"/>
      <c r="R24" s="1603"/>
      <c r="S24" s="1603"/>
      <c r="T24" s="1604"/>
      <c r="U24" s="1603"/>
      <c r="V24" s="1603"/>
      <c r="W24" s="2791"/>
      <c r="X24" s="1614"/>
      <c r="Y24" s="2878">
        <v>550000</v>
      </c>
      <c r="Z24" s="2879">
        <f t="shared" si="2"/>
        <v>594000</v>
      </c>
      <c r="AA24" s="1606"/>
      <c r="AB24" s="1824"/>
      <c r="AC24" s="13"/>
      <c r="AD24" s="13"/>
      <c r="AE24" s="13"/>
      <c r="AF24" s="13"/>
      <c r="AG24" s="13"/>
      <c r="AH24" s="13"/>
      <c r="AI24" s="13"/>
    </row>
    <row r="25" spans="1:35" s="5" customFormat="1">
      <c r="A25" s="1599">
        <f t="shared" si="3"/>
        <v>20</v>
      </c>
      <c r="B25" s="6"/>
      <c r="C25" s="2173">
        <v>307591388220</v>
      </c>
      <c r="D25" s="2159" t="s">
        <v>6435</v>
      </c>
      <c r="E25" s="2931" t="s">
        <v>6446</v>
      </c>
      <c r="F25" s="2039" t="s">
        <v>1299</v>
      </c>
      <c r="G25" s="1647"/>
      <c r="H25" s="1647"/>
      <c r="I25" s="2159" t="s">
        <v>6114</v>
      </c>
      <c r="J25" s="2516">
        <v>50</v>
      </c>
      <c r="K25" s="1919" t="s">
        <v>6427</v>
      </c>
      <c r="L25" s="2516">
        <v>495</v>
      </c>
      <c r="M25" s="2159" t="s">
        <v>108</v>
      </c>
      <c r="N25" s="6"/>
      <c r="O25" s="6"/>
      <c r="P25" s="1603"/>
      <c r="Q25" s="1603"/>
      <c r="R25" s="1603"/>
      <c r="S25" s="1603"/>
      <c r="T25" s="1604"/>
      <c r="U25" s="1603"/>
      <c r="V25" s="1603"/>
      <c r="W25" s="2791"/>
      <c r="X25" s="1614"/>
      <c r="Y25" s="2878">
        <v>550000</v>
      </c>
      <c r="Z25" s="2879">
        <f t="shared" si="2"/>
        <v>594000</v>
      </c>
      <c r="AA25" s="1606"/>
      <c r="AB25" s="1824"/>
      <c r="AC25" s="13"/>
      <c r="AD25" s="13"/>
      <c r="AE25" s="13"/>
      <c r="AF25" s="13"/>
      <c r="AG25" s="13"/>
      <c r="AH25" s="13"/>
      <c r="AI25" s="13"/>
    </row>
    <row r="26" spans="1:35" s="5" customFormat="1">
      <c r="A26" s="1599">
        <f t="shared" si="3"/>
        <v>21</v>
      </c>
      <c r="B26" s="6"/>
      <c r="C26" s="2173">
        <v>307594984930</v>
      </c>
      <c r="D26" s="2159" t="s">
        <v>6435</v>
      </c>
      <c r="E26" s="2931" t="s">
        <v>6446</v>
      </c>
      <c r="F26" s="2039" t="s">
        <v>1299</v>
      </c>
      <c r="G26" s="1647"/>
      <c r="H26" s="1647"/>
      <c r="I26" s="2159" t="s">
        <v>6114</v>
      </c>
      <c r="J26" s="2516">
        <v>51</v>
      </c>
      <c r="K26" s="1919" t="s">
        <v>6438</v>
      </c>
      <c r="L26" s="2516">
        <v>200</v>
      </c>
      <c r="M26" s="3066" t="s">
        <v>123</v>
      </c>
      <c r="N26" s="6"/>
      <c r="O26" s="6"/>
      <c r="P26" s="1603"/>
      <c r="Q26" s="1603"/>
      <c r="R26" s="1603"/>
      <c r="S26" s="1603"/>
      <c r="T26" s="1604"/>
      <c r="U26" s="1603"/>
      <c r="V26" s="1603"/>
      <c r="W26" s="2791"/>
      <c r="X26" s="1614"/>
      <c r="Y26" s="2878">
        <v>550000</v>
      </c>
      <c r="Z26" s="2879">
        <f t="shared" si="2"/>
        <v>594000</v>
      </c>
      <c r="AA26" s="1606"/>
      <c r="AB26" s="1824"/>
      <c r="AC26" s="13"/>
      <c r="AD26" s="13"/>
      <c r="AE26" s="13"/>
      <c r="AF26" s="13"/>
      <c r="AG26" s="13"/>
      <c r="AH26" s="13"/>
      <c r="AI26" s="13"/>
    </row>
    <row r="27" spans="1:35" s="5" customFormat="1">
      <c r="A27" s="1599">
        <f t="shared" si="3"/>
        <v>22</v>
      </c>
      <c r="B27" s="6"/>
      <c r="C27" s="2173">
        <v>307596780650</v>
      </c>
      <c r="D27" s="2159" t="s">
        <v>6449</v>
      </c>
      <c r="E27" s="2931" t="s">
        <v>6446</v>
      </c>
      <c r="F27" s="2039" t="s">
        <v>1299</v>
      </c>
      <c r="G27" s="1647"/>
      <c r="H27" s="1647"/>
      <c r="I27" s="2159" t="s">
        <v>6114</v>
      </c>
      <c r="J27" s="2518" t="s">
        <v>6453</v>
      </c>
      <c r="K27" s="1919" t="s">
        <v>6451</v>
      </c>
      <c r="L27" s="2516">
        <v>300</v>
      </c>
      <c r="M27" s="2159" t="s">
        <v>108</v>
      </c>
      <c r="N27" s="6"/>
      <c r="O27" s="6"/>
      <c r="P27" s="1603"/>
      <c r="Q27" s="1603"/>
      <c r="R27" s="1603"/>
      <c r="S27" s="1603"/>
      <c r="T27" s="1604"/>
      <c r="U27" s="1603"/>
      <c r="V27" s="1603"/>
      <c r="W27" s="2791"/>
      <c r="X27" s="1614"/>
      <c r="Y27" s="2878">
        <v>550000</v>
      </c>
      <c r="Z27" s="2879">
        <f t="shared" ref="Z27:Z33" si="4">+Y27*1.08</f>
        <v>594000</v>
      </c>
      <c r="AA27" s="1606"/>
      <c r="AB27" s="1824"/>
      <c r="AC27" s="13"/>
      <c r="AD27" s="13"/>
      <c r="AE27" s="13"/>
      <c r="AF27" s="13"/>
      <c r="AG27" s="13"/>
      <c r="AH27" s="13"/>
      <c r="AI27" s="13"/>
    </row>
    <row r="28" spans="1:35" s="5" customFormat="1">
      <c r="A28" s="1599">
        <f t="shared" si="3"/>
        <v>23</v>
      </c>
      <c r="B28" s="6"/>
      <c r="C28" s="2173">
        <v>307601871420</v>
      </c>
      <c r="D28" s="2159" t="s">
        <v>6441</v>
      </c>
      <c r="E28" s="2931" t="s">
        <v>6446</v>
      </c>
      <c r="F28" s="2039" t="s">
        <v>1299</v>
      </c>
      <c r="G28" s="1647"/>
      <c r="H28" s="1647"/>
      <c r="I28" s="2159" t="s">
        <v>6174</v>
      </c>
      <c r="J28" s="2516"/>
      <c r="K28" s="1919" t="s">
        <v>6469</v>
      </c>
      <c r="L28" s="2516">
        <v>19</v>
      </c>
      <c r="M28" s="2159" t="s">
        <v>108</v>
      </c>
      <c r="N28" s="6"/>
      <c r="O28" s="6"/>
      <c r="P28" s="1603"/>
      <c r="Q28" s="1603"/>
      <c r="R28" s="1603"/>
      <c r="S28" s="1603"/>
      <c r="T28" s="1604"/>
      <c r="U28" s="1603"/>
      <c r="V28" s="1603"/>
      <c r="W28" s="2791"/>
      <c r="X28" s="1614"/>
      <c r="Y28" s="2878">
        <v>550000</v>
      </c>
      <c r="Z28" s="2879">
        <f t="shared" si="4"/>
        <v>594000</v>
      </c>
      <c r="AA28" s="1606"/>
      <c r="AB28" s="1824"/>
      <c r="AC28" s="13"/>
      <c r="AD28" s="13"/>
      <c r="AE28" s="13"/>
      <c r="AF28" s="13"/>
      <c r="AG28" s="13"/>
      <c r="AH28" s="13"/>
      <c r="AI28" s="13"/>
    </row>
    <row r="29" spans="1:35" s="5" customFormat="1">
      <c r="A29" s="1599">
        <f t="shared" ref="A29:A70" si="5">+A28+1</f>
        <v>24</v>
      </c>
      <c r="B29" s="6"/>
      <c r="C29" s="2173">
        <v>307604848630</v>
      </c>
      <c r="D29" s="2159" t="s">
        <v>6392</v>
      </c>
      <c r="E29" s="2931" t="s">
        <v>6446</v>
      </c>
      <c r="F29" s="2039" t="s">
        <v>1299</v>
      </c>
      <c r="G29" s="1647"/>
      <c r="H29" s="1647"/>
      <c r="I29" s="2159" t="s">
        <v>6470</v>
      </c>
      <c r="J29" s="2516"/>
      <c r="K29" s="1919" t="s">
        <v>6471</v>
      </c>
      <c r="L29" s="2516">
        <v>275</v>
      </c>
      <c r="M29" s="2159" t="s">
        <v>108</v>
      </c>
      <c r="N29" s="6"/>
      <c r="O29" s="6"/>
      <c r="P29" s="1603"/>
      <c r="Q29" s="1603"/>
      <c r="R29" s="1603"/>
      <c r="S29" s="1603"/>
      <c r="T29" s="1604"/>
      <c r="U29" s="1603"/>
      <c r="V29" s="1603"/>
      <c r="W29" s="2791"/>
      <c r="X29" s="1614"/>
      <c r="Y29" s="2878">
        <v>550000</v>
      </c>
      <c r="Z29" s="2879">
        <f t="shared" si="4"/>
        <v>594000</v>
      </c>
      <c r="AA29" s="1606"/>
      <c r="AB29" s="1824"/>
      <c r="AC29" s="13"/>
      <c r="AD29" s="13"/>
      <c r="AE29" s="13"/>
      <c r="AF29" s="13"/>
      <c r="AG29" s="13"/>
      <c r="AH29" s="13"/>
      <c r="AI29" s="13"/>
    </row>
    <row r="30" spans="1:35" s="5" customFormat="1">
      <c r="A30" s="1599">
        <f t="shared" si="5"/>
        <v>25</v>
      </c>
      <c r="B30" s="6"/>
      <c r="C30" s="2173">
        <v>307605000050</v>
      </c>
      <c r="D30" s="2159" t="s">
        <v>6392</v>
      </c>
      <c r="E30" s="2931" t="s">
        <v>6446</v>
      </c>
      <c r="F30" s="2039" t="s">
        <v>1299</v>
      </c>
      <c r="G30" s="1647"/>
      <c r="H30" s="1647"/>
      <c r="I30" s="2159" t="s">
        <v>6114</v>
      </c>
      <c r="J30" s="2518" t="s">
        <v>6488</v>
      </c>
      <c r="K30" s="1919" t="s">
        <v>6472</v>
      </c>
      <c r="L30" s="2516">
        <v>610</v>
      </c>
      <c r="M30" s="2159" t="s">
        <v>108</v>
      </c>
      <c r="N30" s="6"/>
      <c r="O30" s="6"/>
      <c r="P30" s="1603"/>
      <c r="Q30" s="1603"/>
      <c r="R30" s="1603"/>
      <c r="S30" s="1603"/>
      <c r="T30" s="1604"/>
      <c r="U30" s="1603"/>
      <c r="V30" s="1603"/>
      <c r="W30" s="2791"/>
      <c r="X30" s="1614"/>
      <c r="Y30" s="2878">
        <v>550000</v>
      </c>
      <c r="Z30" s="2879">
        <f t="shared" si="4"/>
        <v>594000</v>
      </c>
      <c r="AA30" s="1606"/>
      <c r="AB30" s="1824"/>
      <c r="AC30" s="13"/>
      <c r="AD30" s="13"/>
      <c r="AE30" s="13"/>
      <c r="AF30" s="13"/>
      <c r="AG30" s="13"/>
      <c r="AH30" s="13"/>
      <c r="AI30" s="13"/>
    </row>
    <row r="31" spans="1:35" s="5" customFormat="1">
      <c r="A31" s="1599">
        <f t="shared" si="5"/>
        <v>26</v>
      </c>
      <c r="B31" s="6"/>
      <c r="C31" s="2173">
        <v>307605045920</v>
      </c>
      <c r="D31" s="2159" t="s">
        <v>6441</v>
      </c>
      <c r="E31" s="2931" t="s">
        <v>6446</v>
      </c>
      <c r="F31" s="2039" t="s">
        <v>1299</v>
      </c>
      <c r="G31" s="1647"/>
      <c r="H31" s="1647"/>
      <c r="I31" s="2159" t="s">
        <v>6114</v>
      </c>
      <c r="J31" s="2518" t="s">
        <v>6474</v>
      </c>
      <c r="K31" s="1919" t="s">
        <v>6473</v>
      </c>
      <c r="L31" s="2516">
        <v>150</v>
      </c>
      <c r="M31" s="2159" t="s">
        <v>108</v>
      </c>
      <c r="N31" s="6"/>
      <c r="O31" s="6"/>
      <c r="P31" s="1603"/>
      <c r="Q31" s="1603"/>
      <c r="R31" s="1603"/>
      <c r="S31" s="1603"/>
      <c r="T31" s="1604"/>
      <c r="U31" s="1603"/>
      <c r="V31" s="1603"/>
      <c r="W31" s="2791"/>
      <c r="X31" s="1614"/>
      <c r="Y31" s="2878">
        <v>550000</v>
      </c>
      <c r="Z31" s="2879">
        <f t="shared" si="4"/>
        <v>594000</v>
      </c>
      <c r="AA31" s="1606"/>
      <c r="AB31" s="1824"/>
      <c r="AC31" s="13"/>
      <c r="AD31" s="13"/>
      <c r="AE31" s="13"/>
      <c r="AF31" s="13"/>
      <c r="AG31" s="13"/>
      <c r="AH31" s="13"/>
      <c r="AI31" s="13"/>
    </row>
    <row r="32" spans="1:35" s="5" customFormat="1">
      <c r="A32" s="4097" t="s">
        <v>6481</v>
      </c>
      <c r="B32" s="4098"/>
      <c r="C32" s="4098"/>
      <c r="D32" s="4098"/>
      <c r="E32" s="4098"/>
      <c r="F32" s="4098"/>
      <c r="G32" s="4098"/>
      <c r="H32" s="4098"/>
      <c r="I32" s="4098"/>
      <c r="J32" s="4098"/>
      <c r="K32" s="4098"/>
      <c r="L32" s="4098"/>
      <c r="M32" s="4099"/>
      <c r="N32" s="2788"/>
      <c r="O32" s="2789"/>
      <c r="P32" s="1004"/>
      <c r="Q32" s="1004"/>
      <c r="R32" s="1004"/>
      <c r="S32" s="1004"/>
      <c r="T32" s="1006"/>
      <c r="U32" s="1004"/>
      <c r="V32" s="1004"/>
      <c r="W32" s="1008"/>
      <c r="X32" s="1009"/>
      <c r="Y32" s="1007">
        <f>SUM(Y6:Y31)</f>
        <v>14300000</v>
      </c>
      <c r="Z32" s="1007">
        <f>SUM(Z6:Z31)</f>
        <v>15444000</v>
      </c>
      <c r="AA32" s="1606"/>
      <c r="AB32" s="1824"/>
      <c r="AC32" s="13"/>
      <c r="AD32" s="13"/>
      <c r="AE32" s="13"/>
      <c r="AF32" s="13"/>
      <c r="AG32" s="13"/>
      <c r="AH32" s="13"/>
      <c r="AI32" s="13"/>
    </row>
    <row r="33" spans="1:35" s="5" customFormat="1" ht="26.4">
      <c r="A33" s="1599">
        <v>1</v>
      </c>
      <c r="B33" s="6"/>
      <c r="C33" s="2039">
        <v>107389287240</v>
      </c>
      <c r="D33" s="2159" t="s">
        <v>6484</v>
      </c>
      <c r="E33" s="2931" t="s">
        <v>6680</v>
      </c>
      <c r="F33" s="2039" t="s">
        <v>206</v>
      </c>
      <c r="G33" s="1647"/>
      <c r="H33" s="1647"/>
      <c r="I33" s="2941" t="s">
        <v>6139</v>
      </c>
      <c r="J33" s="2516"/>
      <c r="K33" s="2619" t="s">
        <v>6492</v>
      </c>
      <c r="L33" s="2516">
        <v>340</v>
      </c>
      <c r="M33" s="3066" t="s">
        <v>123</v>
      </c>
      <c r="N33" s="6"/>
      <c r="O33" s="6"/>
      <c r="P33" s="1603"/>
      <c r="Q33" s="1603"/>
      <c r="R33" s="1603"/>
      <c r="S33" s="1603"/>
      <c r="T33" s="1604"/>
      <c r="U33" s="1603"/>
      <c r="V33" s="1603"/>
      <c r="W33" s="2791"/>
      <c r="X33" s="1614"/>
      <c r="Y33" s="2878">
        <v>550000</v>
      </c>
      <c r="Z33" s="2879">
        <f t="shared" si="4"/>
        <v>594000</v>
      </c>
      <c r="AA33" s="1606"/>
      <c r="AB33" s="1824"/>
      <c r="AC33" s="981"/>
      <c r="AD33" s="981"/>
      <c r="AE33" s="981"/>
      <c r="AF33" s="981"/>
      <c r="AG33" s="981"/>
      <c r="AH33" s="981"/>
      <c r="AI33" s="13"/>
    </row>
    <row r="34" spans="1:35" s="5" customFormat="1">
      <c r="A34" s="1599">
        <f t="shared" si="5"/>
        <v>2</v>
      </c>
      <c r="B34" s="6"/>
      <c r="C34" s="2173">
        <v>307619072520</v>
      </c>
      <c r="D34" s="2159" t="s">
        <v>6493</v>
      </c>
      <c r="E34" s="2931" t="s">
        <v>6680</v>
      </c>
      <c r="F34" s="2039" t="s">
        <v>1299</v>
      </c>
      <c r="G34" s="1647"/>
      <c r="H34" s="1647"/>
      <c r="I34" s="2159" t="s">
        <v>6114</v>
      </c>
      <c r="J34" s="2518" t="s">
        <v>6508</v>
      </c>
      <c r="K34" s="1919" t="s">
        <v>6509</v>
      </c>
      <c r="L34" s="2518" t="s">
        <v>6511</v>
      </c>
      <c r="M34" s="3066" t="s">
        <v>123</v>
      </c>
      <c r="N34" s="6"/>
      <c r="O34" s="6"/>
      <c r="P34" s="1603"/>
      <c r="Q34" s="1603"/>
      <c r="R34" s="1603"/>
      <c r="S34" s="1603"/>
      <c r="T34" s="1604"/>
      <c r="U34" s="1603"/>
      <c r="V34" s="1603"/>
      <c r="W34" s="2791"/>
      <c r="X34" s="1614"/>
      <c r="Y34" s="2878">
        <v>550000</v>
      </c>
      <c r="Z34" s="2879">
        <f t="shared" ref="Z34:Z58" si="6">+Y34*1.08</f>
        <v>594000</v>
      </c>
      <c r="AA34" s="1606"/>
      <c r="AB34" s="1824"/>
      <c r="AC34" s="981"/>
      <c r="AD34" s="981"/>
      <c r="AE34" s="981"/>
      <c r="AF34" s="981"/>
      <c r="AG34" s="981"/>
      <c r="AH34" s="981"/>
      <c r="AI34" s="13"/>
    </row>
    <row r="35" spans="1:35" s="5" customFormat="1">
      <c r="A35" s="1599">
        <f t="shared" si="5"/>
        <v>3</v>
      </c>
      <c r="B35" s="6"/>
      <c r="C35" s="2173">
        <v>307620091350</v>
      </c>
      <c r="D35" s="2159" t="s">
        <v>6493</v>
      </c>
      <c r="E35" s="2931" t="s">
        <v>6680</v>
      </c>
      <c r="F35" s="2039" t="s">
        <v>1299</v>
      </c>
      <c r="G35" s="1647"/>
      <c r="H35" s="1647"/>
      <c r="I35" s="1824" t="s">
        <v>6512</v>
      </c>
      <c r="J35" s="2516"/>
      <c r="K35" s="1919" t="s">
        <v>6516</v>
      </c>
      <c r="L35" s="2518" t="s">
        <v>6510</v>
      </c>
      <c r="M35" s="1599" t="s">
        <v>108</v>
      </c>
      <c r="N35" s="6"/>
      <c r="O35" s="6"/>
      <c r="P35" s="1603"/>
      <c r="Q35" s="1603"/>
      <c r="R35" s="1603"/>
      <c r="S35" s="1603"/>
      <c r="T35" s="1604"/>
      <c r="U35" s="1603"/>
      <c r="V35" s="1603"/>
      <c r="W35" s="2791"/>
      <c r="X35" s="1614"/>
      <c r="Y35" s="2878">
        <v>550000</v>
      </c>
      <c r="Z35" s="2879">
        <f t="shared" si="6"/>
        <v>594000</v>
      </c>
      <c r="AA35" s="1606"/>
      <c r="AB35" s="1824"/>
      <c r="AC35" s="981"/>
      <c r="AD35" s="981"/>
      <c r="AE35" s="981"/>
      <c r="AF35" s="981"/>
      <c r="AG35" s="981"/>
      <c r="AH35" s="981"/>
      <c r="AI35" s="13"/>
    </row>
    <row r="36" spans="1:35" s="5" customFormat="1">
      <c r="A36" s="1599">
        <f t="shared" si="5"/>
        <v>4</v>
      </c>
      <c r="B36" s="6"/>
      <c r="C36" s="2173">
        <v>307628152660</v>
      </c>
      <c r="D36" s="2159" t="s">
        <v>6532</v>
      </c>
      <c r="E36" s="2931" t="s">
        <v>6680</v>
      </c>
      <c r="F36" s="2039" t="s">
        <v>1299</v>
      </c>
      <c r="G36" s="1647"/>
      <c r="H36" s="1647"/>
      <c r="I36" s="2159" t="s">
        <v>6114</v>
      </c>
      <c r="J36" s="2518" t="s">
        <v>6533</v>
      </c>
      <c r="K36" s="1919" t="s">
        <v>6531</v>
      </c>
      <c r="L36" s="2518" t="s">
        <v>6534</v>
      </c>
      <c r="M36" s="1599" t="s">
        <v>108</v>
      </c>
      <c r="N36" s="6"/>
      <c r="O36" s="6"/>
      <c r="P36" s="1603"/>
      <c r="Q36" s="1603"/>
      <c r="R36" s="1603"/>
      <c r="S36" s="1603"/>
      <c r="T36" s="1604"/>
      <c r="U36" s="1603"/>
      <c r="V36" s="1603"/>
      <c r="W36" s="2791"/>
      <c r="X36" s="1614"/>
      <c r="Y36" s="2878">
        <v>550000</v>
      </c>
      <c r="Z36" s="2879">
        <f t="shared" si="6"/>
        <v>594000</v>
      </c>
      <c r="AA36" s="1606"/>
      <c r="AB36" s="1824"/>
      <c r="AC36" s="981"/>
      <c r="AD36" s="981"/>
      <c r="AE36" s="981"/>
      <c r="AF36" s="981"/>
      <c r="AG36" s="981"/>
      <c r="AH36" s="981"/>
      <c r="AI36" s="13"/>
    </row>
    <row r="37" spans="1:35" s="5" customFormat="1">
      <c r="A37" s="1599">
        <f t="shared" si="5"/>
        <v>5</v>
      </c>
      <c r="B37" s="6"/>
      <c r="C37" s="2173">
        <v>307631334750</v>
      </c>
      <c r="D37" s="2159" t="s">
        <v>6532</v>
      </c>
      <c r="E37" s="2931" t="s">
        <v>6680</v>
      </c>
      <c r="F37" s="2039" t="s">
        <v>1299</v>
      </c>
      <c r="G37" s="1647"/>
      <c r="H37" s="1647"/>
      <c r="I37" s="2159" t="s">
        <v>6114</v>
      </c>
      <c r="J37" s="2518" t="s">
        <v>6545</v>
      </c>
      <c r="K37" s="1919" t="s">
        <v>6535</v>
      </c>
      <c r="L37" s="2518" t="s">
        <v>6536</v>
      </c>
      <c r="M37" s="3065" t="s">
        <v>123</v>
      </c>
      <c r="N37" s="6"/>
      <c r="O37" s="6"/>
      <c r="P37" s="1603"/>
      <c r="Q37" s="1603"/>
      <c r="R37" s="1603"/>
      <c r="S37" s="1603"/>
      <c r="T37" s="1604"/>
      <c r="U37" s="1603"/>
      <c r="V37" s="1603"/>
      <c r="W37" s="2791"/>
      <c r="X37" s="1614"/>
      <c r="Y37" s="2878">
        <v>550000</v>
      </c>
      <c r="Z37" s="2879">
        <f t="shared" si="6"/>
        <v>594000</v>
      </c>
      <c r="AA37" s="1606"/>
      <c r="AB37" s="1824"/>
      <c r="AC37" s="981"/>
      <c r="AD37" s="981"/>
      <c r="AE37" s="981"/>
      <c r="AF37" s="981"/>
      <c r="AG37" s="981"/>
      <c r="AH37" s="981"/>
      <c r="AI37" s="13"/>
    </row>
    <row r="38" spans="1:35" s="5" customFormat="1">
      <c r="A38" s="1599">
        <f t="shared" si="5"/>
        <v>6</v>
      </c>
      <c r="B38" s="6"/>
      <c r="C38" s="2173">
        <v>307639379960</v>
      </c>
      <c r="D38" s="2159" t="s">
        <v>6575</v>
      </c>
      <c r="E38" s="2931" t="s">
        <v>6680</v>
      </c>
      <c r="F38" s="2039" t="s">
        <v>1299</v>
      </c>
      <c r="G38" s="1647"/>
      <c r="H38" s="1647"/>
      <c r="I38" s="2159" t="s">
        <v>6114</v>
      </c>
      <c r="J38" s="2518" t="s">
        <v>6574</v>
      </c>
      <c r="K38" s="1919" t="s">
        <v>6594</v>
      </c>
      <c r="L38" s="2518" t="s">
        <v>6576</v>
      </c>
      <c r="M38" s="1599" t="s">
        <v>108</v>
      </c>
      <c r="N38" s="6"/>
      <c r="O38" s="6"/>
      <c r="P38" s="1603"/>
      <c r="Q38" s="1603"/>
      <c r="R38" s="1603"/>
      <c r="S38" s="1603"/>
      <c r="T38" s="1604"/>
      <c r="U38" s="1603"/>
      <c r="V38" s="1603"/>
      <c r="W38" s="2791"/>
      <c r="X38" s="1614"/>
      <c r="Y38" s="2878">
        <v>550000</v>
      </c>
      <c r="Z38" s="2879">
        <f t="shared" si="6"/>
        <v>594000</v>
      </c>
      <c r="AA38" s="1606"/>
      <c r="AB38" s="1824"/>
      <c r="AC38" s="981"/>
      <c r="AD38" s="981"/>
      <c r="AE38" s="981"/>
      <c r="AF38" s="981"/>
      <c r="AG38" s="981"/>
      <c r="AH38" s="981"/>
      <c r="AI38" s="13"/>
    </row>
    <row r="39" spans="1:35" s="5" customFormat="1" ht="26.4">
      <c r="A39" s="1599">
        <f t="shared" si="5"/>
        <v>7</v>
      </c>
      <c r="B39" s="6"/>
      <c r="C39" s="2039">
        <v>107420764140</v>
      </c>
      <c r="D39" s="2159" t="s">
        <v>6601</v>
      </c>
      <c r="E39" s="2931" t="s">
        <v>6680</v>
      </c>
      <c r="F39" s="2039" t="s">
        <v>206</v>
      </c>
      <c r="G39" s="1647"/>
      <c r="H39" s="1647"/>
      <c r="I39" s="1824" t="s">
        <v>6600</v>
      </c>
      <c r="J39" s="2516"/>
      <c r="K39" s="2619" t="s">
        <v>6602</v>
      </c>
      <c r="L39" s="2518" t="s">
        <v>6603</v>
      </c>
      <c r="M39" s="3065" t="s">
        <v>123</v>
      </c>
      <c r="N39" s="6"/>
      <c r="O39" s="6"/>
      <c r="P39" s="1593"/>
      <c r="Q39" s="1593"/>
      <c r="R39" s="1593"/>
      <c r="S39" s="1593"/>
      <c r="T39" s="1594"/>
      <c r="U39" s="1593"/>
      <c r="V39" s="1593"/>
      <c r="W39" s="2283"/>
      <c r="X39" s="1595"/>
      <c r="Y39" s="2878">
        <v>550000</v>
      </c>
      <c r="Z39" s="2879">
        <f t="shared" si="6"/>
        <v>594000</v>
      </c>
      <c r="AA39" s="1606"/>
      <c r="AB39" s="1824"/>
      <c r="AC39" s="981"/>
      <c r="AD39" s="981"/>
      <c r="AE39" s="981"/>
      <c r="AF39" s="981"/>
      <c r="AG39" s="981"/>
      <c r="AH39" s="981"/>
      <c r="AI39" s="13"/>
    </row>
    <row r="40" spans="1:35" s="5" customFormat="1" ht="26.4">
      <c r="A40" s="1599">
        <f t="shared" si="5"/>
        <v>8</v>
      </c>
      <c r="B40" s="6"/>
      <c r="C40" s="2039">
        <v>107422663720</v>
      </c>
      <c r="D40" s="2159" t="s">
        <v>6601</v>
      </c>
      <c r="E40" s="2931" t="s">
        <v>6680</v>
      </c>
      <c r="F40" s="2039" t="s">
        <v>206</v>
      </c>
      <c r="G40" s="1647"/>
      <c r="H40" s="1647"/>
      <c r="I40" s="1824" t="s">
        <v>6139</v>
      </c>
      <c r="J40" s="3418"/>
      <c r="K40" s="2619" t="s">
        <v>6623</v>
      </c>
      <c r="L40" s="2518" t="s">
        <v>6510</v>
      </c>
      <c r="M40" s="3065" t="s">
        <v>123</v>
      </c>
      <c r="N40" s="2995"/>
      <c r="O40" s="2995"/>
      <c r="P40" s="2995"/>
      <c r="Q40" s="2995"/>
      <c r="R40" s="2995"/>
      <c r="S40" s="2995"/>
      <c r="T40" s="2995"/>
      <c r="U40" s="2995"/>
      <c r="V40" s="2995"/>
      <c r="W40" s="2995"/>
      <c r="X40" s="2995"/>
      <c r="Y40" s="2878">
        <v>550000</v>
      </c>
      <c r="Z40" s="2879">
        <f t="shared" si="6"/>
        <v>594000</v>
      </c>
      <c r="AA40" s="2995"/>
      <c r="AB40" s="2995"/>
      <c r="AC40" s="3032"/>
      <c r="AD40" s="3032"/>
      <c r="AE40" s="3032"/>
      <c r="AF40" s="3032"/>
      <c r="AG40" s="3032"/>
      <c r="AH40" s="981"/>
      <c r="AI40" s="13"/>
    </row>
    <row r="41" spans="1:35" s="5" customFormat="1">
      <c r="A41" s="1599">
        <f t="shared" si="5"/>
        <v>9</v>
      </c>
      <c r="B41" s="6"/>
      <c r="C41" s="2173">
        <v>307649069400</v>
      </c>
      <c r="D41" s="2159" t="s">
        <v>6601</v>
      </c>
      <c r="E41" s="2931" t="s">
        <v>6680</v>
      </c>
      <c r="F41" s="2039" t="s">
        <v>1299</v>
      </c>
      <c r="G41" s="1647"/>
      <c r="H41" s="1647"/>
      <c r="I41" s="2159" t="s">
        <v>6114</v>
      </c>
      <c r="J41" s="2518" t="s">
        <v>6622</v>
      </c>
      <c r="K41" s="1919" t="s">
        <v>6621</v>
      </c>
      <c r="L41" s="2518" t="s">
        <v>6604</v>
      </c>
      <c r="M41" s="1599" t="s">
        <v>108</v>
      </c>
      <c r="N41" s="6"/>
      <c r="O41" s="6"/>
      <c r="P41" s="425"/>
      <c r="Q41" s="425"/>
      <c r="R41" s="425"/>
      <c r="S41" s="425"/>
      <c r="T41" s="426"/>
      <c r="U41" s="425"/>
      <c r="V41" s="425"/>
      <c r="W41" s="427"/>
      <c r="X41" s="2990"/>
      <c r="Y41" s="2878">
        <v>550000</v>
      </c>
      <c r="Z41" s="2879">
        <f t="shared" si="6"/>
        <v>594000</v>
      </c>
      <c r="AA41" s="1606"/>
      <c r="AB41" s="1824"/>
      <c r="AC41" s="981"/>
      <c r="AD41" s="981"/>
      <c r="AE41" s="981"/>
      <c r="AF41" s="981"/>
      <c r="AG41" s="981"/>
      <c r="AH41" s="981"/>
      <c r="AI41" s="13"/>
    </row>
    <row r="42" spans="1:35" s="5" customFormat="1">
      <c r="A42" s="1599">
        <f t="shared" si="5"/>
        <v>10</v>
      </c>
      <c r="B42" s="6"/>
      <c r="C42" s="2173">
        <v>307658791550</v>
      </c>
      <c r="D42" s="2159" t="s">
        <v>6505</v>
      </c>
      <c r="E42" s="2931" t="s">
        <v>6680</v>
      </c>
      <c r="F42" s="2039" t="s">
        <v>1299</v>
      </c>
      <c r="G42" s="1647"/>
      <c r="H42" s="1647"/>
      <c r="I42" s="2159" t="s">
        <v>6114</v>
      </c>
      <c r="J42" s="2518" t="s">
        <v>6648</v>
      </c>
      <c r="K42" s="1919" t="s">
        <v>6649</v>
      </c>
      <c r="L42" s="2518" t="s">
        <v>6650</v>
      </c>
      <c r="M42" s="3065" t="s">
        <v>123</v>
      </c>
      <c r="N42" s="6"/>
      <c r="O42" s="6"/>
      <c r="P42" s="1603"/>
      <c r="Q42" s="1603"/>
      <c r="R42" s="1603"/>
      <c r="S42" s="1603"/>
      <c r="T42" s="1604"/>
      <c r="U42" s="1603"/>
      <c r="V42" s="1603"/>
      <c r="W42" s="2791"/>
      <c r="X42" s="1614"/>
      <c r="Y42" s="2878">
        <v>550000</v>
      </c>
      <c r="Z42" s="2879">
        <f t="shared" si="6"/>
        <v>594000</v>
      </c>
      <c r="AA42" s="1606"/>
      <c r="AB42" s="1824"/>
      <c r="AC42" s="13"/>
      <c r="AD42" s="13"/>
      <c r="AE42" s="13"/>
      <c r="AF42" s="13"/>
      <c r="AG42" s="13"/>
      <c r="AH42" s="13"/>
      <c r="AI42" s="13"/>
    </row>
    <row r="43" spans="1:35" s="5" customFormat="1">
      <c r="A43" s="1599">
        <f t="shared" si="5"/>
        <v>11</v>
      </c>
      <c r="B43" s="6"/>
      <c r="C43" s="2173">
        <v>307673076930</v>
      </c>
      <c r="D43" s="2159" t="s">
        <v>6653</v>
      </c>
      <c r="E43" s="2931" t="s">
        <v>6680</v>
      </c>
      <c r="F43" s="2039" t="s">
        <v>1299</v>
      </c>
      <c r="G43" s="1647"/>
      <c r="H43" s="1647"/>
      <c r="I43" s="2159" t="s">
        <v>6174</v>
      </c>
      <c r="J43" s="2516"/>
      <c r="K43" s="2619" t="s">
        <v>6700</v>
      </c>
      <c r="L43" s="2518" t="s">
        <v>6699</v>
      </c>
      <c r="M43" s="1599" t="s">
        <v>108</v>
      </c>
      <c r="N43" s="6"/>
      <c r="O43" s="6"/>
      <c r="P43" s="1603"/>
      <c r="Q43" s="1603"/>
      <c r="R43" s="1603"/>
      <c r="S43" s="1603"/>
      <c r="T43" s="1604"/>
      <c r="U43" s="1603"/>
      <c r="V43" s="1603"/>
      <c r="W43" s="2791"/>
      <c r="X43" s="1614"/>
      <c r="Y43" s="2878">
        <v>550000</v>
      </c>
      <c r="Z43" s="2879">
        <f t="shared" si="6"/>
        <v>594000</v>
      </c>
      <c r="AA43" s="1606"/>
      <c r="AB43" s="1824"/>
      <c r="AC43" s="13"/>
      <c r="AD43" s="13"/>
      <c r="AE43" s="13"/>
      <c r="AF43" s="13"/>
      <c r="AG43" s="13"/>
      <c r="AH43" s="13"/>
      <c r="AI43" s="13"/>
    </row>
    <row r="44" spans="1:35" s="5" customFormat="1">
      <c r="A44" s="1599">
        <f t="shared" si="5"/>
        <v>12</v>
      </c>
      <c r="B44" s="6"/>
      <c r="C44" s="2173">
        <v>307681337741</v>
      </c>
      <c r="D44" s="2159" t="s">
        <v>6740</v>
      </c>
      <c r="E44" s="2931" t="s">
        <v>6680</v>
      </c>
      <c r="F44" s="2039" t="s">
        <v>1299</v>
      </c>
      <c r="G44" s="1647"/>
      <c r="H44" s="1647"/>
      <c r="I44" s="2159" t="s">
        <v>6174</v>
      </c>
      <c r="J44" s="2516"/>
      <c r="K44" s="2619" t="s">
        <v>6736</v>
      </c>
      <c r="L44" s="2516">
        <v>5</v>
      </c>
      <c r="M44" s="3052" t="s">
        <v>136</v>
      </c>
      <c r="N44" s="6"/>
      <c r="O44" s="6"/>
      <c r="P44" s="1603"/>
      <c r="Q44" s="1603"/>
      <c r="R44" s="1603"/>
      <c r="S44" s="1603"/>
      <c r="T44" s="1604"/>
      <c r="U44" s="1603"/>
      <c r="V44" s="1603"/>
      <c r="W44" s="2791"/>
      <c r="X44" s="1614" t="s">
        <v>1596</v>
      </c>
      <c r="Y44" s="2878">
        <f>550000+400000</f>
        <v>950000</v>
      </c>
      <c r="Z44" s="2879">
        <f t="shared" si="6"/>
        <v>1026000.0000000001</v>
      </c>
      <c r="AA44" s="1606"/>
      <c r="AB44" s="1824"/>
      <c r="AC44" s="13"/>
      <c r="AD44" s="13"/>
      <c r="AE44" s="13"/>
      <c r="AF44" s="13"/>
      <c r="AG44" s="13"/>
      <c r="AH44" s="13"/>
      <c r="AI44" s="13"/>
    </row>
    <row r="45" spans="1:35" s="5" customFormat="1" ht="26.4">
      <c r="A45" s="1599">
        <f t="shared" si="5"/>
        <v>13</v>
      </c>
      <c r="B45" s="6"/>
      <c r="C45" s="2039">
        <v>107457413930</v>
      </c>
      <c r="D45" s="2159" t="s">
        <v>6721</v>
      </c>
      <c r="E45" s="2931" t="s">
        <v>6680</v>
      </c>
      <c r="F45" s="2039" t="s">
        <v>206</v>
      </c>
      <c r="G45" s="1647"/>
      <c r="H45" s="1647"/>
      <c r="I45" s="1824" t="s">
        <v>6139</v>
      </c>
      <c r="J45" s="2516"/>
      <c r="K45" s="2619" t="s">
        <v>6765</v>
      </c>
      <c r="L45" s="2516">
        <v>350</v>
      </c>
      <c r="M45" s="3065" t="s">
        <v>123</v>
      </c>
      <c r="N45" s="6"/>
      <c r="O45" s="6"/>
      <c r="P45" s="1603"/>
      <c r="Q45" s="1603"/>
      <c r="R45" s="1603"/>
      <c r="S45" s="1603"/>
      <c r="T45" s="1604"/>
      <c r="U45" s="1603"/>
      <c r="V45" s="1603"/>
      <c r="W45" s="2791"/>
      <c r="X45" s="1614"/>
      <c r="Y45" s="2878">
        <v>550000</v>
      </c>
      <c r="Z45" s="2879">
        <f t="shared" si="6"/>
        <v>594000</v>
      </c>
      <c r="AA45" s="1606"/>
      <c r="AB45" s="1824"/>
      <c r="AC45" s="13"/>
      <c r="AD45" s="13"/>
      <c r="AE45" s="13"/>
      <c r="AF45" s="13"/>
      <c r="AG45" s="13"/>
      <c r="AH45" s="13"/>
      <c r="AI45" s="13"/>
    </row>
    <row r="46" spans="1:35" s="5" customFormat="1">
      <c r="A46" s="1599">
        <f t="shared" si="5"/>
        <v>14</v>
      </c>
      <c r="B46" s="6"/>
      <c r="C46" s="2173">
        <v>307691220600</v>
      </c>
      <c r="D46" s="2159" t="s">
        <v>6663</v>
      </c>
      <c r="E46" s="2931" t="s">
        <v>6680</v>
      </c>
      <c r="F46" s="2039" t="s">
        <v>1299</v>
      </c>
      <c r="G46" s="1647"/>
      <c r="H46" s="1647"/>
      <c r="I46" s="2159" t="s">
        <v>6114</v>
      </c>
      <c r="J46" s="2518" t="s">
        <v>6784</v>
      </c>
      <c r="K46" s="1919" t="s">
        <v>6782</v>
      </c>
      <c r="L46" s="2518" t="s">
        <v>6783</v>
      </c>
      <c r="M46" s="1599" t="s">
        <v>108</v>
      </c>
      <c r="N46" s="6"/>
      <c r="O46" s="6"/>
      <c r="P46" s="1603"/>
      <c r="Q46" s="1603"/>
      <c r="R46" s="1603"/>
      <c r="S46" s="1603"/>
      <c r="T46" s="1604"/>
      <c r="U46" s="1603"/>
      <c r="V46" s="1603"/>
      <c r="W46" s="2791"/>
      <c r="X46" s="1614"/>
      <c r="Y46" s="2878">
        <v>550000</v>
      </c>
      <c r="Z46" s="2879">
        <f t="shared" si="6"/>
        <v>594000</v>
      </c>
      <c r="AA46" s="1606"/>
      <c r="AB46" s="1824"/>
      <c r="AC46" s="13"/>
      <c r="AD46" s="13"/>
      <c r="AE46" s="13"/>
      <c r="AF46" s="13"/>
      <c r="AG46" s="13"/>
      <c r="AH46" s="13"/>
      <c r="AI46" s="13"/>
    </row>
    <row r="47" spans="1:35" s="5" customFormat="1" ht="26.4">
      <c r="A47" s="2378">
        <f t="shared" si="5"/>
        <v>15</v>
      </c>
      <c r="B47" s="6"/>
      <c r="C47" s="2701">
        <v>107464629050</v>
      </c>
      <c r="D47" s="3078" t="s">
        <v>6642</v>
      </c>
      <c r="E47" s="3079" t="s">
        <v>6680</v>
      </c>
      <c r="F47" s="2701" t="s">
        <v>206</v>
      </c>
      <c r="G47" s="3080"/>
      <c r="H47" s="3080"/>
      <c r="I47" s="1726" t="s">
        <v>6139</v>
      </c>
      <c r="J47" s="2870"/>
      <c r="K47" s="3081" t="s">
        <v>6795</v>
      </c>
      <c r="L47" s="2870">
        <v>80</v>
      </c>
      <c r="M47" s="3066" t="s">
        <v>123</v>
      </c>
      <c r="N47" s="6"/>
      <c r="O47" s="6"/>
      <c r="P47" s="1593"/>
      <c r="Q47" s="1593"/>
      <c r="R47" s="1593"/>
      <c r="S47" s="1593"/>
      <c r="T47" s="1594"/>
      <c r="U47" s="1593"/>
      <c r="V47" s="1593"/>
      <c r="W47" s="2283"/>
      <c r="X47" s="1595"/>
      <c r="Y47" s="2878">
        <v>550000</v>
      </c>
      <c r="Z47" s="2879">
        <f t="shared" si="6"/>
        <v>594000</v>
      </c>
      <c r="AA47" s="1606"/>
      <c r="AB47" s="1824"/>
      <c r="AC47" s="13"/>
      <c r="AD47" s="13"/>
      <c r="AE47" s="13"/>
      <c r="AF47" s="13"/>
      <c r="AG47" s="13"/>
      <c r="AH47" s="13"/>
      <c r="AI47" s="13"/>
    </row>
    <row r="48" spans="1:35" s="5" customFormat="1">
      <c r="A48" s="1599">
        <v>16</v>
      </c>
      <c r="B48" s="1647"/>
      <c r="C48" s="2173">
        <v>307710286130</v>
      </c>
      <c r="D48" s="2159" t="s">
        <v>6694</v>
      </c>
      <c r="E48" s="2931" t="s">
        <v>6680</v>
      </c>
      <c r="F48" s="2039" t="s">
        <v>1299</v>
      </c>
      <c r="G48" s="1647"/>
      <c r="H48" s="1647"/>
      <c r="I48" s="2159" t="s">
        <v>6114</v>
      </c>
      <c r="J48" s="2518" t="s">
        <v>6846</v>
      </c>
      <c r="K48" s="1919" t="s">
        <v>6845</v>
      </c>
      <c r="L48" s="2516">
        <v>332</v>
      </c>
      <c r="M48" s="1599" t="s">
        <v>108</v>
      </c>
      <c r="N48" s="1647"/>
      <c r="O48" s="1647"/>
      <c r="P48" s="1603"/>
      <c r="Q48" s="1603"/>
      <c r="R48" s="1603"/>
      <c r="S48" s="1603"/>
      <c r="T48" s="1604"/>
      <c r="U48" s="1603"/>
      <c r="V48" s="1603"/>
      <c r="W48" s="2791"/>
      <c r="X48" s="1614"/>
      <c r="Y48" s="2878">
        <v>550000</v>
      </c>
      <c r="Z48" s="2879">
        <f t="shared" si="6"/>
        <v>594000</v>
      </c>
      <c r="AA48" s="1606"/>
      <c r="AB48" s="1824"/>
      <c r="AC48" s="13"/>
      <c r="AD48" s="13"/>
      <c r="AE48" s="13"/>
      <c r="AF48" s="13"/>
      <c r="AG48" s="13"/>
      <c r="AH48" s="13"/>
      <c r="AI48" s="13"/>
    </row>
    <row r="49" spans="1:35" s="5" customFormat="1">
      <c r="A49" s="3753" t="s">
        <v>6828</v>
      </c>
      <c r="B49" s="3754"/>
      <c r="C49" s="3754"/>
      <c r="D49" s="3754"/>
      <c r="E49" s="3754"/>
      <c r="F49" s="3754"/>
      <c r="G49" s="3754"/>
      <c r="H49" s="3754"/>
      <c r="I49" s="3754"/>
      <c r="J49" s="3754"/>
      <c r="K49" s="3754"/>
      <c r="L49" s="3754"/>
      <c r="M49" s="3755"/>
      <c r="N49" s="2788"/>
      <c r="O49" s="2789"/>
      <c r="P49" s="1004"/>
      <c r="Q49" s="1004"/>
      <c r="R49" s="1004"/>
      <c r="S49" s="1004"/>
      <c r="T49" s="1006"/>
      <c r="U49" s="1004"/>
      <c r="V49" s="1004"/>
      <c r="W49" s="1008"/>
      <c r="X49" s="1009"/>
      <c r="Y49" s="1007">
        <f>SUM(Y33:Y47)</f>
        <v>8650000</v>
      </c>
      <c r="Z49" s="1007">
        <f>SUM(Z33:Z47)</f>
        <v>9342000</v>
      </c>
      <c r="AA49" s="1606"/>
      <c r="AB49" s="1824"/>
      <c r="AC49" s="13"/>
      <c r="AD49" s="13"/>
      <c r="AE49" s="13"/>
      <c r="AF49" s="13"/>
      <c r="AG49" s="13"/>
      <c r="AH49" s="13"/>
      <c r="AI49" s="13"/>
    </row>
    <row r="50" spans="1:35" s="5" customFormat="1">
      <c r="A50" s="1599">
        <v>1</v>
      </c>
      <c r="B50" s="6"/>
      <c r="C50" s="2173">
        <v>307717324630</v>
      </c>
      <c r="D50" s="2159" t="s">
        <v>6859</v>
      </c>
      <c r="E50" s="2173" t="s">
        <v>7015</v>
      </c>
      <c r="F50" s="2039" t="s">
        <v>1299</v>
      </c>
      <c r="G50" s="1647"/>
      <c r="H50" s="1647"/>
      <c r="I50" s="1824" t="s">
        <v>6862</v>
      </c>
      <c r="J50" s="2516"/>
      <c r="K50" s="1919" t="s">
        <v>6863</v>
      </c>
      <c r="L50" s="2516">
        <v>101</v>
      </c>
      <c r="M50" s="1599" t="s">
        <v>108</v>
      </c>
      <c r="N50" s="6"/>
      <c r="O50" s="6"/>
      <c r="P50" s="1603"/>
      <c r="Q50" s="1603"/>
      <c r="R50" s="1603"/>
      <c r="S50" s="1603"/>
      <c r="T50" s="1604"/>
      <c r="U50" s="1603"/>
      <c r="V50" s="1603"/>
      <c r="W50" s="2791"/>
      <c r="X50" s="1614"/>
      <c r="Y50" s="2878">
        <v>550000</v>
      </c>
      <c r="Z50" s="2879">
        <f t="shared" si="6"/>
        <v>594000</v>
      </c>
      <c r="AA50" s="1606"/>
      <c r="AB50" s="1824"/>
      <c r="AC50" s="13"/>
      <c r="AD50" s="13"/>
      <c r="AE50" s="13"/>
      <c r="AF50" s="13"/>
      <c r="AG50" s="13"/>
      <c r="AH50" s="13"/>
      <c r="AI50" s="13"/>
    </row>
    <row r="51" spans="1:35" s="5" customFormat="1">
      <c r="A51" s="1599">
        <f t="shared" si="5"/>
        <v>2</v>
      </c>
      <c r="B51" s="6"/>
      <c r="C51" s="2173">
        <v>307719973320</v>
      </c>
      <c r="D51" s="2159" t="s">
        <v>6876</v>
      </c>
      <c r="E51" s="2173" t="s">
        <v>7015</v>
      </c>
      <c r="F51" s="2039" t="s">
        <v>1299</v>
      </c>
      <c r="G51" s="1647"/>
      <c r="H51" s="1647"/>
      <c r="I51" s="2159" t="s">
        <v>6114</v>
      </c>
      <c r="J51" s="2518" t="s">
        <v>6898</v>
      </c>
      <c r="K51" s="1919" t="s">
        <v>6873</v>
      </c>
      <c r="L51" s="2516">
        <v>64</v>
      </c>
      <c r="M51" s="1599" t="s">
        <v>108</v>
      </c>
      <c r="N51" s="6"/>
      <c r="O51" s="6"/>
      <c r="P51" s="1603"/>
      <c r="Q51" s="1603"/>
      <c r="R51" s="1603"/>
      <c r="S51" s="1603"/>
      <c r="T51" s="1604"/>
      <c r="U51" s="1603"/>
      <c r="V51" s="1603"/>
      <c r="W51" s="2791"/>
      <c r="X51" s="1614"/>
      <c r="Y51" s="2878">
        <v>550000</v>
      </c>
      <c r="Z51" s="2879">
        <f t="shared" si="6"/>
        <v>594000</v>
      </c>
      <c r="AA51" s="1606"/>
      <c r="AB51" s="1824"/>
      <c r="AC51" s="13"/>
      <c r="AD51" s="13"/>
      <c r="AE51" s="13"/>
      <c r="AF51" s="13"/>
      <c r="AG51" s="13"/>
      <c r="AH51" s="13"/>
      <c r="AI51" s="13"/>
    </row>
    <row r="52" spans="1:35" s="5" customFormat="1">
      <c r="A52" s="1599">
        <f t="shared" si="5"/>
        <v>3</v>
      </c>
      <c r="B52" s="6"/>
      <c r="C52" s="2173">
        <v>307726819210</v>
      </c>
      <c r="D52" s="2159" t="s">
        <v>6883</v>
      </c>
      <c r="E52" s="2173" t="s">
        <v>7015</v>
      </c>
      <c r="F52" s="2039" t="s">
        <v>1299</v>
      </c>
      <c r="G52" s="1647"/>
      <c r="H52" s="1647"/>
      <c r="I52" s="2159" t="s">
        <v>6114</v>
      </c>
      <c r="J52" s="2518" t="s">
        <v>6897</v>
      </c>
      <c r="K52" s="1919" t="s">
        <v>6886</v>
      </c>
      <c r="L52" s="2516">
        <v>693</v>
      </c>
      <c r="M52" s="1599" t="s">
        <v>108</v>
      </c>
      <c r="N52" s="6"/>
      <c r="O52" s="6"/>
      <c r="P52" s="1603"/>
      <c r="Q52" s="1603"/>
      <c r="R52" s="1603"/>
      <c r="S52" s="1603"/>
      <c r="T52" s="1604"/>
      <c r="U52" s="1603"/>
      <c r="V52" s="1603"/>
      <c r="W52" s="2791"/>
      <c r="X52" s="1614"/>
      <c r="Y52" s="2878">
        <v>550000</v>
      </c>
      <c r="Z52" s="2879">
        <f t="shared" si="6"/>
        <v>594000</v>
      </c>
      <c r="AA52" s="1606"/>
      <c r="AB52" s="1824"/>
      <c r="AC52" s="13"/>
      <c r="AD52" s="13"/>
      <c r="AE52" s="13"/>
      <c r="AF52" s="13"/>
      <c r="AG52" s="13"/>
      <c r="AH52" s="13"/>
      <c r="AI52" s="13"/>
    </row>
    <row r="53" spans="1:35" s="5" customFormat="1">
      <c r="A53" s="1599">
        <f t="shared" si="5"/>
        <v>4</v>
      </c>
      <c r="B53" s="6"/>
      <c r="C53" s="2173">
        <v>307730465400</v>
      </c>
      <c r="D53" s="2159" t="s">
        <v>6889</v>
      </c>
      <c r="E53" s="2173" t="s">
        <v>7015</v>
      </c>
      <c r="F53" s="2039" t="s">
        <v>1299</v>
      </c>
      <c r="G53" s="1647"/>
      <c r="H53" s="1647"/>
      <c r="I53" s="2159" t="s">
        <v>6174</v>
      </c>
      <c r="J53" s="2516"/>
      <c r="K53" s="2619" t="s">
        <v>6899</v>
      </c>
      <c r="L53" s="2516">
        <v>22</v>
      </c>
      <c r="M53" s="1599" t="s">
        <v>108</v>
      </c>
      <c r="N53" s="6"/>
      <c r="O53" s="6"/>
      <c r="P53" s="1603"/>
      <c r="Q53" s="1603"/>
      <c r="R53" s="1603"/>
      <c r="S53" s="1603"/>
      <c r="T53" s="1604"/>
      <c r="U53" s="1603"/>
      <c r="V53" s="1603"/>
      <c r="W53" s="2791"/>
      <c r="X53" s="1614"/>
      <c r="Y53" s="2878">
        <v>550000</v>
      </c>
      <c r="Z53" s="2879">
        <f t="shared" si="6"/>
        <v>594000</v>
      </c>
      <c r="AA53" s="1606"/>
      <c r="AB53" s="1824"/>
      <c r="AC53" s="13"/>
      <c r="AD53" s="13"/>
      <c r="AE53" s="13"/>
      <c r="AF53" s="13"/>
      <c r="AG53" s="13"/>
      <c r="AH53" s="13"/>
      <c r="AI53" s="13"/>
    </row>
    <row r="54" spans="1:35" s="5" customFormat="1">
      <c r="A54" s="1599">
        <f t="shared" si="5"/>
        <v>5</v>
      </c>
      <c r="B54" s="6"/>
      <c r="C54" s="2173">
        <v>307736611950</v>
      </c>
      <c r="D54" s="2159" t="s">
        <v>6901</v>
      </c>
      <c r="E54" s="2173" t="s">
        <v>7015</v>
      </c>
      <c r="F54" s="2039" t="s">
        <v>1299</v>
      </c>
      <c r="G54" s="1647"/>
      <c r="H54" s="1647"/>
      <c r="I54" s="2159" t="s">
        <v>6114</v>
      </c>
      <c r="J54" s="2518" t="s">
        <v>6916</v>
      </c>
      <c r="K54" s="1919" t="s">
        <v>6917</v>
      </c>
      <c r="L54" s="2516">
        <v>408</v>
      </c>
      <c r="M54" s="1599" t="s">
        <v>108</v>
      </c>
      <c r="N54" s="6"/>
      <c r="O54" s="6"/>
      <c r="P54" s="1603"/>
      <c r="Q54" s="1603"/>
      <c r="R54" s="1603"/>
      <c r="S54" s="1603"/>
      <c r="T54" s="1604"/>
      <c r="U54" s="1603"/>
      <c r="V54" s="1603"/>
      <c r="W54" s="2791"/>
      <c r="X54" s="1614"/>
      <c r="Y54" s="2878">
        <v>550000</v>
      </c>
      <c r="Z54" s="2879">
        <f t="shared" si="6"/>
        <v>594000</v>
      </c>
      <c r="AA54" s="1606"/>
      <c r="AB54" s="1824"/>
      <c r="AC54" s="13"/>
      <c r="AD54" s="13"/>
      <c r="AE54" s="13"/>
      <c r="AF54" s="13"/>
      <c r="AG54" s="13"/>
      <c r="AH54" s="13"/>
      <c r="AI54" s="13"/>
    </row>
    <row r="55" spans="1:35" s="5" customFormat="1" ht="26.4">
      <c r="A55" s="1599">
        <f t="shared" si="5"/>
        <v>6</v>
      </c>
      <c r="B55" s="6"/>
      <c r="C55" s="2039">
        <v>107505833520</v>
      </c>
      <c r="D55" s="2159" t="s">
        <v>6829</v>
      </c>
      <c r="E55" s="2173" t="s">
        <v>7015</v>
      </c>
      <c r="F55" s="2039" t="s">
        <v>206</v>
      </c>
      <c r="G55" s="1647"/>
      <c r="H55" s="1647"/>
      <c r="I55" s="1726" t="s">
        <v>6139</v>
      </c>
      <c r="J55" s="2516"/>
      <c r="K55" s="2619" t="s">
        <v>7146</v>
      </c>
      <c r="L55" s="2516">
        <v>400</v>
      </c>
      <c r="M55" s="3066" t="s">
        <v>123</v>
      </c>
      <c r="N55" s="6"/>
      <c r="O55" s="6"/>
      <c r="P55" s="1603"/>
      <c r="Q55" s="1603"/>
      <c r="R55" s="1603"/>
      <c r="S55" s="1603"/>
      <c r="T55" s="1604"/>
      <c r="U55" s="1603"/>
      <c r="V55" s="1603"/>
      <c r="W55" s="2791"/>
      <c r="X55" s="1614"/>
      <c r="Y55" s="2878">
        <v>550000</v>
      </c>
      <c r="Z55" s="2879">
        <f t="shared" si="6"/>
        <v>594000</v>
      </c>
      <c r="AA55" s="1606"/>
      <c r="AB55" s="1824"/>
      <c r="AC55" s="13"/>
      <c r="AD55" s="13"/>
      <c r="AE55" s="13"/>
      <c r="AF55" s="13"/>
      <c r="AG55" s="13"/>
      <c r="AH55" s="13"/>
      <c r="AI55" s="13"/>
    </row>
    <row r="56" spans="1:35" s="5" customFormat="1">
      <c r="A56" s="1599">
        <f t="shared" si="5"/>
        <v>7</v>
      </c>
      <c r="B56" s="6"/>
      <c r="C56" s="2173">
        <v>307751505851</v>
      </c>
      <c r="D56" s="2159" t="s">
        <v>6974</v>
      </c>
      <c r="E56" s="2173" t="s">
        <v>7015</v>
      </c>
      <c r="F56" s="2039" t="s">
        <v>1299</v>
      </c>
      <c r="G56" s="1647"/>
      <c r="H56" s="1647"/>
      <c r="I56" s="2159" t="s">
        <v>6114</v>
      </c>
      <c r="J56" s="2518" t="s">
        <v>7001</v>
      </c>
      <c r="K56" s="1919" t="s">
        <v>6972</v>
      </c>
      <c r="L56" s="2516">
        <v>747</v>
      </c>
      <c r="M56" s="3052" t="s">
        <v>136</v>
      </c>
      <c r="N56" s="6"/>
      <c r="O56" s="6"/>
      <c r="P56" s="1603"/>
      <c r="Q56" s="1603"/>
      <c r="R56" s="1603"/>
      <c r="S56" s="1603"/>
      <c r="T56" s="1604"/>
      <c r="U56" s="1603"/>
      <c r="V56" s="1603"/>
      <c r="W56" s="2791"/>
      <c r="X56" s="1614"/>
      <c r="Y56" s="2878">
        <f>550000+400000</f>
        <v>950000</v>
      </c>
      <c r="Z56" s="2879">
        <f t="shared" si="6"/>
        <v>1026000.0000000001</v>
      </c>
      <c r="AA56" s="1606"/>
      <c r="AB56" s="1824"/>
      <c r="AC56" s="13"/>
      <c r="AD56" s="13"/>
      <c r="AE56" s="13"/>
      <c r="AF56" s="13"/>
      <c r="AG56" s="13"/>
      <c r="AH56" s="13"/>
      <c r="AI56" s="13"/>
    </row>
    <row r="57" spans="1:35" s="5" customFormat="1">
      <c r="A57" s="1599">
        <f t="shared" si="5"/>
        <v>8</v>
      </c>
      <c r="B57" s="6"/>
      <c r="C57" s="2173">
        <v>307751924340</v>
      </c>
      <c r="D57" s="2159" t="s">
        <v>6974</v>
      </c>
      <c r="E57" s="2173" t="s">
        <v>7015</v>
      </c>
      <c r="F57" s="2039" t="s">
        <v>1299</v>
      </c>
      <c r="G57" s="1647"/>
      <c r="H57" s="1647"/>
      <c r="I57" s="2159" t="s">
        <v>6114</v>
      </c>
      <c r="J57" s="2518" t="s">
        <v>7002</v>
      </c>
      <c r="K57" s="1919" t="s">
        <v>6973</v>
      </c>
      <c r="L57" s="2516">
        <v>72</v>
      </c>
      <c r="M57" s="1599" t="s">
        <v>108</v>
      </c>
      <c r="N57" s="6"/>
      <c r="O57" s="6"/>
      <c r="P57" s="1603"/>
      <c r="Q57" s="1603"/>
      <c r="R57" s="1603"/>
      <c r="S57" s="1603"/>
      <c r="T57" s="1604"/>
      <c r="U57" s="1603"/>
      <c r="V57" s="1603"/>
      <c r="W57" s="2791"/>
      <c r="X57" s="1614"/>
      <c r="Y57" s="2878">
        <v>550000</v>
      </c>
      <c r="Z57" s="2879">
        <f t="shared" si="6"/>
        <v>594000</v>
      </c>
      <c r="AA57" s="1606"/>
      <c r="AB57" s="1824"/>
      <c r="AC57" s="13"/>
      <c r="AD57" s="13"/>
      <c r="AE57" s="13"/>
      <c r="AF57" s="13"/>
      <c r="AG57" s="13"/>
      <c r="AH57" s="13"/>
      <c r="AI57" s="13"/>
    </row>
    <row r="58" spans="1:35" s="5" customFormat="1">
      <c r="A58" s="1599">
        <f t="shared" si="5"/>
        <v>9</v>
      </c>
      <c r="B58" s="6"/>
      <c r="C58" s="2173">
        <v>307761340260</v>
      </c>
      <c r="D58" s="2159" t="s">
        <v>7018</v>
      </c>
      <c r="E58" s="2173" t="s">
        <v>7015</v>
      </c>
      <c r="F58" s="2039" t="s">
        <v>1299</v>
      </c>
      <c r="G58" s="1647"/>
      <c r="H58" s="1647"/>
      <c r="I58" s="2159" t="s">
        <v>6114</v>
      </c>
      <c r="J58" s="2518" t="s">
        <v>7019</v>
      </c>
      <c r="K58" s="1919" t="s">
        <v>7014</v>
      </c>
      <c r="L58" s="2516">
        <v>247</v>
      </c>
      <c r="M58" s="1599" t="s">
        <v>108</v>
      </c>
      <c r="N58" s="6"/>
      <c r="O58" s="6"/>
      <c r="P58" s="1603"/>
      <c r="Q58" s="1603"/>
      <c r="R58" s="1603"/>
      <c r="S58" s="1603"/>
      <c r="T58" s="1604"/>
      <c r="U58" s="1603"/>
      <c r="V58" s="1603"/>
      <c r="W58" s="2791"/>
      <c r="X58" s="1614"/>
      <c r="Y58" s="2878">
        <v>550000</v>
      </c>
      <c r="Z58" s="2879">
        <f t="shared" si="6"/>
        <v>594000</v>
      </c>
      <c r="AA58" s="1606"/>
      <c r="AB58" s="1824"/>
      <c r="AC58" s="13"/>
      <c r="AD58" s="13"/>
      <c r="AE58" s="13"/>
      <c r="AF58" s="13"/>
      <c r="AG58" s="13"/>
      <c r="AH58" s="13"/>
      <c r="AI58" s="13"/>
    </row>
    <row r="59" spans="1:35" s="5" customFormat="1">
      <c r="A59" s="1599">
        <f t="shared" si="5"/>
        <v>10</v>
      </c>
      <c r="B59" s="6"/>
      <c r="C59" s="2173">
        <v>307767917940</v>
      </c>
      <c r="D59" s="2159" t="s">
        <v>7031</v>
      </c>
      <c r="E59" s="2173" t="s">
        <v>7015</v>
      </c>
      <c r="F59" s="2039" t="s">
        <v>1299</v>
      </c>
      <c r="G59" s="1647"/>
      <c r="H59" s="1647"/>
      <c r="I59" s="2159" t="s">
        <v>6114</v>
      </c>
      <c r="J59" s="2518" t="s">
        <v>7049</v>
      </c>
      <c r="K59" s="1919" t="s">
        <v>7039</v>
      </c>
      <c r="L59" s="2516">
        <v>667</v>
      </c>
      <c r="M59" s="1599" t="s">
        <v>108</v>
      </c>
      <c r="N59" s="6"/>
      <c r="O59" s="6"/>
      <c r="P59" s="1603"/>
      <c r="Q59" s="1603"/>
      <c r="R59" s="1603"/>
      <c r="S59" s="1603"/>
      <c r="T59" s="1604"/>
      <c r="U59" s="1603"/>
      <c r="V59" s="1603"/>
      <c r="W59" s="2791"/>
      <c r="X59" s="1614"/>
      <c r="Y59" s="2878">
        <v>550000</v>
      </c>
      <c r="Z59" s="2879">
        <f t="shared" ref="Z59:Z64" si="7">+Y59*1.08</f>
        <v>594000</v>
      </c>
      <c r="AA59" s="1606"/>
      <c r="AB59" s="1824"/>
      <c r="AC59" s="13"/>
      <c r="AD59" s="13"/>
      <c r="AE59" s="13"/>
      <c r="AF59" s="13"/>
      <c r="AG59" s="13"/>
      <c r="AH59" s="13"/>
      <c r="AI59" s="13"/>
    </row>
    <row r="60" spans="1:35" s="5" customFormat="1">
      <c r="A60" s="1599">
        <f t="shared" si="5"/>
        <v>11</v>
      </c>
      <c r="B60" s="6"/>
      <c r="C60" s="2173">
        <v>307787207400</v>
      </c>
      <c r="D60" s="2159" t="s">
        <v>7054</v>
      </c>
      <c r="E60" s="2173" t="s">
        <v>7015</v>
      </c>
      <c r="F60" s="2039" t="s">
        <v>1299</v>
      </c>
      <c r="G60" s="1647"/>
      <c r="H60" s="1647"/>
      <c r="I60" s="2159" t="s">
        <v>6114</v>
      </c>
      <c r="J60" s="2518" t="s">
        <v>7092</v>
      </c>
      <c r="K60" s="1919" t="s">
        <v>7083</v>
      </c>
      <c r="L60" s="2516">
        <v>117</v>
      </c>
      <c r="M60" s="1599" t="s">
        <v>108</v>
      </c>
      <c r="N60" s="6"/>
      <c r="O60" s="6"/>
      <c r="P60" s="1603"/>
      <c r="Q60" s="1603"/>
      <c r="R60" s="1603"/>
      <c r="S60" s="1603"/>
      <c r="T60" s="1604"/>
      <c r="U60" s="1603"/>
      <c r="V60" s="1603"/>
      <c r="W60" s="2791"/>
      <c r="X60" s="1614"/>
      <c r="Y60" s="2878">
        <v>550000</v>
      </c>
      <c r="Z60" s="2879">
        <f t="shared" si="7"/>
        <v>594000</v>
      </c>
      <c r="AA60" s="1606"/>
      <c r="AB60" s="1824"/>
      <c r="AC60" s="13"/>
      <c r="AD60" s="13"/>
      <c r="AE60" s="13"/>
      <c r="AF60" s="13"/>
      <c r="AG60" s="13"/>
      <c r="AH60" s="13"/>
      <c r="AI60" s="13"/>
    </row>
    <row r="61" spans="1:35" s="5" customFormat="1">
      <c r="A61" s="1599">
        <f t="shared" si="5"/>
        <v>12</v>
      </c>
      <c r="B61" s="6"/>
      <c r="C61" s="2173">
        <v>307788798940</v>
      </c>
      <c r="D61" s="2159" t="s">
        <v>7080</v>
      </c>
      <c r="E61" s="2173" t="s">
        <v>7015</v>
      </c>
      <c r="F61" s="2039" t="s">
        <v>1299</v>
      </c>
      <c r="G61" s="1647"/>
      <c r="H61" s="1647"/>
      <c r="I61" s="1824" t="s">
        <v>6512</v>
      </c>
      <c r="J61" s="2516"/>
      <c r="K61" s="1919" t="s">
        <v>7093</v>
      </c>
      <c r="L61" s="2516">
        <v>148</v>
      </c>
      <c r="M61" s="1599" t="s">
        <v>108</v>
      </c>
      <c r="N61" s="6"/>
      <c r="O61" s="6"/>
      <c r="P61" s="1603"/>
      <c r="Q61" s="1603"/>
      <c r="R61" s="1603"/>
      <c r="S61" s="1603"/>
      <c r="T61" s="1604"/>
      <c r="U61" s="1603"/>
      <c r="V61" s="1603"/>
      <c r="W61" s="2791"/>
      <c r="X61" s="1614"/>
      <c r="Y61" s="2878">
        <v>550000</v>
      </c>
      <c r="Z61" s="2879">
        <f t="shared" si="7"/>
        <v>594000</v>
      </c>
      <c r="AA61" s="1606"/>
      <c r="AB61" s="1824"/>
      <c r="AC61" s="13"/>
      <c r="AD61" s="13"/>
      <c r="AE61" s="13"/>
      <c r="AF61" s="13"/>
      <c r="AG61" s="13"/>
      <c r="AH61" s="13"/>
      <c r="AI61" s="13"/>
    </row>
    <row r="62" spans="1:35" s="5" customFormat="1">
      <c r="A62" s="1599">
        <f t="shared" si="5"/>
        <v>13</v>
      </c>
      <c r="B62" s="6"/>
      <c r="C62" s="2173">
        <v>307802727760</v>
      </c>
      <c r="D62" s="2159" t="s">
        <v>7088</v>
      </c>
      <c r="E62" s="2173" t="s">
        <v>7015</v>
      </c>
      <c r="F62" s="2039" t="s">
        <v>1299</v>
      </c>
      <c r="G62" s="1647"/>
      <c r="H62" s="1647"/>
      <c r="I62" s="2159" t="s">
        <v>6174</v>
      </c>
      <c r="J62" s="2516"/>
      <c r="K62" s="1919" t="s">
        <v>7137</v>
      </c>
      <c r="L62" s="2516">
        <v>86</v>
      </c>
      <c r="M62" s="1599" t="s">
        <v>108</v>
      </c>
      <c r="N62" s="6"/>
      <c r="O62" s="6"/>
      <c r="P62" s="1603"/>
      <c r="Q62" s="1603"/>
      <c r="R62" s="1603"/>
      <c r="S62" s="1603"/>
      <c r="T62" s="1604"/>
      <c r="U62" s="1603"/>
      <c r="V62" s="1603"/>
      <c r="W62" s="2791"/>
      <c r="X62" s="1614"/>
      <c r="Y62" s="2878">
        <v>550000</v>
      </c>
      <c r="Z62" s="2879">
        <f t="shared" si="7"/>
        <v>594000</v>
      </c>
      <c r="AA62" s="1606"/>
      <c r="AB62" s="1824"/>
      <c r="AC62" s="13"/>
      <c r="AD62" s="13"/>
      <c r="AE62" s="13"/>
      <c r="AF62" s="13"/>
      <c r="AG62" s="13"/>
      <c r="AH62" s="13"/>
      <c r="AI62" s="13"/>
    </row>
    <row r="63" spans="1:35" s="5" customFormat="1">
      <c r="A63" s="1599">
        <f t="shared" si="5"/>
        <v>14</v>
      </c>
      <c r="B63" s="6"/>
      <c r="C63" s="2173">
        <v>307803837630</v>
      </c>
      <c r="D63" s="2159" t="s">
        <v>7088</v>
      </c>
      <c r="E63" s="2173" t="s">
        <v>7015</v>
      </c>
      <c r="F63" s="2039" t="s">
        <v>1299</v>
      </c>
      <c r="G63" s="1647"/>
      <c r="H63" s="1647"/>
      <c r="I63" s="2159" t="s">
        <v>6114</v>
      </c>
      <c r="J63" s="2518" t="s">
        <v>7144</v>
      </c>
      <c r="K63" s="1919" t="s">
        <v>7145</v>
      </c>
      <c r="L63" s="2516">
        <v>293</v>
      </c>
      <c r="M63" s="3052" t="s">
        <v>136</v>
      </c>
      <c r="N63" s="6"/>
      <c r="O63" s="6"/>
      <c r="P63" s="1603"/>
      <c r="Q63" s="1603"/>
      <c r="R63" s="1603"/>
      <c r="S63" s="1603"/>
      <c r="T63" s="1604"/>
      <c r="U63" s="1603"/>
      <c r="V63" s="1603"/>
      <c r="W63" s="2791"/>
      <c r="X63" s="1614"/>
      <c r="Y63" s="2878">
        <f>550000+400000</f>
        <v>950000</v>
      </c>
      <c r="Z63" s="2879">
        <f t="shared" si="7"/>
        <v>1026000.0000000001</v>
      </c>
      <c r="AA63" s="1606"/>
      <c r="AB63" s="1824"/>
      <c r="AC63" s="13"/>
      <c r="AD63" s="13"/>
      <c r="AE63" s="13"/>
      <c r="AF63" s="13"/>
      <c r="AG63" s="13"/>
      <c r="AH63" s="13"/>
      <c r="AI63" s="13"/>
    </row>
    <row r="64" spans="1:35" s="5" customFormat="1" ht="26.4">
      <c r="A64" s="1599">
        <f t="shared" si="5"/>
        <v>15</v>
      </c>
      <c r="B64" s="6"/>
      <c r="C64" s="2039">
        <v>107563843000</v>
      </c>
      <c r="D64" s="2159" t="s">
        <v>7088</v>
      </c>
      <c r="E64" s="2173" t="s">
        <v>7015</v>
      </c>
      <c r="F64" s="2039" t="s">
        <v>206</v>
      </c>
      <c r="G64" s="1647"/>
      <c r="H64" s="1647"/>
      <c r="I64" s="1726" t="s">
        <v>6139</v>
      </c>
      <c r="J64" s="2516"/>
      <c r="K64" s="2619" t="s">
        <v>7147</v>
      </c>
      <c r="L64" s="2516">
        <v>410</v>
      </c>
      <c r="M64" s="3066" t="s">
        <v>123</v>
      </c>
      <c r="N64" s="6"/>
      <c r="O64" s="6"/>
      <c r="P64" s="1603"/>
      <c r="Q64" s="1603"/>
      <c r="R64" s="1603"/>
      <c r="S64" s="1603"/>
      <c r="T64" s="1604"/>
      <c r="U64" s="1603"/>
      <c r="V64" s="1603"/>
      <c r="W64" s="2791"/>
      <c r="X64" s="1614"/>
      <c r="Y64" s="2878">
        <v>550000</v>
      </c>
      <c r="Z64" s="2879">
        <f t="shared" si="7"/>
        <v>594000</v>
      </c>
      <c r="AA64" s="1606"/>
      <c r="AB64" s="1824"/>
      <c r="AC64" s="13"/>
      <c r="AD64" s="13"/>
      <c r="AE64" s="13"/>
      <c r="AF64" s="13"/>
      <c r="AG64" s="13"/>
      <c r="AH64" s="13"/>
      <c r="AI64" s="13"/>
    </row>
    <row r="65" spans="1:35" s="5" customFormat="1">
      <c r="A65" s="1599">
        <f t="shared" si="5"/>
        <v>16</v>
      </c>
      <c r="B65" s="6"/>
      <c r="C65" s="2173">
        <v>307808162560</v>
      </c>
      <c r="D65" s="2159" t="s">
        <v>7139</v>
      </c>
      <c r="E65" s="2173" t="s">
        <v>7015</v>
      </c>
      <c r="F65" s="2039" t="s">
        <v>1299</v>
      </c>
      <c r="G65" s="1647"/>
      <c r="H65" s="1647"/>
      <c r="I65" s="2159" t="s">
        <v>6114</v>
      </c>
      <c r="J65" s="2518" t="s">
        <v>7173</v>
      </c>
      <c r="K65" s="1919" t="s">
        <v>7163</v>
      </c>
      <c r="L65" s="2518" t="s">
        <v>6284</v>
      </c>
      <c r="M65" s="1599" t="s">
        <v>108</v>
      </c>
      <c r="N65" s="6"/>
      <c r="O65" s="6"/>
      <c r="P65" s="1603"/>
      <c r="Q65" s="1603"/>
      <c r="R65" s="1603"/>
      <c r="S65" s="1603"/>
      <c r="T65" s="1604"/>
      <c r="U65" s="1603"/>
      <c r="V65" s="1603"/>
      <c r="W65" s="2791"/>
      <c r="X65" s="1614"/>
      <c r="Y65" s="2878">
        <v>550000</v>
      </c>
      <c r="Z65" s="2879">
        <f t="shared" ref="Z65:Z72" si="8">+Y65*1.08</f>
        <v>594000</v>
      </c>
      <c r="AA65" s="1606"/>
      <c r="AB65" s="1824"/>
      <c r="AC65" s="13"/>
      <c r="AD65" s="13"/>
      <c r="AE65" s="13"/>
      <c r="AF65" s="13"/>
      <c r="AG65" s="13"/>
      <c r="AH65" s="13"/>
      <c r="AI65" s="13"/>
    </row>
    <row r="66" spans="1:35" s="5" customFormat="1">
      <c r="A66" s="3753" t="s">
        <v>7164</v>
      </c>
      <c r="B66" s="3754"/>
      <c r="C66" s="3754"/>
      <c r="D66" s="3754"/>
      <c r="E66" s="3754"/>
      <c r="F66" s="3754"/>
      <c r="G66" s="3754"/>
      <c r="H66" s="3754"/>
      <c r="I66" s="3754"/>
      <c r="J66" s="3754"/>
      <c r="K66" s="3754"/>
      <c r="L66" s="3754"/>
      <c r="M66" s="3755"/>
      <c r="N66" s="2788"/>
      <c r="O66" s="2789"/>
      <c r="P66" s="1004"/>
      <c r="Q66" s="1004"/>
      <c r="R66" s="1004"/>
      <c r="S66" s="1004"/>
      <c r="T66" s="1006"/>
      <c r="U66" s="1004"/>
      <c r="V66" s="1004"/>
      <c r="W66" s="1008"/>
      <c r="X66" s="1009"/>
      <c r="Y66" s="1007">
        <f>SUM(Y50:Y65)</f>
        <v>9600000</v>
      </c>
      <c r="Z66" s="1007">
        <f>SUM(Z50:Z65)</f>
        <v>10368000</v>
      </c>
      <c r="AA66" s="1606"/>
      <c r="AB66" s="1824"/>
      <c r="AC66" s="13"/>
      <c r="AD66" s="13"/>
      <c r="AE66" s="13"/>
      <c r="AF66" s="13"/>
      <c r="AG66" s="13"/>
      <c r="AH66" s="13"/>
      <c r="AI66" s="13"/>
    </row>
    <row r="67" spans="1:35" s="5" customFormat="1">
      <c r="A67" s="1599">
        <v>1</v>
      </c>
      <c r="B67" s="6"/>
      <c r="C67" s="2173">
        <v>307819502450</v>
      </c>
      <c r="D67" s="2159" t="s">
        <v>7203</v>
      </c>
      <c r="E67" s="2173" t="s">
        <v>7390</v>
      </c>
      <c r="F67" s="2039" t="s">
        <v>1299</v>
      </c>
      <c r="G67" s="1647"/>
      <c r="H67" s="1647"/>
      <c r="I67" s="2159" t="s">
        <v>6114</v>
      </c>
      <c r="J67" s="2518" t="s">
        <v>7211</v>
      </c>
      <c r="K67" s="1919" t="s">
        <v>7212</v>
      </c>
      <c r="L67" s="2518" t="s">
        <v>7213</v>
      </c>
      <c r="M67" s="1599" t="s">
        <v>108</v>
      </c>
      <c r="N67" s="6"/>
      <c r="O67" s="6"/>
      <c r="P67" s="1603"/>
      <c r="Q67" s="1603"/>
      <c r="R67" s="1603"/>
      <c r="S67" s="1603"/>
      <c r="T67" s="1604"/>
      <c r="U67" s="1603"/>
      <c r="V67" s="1603"/>
      <c r="W67" s="2791"/>
      <c r="X67" s="1614"/>
      <c r="Y67" s="2878">
        <v>550000</v>
      </c>
      <c r="Z67" s="2879">
        <f t="shared" si="8"/>
        <v>594000</v>
      </c>
      <c r="AA67" s="1606"/>
      <c r="AB67" s="1824"/>
      <c r="AC67" s="13"/>
      <c r="AD67" s="13"/>
      <c r="AE67" s="13"/>
      <c r="AF67" s="13"/>
      <c r="AG67" s="13"/>
      <c r="AH67" s="13"/>
      <c r="AI67" s="13"/>
    </row>
    <row r="68" spans="1:35" s="5" customFormat="1">
      <c r="A68" s="1599">
        <f t="shared" si="5"/>
        <v>2</v>
      </c>
      <c r="B68" s="6"/>
      <c r="C68" s="2173">
        <v>307823346260</v>
      </c>
      <c r="D68" s="2159" t="s">
        <v>7199</v>
      </c>
      <c r="E68" s="2173" t="s">
        <v>7390</v>
      </c>
      <c r="F68" s="2039" t="s">
        <v>1299</v>
      </c>
      <c r="G68" s="1647"/>
      <c r="H68" s="1647"/>
      <c r="I68" s="2159" t="s">
        <v>6114</v>
      </c>
      <c r="J68" s="2518" t="s">
        <v>7233</v>
      </c>
      <c r="K68" s="1919" t="s">
        <v>7226</v>
      </c>
      <c r="L68" s="2518" t="s">
        <v>7227</v>
      </c>
      <c r="M68" s="3066" t="s">
        <v>123</v>
      </c>
      <c r="N68" s="6"/>
      <c r="O68" s="6"/>
      <c r="P68" s="1603"/>
      <c r="Q68" s="1603"/>
      <c r="R68" s="1603"/>
      <c r="S68" s="1603"/>
      <c r="T68" s="1604"/>
      <c r="U68" s="1603"/>
      <c r="V68" s="1603"/>
      <c r="W68" s="2791"/>
      <c r="X68" s="1614"/>
      <c r="Y68" s="2878">
        <v>550000</v>
      </c>
      <c r="Z68" s="2879">
        <f t="shared" si="8"/>
        <v>594000</v>
      </c>
      <c r="AA68" s="1606"/>
      <c r="AB68" s="1824"/>
      <c r="AC68" s="13"/>
      <c r="AD68" s="13"/>
      <c r="AE68" s="13"/>
      <c r="AF68" s="13"/>
      <c r="AG68" s="13"/>
      <c r="AH68" s="13"/>
      <c r="AI68" s="13"/>
    </row>
    <row r="69" spans="1:35" s="5" customFormat="1">
      <c r="A69" s="1599">
        <f t="shared" si="5"/>
        <v>3</v>
      </c>
      <c r="B69" s="6"/>
      <c r="C69" s="2173">
        <v>307828061460</v>
      </c>
      <c r="D69" s="2159" t="s">
        <v>7167</v>
      </c>
      <c r="E69" s="2173" t="s">
        <v>7390</v>
      </c>
      <c r="F69" s="2039" t="s">
        <v>1299</v>
      </c>
      <c r="G69" s="1647"/>
      <c r="H69" s="1647"/>
      <c r="I69" s="2159" t="s">
        <v>6114</v>
      </c>
      <c r="J69" s="2518" t="s">
        <v>7261</v>
      </c>
      <c r="K69" s="1919" t="s">
        <v>7251</v>
      </c>
      <c r="L69" s="2518" t="s">
        <v>1256</v>
      </c>
      <c r="M69" s="1599" t="s">
        <v>108</v>
      </c>
      <c r="N69" s="6"/>
      <c r="O69" s="6"/>
      <c r="P69" s="1603"/>
      <c r="Q69" s="1603"/>
      <c r="R69" s="1603"/>
      <c r="S69" s="1603"/>
      <c r="T69" s="1604"/>
      <c r="U69" s="1603"/>
      <c r="V69" s="1603"/>
      <c r="W69" s="2791"/>
      <c r="X69" s="1614"/>
      <c r="Y69" s="2878">
        <v>550000</v>
      </c>
      <c r="Z69" s="2879">
        <f t="shared" si="8"/>
        <v>594000</v>
      </c>
      <c r="AA69" s="1606"/>
      <c r="AB69" s="1824"/>
      <c r="AC69" s="13"/>
      <c r="AD69" s="13"/>
      <c r="AE69" s="13"/>
      <c r="AF69" s="13"/>
      <c r="AG69" s="13"/>
      <c r="AH69" s="13"/>
      <c r="AI69" s="13"/>
    </row>
    <row r="70" spans="1:35" s="5" customFormat="1" ht="26.4">
      <c r="A70" s="1599">
        <f t="shared" si="5"/>
        <v>4</v>
      </c>
      <c r="B70" s="6"/>
      <c r="C70" s="2039">
        <v>107591583410</v>
      </c>
      <c r="D70" s="2159" t="s">
        <v>7257</v>
      </c>
      <c r="E70" s="2173" t="s">
        <v>7390</v>
      </c>
      <c r="F70" s="2039" t="s">
        <v>206</v>
      </c>
      <c r="G70" s="1647"/>
      <c r="H70" s="1647"/>
      <c r="I70" s="1824" t="s">
        <v>6600</v>
      </c>
      <c r="J70" s="2516"/>
      <c r="K70" s="2619" t="s">
        <v>7292</v>
      </c>
      <c r="L70" s="2518" t="s">
        <v>6648</v>
      </c>
      <c r="M70" s="3066" t="s">
        <v>123</v>
      </c>
      <c r="N70" s="6"/>
      <c r="O70" s="6"/>
      <c r="P70" s="1603"/>
      <c r="Q70" s="1603"/>
      <c r="R70" s="1603"/>
      <c r="S70" s="1603"/>
      <c r="T70" s="1604"/>
      <c r="U70" s="1603"/>
      <c r="V70" s="1603"/>
      <c r="W70" s="2791"/>
      <c r="X70" s="1614"/>
      <c r="Y70" s="2878">
        <v>550000</v>
      </c>
      <c r="Z70" s="2879">
        <f t="shared" si="8"/>
        <v>594000</v>
      </c>
      <c r="AA70" s="1606"/>
      <c r="AB70" s="1824"/>
      <c r="AC70" s="13"/>
      <c r="AD70" s="13"/>
      <c r="AE70" s="13"/>
      <c r="AF70" s="13"/>
      <c r="AG70" s="13"/>
      <c r="AH70" s="13"/>
      <c r="AI70" s="13"/>
    </row>
    <row r="71" spans="1:35" s="5" customFormat="1">
      <c r="A71" s="1599">
        <f t="shared" ref="A71:A135" si="9">+A70+1</f>
        <v>5</v>
      </c>
      <c r="B71" s="6"/>
      <c r="C71" s="2173">
        <v>307833150610</v>
      </c>
      <c r="D71" s="2159" t="s">
        <v>7257</v>
      </c>
      <c r="E71" s="2173" t="s">
        <v>7390</v>
      </c>
      <c r="F71" s="2039" t="s">
        <v>1299</v>
      </c>
      <c r="G71" s="1647"/>
      <c r="H71" s="1647"/>
      <c r="I71" s="2159" t="s">
        <v>6114</v>
      </c>
      <c r="J71" s="2518" t="s">
        <v>7291</v>
      </c>
      <c r="K71" s="1919" t="s">
        <v>7293</v>
      </c>
      <c r="L71" s="2518" t="s">
        <v>7296</v>
      </c>
      <c r="M71" s="1599" t="s">
        <v>108</v>
      </c>
      <c r="N71" s="6"/>
      <c r="O71" s="6"/>
      <c r="P71" s="1603"/>
      <c r="Q71" s="1603"/>
      <c r="R71" s="1603"/>
      <c r="S71" s="1603"/>
      <c r="T71" s="1604"/>
      <c r="U71" s="1603"/>
      <c r="V71" s="1603"/>
      <c r="W71" s="2791"/>
      <c r="X71" s="1614"/>
      <c r="Y71" s="2878">
        <v>550000</v>
      </c>
      <c r="Z71" s="2879">
        <f t="shared" si="8"/>
        <v>594000</v>
      </c>
      <c r="AA71" s="1606"/>
      <c r="AB71" s="1824"/>
      <c r="AC71" s="13"/>
      <c r="AD71" s="13"/>
      <c r="AE71" s="13"/>
      <c r="AF71" s="13"/>
      <c r="AG71" s="13"/>
      <c r="AH71" s="13"/>
      <c r="AI71" s="13"/>
    </row>
    <row r="72" spans="1:35" s="5" customFormat="1" ht="26.4">
      <c r="A72" s="1599">
        <f t="shared" si="9"/>
        <v>6</v>
      </c>
      <c r="B72" s="6"/>
      <c r="C72" s="2039">
        <v>107594651620</v>
      </c>
      <c r="D72" s="2159" t="s">
        <v>7257</v>
      </c>
      <c r="E72" s="2173" t="s">
        <v>7390</v>
      </c>
      <c r="F72" s="2039" t="s">
        <v>206</v>
      </c>
      <c r="G72" s="1647"/>
      <c r="H72" s="1647"/>
      <c r="I72" s="1726" t="s">
        <v>6139</v>
      </c>
      <c r="J72" s="2516"/>
      <c r="K72" s="2619" t="s">
        <v>7295</v>
      </c>
      <c r="L72" s="2518" t="s">
        <v>7294</v>
      </c>
      <c r="M72" s="3066" t="s">
        <v>123</v>
      </c>
      <c r="N72" s="6"/>
      <c r="O72" s="6"/>
      <c r="P72" s="1603"/>
      <c r="Q72" s="1603"/>
      <c r="R72" s="1603"/>
      <c r="S72" s="1603"/>
      <c r="T72" s="1604"/>
      <c r="U72" s="1603"/>
      <c r="V72" s="1603"/>
      <c r="W72" s="2791"/>
      <c r="X72" s="1614"/>
      <c r="Y72" s="2878">
        <v>550000</v>
      </c>
      <c r="Z72" s="2879">
        <f t="shared" si="8"/>
        <v>594000</v>
      </c>
      <c r="AA72" s="1606"/>
      <c r="AB72" s="1824"/>
      <c r="AC72" s="13"/>
      <c r="AD72" s="13"/>
      <c r="AE72" s="13"/>
      <c r="AF72" s="13"/>
      <c r="AG72" s="13"/>
      <c r="AH72" s="13"/>
      <c r="AI72" s="13"/>
    </row>
    <row r="73" spans="1:35" s="5" customFormat="1">
      <c r="A73" s="1599">
        <f t="shared" si="9"/>
        <v>7</v>
      </c>
      <c r="B73" s="6"/>
      <c r="C73" s="2173">
        <v>307844904530</v>
      </c>
      <c r="D73" s="2159" t="s">
        <v>7279</v>
      </c>
      <c r="E73" s="2173" t="s">
        <v>7390</v>
      </c>
      <c r="F73" s="2039" t="s">
        <v>1299</v>
      </c>
      <c r="G73" s="1647"/>
      <c r="H73" s="1647"/>
      <c r="I73" s="1824" t="s">
        <v>6512</v>
      </c>
      <c r="J73" s="2516"/>
      <c r="K73" s="1919" t="s">
        <v>7322</v>
      </c>
      <c r="L73" s="2518" t="s">
        <v>7323</v>
      </c>
      <c r="M73" s="3066" t="s">
        <v>123</v>
      </c>
      <c r="N73" s="6"/>
      <c r="O73" s="6"/>
      <c r="P73" s="1603"/>
      <c r="Q73" s="1603"/>
      <c r="R73" s="1603"/>
      <c r="S73" s="1603"/>
      <c r="T73" s="1604"/>
      <c r="U73" s="1603"/>
      <c r="V73" s="1603"/>
      <c r="W73" s="2791"/>
      <c r="X73" s="1614"/>
      <c r="Y73" s="2878">
        <v>550000</v>
      </c>
      <c r="Z73" s="2879">
        <f t="shared" ref="Z73:Z76" si="10">+Y73*1.08</f>
        <v>594000</v>
      </c>
      <c r="AA73" s="1606"/>
      <c r="AB73" s="1824"/>
      <c r="AC73" s="13"/>
      <c r="AD73" s="13"/>
      <c r="AE73" s="13"/>
      <c r="AF73" s="13"/>
      <c r="AG73" s="13"/>
      <c r="AH73" s="13"/>
      <c r="AI73" s="13"/>
    </row>
    <row r="74" spans="1:35" s="5" customFormat="1" ht="26.4">
      <c r="A74" s="1599">
        <f t="shared" si="9"/>
        <v>8</v>
      </c>
      <c r="B74" s="6"/>
      <c r="C74" s="2039">
        <v>107605737150</v>
      </c>
      <c r="D74" s="2159" t="s">
        <v>7279</v>
      </c>
      <c r="E74" s="2173" t="s">
        <v>7390</v>
      </c>
      <c r="F74" s="2039" t="s">
        <v>206</v>
      </c>
      <c r="G74" s="1647"/>
      <c r="H74" s="1647"/>
      <c r="I74" s="1824" t="s">
        <v>6600</v>
      </c>
      <c r="J74" s="2516"/>
      <c r="K74" s="3283" t="s">
        <v>7324</v>
      </c>
      <c r="L74" s="2518" t="s">
        <v>7325</v>
      </c>
      <c r="M74" s="3066" t="s">
        <v>123</v>
      </c>
      <c r="N74" s="6"/>
      <c r="O74" s="6"/>
      <c r="P74" s="1603"/>
      <c r="Q74" s="1603"/>
      <c r="R74" s="1603"/>
      <c r="S74" s="1603"/>
      <c r="T74" s="1604"/>
      <c r="U74" s="1603"/>
      <c r="V74" s="1603"/>
      <c r="W74" s="2791"/>
      <c r="X74" s="1614"/>
      <c r="Y74" s="2878">
        <v>550000</v>
      </c>
      <c r="Z74" s="2879">
        <f t="shared" si="10"/>
        <v>594000</v>
      </c>
      <c r="AA74" s="1606"/>
      <c r="AB74" s="1824"/>
      <c r="AC74" s="13"/>
      <c r="AD74" s="13"/>
      <c r="AE74" s="13"/>
      <c r="AF74" s="13"/>
      <c r="AG74" s="13"/>
      <c r="AH74" s="13"/>
      <c r="AI74" s="13"/>
    </row>
    <row r="75" spans="1:35" s="5" customFormat="1">
      <c r="A75" s="1599">
        <f t="shared" si="9"/>
        <v>9</v>
      </c>
      <c r="B75" s="6"/>
      <c r="C75" s="2173">
        <v>307853640900</v>
      </c>
      <c r="D75" s="2159" t="s">
        <v>7263</v>
      </c>
      <c r="E75" s="2173" t="s">
        <v>7390</v>
      </c>
      <c r="F75" s="2039" t="s">
        <v>1299</v>
      </c>
      <c r="G75" s="1647"/>
      <c r="H75" s="1647"/>
      <c r="I75" s="2159" t="s">
        <v>6114</v>
      </c>
      <c r="J75" s="2518" t="s">
        <v>7334</v>
      </c>
      <c r="K75" s="1919" t="s">
        <v>7326</v>
      </c>
      <c r="L75" s="2518" t="s">
        <v>7327</v>
      </c>
      <c r="M75" s="3066" t="s">
        <v>123</v>
      </c>
      <c r="N75" s="6"/>
      <c r="O75" s="6"/>
      <c r="P75" s="1603"/>
      <c r="Q75" s="1603"/>
      <c r="R75" s="1603"/>
      <c r="S75" s="1603"/>
      <c r="T75" s="1604"/>
      <c r="U75" s="1603"/>
      <c r="V75" s="1603"/>
      <c r="W75" s="2791"/>
      <c r="X75" s="1614"/>
      <c r="Y75" s="2878">
        <v>550000</v>
      </c>
      <c r="Z75" s="2879">
        <f t="shared" si="10"/>
        <v>594000</v>
      </c>
      <c r="AA75" s="1606"/>
      <c r="AB75" s="1824"/>
      <c r="AC75" s="13"/>
      <c r="AD75" s="13"/>
      <c r="AE75" s="13"/>
      <c r="AF75" s="13"/>
      <c r="AG75" s="13"/>
      <c r="AH75" s="13"/>
      <c r="AI75" s="13"/>
    </row>
    <row r="76" spans="1:35" s="5" customFormat="1">
      <c r="A76" s="1599">
        <f t="shared" si="9"/>
        <v>10</v>
      </c>
      <c r="B76" s="6"/>
      <c r="C76" s="2173">
        <v>307858698360</v>
      </c>
      <c r="D76" s="2159" t="s">
        <v>7331</v>
      </c>
      <c r="E76" s="2173" t="s">
        <v>7390</v>
      </c>
      <c r="F76" s="2039" t="s">
        <v>1299</v>
      </c>
      <c r="G76" s="1647"/>
      <c r="H76" s="1647"/>
      <c r="I76" s="2159" t="s">
        <v>6114</v>
      </c>
      <c r="J76" s="2518" t="s">
        <v>7369</v>
      </c>
      <c r="K76" s="1919" t="s">
        <v>7355</v>
      </c>
      <c r="L76" s="2518" t="s">
        <v>7356</v>
      </c>
      <c r="M76" s="3066" t="s">
        <v>123</v>
      </c>
      <c r="N76" s="6"/>
      <c r="O76" s="6"/>
      <c r="P76" s="1603"/>
      <c r="Q76" s="1603"/>
      <c r="R76" s="1603"/>
      <c r="S76" s="1603"/>
      <c r="T76" s="1604"/>
      <c r="U76" s="1603"/>
      <c r="V76" s="1603"/>
      <c r="W76" s="2791"/>
      <c r="X76" s="1614"/>
      <c r="Y76" s="2878">
        <v>550000</v>
      </c>
      <c r="Z76" s="2879">
        <f t="shared" si="10"/>
        <v>594000</v>
      </c>
      <c r="AA76" s="1606"/>
      <c r="AB76" s="1824"/>
      <c r="AC76" s="13"/>
      <c r="AD76" s="13"/>
      <c r="AE76" s="13"/>
      <c r="AF76" s="13"/>
      <c r="AG76" s="13"/>
      <c r="AH76" s="13"/>
      <c r="AI76" s="13"/>
    </row>
    <row r="77" spans="1:35" s="5" customFormat="1">
      <c r="A77" s="1599">
        <f t="shared" si="9"/>
        <v>11</v>
      </c>
      <c r="B77" s="6"/>
      <c r="C77" s="2173">
        <v>307862192430</v>
      </c>
      <c r="D77" s="2159" t="s">
        <v>7331</v>
      </c>
      <c r="E77" s="2173" t="s">
        <v>7390</v>
      </c>
      <c r="F77" s="2039" t="s">
        <v>1299</v>
      </c>
      <c r="G77" s="1647"/>
      <c r="H77" s="1647"/>
      <c r="I77" s="2159" t="s">
        <v>6114</v>
      </c>
      <c r="J77" s="2518" t="s">
        <v>7372</v>
      </c>
      <c r="K77" s="1919" t="s">
        <v>7370</v>
      </c>
      <c r="L77" s="2518" t="s">
        <v>7371</v>
      </c>
      <c r="M77" s="3066" t="s">
        <v>123</v>
      </c>
      <c r="N77" s="6"/>
      <c r="O77" s="6"/>
      <c r="P77" s="1603"/>
      <c r="Q77" s="1603"/>
      <c r="R77" s="1603"/>
      <c r="S77" s="1603"/>
      <c r="T77" s="1604"/>
      <c r="U77" s="1603"/>
      <c r="V77" s="1603"/>
      <c r="W77" s="2791"/>
      <c r="X77" s="1614"/>
      <c r="Y77" s="2878">
        <v>550000</v>
      </c>
      <c r="Z77" s="2879">
        <f t="shared" ref="Z77" si="11">+Y77*1.08</f>
        <v>594000</v>
      </c>
      <c r="AA77" s="1606"/>
      <c r="AB77" s="1824"/>
      <c r="AC77" s="13"/>
      <c r="AD77" s="13"/>
      <c r="AE77" s="13"/>
      <c r="AF77" s="13"/>
      <c r="AG77" s="13"/>
      <c r="AH77" s="13"/>
      <c r="AI77" s="13"/>
    </row>
    <row r="78" spans="1:35" s="5" customFormat="1">
      <c r="A78" s="1599">
        <f t="shared" si="9"/>
        <v>12</v>
      </c>
      <c r="B78" s="6"/>
      <c r="C78" s="2173">
        <v>307869585130</v>
      </c>
      <c r="D78" s="2159" t="s">
        <v>7373</v>
      </c>
      <c r="E78" s="2173" t="s">
        <v>7390</v>
      </c>
      <c r="F78" s="2039" t="s">
        <v>1299</v>
      </c>
      <c r="G78" s="1647"/>
      <c r="H78" s="1647"/>
      <c r="I78" s="2159" t="s">
        <v>6114</v>
      </c>
      <c r="J78" s="2518" t="s">
        <v>7412</v>
      </c>
      <c r="K78" s="1919" t="s">
        <v>7408</v>
      </c>
      <c r="L78" s="2518" t="s">
        <v>7411</v>
      </c>
      <c r="M78" s="3066" t="s">
        <v>123</v>
      </c>
      <c r="N78" s="6"/>
      <c r="O78" s="6"/>
      <c r="P78" s="1603"/>
      <c r="Q78" s="1603"/>
      <c r="R78" s="1603"/>
      <c r="S78" s="1603"/>
      <c r="T78" s="1604"/>
      <c r="U78" s="1603"/>
      <c r="V78" s="1603"/>
      <c r="W78" s="2791"/>
      <c r="X78" s="1614"/>
      <c r="Y78" s="2878">
        <v>550000</v>
      </c>
      <c r="Z78" s="2879">
        <f t="shared" ref="Z78:Z81" si="12">+Y78*1.08</f>
        <v>594000</v>
      </c>
      <c r="AA78" s="1606"/>
      <c r="AB78" s="1824"/>
      <c r="AC78" s="13"/>
      <c r="AD78" s="13"/>
      <c r="AE78" s="13"/>
      <c r="AF78" s="13"/>
      <c r="AG78" s="13"/>
      <c r="AH78" s="13"/>
      <c r="AI78" s="13"/>
    </row>
    <row r="79" spans="1:35" s="5" customFormat="1">
      <c r="A79" s="1599">
        <f t="shared" si="9"/>
        <v>13</v>
      </c>
      <c r="B79" s="6"/>
      <c r="C79" s="2173">
        <v>307871642210</v>
      </c>
      <c r="D79" s="2159" t="s">
        <v>7350</v>
      </c>
      <c r="E79" s="2173" t="s">
        <v>7390</v>
      </c>
      <c r="F79" s="2039" t="s">
        <v>1299</v>
      </c>
      <c r="G79" s="1647"/>
      <c r="H79" s="1647"/>
      <c r="I79" s="2159" t="s">
        <v>6114</v>
      </c>
      <c r="J79" s="2518" t="s">
        <v>7410</v>
      </c>
      <c r="K79" s="1919" t="s">
        <v>7409</v>
      </c>
      <c r="L79" s="2518" t="s">
        <v>7356</v>
      </c>
      <c r="M79" s="1599" t="s">
        <v>108</v>
      </c>
      <c r="N79" s="6"/>
      <c r="O79" s="6"/>
      <c r="P79" s="1603"/>
      <c r="Q79" s="1603"/>
      <c r="R79" s="1603"/>
      <c r="S79" s="1603"/>
      <c r="T79" s="1604"/>
      <c r="U79" s="1603"/>
      <c r="V79" s="1603"/>
      <c r="W79" s="2791"/>
      <c r="X79" s="1614"/>
      <c r="Y79" s="2878">
        <v>550000</v>
      </c>
      <c r="Z79" s="2879">
        <f t="shared" si="12"/>
        <v>594000</v>
      </c>
      <c r="AA79" s="1606"/>
      <c r="AB79" s="1824"/>
      <c r="AC79" s="13"/>
      <c r="AD79" s="13"/>
      <c r="AE79" s="13"/>
      <c r="AF79" s="13"/>
      <c r="AG79" s="13"/>
      <c r="AH79" s="13"/>
      <c r="AI79" s="13"/>
    </row>
    <row r="80" spans="1:35" s="5" customFormat="1">
      <c r="A80" s="1599">
        <f t="shared" si="9"/>
        <v>14</v>
      </c>
      <c r="B80" s="6"/>
      <c r="C80" s="2173">
        <v>307876373620</v>
      </c>
      <c r="D80" s="2159" t="s">
        <v>7387</v>
      </c>
      <c r="E80" s="2173" t="s">
        <v>7390</v>
      </c>
      <c r="F80" s="2039" t="s">
        <v>1299</v>
      </c>
      <c r="G80" s="1647"/>
      <c r="H80" s="1647"/>
      <c r="I80" s="1824" t="s">
        <v>6512</v>
      </c>
      <c r="J80" s="2516"/>
      <c r="K80" s="1919" t="s">
        <v>7429</v>
      </c>
      <c r="L80" s="2518" t="s">
        <v>7430</v>
      </c>
      <c r="M80" s="3052" t="s">
        <v>136</v>
      </c>
      <c r="N80" s="6"/>
      <c r="O80" s="6"/>
      <c r="P80" s="1603"/>
      <c r="Q80" s="1603"/>
      <c r="R80" s="1603"/>
      <c r="S80" s="1603"/>
      <c r="T80" s="1604"/>
      <c r="U80" s="1603"/>
      <c r="V80" s="1603"/>
      <c r="W80" s="2791"/>
      <c r="X80" s="1614"/>
      <c r="Y80" s="2878">
        <f>550000+400000</f>
        <v>950000</v>
      </c>
      <c r="Z80" s="2879">
        <f t="shared" si="12"/>
        <v>1026000.0000000001</v>
      </c>
      <c r="AA80" s="1606"/>
      <c r="AB80" s="1824"/>
      <c r="AC80" s="13"/>
      <c r="AD80" s="13"/>
      <c r="AE80" s="13"/>
      <c r="AF80" s="13"/>
      <c r="AG80" s="13"/>
      <c r="AH80" s="13"/>
      <c r="AI80" s="13"/>
    </row>
    <row r="81" spans="1:35" s="5" customFormat="1">
      <c r="A81" s="1599">
        <f t="shared" si="9"/>
        <v>15</v>
      </c>
      <c r="B81" s="6"/>
      <c r="C81" s="2173">
        <v>307888985260</v>
      </c>
      <c r="D81" s="2159" t="s">
        <v>7456</v>
      </c>
      <c r="E81" s="2173" t="s">
        <v>7390</v>
      </c>
      <c r="F81" s="2039" t="s">
        <v>1299</v>
      </c>
      <c r="G81" s="1647"/>
      <c r="H81" s="1647"/>
      <c r="I81" s="2159" t="s">
        <v>6114</v>
      </c>
      <c r="J81" s="2518" t="s">
        <v>7475</v>
      </c>
      <c r="K81" s="1919" t="s">
        <v>7473</v>
      </c>
      <c r="L81" s="2518" t="s">
        <v>7474</v>
      </c>
      <c r="M81" s="1599" t="s">
        <v>108</v>
      </c>
      <c r="N81" s="6"/>
      <c r="O81" s="6"/>
      <c r="P81" s="1603"/>
      <c r="Q81" s="1603"/>
      <c r="R81" s="1603"/>
      <c r="S81" s="1603"/>
      <c r="T81" s="1604"/>
      <c r="U81" s="1603"/>
      <c r="V81" s="1603"/>
      <c r="W81" s="2791"/>
      <c r="X81" s="1614"/>
      <c r="Y81" s="2878">
        <v>550000</v>
      </c>
      <c r="Z81" s="2879">
        <f t="shared" si="12"/>
        <v>594000</v>
      </c>
      <c r="AA81" s="1606"/>
      <c r="AB81" s="1824"/>
      <c r="AC81" s="13"/>
      <c r="AD81" s="13"/>
      <c r="AE81" s="13"/>
      <c r="AF81" s="13"/>
      <c r="AG81" s="13"/>
      <c r="AH81" s="13"/>
      <c r="AI81" s="13"/>
    </row>
    <row r="82" spans="1:35" s="5" customFormat="1" ht="26.4">
      <c r="A82" s="1599">
        <f t="shared" si="9"/>
        <v>16</v>
      </c>
      <c r="B82" s="6"/>
      <c r="C82" s="2039">
        <v>107642870200</v>
      </c>
      <c r="D82" s="2159" t="s">
        <v>7472</v>
      </c>
      <c r="E82" s="2173" t="s">
        <v>7390</v>
      </c>
      <c r="F82" s="2039" t="s">
        <v>206</v>
      </c>
      <c r="G82" s="1647"/>
      <c r="H82" s="1647"/>
      <c r="I82" s="1726" t="s">
        <v>6139</v>
      </c>
      <c r="J82" s="2516"/>
      <c r="K82" s="2619" t="s">
        <v>7486</v>
      </c>
      <c r="L82" s="2518" t="s">
        <v>7487</v>
      </c>
      <c r="M82" s="3066" t="s">
        <v>123</v>
      </c>
      <c r="N82" s="6"/>
      <c r="O82" s="6"/>
      <c r="P82" s="1603"/>
      <c r="Q82" s="1603"/>
      <c r="R82" s="1603"/>
      <c r="S82" s="1603"/>
      <c r="T82" s="1604"/>
      <c r="U82" s="1603"/>
      <c r="V82" s="1603"/>
      <c r="W82" s="2791"/>
      <c r="X82" s="1614"/>
      <c r="Y82" s="2878">
        <v>550000</v>
      </c>
      <c r="Z82" s="2879">
        <f t="shared" ref="Z82:Z86" si="13">+Y82*1.08</f>
        <v>594000</v>
      </c>
      <c r="AA82" s="1606"/>
      <c r="AB82" s="1824"/>
      <c r="AC82" s="13"/>
      <c r="AD82" s="13"/>
      <c r="AE82" s="13"/>
      <c r="AF82" s="13"/>
      <c r="AG82" s="13"/>
      <c r="AH82" s="13"/>
      <c r="AI82" s="13"/>
    </row>
    <row r="83" spans="1:35" s="5" customFormat="1">
      <c r="A83" s="1599">
        <f t="shared" si="9"/>
        <v>17</v>
      </c>
      <c r="B83" s="6"/>
      <c r="C83" s="2173">
        <v>307893658460</v>
      </c>
      <c r="D83" s="2159" t="s">
        <v>7504</v>
      </c>
      <c r="E83" s="2173" t="s">
        <v>7390</v>
      </c>
      <c r="F83" s="2039" t="s">
        <v>1299</v>
      </c>
      <c r="G83" s="1647"/>
      <c r="H83" s="1647"/>
      <c r="I83" s="2159" t="s">
        <v>6114</v>
      </c>
      <c r="J83" s="2518" t="s">
        <v>7510</v>
      </c>
      <c r="K83" s="1919" t="s">
        <v>7502</v>
      </c>
      <c r="L83" s="2518" t="s">
        <v>7512</v>
      </c>
      <c r="M83" s="3066" t="s">
        <v>123</v>
      </c>
      <c r="N83" s="6"/>
      <c r="O83" s="6"/>
      <c r="P83" s="1603"/>
      <c r="Q83" s="1603"/>
      <c r="R83" s="1603"/>
      <c r="S83" s="1603"/>
      <c r="T83" s="1604"/>
      <c r="U83" s="1603"/>
      <c r="V83" s="1603"/>
      <c r="W83" s="2791"/>
      <c r="X83" s="1614"/>
      <c r="Y83" s="2878">
        <v>550000</v>
      </c>
      <c r="Z83" s="2879">
        <f t="shared" si="13"/>
        <v>594000</v>
      </c>
      <c r="AA83" s="1606"/>
      <c r="AB83" s="1824"/>
      <c r="AC83" s="13"/>
      <c r="AD83" s="13"/>
      <c r="AE83" s="13"/>
      <c r="AF83" s="13"/>
      <c r="AG83" s="13"/>
      <c r="AH83" s="13"/>
      <c r="AI83" s="13"/>
    </row>
    <row r="84" spans="1:35" s="5" customFormat="1">
      <c r="A84" s="1599">
        <f t="shared" si="9"/>
        <v>18</v>
      </c>
      <c r="B84" s="6"/>
      <c r="C84" s="2173">
        <v>307908868060</v>
      </c>
      <c r="D84" s="2159" t="s">
        <v>7394</v>
      </c>
      <c r="E84" s="2173" t="s">
        <v>7390</v>
      </c>
      <c r="F84" s="2039" t="s">
        <v>1299</v>
      </c>
      <c r="G84" s="1647"/>
      <c r="H84" s="1647"/>
      <c r="I84" s="2159" t="s">
        <v>6174</v>
      </c>
      <c r="J84" s="2516"/>
      <c r="K84" s="1919" t="s">
        <v>7592</v>
      </c>
      <c r="L84" s="2518" t="s">
        <v>1247</v>
      </c>
      <c r="M84" s="1599" t="s">
        <v>108</v>
      </c>
      <c r="N84" s="6"/>
      <c r="O84" s="6"/>
      <c r="P84" s="1603"/>
      <c r="Q84" s="1603"/>
      <c r="R84" s="1603"/>
      <c r="S84" s="1603"/>
      <c r="T84" s="1604"/>
      <c r="U84" s="1603"/>
      <c r="V84" s="1603"/>
      <c r="W84" s="2791"/>
      <c r="X84" s="1614"/>
      <c r="Y84" s="2878">
        <v>550000</v>
      </c>
      <c r="Z84" s="2879">
        <f t="shared" si="13"/>
        <v>594000</v>
      </c>
      <c r="AA84" s="1606"/>
      <c r="AB84" s="1824"/>
      <c r="AC84" s="13"/>
      <c r="AD84" s="13"/>
      <c r="AE84" s="13"/>
      <c r="AF84" s="13"/>
      <c r="AG84" s="13"/>
      <c r="AH84" s="13"/>
      <c r="AI84" s="13"/>
    </row>
    <row r="85" spans="1:35" s="5" customFormat="1">
      <c r="A85" s="3753" t="s">
        <v>7601</v>
      </c>
      <c r="B85" s="3754"/>
      <c r="C85" s="3754"/>
      <c r="D85" s="3754"/>
      <c r="E85" s="3754"/>
      <c r="F85" s="3754"/>
      <c r="G85" s="3754"/>
      <c r="H85" s="3754"/>
      <c r="I85" s="3754"/>
      <c r="J85" s="3754"/>
      <c r="K85" s="3754"/>
      <c r="L85" s="3754"/>
      <c r="M85" s="3755"/>
      <c r="N85" s="2788"/>
      <c r="O85" s="2789"/>
      <c r="P85" s="1004"/>
      <c r="Q85" s="1004"/>
      <c r="R85" s="1004"/>
      <c r="S85" s="1004"/>
      <c r="T85" s="1006"/>
      <c r="U85" s="1004"/>
      <c r="V85" s="1004"/>
      <c r="W85" s="1008"/>
      <c r="X85" s="1009"/>
      <c r="Y85" s="1007">
        <f>SUM(Y67:Y84)</f>
        <v>10300000</v>
      </c>
      <c r="Z85" s="1007">
        <f>SUM(Z67:Z84)</f>
        <v>11124000</v>
      </c>
      <c r="AA85" s="1606"/>
      <c r="AB85" s="1824"/>
      <c r="AC85" s="13"/>
      <c r="AD85" s="13"/>
      <c r="AE85" s="13"/>
      <c r="AF85" s="13"/>
      <c r="AG85" s="13"/>
      <c r="AH85" s="13"/>
      <c r="AI85" s="13"/>
    </row>
    <row r="86" spans="1:35" s="5" customFormat="1">
      <c r="A86" s="1599">
        <v>1</v>
      </c>
      <c r="B86" s="6"/>
      <c r="C86" s="2173">
        <v>307919316630</v>
      </c>
      <c r="D86" s="2159" t="s">
        <v>7569</v>
      </c>
      <c r="E86" s="2173" t="s">
        <v>7869</v>
      </c>
      <c r="F86" s="2039" t="s">
        <v>1299</v>
      </c>
      <c r="G86" s="1647"/>
      <c r="H86" s="1647"/>
      <c r="I86" s="2159" t="s">
        <v>6114</v>
      </c>
      <c r="J86" s="2518" t="s">
        <v>7633</v>
      </c>
      <c r="K86" s="1919" t="s">
        <v>7632</v>
      </c>
      <c r="L86" s="2518" t="s">
        <v>7372</v>
      </c>
      <c r="M86" s="1599" t="s">
        <v>108</v>
      </c>
      <c r="N86" s="6"/>
      <c r="O86" s="6"/>
      <c r="P86" s="1603"/>
      <c r="Q86" s="1603"/>
      <c r="R86" s="1603"/>
      <c r="S86" s="1603"/>
      <c r="T86" s="1604"/>
      <c r="U86" s="1603"/>
      <c r="V86" s="1603"/>
      <c r="W86" s="2791"/>
      <c r="X86" s="1614"/>
      <c r="Y86" s="2878">
        <v>550000</v>
      </c>
      <c r="Z86" s="2879">
        <f t="shared" si="13"/>
        <v>594000</v>
      </c>
      <c r="AA86" s="1606"/>
      <c r="AB86" s="1824"/>
      <c r="AC86" s="13"/>
      <c r="AD86" s="13"/>
      <c r="AE86" s="13"/>
      <c r="AF86" s="13"/>
      <c r="AG86" s="13"/>
      <c r="AH86" s="13"/>
      <c r="AI86" s="13"/>
    </row>
    <row r="87" spans="1:35" s="5" customFormat="1">
      <c r="A87" s="1599">
        <f t="shared" si="9"/>
        <v>2</v>
      </c>
      <c r="B87" s="6"/>
      <c r="C87" s="2173">
        <v>307921928000</v>
      </c>
      <c r="D87" s="2159" t="s">
        <v>7449</v>
      </c>
      <c r="E87" s="2173" t="s">
        <v>7869</v>
      </c>
      <c r="F87" s="2039" t="s">
        <v>1299</v>
      </c>
      <c r="G87" s="1647"/>
      <c r="H87" s="1647"/>
      <c r="I87" s="1824" t="s">
        <v>6512</v>
      </c>
      <c r="J87" s="2516"/>
      <c r="K87" s="1919" t="s">
        <v>7647</v>
      </c>
      <c r="L87" s="2518" t="s">
        <v>7233</v>
      </c>
      <c r="M87" s="1599" t="s">
        <v>108</v>
      </c>
      <c r="N87" s="6"/>
      <c r="O87" s="6"/>
      <c r="P87" s="1603"/>
      <c r="Q87" s="1603"/>
      <c r="R87" s="1603"/>
      <c r="S87" s="1603"/>
      <c r="T87" s="1604"/>
      <c r="U87" s="1603"/>
      <c r="V87" s="1603"/>
      <c r="W87" s="2791"/>
      <c r="X87" s="1614"/>
      <c r="Y87" s="2878">
        <v>550000</v>
      </c>
      <c r="Z87" s="2879">
        <f t="shared" ref="Z87:Z97" si="14">+Y87*1.08</f>
        <v>594000</v>
      </c>
      <c r="AA87" s="1606"/>
      <c r="AB87" s="1824"/>
      <c r="AC87" s="13"/>
      <c r="AD87" s="13"/>
      <c r="AE87" s="13"/>
      <c r="AF87" s="13"/>
      <c r="AG87" s="13"/>
      <c r="AH87" s="13"/>
      <c r="AI87" s="13"/>
    </row>
    <row r="88" spans="1:35" s="5" customFormat="1" ht="26.4">
      <c r="A88" s="1599">
        <f t="shared" si="9"/>
        <v>3</v>
      </c>
      <c r="B88" s="6"/>
      <c r="C88" s="2039">
        <v>107671814020</v>
      </c>
      <c r="D88" s="2159" t="s">
        <v>7636</v>
      </c>
      <c r="E88" s="2173" t="s">
        <v>7869</v>
      </c>
      <c r="F88" s="2039" t="s">
        <v>206</v>
      </c>
      <c r="G88" s="1647"/>
      <c r="H88" s="1647"/>
      <c r="I88" s="1824" t="s">
        <v>6600</v>
      </c>
      <c r="J88" s="2516"/>
      <c r="K88" s="2619" t="s">
        <v>7677</v>
      </c>
      <c r="L88" s="2518" t="s">
        <v>7678</v>
      </c>
      <c r="M88" s="3066" t="s">
        <v>123</v>
      </c>
      <c r="N88" s="6"/>
      <c r="O88" s="6"/>
      <c r="P88" s="1603"/>
      <c r="Q88" s="1603"/>
      <c r="R88" s="1603"/>
      <c r="S88" s="1603"/>
      <c r="T88" s="1604"/>
      <c r="U88" s="1603"/>
      <c r="V88" s="1603"/>
      <c r="W88" s="2791"/>
      <c r="X88" s="1614"/>
      <c r="Y88" s="2878">
        <v>550000</v>
      </c>
      <c r="Z88" s="2879">
        <f t="shared" si="14"/>
        <v>594000</v>
      </c>
      <c r="AA88" s="1606"/>
      <c r="AB88" s="1824"/>
      <c r="AC88" s="13"/>
      <c r="AD88" s="13"/>
      <c r="AE88" s="13"/>
      <c r="AF88" s="13"/>
      <c r="AG88" s="13"/>
      <c r="AH88" s="13"/>
      <c r="AI88" s="13"/>
    </row>
    <row r="89" spans="1:35" s="5" customFormat="1">
      <c r="A89" s="1599">
        <f t="shared" si="9"/>
        <v>4</v>
      </c>
      <c r="B89" s="6"/>
      <c r="C89" s="2173">
        <v>307925743920</v>
      </c>
      <c r="D89" s="2159" t="s">
        <v>7464</v>
      </c>
      <c r="E89" s="2173" t="s">
        <v>7869</v>
      </c>
      <c r="F89" s="2039" t="s">
        <v>1299</v>
      </c>
      <c r="G89" s="1647"/>
      <c r="H89" s="1647"/>
      <c r="I89" s="2159" t="s">
        <v>6114</v>
      </c>
      <c r="J89" s="2518" t="s">
        <v>7674</v>
      </c>
      <c r="K89" s="1919" t="s">
        <v>7675</v>
      </c>
      <c r="L89" s="2518" t="s">
        <v>7676</v>
      </c>
      <c r="M89" s="1599" t="s">
        <v>108</v>
      </c>
      <c r="N89" s="6"/>
      <c r="O89" s="6"/>
      <c r="P89" s="1603"/>
      <c r="Q89" s="1603"/>
      <c r="R89" s="1603"/>
      <c r="S89" s="1603"/>
      <c r="T89" s="1604"/>
      <c r="U89" s="1603"/>
      <c r="V89" s="1603"/>
      <c r="W89" s="2791"/>
      <c r="X89" s="1614"/>
      <c r="Y89" s="2878">
        <v>550000</v>
      </c>
      <c r="Z89" s="2879">
        <f t="shared" si="14"/>
        <v>594000</v>
      </c>
      <c r="AA89" s="1606"/>
      <c r="AB89" s="1824"/>
      <c r="AC89" s="13"/>
      <c r="AD89" s="13"/>
      <c r="AE89" s="13"/>
      <c r="AF89" s="13"/>
      <c r="AG89" s="13"/>
      <c r="AH89" s="13"/>
      <c r="AI89" s="13"/>
    </row>
    <row r="90" spans="1:35" s="5" customFormat="1" ht="26.4">
      <c r="A90" s="1599">
        <f t="shared" si="9"/>
        <v>5</v>
      </c>
      <c r="B90" s="6"/>
      <c r="C90" s="2039">
        <v>107685603320</v>
      </c>
      <c r="D90" s="2159" t="s">
        <v>7700</v>
      </c>
      <c r="E90" s="2173" t="s">
        <v>7869</v>
      </c>
      <c r="F90" s="2039" t="s">
        <v>206</v>
      </c>
      <c r="G90" s="1647"/>
      <c r="H90" s="1647"/>
      <c r="I90" s="1726" t="s">
        <v>6139</v>
      </c>
      <c r="J90" s="2516"/>
      <c r="K90" s="2619" t="s">
        <v>7736</v>
      </c>
      <c r="L90" s="2518" t="s">
        <v>7294</v>
      </c>
      <c r="M90" s="3066" t="s">
        <v>123</v>
      </c>
      <c r="N90" s="6"/>
      <c r="O90" s="6"/>
      <c r="P90" s="1603"/>
      <c r="Q90" s="1603"/>
      <c r="R90" s="1603"/>
      <c r="S90" s="1603"/>
      <c r="T90" s="1604"/>
      <c r="U90" s="1603"/>
      <c r="V90" s="1603"/>
      <c r="W90" s="2791"/>
      <c r="X90" s="1614"/>
      <c r="Y90" s="2878">
        <v>550000</v>
      </c>
      <c r="Z90" s="2879">
        <f t="shared" si="14"/>
        <v>594000</v>
      </c>
      <c r="AA90" s="1606"/>
      <c r="AB90" s="1824"/>
      <c r="AC90" s="13"/>
      <c r="AD90" s="13"/>
      <c r="AE90" s="13"/>
      <c r="AF90" s="13"/>
      <c r="AG90" s="13"/>
      <c r="AH90" s="13"/>
      <c r="AI90" s="13"/>
    </row>
    <row r="91" spans="1:35" s="5" customFormat="1">
      <c r="A91" s="1599">
        <f t="shared" si="9"/>
        <v>6</v>
      </c>
      <c r="B91" s="6"/>
      <c r="C91" s="2173">
        <v>307939062560</v>
      </c>
      <c r="D91" s="2159" t="s">
        <v>7700</v>
      </c>
      <c r="E91" s="2173" t="s">
        <v>7869</v>
      </c>
      <c r="F91" s="2039" t="s">
        <v>1299</v>
      </c>
      <c r="G91" s="1647"/>
      <c r="H91" s="1647"/>
      <c r="I91" s="2159" t="s">
        <v>6114</v>
      </c>
      <c r="J91" s="2518" t="s">
        <v>7728</v>
      </c>
      <c r="K91" s="1919" t="s">
        <v>7729</v>
      </c>
      <c r="L91" s="2518" t="s">
        <v>7730</v>
      </c>
      <c r="M91" s="1599" t="s">
        <v>108</v>
      </c>
      <c r="N91" s="6"/>
      <c r="O91" s="6"/>
      <c r="P91" s="1603"/>
      <c r="Q91" s="1603"/>
      <c r="R91" s="1603"/>
      <c r="S91" s="1603"/>
      <c r="T91" s="1604"/>
      <c r="U91" s="1603"/>
      <c r="V91" s="1603"/>
      <c r="W91" s="2791"/>
      <c r="X91" s="1614"/>
      <c r="Y91" s="2878">
        <v>550000</v>
      </c>
      <c r="Z91" s="2879">
        <f t="shared" si="14"/>
        <v>594000</v>
      </c>
      <c r="AA91" s="1606"/>
      <c r="AB91" s="1824"/>
      <c r="AC91" s="13"/>
      <c r="AD91" s="13"/>
      <c r="AE91" s="13"/>
      <c r="AF91" s="13"/>
      <c r="AG91" s="13"/>
      <c r="AH91" s="13"/>
      <c r="AI91" s="13"/>
    </row>
    <row r="92" spans="1:35" s="5" customFormat="1">
      <c r="A92" s="1599">
        <f t="shared" si="9"/>
        <v>7</v>
      </c>
      <c r="B92" s="6"/>
      <c r="C92" s="2173">
        <v>307948712910</v>
      </c>
      <c r="D92" s="2159" t="s">
        <v>7742</v>
      </c>
      <c r="E92" s="2173" t="s">
        <v>7869</v>
      </c>
      <c r="F92" s="2039" t="s">
        <v>1299</v>
      </c>
      <c r="G92" s="1647"/>
      <c r="H92" s="1647"/>
      <c r="I92" s="2159" t="s">
        <v>6114</v>
      </c>
      <c r="J92" s="2518" t="s">
        <v>7771</v>
      </c>
      <c r="K92" s="1919" t="s">
        <v>7772</v>
      </c>
      <c r="L92" s="2518" t="s">
        <v>1255</v>
      </c>
      <c r="M92" s="1599" t="s">
        <v>108</v>
      </c>
      <c r="N92" s="6"/>
      <c r="O92" s="6"/>
      <c r="P92" s="1603"/>
      <c r="Q92" s="1603"/>
      <c r="R92" s="1603"/>
      <c r="S92" s="1603"/>
      <c r="T92" s="1604"/>
      <c r="U92" s="1603"/>
      <c r="V92" s="1603"/>
      <c r="W92" s="2791"/>
      <c r="X92" s="1614"/>
      <c r="Y92" s="2878">
        <v>550000</v>
      </c>
      <c r="Z92" s="2879">
        <f t="shared" si="14"/>
        <v>594000</v>
      </c>
      <c r="AA92" s="1606"/>
      <c r="AB92" s="1824"/>
      <c r="AC92" s="13"/>
      <c r="AD92" s="13"/>
      <c r="AE92" s="13"/>
      <c r="AF92" s="13"/>
      <c r="AG92" s="13"/>
      <c r="AH92" s="13"/>
      <c r="AI92" s="13"/>
    </row>
    <row r="93" spans="1:35" s="5" customFormat="1">
      <c r="A93" s="1599">
        <f t="shared" si="9"/>
        <v>8</v>
      </c>
      <c r="B93" s="6"/>
      <c r="C93" s="2173">
        <v>307949776760</v>
      </c>
      <c r="D93" s="2159" t="s">
        <v>7742</v>
      </c>
      <c r="E93" s="2173" t="s">
        <v>7869</v>
      </c>
      <c r="F93" s="2039" t="s">
        <v>1299</v>
      </c>
      <c r="G93" s="1647"/>
      <c r="H93" s="1647"/>
      <c r="I93" s="1824" t="s">
        <v>6512</v>
      </c>
      <c r="J93" s="2516"/>
      <c r="K93" s="1919" t="s">
        <v>7777</v>
      </c>
      <c r="L93" s="2518" t="s">
        <v>7049</v>
      </c>
      <c r="M93" s="3066" t="s">
        <v>123</v>
      </c>
      <c r="N93" s="6"/>
      <c r="O93" s="6"/>
      <c r="P93" s="1603"/>
      <c r="Q93" s="1603"/>
      <c r="R93" s="1603"/>
      <c r="S93" s="1603"/>
      <c r="T93" s="1604"/>
      <c r="U93" s="1603"/>
      <c r="V93" s="1603"/>
      <c r="W93" s="2791"/>
      <c r="X93" s="1614"/>
      <c r="Y93" s="2878">
        <v>550000</v>
      </c>
      <c r="Z93" s="2879">
        <f t="shared" si="14"/>
        <v>594000</v>
      </c>
      <c r="AA93" s="1606"/>
      <c r="AB93" s="1824"/>
      <c r="AC93" s="13"/>
      <c r="AD93" s="13"/>
      <c r="AE93" s="13"/>
      <c r="AF93" s="13"/>
      <c r="AG93" s="13"/>
      <c r="AH93" s="13"/>
      <c r="AI93" s="13"/>
    </row>
    <row r="94" spans="1:35" s="5" customFormat="1">
      <c r="A94" s="1599">
        <f t="shared" si="9"/>
        <v>9</v>
      </c>
      <c r="B94" s="6"/>
      <c r="C94" s="2173">
        <v>307956296710</v>
      </c>
      <c r="D94" s="2159" t="s">
        <v>7631</v>
      </c>
      <c r="E94" s="2173" t="s">
        <v>7869</v>
      </c>
      <c r="F94" s="2039" t="s">
        <v>1299</v>
      </c>
      <c r="G94" s="1647"/>
      <c r="H94" s="1647"/>
      <c r="I94" s="2159" t="s">
        <v>6114</v>
      </c>
      <c r="J94" s="2518" t="s">
        <v>7797</v>
      </c>
      <c r="K94" s="1919" t="s">
        <v>7793</v>
      </c>
      <c r="L94" s="2518" t="s">
        <v>7796</v>
      </c>
      <c r="M94" s="1599" t="s">
        <v>108</v>
      </c>
      <c r="N94" s="6"/>
      <c r="O94" s="6"/>
      <c r="P94" s="1603"/>
      <c r="Q94" s="1603"/>
      <c r="R94" s="1603"/>
      <c r="S94" s="1603"/>
      <c r="T94" s="1604"/>
      <c r="U94" s="1603"/>
      <c r="V94" s="1603"/>
      <c r="W94" s="2791"/>
      <c r="X94" s="1614"/>
      <c r="Y94" s="2878">
        <v>550000</v>
      </c>
      <c r="Z94" s="2879">
        <f t="shared" si="14"/>
        <v>594000</v>
      </c>
      <c r="AA94" s="1606"/>
      <c r="AB94" s="1824"/>
      <c r="AC94" s="13"/>
      <c r="AD94" s="13"/>
      <c r="AE94" s="13"/>
      <c r="AF94" s="13"/>
      <c r="AG94" s="13"/>
      <c r="AH94" s="13"/>
      <c r="AI94" s="13"/>
    </row>
    <row r="95" spans="1:35" s="5" customFormat="1" ht="26.4">
      <c r="A95" s="1599">
        <f t="shared" si="9"/>
        <v>10</v>
      </c>
      <c r="B95" s="6"/>
      <c r="C95" s="2039">
        <v>107703875750</v>
      </c>
      <c r="D95" s="2159" t="s">
        <v>7792</v>
      </c>
      <c r="E95" s="2173" t="s">
        <v>7869</v>
      </c>
      <c r="F95" s="2039" t="s">
        <v>206</v>
      </c>
      <c r="G95" s="1647"/>
      <c r="H95" s="1647"/>
      <c r="I95" s="1824" t="s">
        <v>6600</v>
      </c>
      <c r="J95" s="2516"/>
      <c r="K95" s="3283" t="s">
        <v>7810</v>
      </c>
      <c r="L95" s="2516">
        <v>122</v>
      </c>
      <c r="M95" s="3066" t="s">
        <v>123</v>
      </c>
      <c r="N95" s="6"/>
      <c r="O95" s="6"/>
      <c r="P95" s="1603"/>
      <c r="Q95" s="1603"/>
      <c r="R95" s="1603"/>
      <c r="S95" s="1603"/>
      <c r="T95" s="1604"/>
      <c r="U95" s="1603"/>
      <c r="V95" s="1603"/>
      <c r="W95" s="2791"/>
      <c r="X95" s="1614"/>
      <c r="Y95" s="2878">
        <v>550000</v>
      </c>
      <c r="Z95" s="2879">
        <f t="shared" si="14"/>
        <v>594000</v>
      </c>
      <c r="AA95" s="1606"/>
      <c r="AB95" s="1824"/>
      <c r="AC95" s="13"/>
      <c r="AD95" s="13"/>
      <c r="AE95" s="13"/>
      <c r="AF95" s="13"/>
      <c r="AG95" s="13"/>
      <c r="AH95" s="13"/>
      <c r="AI95" s="13"/>
    </row>
    <row r="96" spans="1:35" s="5" customFormat="1" ht="26.4">
      <c r="A96" s="1599">
        <f t="shared" si="9"/>
        <v>11</v>
      </c>
      <c r="B96" s="6"/>
      <c r="C96" s="2039">
        <v>107708921500</v>
      </c>
      <c r="D96" s="2159" t="s">
        <v>7792</v>
      </c>
      <c r="E96" s="2173" t="s">
        <v>7869</v>
      </c>
      <c r="F96" s="2039" t="s">
        <v>206</v>
      </c>
      <c r="G96" s="1647"/>
      <c r="H96" s="1647"/>
      <c r="I96" s="1726" t="s">
        <v>6139</v>
      </c>
      <c r="J96" s="2516"/>
      <c r="K96" s="3283" t="s">
        <v>7810</v>
      </c>
      <c r="L96" s="2516">
        <v>390</v>
      </c>
      <c r="M96" s="3066" t="s">
        <v>123</v>
      </c>
      <c r="N96" s="6"/>
      <c r="O96" s="6"/>
      <c r="P96" s="1603"/>
      <c r="Q96" s="1603"/>
      <c r="R96" s="1603"/>
      <c r="S96" s="1603"/>
      <c r="T96" s="1604"/>
      <c r="U96" s="1603"/>
      <c r="V96" s="1603"/>
      <c r="W96" s="2791"/>
      <c r="X96" s="1614"/>
      <c r="Y96" s="2878">
        <v>550000</v>
      </c>
      <c r="Z96" s="2879">
        <f t="shared" si="14"/>
        <v>594000</v>
      </c>
      <c r="AA96" s="1606"/>
      <c r="AB96" s="1824"/>
      <c r="AC96" s="13"/>
      <c r="AD96" s="13"/>
      <c r="AE96" s="13"/>
      <c r="AF96" s="13"/>
      <c r="AG96" s="13"/>
      <c r="AH96" s="13"/>
      <c r="AI96" s="13"/>
    </row>
    <row r="97" spans="1:35" s="5" customFormat="1">
      <c r="A97" s="1599">
        <f t="shared" si="9"/>
        <v>12</v>
      </c>
      <c r="B97" s="6"/>
      <c r="C97" s="2173">
        <v>307965822200</v>
      </c>
      <c r="D97" s="2159" t="s">
        <v>7813</v>
      </c>
      <c r="E97" s="2173" t="s">
        <v>7869</v>
      </c>
      <c r="F97" s="2039" t="s">
        <v>1299</v>
      </c>
      <c r="G97" s="1647"/>
      <c r="H97" s="1647"/>
      <c r="I97" s="2159" t="s">
        <v>6114</v>
      </c>
      <c r="J97" s="2518" t="s">
        <v>7829</v>
      </c>
      <c r="K97" s="1919" t="s">
        <v>7830</v>
      </c>
      <c r="L97" s="2518" t="s">
        <v>6545</v>
      </c>
      <c r="M97" s="1599" t="s">
        <v>108</v>
      </c>
      <c r="N97" s="6"/>
      <c r="O97" s="6"/>
      <c r="P97" s="1603"/>
      <c r="Q97" s="1603"/>
      <c r="R97" s="1603"/>
      <c r="S97" s="1603"/>
      <c r="T97" s="1604"/>
      <c r="U97" s="1603"/>
      <c r="V97" s="1603"/>
      <c r="W97" s="2791"/>
      <c r="X97" s="1614"/>
      <c r="Y97" s="2878">
        <v>550000</v>
      </c>
      <c r="Z97" s="2879">
        <f t="shared" si="14"/>
        <v>594000</v>
      </c>
      <c r="AA97" s="1606"/>
      <c r="AB97" s="1824"/>
      <c r="AC97" s="13"/>
      <c r="AD97" s="13"/>
      <c r="AE97" s="13"/>
      <c r="AF97" s="13"/>
      <c r="AG97" s="13"/>
      <c r="AH97" s="13"/>
      <c r="AI97" s="13"/>
    </row>
    <row r="98" spans="1:35" s="5" customFormat="1">
      <c r="A98" s="1599">
        <f t="shared" si="9"/>
        <v>13</v>
      </c>
      <c r="B98" s="6"/>
      <c r="C98" s="2173">
        <v>307978460920</v>
      </c>
      <c r="D98" s="2159" t="s">
        <v>7839</v>
      </c>
      <c r="E98" s="2173" t="s">
        <v>7869</v>
      </c>
      <c r="F98" s="2039" t="s">
        <v>1299</v>
      </c>
      <c r="G98" s="1647"/>
      <c r="H98" s="1647"/>
      <c r="I98" s="2159" t="s">
        <v>6114</v>
      </c>
      <c r="J98" s="2516">
        <v>91</v>
      </c>
      <c r="K98" s="1919" t="s">
        <v>7897</v>
      </c>
      <c r="L98" s="2518" t="s">
        <v>7915</v>
      </c>
      <c r="M98" s="1599" t="s">
        <v>108</v>
      </c>
      <c r="N98" s="6"/>
      <c r="O98" s="6"/>
      <c r="P98" s="1603"/>
      <c r="Q98" s="1603"/>
      <c r="R98" s="1603"/>
      <c r="S98" s="1603"/>
      <c r="T98" s="1604"/>
      <c r="U98" s="1603"/>
      <c r="V98" s="1603"/>
      <c r="W98" s="2791"/>
      <c r="X98" s="1614"/>
      <c r="Y98" s="2878">
        <v>550000</v>
      </c>
      <c r="Z98" s="2879">
        <f t="shared" ref="Z98:Z102" si="15">+Y98*1.08</f>
        <v>594000</v>
      </c>
      <c r="AA98" s="1606"/>
      <c r="AB98" s="1824"/>
      <c r="AC98" s="13"/>
      <c r="AD98" s="13"/>
      <c r="AE98" s="13"/>
      <c r="AF98" s="13"/>
      <c r="AG98" s="13"/>
      <c r="AH98" s="13"/>
      <c r="AI98" s="13"/>
    </row>
    <row r="99" spans="1:35" s="5" customFormat="1">
      <c r="A99" s="1599">
        <f t="shared" si="9"/>
        <v>14</v>
      </c>
      <c r="B99" s="6"/>
      <c r="C99" s="2173">
        <v>307990216610</v>
      </c>
      <c r="D99" s="2159" t="s">
        <v>7945</v>
      </c>
      <c r="E99" s="2173" t="s">
        <v>7869</v>
      </c>
      <c r="F99" s="2039" t="s">
        <v>1299</v>
      </c>
      <c r="G99" s="1647"/>
      <c r="H99" s="1647"/>
      <c r="I99" s="2159" t="s">
        <v>6114</v>
      </c>
      <c r="J99" s="3514" t="s">
        <v>7950</v>
      </c>
      <c r="K99" s="1919" t="s">
        <v>7936</v>
      </c>
      <c r="L99" s="2516">
        <v>160</v>
      </c>
      <c r="M99" s="1599" t="s">
        <v>108</v>
      </c>
      <c r="N99" s="6"/>
      <c r="O99" s="6"/>
      <c r="P99" s="1603"/>
      <c r="Q99" s="1603"/>
      <c r="R99" s="1603"/>
      <c r="S99" s="1603"/>
      <c r="T99" s="1604"/>
      <c r="U99" s="1603"/>
      <c r="V99" s="1603"/>
      <c r="W99" s="2791"/>
      <c r="X99" s="1614"/>
      <c r="Y99" s="2878">
        <v>550000</v>
      </c>
      <c r="Z99" s="2879">
        <f t="shared" si="15"/>
        <v>594000</v>
      </c>
      <c r="AA99" s="1606"/>
      <c r="AB99" s="1824"/>
      <c r="AC99" s="13"/>
      <c r="AD99" s="13"/>
      <c r="AE99" s="13"/>
      <c r="AF99" s="13"/>
      <c r="AG99" s="13"/>
      <c r="AH99" s="13"/>
      <c r="AI99" s="13"/>
    </row>
    <row r="100" spans="1:35" s="5" customFormat="1">
      <c r="A100" s="1599">
        <f t="shared" si="9"/>
        <v>15</v>
      </c>
      <c r="B100" s="6"/>
      <c r="C100" s="2173">
        <v>307992982050</v>
      </c>
      <c r="D100" s="2159" t="s">
        <v>7945</v>
      </c>
      <c r="E100" s="2173" t="s">
        <v>7869</v>
      </c>
      <c r="F100" s="2039" t="s">
        <v>1299</v>
      </c>
      <c r="G100" s="1647"/>
      <c r="H100" s="1647"/>
      <c r="I100" s="2159" t="s">
        <v>6174</v>
      </c>
      <c r="J100" s="2516"/>
      <c r="K100" s="1919" t="s">
        <v>7942</v>
      </c>
      <c r="L100" s="2516">
        <v>24</v>
      </c>
      <c r="M100" s="1599" t="s">
        <v>108</v>
      </c>
      <c r="N100" s="6"/>
      <c r="O100" s="6"/>
      <c r="P100" s="1603"/>
      <c r="Q100" s="1603"/>
      <c r="R100" s="1603"/>
      <c r="S100" s="1603"/>
      <c r="T100" s="1604"/>
      <c r="U100" s="1603"/>
      <c r="V100" s="1603"/>
      <c r="W100" s="2791"/>
      <c r="X100" s="1614"/>
      <c r="Y100" s="2878">
        <v>550000</v>
      </c>
      <c r="Z100" s="2879">
        <f t="shared" si="15"/>
        <v>594000</v>
      </c>
      <c r="AA100" s="1606"/>
      <c r="AB100" s="1824"/>
      <c r="AC100" s="13"/>
      <c r="AD100" s="13"/>
      <c r="AE100" s="13"/>
      <c r="AF100" s="13"/>
      <c r="AG100" s="13"/>
      <c r="AH100" s="13"/>
      <c r="AI100" s="13"/>
    </row>
    <row r="101" spans="1:35" s="5" customFormat="1" ht="26.4">
      <c r="A101" s="1599">
        <f t="shared" si="9"/>
        <v>16</v>
      </c>
      <c r="B101" s="6"/>
      <c r="C101" s="2039">
        <v>107742608040</v>
      </c>
      <c r="D101" s="2159" t="s">
        <v>7955</v>
      </c>
      <c r="E101" s="2173" t="s">
        <v>7869</v>
      </c>
      <c r="F101" s="2039" t="s">
        <v>206</v>
      </c>
      <c r="G101" s="1647"/>
      <c r="H101" s="1647"/>
      <c r="I101" s="1824" t="s">
        <v>6600</v>
      </c>
      <c r="J101" s="2516"/>
      <c r="K101" s="2619" t="s">
        <v>8013</v>
      </c>
      <c r="L101" s="2516">
        <v>1066</v>
      </c>
      <c r="M101" s="3066" t="s">
        <v>123</v>
      </c>
      <c r="N101" s="6"/>
      <c r="O101" s="6"/>
      <c r="P101" s="1603"/>
      <c r="Q101" s="1603"/>
      <c r="R101" s="1603"/>
      <c r="S101" s="1603"/>
      <c r="T101" s="1604"/>
      <c r="U101" s="1603"/>
      <c r="V101" s="1603"/>
      <c r="W101" s="2791"/>
      <c r="X101" s="1614"/>
      <c r="Y101" s="2878">
        <v>550000</v>
      </c>
      <c r="Z101" s="2879">
        <f t="shared" si="15"/>
        <v>594000</v>
      </c>
      <c r="AA101" s="1606"/>
      <c r="AB101" s="1824"/>
      <c r="AC101" s="13"/>
      <c r="AD101" s="13"/>
      <c r="AE101" s="13"/>
      <c r="AF101" s="13"/>
      <c r="AG101" s="13"/>
      <c r="AH101" s="13"/>
      <c r="AI101" s="13"/>
    </row>
    <row r="102" spans="1:35" s="5" customFormat="1">
      <c r="A102" s="1599">
        <f t="shared" si="9"/>
        <v>17</v>
      </c>
      <c r="B102" s="6"/>
      <c r="C102" s="2173">
        <v>308003789830</v>
      </c>
      <c r="D102" s="2159" t="s">
        <v>7955</v>
      </c>
      <c r="E102" s="2173" t="s">
        <v>7869</v>
      </c>
      <c r="F102" s="2039" t="s">
        <v>1299</v>
      </c>
      <c r="G102" s="1647"/>
      <c r="H102" s="1647"/>
      <c r="I102" s="2159" t="s">
        <v>6114</v>
      </c>
      <c r="J102" s="2518" t="s">
        <v>8011</v>
      </c>
      <c r="K102" s="1919" t="s">
        <v>8009</v>
      </c>
      <c r="L102" s="2518" t="s">
        <v>8010</v>
      </c>
      <c r="M102" s="1599" t="s">
        <v>108</v>
      </c>
      <c r="N102" s="6"/>
      <c r="O102" s="6"/>
      <c r="P102" s="1603"/>
      <c r="Q102" s="1603"/>
      <c r="R102" s="1603"/>
      <c r="S102" s="1603"/>
      <c r="T102" s="1604"/>
      <c r="U102" s="1603"/>
      <c r="V102" s="1603"/>
      <c r="W102" s="2791"/>
      <c r="X102" s="1614"/>
      <c r="Y102" s="2878">
        <v>550000</v>
      </c>
      <c r="Z102" s="2879">
        <f t="shared" si="15"/>
        <v>594000</v>
      </c>
      <c r="AA102" s="1606"/>
      <c r="AB102" s="1824"/>
      <c r="AC102" s="13"/>
      <c r="AD102" s="13"/>
      <c r="AE102" s="13"/>
      <c r="AF102" s="13"/>
      <c r="AG102" s="13"/>
      <c r="AH102" s="13"/>
      <c r="AI102" s="13"/>
    </row>
    <row r="103" spans="1:35" s="5" customFormat="1">
      <c r="A103" s="3753" t="s">
        <v>8012</v>
      </c>
      <c r="B103" s="3754"/>
      <c r="C103" s="3754"/>
      <c r="D103" s="3754"/>
      <c r="E103" s="3754"/>
      <c r="F103" s="3754"/>
      <c r="G103" s="3754"/>
      <c r="H103" s="3754"/>
      <c r="I103" s="3754"/>
      <c r="J103" s="3754"/>
      <c r="K103" s="3754"/>
      <c r="L103" s="3754"/>
      <c r="M103" s="3755"/>
      <c r="N103" s="2788"/>
      <c r="O103" s="2789"/>
      <c r="P103" s="1004"/>
      <c r="Q103" s="1004"/>
      <c r="R103" s="1004"/>
      <c r="S103" s="1004"/>
      <c r="T103" s="1006"/>
      <c r="U103" s="1004"/>
      <c r="V103" s="1004"/>
      <c r="W103" s="1008"/>
      <c r="X103" s="1009"/>
      <c r="Y103" s="1007">
        <f>SUM(Y86:Y102)</f>
        <v>9350000</v>
      </c>
      <c r="Z103" s="1007">
        <f>SUM(Z86:Z102)</f>
        <v>10098000</v>
      </c>
      <c r="AA103" s="1606"/>
      <c r="AB103" s="1824"/>
      <c r="AC103" s="13"/>
      <c r="AD103" s="13"/>
      <c r="AE103" s="13"/>
      <c r="AF103" s="13"/>
      <c r="AG103" s="13"/>
      <c r="AH103" s="13"/>
      <c r="AI103" s="13"/>
    </row>
    <row r="104" spans="1:35" s="5" customFormat="1">
      <c r="A104" s="1599">
        <v>1</v>
      </c>
      <c r="B104" s="6"/>
      <c r="C104" s="2173">
        <v>308001163430</v>
      </c>
      <c r="D104" s="2159" t="s">
        <v>7992</v>
      </c>
      <c r="E104" s="2173" t="s">
        <v>8216</v>
      </c>
      <c r="F104" s="2039" t="s">
        <v>1299</v>
      </c>
      <c r="G104" s="1647"/>
      <c r="H104" s="1647"/>
      <c r="I104" s="1824" t="s">
        <v>6862</v>
      </c>
      <c r="J104" s="2516"/>
      <c r="K104" s="2040"/>
      <c r="L104" s="2516"/>
      <c r="M104" s="1599" t="s">
        <v>108</v>
      </c>
      <c r="N104" s="6"/>
      <c r="O104" s="6"/>
      <c r="P104" s="1603"/>
      <c r="Q104" s="1603"/>
      <c r="R104" s="1603"/>
      <c r="S104" s="1603"/>
      <c r="T104" s="1604"/>
      <c r="U104" s="1603"/>
      <c r="V104" s="1603"/>
      <c r="W104" s="2791"/>
      <c r="X104" s="1614"/>
      <c r="Y104" s="2878">
        <v>550000</v>
      </c>
      <c r="Z104" s="2879">
        <f t="shared" ref="Z104" si="16">+Y104*1.08</f>
        <v>594000</v>
      </c>
      <c r="AA104" s="1606"/>
      <c r="AB104" s="1824"/>
      <c r="AC104" s="13"/>
      <c r="AD104" s="13"/>
      <c r="AE104" s="13"/>
      <c r="AF104" s="13"/>
      <c r="AG104" s="13"/>
      <c r="AH104" s="13"/>
      <c r="AI104" s="13"/>
    </row>
    <row r="105" spans="1:35" s="5" customFormat="1">
      <c r="A105" s="1599">
        <f t="shared" si="9"/>
        <v>2</v>
      </c>
      <c r="B105" s="6"/>
      <c r="C105" s="2173">
        <v>308015527800</v>
      </c>
      <c r="D105" s="2159" t="s">
        <v>7985</v>
      </c>
      <c r="E105" s="2173" t="s">
        <v>8216</v>
      </c>
      <c r="F105" s="2039" t="s">
        <v>1299</v>
      </c>
      <c r="G105" s="1647"/>
      <c r="H105" s="1647"/>
      <c r="I105" s="2159" t="s">
        <v>6114</v>
      </c>
      <c r="J105" s="2516">
        <v>95</v>
      </c>
      <c r="K105" s="1919" t="s">
        <v>8066</v>
      </c>
      <c r="L105" s="2516">
        <v>438</v>
      </c>
      <c r="M105" s="1599" t="s">
        <v>108</v>
      </c>
      <c r="N105" s="6"/>
      <c r="O105" s="6"/>
      <c r="P105" s="1603"/>
      <c r="Q105" s="1603"/>
      <c r="R105" s="1603"/>
      <c r="S105" s="1603"/>
      <c r="T105" s="1604"/>
      <c r="U105" s="1603"/>
      <c r="V105" s="1603"/>
      <c r="W105" s="2791"/>
      <c r="X105" s="1614"/>
      <c r="Y105" s="2878">
        <v>550000</v>
      </c>
      <c r="Z105" s="2879">
        <f t="shared" ref="Z105:Z113" si="17">+Y105*1.08</f>
        <v>594000</v>
      </c>
      <c r="AA105" s="1606"/>
      <c r="AB105" s="1824"/>
      <c r="AC105" s="13"/>
      <c r="AD105" s="13"/>
      <c r="AE105" s="13"/>
      <c r="AF105" s="13"/>
      <c r="AG105" s="13"/>
      <c r="AH105" s="13"/>
      <c r="AI105" s="13"/>
    </row>
    <row r="106" spans="1:35" s="5" customFormat="1">
      <c r="A106" s="1599">
        <f t="shared" si="9"/>
        <v>3</v>
      </c>
      <c r="B106" s="6"/>
      <c r="C106" s="2173">
        <v>308017088210</v>
      </c>
      <c r="D106" s="2159" t="s">
        <v>7985</v>
      </c>
      <c r="E106" s="2173" t="s">
        <v>8216</v>
      </c>
      <c r="F106" s="2039" t="s">
        <v>1299</v>
      </c>
      <c r="G106" s="1647"/>
      <c r="H106" s="1647"/>
      <c r="I106" s="2159" t="s">
        <v>6114</v>
      </c>
      <c r="J106" s="2516">
        <v>96</v>
      </c>
      <c r="K106" s="1919" t="s">
        <v>8067</v>
      </c>
      <c r="L106" s="2516">
        <v>8</v>
      </c>
      <c r="M106" s="3066" t="s">
        <v>123</v>
      </c>
      <c r="N106" s="6"/>
      <c r="O106" s="6"/>
      <c r="P106" s="1603"/>
      <c r="Q106" s="1603"/>
      <c r="R106" s="1603"/>
      <c r="S106" s="1603"/>
      <c r="T106" s="1604"/>
      <c r="U106" s="1603"/>
      <c r="V106" s="1603"/>
      <c r="W106" s="2791"/>
      <c r="X106" s="1614"/>
      <c r="Y106" s="2878">
        <v>550000</v>
      </c>
      <c r="Z106" s="2879">
        <f t="shared" si="17"/>
        <v>594000</v>
      </c>
      <c r="AA106" s="1606"/>
      <c r="AB106" s="1824"/>
      <c r="AC106" s="13"/>
      <c r="AD106" s="13"/>
      <c r="AE106" s="13"/>
      <c r="AF106" s="13"/>
      <c r="AG106" s="13"/>
      <c r="AH106" s="13"/>
      <c r="AI106" s="13"/>
    </row>
    <row r="107" spans="1:35" s="5" customFormat="1" ht="26.4">
      <c r="A107" s="1599">
        <f t="shared" si="9"/>
        <v>4</v>
      </c>
      <c r="B107" s="6"/>
      <c r="C107" s="2039">
        <v>107763739050</v>
      </c>
      <c r="D107" s="2159" t="s">
        <v>7911</v>
      </c>
      <c r="E107" s="2173" t="s">
        <v>8216</v>
      </c>
      <c r="F107" s="2039" t="s">
        <v>206</v>
      </c>
      <c r="G107" s="1647"/>
      <c r="H107" s="1647"/>
      <c r="I107" s="1824" t="s">
        <v>6600</v>
      </c>
      <c r="J107" s="2516"/>
      <c r="K107" s="2619" t="s">
        <v>8105</v>
      </c>
      <c r="L107" s="2516">
        <v>325</v>
      </c>
      <c r="M107" s="3066" t="s">
        <v>123</v>
      </c>
      <c r="N107" s="6"/>
      <c r="O107" s="6"/>
      <c r="P107" s="1603"/>
      <c r="Q107" s="1603"/>
      <c r="R107" s="1603"/>
      <c r="S107" s="1603"/>
      <c r="T107" s="1604"/>
      <c r="U107" s="1603"/>
      <c r="V107" s="1603"/>
      <c r="W107" s="2791"/>
      <c r="X107" s="1614"/>
      <c r="Y107" s="2878">
        <v>550000</v>
      </c>
      <c r="Z107" s="2879">
        <f t="shared" si="17"/>
        <v>594000</v>
      </c>
      <c r="AA107" s="1606"/>
      <c r="AB107" s="1824"/>
      <c r="AC107" s="13"/>
      <c r="AD107" s="13"/>
      <c r="AE107" s="13"/>
      <c r="AF107" s="13"/>
      <c r="AG107" s="13"/>
      <c r="AH107" s="13"/>
      <c r="AI107" s="13"/>
    </row>
    <row r="108" spans="1:35" s="5" customFormat="1">
      <c r="A108" s="1599">
        <f t="shared" si="9"/>
        <v>5</v>
      </c>
      <c r="B108" s="6"/>
      <c r="C108" s="2173">
        <v>308029321150</v>
      </c>
      <c r="D108" s="2159" t="s">
        <v>7940</v>
      </c>
      <c r="E108" s="2173" t="s">
        <v>8216</v>
      </c>
      <c r="F108" s="2039" t="s">
        <v>1299</v>
      </c>
      <c r="G108" s="3637"/>
      <c r="H108" s="1647"/>
      <c r="I108" s="2159" t="s">
        <v>6114</v>
      </c>
      <c r="J108" s="2516">
        <v>97</v>
      </c>
      <c r="K108" s="1919" t="s">
        <v>8138</v>
      </c>
      <c r="L108" s="2516">
        <v>308</v>
      </c>
      <c r="M108" s="1599" t="s">
        <v>108</v>
      </c>
      <c r="N108" s="6"/>
      <c r="O108" s="6"/>
      <c r="P108" s="1603"/>
      <c r="Q108" s="1603"/>
      <c r="R108" s="1603"/>
      <c r="S108" s="1603"/>
      <c r="T108" s="1604"/>
      <c r="U108" s="1603"/>
      <c r="V108" s="1603"/>
      <c r="W108" s="2791"/>
      <c r="X108" s="1614"/>
      <c r="Y108" s="2878">
        <v>550000</v>
      </c>
      <c r="Z108" s="2879">
        <f t="shared" si="17"/>
        <v>594000</v>
      </c>
      <c r="AA108" s="1606"/>
      <c r="AB108" s="1824"/>
      <c r="AC108" s="13"/>
      <c r="AD108" s="13"/>
      <c r="AE108" s="13"/>
      <c r="AF108" s="13"/>
      <c r="AG108" s="13"/>
      <c r="AH108" s="13"/>
      <c r="AI108" s="13"/>
    </row>
    <row r="109" spans="1:35" s="5" customFormat="1">
      <c r="A109" s="1599">
        <f t="shared" si="9"/>
        <v>6</v>
      </c>
      <c r="B109" s="6"/>
      <c r="C109" s="2173">
        <v>308031011800</v>
      </c>
      <c r="D109" s="2159" t="s">
        <v>8113</v>
      </c>
      <c r="E109" s="2173" t="s">
        <v>8216</v>
      </c>
      <c r="F109" s="2039" t="s">
        <v>1299</v>
      </c>
      <c r="G109" s="1647"/>
      <c r="H109" s="1647"/>
      <c r="I109" s="2159" t="s">
        <v>6174</v>
      </c>
      <c r="J109" s="2516"/>
      <c r="K109" s="1919" t="s">
        <v>8139</v>
      </c>
      <c r="L109" s="2516">
        <v>7</v>
      </c>
      <c r="M109" s="1599" t="s">
        <v>108</v>
      </c>
      <c r="N109" s="6"/>
      <c r="O109" s="6"/>
      <c r="P109" s="1603"/>
      <c r="Q109" s="1603"/>
      <c r="R109" s="1603"/>
      <c r="S109" s="1603"/>
      <c r="T109" s="1604"/>
      <c r="U109" s="1603"/>
      <c r="V109" s="1603"/>
      <c r="W109" s="2791"/>
      <c r="X109" s="1614"/>
      <c r="Y109" s="2878">
        <v>550000</v>
      </c>
      <c r="Z109" s="2879">
        <f t="shared" si="17"/>
        <v>594000</v>
      </c>
      <c r="AA109" s="1606"/>
      <c r="AB109" s="1824"/>
      <c r="AC109" s="13"/>
      <c r="AD109" s="13"/>
      <c r="AE109" s="13"/>
      <c r="AF109" s="13"/>
      <c r="AG109" s="13"/>
      <c r="AH109" s="13"/>
      <c r="AI109" s="13"/>
    </row>
    <row r="110" spans="1:35" s="5" customFormat="1" ht="26.4">
      <c r="A110" s="1599">
        <f t="shared" si="9"/>
        <v>7</v>
      </c>
      <c r="B110" s="6"/>
      <c r="C110" s="2039">
        <v>107778238260</v>
      </c>
      <c r="D110" s="2159" t="s">
        <v>8113</v>
      </c>
      <c r="E110" s="2173" t="s">
        <v>8216</v>
      </c>
      <c r="F110" s="2039" t="s">
        <v>206</v>
      </c>
      <c r="G110" s="1647"/>
      <c r="H110" s="1647"/>
      <c r="I110" s="1726" t="s">
        <v>6139</v>
      </c>
      <c r="J110" s="2516"/>
      <c r="K110" s="2619" t="s">
        <v>8140</v>
      </c>
      <c r="L110" s="2516">
        <v>390</v>
      </c>
      <c r="M110" s="3066" t="s">
        <v>123</v>
      </c>
      <c r="N110" s="6"/>
      <c r="O110" s="6"/>
      <c r="P110" s="1603"/>
      <c r="Q110" s="1603"/>
      <c r="R110" s="1603"/>
      <c r="S110" s="1603"/>
      <c r="T110" s="1604"/>
      <c r="U110" s="1603"/>
      <c r="V110" s="1603"/>
      <c r="W110" s="2791"/>
      <c r="X110" s="1614"/>
      <c r="Y110" s="2878">
        <v>550000</v>
      </c>
      <c r="Z110" s="2879">
        <f t="shared" si="17"/>
        <v>594000</v>
      </c>
      <c r="AA110" s="1606"/>
      <c r="AB110" s="1824"/>
      <c r="AC110" s="13"/>
      <c r="AD110" s="13"/>
      <c r="AE110" s="13"/>
      <c r="AF110" s="13"/>
      <c r="AG110" s="13"/>
      <c r="AH110" s="13"/>
      <c r="AI110" s="13"/>
    </row>
    <row r="111" spans="1:35" s="5" customFormat="1">
      <c r="A111" s="1599">
        <f t="shared" si="9"/>
        <v>8</v>
      </c>
      <c r="B111" s="6"/>
      <c r="C111" s="2173">
        <v>308041316020</v>
      </c>
      <c r="D111" s="2159" t="s">
        <v>8153</v>
      </c>
      <c r="E111" s="2173" t="s">
        <v>8216</v>
      </c>
      <c r="F111" s="2039" t="s">
        <v>1299</v>
      </c>
      <c r="G111" s="1647"/>
      <c r="H111" s="1647"/>
      <c r="I111" s="2159" t="s">
        <v>6114</v>
      </c>
      <c r="J111" s="2516">
        <v>98</v>
      </c>
      <c r="K111" s="1919" t="s">
        <v>8158</v>
      </c>
      <c r="L111" s="2516">
        <v>12</v>
      </c>
      <c r="M111" s="1599" t="s">
        <v>108</v>
      </c>
      <c r="N111" s="6"/>
      <c r="O111" s="6"/>
      <c r="P111" s="1603"/>
      <c r="Q111" s="1603"/>
      <c r="R111" s="1603"/>
      <c r="S111" s="1603"/>
      <c r="T111" s="1604"/>
      <c r="U111" s="1603"/>
      <c r="V111" s="1603"/>
      <c r="W111" s="2791"/>
      <c r="X111" s="1614"/>
      <c r="Y111" s="2878">
        <v>550000</v>
      </c>
      <c r="Z111" s="2879">
        <f t="shared" si="17"/>
        <v>594000</v>
      </c>
      <c r="AA111" s="1606"/>
      <c r="AB111" s="1824"/>
      <c r="AC111" s="13"/>
      <c r="AD111" s="13"/>
      <c r="AE111" s="13"/>
      <c r="AF111" s="13"/>
      <c r="AG111" s="13"/>
      <c r="AH111" s="13"/>
      <c r="AI111" s="13"/>
    </row>
    <row r="112" spans="1:35" s="5" customFormat="1">
      <c r="A112" s="1599">
        <f t="shared" si="9"/>
        <v>9</v>
      </c>
      <c r="B112" s="6"/>
      <c r="C112" s="2173">
        <v>308050540841</v>
      </c>
      <c r="D112" s="2159" t="s">
        <v>4793</v>
      </c>
      <c r="E112" s="2173" t="s">
        <v>8216</v>
      </c>
      <c r="F112" s="2039" t="s">
        <v>1299</v>
      </c>
      <c r="G112" s="1647"/>
      <c r="H112" s="1647"/>
      <c r="I112" s="2159" t="s">
        <v>6114</v>
      </c>
      <c r="J112" s="2516">
        <v>99</v>
      </c>
      <c r="K112" s="1919" t="s">
        <v>8192</v>
      </c>
      <c r="L112" s="2516">
        <v>112</v>
      </c>
      <c r="M112" s="3052" t="s">
        <v>136</v>
      </c>
      <c r="N112" s="6"/>
      <c r="O112" s="6"/>
      <c r="P112" s="1603"/>
      <c r="Q112" s="1603"/>
      <c r="R112" s="1603"/>
      <c r="S112" s="1603"/>
      <c r="T112" s="1604"/>
      <c r="U112" s="1603"/>
      <c r="V112" s="1603"/>
      <c r="W112" s="2791"/>
      <c r="X112" s="1614"/>
      <c r="Y112" s="2878">
        <f>550000+400000</f>
        <v>950000</v>
      </c>
      <c r="Z112" s="2879">
        <f t="shared" si="17"/>
        <v>1026000.0000000001</v>
      </c>
      <c r="AA112" s="1606"/>
      <c r="AB112" s="1824"/>
      <c r="AC112" s="13"/>
      <c r="AD112" s="13"/>
      <c r="AE112" s="13"/>
      <c r="AF112" s="13"/>
      <c r="AG112" s="13"/>
      <c r="AH112" s="13"/>
      <c r="AI112" s="13"/>
    </row>
    <row r="113" spans="1:35" s="5" customFormat="1">
      <c r="A113" s="1599">
        <f t="shared" si="9"/>
        <v>10</v>
      </c>
      <c r="B113" s="6"/>
      <c r="C113" s="2173">
        <v>308058191840</v>
      </c>
      <c r="D113" s="2159" t="s">
        <v>8179</v>
      </c>
      <c r="E113" s="2173" t="s">
        <v>8216</v>
      </c>
      <c r="F113" s="2039" t="s">
        <v>1299</v>
      </c>
      <c r="G113" s="1647"/>
      <c r="H113" s="1647"/>
      <c r="I113" s="2159" t="s">
        <v>6114</v>
      </c>
      <c r="J113" s="2518" t="s">
        <v>8249</v>
      </c>
      <c r="K113" s="1919" t="s">
        <v>8250</v>
      </c>
      <c r="L113" s="2516">
        <v>332</v>
      </c>
      <c r="M113" s="3066" t="s">
        <v>123</v>
      </c>
      <c r="N113" s="6"/>
      <c r="O113" s="6"/>
      <c r="P113" s="1603"/>
      <c r="Q113" s="1603"/>
      <c r="R113" s="1603"/>
      <c r="S113" s="1603"/>
      <c r="T113" s="1604"/>
      <c r="U113" s="1603"/>
      <c r="V113" s="1603"/>
      <c r="W113" s="2791"/>
      <c r="X113" s="1614"/>
      <c r="Y113" s="2878">
        <v>550000</v>
      </c>
      <c r="Z113" s="2879">
        <f t="shared" si="17"/>
        <v>594000</v>
      </c>
      <c r="AA113" s="1606"/>
      <c r="AB113" s="1824"/>
      <c r="AC113" s="13"/>
      <c r="AD113" s="13"/>
      <c r="AE113" s="13"/>
      <c r="AF113" s="13"/>
      <c r="AG113" s="13"/>
      <c r="AH113" s="13"/>
      <c r="AI113" s="13"/>
    </row>
    <row r="114" spans="1:35" s="5" customFormat="1">
      <c r="A114" s="1599">
        <f t="shared" si="9"/>
        <v>11</v>
      </c>
      <c r="B114" s="6"/>
      <c r="C114" s="2036"/>
      <c r="D114" s="1919"/>
      <c r="E114" s="2039"/>
      <c r="F114" s="2039"/>
      <c r="G114" s="1647"/>
      <c r="H114" s="1647"/>
      <c r="I114" s="1824"/>
      <c r="J114" s="2516"/>
      <c r="K114" s="2040"/>
      <c r="L114" s="2516"/>
      <c r="M114" s="2041"/>
      <c r="N114" s="6"/>
      <c r="O114" s="6"/>
      <c r="P114" s="1603"/>
      <c r="Q114" s="1603"/>
      <c r="R114" s="1603"/>
      <c r="S114" s="1603"/>
      <c r="T114" s="1604"/>
      <c r="U114" s="1603"/>
      <c r="V114" s="1603"/>
      <c r="W114" s="2791"/>
      <c r="X114" s="1614"/>
      <c r="Y114" s="2792"/>
      <c r="AA114" s="1606"/>
      <c r="AB114" s="1824"/>
      <c r="AC114" s="13"/>
      <c r="AD114" s="13"/>
      <c r="AE114" s="13"/>
      <c r="AF114" s="13"/>
      <c r="AG114" s="13"/>
      <c r="AH114" s="13"/>
      <c r="AI114" s="13"/>
    </row>
    <row r="115" spans="1:35" s="5" customFormat="1">
      <c r="A115" s="1599">
        <f t="shared" si="9"/>
        <v>12</v>
      </c>
      <c r="B115" s="6"/>
      <c r="C115" s="2036"/>
      <c r="D115" s="1919"/>
      <c r="E115" s="2039"/>
      <c r="F115" s="2039"/>
      <c r="G115" s="1647"/>
      <c r="H115" s="1647"/>
      <c r="I115" s="1824"/>
      <c r="J115" s="2516"/>
      <c r="K115" s="2040"/>
      <c r="L115" s="2516"/>
      <c r="M115" s="2041"/>
      <c r="N115" s="6"/>
      <c r="O115" s="6"/>
      <c r="P115" s="1603"/>
      <c r="Q115" s="1603"/>
      <c r="R115" s="1603"/>
      <c r="S115" s="1603"/>
      <c r="T115" s="1604"/>
      <c r="U115" s="1603"/>
      <c r="V115" s="1603"/>
      <c r="W115" s="2791"/>
      <c r="X115" s="1614"/>
      <c r="Y115" s="2792"/>
      <c r="Z115" s="2793"/>
      <c r="AA115" s="1606"/>
      <c r="AB115" s="1824"/>
      <c r="AC115" s="13"/>
      <c r="AD115" s="13"/>
      <c r="AE115" s="13"/>
      <c r="AF115" s="13"/>
      <c r="AG115" s="13"/>
      <c r="AH115" s="13"/>
      <c r="AI115" s="13"/>
    </row>
    <row r="116" spans="1:35" s="5" customFormat="1">
      <c r="A116" s="1599">
        <f t="shared" si="9"/>
        <v>13</v>
      </c>
      <c r="B116" s="6"/>
      <c r="C116" s="2036"/>
      <c r="D116" s="1919"/>
      <c r="E116" s="2039"/>
      <c r="F116" s="2039"/>
      <c r="G116" s="1647"/>
      <c r="H116" s="1647"/>
      <c r="I116" s="1824"/>
      <c r="J116" s="2516"/>
      <c r="K116" s="2040"/>
      <c r="L116" s="2516"/>
      <c r="M116" s="2041"/>
      <c r="N116" s="6"/>
      <c r="O116" s="6"/>
      <c r="P116" s="1603"/>
      <c r="Q116" s="1603"/>
      <c r="R116" s="1603"/>
      <c r="S116" s="1603"/>
      <c r="T116" s="1604"/>
      <c r="U116" s="1603"/>
      <c r="V116" s="1603"/>
      <c r="W116" s="2791"/>
      <c r="X116" s="1614"/>
      <c r="Y116" s="2792"/>
      <c r="Z116" s="2793"/>
      <c r="AA116" s="1606"/>
      <c r="AB116" s="1824"/>
      <c r="AC116" s="13"/>
      <c r="AD116" s="13"/>
      <c r="AE116" s="13"/>
      <c r="AF116" s="13"/>
      <c r="AG116" s="13"/>
      <c r="AH116" s="13"/>
      <c r="AI116" s="13"/>
    </row>
    <row r="117" spans="1:35" s="5" customFormat="1">
      <c r="A117" s="1599">
        <f t="shared" si="9"/>
        <v>14</v>
      </c>
      <c r="B117" s="6"/>
      <c r="C117" s="2036"/>
      <c r="D117" s="1919"/>
      <c r="E117" s="2039"/>
      <c r="F117" s="2039"/>
      <c r="G117" s="1647"/>
      <c r="H117" s="1647"/>
      <c r="I117" s="1824"/>
      <c r="J117" s="2516"/>
      <c r="K117" s="2040"/>
      <c r="L117" s="2516"/>
      <c r="M117" s="2041"/>
      <c r="N117" s="6"/>
      <c r="O117" s="6"/>
      <c r="P117" s="1603"/>
      <c r="Q117" s="1603"/>
      <c r="R117" s="1603"/>
      <c r="S117" s="1603"/>
      <c r="T117" s="1604"/>
      <c r="U117" s="1603"/>
      <c r="V117" s="1603"/>
      <c r="W117" s="2791"/>
      <c r="X117" s="1614"/>
      <c r="Y117" s="2792"/>
      <c r="Z117" s="2793"/>
      <c r="AA117" s="1606"/>
      <c r="AB117" s="1824"/>
      <c r="AC117" s="13"/>
      <c r="AD117" s="13"/>
      <c r="AE117" s="13"/>
      <c r="AF117" s="13"/>
      <c r="AG117" s="13"/>
      <c r="AH117" s="13"/>
      <c r="AI117" s="13"/>
    </row>
    <row r="118" spans="1:35" s="5" customFormat="1">
      <c r="A118" s="1599">
        <f t="shared" si="9"/>
        <v>15</v>
      </c>
      <c r="B118" s="6"/>
      <c r="C118" s="2036"/>
      <c r="D118" s="1919"/>
      <c r="E118" s="2039"/>
      <c r="F118" s="2039"/>
      <c r="G118" s="1647"/>
      <c r="H118" s="1647"/>
      <c r="I118" s="1824"/>
      <c r="J118" s="2516"/>
      <c r="K118" s="2040"/>
      <c r="L118" s="2516"/>
      <c r="M118" s="2041"/>
      <c r="N118" s="6"/>
      <c r="O118" s="6"/>
      <c r="P118" s="1603"/>
      <c r="Q118" s="1603"/>
      <c r="R118" s="1603"/>
      <c r="S118" s="1603"/>
      <c r="T118" s="1604"/>
      <c r="U118" s="1603"/>
      <c r="V118" s="1603"/>
      <c r="W118" s="2791"/>
      <c r="X118" s="1614"/>
      <c r="Y118" s="2792"/>
      <c r="Z118" s="2793"/>
      <c r="AA118" s="1606"/>
      <c r="AB118" s="1824"/>
      <c r="AC118" s="13"/>
      <c r="AD118" s="13"/>
      <c r="AE118" s="13"/>
      <c r="AF118" s="13"/>
      <c r="AG118" s="13"/>
      <c r="AH118" s="13"/>
      <c r="AI118" s="13"/>
    </row>
    <row r="119" spans="1:35" s="5" customFormat="1">
      <c r="A119" s="1599">
        <f t="shared" si="9"/>
        <v>16</v>
      </c>
      <c r="B119" s="6"/>
      <c r="C119" s="2036"/>
      <c r="D119" s="1919"/>
      <c r="E119" s="2039"/>
      <c r="F119" s="2039"/>
      <c r="G119" s="1647"/>
      <c r="H119" s="1647"/>
      <c r="I119" s="1824"/>
      <c r="J119" s="2516"/>
      <c r="K119" s="2040"/>
      <c r="L119" s="2516"/>
      <c r="M119" s="2041"/>
      <c r="N119" s="6"/>
      <c r="O119" s="6"/>
      <c r="P119" s="1603"/>
      <c r="Q119" s="1603"/>
      <c r="R119" s="1603"/>
      <c r="S119" s="1603"/>
      <c r="T119" s="1604"/>
      <c r="U119" s="1603"/>
      <c r="V119" s="1603"/>
      <c r="W119" s="2791"/>
      <c r="X119" s="1614"/>
      <c r="Y119" s="2792"/>
      <c r="Z119" s="2793"/>
      <c r="AA119" s="1606"/>
      <c r="AB119" s="1824"/>
      <c r="AC119" s="13"/>
      <c r="AD119" s="13"/>
      <c r="AE119" s="13"/>
      <c r="AF119" s="13"/>
      <c r="AG119" s="13"/>
      <c r="AH119" s="13"/>
      <c r="AI119" s="13"/>
    </row>
    <row r="120" spans="1:35" s="5" customFormat="1">
      <c r="A120" s="1599">
        <f t="shared" si="9"/>
        <v>17</v>
      </c>
      <c r="B120" s="6"/>
      <c r="C120" s="2036"/>
      <c r="D120" s="1919"/>
      <c r="E120" s="2039"/>
      <c r="F120" s="2039"/>
      <c r="G120" s="1647"/>
      <c r="H120" s="1647"/>
      <c r="I120" s="1824"/>
      <c r="J120" s="2516"/>
      <c r="K120" s="2040"/>
      <c r="L120" s="2516"/>
      <c r="M120" s="2041"/>
      <c r="N120" s="6"/>
      <c r="O120" s="6"/>
      <c r="P120" s="1603"/>
      <c r="Q120" s="1603"/>
      <c r="R120" s="1603"/>
      <c r="S120" s="1603"/>
      <c r="T120" s="1604"/>
      <c r="U120" s="1603"/>
      <c r="V120" s="1603"/>
      <c r="W120" s="2791"/>
      <c r="X120" s="1614"/>
      <c r="Y120" s="2792"/>
      <c r="Z120" s="2793"/>
      <c r="AA120" s="1606"/>
      <c r="AB120" s="1824"/>
      <c r="AC120" s="13"/>
      <c r="AD120" s="13"/>
      <c r="AE120" s="13"/>
      <c r="AF120" s="13"/>
      <c r="AG120" s="13"/>
      <c r="AH120" s="13"/>
      <c r="AI120" s="13"/>
    </row>
    <row r="121" spans="1:35" s="5" customFormat="1">
      <c r="A121" s="1599">
        <f t="shared" si="9"/>
        <v>18</v>
      </c>
      <c r="B121" s="6"/>
      <c r="C121" s="2036"/>
      <c r="D121" s="1919"/>
      <c r="E121" s="2039"/>
      <c r="F121" s="2039"/>
      <c r="G121" s="1647"/>
      <c r="H121" s="1647"/>
      <c r="I121" s="1824"/>
      <c r="J121" s="2516"/>
      <c r="K121" s="2040"/>
      <c r="L121" s="2516"/>
      <c r="M121" s="2041"/>
      <c r="N121" s="6"/>
      <c r="O121" s="6"/>
      <c r="P121" s="1603"/>
      <c r="Q121" s="1603"/>
      <c r="R121" s="1603"/>
      <c r="S121" s="1603"/>
      <c r="T121" s="1604"/>
      <c r="U121" s="1603"/>
      <c r="V121" s="1603"/>
      <c r="W121" s="2791"/>
      <c r="X121" s="1614"/>
      <c r="Y121" s="2792"/>
      <c r="Z121" s="2793"/>
      <c r="AA121" s="1606"/>
      <c r="AB121" s="1824"/>
      <c r="AC121" s="13"/>
      <c r="AD121" s="13"/>
      <c r="AE121" s="13"/>
      <c r="AF121" s="13"/>
      <c r="AG121" s="13"/>
      <c r="AH121" s="13"/>
      <c r="AI121" s="13"/>
    </row>
    <row r="122" spans="1:35" s="5" customFormat="1">
      <c r="A122" s="1599">
        <f t="shared" si="9"/>
        <v>19</v>
      </c>
      <c r="B122" s="6"/>
      <c r="C122" s="2036"/>
      <c r="D122" s="1919"/>
      <c r="E122" s="2039"/>
      <c r="F122" s="2039"/>
      <c r="G122" s="1647"/>
      <c r="H122" s="1647"/>
      <c r="I122" s="1824"/>
      <c r="J122" s="2516"/>
      <c r="K122" s="2040"/>
      <c r="L122" s="2516"/>
      <c r="M122" s="2041"/>
      <c r="N122" s="6"/>
      <c r="O122" s="6"/>
      <c r="P122" s="1603"/>
      <c r="Q122" s="1603"/>
      <c r="R122" s="1603"/>
      <c r="S122" s="1603"/>
      <c r="T122" s="1604"/>
      <c r="U122" s="1603"/>
      <c r="V122" s="1603"/>
      <c r="W122" s="2791"/>
      <c r="X122" s="1614"/>
      <c r="Y122" s="2792"/>
      <c r="Z122" s="2793"/>
      <c r="AA122" s="1606"/>
      <c r="AB122" s="1824"/>
      <c r="AC122" s="13"/>
      <c r="AD122" s="13"/>
      <c r="AE122" s="13"/>
      <c r="AF122" s="13"/>
      <c r="AG122" s="13"/>
      <c r="AH122" s="13"/>
      <c r="AI122" s="13"/>
    </row>
    <row r="123" spans="1:35" s="5" customFormat="1">
      <c r="A123" s="1599">
        <f t="shared" si="9"/>
        <v>20</v>
      </c>
      <c r="B123" s="6"/>
      <c r="C123" s="2036"/>
      <c r="D123" s="1919"/>
      <c r="E123" s="2039"/>
      <c r="F123" s="2039"/>
      <c r="G123" s="1647"/>
      <c r="H123" s="1647"/>
      <c r="I123" s="1824"/>
      <c r="J123" s="2516"/>
      <c r="K123" s="2040"/>
      <c r="L123" s="2516"/>
      <c r="M123" s="2041"/>
      <c r="N123" s="6"/>
      <c r="O123" s="6"/>
      <c r="P123" s="1603"/>
      <c r="Q123" s="1603"/>
      <c r="R123" s="1603"/>
      <c r="S123" s="1603"/>
      <c r="T123" s="1604"/>
      <c r="U123" s="1603"/>
      <c r="V123" s="1603"/>
      <c r="W123" s="2791"/>
      <c r="X123" s="1614"/>
      <c r="Y123" s="2792"/>
      <c r="Z123" s="2793"/>
      <c r="AA123" s="1606"/>
      <c r="AB123" s="1824"/>
      <c r="AC123" s="13"/>
      <c r="AD123" s="13"/>
      <c r="AE123" s="13"/>
      <c r="AF123" s="13"/>
      <c r="AG123" s="13"/>
      <c r="AH123" s="13"/>
      <c r="AI123" s="13"/>
    </row>
    <row r="124" spans="1:35" s="5" customFormat="1">
      <c r="A124" s="1599">
        <f t="shared" si="9"/>
        <v>21</v>
      </c>
      <c r="B124" s="6"/>
      <c r="C124" s="2036"/>
      <c r="D124" s="1919"/>
      <c r="E124" s="2039"/>
      <c r="F124" s="2039"/>
      <c r="G124" s="1647"/>
      <c r="H124" s="1647"/>
      <c r="I124" s="1824"/>
      <c r="J124" s="2516"/>
      <c r="K124" s="2040"/>
      <c r="L124" s="2516"/>
      <c r="M124" s="2041"/>
      <c r="N124" s="6"/>
      <c r="O124" s="6"/>
      <c r="P124" s="1603"/>
      <c r="Q124" s="1603"/>
      <c r="R124" s="1603"/>
      <c r="S124" s="1603"/>
      <c r="T124" s="1604"/>
      <c r="U124" s="1603"/>
      <c r="V124" s="1603"/>
      <c r="W124" s="2791"/>
      <c r="X124" s="1614"/>
      <c r="Y124" s="2792"/>
      <c r="Z124" s="2793"/>
      <c r="AA124" s="1606"/>
      <c r="AB124" s="1824"/>
      <c r="AC124" s="13"/>
      <c r="AD124" s="13"/>
      <c r="AE124" s="13"/>
      <c r="AF124" s="13"/>
      <c r="AG124" s="13"/>
      <c r="AH124" s="13"/>
      <c r="AI124" s="13"/>
    </row>
    <row r="125" spans="1:35" s="5" customFormat="1">
      <c r="A125" s="1599">
        <f t="shared" si="9"/>
        <v>22</v>
      </c>
      <c r="B125" s="6"/>
      <c r="C125" s="2036"/>
      <c r="D125" s="1919"/>
      <c r="E125" s="2039"/>
      <c r="F125" s="2039"/>
      <c r="G125" s="1647"/>
      <c r="H125" s="1647"/>
      <c r="I125" s="1824"/>
      <c r="J125" s="2516"/>
      <c r="K125" s="2040"/>
      <c r="L125" s="2516"/>
      <c r="M125" s="2041"/>
      <c r="N125" s="6"/>
      <c r="O125" s="6"/>
      <c r="P125" s="1603"/>
      <c r="Q125" s="1603"/>
      <c r="R125" s="1603"/>
      <c r="S125" s="1603"/>
      <c r="T125" s="1604"/>
      <c r="U125" s="1603"/>
      <c r="V125" s="1603"/>
      <c r="W125" s="2791"/>
      <c r="X125" s="1614"/>
      <c r="Y125" s="2792"/>
      <c r="Z125" s="2793"/>
      <c r="AA125" s="1606"/>
      <c r="AB125" s="1824"/>
      <c r="AC125" s="13"/>
      <c r="AD125" s="13"/>
      <c r="AE125" s="13"/>
      <c r="AF125" s="13"/>
      <c r="AG125" s="13"/>
      <c r="AH125" s="13"/>
      <c r="AI125" s="13"/>
    </row>
    <row r="126" spans="1:35" s="5" customFormat="1">
      <c r="A126" s="1599">
        <f t="shared" si="9"/>
        <v>23</v>
      </c>
      <c r="B126" s="6"/>
      <c r="C126" s="2036"/>
      <c r="D126" s="1919"/>
      <c r="E126" s="2039"/>
      <c r="F126" s="2039"/>
      <c r="G126" s="1647"/>
      <c r="H126" s="1647"/>
      <c r="I126" s="1824"/>
      <c r="J126" s="2516"/>
      <c r="K126" s="2040"/>
      <c r="L126" s="2516"/>
      <c r="M126" s="2041"/>
      <c r="N126" s="6"/>
      <c r="O126" s="6"/>
      <c r="P126" s="1603"/>
      <c r="Q126" s="1603"/>
      <c r="R126" s="1603"/>
      <c r="S126" s="1603"/>
      <c r="T126" s="1604"/>
      <c r="U126" s="1603"/>
      <c r="V126" s="1603"/>
      <c r="W126" s="2791"/>
      <c r="X126" s="1614"/>
      <c r="Y126" s="2792"/>
      <c r="Z126" s="2793"/>
      <c r="AA126" s="1606"/>
      <c r="AB126" s="1824"/>
      <c r="AC126" s="13"/>
      <c r="AD126" s="13"/>
      <c r="AE126" s="13"/>
      <c r="AF126" s="13"/>
      <c r="AG126" s="13"/>
      <c r="AH126" s="13"/>
      <c r="AI126" s="13"/>
    </row>
    <row r="127" spans="1:35" s="5" customFormat="1">
      <c r="A127" s="1599">
        <f t="shared" si="9"/>
        <v>24</v>
      </c>
      <c r="B127" s="6"/>
      <c r="C127" s="2036"/>
      <c r="D127" s="1919"/>
      <c r="E127" s="2039"/>
      <c r="F127" s="2039"/>
      <c r="G127" s="1647"/>
      <c r="H127" s="1647"/>
      <c r="I127" s="1824"/>
      <c r="J127" s="2516"/>
      <c r="K127" s="2040"/>
      <c r="L127" s="2516"/>
      <c r="M127" s="2041"/>
      <c r="N127" s="6"/>
      <c r="O127" s="6"/>
      <c r="P127" s="1603"/>
      <c r="Q127" s="1603"/>
      <c r="R127" s="1603"/>
      <c r="S127" s="1603"/>
      <c r="T127" s="1604"/>
      <c r="U127" s="1603"/>
      <c r="V127" s="1603"/>
      <c r="W127" s="2791"/>
      <c r="X127" s="1614"/>
      <c r="Y127" s="2792"/>
      <c r="Z127" s="2793"/>
      <c r="AA127" s="1606"/>
      <c r="AB127" s="1824"/>
      <c r="AC127" s="13"/>
      <c r="AD127" s="13"/>
      <c r="AE127" s="13"/>
      <c r="AF127" s="13"/>
      <c r="AG127" s="13"/>
      <c r="AH127" s="13"/>
      <c r="AI127" s="13"/>
    </row>
    <row r="128" spans="1:35" s="5" customFormat="1">
      <c r="A128" s="1599">
        <f t="shared" si="9"/>
        <v>25</v>
      </c>
      <c r="B128" s="6"/>
      <c r="C128" s="2036"/>
      <c r="D128" s="1919"/>
      <c r="E128" s="2039"/>
      <c r="F128" s="2039"/>
      <c r="G128" s="1647"/>
      <c r="H128" s="1647"/>
      <c r="I128" s="1824"/>
      <c r="J128" s="2516"/>
      <c r="K128" s="2040"/>
      <c r="L128" s="2516"/>
      <c r="M128" s="2041"/>
      <c r="N128" s="6"/>
      <c r="O128" s="6"/>
      <c r="P128" s="1603"/>
      <c r="Q128" s="1603"/>
      <c r="R128" s="1603"/>
      <c r="S128" s="1603"/>
      <c r="T128" s="1604"/>
      <c r="U128" s="1603"/>
      <c r="V128" s="1603"/>
      <c r="W128" s="2791"/>
      <c r="X128" s="1614"/>
      <c r="Y128" s="2792"/>
      <c r="Z128" s="2793"/>
      <c r="AA128" s="1606"/>
      <c r="AB128" s="1824"/>
      <c r="AC128" s="13"/>
      <c r="AD128" s="13"/>
      <c r="AE128" s="13"/>
      <c r="AF128" s="13"/>
      <c r="AG128" s="13"/>
      <c r="AH128" s="13"/>
      <c r="AI128" s="13"/>
    </row>
    <row r="129" spans="1:35" s="5" customFormat="1">
      <c r="A129" s="1599">
        <f t="shared" si="9"/>
        <v>26</v>
      </c>
      <c r="B129" s="6"/>
      <c r="C129" s="2036"/>
      <c r="D129" s="1919"/>
      <c r="E129" s="2039"/>
      <c r="F129" s="2039"/>
      <c r="G129" s="1647"/>
      <c r="H129" s="1647"/>
      <c r="I129" s="1824"/>
      <c r="J129" s="2516"/>
      <c r="K129" s="2040"/>
      <c r="L129" s="2516"/>
      <c r="M129" s="2041"/>
      <c r="N129" s="6"/>
      <c r="O129" s="6"/>
      <c r="P129" s="1603"/>
      <c r="Q129" s="1603"/>
      <c r="R129" s="1603"/>
      <c r="S129" s="1603"/>
      <c r="T129" s="1604"/>
      <c r="U129" s="1603"/>
      <c r="V129" s="1603"/>
      <c r="W129" s="2791"/>
      <c r="X129" s="1614"/>
      <c r="Y129" s="2792"/>
      <c r="Z129" s="2793"/>
      <c r="AA129" s="1606"/>
      <c r="AB129" s="1824"/>
      <c r="AC129" s="13"/>
      <c r="AD129" s="13"/>
      <c r="AE129" s="13"/>
      <c r="AF129" s="13"/>
      <c r="AG129" s="13"/>
      <c r="AH129" s="13"/>
      <c r="AI129" s="13"/>
    </row>
    <row r="130" spans="1:35" s="5" customFormat="1">
      <c r="A130" s="1599">
        <f t="shared" si="9"/>
        <v>27</v>
      </c>
      <c r="B130" s="6"/>
      <c r="C130" s="2036"/>
      <c r="D130" s="1919"/>
      <c r="E130" s="2039"/>
      <c r="F130" s="2039"/>
      <c r="G130" s="1647"/>
      <c r="H130" s="1647"/>
      <c r="I130" s="1824"/>
      <c r="J130" s="2516"/>
      <c r="K130" s="2040"/>
      <c r="L130" s="2516"/>
      <c r="M130" s="2041"/>
      <c r="N130" s="6"/>
      <c r="O130" s="6"/>
      <c r="P130" s="1603"/>
      <c r="Q130" s="1603"/>
      <c r="R130" s="1603"/>
      <c r="S130" s="1603"/>
      <c r="T130" s="1604"/>
      <c r="U130" s="1603"/>
      <c r="V130" s="1603"/>
      <c r="W130" s="2791"/>
      <c r="X130" s="1614"/>
      <c r="Y130" s="2792"/>
      <c r="Z130" s="2793"/>
      <c r="AA130" s="1606"/>
      <c r="AB130" s="1824"/>
      <c r="AC130" s="13"/>
      <c r="AD130" s="13"/>
      <c r="AE130" s="13"/>
      <c r="AF130" s="13"/>
      <c r="AG130" s="13"/>
      <c r="AH130" s="13"/>
      <c r="AI130" s="13"/>
    </row>
    <row r="131" spans="1:35" s="5" customFormat="1">
      <c r="A131" s="1599">
        <f t="shared" si="9"/>
        <v>28</v>
      </c>
      <c r="B131" s="6"/>
      <c r="C131" s="2036"/>
      <c r="D131" s="1919"/>
      <c r="E131" s="2039"/>
      <c r="F131" s="2039"/>
      <c r="G131" s="1647"/>
      <c r="H131" s="1647"/>
      <c r="I131" s="1824"/>
      <c r="J131" s="2516"/>
      <c r="K131" s="2040"/>
      <c r="L131" s="2516"/>
      <c r="M131" s="2041"/>
      <c r="N131" s="6"/>
      <c r="O131" s="6"/>
      <c r="P131" s="1603"/>
      <c r="Q131" s="1603"/>
      <c r="R131" s="1603"/>
      <c r="S131" s="1603"/>
      <c r="T131" s="1604"/>
      <c r="U131" s="1603"/>
      <c r="V131" s="1603"/>
      <c r="W131" s="2791"/>
      <c r="X131" s="1614"/>
      <c r="Y131" s="2792"/>
      <c r="Z131" s="2793"/>
      <c r="AA131" s="1606"/>
      <c r="AB131" s="1824"/>
      <c r="AC131" s="13"/>
      <c r="AD131" s="13"/>
      <c r="AE131" s="13"/>
      <c r="AF131" s="13"/>
      <c r="AG131" s="13"/>
      <c r="AH131" s="13"/>
      <c r="AI131" s="13"/>
    </row>
    <row r="132" spans="1:35" s="5" customFormat="1">
      <c r="A132" s="1599">
        <f t="shared" si="9"/>
        <v>29</v>
      </c>
      <c r="B132" s="6"/>
      <c r="C132" s="2036"/>
      <c r="D132" s="1919"/>
      <c r="E132" s="2039"/>
      <c r="F132" s="2039"/>
      <c r="G132" s="1647"/>
      <c r="H132" s="1647"/>
      <c r="I132" s="1824"/>
      <c r="J132" s="2516"/>
      <c r="K132" s="2040"/>
      <c r="L132" s="2516"/>
      <c r="M132" s="2041"/>
      <c r="N132" s="6"/>
      <c r="O132" s="6"/>
      <c r="P132" s="1603"/>
      <c r="Q132" s="1603"/>
      <c r="R132" s="1603"/>
      <c r="S132" s="1603"/>
      <c r="T132" s="1604"/>
      <c r="U132" s="1603"/>
      <c r="V132" s="1603"/>
      <c r="W132" s="2791"/>
      <c r="X132" s="1614"/>
      <c r="Y132" s="2792"/>
      <c r="Z132" s="2793"/>
      <c r="AA132" s="1606"/>
      <c r="AB132" s="1824"/>
      <c r="AC132" s="13"/>
      <c r="AD132" s="13"/>
      <c r="AE132" s="13"/>
      <c r="AF132" s="13"/>
      <c r="AG132" s="13"/>
      <c r="AH132" s="13"/>
      <c r="AI132" s="13"/>
    </row>
    <row r="133" spans="1:35" s="5" customFormat="1">
      <c r="A133" s="1599">
        <f t="shared" si="9"/>
        <v>30</v>
      </c>
      <c r="B133" s="6"/>
      <c r="C133" s="2036"/>
      <c r="D133" s="1919"/>
      <c r="E133" s="2039"/>
      <c r="F133" s="2039"/>
      <c r="G133" s="1647"/>
      <c r="H133" s="1647"/>
      <c r="I133" s="1824"/>
      <c r="J133" s="2516"/>
      <c r="K133" s="2040"/>
      <c r="L133" s="2516"/>
      <c r="M133" s="2041"/>
      <c r="N133" s="6"/>
      <c r="O133" s="6"/>
      <c r="P133" s="1603"/>
      <c r="Q133" s="1603"/>
      <c r="R133" s="1603"/>
      <c r="S133" s="1603"/>
      <c r="T133" s="1604"/>
      <c r="U133" s="1603"/>
      <c r="V133" s="1603"/>
      <c r="W133" s="2791"/>
      <c r="X133" s="1614"/>
      <c r="Y133" s="2792"/>
      <c r="Z133" s="2793"/>
      <c r="AA133" s="1606"/>
      <c r="AB133" s="1824"/>
      <c r="AC133" s="13"/>
      <c r="AD133" s="13"/>
      <c r="AE133" s="13"/>
      <c r="AF133" s="13"/>
      <c r="AG133" s="13"/>
      <c r="AH133" s="13"/>
      <c r="AI133" s="13"/>
    </row>
    <row r="134" spans="1:35" s="5" customFormat="1">
      <c r="A134" s="1599">
        <f t="shared" si="9"/>
        <v>31</v>
      </c>
      <c r="B134" s="6"/>
      <c r="C134" s="2036"/>
      <c r="D134" s="1919"/>
      <c r="E134" s="2039"/>
      <c r="F134" s="2039"/>
      <c r="G134" s="1647"/>
      <c r="H134" s="1647"/>
      <c r="I134" s="1824"/>
      <c r="J134" s="2516"/>
      <c r="K134" s="2040"/>
      <c r="L134" s="2516"/>
      <c r="M134" s="2041"/>
      <c r="N134" s="6"/>
      <c r="O134" s="6"/>
      <c r="P134" s="1603"/>
      <c r="Q134" s="1603"/>
      <c r="R134" s="1603"/>
      <c r="S134" s="1603"/>
      <c r="T134" s="1604"/>
      <c r="U134" s="1603"/>
      <c r="V134" s="1603"/>
      <c r="W134" s="2791"/>
      <c r="X134" s="1614"/>
      <c r="Y134" s="2792"/>
      <c r="Z134" s="2793"/>
      <c r="AA134" s="1606"/>
      <c r="AB134" s="1824"/>
      <c r="AC134" s="13"/>
      <c r="AD134" s="13"/>
      <c r="AE134" s="13"/>
      <c r="AF134" s="13"/>
      <c r="AG134" s="13"/>
      <c r="AH134" s="13"/>
      <c r="AI134" s="13"/>
    </row>
    <row r="135" spans="1:35" s="5" customFormat="1">
      <c r="A135" s="1599">
        <f t="shared" si="9"/>
        <v>32</v>
      </c>
      <c r="B135" s="6"/>
      <c r="C135" s="2036"/>
      <c r="D135" s="1919"/>
      <c r="E135" s="2039"/>
      <c r="F135" s="2039"/>
      <c r="G135" s="1647"/>
      <c r="H135" s="1647"/>
      <c r="I135" s="1824"/>
      <c r="J135" s="2516"/>
      <c r="K135" s="2040"/>
      <c r="L135" s="2516"/>
      <c r="M135" s="2041"/>
      <c r="N135" s="6"/>
      <c r="O135" s="6"/>
      <c r="P135" s="1603"/>
      <c r="Q135" s="1603"/>
      <c r="R135" s="1603"/>
      <c r="S135" s="1603"/>
      <c r="T135" s="1604"/>
      <c r="U135" s="1603"/>
      <c r="V135" s="1603"/>
      <c r="W135" s="2791"/>
      <c r="X135" s="1614"/>
      <c r="Y135" s="2792"/>
      <c r="Z135" s="2793"/>
      <c r="AA135" s="1606"/>
      <c r="AB135" s="1824"/>
      <c r="AC135" s="13"/>
      <c r="AD135" s="13"/>
      <c r="AE135" s="13"/>
      <c r="AF135" s="13"/>
      <c r="AG135" s="13"/>
      <c r="AH135" s="13"/>
      <c r="AI135" s="13"/>
    </row>
    <row r="136" spans="1:35" s="5" customFormat="1">
      <c r="A136" s="1599">
        <f t="shared" ref="A136:A166" si="18">+A135+1</f>
        <v>33</v>
      </c>
      <c r="B136" s="6"/>
      <c r="C136" s="2036"/>
      <c r="D136" s="1919"/>
      <c r="E136" s="2039"/>
      <c r="F136" s="2039"/>
      <c r="G136" s="1647"/>
      <c r="H136" s="1647"/>
      <c r="I136" s="1824"/>
      <c r="J136" s="2516"/>
      <c r="K136" s="2040"/>
      <c r="L136" s="2516"/>
      <c r="M136" s="2041"/>
      <c r="N136" s="6"/>
      <c r="O136" s="6"/>
      <c r="P136" s="1603"/>
      <c r="Q136" s="1603"/>
      <c r="R136" s="1603"/>
      <c r="S136" s="1603"/>
      <c r="T136" s="1604"/>
      <c r="U136" s="1603"/>
      <c r="V136" s="1603"/>
      <c r="W136" s="2791"/>
      <c r="X136" s="1614"/>
      <c r="Y136" s="2792"/>
      <c r="Z136" s="2793"/>
      <c r="AA136" s="1606"/>
      <c r="AB136" s="1824"/>
      <c r="AC136" s="13"/>
      <c r="AD136" s="13"/>
      <c r="AE136" s="13"/>
      <c r="AF136" s="13"/>
      <c r="AG136" s="13"/>
      <c r="AH136" s="13"/>
      <c r="AI136" s="13"/>
    </row>
    <row r="137" spans="1:35" s="5" customFormat="1">
      <c r="A137" s="1599">
        <f t="shared" si="18"/>
        <v>34</v>
      </c>
      <c r="B137" s="6"/>
      <c r="C137" s="2036"/>
      <c r="D137" s="1919"/>
      <c r="E137" s="2039"/>
      <c r="F137" s="2039"/>
      <c r="G137" s="1647"/>
      <c r="H137" s="1647"/>
      <c r="I137" s="1824"/>
      <c r="J137" s="2516"/>
      <c r="K137" s="2040"/>
      <c r="L137" s="2516"/>
      <c r="M137" s="2041"/>
      <c r="N137" s="6"/>
      <c r="O137" s="6"/>
      <c r="P137" s="1603"/>
      <c r="Q137" s="1603"/>
      <c r="R137" s="1603"/>
      <c r="S137" s="1603"/>
      <c r="T137" s="1604"/>
      <c r="U137" s="1603"/>
      <c r="V137" s="1603"/>
      <c r="W137" s="2791"/>
      <c r="X137" s="1614"/>
      <c r="Y137" s="2792"/>
      <c r="Z137" s="2793"/>
      <c r="AA137" s="1606"/>
      <c r="AB137" s="1824"/>
      <c r="AC137" s="13"/>
      <c r="AD137" s="13"/>
      <c r="AE137" s="13"/>
      <c r="AF137" s="13"/>
      <c r="AG137" s="13"/>
      <c r="AH137" s="13"/>
      <c r="AI137" s="13"/>
    </row>
    <row r="138" spans="1:35" s="5" customFormat="1">
      <c r="A138" s="1599">
        <f t="shared" si="18"/>
        <v>35</v>
      </c>
      <c r="B138" s="6"/>
      <c r="C138" s="2036"/>
      <c r="D138" s="1919"/>
      <c r="E138" s="2039"/>
      <c r="F138" s="2039"/>
      <c r="G138" s="1647"/>
      <c r="H138" s="1647"/>
      <c r="I138" s="1824"/>
      <c r="J138" s="2516"/>
      <c r="K138" s="2040"/>
      <c r="L138" s="2516"/>
      <c r="M138" s="2041"/>
      <c r="N138" s="6"/>
      <c r="O138" s="6"/>
      <c r="P138" s="1603"/>
      <c r="Q138" s="1603"/>
      <c r="R138" s="1603"/>
      <c r="S138" s="1603"/>
      <c r="T138" s="1604"/>
      <c r="U138" s="1603"/>
      <c r="V138" s="1603"/>
      <c r="W138" s="2791"/>
      <c r="X138" s="1614"/>
      <c r="Y138" s="2792"/>
      <c r="Z138" s="2793"/>
      <c r="AA138" s="1606"/>
      <c r="AB138" s="1824"/>
      <c r="AC138" s="13"/>
      <c r="AD138" s="13"/>
      <c r="AE138" s="13"/>
      <c r="AF138" s="13"/>
      <c r="AG138" s="13"/>
      <c r="AH138" s="13"/>
      <c r="AI138" s="13"/>
    </row>
    <row r="139" spans="1:35" s="5" customFormat="1">
      <c r="A139" s="1599">
        <f t="shared" si="18"/>
        <v>36</v>
      </c>
      <c r="B139" s="6"/>
      <c r="C139" s="2036"/>
      <c r="D139" s="1919"/>
      <c r="E139" s="2039"/>
      <c r="F139" s="2039"/>
      <c r="G139" s="1647"/>
      <c r="H139" s="1647"/>
      <c r="I139" s="1824"/>
      <c r="J139" s="2516"/>
      <c r="K139" s="2040"/>
      <c r="L139" s="2516"/>
      <c r="M139" s="2041"/>
      <c r="N139" s="6"/>
      <c r="O139" s="6"/>
      <c r="P139" s="1603"/>
      <c r="Q139" s="1603"/>
      <c r="R139" s="1603"/>
      <c r="S139" s="1603"/>
      <c r="T139" s="1604"/>
      <c r="U139" s="1603"/>
      <c r="V139" s="1603"/>
      <c r="W139" s="2791"/>
      <c r="X139" s="1614"/>
      <c r="Y139" s="2792"/>
      <c r="Z139" s="2793"/>
      <c r="AA139" s="1606"/>
      <c r="AB139" s="1824"/>
      <c r="AC139" s="13"/>
      <c r="AD139" s="13"/>
      <c r="AE139" s="13"/>
      <c r="AF139" s="13"/>
      <c r="AG139" s="13"/>
      <c r="AH139" s="13"/>
      <c r="AI139" s="13"/>
    </row>
    <row r="140" spans="1:35" s="5" customFormat="1">
      <c r="A140" s="1599">
        <f t="shared" si="18"/>
        <v>37</v>
      </c>
      <c r="B140" s="6"/>
      <c r="C140" s="2036"/>
      <c r="D140" s="1919"/>
      <c r="E140" s="2039"/>
      <c r="F140" s="2039"/>
      <c r="G140" s="1647"/>
      <c r="H140" s="1647"/>
      <c r="I140" s="1824"/>
      <c r="J140" s="2516"/>
      <c r="K140" s="2040"/>
      <c r="L140" s="2516"/>
      <c r="M140" s="2041"/>
      <c r="N140" s="6"/>
      <c r="O140" s="6"/>
      <c r="P140" s="1603"/>
      <c r="Q140" s="1603"/>
      <c r="R140" s="1603"/>
      <c r="S140" s="1603"/>
      <c r="T140" s="1604"/>
      <c r="U140" s="1603"/>
      <c r="V140" s="1603"/>
      <c r="W140" s="2791"/>
      <c r="X140" s="1614"/>
      <c r="Y140" s="2792"/>
      <c r="Z140" s="2793"/>
      <c r="AA140" s="1606"/>
      <c r="AB140" s="1824"/>
      <c r="AC140" s="13"/>
      <c r="AD140" s="13"/>
      <c r="AE140" s="13"/>
      <c r="AF140" s="13"/>
      <c r="AG140" s="13"/>
      <c r="AH140" s="13"/>
      <c r="AI140" s="13"/>
    </row>
    <row r="141" spans="1:35" s="5" customFormat="1">
      <c r="A141" s="1599">
        <f t="shared" si="18"/>
        <v>38</v>
      </c>
      <c r="B141" s="6"/>
      <c r="C141" s="2036"/>
      <c r="D141" s="1919"/>
      <c r="E141" s="2039"/>
      <c r="F141" s="2039"/>
      <c r="G141" s="1647"/>
      <c r="H141" s="1647"/>
      <c r="I141" s="1824"/>
      <c r="J141" s="2516"/>
      <c r="K141" s="2040"/>
      <c r="L141" s="2516"/>
      <c r="M141" s="2041"/>
      <c r="N141" s="6"/>
      <c r="O141" s="6"/>
      <c r="P141" s="1603"/>
      <c r="Q141" s="1603"/>
      <c r="R141" s="1603"/>
      <c r="S141" s="1603"/>
      <c r="T141" s="1604"/>
      <c r="U141" s="1603"/>
      <c r="V141" s="1603"/>
      <c r="W141" s="2791"/>
      <c r="X141" s="1614"/>
      <c r="Y141" s="2792"/>
      <c r="Z141" s="2793"/>
      <c r="AA141" s="1606"/>
      <c r="AB141" s="1824"/>
      <c r="AC141" s="13"/>
      <c r="AD141" s="13"/>
      <c r="AE141" s="13"/>
      <c r="AF141" s="13"/>
      <c r="AG141" s="13"/>
      <c r="AH141" s="13"/>
      <c r="AI141" s="13"/>
    </row>
    <row r="142" spans="1:35" s="5" customFormat="1">
      <c r="A142" s="1599">
        <f t="shared" si="18"/>
        <v>39</v>
      </c>
      <c r="B142" s="6"/>
      <c r="C142" s="2036"/>
      <c r="D142" s="1919"/>
      <c r="E142" s="2039"/>
      <c r="F142" s="2039"/>
      <c r="G142" s="1647"/>
      <c r="H142" s="1647"/>
      <c r="I142" s="1824"/>
      <c r="J142" s="2516"/>
      <c r="K142" s="2040"/>
      <c r="L142" s="2516"/>
      <c r="M142" s="2041"/>
      <c r="N142" s="6"/>
      <c r="O142" s="6"/>
      <c r="P142" s="1603"/>
      <c r="Q142" s="1603"/>
      <c r="R142" s="1603"/>
      <c r="S142" s="1603"/>
      <c r="T142" s="1604"/>
      <c r="U142" s="1603"/>
      <c r="V142" s="1603"/>
      <c r="W142" s="2791"/>
      <c r="X142" s="1614"/>
      <c r="Y142" s="2792"/>
      <c r="Z142" s="2793"/>
      <c r="AA142" s="1606"/>
      <c r="AB142" s="1824"/>
      <c r="AC142" s="13"/>
      <c r="AD142" s="13"/>
      <c r="AE142" s="13"/>
      <c r="AF142" s="13"/>
      <c r="AG142" s="13"/>
      <c r="AH142" s="13"/>
      <c r="AI142" s="13"/>
    </row>
    <row r="143" spans="1:35" s="5" customFormat="1">
      <c r="A143" s="1599">
        <f t="shared" si="18"/>
        <v>40</v>
      </c>
      <c r="B143" s="6"/>
      <c r="C143" s="2036"/>
      <c r="D143" s="1919"/>
      <c r="E143" s="2039"/>
      <c r="F143" s="2039"/>
      <c r="G143" s="1647"/>
      <c r="H143" s="1647"/>
      <c r="I143" s="1824"/>
      <c r="J143" s="2516"/>
      <c r="K143" s="2040"/>
      <c r="L143" s="2516"/>
      <c r="M143" s="2041"/>
      <c r="N143" s="6"/>
      <c r="O143" s="6"/>
      <c r="P143" s="1603"/>
      <c r="Q143" s="1603"/>
      <c r="R143" s="1603"/>
      <c r="S143" s="1603"/>
      <c r="T143" s="1604"/>
      <c r="U143" s="1603"/>
      <c r="V143" s="1603"/>
      <c r="W143" s="2791"/>
      <c r="X143" s="1614"/>
      <c r="Y143" s="2792"/>
      <c r="Z143" s="2793"/>
      <c r="AA143" s="1606"/>
      <c r="AB143" s="1824"/>
      <c r="AC143" s="13"/>
      <c r="AD143" s="13"/>
      <c r="AE143" s="13"/>
      <c r="AF143" s="13"/>
      <c r="AG143" s="13"/>
      <c r="AH143" s="13"/>
      <c r="AI143" s="13"/>
    </row>
    <row r="144" spans="1:35" s="5" customFormat="1">
      <c r="A144" s="1599">
        <f t="shared" si="18"/>
        <v>41</v>
      </c>
      <c r="B144" s="6"/>
      <c r="C144" s="2036"/>
      <c r="D144" s="1919"/>
      <c r="E144" s="2039"/>
      <c r="F144" s="2039"/>
      <c r="G144" s="1647"/>
      <c r="H144" s="1647"/>
      <c r="I144" s="1824"/>
      <c r="J144" s="2516"/>
      <c r="K144" s="2040"/>
      <c r="L144" s="2516"/>
      <c r="M144" s="2041"/>
      <c r="N144" s="6"/>
      <c r="O144" s="6"/>
      <c r="P144" s="1603"/>
      <c r="Q144" s="1603"/>
      <c r="R144" s="1603"/>
      <c r="S144" s="1603"/>
      <c r="T144" s="1604"/>
      <c r="U144" s="1603"/>
      <c r="V144" s="1603"/>
      <c r="W144" s="2791"/>
      <c r="X144" s="1614"/>
      <c r="Y144" s="2792"/>
      <c r="Z144" s="2793"/>
      <c r="AA144" s="1606"/>
      <c r="AB144" s="1824"/>
      <c r="AC144" s="13"/>
      <c r="AD144" s="13"/>
      <c r="AE144" s="13"/>
      <c r="AF144" s="13"/>
      <c r="AG144" s="13"/>
      <c r="AH144" s="13"/>
      <c r="AI144" s="13"/>
    </row>
    <row r="145" spans="1:35" s="5" customFormat="1">
      <c r="A145" s="1599">
        <f t="shared" si="18"/>
        <v>42</v>
      </c>
      <c r="B145" s="6"/>
      <c r="C145" s="2036"/>
      <c r="D145" s="1919"/>
      <c r="E145" s="2039"/>
      <c r="F145" s="2039"/>
      <c r="G145" s="1647"/>
      <c r="H145" s="1647"/>
      <c r="I145" s="1824"/>
      <c r="J145" s="2516"/>
      <c r="K145" s="2040"/>
      <c r="L145" s="2516"/>
      <c r="M145" s="2041"/>
      <c r="N145" s="6"/>
      <c r="O145" s="6"/>
      <c r="P145" s="1603"/>
      <c r="Q145" s="1603"/>
      <c r="R145" s="1603"/>
      <c r="S145" s="1603"/>
      <c r="T145" s="1604"/>
      <c r="U145" s="1603"/>
      <c r="V145" s="1603"/>
      <c r="W145" s="2791"/>
      <c r="X145" s="1614"/>
      <c r="Y145" s="2792"/>
      <c r="Z145" s="2793"/>
      <c r="AA145" s="1606"/>
      <c r="AB145" s="1824"/>
      <c r="AC145" s="13"/>
      <c r="AD145" s="13"/>
      <c r="AE145" s="13"/>
      <c r="AF145" s="13"/>
      <c r="AG145" s="13"/>
      <c r="AH145" s="13"/>
      <c r="AI145" s="13"/>
    </row>
    <row r="146" spans="1:35" s="5" customFormat="1">
      <c r="A146" s="1599">
        <f t="shared" si="18"/>
        <v>43</v>
      </c>
      <c r="B146" s="6"/>
      <c r="C146" s="2036"/>
      <c r="D146" s="1919"/>
      <c r="E146" s="2039"/>
      <c r="F146" s="2039"/>
      <c r="G146" s="1647"/>
      <c r="H146" s="1647"/>
      <c r="I146" s="1824"/>
      <c r="J146" s="2516"/>
      <c r="K146" s="2040"/>
      <c r="L146" s="2516"/>
      <c r="M146" s="2041"/>
      <c r="N146" s="6"/>
      <c r="O146" s="6"/>
      <c r="P146" s="1603"/>
      <c r="Q146" s="1603"/>
      <c r="R146" s="1603"/>
      <c r="S146" s="1603"/>
      <c r="T146" s="1604"/>
      <c r="U146" s="1603"/>
      <c r="V146" s="1603"/>
      <c r="W146" s="2791"/>
      <c r="X146" s="1614"/>
      <c r="Y146" s="2792"/>
      <c r="Z146" s="2793"/>
      <c r="AA146" s="1606"/>
      <c r="AB146" s="1824"/>
      <c r="AC146" s="13"/>
      <c r="AD146" s="13"/>
      <c r="AE146" s="13"/>
      <c r="AF146" s="13"/>
      <c r="AG146" s="13"/>
      <c r="AH146" s="13"/>
      <c r="AI146" s="13"/>
    </row>
    <row r="147" spans="1:35" s="5" customFormat="1">
      <c r="A147" s="1599">
        <f t="shared" si="18"/>
        <v>44</v>
      </c>
      <c r="B147" s="6"/>
      <c r="C147" s="2036"/>
      <c r="D147" s="1919"/>
      <c r="E147" s="2039"/>
      <c r="F147" s="2039"/>
      <c r="G147" s="1647"/>
      <c r="H147" s="1647"/>
      <c r="I147" s="1824"/>
      <c r="J147" s="2516"/>
      <c r="K147" s="2040"/>
      <c r="L147" s="2516"/>
      <c r="M147" s="2041"/>
      <c r="N147" s="6"/>
      <c r="O147" s="6"/>
      <c r="P147" s="1603"/>
      <c r="Q147" s="1603"/>
      <c r="R147" s="1603"/>
      <c r="S147" s="1603"/>
      <c r="T147" s="1604"/>
      <c r="U147" s="1603"/>
      <c r="V147" s="1603"/>
      <c r="W147" s="2791"/>
      <c r="X147" s="1614"/>
      <c r="Y147" s="2792"/>
      <c r="Z147" s="2793"/>
      <c r="AA147" s="1606"/>
      <c r="AB147" s="1824"/>
      <c r="AC147" s="13"/>
      <c r="AD147" s="13"/>
      <c r="AE147" s="13"/>
      <c r="AF147" s="13"/>
      <c r="AG147" s="13"/>
      <c r="AH147" s="13"/>
      <c r="AI147" s="13"/>
    </row>
    <row r="148" spans="1:35" s="5" customFormat="1">
      <c r="A148" s="1599">
        <f t="shared" si="18"/>
        <v>45</v>
      </c>
      <c r="B148" s="6"/>
      <c r="C148" s="2036"/>
      <c r="D148" s="1919"/>
      <c r="E148" s="2039"/>
      <c r="F148" s="2039"/>
      <c r="G148" s="1647"/>
      <c r="H148" s="1647"/>
      <c r="I148" s="1824"/>
      <c r="J148" s="2516"/>
      <c r="K148" s="2040"/>
      <c r="L148" s="2516"/>
      <c r="M148" s="2041"/>
      <c r="N148" s="6"/>
      <c r="O148" s="6"/>
      <c r="P148" s="1603"/>
      <c r="Q148" s="1603"/>
      <c r="R148" s="1603"/>
      <c r="S148" s="1603"/>
      <c r="T148" s="1604"/>
      <c r="U148" s="1603"/>
      <c r="V148" s="1603"/>
      <c r="W148" s="2791"/>
      <c r="X148" s="1614"/>
      <c r="Y148" s="2792"/>
      <c r="Z148" s="2793"/>
      <c r="AA148" s="1606"/>
      <c r="AB148" s="1824"/>
      <c r="AC148" s="13"/>
      <c r="AD148" s="13"/>
      <c r="AE148" s="13"/>
      <c r="AF148" s="13"/>
      <c r="AG148" s="13"/>
      <c r="AH148" s="13"/>
      <c r="AI148" s="13"/>
    </row>
    <row r="149" spans="1:35" s="5" customFormat="1">
      <c r="A149" s="1599">
        <f t="shared" si="18"/>
        <v>46</v>
      </c>
      <c r="B149" s="6"/>
      <c r="C149" s="2036"/>
      <c r="D149" s="1919"/>
      <c r="E149" s="2039"/>
      <c r="F149" s="2039"/>
      <c r="G149" s="1647"/>
      <c r="H149" s="1647"/>
      <c r="I149" s="1824"/>
      <c r="J149" s="2516"/>
      <c r="K149" s="2040"/>
      <c r="L149" s="2516"/>
      <c r="M149" s="2041"/>
      <c r="N149" s="6"/>
      <c r="O149" s="6"/>
      <c r="P149" s="1603"/>
      <c r="Q149" s="1603"/>
      <c r="R149" s="1603"/>
      <c r="S149" s="1603"/>
      <c r="T149" s="1604"/>
      <c r="U149" s="1603"/>
      <c r="V149" s="1603"/>
      <c r="W149" s="2791"/>
      <c r="X149" s="1614"/>
      <c r="Y149" s="2792"/>
      <c r="Z149" s="2793"/>
      <c r="AA149" s="1606"/>
      <c r="AB149" s="1824"/>
      <c r="AC149" s="13"/>
      <c r="AD149" s="13"/>
      <c r="AE149" s="13"/>
      <c r="AF149" s="13"/>
      <c r="AG149" s="13"/>
      <c r="AH149" s="13"/>
      <c r="AI149" s="13"/>
    </row>
    <row r="150" spans="1:35" s="5" customFormat="1">
      <c r="A150" s="1599">
        <f t="shared" si="18"/>
        <v>47</v>
      </c>
      <c r="B150" s="6"/>
      <c r="C150" s="2036"/>
      <c r="D150" s="1919"/>
      <c r="E150" s="2039"/>
      <c r="F150" s="2039"/>
      <c r="G150" s="1647"/>
      <c r="H150" s="1647"/>
      <c r="I150" s="1824"/>
      <c r="J150" s="2516"/>
      <c r="K150" s="2040"/>
      <c r="L150" s="2516"/>
      <c r="M150" s="2041"/>
      <c r="N150" s="6"/>
      <c r="O150" s="6"/>
      <c r="P150" s="1603"/>
      <c r="Q150" s="1603"/>
      <c r="R150" s="1603"/>
      <c r="S150" s="1603"/>
      <c r="T150" s="1604"/>
      <c r="U150" s="1603"/>
      <c r="V150" s="1603"/>
      <c r="W150" s="2791"/>
      <c r="X150" s="1614"/>
      <c r="Y150" s="2792"/>
      <c r="Z150" s="2793"/>
      <c r="AA150" s="1606"/>
      <c r="AB150" s="1824"/>
      <c r="AC150" s="13"/>
      <c r="AD150" s="13"/>
      <c r="AE150" s="13"/>
      <c r="AF150" s="13"/>
      <c r="AG150" s="13"/>
      <c r="AH150" s="13"/>
      <c r="AI150" s="13"/>
    </row>
    <row r="151" spans="1:35" s="5" customFormat="1">
      <c r="A151" s="1599">
        <f t="shared" si="18"/>
        <v>48</v>
      </c>
      <c r="B151" s="6"/>
      <c r="C151" s="2036"/>
      <c r="D151" s="1919"/>
      <c r="E151" s="2039"/>
      <c r="F151" s="2039"/>
      <c r="G151" s="1647"/>
      <c r="H151" s="1647"/>
      <c r="I151" s="1824"/>
      <c r="J151" s="2516"/>
      <c r="K151" s="2040"/>
      <c r="L151" s="2516"/>
      <c r="M151" s="2041"/>
      <c r="N151" s="6"/>
      <c r="O151" s="6"/>
      <c r="P151" s="1603"/>
      <c r="Q151" s="1603"/>
      <c r="R151" s="1603"/>
      <c r="S151" s="1603"/>
      <c r="T151" s="1604"/>
      <c r="U151" s="1603"/>
      <c r="V151" s="1603"/>
      <c r="W151" s="2791"/>
      <c r="X151" s="1614"/>
      <c r="Y151" s="2792"/>
      <c r="Z151" s="2793"/>
      <c r="AA151" s="1606"/>
      <c r="AB151" s="1824"/>
      <c r="AC151" s="13"/>
      <c r="AD151" s="13"/>
      <c r="AE151" s="13"/>
      <c r="AF151" s="13"/>
      <c r="AG151" s="13"/>
      <c r="AH151" s="13"/>
      <c r="AI151" s="13"/>
    </row>
    <row r="152" spans="1:35" s="5" customFormat="1">
      <c r="A152" s="1599">
        <f t="shared" si="18"/>
        <v>49</v>
      </c>
      <c r="B152" s="6"/>
      <c r="C152" s="2036"/>
      <c r="D152" s="1919"/>
      <c r="E152" s="2039"/>
      <c r="F152" s="2039"/>
      <c r="G152" s="1647"/>
      <c r="H152" s="1647"/>
      <c r="I152" s="1824"/>
      <c r="J152" s="2516"/>
      <c r="K152" s="2040"/>
      <c r="L152" s="2516"/>
      <c r="M152" s="2041"/>
      <c r="N152" s="6"/>
      <c r="O152" s="6"/>
      <c r="P152" s="1603"/>
      <c r="Q152" s="1603"/>
      <c r="R152" s="1603"/>
      <c r="S152" s="1603"/>
      <c r="T152" s="1604"/>
      <c r="U152" s="1603"/>
      <c r="V152" s="1603"/>
      <c r="W152" s="2791"/>
      <c r="X152" s="1614"/>
      <c r="Y152" s="2792"/>
      <c r="Z152" s="2793"/>
      <c r="AA152" s="1606"/>
      <c r="AB152" s="1824"/>
      <c r="AC152" s="13"/>
      <c r="AD152" s="13"/>
      <c r="AE152" s="13"/>
      <c r="AF152" s="13"/>
      <c r="AG152" s="13"/>
      <c r="AH152" s="13"/>
      <c r="AI152" s="13"/>
    </row>
    <row r="153" spans="1:35" s="5" customFormat="1">
      <c r="A153" s="1599">
        <f t="shared" si="18"/>
        <v>50</v>
      </c>
      <c r="B153" s="6"/>
      <c r="C153" s="2036"/>
      <c r="D153" s="1919"/>
      <c r="E153" s="2039"/>
      <c r="F153" s="2039"/>
      <c r="G153" s="1647"/>
      <c r="H153" s="1647"/>
      <c r="I153" s="1824"/>
      <c r="J153" s="2516"/>
      <c r="K153" s="2040"/>
      <c r="L153" s="2516"/>
      <c r="M153" s="2041"/>
      <c r="N153" s="6"/>
      <c r="O153" s="6"/>
      <c r="P153" s="1603"/>
      <c r="Q153" s="1603"/>
      <c r="R153" s="1603"/>
      <c r="S153" s="1603"/>
      <c r="T153" s="1604"/>
      <c r="U153" s="1603"/>
      <c r="V153" s="1603"/>
      <c r="W153" s="2791"/>
      <c r="X153" s="1614"/>
      <c r="Y153" s="2792"/>
      <c r="Z153" s="2793"/>
      <c r="AA153" s="1606"/>
      <c r="AB153" s="1824"/>
      <c r="AC153" s="13"/>
      <c r="AD153" s="13"/>
      <c r="AE153" s="13"/>
      <c r="AF153" s="13"/>
      <c r="AG153" s="13"/>
      <c r="AH153" s="13"/>
      <c r="AI153" s="13"/>
    </row>
    <row r="154" spans="1:35" s="5" customFormat="1">
      <c r="A154" s="1599">
        <f t="shared" si="18"/>
        <v>51</v>
      </c>
      <c r="B154" s="6"/>
      <c r="C154" s="2036"/>
      <c r="D154" s="1919"/>
      <c r="E154" s="2039"/>
      <c r="F154" s="2039"/>
      <c r="G154" s="1647"/>
      <c r="H154" s="1647"/>
      <c r="I154" s="1824"/>
      <c r="J154" s="2516"/>
      <c r="K154" s="2040"/>
      <c r="L154" s="2516"/>
      <c r="M154" s="2041"/>
      <c r="N154" s="6"/>
      <c r="O154" s="6"/>
      <c r="P154" s="1603"/>
      <c r="Q154" s="1603"/>
      <c r="R154" s="1603"/>
      <c r="S154" s="1603"/>
      <c r="T154" s="1604"/>
      <c r="U154" s="1603"/>
      <c r="V154" s="1603"/>
      <c r="W154" s="2791"/>
      <c r="X154" s="1614"/>
      <c r="Y154" s="2792"/>
      <c r="Z154" s="2793"/>
      <c r="AA154" s="1606"/>
      <c r="AB154" s="1824"/>
      <c r="AC154" s="13"/>
      <c r="AD154" s="13"/>
      <c r="AE154" s="13"/>
      <c r="AF154" s="13"/>
      <c r="AG154" s="13"/>
      <c r="AH154" s="13"/>
      <c r="AI154" s="13"/>
    </row>
    <row r="155" spans="1:35" s="5" customFormat="1">
      <c r="A155" s="1599">
        <f t="shared" si="18"/>
        <v>52</v>
      </c>
      <c r="B155" s="6"/>
      <c r="C155" s="2036"/>
      <c r="D155" s="1919"/>
      <c r="E155" s="2039"/>
      <c r="F155" s="2039"/>
      <c r="G155" s="1647"/>
      <c r="H155" s="1647"/>
      <c r="I155" s="1824"/>
      <c r="J155" s="2516"/>
      <c r="K155" s="2040"/>
      <c r="L155" s="2516"/>
      <c r="M155" s="2041"/>
      <c r="N155" s="6"/>
      <c r="O155" s="6"/>
      <c r="P155" s="1603"/>
      <c r="Q155" s="1603"/>
      <c r="R155" s="1603"/>
      <c r="S155" s="1603"/>
      <c r="T155" s="1604"/>
      <c r="U155" s="1603"/>
      <c r="V155" s="1603"/>
      <c r="W155" s="2791"/>
      <c r="X155" s="1614"/>
      <c r="Y155" s="2792"/>
      <c r="Z155" s="2793"/>
      <c r="AA155" s="1606"/>
      <c r="AB155" s="1824"/>
      <c r="AC155" s="13"/>
      <c r="AD155" s="13"/>
      <c r="AE155" s="13"/>
      <c r="AF155" s="13"/>
      <c r="AG155" s="13"/>
      <c r="AH155" s="13"/>
      <c r="AI155" s="13"/>
    </row>
    <row r="156" spans="1:35" s="5" customFormat="1">
      <c r="A156" s="1599">
        <f t="shared" si="18"/>
        <v>53</v>
      </c>
      <c r="B156" s="6"/>
      <c r="C156" s="2036"/>
      <c r="D156" s="1919"/>
      <c r="E156" s="2039"/>
      <c r="F156" s="2039"/>
      <c r="G156" s="1647"/>
      <c r="H156" s="1647"/>
      <c r="I156" s="1824"/>
      <c r="J156" s="2516"/>
      <c r="K156" s="2040"/>
      <c r="L156" s="2516"/>
      <c r="M156" s="2041"/>
      <c r="N156" s="6"/>
      <c r="O156" s="6"/>
      <c r="P156" s="1603"/>
      <c r="Q156" s="1603"/>
      <c r="R156" s="1603"/>
      <c r="S156" s="1603"/>
      <c r="T156" s="1604"/>
      <c r="U156" s="1603"/>
      <c r="V156" s="1603"/>
      <c r="W156" s="2791"/>
      <c r="X156" s="1614"/>
      <c r="Y156" s="2792"/>
      <c r="Z156" s="2793"/>
      <c r="AA156" s="1606"/>
      <c r="AB156" s="1824"/>
      <c r="AC156" s="13"/>
      <c r="AD156" s="13"/>
      <c r="AE156" s="13"/>
      <c r="AF156" s="13"/>
      <c r="AG156" s="13"/>
      <c r="AH156" s="13"/>
      <c r="AI156" s="13"/>
    </row>
    <row r="157" spans="1:35" s="5" customFormat="1">
      <c r="A157" s="1599">
        <f t="shared" si="18"/>
        <v>54</v>
      </c>
      <c r="B157" s="6"/>
      <c r="C157" s="2036"/>
      <c r="D157" s="1919"/>
      <c r="E157" s="2039"/>
      <c r="F157" s="2039"/>
      <c r="G157" s="1647"/>
      <c r="H157" s="1647"/>
      <c r="I157" s="1824"/>
      <c r="J157" s="2516"/>
      <c r="K157" s="2040"/>
      <c r="L157" s="2516"/>
      <c r="M157" s="2041"/>
      <c r="N157" s="6"/>
      <c r="O157" s="6"/>
      <c r="P157" s="1603"/>
      <c r="Q157" s="1603"/>
      <c r="R157" s="1603"/>
      <c r="S157" s="1603"/>
      <c r="T157" s="1604"/>
      <c r="U157" s="1603"/>
      <c r="V157" s="1603"/>
      <c r="W157" s="2791"/>
      <c r="X157" s="1614"/>
      <c r="Y157" s="2792"/>
      <c r="Z157" s="2793"/>
      <c r="AA157" s="1606"/>
      <c r="AB157" s="1824"/>
      <c r="AC157" s="13"/>
      <c r="AD157" s="13"/>
      <c r="AE157" s="13"/>
      <c r="AF157" s="13"/>
      <c r="AG157" s="13"/>
      <c r="AH157" s="13"/>
      <c r="AI157" s="13"/>
    </row>
    <row r="158" spans="1:35" s="5" customFormat="1">
      <c r="A158" s="1599">
        <f t="shared" si="18"/>
        <v>55</v>
      </c>
      <c r="B158" s="6"/>
      <c r="C158" s="2036"/>
      <c r="D158" s="1919"/>
      <c r="E158" s="2039"/>
      <c r="F158" s="2039"/>
      <c r="G158" s="1647"/>
      <c r="H158" s="1647"/>
      <c r="I158" s="1824"/>
      <c r="J158" s="2516"/>
      <c r="K158" s="2040"/>
      <c r="L158" s="2516"/>
      <c r="M158" s="2041"/>
      <c r="N158" s="6"/>
      <c r="O158" s="6"/>
      <c r="P158" s="1603"/>
      <c r="Q158" s="1603"/>
      <c r="R158" s="1603"/>
      <c r="S158" s="1603"/>
      <c r="T158" s="1604"/>
      <c r="U158" s="1603"/>
      <c r="V158" s="1603"/>
      <c r="W158" s="2791"/>
      <c r="X158" s="1614"/>
      <c r="Y158" s="2792"/>
      <c r="Z158" s="2793"/>
      <c r="AA158" s="1606"/>
      <c r="AB158" s="1824"/>
      <c r="AC158" s="13"/>
      <c r="AD158" s="13"/>
      <c r="AE158" s="13"/>
      <c r="AF158" s="13"/>
      <c r="AG158" s="13"/>
      <c r="AH158" s="13"/>
      <c r="AI158" s="13"/>
    </row>
    <row r="159" spans="1:35" s="5" customFormat="1">
      <c r="A159" s="1599">
        <f t="shared" si="18"/>
        <v>56</v>
      </c>
      <c r="B159" s="6"/>
      <c r="C159" s="2036"/>
      <c r="D159" s="1919"/>
      <c r="E159" s="2039"/>
      <c r="F159" s="2039"/>
      <c r="G159" s="1647"/>
      <c r="H159" s="1647"/>
      <c r="I159" s="1824"/>
      <c r="J159" s="2516"/>
      <c r="K159" s="2040"/>
      <c r="L159" s="2516"/>
      <c r="M159" s="2041"/>
      <c r="N159" s="6"/>
      <c r="O159" s="6"/>
      <c r="P159" s="1603"/>
      <c r="Q159" s="1603"/>
      <c r="R159" s="1603"/>
      <c r="S159" s="1603"/>
      <c r="T159" s="1604"/>
      <c r="U159" s="1603"/>
      <c r="V159" s="1603"/>
      <c r="W159" s="2791"/>
      <c r="X159" s="1614"/>
      <c r="Y159" s="2792"/>
      <c r="Z159" s="2793"/>
      <c r="AA159" s="1606"/>
      <c r="AB159" s="1824"/>
      <c r="AC159" s="13"/>
      <c r="AD159" s="13"/>
      <c r="AE159" s="13"/>
      <c r="AF159" s="13"/>
      <c r="AG159" s="13"/>
      <c r="AH159" s="13"/>
      <c r="AI159" s="13"/>
    </row>
    <row r="160" spans="1:35" s="5" customFormat="1">
      <c r="A160" s="1599">
        <f t="shared" si="18"/>
        <v>57</v>
      </c>
      <c r="B160" s="6"/>
      <c r="C160" s="2036"/>
      <c r="D160" s="1919"/>
      <c r="E160" s="2039"/>
      <c r="F160" s="2039"/>
      <c r="G160" s="1647"/>
      <c r="H160" s="1647"/>
      <c r="I160" s="1824"/>
      <c r="J160" s="2516"/>
      <c r="K160" s="2040"/>
      <c r="L160" s="2516"/>
      <c r="M160" s="2041"/>
      <c r="N160" s="6"/>
      <c r="O160" s="6"/>
      <c r="P160" s="1603"/>
      <c r="Q160" s="1603"/>
      <c r="R160" s="1603"/>
      <c r="S160" s="1603"/>
      <c r="T160" s="1604"/>
      <c r="U160" s="1603"/>
      <c r="V160" s="1603"/>
      <c r="W160" s="2791"/>
      <c r="X160" s="1614"/>
      <c r="Y160" s="2792"/>
      <c r="Z160" s="2793"/>
      <c r="AA160" s="1606"/>
      <c r="AB160" s="1824"/>
      <c r="AC160" s="13"/>
      <c r="AD160" s="13"/>
      <c r="AE160" s="13"/>
      <c r="AF160" s="13"/>
      <c r="AG160" s="13"/>
      <c r="AH160" s="13"/>
      <c r="AI160" s="13"/>
    </row>
    <row r="161" spans="1:35" s="5" customFormat="1">
      <c r="A161" s="1599">
        <f t="shared" si="18"/>
        <v>58</v>
      </c>
      <c r="B161" s="6"/>
      <c r="C161" s="2036"/>
      <c r="D161" s="1919"/>
      <c r="E161" s="2039"/>
      <c r="F161" s="2039"/>
      <c r="G161" s="1647"/>
      <c r="H161" s="1647"/>
      <c r="I161" s="1824"/>
      <c r="J161" s="2516"/>
      <c r="K161" s="2040"/>
      <c r="L161" s="2516"/>
      <c r="M161" s="2041"/>
      <c r="N161" s="6"/>
      <c r="O161" s="6"/>
      <c r="P161" s="1603"/>
      <c r="Q161" s="1603"/>
      <c r="R161" s="1603"/>
      <c r="S161" s="1603"/>
      <c r="T161" s="1604"/>
      <c r="U161" s="1603"/>
      <c r="V161" s="1603"/>
      <c r="W161" s="2791"/>
      <c r="X161" s="1614"/>
      <c r="Y161" s="2792"/>
      <c r="Z161" s="2793"/>
      <c r="AA161" s="1606"/>
      <c r="AB161" s="1824"/>
      <c r="AC161" s="13"/>
      <c r="AD161" s="13"/>
      <c r="AE161" s="13"/>
      <c r="AF161" s="13"/>
      <c r="AG161" s="13"/>
      <c r="AH161" s="13"/>
      <c r="AI161" s="13"/>
    </row>
    <row r="162" spans="1:35" s="5" customFormat="1">
      <c r="A162" s="1599">
        <f t="shared" si="18"/>
        <v>59</v>
      </c>
      <c r="B162" s="6"/>
      <c r="C162" s="2036"/>
      <c r="D162" s="1919"/>
      <c r="E162" s="2039"/>
      <c r="F162" s="2039"/>
      <c r="G162" s="1647"/>
      <c r="H162" s="1647"/>
      <c r="I162" s="1824"/>
      <c r="J162" s="2516"/>
      <c r="K162" s="2040"/>
      <c r="L162" s="2516"/>
      <c r="M162" s="2041"/>
      <c r="N162" s="6"/>
      <c r="O162" s="6"/>
      <c r="P162" s="1603"/>
      <c r="Q162" s="1603"/>
      <c r="R162" s="1603"/>
      <c r="S162" s="1603"/>
      <c r="T162" s="1604"/>
      <c r="U162" s="1603"/>
      <c r="V162" s="1603"/>
      <c r="W162" s="2791"/>
      <c r="X162" s="1614"/>
      <c r="Y162" s="2792"/>
      <c r="Z162" s="2793"/>
      <c r="AA162" s="1606"/>
      <c r="AB162" s="1824"/>
      <c r="AC162" s="13"/>
      <c r="AD162" s="13"/>
      <c r="AE162" s="13"/>
      <c r="AF162" s="13"/>
      <c r="AG162" s="13"/>
      <c r="AH162" s="13"/>
      <c r="AI162" s="13"/>
    </row>
    <row r="163" spans="1:35" s="5" customFormat="1">
      <c r="A163" s="1599">
        <f t="shared" si="18"/>
        <v>60</v>
      </c>
      <c r="B163" s="6"/>
      <c r="C163" s="2036"/>
      <c r="D163" s="1919"/>
      <c r="E163" s="2039"/>
      <c r="F163" s="2039"/>
      <c r="G163" s="1647"/>
      <c r="H163" s="1647"/>
      <c r="I163" s="1824"/>
      <c r="J163" s="2516"/>
      <c r="K163" s="2040"/>
      <c r="L163" s="2516"/>
      <c r="M163" s="2041"/>
      <c r="N163" s="6"/>
      <c r="O163" s="6"/>
      <c r="P163" s="1603"/>
      <c r="Q163" s="1603"/>
      <c r="R163" s="1603"/>
      <c r="S163" s="1603"/>
      <c r="T163" s="1604"/>
      <c r="U163" s="1603"/>
      <c r="V163" s="1603"/>
      <c r="W163" s="2791"/>
      <c r="X163" s="1614"/>
      <c r="Y163" s="2792"/>
      <c r="Z163" s="2793"/>
      <c r="AA163" s="1606"/>
      <c r="AB163" s="1824"/>
      <c r="AC163" s="13"/>
      <c r="AD163" s="13"/>
      <c r="AE163" s="13"/>
      <c r="AF163" s="13"/>
      <c r="AG163" s="13"/>
      <c r="AH163" s="13"/>
      <c r="AI163" s="13"/>
    </row>
    <row r="164" spans="1:35" s="5" customFormat="1">
      <c r="A164" s="1599">
        <f t="shared" si="18"/>
        <v>61</v>
      </c>
      <c r="B164" s="6"/>
      <c r="C164" s="2036"/>
      <c r="D164" s="1919"/>
      <c r="E164" s="2039"/>
      <c r="F164" s="2039"/>
      <c r="G164" s="1647"/>
      <c r="H164" s="1647"/>
      <c r="I164" s="1824"/>
      <c r="J164" s="2516"/>
      <c r="K164" s="2040"/>
      <c r="L164" s="2516"/>
      <c r="M164" s="2041"/>
      <c r="N164" s="6"/>
      <c r="O164" s="6"/>
      <c r="P164" s="1603"/>
      <c r="Q164" s="1603"/>
      <c r="R164" s="1603"/>
      <c r="S164" s="1603"/>
      <c r="T164" s="1604"/>
      <c r="U164" s="1603"/>
      <c r="V164" s="1603"/>
      <c r="W164" s="2791"/>
      <c r="X164" s="1614"/>
      <c r="Y164" s="2792"/>
      <c r="Z164" s="2793"/>
      <c r="AA164" s="1606"/>
      <c r="AB164" s="1824"/>
      <c r="AC164" s="13"/>
      <c r="AD164" s="13"/>
      <c r="AE164" s="13"/>
      <c r="AF164" s="13"/>
      <c r="AG164" s="13"/>
      <c r="AH164" s="13"/>
      <c r="AI164" s="13"/>
    </row>
    <row r="165" spans="1:35" s="5" customFormat="1">
      <c r="A165" s="1599">
        <f t="shared" si="18"/>
        <v>62</v>
      </c>
      <c r="B165" s="6"/>
      <c r="C165" s="2036"/>
      <c r="D165" s="1919"/>
      <c r="E165" s="2039"/>
      <c r="F165" s="2039"/>
      <c r="G165" s="1647"/>
      <c r="H165" s="1647"/>
      <c r="I165" s="1824"/>
      <c r="J165" s="2516"/>
      <c r="K165" s="2040"/>
      <c r="L165" s="2516"/>
      <c r="M165" s="2041"/>
      <c r="N165" s="6"/>
      <c r="O165" s="6"/>
      <c r="P165" s="1603"/>
      <c r="Q165" s="1603"/>
      <c r="R165" s="1603"/>
      <c r="S165" s="1603"/>
      <c r="T165" s="1604"/>
      <c r="U165" s="1603"/>
      <c r="V165" s="1603"/>
      <c r="W165" s="2791"/>
      <c r="X165" s="1614"/>
      <c r="Y165" s="2792"/>
      <c r="Z165" s="2793"/>
      <c r="AA165" s="1606"/>
      <c r="AB165" s="1824"/>
      <c r="AC165" s="13"/>
      <c r="AD165" s="13"/>
      <c r="AE165" s="13"/>
      <c r="AF165" s="13"/>
      <c r="AG165" s="13"/>
      <c r="AH165" s="13"/>
      <c r="AI165" s="13"/>
    </row>
    <row r="166" spans="1:35" s="5" customFormat="1">
      <c r="A166" s="1599">
        <f t="shared" si="18"/>
        <v>63</v>
      </c>
      <c r="B166" s="6"/>
      <c r="C166" s="2036"/>
      <c r="D166" s="1919"/>
      <c r="E166" s="2039"/>
      <c r="F166" s="2039"/>
      <c r="G166" s="1647"/>
      <c r="H166" s="1647"/>
      <c r="I166" s="1824"/>
      <c r="J166" s="2516"/>
      <c r="K166" s="2040"/>
      <c r="L166" s="2516"/>
      <c r="M166" s="2041"/>
      <c r="N166" s="6"/>
      <c r="O166" s="6"/>
      <c r="P166" s="1603"/>
      <c r="Q166" s="1603"/>
      <c r="R166" s="1603"/>
      <c r="S166" s="1603"/>
      <c r="T166" s="1604"/>
      <c r="U166" s="1603"/>
      <c r="V166" s="1603"/>
      <c r="W166" s="2791"/>
      <c r="X166" s="1614"/>
      <c r="Y166" s="2792"/>
      <c r="Z166" s="2793"/>
      <c r="AA166" s="1606"/>
      <c r="AB166" s="1824"/>
      <c r="AC166" s="13"/>
      <c r="AD166" s="13"/>
      <c r="AE166" s="13"/>
      <c r="AF166" s="13"/>
      <c r="AG166" s="13"/>
      <c r="AH166" s="13"/>
      <c r="AI166" s="13"/>
    </row>
  </sheetData>
  <mergeCells count="8">
    <mergeCell ref="A103:M103"/>
    <mergeCell ref="A85:M85"/>
    <mergeCell ref="A66:M66"/>
    <mergeCell ref="A5:M5"/>
    <mergeCell ref="A2:K2"/>
    <mergeCell ref="D3:L3"/>
    <mergeCell ref="A32:M32"/>
    <mergeCell ref="A49:M4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O332"/>
  <sheetViews>
    <sheetView zoomScale="85" zoomScaleNormal="85" zoomScaleSheetLayoutView="66" workbookViewId="0">
      <pane xSplit="14" ySplit="5" topLeftCell="Y132" activePane="bottomRight" state="frozen"/>
      <selection pane="topRight" activeCell="O1" sqref="O1"/>
      <selection pane="bottomLeft" activeCell="A7" sqref="A7"/>
      <selection pane="bottomRight" activeCell="F143" sqref="F143"/>
    </sheetView>
  </sheetViews>
  <sheetFormatPr defaultColWidth="10.33203125" defaultRowHeight="13.2"/>
  <cols>
    <col min="1" max="1" width="3.88671875" style="1" customWidth="1"/>
    <col min="2" max="2" width="13.109375" style="1" customWidth="1"/>
    <col min="3" max="3" width="17.33203125" style="4" customWidth="1"/>
    <col min="4" max="4" width="10" style="3" customWidth="1"/>
    <col min="5" max="5" width="15" style="4" customWidth="1"/>
    <col min="6" max="6" width="36" style="4" customWidth="1"/>
    <col min="7" max="7" width="6.33203125" style="4" customWidth="1"/>
    <col min="8" max="9" width="3.44140625" style="6" customWidth="1"/>
    <col min="10" max="10" width="4.6640625" style="6" customWidth="1"/>
    <col min="11" max="11" width="8" style="11" customWidth="1"/>
    <col min="12" max="12" width="20" style="5" customWidth="1"/>
    <col min="13" max="13" width="14.6640625" style="5" customWidth="1"/>
    <col min="14" max="14" width="30.5546875" style="5" customWidth="1"/>
    <col min="15" max="15" width="18" style="5" customWidth="1"/>
    <col min="16" max="16" width="17.5546875" style="7" customWidth="1"/>
    <col min="17" max="17" width="12.5546875" style="5" customWidth="1"/>
    <col min="18" max="18" width="12.33203125" style="5" customWidth="1"/>
    <col min="19" max="20" width="12.109375" style="6" customWidth="1"/>
    <col min="21" max="21" width="11.33203125" style="1" customWidth="1"/>
    <col min="22" max="22" width="12.44140625" style="6" customWidth="1"/>
    <col min="23" max="23" width="15.33203125" style="1878" customWidth="1"/>
    <col min="24" max="24" width="14.5546875" style="1877" customWidth="1"/>
    <col min="25" max="26" width="13.44140625" style="1877" customWidth="1"/>
    <col min="27" max="27" width="15.33203125" style="1877" customWidth="1"/>
    <col min="28" max="28" width="11.88671875" style="1877" customWidth="1"/>
    <col min="29" max="29" width="14" style="1877" customWidth="1"/>
    <col min="30" max="30" width="15.33203125" style="1878" customWidth="1"/>
    <col min="31" max="31" width="13.33203125" style="1877" customWidth="1"/>
    <col min="32" max="32" width="16.33203125" style="1877" customWidth="1"/>
    <col min="33" max="33" width="19.44140625" style="1877" customWidth="1"/>
    <col min="34" max="34" width="39.5546875" style="1911" customWidth="1"/>
    <col min="35" max="35" width="18.6640625" style="1912" customWidth="1"/>
    <col min="36" max="36" width="18.5546875" style="1881" customWidth="1"/>
    <col min="37" max="37" width="18.5546875" style="1913" customWidth="1"/>
    <col min="38" max="38" width="19" style="1350" customWidth="1"/>
    <col min="39" max="202" width="10.33203125" style="1393"/>
    <col min="203" max="203" width="7" style="1393" customWidth="1"/>
    <col min="204" max="204" width="13" style="1393" customWidth="1"/>
    <col min="205" max="205" width="14.109375" style="1393" customWidth="1"/>
    <col min="206" max="206" width="17.33203125" style="1393" customWidth="1"/>
    <col min="207" max="207" width="18.88671875" style="1393" customWidth="1"/>
    <col min="208" max="208" width="14.109375" style="1393" customWidth="1"/>
    <col min="209" max="209" width="21.5546875" style="1393" customWidth="1"/>
    <col min="210" max="211" width="14.109375" style="1393" customWidth="1"/>
    <col min="212" max="212" width="15" style="1393" customWidth="1"/>
    <col min="213" max="213" width="13.33203125" style="1393" customWidth="1"/>
    <col min="214" max="214" width="17" style="1393" customWidth="1"/>
    <col min="215" max="215" width="24.88671875" style="1393" customWidth="1"/>
    <col min="216" max="216" width="14.44140625" style="1393" customWidth="1"/>
    <col min="217" max="217" width="23.109375" style="1393" customWidth="1"/>
    <col min="218" max="218" width="13.109375" style="1393" customWidth="1"/>
    <col min="219" max="222" width="0" style="1393" hidden="1" customWidth="1"/>
    <col min="223" max="458" width="10.33203125" style="1393"/>
    <col min="459" max="459" width="7" style="1393" customWidth="1"/>
    <col min="460" max="460" width="13" style="1393" customWidth="1"/>
    <col min="461" max="461" width="14.109375" style="1393" customWidth="1"/>
    <col min="462" max="462" width="17.33203125" style="1393" customWidth="1"/>
    <col min="463" max="463" width="18.88671875" style="1393" customWidth="1"/>
    <col min="464" max="464" width="14.109375" style="1393" customWidth="1"/>
    <col min="465" max="465" width="21.5546875" style="1393" customWidth="1"/>
    <col min="466" max="467" width="14.109375" style="1393" customWidth="1"/>
    <col min="468" max="468" width="15" style="1393" customWidth="1"/>
    <col min="469" max="469" width="13.33203125" style="1393" customWidth="1"/>
    <col min="470" max="470" width="17" style="1393" customWidth="1"/>
    <col min="471" max="471" width="24.88671875" style="1393" customWidth="1"/>
    <col min="472" max="472" width="14.44140625" style="1393" customWidth="1"/>
    <col min="473" max="473" width="23.109375" style="1393" customWidth="1"/>
    <col min="474" max="474" width="13.109375" style="1393" customWidth="1"/>
    <col min="475" max="478" width="0" style="1393" hidden="1" customWidth="1"/>
    <col min="479" max="714" width="10.33203125" style="1393"/>
    <col min="715" max="715" width="7" style="1393" customWidth="1"/>
    <col min="716" max="716" width="13" style="1393" customWidth="1"/>
    <col min="717" max="717" width="14.109375" style="1393" customWidth="1"/>
    <col min="718" max="718" width="17.33203125" style="1393" customWidth="1"/>
    <col min="719" max="719" width="18.88671875" style="1393" customWidth="1"/>
    <col min="720" max="720" width="14.109375" style="1393" customWidth="1"/>
    <col min="721" max="721" width="21.5546875" style="1393" customWidth="1"/>
    <col min="722" max="723" width="14.109375" style="1393" customWidth="1"/>
    <col min="724" max="724" width="15" style="1393" customWidth="1"/>
    <col min="725" max="725" width="13.33203125" style="1393" customWidth="1"/>
    <col min="726" max="726" width="17" style="1393" customWidth="1"/>
    <col min="727" max="727" width="24.88671875" style="1393" customWidth="1"/>
    <col min="728" max="728" width="14.44140625" style="1393" customWidth="1"/>
    <col min="729" max="729" width="23.109375" style="1393" customWidth="1"/>
    <col min="730" max="730" width="13.109375" style="1393" customWidth="1"/>
    <col min="731" max="734" width="0" style="1393" hidden="1" customWidth="1"/>
    <col min="735" max="970" width="10.33203125" style="1393"/>
    <col min="971" max="971" width="7" style="1393" customWidth="1"/>
    <col min="972" max="972" width="13" style="1393" customWidth="1"/>
    <col min="973" max="973" width="14.109375" style="1393" customWidth="1"/>
    <col min="974" max="974" width="17.33203125" style="1393" customWidth="1"/>
    <col min="975" max="975" width="18.88671875" style="1393" customWidth="1"/>
    <col min="976" max="976" width="14.109375" style="1393" customWidth="1"/>
    <col min="977" max="977" width="21.5546875" style="1393" customWidth="1"/>
    <col min="978" max="979" width="14.109375" style="1393" customWidth="1"/>
    <col min="980" max="980" width="15" style="1393" customWidth="1"/>
    <col min="981" max="981" width="13.33203125" style="1393" customWidth="1"/>
    <col min="982" max="982" width="17" style="1393" customWidth="1"/>
    <col min="983" max="983" width="24.88671875" style="1393" customWidth="1"/>
    <col min="984" max="984" width="14.44140625" style="1393" customWidth="1"/>
    <col min="985" max="985" width="23.109375" style="1393" customWidth="1"/>
    <col min="986" max="986" width="13.109375" style="1393" customWidth="1"/>
    <col min="987" max="990" width="0" style="1393" hidden="1" customWidth="1"/>
    <col min="991" max="1226" width="10.33203125" style="1393"/>
    <col min="1227" max="1227" width="7" style="1393" customWidth="1"/>
    <col min="1228" max="1228" width="13" style="1393" customWidth="1"/>
    <col min="1229" max="1229" width="14.109375" style="1393" customWidth="1"/>
    <col min="1230" max="1230" width="17.33203125" style="1393" customWidth="1"/>
    <col min="1231" max="1231" width="18.88671875" style="1393" customWidth="1"/>
    <col min="1232" max="1232" width="14.109375" style="1393" customWidth="1"/>
    <col min="1233" max="1233" width="21.5546875" style="1393" customWidth="1"/>
    <col min="1234" max="1235" width="14.109375" style="1393" customWidth="1"/>
    <col min="1236" max="1236" width="15" style="1393" customWidth="1"/>
    <col min="1237" max="1237" width="13.33203125" style="1393" customWidth="1"/>
    <col min="1238" max="1238" width="17" style="1393" customWidth="1"/>
    <col min="1239" max="1239" width="24.88671875" style="1393" customWidth="1"/>
    <col min="1240" max="1240" width="14.44140625" style="1393" customWidth="1"/>
    <col min="1241" max="1241" width="23.109375" style="1393" customWidth="1"/>
    <col min="1242" max="1242" width="13.109375" style="1393" customWidth="1"/>
    <col min="1243" max="1246" width="0" style="1393" hidden="1" customWidth="1"/>
    <col min="1247" max="1482" width="10.33203125" style="1393"/>
    <col min="1483" max="1483" width="7" style="1393" customWidth="1"/>
    <col min="1484" max="1484" width="13" style="1393" customWidth="1"/>
    <col min="1485" max="1485" width="14.109375" style="1393" customWidth="1"/>
    <col min="1486" max="1486" width="17.33203125" style="1393" customWidth="1"/>
    <col min="1487" max="1487" width="18.88671875" style="1393" customWidth="1"/>
    <col min="1488" max="1488" width="14.109375" style="1393" customWidth="1"/>
    <col min="1489" max="1489" width="21.5546875" style="1393" customWidth="1"/>
    <col min="1490" max="1491" width="14.109375" style="1393" customWidth="1"/>
    <col min="1492" max="1492" width="15" style="1393" customWidth="1"/>
    <col min="1493" max="1493" width="13.33203125" style="1393" customWidth="1"/>
    <col min="1494" max="1494" width="17" style="1393" customWidth="1"/>
    <col min="1495" max="1495" width="24.88671875" style="1393" customWidth="1"/>
    <col min="1496" max="1496" width="14.44140625" style="1393" customWidth="1"/>
    <col min="1497" max="1497" width="23.109375" style="1393" customWidth="1"/>
    <col min="1498" max="1498" width="13.109375" style="1393" customWidth="1"/>
    <col min="1499" max="1502" width="0" style="1393" hidden="1" customWidth="1"/>
    <col min="1503" max="1738" width="10.33203125" style="1393"/>
    <col min="1739" max="1739" width="7" style="1393" customWidth="1"/>
    <col min="1740" max="1740" width="13" style="1393" customWidth="1"/>
    <col min="1741" max="1741" width="14.109375" style="1393" customWidth="1"/>
    <col min="1742" max="1742" width="17.33203125" style="1393" customWidth="1"/>
    <col min="1743" max="1743" width="18.88671875" style="1393" customWidth="1"/>
    <col min="1744" max="1744" width="14.109375" style="1393" customWidth="1"/>
    <col min="1745" max="1745" width="21.5546875" style="1393" customWidth="1"/>
    <col min="1746" max="1747" width="14.109375" style="1393" customWidth="1"/>
    <col min="1748" max="1748" width="15" style="1393" customWidth="1"/>
    <col min="1749" max="1749" width="13.33203125" style="1393" customWidth="1"/>
    <col min="1750" max="1750" width="17" style="1393" customWidth="1"/>
    <col min="1751" max="1751" width="24.88671875" style="1393" customWidth="1"/>
    <col min="1752" max="1752" width="14.44140625" style="1393" customWidth="1"/>
    <col min="1753" max="1753" width="23.109375" style="1393" customWidth="1"/>
    <col min="1754" max="1754" width="13.109375" style="1393" customWidth="1"/>
    <col min="1755" max="1758" width="0" style="1393" hidden="1" customWidth="1"/>
    <col min="1759" max="1994" width="10.33203125" style="1393"/>
    <col min="1995" max="1995" width="7" style="1393" customWidth="1"/>
    <col min="1996" max="1996" width="13" style="1393" customWidth="1"/>
    <col min="1997" max="1997" width="14.109375" style="1393" customWidth="1"/>
    <col min="1998" max="1998" width="17.33203125" style="1393" customWidth="1"/>
    <col min="1999" max="1999" width="18.88671875" style="1393" customWidth="1"/>
    <col min="2000" max="2000" width="14.109375" style="1393" customWidth="1"/>
    <col min="2001" max="2001" width="21.5546875" style="1393" customWidth="1"/>
    <col min="2002" max="2003" width="14.109375" style="1393" customWidth="1"/>
    <col min="2004" max="2004" width="15" style="1393" customWidth="1"/>
    <col min="2005" max="2005" width="13.33203125" style="1393" customWidth="1"/>
    <col min="2006" max="2006" width="17" style="1393" customWidth="1"/>
    <col min="2007" max="2007" width="24.88671875" style="1393" customWidth="1"/>
    <col min="2008" max="2008" width="14.44140625" style="1393" customWidth="1"/>
    <col min="2009" max="2009" width="23.109375" style="1393" customWidth="1"/>
    <col min="2010" max="2010" width="13.109375" style="1393" customWidth="1"/>
    <col min="2011" max="2014" width="0" style="1393" hidden="1" customWidth="1"/>
    <col min="2015" max="2250" width="10.33203125" style="1393"/>
    <col min="2251" max="2251" width="7" style="1393" customWidth="1"/>
    <col min="2252" max="2252" width="13" style="1393" customWidth="1"/>
    <col min="2253" max="2253" width="14.109375" style="1393" customWidth="1"/>
    <col min="2254" max="2254" width="17.33203125" style="1393" customWidth="1"/>
    <col min="2255" max="2255" width="18.88671875" style="1393" customWidth="1"/>
    <col min="2256" max="2256" width="14.109375" style="1393" customWidth="1"/>
    <col min="2257" max="2257" width="21.5546875" style="1393" customWidth="1"/>
    <col min="2258" max="2259" width="14.109375" style="1393" customWidth="1"/>
    <col min="2260" max="2260" width="15" style="1393" customWidth="1"/>
    <col min="2261" max="2261" width="13.33203125" style="1393" customWidth="1"/>
    <col min="2262" max="2262" width="17" style="1393" customWidth="1"/>
    <col min="2263" max="2263" width="24.88671875" style="1393" customWidth="1"/>
    <col min="2264" max="2264" width="14.44140625" style="1393" customWidth="1"/>
    <col min="2265" max="2265" width="23.109375" style="1393" customWidth="1"/>
    <col min="2266" max="2266" width="13.109375" style="1393" customWidth="1"/>
    <col min="2267" max="2270" width="0" style="1393" hidden="1" customWidth="1"/>
    <col min="2271" max="2506" width="10.33203125" style="1393"/>
    <col min="2507" max="2507" width="7" style="1393" customWidth="1"/>
    <col min="2508" max="2508" width="13" style="1393" customWidth="1"/>
    <col min="2509" max="2509" width="14.109375" style="1393" customWidth="1"/>
    <col min="2510" max="2510" width="17.33203125" style="1393" customWidth="1"/>
    <col min="2511" max="2511" width="18.88671875" style="1393" customWidth="1"/>
    <col min="2512" max="2512" width="14.109375" style="1393" customWidth="1"/>
    <col min="2513" max="2513" width="21.5546875" style="1393" customWidth="1"/>
    <col min="2514" max="2515" width="14.109375" style="1393" customWidth="1"/>
    <col min="2516" max="2516" width="15" style="1393" customWidth="1"/>
    <col min="2517" max="2517" width="13.33203125" style="1393" customWidth="1"/>
    <col min="2518" max="2518" width="17" style="1393" customWidth="1"/>
    <col min="2519" max="2519" width="24.88671875" style="1393" customWidth="1"/>
    <col min="2520" max="2520" width="14.44140625" style="1393" customWidth="1"/>
    <col min="2521" max="2521" width="23.109375" style="1393" customWidth="1"/>
    <col min="2522" max="2522" width="13.109375" style="1393" customWidth="1"/>
    <col min="2523" max="2526" width="0" style="1393" hidden="1" customWidth="1"/>
    <col min="2527" max="2762" width="10.33203125" style="1393"/>
    <col min="2763" max="2763" width="7" style="1393" customWidth="1"/>
    <col min="2764" max="2764" width="13" style="1393" customWidth="1"/>
    <col min="2765" max="2765" width="14.109375" style="1393" customWidth="1"/>
    <col min="2766" max="2766" width="17.33203125" style="1393" customWidth="1"/>
    <col min="2767" max="2767" width="18.88671875" style="1393" customWidth="1"/>
    <col min="2768" max="2768" width="14.109375" style="1393" customWidth="1"/>
    <col min="2769" max="2769" width="21.5546875" style="1393" customWidth="1"/>
    <col min="2770" max="2771" width="14.109375" style="1393" customWidth="1"/>
    <col min="2772" max="2772" width="15" style="1393" customWidth="1"/>
    <col min="2773" max="2773" width="13.33203125" style="1393" customWidth="1"/>
    <col min="2774" max="2774" width="17" style="1393" customWidth="1"/>
    <col min="2775" max="2775" width="24.88671875" style="1393" customWidth="1"/>
    <col min="2776" max="2776" width="14.44140625" style="1393" customWidth="1"/>
    <col min="2777" max="2777" width="23.109375" style="1393" customWidth="1"/>
    <col min="2778" max="2778" width="13.109375" style="1393" customWidth="1"/>
    <col min="2779" max="2782" width="0" style="1393" hidden="1" customWidth="1"/>
    <col min="2783" max="3018" width="10.33203125" style="1393"/>
    <col min="3019" max="3019" width="7" style="1393" customWidth="1"/>
    <col min="3020" max="3020" width="13" style="1393" customWidth="1"/>
    <col min="3021" max="3021" width="14.109375" style="1393" customWidth="1"/>
    <col min="3022" max="3022" width="17.33203125" style="1393" customWidth="1"/>
    <col min="3023" max="3023" width="18.88671875" style="1393" customWidth="1"/>
    <col min="3024" max="3024" width="14.109375" style="1393" customWidth="1"/>
    <col min="3025" max="3025" width="21.5546875" style="1393" customWidth="1"/>
    <col min="3026" max="3027" width="14.109375" style="1393" customWidth="1"/>
    <col min="3028" max="3028" width="15" style="1393" customWidth="1"/>
    <col min="3029" max="3029" width="13.33203125" style="1393" customWidth="1"/>
    <col min="3030" max="3030" width="17" style="1393" customWidth="1"/>
    <col min="3031" max="3031" width="24.88671875" style="1393" customWidth="1"/>
    <col min="3032" max="3032" width="14.44140625" style="1393" customWidth="1"/>
    <col min="3033" max="3033" width="23.109375" style="1393" customWidth="1"/>
    <col min="3034" max="3034" width="13.109375" style="1393" customWidth="1"/>
    <col min="3035" max="3038" width="0" style="1393" hidden="1" customWidth="1"/>
    <col min="3039" max="3274" width="10.33203125" style="1393"/>
    <col min="3275" max="3275" width="7" style="1393" customWidth="1"/>
    <col min="3276" max="3276" width="13" style="1393" customWidth="1"/>
    <col min="3277" max="3277" width="14.109375" style="1393" customWidth="1"/>
    <col min="3278" max="3278" width="17.33203125" style="1393" customWidth="1"/>
    <col min="3279" max="3279" width="18.88671875" style="1393" customWidth="1"/>
    <col min="3280" max="3280" width="14.109375" style="1393" customWidth="1"/>
    <col min="3281" max="3281" width="21.5546875" style="1393" customWidth="1"/>
    <col min="3282" max="3283" width="14.109375" style="1393" customWidth="1"/>
    <col min="3284" max="3284" width="15" style="1393" customWidth="1"/>
    <col min="3285" max="3285" width="13.33203125" style="1393" customWidth="1"/>
    <col min="3286" max="3286" width="17" style="1393" customWidth="1"/>
    <col min="3287" max="3287" width="24.88671875" style="1393" customWidth="1"/>
    <col min="3288" max="3288" width="14.44140625" style="1393" customWidth="1"/>
    <col min="3289" max="3289" width="23.109375" style="1393" customWidth="1"/>
    <col min="3290" max="3290" width="13.109375" style="1393" customWidth="1"/>
    <col min="3291" max="3294" width="0" style="1393" hidden="1" customWidth="1"/>
    <col min="3295" max="3530" width="10.33203125" style="1393"/>
    <col min="3531" max="3531" width="7" style="1393" customWidth="1"/>
    <col min="3532" max="3532" width="13" style="1393" customWidth="1"/>
    <col min="3533" max="3533" width="14.109375" style="1393" customWidth="1"/>
    <col min="3534" max="3534" width="17.33203125" style="1393" customWidth="1"/>
    <col min="3535" max="3535" width="18.88671875" style="1393" customWidth="1"/>
    <col min="3536" max="3536" width="14.109375" style="1393" customWidth="1"/>
    <col min="3537" max="3537" width="21.5546875" style="1393" customWidth="1"/>
    <col min="3538" max="3539" width="14.109375" style="1393" customWidth="1"/>
    <col min="3540" max="3540" width="15" style="1393" customWidth="1"/>
    <col min="3541" max="3541" width="13.33203125" style="1393" customWidth="1"/>
    <col min="3542" max="3542" width="17" style="1393" customWidth="1"/>
    <col min="3543" max="3543" width="24.88671875" style="1393" customWidth="1"/>
    <col min="3544" max="3544" width="14.44140625" style="1393" customWidth="1"/>
    <col min="3545" max="3545" width="23.109375" style="1393" customWidth="1"/>
    <col min="3546" max="3546" width="13.109375" style="1393" customWidth="1"/>
    <col min="3547" max="3550" width="0" style="1393" hidden="1" customWidth="1"/>
    <col min="3551" max="3786" width="10.33203125" style="1393"/>
    <col min="3787" max="3787" width="7" style="1393" customWidth="1"/>
    <col min="3788" max="3788" width="13" style="1393" customWidth="1"/>
    <col min="3789" max="3789" width="14.109375" style="1393" customWidth="1"/>
    <col min="3790" max="3790" width="17.33203125" style="1393" customWidth="1"/>
    <col min="3791" max="3791" width="18.88671875" style="1393" customWidth="1"/>
    <col min="3792" max="3792" width="14.109375" style="1393" customWidth="1"/>
    <col min="3793" max="3793" width="21.5546875" style="1393" customWidth="1"/>
    <col min="3794" max="3795" width="14.109375" style="1393" customWidth="1"/>
    <col min="3796" max="3796" width="15" style="1393" customWidth="1"/>
    <col min="3797" max="3797" width="13.33203125" style="1393" customWidth="1"/>
    <col min="3798" max="3798" width="17" style="1393" customWidth="1"/>
    <col min="3799" max="3799" width="24.88671875" style="1393" customWidth="1"/>
    <col min="3800" max="3800" width="14.44140625" style="1393" customWidth="1"/>
    <col min="3801" max="3801" width="23.109375" style="1393" customWidth="1"/>
    <col min="3802" max="3802" width="13.109375" style="1393" customWidth="1"/>
    <col min="3803" max="3806" width="0" style="1393" hidden="1" customWidth="1"/>
    <col min="3807" max="4042" width="10.33203125" style="1393"/>
    <col min="4043" max="4043" width="7" style="1393" customWidth="1"/>
    <col min="4044" max="4044" width="13" style="1393" customWidth="1"/>
    <col min="4045" max="4045" width="14.109375" style="1393" customWidth="1"/>
    <col min="4046" max="4046" width="17.33203125" style="1393" customWidth="1"/>
    <col min="4047" max="4047" width="18.88671875" style="1393" customWidth="1"/>
    <col min="4048" max="4048" width="14.109375" style="1393" customWidth="1"/>
    <col min="4049" max="4049" width="21.5546875" style="1393" customWidth="1"/>
    <col min="4050" max="4051" width="14.109375" style="1393" customWidth="1"/>
    <col min="4052" max="4052" width="15" style="1393" customWidth="1"/>
    <col min="4053" max="4053" width="13.33203125" style="1393" customWidth="1"/>
    <col min="4054" max="4054" width="17" style="1393" customWidth="1"/>
    <col min="4055" max="4055" width="24.88671875" style="1393" customWidth="1"/>
    <col min="4056" max="4056" width="14.44140625" style="1393" customWidth="1"/>
    <col min="4057" max="4057" width="23.109375" style="1393" customWidth="1"/>
    <col min="4058" max="4058" width="13.109375" style="1393" customWidth="1"/>
    <col min="4059" max="4062" width="0" style="1393" hidden="1" customWidth="1"/>
    <col min="4063" max="4298" width="10.33203125" style="1393"/>
    <col min="4299" max="4299" width="7" style="1393" customWidth="1"/>
    <col min="4300" max="4300" width="13" style="1393" customWidth="1"/>
    <col min="4301" max="4301" width="14.109375" style="1393" customWidth="1"/>
    <col min="4302" max="4302" width="17.33203125" style="1393" customWidth="1"/>
    <col min="4303" max="4303" width="18.88671875" style="1393" customWidth="1"/>
    <col min="4304" max="4304" width="14.109375" style="1393" customWidth="1"/>
    <col min="4305" max="4305" width="21.5546875" style="1393" customWidth="1"/>
    <col min="4306" max="4307" width="14.109375" style="1393" customWidth="1"/>
    <col min="4308" max="4308" width="15" style="1393" customWidth="1"/>
    <col min="4309" max="4309" width="13.33203125" style="1393" customWidth="1"/>
    <col min="4310" max="4310" width="17" style="1393" customWidth="1"/>
    <col min="4311" max="4311" width="24.88671875" style="1393" customWidth="1"/>
    <col min="4312" max="4312" width="14.44140625" style="1393" customWidth="1"/>
    <col min="4313" max="4313" width="23.109375" style="1393" customWidth="1"/>
    <col min="4314" max="4314" width="13.109375" style="1393" customWidth="1"/>
    <col min="4315" max="4318" width="0" style="1393" hidden="1" customWidth="1"/>
    <col min="4319" max="4554" width="10.33203125" style="1393"/>
    <col min="4555" max="4555" width="7" style="1393" customWidth="1"/>
    <col min="4556" max="4556" width="13" style="1393" customWidth="1"/>
    <col min="4557" max="4557" width="14.109375" style="1393" customWidth="1"/>
    <col min="4558" max="4558" width="17.33203125" style="1393" customWidth="1"/>
    <col min="4559" max="4559" width="18.88671875" style="1393" customWidth="1"/>
    <col min="4560" max="4560" width="14.109375" style="1393" customWidth="1"/>
    <col min="4561" max="4561" width="21.5546875" style="1393" customWidth="1"/>
    <col min="4562" max="4563" width="14.109375" style="1393" customWidth="1"/>
    <col min="4564" max="4564" width="15" style="1393" customWidth="1"/>
    <col min="4565" max="4565" width="13.33203125" style="1393" customWidth="1"/>
    <col min="4566" max="4566" width="17" style="1393" customWidth="1"/>
    <col min="4567" max="4567" width="24.88671875" style="1393" customWidth="1"/>
    <col min="4568" max="4568" width="14.44140625" style="1393" customWidth="1"/>
    <col min="4569" max="4569" width="23.109375" style="1393" customWidth="1"/>
    <col min="4570" max="4570" width="13.109375" style="1393" customWidth="1"/>
    <col min="4571" max="4574" width="0" style="1393" hidden="1" customWidth="1"/>
    <col min="4575" max="4810" width="10.33203125" style="1393"/>
    <col min="4811" max="4811" width="7" style="1393" customWidth="1"/>
    <col min="4812" max="4812" width="13" style="1393" customWidth="1"/>
    <col min="4813" max="4813" width="14.109375" style="1393" customWidth="1"/>
    <col min="4814" max="4814" width="17.33203125" style="1393" customWidth="1"/>
    <col min="4815" max="4815" width="18.88671875" style="1393" customWidth="1"/>
    <col min="4816" max="4816" width="14.109375" style="1393" customWidth="1"/>
    <col min="4817" max="4817" width="21.5546875" style="1393" customWidth="1"/>
    <col min="4818" max="4819" width="14.109375" style="1393" customWidth="1"/>
    <col min="4820" max="4820" width="15" style="1393" customWidth="1"/>
    <col min="4821" max="4821" width="13.33203125" style="1393" customWidth="1"/>
    <col min="4822" max="4822" width="17" style="1393" customWidth="1"/>
    <col min="4823" max="4823" width="24.88671875" style="1393" customWidth="1"/>
    <col min="4824" max="4824" width="14.44140625" style="1393" customWidth="1"/>
    <col min="4825" max="4825" width="23.109375" style="1393" customWidth="1"/>
    <col min="4826" max="4826" width="13.109375" style="1393" customWidth="1"/>
    <col min="4827" max="4830" width="0" style="1393" hidden="1" customWidth="1"/>
    <col min="4831" max="5066" width="10.33203125" style="1393"/>
    <col min="5067" max="5067" width="7" style="1393" customWidth="1"/>
    <col min="5068" max="5068" width="13" style="1393" customWidth="1"/>
    <col min="5069" max="5069" width="14.109375" style="1393" customWidth="1"/>
    <col min="5070" max="5070" width="17.33203125" style="1393" customWidth="1"/>
    <col min="5071" max="5071" width="18.88671875" style="1393" customWidth="1"/>
    <col min="5072" max="5072" width="14.109375" style="1393" customWidth="1"/>
    <col min="5073" max="5073" width="21.5546875" style="1393" customWidth="1"/>
    <col min="5074" max="5075" width="14.109375" style="1393" customWidth="1"/>
    <col min="5076" max="5076" width="15" style="1393" customWidth="1"/>
    <col min="5077" max="5077" width="13.33203125" style="1393" customWidth="1"/>
    <col min="5078" max="5078" width="17" style="1393" customWidth="1"/>
    <col min="5079" max="5079" width="24.88671875" style="1393" customWidth="1"/>
    <col min="5080" max="5080" width="14.44140625" style="1393" customWidth="1"/>
    <col min="5081" max="5081" width="23.109375" style="1393" customWidth="1"/>
    <col min="5082" max="5082" width="13.109375" style="1393" customWidth="1"/>
    <col min="5083" max="5086" width="0" style="1393" hidden="1" customWidth="1"/>
    <col min="5087" max="5322" width="10.33203125" style="1393"/>
    <col min="5323" max="5323" width="7" style="1393" customWidth="1"/>
    <col min="5324" max="5324" width="13" style="1393" customWidth="1"/>
    <col min="5325" max="5325" width="14.109375" style="1393" customWidth="1"/>
    <col min="5326" max="5326" width="17.33203125" style="1393" customWidth="1"/>
    <col min="5327" max="5327" width="18.88671875" style="1393" customWidth="1"/>
    <col min="5328" max="5328" width="14.109375" style="1393" customWidth="1"/>
    <col min="5329" max="5329" width="21.5546875" style="1393" customWidth="1"/>
    <col min="5330" max="5331" width="14.109375" style="1393" customWidth="1"/>
    <col min="5332" max="5332" width="15" style="1393" customWidth="1"/>
    <col min="5333" max="5333" width="13.33203125" style="1393" customWidth="1"/>
    <col min="5334" max="5334" width="17" style="1393" customWidth="1"/>
    <col min="5335" max="5335" width="24.88671875" style="1393" customWidth="1"/>
    <col min="5336" max="5336" width="14.44140625" style="1393" customWidth="1"/>
    <col min="5337" max="5337" width="23.109375" style="1393" customWidth="1"/>
    <col min="5338" max="5338" width="13.109375" style="1393" customWidth="1"/>
    <col min="5339" max="5342" width="0" style="1393" hidden="1" customWidth="1"/>
    <col min="5343" max="5578" width="10.33203125" style="1393"/>
    <col min="5579" max="5579" width="7" style="1393" customWidth="1"/>
    <col min="5580" max="5580" width="13" style="1393" customWidth="1"/>
    <col min="5581" max="5581" width="14.109375" style="1393" customWidth="1"/>
    <col min="5582" max="5582" width="17.33203125" style="1393" customWidth="1"/>
    <col min="5583" max="5583" width="18.88671875" style="1393" customWidth="1"/>
    <col min="5584" max="5584" width="14.109375" style="1393" customWidth="1"/>
    <col min="5585" max="5585" width="21.5546875" style="1393" customWidth="1"/>
    <col min="5586" max="5587" width="14.109375" style="1393" customWidth="1"/>
    <col min="5588" max="5588" width="15" style="1393" customWidth="1"/>
    <col min="5589" max="5589" width="13.33203125" style="1393" customWidth="1"/>
    <col min="5590" max="5590" width="17" style="1393" customWidth="1"/>
    <col min="5591" max="5591" width="24.88671875" style="1393" customWidth="1"/>
    <col min="5592" max="5592" width="14.44140625" style="1393" customWidth="1"/>
    <col min="5593" max="5593" width="23.109375" style="1393" customWidth="1"/>
    <col min="5594" max="5594" width="13.109375" style="1393" customWidth="1"/>
    <col min="5595" max="5598" width="0" style="1393" hidden="1" customWidth="1"/>
    <col min="5599" max="5834" width="10.33203125" style="1393"/>
    <col min="5835" max="5835" width="7" style="1393" customWidth="1"/>
    <col min="5836" max="5836" width="13" style="1393" customWidth="1"/>
    <col min="5837" max="5837" width="14.109375" style="1393" customWidth="1"/>
    <col min="5838" max="5838" width="17.33203125" style="1393" customWidth="1"/>
    <col min="5839" max="5839" width="18.88671875" style="1393" customWidth="1"/>
    <col min="5840" max="5840" width="14.109375" style="1393" customWidth="1"/>
    <col min="5841" max="5841" width="21.5546875" style="1393" customWidth="1"/>
    <col min="5842" max="5843" width="14.109375" style="1393" customWidth="1"/>
    <col min="5844" max="5844" width="15" style="1393" customWidth="1"/>
    <col min="5845" max="5845" width="13.33203125" style="1393" customWidth="1"/>
    <col min="5846" max="5846" width="17" style="1393" customWidth="1"/>
    <col min="5847" max="5847" width="24.88671875" style="1393" customWidth="1"/>
    <col min="5848" max="5848" width="14.44140625" style="1393" customWidth="1"/>
    <col min="5849" max="5849" width="23.109375" style="1393" customWidth="1"/>
    <col min="5850" max="5850" width="13.109375" style="1393" customWidth="1"/>
    <col min="5851" max="5854" width="0" style="1393" hidden="1" customWidth="1"/>
    <col min="5855" max="6090" width="10.33203125" style="1393"/>
    <col min="6091" max="6091" width="7" style="1393" customWidth="1"/>
    <col min="6092" max="6092" width="13" style="1393" customWidth="1"/>
    <col min="6093" max="6093" width="14.109375" style="1393" customWidth="1"/>
    <col min="6094" max="6094" width="17.33203125" style="1393" customWidth="1"/>
    <col min="6095" max="6095" width="18.88671875" style="1393" customWidth="1"/>
    <col min="6096" max="6096" width="14.109375" style="1393" customWidth="1"/>
    <col min="6097" max="6097" width="21.5546875" style="1393" customWidth="1"/>
    <col min="6098" max="6099" width="14.109375" style="1393" customWidth="1"/>
    <col min="6100" max="6100" width="15" style="1393" customWidth="1"/>
    <col min="6101" max="6101" width="13.33203125" style="1393" customWidth="1"/>
    <col min="6102" max="6102" width="17" style="1393" customWidth="1"/>
    <col min="6103" max="6103" width="24.88671875" style="1393" customWidth="1"/>
    <col min="6104" max="6104" width="14.44140625" style="1393" customWidth="1"/>
    <col min="6105" max="6105" width="23.109375" style="1393" customWidth="1"/>
    <col min="6106" max="6106" width="13.109375" style="1393" customWidth="1"/>
    <col min="6107" max="6110" width="0" style="1393" hidden="1" customWidth="1"/>
    <col min="6111" max="6346" width="10.33203125" style="1393"/>
    <col min="6347" max="6347" width="7" style="1393" customWidth="1"/>
    <col min="6348" max="6348" width="13" style="1393" customWidth="1"/>
    <col min="6349" max="6349" width="14.109375" style="1393" customWidth="1"/>
    <col min="6350" max="6350" width="17.33203125" style="1393" customWidth="1"/>
    <col min="6351" max="6351" width="18.88671875" style="1393" customWidth="1"/>
    <col min="6352" max="6352" width="14.109375" style="1393" customWidth="1"/>
    <col min="6353" max="6353" width="21.5546875" style="1393" customWidth="1"/>
    <col min="6354" max="6355" width="14.109375" style="1393" customWidth="1"/>
    <col min="6356" max="6356" width="15" style="1393" customWidth="1"/>
    <col min="6357" max="6357" width="13.33203125" style="1393" customWidth="1"/>
    <col min="6358" max="6358" width="17" style="1393" customWidth="1"/>
    <col min="6359" max="6359" width="24.88671875" style="1393" customWidth="1"/>
    <col min="6360" max="6360" width="14.44140625" style="1393" customWidth="1"/>
    <col min="6361" max="6361" width="23.109375" style="1393" customWidth="1"/>
    <col min="6362" max="6362" width="13.109375" style="1393" customWidth="1"/>
    <col min="6363" max="6366" width="0" style="1393" hidden="1" customWidth="1"/>
    <col min="6367" max="6602" width="10.33203125" style="1393"/>
    <col min="6603" max="6603" width="7" style="1393" customWidth="1"/>
    <col min="6604" max="6604" width="13" style="1393" customWidth="1"/>
    <col min="6605" max="6605" width="14.109375" style="1393" customWidth="1"/>
    <col min="6606" max="6606" width="17.33203125" style="1393" customWidth="1"/>
    <col min="6607" max="6607" width="18.88671875" style="1393" customWidth="1"/>
    <col min="6608" max="6608" width="14.109375" style="1393" customWidth="1"/>
    <col min="6609" max="6609" width="21.5546875" style="1393" customWidth="1"/>
    <col min="6610" max="6611" width="14.109375" style="1393" customWidth="1"/>
    <col min="6612" max="6612" width="15" style="1393" customWidth="1"/>
    <col min="6613" max="6613" width="13.33203125" style="1393" customWidth="1"/>
    <col min="6614" max="6614" width="17" style="1393" customWidth="1"/>
    <col min="6615" max="6615" width="24.88671875" style="1393" customWidth="1"/>
    <col min="6616" max="6616" width="14.44140625" style="1393" customWidth="1"/>
    <col min="6617" max="6617" width="23.109375" style="1393" customWidth="1"/>
    <col min="6618" max="6618" width="13.109375" style="1393" customWidth="1"/>
    <col min="6619" max="6622" width="0" style="1393" hidden="1" customWidth="1"/>
    <col min="6623" max="6858" width="10.33203125" style="1393"/>
    <col min="6859" max="6859" width="7" style="1393" customWidth="1"/>
    <col min="6860" max="6860" width="13" style="1393" customWidth="1"/>
    <col min="6861" max="6861" width="14.109375" style="1393" customWidth="1"/>
    <col min="6862" max="6862" width="17.33203125" style="1393" customWidth="1"/>
    <col min="6863" max="6863" width="18.88671875" style="1393" customWidth="1"/>
    <col min="6864" max="6864" width="14.109375" style="1393" customWidth="1"/>
    <col min="6865" max="6865" width="21.5546875" style="1393" customWidth="1"/>
    <col min="6866" max="6867" width="14.109375" style="1393" customWidth="1"/>
    <col min="6868" max="6868" width="15" style="1393" customWidth="1"/>
    <col min="6869" max="6869" width="13.33203125" style="1393" customWidth="1"/>
    <col min="6870" max="6870" width="17" style="1393" customWidth="1"/>
    <col min="6871" max="6871" width="24.88671875" style="1393" customWidth="1"/>
    <col min="6872" max="6872" width="14.44140625" style="1393" customWidth="1"/>
    <col min="6873" max="6873" width="23.109375" style="1393" customWidth="1"/>
    <col min="6874" max="6874" width="13.109375" style="1393" customWidth="1"/>
    <col min="6875" max="6878" width="0" style="1393" hidden="1" customWidth="1"/>
    <col min="6879" max="7114" width="10.33203125" style="1393"/>
    <col min="7115" max="7115" width="7" style="1393" customWidth="1"/>
    <col min="7116" max="7116" width="13" style="1393" customWidth="1"/>
    <col min="7117" max="7117" width="14.109375" style="1393" customWidth="1"/>
    <col min="7118" max="7118" width="17.33203125" style="1393" customWidth="1"/>
    <col min="7119" max="7119" width="18.88671875" style="1393" customWidth="1"/>
    <col min="7120" max="7120" width="14.109375" style="1393" customWidth="1"/>
    <col min="7121" max="7121" width="21.5546875" style="1393" customWidth="1"/>
    <col min="7122" max="7123" width="14.109375" style="1393" customWidth="1"/>
    <col min="7124" max="7124" width="15" style="1393" customWidth="1"/>
    <col min="7125" max="7125" width="13.33203125" style="1393" customWidth="1"/>
    <col min="7126" max="7126" width="17" style="1393" customWidth="1"/>
    <col min="7127" max="7127" width="24.88671875" style="1393" customWidth="1"/>
    <col min="7128" max="7128" width="14.44140625" style="1393" customWidth="1"/>
    <col min="7129" max="7129" width="23.109375" style="1393" customWidth="1"/>
    <col min="7130" max="7130" width="13.109375" style="1393" customWidth="1"/>
    <col min="7131" max="7134" width="0" style="1393" hidden="1" customWidth="1"/>
    <col min="7135" max="7370" width="10.33203125" style="1393"/>
    <col min="7371" max="7371" width="7" style="1393" customWidth="1"/>
    <col min="7372" max="7372" width="13" style="1393" customWidth="1"/>
    <col min="7373" max="7373" width="14.109375" style="1393" customWidth="1"/>
    <col min="7374" max="7374" width="17.33203125" style="1393" customWidth="1"/>
    <col min="7375" max="7375" width="18.88671875" style="1393" customWidth="1"/>
    <col min="7376" max="7376" width="14.109375" style="1393" customWidth="1"/>
    <col min="7377" max="7377" width="21.5546875" style="1393" customWidth="1"/>
    <col min="7378" max="7379" width="14.109375" style="1393" customWidth="1"/>
    <col min="7380" max="7380" width="15" style="1393" customWidth="1"/>
    <col min="7381" max="7381" width="13.33203125" style="1393" customWidth="1"/>
    <col min="7382" max="7382" width="17" style="1393" customWidth="1"/>
    <col min="7383" max="7383" width="24.88671875" style="1393" customWidth="1"/>
    <col min="7384" max="7384" width="14.44140625" style="1393" customWidth="1"/>
    <col min="7385" max="7385" width="23.109375" style="1393" customWidth="1"/>
    <col min="7386" max="7386" width="13.109375" style="1393" customWidth="1"/>
    <col min="7387" max="7390" width="0" style="1393" hidden="1" customWidth="1"/>
    <col min="7391" max="7626" width="10.33203125" style="1393"/>
    <col min="7627" max="7627" width="7" style="1393" customWidth="1"/>
    <col min="7628" max="7628" width="13" style="1393" customWidth="1"/>
    <col min="7629" max="7629" width="14.109375" style="1393" customWidth="1"/>
    <col min="7630" max="7630" width="17.33203125" style="1393" customWidth="1"/>
    <col min="7631" max="7631" width="18.88671875" style="1393" customWidth="1"/>
    <col min="7632" max="7632" width="14.109375" style="1393" customWidth="1"/>
    <col min="7633" max="7633" width="21.5546875" style="1393" customWidth="1"/>
    <col min="7634" max="7635" width="14.109375" style="1393" customWidth="1"/>
    <col min="7636" max="7636" width="15" style="1393" customWidth="1"/>
    <col min="7637" max="7637" width="13.33203125" style="1393" customWidth="1"/>
    <col min="7638" max="7638" width="17" style="1393" customWidth="1"/>
    <col min="7639" max="7639" width="24.88671875" style="1393" customWidth="1"/>
    <col min="7640" max="7640" width="14.44140625" style="1393" customWidth="1"/>
    <col min="7641" max="7641" width="23.109375" style="1393" customWidth="1"/>
    <col min="7642" max="7642" width="13.109375" style="1393" customWidth="1"/>
    <col min="7643" max="7646" width="0" style="1393" hidden="1" customWidth="1"/>
    <col min="7647" max="7882" width="10.33203125" style="1393"/>
    <col min="7883" max="7883" width="7" style="1393" customWidth="1"/>
    <col min="7884" max="7884" width="13" style="1393" customWidth="1"/>
    <col min="7885" max="7885" width="14.109375" style="1393" customWidth="1"/>
    <col min="7886" max="7886" width="17.33203125" style="1393" customWidth="1"/>
    <col min="7887" max="7887" width="18.88671875" style="1393" customWidth="1"/>
    <col min="7888" max="7888" width="14.109375" style="1393" customWidth="1"/>
    <col min="7889" max="7889" width="21.5546875" style="1393" customWidth="1"/>
    <col min="7890" max="7891" width="14.109375" style="1393" customWidth="1"/>
    <col min="7892" max="7892" width="15" style="1393" customWidth="1"/>
    <col min="7893" max="7893" width="13.33203125" style="1393" customWidth="1"/>
    <col min="7894" max="7894" width="17" style="1393" customWidth="1"/>
    <col min="7895" max="7895" width="24.88671875" style="1393" customWidth="1"/>
    <col min="7896" max="7896" width="14.44140625" style="1393" customWidth="1"/>
    <col min="7897" max="7897" width="23.109375" style="1393" customWidth="1"/>
    <col min="7898" max="7898" width="13.109375" style="1393" customWidth="1"/>
    <col min="7899" max="7902" width="0" style="1393" hidden="1" customWidth="1"/>
    <col min="7903" max="8138" width="10.33203125" style="1393"/>
    <col min="8139" max="8139" width="7" style="1393" customWidth="1"/>
    <col min="8140" max="8140" width="13" style="1393" customWidth="1"/>
    <col min="8141" max="8141" width="14.109375" style="1393" customWidth="1"/>
    <col min="8142" max="8142" width="17.33203125" style="1393" customWidth="1"/>
    <col min="8143" max="8143" width="18.88671875" style="1393" customWidth="1"/>
    <col min="8144" max="8144" width="14.109375" style="1393" customWidth="1"/>
    <col min="8145" max="8145" width="21.5546875" style="1393" customWidth="1"/>
    <col min="8146" max="8147" width="14.109375" style="1393" customWidth="1"/>
    <col min="8148" max="8148" width="15" style="1393" customWidth="1"/>
    <col min="8149" max="8149" width="13.33203125" style="1393" customWidth="1"/>
    <col min="8150" max="8150" width="17" style="1393" customWidth="1"/>
    <col min="8151" max="8151" width="24.88671875" style="1393" customWidth="1"/>
    <col min="8152" max="8152" width="14.44140625" style="1393" customWidth="1"/>
    <col min="8153" max="8153" width="23.109375" style="1393" customWidth="1"/>
    <col min="8154" max="8154" width="13.109375" style="1393" customWidth="1"/>
    <col min="8155" max="8158" width="0" style="1393" hidden="1" customWidth="1"/>
    <col min="8159" max="8394" width="10.33203125" style="1393"/>
    <col min="8395" max="8395" width="7" style="1393" customWidth="1"/>
    <col min="8396" max="8396" width="13" style="1393" customWidth="1"/>
    <col min="8397" max="8397" width="14.109375" style="1393" customWidth="1"/>
    <col min="8398" max="8398" width="17.33203125" style="1393" customWidth="1"/>
    <col min="8399" max="8399" width="18.88671875" style="1393" customWidth="1"/>
    <col min="8400" max="8400" width="14.109375" style="1393" customWidth="1"/>
    <col min="8401" max="8401" width="21.5546875" style="1393" customWidth="1"/>
    <col min="8402" max="8403" width="14.109375" style="1393" customWidth="1"/>
    <col min="8404" max="8404" width="15" style="1393" customWidth="1"/>
    <col min="8405" max="8405" width="13.33203125" style="1393" customWidth="1"/>
    <col min="8406" max="8406" width="17" style="1393" customWidth="1"/>
    <col min="8407" max="8407" width="24.88671875" style="1393" customWidth="1"/>
    <col min="8408" max="8408" width="14.44140625" style="1393" customWidth="1"/>
    <col min="8409" max="8409" width="23.109375" style="1393" customWidth="1"/>
    <col min="8410" max="8410" width="13.109375" style="1393" customWidth="1"/>
    <col min="8411" max="8414" width="0" style="1393" hidden="1" customWidth="1"/>
    <col min="8415" max="8650" width="10.33203125" style="1393"/>
    <col min="8651" max="8651" width="7" style="1393" customWidth="1"/>
    <col min="8652" max="8652" width="13" style="1393" customWidth="1"/>
    <col min="8653" max="8653" width="14.109375" style="1393" customWidth="1"/>
    <col min="8654" max="8654" width="17.33203125" style="1393" customWidth="1"/>
    <col min="8655" max="8655" width="18.88671875" style="1393" customWidth="1"/>
    <col min="8656" max="8656" width="14.109375" style="1393" customWidth="1"/>
    <col min="8657" max="8657" width="21.5546875" style="1393" customWidth="1"/>
    <col min="8658" max="8659" width="14.109375" style="1393" customWidth="1"/>
    <col min="8660" max="8660" width="15" style="1393" customWidth="1"/>
    <col min="8661" max="8661" width="13.33203125" style="1393" customWidth="1"/>
    <col min="8662" max="8662" width="17" style="1393" customWidth="1"/>
    <col min="8663" max="8663" width="24.88671875" style="1393" customWidth="1"/>
    <col min="8664" max="8664" width="14.44140625" style="1393" customWidth="1"/>
    <col min="8665" max="8665" width="23.109375" style="1393" customWidth="1"/>
    <col min="8666" max="8666" width="13.109375" style="1393" customWidth="1"/>
    <col min="8667" max="8670" width="0" style="1393" hidden="1" customWidth="1"/>
    <col min="8671" max="8906" width="10.33203125" style="1393"/>
    <col min="8907" max="8907" width="7" style="1393" customWidth="1"/>
    <col min="8908" max="8908" width="13" style="1393" customWidth="1"/>
    <col min="8909" max="8909" width="14.109375" style="1393" customWidth="1"/>
    <col min="8910" max="8910" width="17.33203125" style="1393" customWidth="1"/>
    <col min="8911" max="8911" width="18.88671875" style="1393" customWidth="1"/>
    <col min="8912" max="8912" width="14.109375" style="1393" customWidth="1"/>
    <col min="8913" max="8913" width="21.5546875" style="1393" customWidth="1"/>
    <col min="8914" max="8915" width="14.109375" style="1393" customWidth="1"/>
    <col min="8916" max="8916" width="15" style="1393" customWidth="1"/>
    <col min="8917" max="8917" width="13.33203125" style="1393" customWidth="1"/>
    <col min="8918" max="8918" width="17" style="1393" customWidth="1"/>
    <col min="8919" max="8919" width="24.88671875" style="1393" customWidth="1"/>
    <col min="8920" max="8920" width="14.44140625" style="1393" customWidth="1"/>
    <col min="8921" max="8921" width="23.109375" style="1393" customWidth="1"/>
    <col min="8922" max="8922" width="13.109375" style="1393" customWidth="1"/>
    <col min="8923" max="8926" width="0" style="1393" hidden="1" customWidth="1"/>
    <col min="8927" max="9162" width="10.33203125" style="1393"/>
    <col min="9163" max="9163" width="7" style="1393" customWidth="1"/>
    <col min="9164" max="9164" width="13" style="1393" customWidth="1"/>
    <col min="9165" max="9165" width="14.109375" style="1393" customWidth="1"/>
    <col min="9166" max="9166" width="17.33203125" style="1393" customWidth="1"/>
    <col min="9167" max="9167" width="18.88671875" style="1393" customWidth="1"/>
    <col min="9168" max="9168" width="14.109375" style="1393" customWidth="1"/>
    <col min="9169" max="9169" width="21.5546875" style="1393" customWidth="1"/>
    <col min="9170" max="9171" width="14.109375" style="1393" customWidth="1"/>
    <col min="9172" max="9172" width="15" style="1393" customWidth="1"/>
    <col min="9173" max="9173" width="13.33203125" style="1393" customWidth="1"/>
    <col min="9174" max="9174" width="17" style="1393" customWidth="1"/>
    <col min="9175" max="9175" width="24.88671875" style="1393" customWidth="1"/>
    <col min="9176" max="9176" width="14.44140625" style="1393" customWidth="1"/>
    <col min="9177" max="9177" width="23.109375" style="1393" customWidth="1"/>
    <col min="9178" max="9178" width="13.109375" style="1393" customWidth="1"/>
    <col min="9179" max="9182" width="0" style="1393" hidden="1" customWidth="1"/>
    <col min="9183" max="9418" width="10.33203125" style="1393"/>
    <col min="9419" max="9419" width="7" style="1393" customWidth="1"/>
    <col min="9420" max="9420" width="13" style="1393" customWidth="1"/>
    <col min="9421" max="9421" width="14.109375" style="1393" customWidth="1"/>
    <col min="9422" max="9422" width="17.33203125" style="1393" customWidth="1"/>
    <col min="9423" max="9423" width="18.88671875" style="1393" customWidth="1"/>
    <col min="9424" max="9424" width="14.109375" style="1393" customWidth="1"/>
    <col min="9425" max="9425" width="21.5546875" style="1393" customWidth="1"/>
    <col min="9426" max="9427" width="14.109375" style="1393" customWidth="1"/>
    <col min="9428" max="9428" width="15" style="1393" customWidth="1"/>
    <col min="9429" max="9429" width="13.33203125" style="1393" customWidth="1"/>
    <col min="9430" max="9430" width="17" style="1393" customWidth="1"/>
    <col min="9431" max="9431" width="24.88671875" style="1393" customWidth="1"/>
    <col min="9432" max="9432" width="14.44140625" style="1393" customWidth="1"/>
    <col min="9433" max="9433" width="23.109375" style="1393" customWidth="1"/>
    <col min="9434" max="9434" width="13.109375" style="1393" customWidth="1"/>
    <col min="9435" max="9438" width="0" style="1393" hidden="1" customWidth="1"/>
    <col min="9439" max="9674" width="10.33203125" style="1393"/>
    <col min="9675" max="9675" width="7" style="1393" customWidth="1"/>
    <col min="9676" max="9676" width="13" style="1393" customWidth="1"/>
    <col min="9677" max="9677" width="14.109375" style="1393" customWidth="1"/>
    <col min="9678" max="9678" width="17.33203125" style="1393" customWidth="1"/>
    <col min="9679" max="9679" width="18.88671875" style="1393" customWidth="1"/>
    <col min="9680" max="9680" width="14.109375" style="1393" customWidth="1"/>
    <col min="9681" max="9681" width="21.5546875" style="1393" customWidth="1"/>
    <col min="9682" max="9683" width="14.109375" style="1393" customWidth="1"/>
    <col min="9684" max="9684" width="15" style="1393" customWidth="1"/>
    <col min="9685" max="9685" width="13.33203125" style="1393" customWidth="1"/>
    <col min="9686" max="9686" width="17" style="1393" customWidth="1"/>
    <col min="9687" max="9687" width="24.88671875" style="1393" customWidth="1"/>
    <col min="9688" max="9688" width="14.44140625" style="1393" customWidth="1"/>
    <col min="9689" max="9689" width="23.109375" style="1393" customWidth="1"/>
    <col min="9690" max="9690" width="13.109375" style="1393" customWidth="1"/>
    <col min="9691" max="9694" width="0" style="1393" hidden="1" customWidth="1"/>
    <col min="9695" max="9930" width="10.33203125" style="1393"/>
    <col min="9931" max="9931" width="7" style="1393" customWidth="1"/>
    <col min="9932" max="9932" width="13" style="1393" customWidth="1"/>
    <col min="9933" max="9933" width="14.109375" style="1393" customWidth="1"/>
    <col min="9934" max="9934" width="17.33203125" style="1393" customWidth="1"/>
    <col min="9935" max="9935" width="18.88671875" style="1393" customWidth="1"/>
    <col min="9936" max="9936" width="14.109375" style="1393" customWidth="1"/>
    <col min="9937" max="9937" width="21.5546875" style="1393" customWidth="1"/>
    <col min="9938" max="9939" width="14.109375" style="1393" customWidth="1"/>
    <col min="9940" max="9940" width="15" style="1393" customWidth="1"/>
    <col min="9941" max="9941" width="13.33203125" style="1393" customWidth="1"/>
    <col min="9942" max="9942" width="17" style="1393" customWidth="1"/>
    <col min="9943" max="9943" width="24.88671875" style="1393" customWidth="1"/>
    <col min="9944" max="9944" width="14.44140625" style="1393" customWidth="1"/>
    <col min="9945" max="9945" width="23.109375" style="1393" customWidth="1"/>
    <col min="9946" max="9946" width="13.109375" style="1393" customWidth="1"/>
    <col min="9947" max="9950" width="0" style="1393" hidden="1" customWidth="1"/>
    <col min="9951" max="10186" width="10.33203125" style="1393"/>
    <col min="10187" max="10187" width="7" style="1393" customWidth="1"/>
    <col min="10188" max="10188" width="13" style="1393" customWidth="1"/>
    <col min="10189" max="10189" width="14.109375" style="1393" customWidth="1"/>
    <col min="10190" max="10190" width="17.33203125" style="1393" customWidth="1"/>
    <col min="10191" max="10191" width="18.88671875" style="1393" customWidth="1"/>
    <col min="10192" max="10192" width="14.109375" style="1393" customWidth="1"/>
    <col min="10193" max="10193" width="21.5546875" style="1393" customWidth="1"/>
    <col min="10194" max="10195" width="14.109375" style="1393" customWidth="1"/>
    <col min="10196" max="10196" width="15" style="1393" customWidth="1"/>
    <col min="10197" max="10197" width="13.33203125" style="1393" customWidth="1"/>
    <col min="10198" max="10198" width="17" style="1393" customWidth="1"/>
    <col min="10199" max="10199" width="24.88671875" style="1393" customWidth="1"/>
    <col min="10200" max="10200" width="14.44140625" style="1393" customWidth="1"/>
    <col min="10201" max="10201" width="23.109375" style="1393" customWidth="1"/>
    <col min="10202" max="10202" width="13.109375" style="1393" customWidth="1"/>
    <col min="10203" max="10206" width="0" style="1393" hidden="1" customWidth="1"/>
    <col min="10207" max="10442" width="10.33203125" style="1393"/>
    <col min="10443" max="10443" width="7" style="1393" customWidth="1"/>
    <col min="10444" max="10444" width="13" style="1393" customWidth="1"/>
    <col min="10445" max="10445" width="14.109375" style="1393" customWidth="1"/>
    <col min="10446" max="10446" width="17.33203125" style="1393" customWidth="1"/>
    <col min="10447" max="10447" width="18.88671875" style="1393" customWidth="1"/>
    <col min="10448" max="10448" width="14.109375" style="1393" customWidth="1"/>
    <col min="10449" max="10449" width="21.5546875" style="1393" customWidth="1"/>
    <col min="10450" max="10451" width="14.109375" style="1393" customWidth="1"/>
    <col min="10452" max="10452" width="15" style="1393" customWidth="1"/>
    <col min="10453" max="10453" width="13.33203125" style="1393" customWidth="1"/>
    <col min="10454" max="10454" width="17" style="1393" customWidth="1"/>
    <col min="10455" max="10455" width="24.88671875" style="1393" customWidth="1"/>
    <col min="10456" max="10456" width="14.44140625" style="1393" customWidth="1"/>
    <col min="10457" max="10457" width="23.109375" style="1393" customWidth="1"/>
    <col min="10458" max="10458" width="13.109375" style="1393" customWidth="1"/>
    <col min="10459" max="10462" width="0" style="1393" hidden="1" customWidth="1"/>
    <col min="10463" max="10698" width="10.33203125" style="1393"/>
    <col min="10699" max="10699" width="7" style="1393" customWidth="1"/>
    <col min="10700" max="10700" width="13" style="1393" customWidth="1"/>
    <col min="10701" max="10701" width="14.109375" style="1393" customWidth="1"/>
    <col min="10702" max="10702" width="17.33203125" style="1393" customWidth="1"/>
    <col min="10703" max="10703" width="18.88671875" style="1393" customWidth="1"/>
    <col min="10704" max="10704" width="14.109375" style="1393" customWidth="1"/>
    <col min="10705" max="10705" width="21.5546875" style="1393" customWidth="1"/>
    <col min="10706" max="10707" width="14.109375" style="1393" customWidth="1"/>
    <col min="10708" max="10708" width="15" style="1393" customWidth="1"/>
    <col min="10709" max="10709" width="13.33203125" style="1393" customWidth="1"/>
    <col min="10710" max="10710" width="17" style="1393" customWidth="1"/>
    <col min="10711" max="10711" width="24.88671875" style="1393" customWidth="1"/>
    <col min="10712" max="10712" width="14.44140625" style="1393" customWidth="1"/>
    <col min="10713" max="10713" width="23.109375" style="1393" customWidth="1"/>
    <col min="10714" max="10714" width="13.109375" style="1393" customWidth="1"/>
    <col min="10715" max="10718" width="0" style="1393" hidden="1" customWidth="1"/>
    <col min="10719" max="10954" width="10.33203125" style="1393"/>
    <col min="10955" max="10955" width="7" style="1393" customWidth="1"/>
    <col min="10956" max="10956" width="13" style="1393" customWidth="1"/>
    <col min="10957" max="10957" width="14.109375" style="1393" customWidth="1"/>
    <col min="10958" max="10958" width="17.33203125" style="1393" customWidth="1"/>
    <col min="10959" max="10959" width="18.88671875" style="1393" customWidth="1"/>
    <col min="10960" max="10960" width="14.109375" style="1393" customWidth="1"/>
    <col min="10961" max="10961" width="21.5546875" style="1393" customWidth="1"/>
    <col min="10962" max="10963" width="14.109375" style="1393" customWidth="1"/>
    <col min="10964" max="10964" width="15" style="1393" customWidth="1"/>
    <col min="10965" max="10965" width="13.33203125" style="1393" customWidth="1"/>
    <col min="10966" max="10966" width="17" style="1393" customWidth="1"/>
    <col min="10967" max="10967" width="24.88671875" style="1393" customWidth="1"/>
    <col min="10968" max="10968" width="14.44140625" style="1393" customWidth="1"/>
    <col min="10969" max="10969" width="23.109375" style="1393" customWidth="1"/>
    <col min="10970" max="10970" width="13.109375" style="1393" customWidth="1"/>
    <col min="10971" max="10974" width="0" style="1393" hidden="1" customWidth="1"/>
    <col min="10975" max="11210" width="10.33203125" style="1393"/>
    <col min="11211" max="11211" width="7" style="1393" customWidth="1"/>
    <col min="11212" max="11212" width="13" style="1393" customWidth="1"/>
    <col min="11213" max="11213" width="14.109375" style="1393" customWidth="1"/>
    <col min="11214" max="11214" width="17.33203125" style="1393" customWidth="1"/>
    <col min="11215" max="11215" width="18.88671875" style="1393" customWidth="1"/>
    <col min="11216" max="11216" width="14.109375" style="1393" customWidth="1"/>
    <col min="11217" max="11217" width="21.5546875" style="1393" customWidth="1"/>
    <col min="11218" max="11219" width="14.109375" style="1393" customWidth="1"/>
    <col min="11220" max="11220" width="15" style="1393" customWidth="1"/>
    <col min="11221" max="11221" width="13.33203125" style="1393" customWidth="1"/>
    <col min="11222" max="11222" width="17" style="1393" customWidth="1"/>
    <col min="11223" max="11223" width="24.88671875" style="1393" customWidth="1"/>
    <col min="11224" max="11224" width="14.44140625" style="1393" customWidth="1"/>
    <col min="11225" max="11225" width="23.109375" style="1393" customWidth="1"/>
    <col min="11226" max="11226" width="13.109375" style="1393" customWidth="1"/>
    <col min="11227" max="11230" width="0" style="1393" hidden="1" customWidth="1"/>
    <col min="11231" max="11466" width="10.33203125" style="1393"/>
    <col min="11467" max="11467" width="7" style="1393" customWidth="1"/>
    <col min="11468" max="11468" width="13" style="1393" customWidth="1"/>
    <col min="11469" max="11469" width="14.109375" style="1393" customWidth="1"/>
    <col min="11470" max="11470" width="17.33203125" style="1393" customWidth="1"/>
    <col min="11471" max="11471" width="18.88671875" style="1393" customWidth="1"/>
    <col min="11472" max="11472" width="14.109375" style="1393" customWidth="1"/>
    <col min="11473" max="11473" width="21.5546875" style="1393" customWidth="1"/>
    <col min="11474" max="11475" width="14.109375" style="1393" customWidth="1"/>
    <col min="11476" max="11476" width="15" style="1393" customWidth="1"/>
    <col min="11477" max="11477" width="13.33203125" style="1393" customWidth="1"/>
    <col min="11478" max="11478" width="17" style="1393" customWidth="1"/>
    <col min="11479" max="11479" width="24.88671875" style="1393" customWidth="1"/>
    <col min="11480" max="11480" width="14.44140625" style="1393" customWidth="1"/>
    <col min="11481" max="11481" width="23.109375" style="1393" customWidth="1"/>
    <col min="11482" max="11482" width="13.109375" style="1393" customWidth="1"/>
    <col min="11483" max="11486" width="0" style="1393" hidden="1" customWidth="1"/>
    <col min="11487" max="11722" width="10.33203125" style="1393"/>
    <col min="11723" max="11723" width="7" style="1393" customWidth="1"/>
    <col min="11724" max="11724" width="13" style="1393" customWidth="1"/>
    <col min="11725" max="11725" width="14.109375" style="1393" customWidth="1"/>
    <col min="11726" max="11726" width="17.33203125" style="1393" customWidth="1"/>
    <col min="11727" max="11727" width="18.88671875" style="1393" customWidth="1"/>
    <col min="11728" max="11728" width="14.109375" style="1393" customWidth="1"/>
    <col min="11729" max="11729" width="21.5546875" style="1393" customWidth="1"/>
    <col min="11730" max="11731" width="14.109375" style="1393" customWidth="1"/>
    <col min="11732" max="11732" width="15" style="1393" customWidth="1"/>
    <col min="11733" max="11733" width="13.33203125" style="1393" customWidth="1"/>
    <col min="11734" max="11734" width="17" style="1393" customWidth="1"/>
    <col min="11735" max="11735" width="24.88671875" style="1393" customWidth="1"/>
    <col min="11736" max="11736" width="14.44140625" style="1393" customWidth="1"/>
    <col min="11737" max="11737" width="23.109375" style="1393" customWidth="1"/>
    <col min="11738" max="11738" width="13.109375" style="1393" customWidth="1"/>
    <col min="11739" max="11742" width="0" style="1393" hidden="1" customWidth="1"/>
    <col min="11743" max="11978" width="10.33203125" style="1393"/>
    <col min="11979" max="11979" width="7" style="1393" customWidth="1"/>
    <col min="11980" max="11980" width="13" style="1393" customWidth="1"/>
    <col min="11981" max="11981" width="14.109375" style="1393" customWidth="1"/>
    <col min="11982" max="11982" width="17.33203125" style="1393" customWidth="1"/>
    <col min="11983" max="11983" width="18.88671875" style="1393" customWidth="1"/>
    <col min="11984" max="11984" width="14.109375" style="1393" customWidth="1"/>
    <col min="11985" max="11985" width="21.5546875" style="1393" customWidth="1"/>
    <col min="11986" max="11987" width="14.109375" style="1393" customWidth="1"/>
    <col min="11988" max="11988" width="15" style="1393" customWidth="1"/>
    <col min="11989" max="11989" width="13.33203125" style="1393" customWidth="1"/>
    <col min="11990" max="11990" width="17" style="1393" customWidth="1"/>
    <col min="11991" max="11991" width="24.88671875" style="1393" customWidth="1"/>
    <col min="11992" max="11992" width="14.44140625" style="1393" customWidth="1"/>
    <col min="11993" max="11993" width="23.109375" style="1393" customWidth="1"/>
    <col min="11994" max="11994" width="13.109375" style="1393" customWidth="1"/>
    <col min="11995" max="11998" width="0" style="1393" hidden="1" customWidth="1"/>
    <col min="11999" max="12234" width="10.33203125" style="1393"/>
    <col min="12235" max="12235" width="7" style="1393" customWidth="1"/>
    <col min="12236" max="12236" width="13" style="1393" customWidth="1"/>
    <col min="12237" max="12237" width="14.109375" style="1393" customWidth="1"/>
    <col min="12238" max="12238" width="17.33203125" style="1393" customWidth="1"/>
    <col min="12239" max="12239" width="18.88671875" style="1393" customWidth="1"/>
    <col min="12240" max="12240" width="14.109375" style="1393" customWidth="1"/>
    <col min="12241" max="12241" width="21.5546875" style="1393" customWidth="1"/>
    <col min="12242" max="12243" width="14.109375" style="1393" customWidth="1"/>
    <col min="12244" max="12244" width="15" style="1393" customWidth="1"/>
    <col min="12245" max="12245" width="13.33203125" style="1393" customWidth="1"/>
    <col min="12246" max="12246" width="17" style="1393" customWidth="1"/>
    <col min="12247" max="12247" width="24.88671875" style="1393" customWidth="1"/>
    <col min="12248" max="12248" width="14.44140625" style="1393" customWidth="1"/>
    <col min="12249" max="12249" width="23.109375" style="1393" customWidth="1"/>
    <col min="12250" max="12250" width="13.109375" style="1393" customWidth="1"/>
    <col min="12251" max="12254" width="0" style="1393" hidden="1" customWidth="1"/>
    <col min="12255" max="12490" width="10.33203125" style="1393"/>
    <col min="12491" max="12491" width="7" style="1393" customWidth="1"/>
    <col min="12492" max="12492" width="13" style="1393" customWidth="1"/>
    <col min="12493" max="12493" width="14.109375" style="1393" customWidth="1"/>
    <col min="12494" max="12494" width="17.33203125" style="1393" customWidth="1"/>
    <col min="12495" max="12495" width="18.88671875" style="1393" customWidth="1"/>
    <col min="12496" max="12496" width="14.109375" style="1393" customWidth="1"/>
    <col min="12497" max="12497" width="21.5546875" style="1393" customWidth="1"/>
    <col min="12498" max="12499" width="14.109375" style="1393" customWidth="1"/>
    <col min="12500" max="12500" width="15" style="1393" customWidth="1"/>
    <col min="12501" max="12501" width="13.33203125" style="1393" customWidth="1"/>
    <col min="12502" max="12502" width="17" style="1393" customWidth="1"/>
    <col min="12503" max="12503" width="24.88671875" style="1393" customWidth="1"/>
    <col min="12504" max="12504" width="14.44140625" style="1393" customWidth="1"/>
    <col min="12505" max="12505" width="23.109375" style="1393" customWidth="1"/>
    <col min="12506" max="12506" width="13.109375" style="1393" customWidth="1"/>
    <col min="12507" max="12510" width="0" style="1393" hidden="1" customWidth="1"/>
    <col min="12511" max="12746" width="10.33203125" style="1393"/>
    <col min="12747" max="12747" width="7" style="1393" customWidth="1"/>
    <col min="12748" max="12748" width="13" style="1393" customWidth="1"/>
    <col min="12749" max="12749" width="14.109375" style="1393" customWidth="1"/>
    <col min="12750" max="12750" width="17.33203125" style="1393" customWidth="1"/>
    <col min="12751" max="12751" width="18.88671875" style="1393" customWidth="1"/>
    <col min="12752" max="12752" width="14.109375" style="1393" customWidth="1"/>
    <col min="12753" max="12753" width="21.5546875" style="1393" customWidth="1"/>
    <col min="12754" max="12755" width="14.109375" style="1393" customWidth="1"/>
    <col min="12756" max="12756" width="15" style="1393" customWidth="1"/>
    <col min="12757" max="12757" width="13.33203125" style="1393" customWidth="1"/>
    <col min="12758" max="12758" width="17" style="1393" customWidth="1"/>
    <col min="12759" max="12759" width="24.88671875" style="1393" customWidth="1"/>
    <col min="12760" max="12760" width="14.44140625" style="1393" customWidth="1"/>
    <col min="12761" max="12761" width="23.109375" style="1393" customWidth="1"/>
    <col min="12762" max="12762" width="13.109375" style="1393" customWidth="1"/>
    <col min="12763" max="12766" width="0" style="1393" hidden="1" customWidth="1"/>
    <col min="12767" max="13002" width="10.33203125" style="1393"/>
    <col min="13003" max="13003" width="7" style="1393" customWidth="1"/>
    <col min="13004" max="13004" width="13" style="1393" customWidth="1"/>
    <col min="13005" max="13005" width="14.109375" style="1393" customWidth="1"/>
    <col min="13006" max="13006" width="17.33203125" style="1393" customWidth="1"/>
    <col min="13007" max="13007" width="18.88671875" style="1393" customWidth="1"/>
    <col min="13008" max="13008" width="14.109375" style="1393" customWidth="1"/>
    <col min="13009" max="13009" width="21.5546875" style="1393" customWidth="1"/>
    <col min="13010" max="13011" width="14.109375" style="1393" customWidth="1"/>
    <col min="13012" max="13012" width="15" style="1393" customWidth="1"/>
    <col min="13013" max="13013" width="13.33203125" style="1393" customWidth="1"/>
    <col min="13014" max="13014" width="17" style="1393" customWidth="1"/>
    <col min="13015" max="13015" width="24.88671875" style="1393" customWidth="1"/>
    <col min="13016" max="13016" width="14.44140625" style="1393" customWidth="1"/>
    <col min="13017" max="13017" width="23.109375" style="1393" customWidth="1"/>
    <col min="13018" max="13018" width="13.109375" style="1393" customWidth="1"/>
    <col min="13019" max="13022" width="0" style="1393" hidden="1" customWidth="1"/>
    <col min="13023" max="13258" width="10.33203125" style="1393"/>
    <col min="13259" max="13259" width="7" style="1393" customWidth="1"/>
    <col min="13260" max="13260" width="13" style="1393" customWidth="1"/>
    <col min="13261" max="13261" width="14.109375" style="1393" customWidth="1"/>
    <col min="13262" max="13262" width="17.33203125" style="1393" customWidth="1"/>
    <col min="13263" max="13263" width="18.88671875" style="1393" customWidth="1"/>
    <col min="13264" max="13264" width="14.109375" style="1393" customWidth="1"/>
    <col min="13265" max="13265" width="21.5546875" style="1393" customWidth="1"/>
    <col min="13266" max="13267" width="14.109375" style="1393" customWidth="1"/>
    <col min="13268" max="13268" width="15" style="1393" customWidth="1"/>
    <col min="13269" max="13269" width="13.33203125" style="1393" customWidth="1"/>
    <col min="13270" max="13270" width="17" style="1393" customWidth="1"/>
    <col min="13271" max="13271" width="24.88671875" style="1393" customWidth="1"/>
    <col min="13272" max="13272" width="14.44140625" style="1393" customWidth="1"/>
    <col min="13273" max="13273" width="23.109375" style="1393" customWidth="1"/>
    <col min="13274" max="13274" width="13.109375" style="1393" customWidth="1"/>
    <col min="13275" max="13278" width="0" style="1393" hidden="1" customWidth="1"/>
    <col min="13279" max="13514" width="10.33203125" style="1393"/>
    <col min="13515" max="13515" width="7" style="1393" customWidth="1"/>
    <col min="13516" max="13516" width="13" style="1393" customWidth="1"/>
    <col min="13517" max="13517" width="14.109375" style="1393" customWidth="1"/>
    <col min="13518" max="13518" width="17.33203125" style="1393" customWidth="1"/>
    <col min="13519" max="13519" width="18.88671875" style="1393" customWidth="1"/>
    <col min="13520" max="13520" width="14.109375" style="1393" customWidth="1"/>
    <col min="13521" max="13521" width="21.5546875" style="1393" customWidth="1"/>
    <col min="13522" max="13523" width="14.109375" style="1393" customWidth="1"/>
    <col min="13524" max="13524" width="15" style="1393" customWidth="1"/>
    <col min="13525" max="13525" width="13.33203125" style="1393" customWidth="1"/>
    <col min="13526" max="13526" width="17" style="1393" customWidth="1"/>
    <col min="13527" max="13527" width="24.88671875" style="1393" customWidth="1"/>
    <col min="13528" max="13528" width="14.44140625" style="1393" customWidth="1"/>
    <col min="13529" max="13529" width="23.109375" style="1393" customWidth="1"/>
    <col min="13530" max="13530" width="13.109375" style="1393" customWidth="1"/>
    <col min="13531" max="13534" width="0" style="1393" hidden="1" customWidth="1"/>
    <col min="13535" max="13770" width="10.33203125" style="1393"/>
    <col min="13771" max="13771" width="7" style="1393" customWidth="1"/>
    <col min="13772" max="13772" width="13" style="1393" customWidth="1"/>
    <col min="13773" max="13773" width="14.109375" style="1393" customWidth="1"/>
    <col min="13774" max="13774" width="17.33203125" style="1393" customWidth="1"/>
    <col min="13775" max="13775" width="18.88671875" style="1393" customWidth="1"/>
    <col min="13776" max="13776" width="14.109375" style="1393" customWidth="1"/>
    <col min="13777" max="13777" width="21.5546875" style="1393" customWidth="1"/>
    <col min="13778" max="13779" width="14.109375" style="1393" customWidth="1"/>
    <col min="13780" max="13780" width="15" style="1393" customWidth="1"/>
    <col min="13781" max="13781" width="13.33203125" style="1393" customWidth="1"/>
    <col min="13782" max="13782" width="17" style="1393" customWidth="1"/>
    <col min="13783" max="13783" width="24.88671875" style="1393" customWidth="1"/>
    <col min="13784" max="13784" width="14.44140625" style="1393" customWidth="1"/>
    <col min="13785" max="13785" width="23.109375" style="1393" customWidth="1"/>
    <col min="13786" max="13786" width="13.109375" style="1393" customWidth="1"/>
    <col min="13787" max="13790" width="0" style="1393" hidden="1" customWidth="1"/>
    <col min="13791" max="14026" width="10.33203125" style="1393"/>
    <col min="14027" max="14027" width="7" style="1393" customWidth="1"/>
    <col min="14028" max="14028" width="13" style="1393" customWidth="1"/>
    <col min="14029" max="14029" width="14.109375" style="1393" customWidth="1"/>
    <col min="14030" max="14030" width="17.33203125" style="1393" customWidth="1"/>
    <col min="14031" max="14031" width="18.88671875" style="1393" customWidth="1"/>
    <col min="14032" max="14032" width="14.109375" style="1393" customWidth="1"/>
    <col min="14033" max="14033" width="21.5546875" style="1393" customWidth="1"/>
    <col min="14034" max="14035" width="14.109375" style="1393" customWidth="1"/>
    <col min="14036" max="14036" width="15" style="1393" customWidth="1"/>
    <col min="14037" max="14037" width="13.33203125" style="1393" customWidth="1"/>
    <col min="14038" max="14038" width="17" style="1393" customWidth="1"/>
    <col min="14039" max="14039" width="24.88671875" style="1393" customWidth="1"/>
    <col min="14040" max="14040" width="14.44140625" style="1393" customWidth="1"/>
    <col min="14041" max="14041" width="23.109375" style="1393" customWidth="1"/>
    <col min="14042" max="14042" width="13.109375" style="1393" customWidth="1"/>
    <col min="14043" max="14046" width="0" style="1393" hidden="1" customWidth="1"/>
    <col min="14047" max="14282" width="10.33203125" style="1393"/>
    <col min="14283" max="14283" width="7" style="1393" customWidth="1"/>
    <col min="14284" max="14284" width="13" style="1393" customWidth="1"/>
    <col min="14285" max="14285" width="14.109375" style="1393" customWidth="1"/>
    <col min="14286" max="14286" width="17.33203125" style="1393" customWidth="1"/>
    <col min="14287" max="14287" width="18.88671875" style="1393" customWidth="1"/>
    <col min="14288" max="14288" width="14.109375" style="1393" customWidth="1"/>
    <col min="14289" max="14289" width="21.5546875" style="1393" customWidth="1"/>
    <col min="14290" max="14291" width="14.109375" style="1393" customWidth="1"/>
    <col min="14292" max="14292" width="15" style="1393" customWidth="1"/>
    <col min="14293" max="14293" width="13.33203125" style="1393" customWidth="1"/>
    <col min="14294" max="14294" width="17" style="1393" customWidth="1"/>
    <col min="14295" max="14295" width="24.88671875" style="1393" customWidth="1"/>
    <col min="14296" max="14296" width="14.44140625" style="1393" customWidth="1"/>
    <col min="14297" max="14297" width="23.109375" style="1393" customWidth="1"/>
    <col min="14298" max="14298" width="13.109375" style="1393" customWidth="1"/>
    <col min="14299" max="14302" width="0" style="1393" hidden="1" customWidth="1"/>
    <col min="14303" max="14538" width="10.33203125" style="1393"/>
    <col min="14539" max="14539" width="7" style="1393" customWidth="1"/>
    <col min="14540" max="14540" width="13" style="1393" customWidth="1"/>
    <col min="14541" max="14541" width="14.109375" style="1393" customWidth="1"/>
    <col min="14542" max="14542" width="17.33203125" style="1393" customWidth="1"/>
    <col min="14543" max="14543" width="18.88671875" style="1393" customWidth="1"/>
    <col min="14544" max="14544" width="14.109375" style="1393" customWidth="1"/>
    <col min="14545" max="14545" width="21.5546875" style="1393" customWidth="1"/>
    <col min="14546" max="14547" width="14.109375" style="1393" customWidth="1"/>
    <col min="14548" max="14548" width="15" style="1393" customWidth="1"/>
    <col min="14549" max="14549" width="13.33203125" style="1393" customWidth="1"/>
    <col min="14550" max="14550" width="17" style="1393" customWidth="1"/>
    <col min="14551" max="14551" width="24.88671875" style="1393" customWidth="1"/>
    <col min="14552" max="14552" width="14.44140625" style="1393" customWidth="1"/>
    <col min="14553" max="14553" width="23.109375" style="1393" customWidth="1"/>
    <col min="14554" max="14554" width="13.109375" style="1393" customWidth="1"/>
    <col min="14555" max="14558" width="0" style="1393" hidden="1" customWidth="1"/>
    <col min="14559" max="14794" width="10.33203125" style="1393"/>
    <col min="14795" max="14795" width="7" style="1393" customWidth="1"/>
    <col min="14796" max="14796" width="13" style="1393" customWidth="1"/>
    <col min="14797" max="14797" width="14.109375" style="1393" customWidth="1"/>
    <col min="14798" max="14798" width="17.33203125" style="1393" customWidth="1"/>
    <col min="14799" max="14799" width="18.88671875" style="1393" customWidth="1"/>
    <col min="14800" max="14800" width="14.109375" style="1393" customWidth="1"/>
    <col min="14801" max="14801" width="21.5546875" style="1393" customWidth="1"/>
    <col min="14802" max="14803" width="14.109375" style="1393" customWidth="1"/>
    <col min="14804" max="14804" width="15" style="1393" customWidth="1"/>
    <col min="14805" max="14805" width="13.33203125" style="1393" customWidth="1"/>
    <col min="14806" max="14806" width="17" style="1393" customWidth="1"/>
    <col min="14807" max="14807" width="24.88671875" style="1393" customWidth="1"/>
    <col min="14808" max="14808" width="14.44140625" style="1393" customWidth="1"/>
    <col min="14809" max="14809" width="23.109375" style="1393" customWidth="1"/>
    <col min="14810" max="14810" width="13.109375" style="1393" customWidth="1"/>
    <col min="14811" max="14814" width="0" style="1393" hidden="1" customWidth="1"/>
    <col min="14815" max="15050" width="10.33203125" style="1393"/>
    <col min="15051" max="15051" width="7" style="1393" customWidth="1"/>
    <col min="15052" max="15052" width="13" style="1393" customWidth="1"/>
    <col min="15053" max="15053" width="14.109375" style="1393" customWidth="1"/>
    <col min="15054" max="15054" width="17.33203125" style="1393" customWidth="1"/>
    <col min="15055" max="15055" width="18.88671875" style="1393" customWidth="1"/>
    <col min="15056" max="15056" width="14.109375" style="1393" customWidth="1"/>
    <col min="15057" max="15057" width="21.5546875" style="1393" customWidth="1"/>
    <col min="15058" max="15059" width="14.109375" style="1393" customWidth="1"/>
    <col min="15060" max="15060" width="15" style="1393" customWidth="1"/>
    <col min="15061" max="15061" width="13.33203125" style="1393" customWidth="1"/>
    <col min="15062" max="15062" width="17" style="1393" customWidth="1"/>
    <col min="15063" max="15063" width="24.88671875" style="1393" customWidth="1"/>
    <col min="15064" max="15064" width="14.44140625" style="1393" customWidth="1"/>
    <col min="15065" max="15065" width="23.109375" style="1393" customWidth="1"/>
    <col min="15066" max="15066" width="13.109375" style="1393" customWidth="1"/>
    <col min="15067" max="15070" width="0" style="1393" hidden="1" customWidth="1"/>
    <col min="15071" max="15306" width="10.33203125" style="1393"/>
    <col min="15307" max="15307" width="7" style="1393" customWidth="1"/>
    <col min="15308" max="15308" width="13" style="1393" customWidth="1"/>
    <col min="15309" max="15309" width="14.109375" style="1393" customWidth="1"/>
    <col min="15310" max="15310" width="17.33203125" style="1393" customWidth="1"/>
    <col min="15311" max="15311" width="18.88671875" style="1393" customWidth="1"/>
    <col min="15312" max="15312" width="14.109375" style="1393" customWidth="1"/>
    <col min="15313" max="15313" width="21.5546875" style="1393" customWidth="1"/>
    <col min="15314" max="15315" width="14.109375" style="1393" customWidth="1"/>
    <col min="15316" max="15316" width="15" style="1393" customWidth="1"/>
    <col min="15317" max="15317" width="13.33203125" style="1393" customWidth="1"/>
    <col min="15318" max="15318" width="17" style="1393" customWidth="1"/>
    <col min="15319" max="15319" width="24.88671875" style="1393" customWidth="1"/>
    <col min="15320" max="15320" width="14.44140625" style="1393" customWidth="1"/>
    <col min="15321" max="15321" width="23.109375" style="1393" customWidth="1"/>
    <col min="15322" max="15322" width="13.109375" style="1393" customWidth="1"/>
    <col min="15323" max="15326" width="0" style="1393" hidden="1" customWidth="1"/>
    <col min="15327" max="15562" width="10.33203125" style="1393"/>
    <col min="15563" max="15563" width="7" style="1393" customWidth="1"/>
    <col min="15564" max="15564" width="13" style="1393" customWidth="1"/>
    <col min="15565" max="15565" width="14.109375" style="1393" customWidth="1"/>
    <col min="15566" max="15566" width="17.33203125" style="1393" customWidth="1"/>
    <col min="15567" max="15567" width="18.88671875" style="1393" customWidth="1"/>
    <col min="15568" max="15568" width="14.109375" style="1393" customWidth="1"/>
    <col min="15569" max="15569" width="21.5546875" style="1393" customWidth="1"/>
    <col min="15570" max="15571" width="14.109375" style="1393" customWidth="1"/>
    <col min="15572" max="15572" width="15" style="1393" customWidth="1"/>
    <col min="15573" max="15573" width="13.33203125" style="1393" customWidth="1"/>
    <col min="15574" max="15574" width="17" style="1393" customWidth="1"/>
    <col min="15575" max="15575" width="24.88671875" style="1393" customWidth="1"/>
    <col min="15576" max="15576" width="14.44140625" style="1393" customWidth="1"/>
    <col min="15577" max="15577" width="23.109375" style="1393" customWidth="1"/>
    <col min="15578" max="15578" width="13.109375" style="1393" customWidth="1"/>
    <col min="15579" max="15582" width="0" style="1393" hidden="1" customWidth="1"/>
    <col min="15583" max="15818" width="10.33203125" style="1393"/>
    <col min="15819" max="15819" width="7" style="1393" customWidth="1"/>
    <col min="15820" max="15820" width="13" style="1393" customWidth="1"/>
    <col min="15821" max="15821" width="14.109375" style="1393" customWidth="1"/>
    <col min="15822" max="15822" width="17.33203125" style="1393" customWidth="1"/>
    <col min="15823" max="15823" width="18.88671875" style="1393" customWidth="1"/>
    <col min="15824" max="15824" width="14.109375" style="1393" customWidth="1"/>
    <col min="15825" max="15825" width="21.5546875" style="1393" customWidth="1"/>
    <col min="15826" max="15827" width="14.109375" style="1393" customWidth="1"/>
    <col min="15828" max="15828" width="15" style="1393" customWidth="1"/>
    <col min="15829" max="15829" width="13.33203125" style="1393" customWidth="1"/>
    <col min="15830" max="15830" width="17" style="1393" customWidth="1"/>
    <col min="15831" max="15831" width="24.88671875" style="1393" customWidth="1"/>
    <col min="15832" max="15832" width="14.44140625" style="1393" customWidth="1"/>
    <col min="15833" max="15833" width="23.109375" style="1393" customWidth="1"/>
    <col min="15834" max="15834" width="13.109375" style="1393" customWidth="1"/>
    <col min="15835" max="15838" width="0" style="1393" hidden="1" customWidth="1"/>
    <col min="15839" max="16074" width="10.33203125" style="1393"/>
    <col min="16075" max="16075" width="7" style="1393" customWidth="1"/>
    <col min="16076" max="16076" width="13" style="1393" customWidth="1"/>
    <col min="16077" max="16077" width="14.109375" style="1393" customWidth="1"/>
    <col min="16078" max="16078" width="17.33203125" style="1393" customWidth="1"/>
    <col min="16079" max="16079" width="18.88671875" style="1393" customWidth="1"/>
    <col min="16080" max="16080" width="14.109375" style="1393" customWidth="1"/>
    <col min="16081" max="16081" width="21.5546875" style="1393" customWidth="1"/>
    <col min="16082" max="16083" width="14.109375" style="1393" customWidth="1"/>
    <col min="16084" max="16084" width="15" style="1393" customWidth="1"/>
    <col min="16085" max="16085" width="13.33203125" style="1393" customWidth="1"/>
    <col min="16086" max="16086" width="17" style="1393" customWidth="1"/>
    <col min="16087" max="16087" width="24.88671875" style="1393" customWidth="1"/>
    <col min="16088" max="16088" width="14.44140625" style="1393" customWidth="1"/>
    <col min="16089" max="16089" width="23.109375" style="1393" customWidth="1"/>
    <col min="16090" max="16090" width="13.109375" style="1393" customWidth="1"/>
    <col min="16091" max="16094" width="0" style="1393" hidden="1" customWidth="1"/>
    <col min="16095" max="16384" width="10.33203125" style="1393"/>
  </cols>
  <sheetData>
    <row r="1" spans="1:40" ht="15" customHeight="1">
      <c r="B1" s="3630"/>
      <c r="W1" s="2761"/>
      <c r="X1" s="2762"/>
      <c r="Y1" s="2762"/>
      <c r="Z1" s="2762"/>
      <c r="AA1" s="2762"/>
      <c r="AB1" s="2762"/>
      <c r="AC1" s="2762"/>
      <c r="AD1" s="2761"/>
      <c r="AE1" s="2761"/>
      <c r="AF1" s="2761"/>
      <c r="AG1" s="2761"/>
      <c r="AH1" s="2763"/>
      <c r="AI1" s="2761"/>
      <c r="AJ1" s="2761"/>
      <c r="AK1" s="2764"/>
    </row>
    <row r="2" spans="1:40" s="1874" customFormat="1" ht="20.25" customHeight="1">
      <c r="A2" s="3708" t="s">
        <v>6125</v>
      </c>
      <c r="B2" s="3709"/>
      <c r="C2" s="3709"/>
      <c r="D2" s="3709"/>
      <c r="E2" s="3709"/>
      <c r="F2" s="3709"/>
      <c r="G2" s="3709"/>
      <c r="H2" s="3709"/>
      <c r="I2" s="3709"/>
      <c r="J2" s="3709"/>
      <c r="K2" s="3709"/>
      <c r="L2" s="3709"/>
      <c r="M2" s="3709"/>
      <c r="N2" s="3709"/>
      <c r="O2" s="3709"/>
      <c r="P2" s="3709"/>
      <c r="Q2" s="3709"/>
      <c r="R2" s="2759"/>
      <c r="S2" s="1873"/>
      <c r="T2" s="1873"/>
      <c r="U2" s="2759"/>
      <c r="V2" s="1873"/>
      <c r="W2" s="1873"/>
      <c r="X2" s="1873"/>
      <c r="Y2" s="1873"/>
      <c r="Z2" s="1873"/>
      <c r="AA2" s="1873"/>
      <c r="AB2" s="1873"/>
      <c r="AC2" s="1873"/>
      <c r="AD2" s="1873"/>
      <c r="AE2" s="1873"/>
      <c r="AF2" s="1873"/>
      <c r="AG2" s="1873"/>
      <c r="AH2" s="1873"/>
      <c r="AI2" s="1873"/>
      <c r="AJ2" s="1873"/>
      <c r="AK2" s="1873"/>
    </row>
    <row r="3" spans="1:40">
      <c r="B3" s="3631"/>
      <c r="C3" s="654" t="s">
        <v>6126</v>
      </c>
      <c r="D3" s="4063" t="s">
        <v>6861</v>
      </c>
      <c r="E3" s="4063"/>
      <c r="F3" s="4063"/>
      <c r="G3" s="4063"/>
      <c r="H3" s="4063"/>
      <c r="I3" s="4063"/>
      <c r="J3" s="4063"/>
      <c r="K3" s="4063"/>
      <c r="L3" s="4063"/>
      <c r="M3" s="3051"/>
      <c r="N3" s="1876"/>
      <c r="O3" s="1876"/>
      <c r="P3" s="1306"/>
      <c r="Q3" s="1836"/>
      <c r="R3" s="1876"/>
      <c r="AH3" s="1879"/>
      <c r="AK3" s="1882"/>
    </row>
    <row r="4" spans="1:40">
      <c r="A4" s="3135"/>
      <c r="B4" s="1473"/>
      <c r="C4" s="4155" t="s">
        <v>8230</v>
      </c>
      <c r="D4" s="4155"/>
      <c r="E4" s="4155"/>
      <c r="F4" s="4155"/>
      <c r="G4" s="3136"/>
      <c r="H4" s="3136"/>
      <c r="I4" s="3136"/>
      <c r="J4" s="3136"/>
      <c r="K4" s="3136"/>
      <c r="L4" s="3136"/>
      <c r="M4" s="3136"/>
      <c r="N4" s="1876"/>
      <c r="O4" s="1876"/>
      <c r="P4" s="1306"/>
      <c r="Q4" s="1876"/>
      <c r="R4" s="1876"/>
      <c r="S4" s="3137"/>
      <c r="T4" s="3137"/>
      <c r="U4" s="3135"/>
      <c r="V4" s="3137"/>
      <c r="W4" s="3138"/>
      <c r="X4" s="3139"/>
      <c r="Y4" s="3139"/>
      <c r="Z4" s="3139"/>
      <c r="AA4" s="3139"/>
      <c r="AB4" s="3139"/>
      <c r="AC4" s="3139"/>
      <c r="AD4" s="3138"/>
      <c r="AE4" s="3139"/>
      <c r="AF4" s="3139"/>
      <c r="AG4" s="3139"/>
      <c r="AH4" s="3140"/>
      <c r="AI4" s="3141"/>
      <c r="AJ4" s="3142"/>
      <c r="AK4" s="3143"/>
    </row>
    <row r="5" spans="1:40" s="1915" customFormat="1" ht="56.25" customHeight="1">
      <c r="A5" s="2768" t="s">
        <v>2</v>
      </c>
      <c r="B5" s="2768" t="s">
        <v>2705</v>
      </c>
      <c r="C5" s="2768" t="s">
        <v>3</v>
      </c>
      <c r="D5" s="2768" t="s">
        <v>4</v>
      </c>
      <c r="E5" s="2768" t="s">
        <v>5</v>
      </c>
      <c r="F5" s="2768" t="s">
        <v>4699</v>
      </c>
      <c r="G5" s="2768" t="s">
        <v>179</v>
      </c>
      <c r="H5" s="2768" t="s">
        <v>8</v>
      </c>
      <c r="I5" s="2768" t="s">
        <v>9</v>
      </c>
      <c r="J5" s="2768" t="s">
        <v>102</v>
      </c>
      <c r="K5" s="2768" t="s">
        <v>404</v>
      </c>
      <c r="L5" s="2768" t="s">
        <v>15</v>
      </c>
      <c r="M5" s="2768"/>
      <c r="N5" s="2768" t="s">
        <v>4368</v>
      </c>
      <c r="O5" s="2768" t="s">
        <v>5662</v>
      </c>
      <c r="P5" s="2768" t="s">
        <v>4380</v>
      </c>
      <c r="Q5" s="2768" t="s">
        <v>4360</v>
      </c>
      <c r="R5" s="2768" t="s">
        <v>5939</v>
      </c>
      <c r="S5" s="2768" t="s">
        <v>187</v>
      </c>
      <c r="T5" s="2768" t="s">
        <v>8097</v>
      </c>
      <c r="U5" s="2767" t="s">
        <v>1596</v>
      </c>
      <c r="V5" s="2768" t="s">
        <v>4665</v>
      </c>
      <c r="W5" s="2768" t="s">
        <v>4664</v>
      </c>
      <c r="X5" s="2769" t="s">
        <v>1291</v>
      </c>
      <c r="Y5" s="2769" t="s">
        <v>190</v>
      </c>
      <c r="Z5" s="2769" t="s">
        <v>191</v>
      </c>
      <c r="AA5" s="2769" t="s">
        <v>6624</v>
      </c>
      <c r="AB5" s="2768" t="s">
        <v>192</v>
      </c>
      <c r="AC5" s="2768" t="s">
        <v>7225</v>
      </c>
      <c r="AD5" s="2768" t="s">
        <v>1313</v>
      </c>
      <c r="AE5" s="2770" t="s">
        <v>194</v>
      </c>
      <c r="AF5" s="2770" t="s">
        <v>4652</v>
      </c>
      <c r="AG5" s="2770" t="s">
        <v>195</v>
      </c>
      <c r="AH5" s="2771" t="s">
        <v>197</v>
      </c>
      <c r="AI5" s="2768" t="s">
        <v>198</v>
      </c>
      <c r="AJ5" s="2770" t="s">
        <v>199</v>
      </c>
      <c r="AK5" s="2896" t="s">
        <v>200</v>
      </c>
      <c r="AL5" s="3200" t="s">
        <v>5718</v>
      </c>
    </row>
    <row r="6" spans="1:40" ht="15.6">
      <c r="A6" s="4097" t="s">
        <v>6100</v>
      </c>
      <c r="B6" s="4098"/>
      <c r="C6" s="4098"/>
      <c r="D6" s="4098"/>
      <c r="E6" s="4098"/>
      <c r="F6" s="4098"/>
      <c r="G6" s="4098"/>
      <c r="H6" s="4098"/>
      <c r="I6" s="4098"/>
      <c r="J6" s="4098"/>
      <c r="K6" s="4098"/>
      <c r="L6" s="4098"/>
      <c r="M6" s="4099"/>
      <c r="N6" s="2240"/>
      <c r="O6" s="2240"/>
      <c r="P6" s="2241"/>
      <c r="Q6" s="2241"/>
      <c r="R6" s="2241"/>
      <c r="S6" s="2242"/>
      <c r="T6" s="2242"/>
      <c r="U6" s="2243"/>
      <c r="V6" s="2242"/>
      <c r="W6" s="2244"/>
      <c r="X6" s="2245"/>
      <c r="Y6" s="2242"/>
      <c r="Z6" s="2242"/>
      <c r="AA6" s="2242"/>
      <c r="AB6" s="2242"/>
      <c r="AC6" s="2242"/>
      <c r="AD6" s="2244"/>
      <c r="AE6" s="2242"/>
      <c r="AF6" s="2246"/>
      <c r="AG6" s="2246"/>
      <c r="AH6" s="2247"/>
      <c r="AI6" s="2248"/>
      <c r="AJ6" s="2248"/>
      <c r="AK6" s="2935"/>
      <c r="AL6" s="2534">
        <v>450000</v>
      </c>
      <c r="AM6" s="1354"/>
      <c r="AN6" s="1350"/>
    </row>
    <row r="7" spans="1:40" ht="25.5" customHeight="1">
      <c r="A7" s="1738">
        <v>1</v>
      </c>
      <c r="B7" s="2199" t="s">
        <v>6143</v>
      </c>
      <c r="C7" s="2794" t="s">
        <v>6164</v>
      </c>
      <c r="D7" s="2199" t="s">
        <v>6124</v>
      </c>
      <c r="E7" s="2250" t="s">
        <v>6351</v>
      </c>
      <c r="F7" s="2944" t="s">
        <v>6500</v>
      </c>
      <c r="G7" s="2196" t="s">
        <v>1300</v>
      </c>
      <c r="H7" s="2197"/>
      <c r="I7" s="2203"/>
      <c r="J7" s="2203" t="s">
        <v>128</v>
      </c>
      <c r="K7" s="3064" t="s">
        <v>418</v>
      </c>
      <c r="L7" s="2203">
        <v>97822709816</v>
      </c>
      <c r="M7" s="2203"/>
      <c r="N7" s="2195" t="s">
        <v>6292</v>
      </c>
      <c r="O7" s="2203" t="s">
        <v>6127</v>
      </c>
      <c r="P7" s="2773" t="s">
        <v>6128</v>
      </c>
      <c r="Q7" s="2205"/>
      <c r="R7" s="1738" t="s">
        <v>6022</v>
      </c>
      <c r="S7" s="2199" t="s">
        <v>5026</v>
      </c>
      <c r="T7" s="2199"/>
      <c r="U7" s="2257"/>
      <c r="V7" s="2256"/>
      <c r="W7" s="2258"/>
      <c r="X7" s="2259"/>
      <c r="Y7" s="2929"/>
      <c r="Z7" s="2256"/>
      <c r="AA7" s="2256"/>
      <c r="AB7" s="2256"/>
      <c r="AC7" s="2256"/>
      <c r="AD7" s="2258"/>
      <c r="AE7" s="2256"/>
      <c r="AF7" s="2260"/>
      <c r="AG7" s="2876">
        <f>+SUM(X7:AF7)</f>
        <v>0</v>
      </c>
      <c r="AH7" s="2877"/>
      <c r="AI7" s="2374">
        <f>(650000+1800000)*1.08</f>
        <v>2646000</v>
      </c>
      <c r="AJ7" s="1703">
        <f>+AG7+AI7</f>
        <v>2646000</v>
      </c>
      <c r="AK7" s="2936"/>
      <c r="AL7" s="2210"/>
      <c r="AM7" s="1354"/>
      <c r="AN7" s="1350"/>
    </row>
    <row r="8" spans="1:40" s="1350" customFormat="1" ht="25.5" customHeight="1">
      <c r="A8" s="1738">
        <f t="shared" ref="A8:A34" si="0">+A7+1</f>
        <v>2</v>
      </c>
      <c r="B8" s="2199" t="s">
        <v>6257</v>
      </c>
      <c r="C8" s="2794" t="s">
        <v>6188</v>
      </c>
      <c r="D8" s="2199" t="s">
        <v>6189</v>
      </c>
      <c r="E8" s="2250" t="s">
        <v>6352</v>
      </c>
      <c r="F8" s="2944" t="s">
        <v>6501</v>
      </c>
      <c r="G8" s="2196" t="s">
        <v>1300</v>
      </c>
      <c r="H8" s="2197"/>
      <c r="I8" s="2203">
        <v>1</v>
      </c>
      <c r="J8" s="2203"/>
      <c r="K8" s="3064" t="s">
        <v>418</v>
      </c>
      <c r="L8" s="2203" t="s">
        <v>6129</v>
      </c>
      <c r="M8" s="2203"/>
      <c r="N8" s="2195" t="s">
        <v>6130</v>
      </c>
      <c r="O8" s="2203" t="s">
        <v>6131</v>
      </c>
      <c r="P8" s="2773" t="s">
        <v>6132</v>
      </c>
      <c r="Q8" s="2217"/>
      <c r="R8" s="1738" t="s">
        <v>6255</v>
      </c>
      <c r="S8" s="2199" t="s">
        <v>287</v>
      </c>
      <c r="T8" s="2199"/>
      <c r="U8" s="2199"/>
      <c r="V8" s="2200"/>
      <c r="W8" s="2200"/>
      <c r="X8" s="2202"/>
      <c r="Y8" s="2822">
        <v>1509000</v>
      </c>
      <c r="Z8" s="2927">
        <v>1500000</v>
      </c>
      <c r="AA8" s="2201"/>
      <c r="AB8" s="2201"/>
      <c r="AC8" s="2201"/>
      <c r="AD8" s="2916">
        <v>500000</v>
      </c>
      <c r="AE8" s="2277">
        <v>225000</v>
      </c>
      <c r="AF8" s="2201"/>
      <c r="AG8" s="1416">
        <f t="shared" ref="AG8:AG34" si="1">+SUM(X8:AF8)</f>
        <v>3734000</v>
      </c>
      <c r="AH8" s="2203"/>
      <c r="AI8" s="2374">
        <f>((850000*(H8+I8))+(H8*3650000)+(I8*3650000))*1.08</f>
        <v>4860000</v>
      </c>
      <c r="AJ8" s="1703">
        <f t="shared" ref="AJ8:AJ34" si="2">+AG8+AI8</f>
        <v>8594000</v>
      </c>
      <c r="AK8" s="2937"/>
      <c r="AL8" s="1697"/>
      <c r="AM8" s="1393"/>
    </row>
    <row r="9" spans="1:40" s="1350" customFormat="1" ht="15" customHeight="1">
      <c r="A9" s="1738">
        <f t="shared" si="0"/>
        <v>3</v>
      </c>
      <c r="B9" s="2199" t="s">
        <v>6208</v>
      </c>
      <c r="C9" s="2794" t="s">
        <v>6249</v>
      </c>
      <c r="D9" s="2199" t="s">
        <v>6248</v>
      </c>
      <c r="E9" s="2250" t="s">
        <v>6353</v>
      </c>
      <c r="F9" s="2944" t="s">
        <v>6502</v>
      </c>
      <c r="G9" s="2196" t="s">
        <v>1300</v>
      </c>
      <c r="H9" s="2197"/>
      <c r="I9" s="2203">
        <v>1</v>
      </c>
      <c r="J9" s="2203"/>
      <c r="K9" s="3064" t="s">
        <v>418</v>
      </c>
      <c r="L9" s="2203" t="s">
        <v>6133</v>
      </c>
      <c r="M9" s="2203"/>
      <c r="N9" s="2195" t="s">
        <v>6134</v>
      </c>
      <c r="O9" s="2203" t="s">
        <v>6135</v>
      </c>
      <c r="P9" s="2773">
        <v>45754</v>
      </c>
      <c r="Q9" s="2843" t="s">
        <v>6244</v>
      </c>
      <c r="R9" s="1738" t="s">
        <v>6255</v>
      </c>
      <c r="S9" s="2199" t="s">
        <v>287</v>
      </c>
      <c r="T9" s="2199"/>
      <c r="U9" s="2199"/>
      <c r="V9" s="2200"/>
      <c r="W9" s="2200"/>
      <c r="X9" s="2201"/>
      <c r="Y9" s="2822">
        <v>882000</v>
      </c>
      <c r="Z9" s="2927">
        <v>1500000</v>
      </c>
      <c r="AA9" s="2201"/>
      <c r="AB9" s="2202"/>
      <c r="AC9" s="2202"/>
      <c r="AD9" s="2916">
        <v>500000</v>
      </c>
      <c r="AE9" s="2201"/>
      <c r="AF9" s="2201"/>
      <c r="AG9" s="1416">
        <f t="shared" si="1"/>
        <v>2882000</v>
      </c>
      <c r="AH9" s="2263"/>
      <c r="AI9" s="2374">
        <f t="shared" ref="AI9:AI10" si="3">((850000*(H9+I9))+(H9*3650000)+(I9*3650000))*1.08</f>
        <v>4860000</v>
      </c>
      <c r="AJ9" s="1703">
        <f t="shared" si="2"/>
        <v>7742000</v>
      </c>
      <c r="AK9" s="2937"/>
      <c r="AL9" s="1697"/>
      <c r="AM9" s="1393"/>
    </row>
    <row r="10" spans="1:40" s="1350" customFormat="1" ht="15" customHeight="1">
      <c r="A10" s="1738">
        <f t="shared" si="0"/>
        <v>4</v>
      </c>
      <c r="B10" s="2199" t="s">
        <v>6257</v>
      </c>
      <c r="C10" s="2794" t="s">
        <v>6247</v>
      </c>
      <c r="D10" s="2199" t="s">
        <v>6248</v>
      </c>
      <c r="E10" s="2250" t="s">
        <v>6354</v>
      </c>
      <c r="F10" s="2944" t="s">
        <v>6502</v>
      </c>
      <c r="G10" s="2196" t="s">
        <v>1300</v>
      </c>
      <c r="H10" s="2197">
        <v>1</v>
      </c>
      <c r="I10" s="2203"/>
      <c r="J10" s="2203"/>
      <c r="K10" s="3064" t="s">
        <v>418</v>
      </c>
      <c r="L10" s="2203" t="s">
        <v>6186</v>
      </c>
      <c r="M10" s="2203"/>
      <c r="N10" s="2195" t="s">
        <v>6187</v>
      </c>
      <c r="O10" s="2203" t="s">
        <v>6185</v>
      </c>
      <c r="P10" s="2773">
        <v>45695</v>
      </c>
      <c r="Q10" s="2843" t="s">
        <v>6208</v>
      </c>
      <c r="R10" s="2872" t="s">
        <v>6056</v>
      </c>
      <c r="S10" s="2199" t="s">
        <v>287</v>
      </c>
      <c r="T10" s="2199"/>
      <c r="U10" s="2199"/>
      <c r="V10" s="2200"/>
      <c r="W10" s="2200"/>
      <c r="X10" s="2201"/>
      <c r="Y10" s="2822">
        <v>497000</v>
      </c>
      <c r="Z10" s="2927">
        <v>1000000</v>
      </c>
      <c r="AA10" s="2201"/>
      <c r="AB10" s="2201"/>
      <c r="AC10" s="2201"/>
      <c r="AD10" s="2916">
        <v>250000</v>
      </c>
      <c r="AE10" s="2201"/>
      <c r="AF10" s="2201"/>
      <c r="AG10" s="1416">
        <f t="shared" si="1"/>
        <v>1747000</v>
      </c>
      <c r="AH10" s="2250"/>
      <c r="AI10" s="2374">
        <f t="shared" si="3"/>
        <v>4860000</v>
      </c>
      <c r="AJ10" s="1703">
        <f t="shared" si="2"/>
        <v>6607000</v>
      </c>
      <c r="AK10" s="2937"/>
      <c r="AL10" s="1697"/>
      <c r="AM10" s="1393"/>
    </row>
    <row r="11" spans="1:40" s="1350" customFormat="1" ht="15" customHeight="1">
      <c r="A11" s="1738">
        <f t="shared" si="0"/>
        <v>5</v>
      </c>
      <c r="B11" s="2199" t="s">
        <v>6244</v>
      </c>
      <c r="C11" s="2794" t="s">
        <v>6273</v>
      </c>
      <c r="D11" s="2199" t="s">
        <v>6208</v>
      </c>
      <c r="E11" s="2250" t="s">
        <v>6355</v>
      </c>
      <c r="F11" s="2944" t="s">
        <v>6500</v>
      </c>
      <c r="G11" s="2196" t="s">
        <v>1300</v>
      </c>
      <c r="H11" s="2197"/>
      <c r="I11" s="2203"/>
      <c r="J11" s="2203" t="s">
        <v>128</v>
      </c>
      <c r="K11" s="3064" t="s">
        <v>418</v>
      </c>
      <c r="L11" s="2203" t="s">
        <v>6271</v>
      </c>
      <c r="M11" s="2203"/>
      <c r="N11" s="2195" t="s">
        <v>6293</v>
      </c>
      <c r="O11" s="2203" t="s">
        <v>6272</v>
      </c>
      <c r="P11" s="2874" t="s">
        <v>6257</v>
      </c>
      <c r="Q11" s="2217"/>
      <c r="R11" s="1738" t="s">
        <v>6288</v>
      </c>
      <c r="S11" s="2199" t="s">
        <v>5026</v>
      </c>
      <c r="T11" s="2199"/>
      <c r="U11" s="2199"/>
      <c r="V11" s="2200"/>
      <c r="W11" s="2200"/>
      <c r="X11" s="2201"/>
      <c r="Y11" s="2822">
        <v>1040364</v>
      </c>
      <c r="Z11" s="2201"/>
      <c r="AA11" s="2201"/>
      <c r="AB11" s="2201"/>
      <c r="AC11" s="2201"/>
      <c r="AD11" s="2202"/>
      <c r="AE11" s="2201"/>
      <c r="AF11" s="2453"/>
      <c r="AG11" s="1416">
        <f t="shared" si="1"/>
        <v>1040364</v>
      </c>
      <c r="AH11" s="2877"/>
      <c r="AI11" s="2374">
        <f>(650000+1800000)*1.08</f>
        <v>2646000</v>
      </c>
      <c r="AJ11" s="1703">
        <f t="shared" si="2"/>
        <v>3686364</v>
      </c>
      <c r="AK11" s="2934"/>
      <c r="AL11" s="2407"/>
      <c r="AM11" s="2453"/>
      <c r="AN11" s="2453"/>
    </row>
    <row r="12" spans="1:40" s="1350" customFormat="1" ht="15" customHeight="1">
      <c r="A12" s="1738">
        <f t="shared" si="0"/>
        <v>6</v>
      </c>
      <c r="B12" s="2199" t="s">
        <v>6324</v>
      </c>
      <c r="C12" s="2794" t="s">
        <v>6314</v>
      </c>
      <c r="D12" s="2199" t="s">
        <v>6301</v>
      </c>
      <c r="E12" s="2250" t="s">
        <v>6356</v>
      </c>
      <c r="F12" s="2944" t="s">
        <v>6500</v>
      </c>
      <c r="G12" s="2196" t="s">
        <v>1300</v>
      </c>
      <c r="H12" s="2197"/>
      <c r="I12" s="2203"/>
      <c r="J12" s="2203" t="s">
        <v>128</v>
      </c>
      <c r="K12" s="3064" t="s">
        <v>418</v>
      </c>
      <c r="L12" s="2203" t="s">
        <v>6304</v>
      </c>
      <c r="M12" s="2203"/>
      <c r="N12" s="2195" t="s">
        <v>6357</v>
      </c>
      <c r="O12" s="2203" t="s">
        <v>6305</v>
      </c>
      <c r="P12" s="2773">
        <v>45907</v>
      </c>
      <c r="Q12" s="2217"/>
      <c r="R12" s="1738" t="s">
        <v>6224</v>
      </c>
      <c r="S12" s="2199" t="s">
        <v>3144</v>
      </c>
      <c r="T12" s="2199"/>
      <c r="U12" s="2199"/>
      <c r="V12" s="2200"/>
      <c r="W12" s="2200"/>
      <c r="X12" s="2201"/>
      <c r="Y12" s="2822">
        <v>324000</v>
      </c>
      <c r="Z12" s="2201"/>
      <c r="AA12" s="2201"/>
      <c r="AB12" s="2201"/>
      <c r="AC12" s="2201"/>
      <c r="AD12" s="2202"/>
      <c r="AE12" s="2201"/>
      <c r="AF12" s="2400"/>
      <c r="AG12" s="1416">
        <f t="shared" si="1"/>
        <v>324000</v>
      </c>
      <c r="AH12" s="2402"/>
      <c r="AI12" s="2374">
        <f>(650000+1800000)*1.08</f>
        <v>2646000</v>
      </c>
      <c r="AJ12" s="1703">
        <f t="shared" si="2"/>
        <v>2970000</v>
      </c>
      <c r="AK12" s="2938"/>
      <c r="AL12" s="1697"/>
      <c r="AM12" s="1393"/>
    </row>
    <row r="13" spans="1:40" s="1350" customFormat="1" ht="34.5" customHeight="1">
      <c r="A13" s="1738">
        <f t="shared" si="0"/>
        <v>7</v>
      </c>
      <c r="B13" s="2199"/>
      <c r="C13" s="2173">
        <v>307576545860</v>
      </c>
      <c r="D13" s="2159" t="s">
        <v>6373</v>
      </c>
      <c r="E13" s="2250" t="s">
        <v>6445</v>
      </c>
      <c r="F13" s="2944"/>
      <c r="G13" s="2196" t="s">
        <v>210</v>
      </c>
      <c r="H13" s="2930"/>
      <c r="I13" s="2930"/>
      <c r="J13" s="2930"/>
      <c r="K13" s="2203" t="s">
        <v>210</v>
      </c>
      <c r="L13" s="2794" t="s">
        <v>6444</v>
      </c>
      <c r="M13" s="2794"/>
      <c r="N13" s="2195"/>
      <c r="O13" s="2203" t="s">
        <v>6434</v>
      </c>
      <c r="P13" s="2773"/>
      <c r="Q13" s="2217"/>
      <c r="R13" s="1738"/>
      <c r="S13" s="2214" t="s">
        <v>6433</v>
      </c>
      <c r="T13" s="2214"/>
      <c r="U13" s="2199"/>
      <c r="V13" s="2200"/>
      <c r="W13" s="2200"/>
      <c r="X13" s="2201"/>
      <c r="Y13" s="2929"/>
      <c r="Z13" s="2201"/>
      <c r="AA13" s="2201"/>
      <c r="AB13" s="2201"/>
      <c r="AC13" s="2201"/>
      <c r="AD13" s="2202"/>
      <c r="AE13" s="2201"/>
      <c r="AF13" s="2400"/>
      <c r="AG13" s="1416">
        <f t="shared" si="1"/>
        <v>0</v>
      </c>
      <c r="AH13" s="2619" t="s">
        <v>6436</v>
      </c>
      <c r="AI13" s="2374">
        <f>(550000+4900000)*1.08</f>
        <v>5886000</v>
      </c>
      <c r="AJ13" s="1703">
        <f t="shared" si="2"/>
        <v>5886000</v>
      </c>
      <c r="AK13" s="2938"/>
      <c r="AL13" s="1697"/>
      <c r="AM13" s="1393"/>
    </row>
    <row r="14" spans="1:40" s="1350" customFormat="1" ht="27" customHeight="1">
      <c r="A14" s="1738">
        <f t="shared" si="0"/>
        <v>8</v>
      </c>
      <c r="B14" s="2214" t="s">
        <v>6400</v>
      </c>
      <c r="C14" s="2924" t="s">
        <v>6406</v>
      </c>
      <c r="D14" s="2199" t="s">
        <v>6400</v>
      </c>
      <c r="E14" s="2250" t="s">
        <v>6430</v>
      </c>
      <c r="F14" s="2944"/>
      <c r="G14" s="2196" t="s">
        <v>210</v>
      </c>
      <c r="H14" s="2197"/>
      <c r="I14" s="2203"/>
      <c r="J14" s="2203">
        <v>1</v>
      </c>
      <c r="K14" s="2203" t="s">
        <v>210</v>
      </c>
      <c r="L14" s="2203" t="s">
        <v>6393</v>
      </c>
      <c r="M14" s="2203"/>
      <c r="N14" s="2188" t="s">
        <v>6394</v>
      </c>
      <c r="O14" s="2203" t="s">
        <v>6424</v>
      </c>
      <c r="P14" s="2773" t="s">
        <v>6395</v>
      </c>
      <c r="Q14" s="2217"/>
      <c r="R14" s="1738" t="s">
        <v>6405</v>
      </c>
      <c r="S14" s="2218" t="s">
        <v>6396</v>
      </c>
      <c r="T14" s="2218"/>
      <c r="U14" s="2199"/>
      <c r="V14" s="2200"/>
      <c r="W14" s="2200"/>
      <c r="X14" s="2201"/>
      <c r="Y14" s="2201"/>
      <c r="Z14" s="2201"/>
      <c r="AA14" s="2201"/>
      <c r="AB14" s="2201"/>
      <c r="AC14" s="2201"/>
      <c r="AD14" s="2202"/>
      <c r="AE14" s="2201"/>
      <c r="AF14" s="2201"/>
      <c r="AG14" s="1416">
        <f t="shared" si="1"/>
        <v>0</v>
      </c>
      <c r="AH14" s="2250" t="s">
        <v>1416</v>
      </c>
      <c r="AI14" s="2374">
        <f>(650000+2300000)*1.08</f>
        <v>3186000</v>
      </c>
      <c r="AJ14" s="1703">
        <f>+AG14+AI14</f>
        <v>3186000</v>
      </c>
      <c r="AK14" s="2937"/>
      <c r="AL14" s="1697"/>
      <c r="AM14" s="1393"/>
    </row>
    <row r="15" spans="1:40" s="1350" customFormat="1" ht="30.75" customHeight="1">
      <c r="A15" s="1738">
        <f t="shared" si="0"/>
        <v>9</v>
      </c>
      <c r="B15" s="2214" t="s">
        <v>6437</v>
      </c>
      <c r="C15" s="2794" t="s">
        <v>6431</v>
      </c>
      <c r="D15" s="2199" t="s">
        <v>6435</v>
      </c>
      <c r="E15" s="2250" t="s">
        <v>6442</v>
      </c>
      <c r="F15" s="3011" t="s">
        <v>6503</v>
      </c>
      <c r="G15" s="2196" t="s">
        <v>1300</v>
      </c>
      <c r="H15" s="2197"/>
      <c r="I15" s="2203">
        <v>1</v>
      </c>
      <c r="J15" s="2203"/>
      <c r="K15" s="3064" t="s">
        <v>418</v>
      </c>
      <c r="L15" s="2253" t="s">
        <v>6308</v>
      </c>
      <c r="M15" s="2253"/>
      <c r="N15" s="2195" t="s">
        <v>6306</v>
      </c>
      <c r="O15" s="2203" t="s">
        <v>6307</v>
      </c>
      <c r="P15" s="2773" t="s">
        <v>6419</v>
      </c>
      <c r="Q15" s="2216" t="s">
        <v>6392</v>
      </c>
      <c r="R15" s="1738" t="s">
        <v>5942</v>
      </c>
      <c r="S15" s="2199" t="s">
        <v>287</v>
      </c>
      <c r="T15" s="2199"/>
      <c r="U15" s="2199"/>
      <c r="V15" s="2200"/>
      <c r="W15" s="2200"/>
      <c r="X15" s="2201"/>
      <c r="Y15" s="2822">
        <v>882000</v>
      </c>
      <c r="Z15" s="2927">
        <v>1500000</v>
      </c>
      <c r="AA15" s="2201"/>
      <c r="AB15" s="2201"/>
      <c r="AC15" s="2201"/>
      <c r="AD15" s="2409">
        <v>500000</v>
      </c>
      <c r="AE15" s="2201"/>
      <c r="AF15" s="2407"/>
      <c r="AG15" s="1416">
        <f t="shared" si="1"/>
        <v>2882000</v>
      </c>
      <c r="AH15" s="2407"/>
      <c r="AI15" s="2374">
        <f>((850000*(H15+I15))+(H15*3650000)+(I15*3650000))*1.08</f>
        <v>4860000</v>
      </c>
      <c r="AJ15" s="1703">
        <f t="shared" si="2"/>
        <v>7742000</v>
      </c>
      <c r="AK15" s="2934"/>
      <c r="AL15" s="2407"/>
      <c r="AM15" s="2453"/>
      <c r="AN15" s="2453"/>
    </row>
    <row r="16" spans="1:40" s="1350" customFormat="1" ht="31.5" customHeight="1">
      <c r="A16" s="1738">
        <f t="shared" si="0"/>
        <v>10</v>
      </c>
      <c r="B16" s="2214" t="s">
        <v>6437</v>
      </c>
      <c r="C16" s="2794" t="s">
        <v>6432</v>
      </c>
      <c r="D16" s="2199" t="s">
        <v>6435</v>
      </c>
      <c r="E16" s="2250" t="s">
        <v>6443</v>
      </c>
      <c r="F16" s="2944" t="s">
        <v>6504</v>
      </c>
      <c r="G16" s="2196" t="s">
        <v>1300</v>
      </c>
      <c r="H16" s="2197">
        <v>1</v>
      </c>
      <c r="I16" s="2203"/>
      <c r="J16" s="2203"/>
      <c r="K16" s="3064" t="s">
        <v>418</v>
      </c>
      <c r="L16" s="2203" t="s">
        <v>6397</v>
      </c>
      <c r="M16" s="2203"/>
      <c r="N16" s="2195" t="s">
        <v>6398</v>
      </c>
      <c r="O16" s="2203" t="s">
        <v>6399</v>
      </c>
      <c r="P16" s="2773" t="s">
        <v>6400</v>
      </c>
      <c r="Q16" s="2216" t="s">
        <v>6452</v>
      </c>
      <c r="R16" s="1738" t="s">
        <v>6255</v>
      </c>
      <c r="S16" s="2199" t="s">
        <v>287</v>
      </c>
      <c r="T16" s="2199"/>
      <c r="U16" s="2199"/>
      <c r="V16" s="2200"/>
      <c r="W16" s="2200"/>
      <c r="X16" s="2201"/>
      <c r="Y16" s="2822">
        <v>497000</v>
      </c>
      <c r="Z16" s="2927">
        <v>999000</v>
      </c>
      <c r="AA16" s="2201"/>
      <c r="AB16" s="2201"/>
      <c r="AC16" s="2201"/>
      <c r="AD16" s="2409">
        <v>250000</v>
      </c>
      <c r="AE16" s="2201"/>
      <c r="AF16" s="2201"/>
      <c r="AG16" s="1416">
        <f t="shared" si="1"/>
        <v>1746000</v>
      </c>
      <c r="AH16" s="2203" t="s">
        <v>6423</v>
      </c>
      <c r="AI16" s="2374">
        <f t="shared" ref="AI16" si="4">((850000*(H16+I16))+(H16*3650000)+(I16*3650000))*1.08</f>
        <v>4860000</v>
      </c>
      <c r="AJ16" s="1703">
        <f t="shared" si="2"/>
        <v>6606000</v>
      </c>
      <c r="AK16" s="2937"/>
      <c r="AL16" s="1697"/>
      <c r="AM16" s="1393"/>
    </row>
    <row r="17" spans="1:41" s="1350" customFormat="1" ht="15" customHeight="1">
      <c r="A17" s="1738">
        <f t="shared" si="0"/>
        <v>11</v>
      </c>
      <c r="B17" s="2199" t="s">
        <v>6441</v>
      </c>
      <c r="C17" s="2794" t="s">
        <v>6464</v>
      </c>
      <c r="D17" s="2199" t="s">
        <v>6437</v>
      </c>
      <c r="E17" s="2250" t="s">
        <v>6489</v>
      </c>
      <c r="F17" s="2944" t="s">
        <v>6500</v>
      </c>
      <c r="G17" s="2196" t="s">
        <v>1300</v>
      </c>
      <c r="H17" s="2197"/>
      <c r="I17" s="2203"/>
      <c r="J17" s="2203" t="s">
        <v>128</v>
      </c>
      <c r="K17" s="3064" t="s">
        <v>418</v>
      </c>
      <c r="L17" s="2203">
        <v>73803059140</v>
      </c>
      <c r="M17" s="2203"/>
      <c r="N17" s="2195"/>
      <c r="O17" s="2203" t="s">
        <v>6454</v>
      </c>
      <c r="P17" s="2773" t="s">
        <v>6449</v>
      </c>
      <c r="Q17" s="2217"/>
      <c r="R17" s="1738" t="s">
        <v>6288</v>
      </c>
      <c r="S17" s="2199" t="s">
        <v>3144</v>
      </c>
      <c r="T17" s="2199"/>
      <c r="U17" s="2199"/>
      <c r="V17" s="2200"/>
      <c r="W17" s="2200"/>
      <c r="X17" s="2201"/>
      <c r="Y17" s="2822">
        <v>450490</v>
      </c>
      <c r="Z17" s="2201"/>
      <c r="AA17" s="2201"/>
      <c r="AB17" s="2201"/>
      <c r="AC17" s="2201"/>
      <c r="AD17" s="2202"/>
      <c r="AE17" s="2201"/>
      <c r="AF17" s="2201"/>
      <c r="AG17" s="1416">
        <f t="shared" si="1"/>
        <v>450490</v>
      </c>
      <c r="AH17" s="2203"/>
      <c r="AI17" s="2374">
        <f>(650000+1800000)*1.08</f>
        <v>2646000</v>
      </c>
      <c r="AJ17" s="1703">
        <f t="shared" si="2"/>
        <v>3096490</v>
      </c>
      <c r="AK17" s="2937"/>
      <c r="AL17" s="1697"/>
      <c r="AM17" s="1393"/>
    </row>
    <row r="18" spans="1:41" s="1350" customFormat="1" ht="29.25" customHeight="1">
      <c r="A18" s="1738">
        <f t="shared" si="0"/>
        <v>12</v>
      </c>
      <c r="B18" s="2214" t="s">
        <v>6456</v>
      </c>
      <c r="C18" s="2794" t="s">
        <v>6467</v>
      </c>
      <c r="D18" s="2199" t="s">
        <v>6441</v>
      </c>
      <c r="E18" s="2250" t="s">
        <v>6490</v>
      </c>
      <c r="F18" s="2944" t="s">
        <v>6500</v>
      </c>
      <c r="G18" s="2196" t="s">
        <v>1300</v>
      </c>
      <c r="H18" s="2197"/>
      <c r="I18" s="2203"/>
      <c r="J18" s="2203" t="s">
        <v>128</v>
      </c>
      <c r="K18" s="3064" t="s">
        <v>418</v>
      </c>
      <c r="L18" s="2203" t="s">
        <v>6466</v>
      </c>
      <c r="M18" s="2203"/>
      <c r="N18" s="2195"/>
      <c r="O18" s="2203" t="s">
        <v>6491</v>
      </c>
      <c r="P18" s="2773" t="s">
        <v>6437</v>
      </c>
      <c r="Q18" s="2217"/>
      <c r="R18" s="1738" t="s">
        <v>5948</v>
      </c>
      <c r="S18" s="2199" t="s">
        <v>3144</v>
      </c>
      <c r="T18" s="2199"/>
      <c r="U18" s="2199"/>
      <c r="V18" s="2200"/>
      <c r="W18" s="2200"/>
      <c r="X18" s="2201"/>
      <c r="Y18" s="2822">
        <v>806868</v>
      </c>
      <c r="Z18" s="2201"/>
      <c r="AA18" s="2201"/>
      <c r="AB18" s="2201"/>
      <c r="AC18" s="3139"/>
      <c r="AE18" s="2201"/>
      <c r="AF18" s="2201"/>
      <c r="AG18" s="1416">
        <f t="shared" si="1"/>
        <v>806868</v>
      </c>
      <c r="AH18" s="2203"/>
      <c r="AI18" s="2374">
        <f>(650000+1800000)*1.08</f>
        <v>2646000</v>
      </c>
      <c r="AJ18" s="1703">
        <f t="shared" si="2"/>
        <v>3452868</v>
      </c>
      <c r="AK18" s="2937"/>
      <c r="AL18" s="1697"/>
      <c r="AM18" s="1393"/>
    </row>
    <row r="19" spans="1:41" ht="15.6">
      <c r="A19" s="3711" t="s">
        <v>6485</v>
      </c>
      <c r="B19" s="3712"/>
      <c r="C19" s="3712"/>
      <c r="D19" s="3712"/>
      <c r="E19" s="3712"/>
      <c r="F19" s="3712"/>
      <c r="G19" s="3712"/>
      <c r="H19" s="3712"/>
      <c r="I19" s="3712"/>
      <c r="J19" s="3712"/>
      <c r="K19" s="3712"/>
      <c r="L19" s="3713"/>
      <c r="M19" s="3050"/>
      <c r="N19" s="2240"/>
      <c r="O19" s="2240"/>
      <c r="P19" s="2241"/>
      <c r="Q19" s="2241"/>
      <c r="R19" s="2241"/>
      <c r="S19" s="2242"/>
      <c r="T19" s="2242"/>
      <c r="U19" s="2243"/>
      <c r="V19" s="2242"/>
      <c r="W19" s="2244"/>
      <c r="X19" s="2245"/>
      <c r="Y19" s="2242"/>
      <c r="Z19" s="2242"/>
      <c r="AA19" s="2242"/>
      <c r="AB19" s="2242"/>
      <c r="AC19" s="2242"/>
      <c r="AD19" s="2244"/>
      <c r="AE19" s="2242"/>
      <c r="AF19" s="2246"/>
      <c r="AG19" s="2246"/>
      <c r="AH19" s="2247"/>
      <c r="AI19" s="2248"/>
      <c r="AJ19" s="2248"/>
      <c r="AK19" s="2935"/>
      <c r="AL19" s="2534">
        <v>450000</v>
      </c>
      <c r="AM19" s="1354"/>
      <c r="AN19" s="1350"/>
    </row>
    <row r="20" spans="1:41" ht="15" customHeight="1">
      <c r="A20" s="1738">
        <v>1</v>
      </c>
      <c r="B20" s="2199" t="s">
        <v>6547</v>
      </c>
      <c r="C20" s="2794" t="s">
        <v>6518</v>
      </c>
      <c r="D20" s="2199" t="s">
        <v>6493</v>
      </c>
      <c r="E20" s="2250" t="s">
        <v>6551</v>
      </c>
      <c r="F20" s="2944" t="s">
        <v>6500</v>
      </c>
      <c r="G20" s="2196" t="s">
        <v>1300</v>
      </c>
      <c r="H20" s="2197"/>
      <c r="I20" s="2203">
        <v>1</v>
      </c>
      <c r="J20" s="2203"/>
      <c r="K20" s="3064" t="s">
        <v>418</v>
      </c>
      <c r="L20" s="2203" t="s">
        <v>6495</v>
      </c>
      <c r="M20" s="2203"/>
      <c r="N20" s="2195" t="s">
        <v>6513</v>
      </c>
      <c r="O20" s="2203" t="s">
        <v>6498</v>
      </c>
      <c r="P20" s="2773" t="s">
        <v>6499</v>
      </c>
      <c r="Q20" s="2216" t="s">
        <v>6527</v>
      </c>
      <c r="R20" s="1738" t="s">
        <v>5972</v>
      </c>
      <c r="S20" s="2199" t="s">
        <v>287</v>
      </c>
      <c r="T20" s="2199"/>
      <c r="U20" s="1566"/>
      <c r="V20" s="3012"/>
      <c r="W20" s="3012"/>
      <c r="X20" s="1566"/>
      <c r="Y20" s="2822">
        <v>882000</v>
      </c>
      <c r="Z20" s="3041">
        <v>1280000</v>
      </c>
      <c r="AA20" s="3012"/>
      <c r="AB20" s="1566"/>
      <c r="AC20" s="1566"/>
      <c r="AD20" s="2916">
        <v>500000</v>
      </c>
      <c r="AE20" s="1566"/>
      <c r="AF20" s="1566"/>
      <c r="AG20" s="1416">
        <f t="shared" si="1"/>
        <v>2662000</v>
      </c>
      <c r="AH20" s="1566"/>
      <c r="AI20" s="2374">
        <f>(U20*1.08)+(V20*1.08)+(W20*1.08)+((850000*(H20+I20))+(H20*3650000)+(I20*3650000))*1.08+(500000*1.08)</f>
        <v>5400000</v>
      </c>
      <c r="AJ20" s="1703">
        <f t="shared" si="2"/>
        <v>8062000</v>
      </c>
      <c r="AK20" s="3048"/>
      <c r="AL20" s="1566"/>
      <c r="AM20" s="3012"/>
      <c r="AN20" s="3012"/>
    </row>
    <row r="21" spans="1:41" s="1350" customFormat="1" ht="26.25" customHeight="1">
      <c r="A21" s="1738">
        <f>+A20+1</f>
        <v>2</v>
      </c>
      <c r="B21" s="2214" t="s">
        <v>6532</v>
      </c>
      <c r="C21" s="2924" t="s">
        <v>6546</v>
      </c>
      <c r="D21" s="2199" t="s">
        <v>6532</v>
      </c>
      <c r="E21" s="2250" t="s">
        <v>6552</v>
      </c>
      <c r="F21" s="2253" t="s">
        <v>6528</v>
      </c>
      <c r="G21" s="2196" t="s">
        <v>210</v>
      </c>
      <c r="H21" s="2197"/>
      <c r="I21" s="2203">
        <v>1</v>
      </c>
      <c r="J21" s="2203"/>
      <c r="K21" s="2203" t="s">
        <v>210</v>
      </c>
      <c r="L21" s="2203" t="s">
        <v>6529</v>
      </c>
      <c r="M21" s="1423" t="s">
        <v>6748</v>
      </c>
      <c r="N21" s="1565" t="s">
        <v>6549</v>
      </c>
      <c r="O21" s="2203" t="s">
        <v>6540</v>
      </c>
      <c r="P21" s="2960" t="s">
        <v>6526</v>
      </c>
      <c r="Q21" s="2939"/>
      <c r="R21" s="1738" t="s">
        <v>6537</v>
      </c>
      <c r="S21" s="2199" t="s">
        <v>287</v>
      </c>
      <c r="T21" s="671"/>
      <c r="U21" s="2939"/>
      <c r="V21" s="3049"/>
      <c r="W21" s="3049"/>
      <c r="X21" s="2939"/>
      <c r="Y21" s="3041">
        <v>1250000</v>
      </c>
      <c r="Z21" s="2822">
        <v>882000</v>
      </c>
      <c r="AA21" s="2822">
        <v>704892</v>
      </c>
      <c r="AB21" s="2939"/>
      <c r="AC21" s="2939"/>
      <c r="AD21" s="2916">
        <v>500000</v>
      </c>
      <c r="AE21" s="2939"/>
      <c r="AF21" s="2939"/>
      <c r="AG21" s="1416">
        <f t="shared" si="1"/>
        <v>3336892</v>
      </c>
      <c r="AH21" s="2263" t="s">
        <v>6548</v>
      </c>
      <c r="AI21" s="2374">
        <f t="shared" ref="AI21:AI31" si="5">(U21*1.08)+(V21*1.08)+(W21*1.08)+((850000*(H21+I21))+(H21*3650000)+(I21*3650000))*1.08</f>
        <v>4860000</v>
      </c>
      <c r="AJ21" s="1703">
        <f t="shared" si="2"/>
        <v>8196892</v>
      </c>
      <c r="AK21" s="3048"/>
      <c r="AL21" s="2939"/>
      <c r="AM21" s="3245"/>
      <c r="AN21" s="3245"/>
      <c r="AO21" s="3245"/>
    </row>
    <row r="22" spans="1:41" s="1350" customFormat="1" ht="29.25" customHeight="1">
      <c r="A22" s="1738">
        <f t="shared" si="0"/>
        <v>3</v>
      </c>
      <c r="B22" s="2214" t="s">
        <v>6565</v>
      </c>
      <c r="C22" s="2924" t="s">
        <v>6566</v>
      </c>
      <c r="D22" s="2199" t="s">
        <v>6565</v>
      </c>
      <c r="E22" s="2250" t="s">
        <v>6568</v>
      </c>
      <c r="F22" s="2253" t="s">
        <v>6538</v>
      </c>
      <c r="G22" s="2196" t="s">
        <v>210</v>
      </c>
      <c r="H22" s="2197"/>
      <c r="I22" s="2203">
        <v>1</v>
      </c>
      <c r="J22" s="2203"/>
      <c r="K22" s="2203" t="s">
        <v>210</v>
      </c>
      <c r="L22" s="2794" t="s">
        <v>6539</v>
      </c>
      <c r="M22" s="2794" t="s">
        <v>6749</v>
      </c>
      <c r="N22" s="2195" t="s">
        <v>6562</v>
      </c>
      <c r="O22" s="2203" t="s">
        <v>6563</v>
      </c>
      <c r="P22" s="2960" t="s">
        <v>6530</v>
      </c>
      <c r="Q22" s="2985"/>
      <c r="R22" s="1738" t="s">
        <v>6564</v>
      </c>
      <c r="S22" s="2199" t="s">
        <v>287</v>
      </c>
      <c r="T22" s="2199"/>
      <c r="U22" s="2214"/>
      <c r="V22" s="2200"/>
      <c r="W22" s="2200"/>
      <c r="X22" s="3041">
        <v>236000</v>
      </c>
      <c r="Y22" s="3041">
        <v>1500000</v>
      </c>
      <c r="Z22" s="2822">
        <v>882000</v>
      </c>
      <c r="AA22" s="2822">
        <v>722350</v>
      </c>
      <c r="AB22" s="2227"/>
      <c r="AC22" s="2227"/>
      <c r="AD22" s="2916">
        <v>500000</v>
      </c>
      <c r="AE22" s="2201"/>
      <c r="AF22" s="2201"/>
      <c r="AG22" s="1416">
        <f t="shared" si="1"/>
        <v>3840350</v>
      </c>
      <c r="AH22" s="2263" t="s">
        <v>6548</v>
      </c>
      <c r="AI22" s="2374">
        <f t="shared" si="5"/>
        <v>4860000</v>
      </c>
      <c r="AJ22" s="1703">
        <f t="shared" si="2"/>
        <v>8700350</v>
      </c>
      <c r="AK22" s="3048"/>
      <c r="AL22" s="1697"/>
      <c r="AM22" s="1393"/>
    </row>
    <row r="23" spans="1:41" s="1350" customFormat="1" ht="37.5" customHeight="1">
      <c r="A23" s="1738">
        <f t="shared" si="0"/>
        <v>4</v>
      </c>
      <c r="B23" s="2214" t="s">
        <v>6595</v>
      </c>
      <c r="C23" s="3101" t="s">
        <v>6591</v>
      </c>
      <c r="D23" s="2199" t="s">
        <v>6595</v>
      </c>
      <c r="E23" s="2250" t="s">
        <v>6634</v>
      </c>
      <c r="F23" s="2253" t="s">
        <v>6579</v>
      </c>
      <c r="G23" s="2196" t="s">
        <v>210</v>
      </c>
      <c r="H23" s="2197">
        <v>1</v>
      </c>
      <c r="I23" s="2203"/>
      <c r="J23" s="2203"/>
      <c r="K23" s="3064" t="s">
        <v>418</v>
      </c>
      <c r="L23" s="2203" t="s">
        <v>6577</v>
      </c>
      <c r="M23" s="2203" t="s">
        <v>6750</v>
      </c>
      <c r="N23" s="2195" t="s">
        <v>6590</v>
      </c>
      <c r="O23" s="2253" t="s">
        <v>6592</v>
      </c>
      <c r="P23" s="2960" t="s">
        <v>6578</v>
      </c>
      <c r="Q23" s="2254"/>
      <c r="R23" s="1738" t="s">
        <v>5944</v>
      </c>
      <c r="S23" s="2199" t="s">
        <v>287</v>
      </c>
      <c r="T23" s="2199"/>
      <c r="U23" s="2199"/>
      <c r="V23" s="2200">
        <f>650000*2</f>
        <v>1300000</v>
      </c>
      <c r="W23" s="2200">
        <v>300000</v>
      </c>
      <c r="X23" s="2201"/>
      <c r="Y23" s="3041">
        <v>999000</v>
      </c>
      <c r="Z23" s="2822">
        <v>497000</v>
      </c>
      <c r="AA23" s="2822">
        <v>563029</v>
      </c>
      <c r="AB23" s="1697"/>
      <c r="AC23" s="1697"/>
      <c r="AD23" s="2916">
        <v>250000</v>
      </c>
      <c r="AE23" s="2201"/>
      <c r="AF23" s="2201"/>
      <c r="AG23" s="1416">
        <f>+SUM(X23:AF23)</f>
        <v>2309029</v>
      </c>
      <c r="AH23" s="2263" t="s">
        <v>6695</v>
      </c>
      <c r="AI23" s="2374">
        <f t="shared" si="5"/>
        <v>6588000</v>
      </c>
      <c r="AJ23" s="1703">
        <f t="shared" si="2"/>
        <v>8897029</v>
      </c>
      <c r="AK23" s="3048"/>
      <c r="AL23" s="1697"/>
      <c r="AM23" s="1393"/>
    </row>
    <row r="24" spans="1:41" s="1350" customFormat="1" ht="15.6">
      <c r="A24" s="1738">
        <f t="shared" si="0"/>
        <v>5</v>
      </c>
      <c r="B24" s="2214" t="s">
        <v>6611</v>
      </c>
      <c r="C24" s="2794" t="s">
        <v>6605</v>
      </c>
      <c r="D24" s="2199" t="s">
        <v>6601</v>
      </c>
      <c r="E24" s="2250" t="s">
        <v>6635</v>
      </c>
      <c r="F24" s="2944" t="s">
        <v>6500</v>
      </c>
      <c r="G24" s="2196" t="s">
        <v>1300</v>
      </c>
      <c r="H24" s="2197"/>
      <c r="I24" s="2203"/>
      <c r="J24" s="2203" t="s">
        <v>128</v>
      </c>
      <c r="K24" s="3064" t="s">
        <v>418</v>
      </c>
      <c r="L24" s="2967" t="s">
        <v>6606</v>
      </c>
      <c r="M24" s="2967"/>
      <c r="N24" s="2195" t="s">
        <v>6696</v>
      </c>
      <c r="O24" s="2203" t="s">
        <v>6641</v>
      </c>
      <c r="P24" s="1350">
        <v>45816</v>
      </c>
      <c r="Q24" s="2179"/>
      <c r="R24" s="2179" t="s">
        <v>5948</v>
      </c>
      <c r="S24" s="2199" t="s">
        <v>3144</v>
      </c>
      <c r="T24" s="2199"/>
      <c r="U24" s="2214"/>
      <c r="V24" s="2200"/>
      <c r="W24" s="2200"/>
      <c r="X24" s="2822">
        <v>229522</v>
      </c>
      <c r="Y24" s="2929"/>
      <c r="Z24" s="2201"/>
      <c r="AA24" s="2201"/>
      <c r="AB24" s="2201"/>
      <c r="AC24" s="2201"/>
      <c r="AD24" s="2202"/>
      <c r="AE24" s="2201"/>
      <c r="AF24" s="2201"/>
      <c r="AG24" s="1416">
        <f>+SUM(X24:AF24)</f>
        <v>229522</v>
      </c>
      <c r="AH24" s="2203"/>
      <c r="AI24" s="2374">
        <f>+(650000+1800000)*1.08</f>
        <v>2646000</v>
      </c>
      <c r="AJ24" s="1703">
        <f t="shared" si="2"/>
        <v>2875522</v>
      </c>
      <c r="AK24" s="3048"/>
      <c r="AL24" s="2933"/>
      <c r="AM24" s="1393"/>
    </row>
    <row r="25" spans="1:41" s="1350" customFormat="1" ht="27" customHeight="1">
      <c r="A25" s="1738">
        <f t="shared" si="0"/>
        <v>6</v>
      </c>
      <c r="B25" s="2214" t="s">
        <v>6654</v>
      </c>
      <c r="C25" s="2794" t="s">
        <v>6620</v>
      </c>
      <c r="D25" s="2199" t="s">
        <v>6611</v>
      </c>
      <c r="E25" s="2250" t="s">
        <v>6645</v>
      </c>
      <c r="F25" s="2944" t="s">
        <v>6500</v>
      </c>
      <c r="G25" s="2196" t="s">
        <v>1300</v>
      </c>
      <c r="H25" s="2197"/>
      <c r="I25" s="2203">
        <v>1</v>
      </c>
      <c r="J25" s="2203"/>
      <c r="K25" s="3064" t="s">
        <v>418</v>
      </c>
      <c r="L25" s="3055" t="s">
        <v>6586</v>
      </c>
      <c r="M25" s="2988"/>
      <c r="N25" s="2195" t="s">
        <v>6617</v>
      </c>
      <c r="O25" s="2203" t="s">
        <v>6636</v>
      </c>
      <c r="P25" s="2773">
        <v>45938</v>
      </c>
      <c r="Q25" s="2179" t="s">
        <v>6643</v>
      </c>
      <c r="R25" s="2179" t="s">
        <v>6655</v>
      </c>
      <c r="S25" s="2199" t="s">
        <v>287</v>
      </c>
      <c r="T25" s="2199"/>
      <c r="U25" s="2214"/>
      <c r="V25" s="2200"/>
      <c r="W25" s="2200"/>
      <c r="X25" s="2201"/>
      <c r="Y25" s="2822">
        <v>882000</v>
      </c>
      <c r="Z25" s="3041">
        <v>1512000</v>
      </c>
      <c r="AA25" s="2201"/>
      <c r="AB25" s="2201"/>
      <c r="AC25" s="2201"/>
      <c r="AD25" s="2916">
        <v>500000</v>
      </c>
      <c r="AE25" s="2201"/>
      <c r="AF25" s="2201"/>
      <c r="AG25" s="1416">
        <f t="shared" si="1"/>
        <v>2894000</v>
      </c>
      <c r="AH25" s="2203"/>
      <c r="AI25" s="2374">
        <f t="shared" si="5"/>
        <v>4860000</v>
      </c>
      <c r="AJ25" s="1703">
        <f t="shared" si="2"/>
        <v>7754000</v>
      </c>
      <c r="AK25" s="3048"/>
      <c r="AL25" s="2933"/>
      <c r="AM25" s="1393"/>
    </row>
    <row r="26" spans="1:41" s="1350" customFormat="1" ht="45" customHeight="1">
      <c r="A26" s="1738">
        <f t="shared" si="0"/>
        <v>7</v>
      </c>
      <c r="B26" s="2214" t="s">
        <v>6611</v>
      </c>
      <c r="C26" s="3100" t="s">
        <v>6616</v>
      </c>
      <c r="D26" s="2773">
        <v>45877</v>
      </c>
      <c r="E26" s="2250" t="s">
        <v>6639</v>
      </c>
      <c r="F26" s="2253" t="s">
        <v>6538</v>
      </c>
      <c r="G26" s="2196" t="s">
        <v>210</v>
      </c>
      <c r="H26" s="2203"/>
      <c r="I26" s="2203">
        <v>1</v>
      </c>
      <c r="J26" s="2203"/>
      <c r="K26" s="2203" t="s">
        <v>210</v>
      </c>
      <c r="L26" s="2794" t="s">
        <v>6597</v>
      </c>
      <c r="M26" s="2794" t="s">
        <v>6751</v>
      </c>
      <c r="N26" s="2989" t="s">
        <v>6615</v>
      </c>
      <c r="O26" s="2203" t="s">
        <v>6637</v>
      </c>
      <c r="P26" s="2992" t="s">
        <v>6598</v>
      </c>
      <c r="Q26" s="2179"/>
      <c r="R26" s="2179" t="s">
        <v>6625</v>
      </c>
      <c r="S26" s="2199" t="s">
        <v>287</v>
      </c>
      <c r="T26" s="2199"/>
      <c r="U26" s="2214"/>
      <c r="V26" s="2200">
        <v>650000</v>
      </c>
      <c r="W26" s="2200"/>
      <c r="X26" s="2201"/>
      <c r="Y26" s="3041">
        <v>1500000</v>
      </c>
      <c r="Z26" s="2822">
        <v>882000</v>
      </c>
      <c r="AA26" s="2822">
        <v>1110651</v>
      </c>
      <c r="AB26" s="2201"/>
      <c r="AC26" s="2201"/>
      <c r="AD26" s="2916">
        <v>500000</v>
      </c>
      <c r="AE26" s="2201"/>
      <c r="AF26" s="2201"/>
      <c r="AG26" s="1416">
        <f t="shared" si="1"/>
        <v>3992651</v>
      </c>
      <c r="AH26" s="2263" t="s">
        <v>6780</v>
      </c>
      <c r="AI26" s="2374">
        <f t="shared" si="5"/>
        <v>5562000</v>
      </c>
      <c r="AJ26" s="1703">
        <f t="shared" si="2"/>
        <v>9554651</v>
      </c>
      <c r="AK26" s="3048"/>
      <c r="AL26" s="2933"/>
      <c r="AM26" s="1393"/>
    </row>
    <row r="27" spans="1:41" s="1350" customFormat="1" ht="27">
      <c r="A27" s="1738">
        <f t="shared" si="0"/>
        <v>8</v>
      </c>
      <c r="B27" s="2214" t="s">
        <v>6630</v>
      </c>
      <c r="C27" s="2924" t="s">
        <v>6629</v>
      </c>
      <c r="D27" s="2199" t="s">
        <v>6555</v>
      </c>
      <c r="E27" s="2250" t="s">
        <v>6640</v>
      </c>
      <c r="F27" s="2253" t="s">
        <v>6613</v>
      </c>
      <c r="G27" s="2196" t="s">
        <v>210</v>
      </c>
      <c r="H27" s="2197">
        <v>1</v>
      </c>
      <c r="I27" s="2203"/>
      <c r="J27" s="2203"/>
      <c r="K27" s="3064" t="s">
        <v>418</v>
      </c>
      <c r="L27" s="2203" t="s">
        <v>6612</v>
      </c>
      <c r="M27" s="2203" t="s">
        <v>6865</v>
      </c>
      <c r="N27" s="2195" t="s">
        <v>6632</v>
      </c>
      <c r="O27" s="2203" t="s">
        <v>6638</v>
      </c>
      <c r="P27" s="2976" t="s">
        <v>6614</v>
      </c>
      <c r="Q27" s="2179"/>
      <c r="R27" s="2179" t="s">
        <v>5944</v>
      </c>
      <c r="S27" s="2199" t="s">
        <v>287</v>
      </c>
      <c r="T27" s="2199"/>
      <c r="U27" s="2214"/>
      <c r="V27" s="2200"/>
      <c r="W27" s="2200"/>
      <c r="X27" s="2201"/>
      <c r="Y27" s="3041">
        <v>1000000</v>
      </c>
      <c r="Z27" s="2822">
        <v>497000</v>
      </c>
      <c r="AA27" s="2822">
        <v>430485</v>
      </c>
      <c r="AB27" s="2201"/>
      <c r="AC27" s="2201"/>
      <c r="AD27" s="2916">
        <v>250000</v>
      </c>
      <c r="AE27" s="2201"/>
      <c r="AF27" s="2201"/>
      <c r="AG27" s="1416">
        <f t="shared" si="1"/>
        <v>2177485</v>
      </c>
      <c r="AH27" s="2203" t="s">
        <v>1416</v>
      </c>
      <c r="AI27" s="2374">
        <f t="shared" si="5"/>
        <v>4860000</v>
      </c>
      <c r="AJ27" s="1703">
        <f t="shared" si="2"/>
        <v>7037485</v>
      </c>
      <c r="AK27" s="3048"/>
      <c r="AL27" s="2933"/>
      <c r="AM27" s="1393"/>
    </row>
    <row r="28" spans="1:41" s="1350" customFormat="1" ht="46.5" customHeight="1">
      <c r="A28" s="1738">
        <f t="shared" si="0"/>
        <v>9</v>
      </c>
      <c r="B28" s="2214" t="s">
        <v>6678</v>
      </c>
      <c r="C28" s="2794" t="s">
        <v>6656</v>
      </c>
      <c r="D28" s="2199" t="s">
        <v>6654</v>
      </c>
      <c r="E28" s="2250" t="s">
        <v>6672</v>
      </c>
      <c r="F28" s="3011" t="s">
        <v>6503</v>
      </c>
      <c r="G28" s="2196" t="s">
        <v>1300</v>
      </c>
      <c r="H28" s="2197"/>
      <c r="I28" s="2203">
        <v>2</v>
      </c>
      <c r="J28" s="2203"/>
      <c r="K28" s="3064" t="s">
        <v>418</v>
      </c>
      <c r="L28" s="2253" t="s">
        <v>6588</v>
      </c>
      <c r="M28" s="2253"/>
      <c r="N28" s="2195" t="s">
        <v>6585</v>
      </c>
      <c r="O28" s="2203" t="s">
        <v>6587</v>
      </c>
      <c r="P28" s="2773">
        <v>45938</v>
      </c>
      <c r="Q28" s="2179" t="s">
        <v>6653</v>
      </c>
      <c r="R28" s="2195" t="s">
        <v>6682</v>
      </c>
      <c r="S28" s="2199" t="s">
        <v>287</v>
      </c>
      <c r="T28" s="2199"/>
      <c r="U28" s="2199"/>
      <c r="V28" s="2200"/>
      <c r="W28" s="2200"/>
      <c r="X28" s="2201"/>
      <c r="Y28" s="2822">
        <v>1764000</v>
      </c>
      <c r="Z28" s="3041">
        <f>1500000*2</f>
        <v>3000000</v>
      </c>
      <c r="AA28" s="2201"/>
      <c r="AB28" s="2226"/>
      <c r="AC28" s="2226"/>
      <c r="AD28" s="2916">
        <v>1000000</v>
      </c>
      <c r="AE28" s="2201"/>
      <c r="AF28" s="2201"/>
      <c r="AG28" s="1416">
        <f>+SUM(X28:AF28)</f>
        <v>5764000</v>
      </c>
      <c r="AH28" s="2203"/>
      <c r="AI28" s="2374">
        <f t="shared" si="5"/>
        <v>9720000</v>
      </c>
      <c r="AJ28" s="1703">
        <f>+AG28+AI28</f>
        <v>15484000</v>
      </c>
      <c r="AK28" s="3048"/>
      <c r="AL28" s="2933"/>
      <c r="AM28" s="1393"/>
    </row>
    <row r="29" spans="1:41" s="1350" customFormat="1" ht="27">
      <c r="A29" s="1738">
        <f t="shared" si="0"/>
        <v>10</v>
      </c>
      <c r="B29" s="2214" t="s">
        <v>6715</v>
      </c>
      <c r="C29" s="2924" t="s">
        <v>6732</v>
      </c>
      <c r="D29" s="2214" t="s">
        <v>6715</v>
      </c>
      <c r="E29" s="2250" t="s">
        <v>6743</v>
      </c>
      <c r="F29" s="2253" t="s">
        <v>6528</v>
      </c>
      <c r="G29" s="2196" t="s">
        <v>210</v>
      </c>
      <c r="H29" s="2203"/>
      <c r="I29" s="2203">
        <v>1</v>
      </c>
      <c r="J29" s="2203"/>
      <c r="K29" s="2203" t="s">
        <v>210</v>
      </c>
      <c r="L29" s="2203" t="s">
        <v>6703</v>
      </c>
      <c r="M29" s="2203" t="s">
        <v>6866</v>
      </c>
      <c r="N29" s="2195" t="s">
        <v>6724</v>
      </c>
      <c r="O29" s="2203" t="s">
        <v>6725</v>
      </c>
      <c r="P29" s="2976" t="s">
        <v>6726</v>
      </c>
      <c r="Q29" s="2179"/>
      <c r="R29" s="2179" t="s">
        <v>6723</v>
      </c>
      <c r="S29" s="2199" t="s">
        <v>287</v>
      </c>
      <c r="T29" s="2199"/>
      <c r="U29" s="2214"/>
      <c r="V29" s="2200"/>
      <c r="W29" s="2200"/>
      <c r="X29" s="2201"/>
      <c r="Y29" s="3041">
        <v>1450000</v>
      </c>
      <c r="Z29" s="2822">
        <v>882000</v>
      </c>
      <c r="AA29" s="2822">
        <v>758321</v>
      </c>
      <c r="AB29" s="2201"/>
      <c r="AC29" s="2201"/>
      <c r="AD29" s="2916">
        <v>500000</v>
      </c>
      <c r="AE29" s="2201"/>
      <c r="AF29" s="2201"/>
      <c r="AG29" s="1416">
        <f t="shared" si="1"/>
        <v>3590321</v>
      </c>
      <c r="AH29" s="2203" t="s">
        <v>1416</v>
      </c>
      <c r="AI29" s="2374">
        <f t="shared" si="5"/>
        <v>4860000</v>
      </c>
      <c r="AJ29" s="1703">
        <f t="shared" si="2"/>
        <v>8450321</v>
      </c>
      <c r="AK29" s="2251"/>
      <c r="AL29" s="2933"/>
      <c r="AM29" s="1393"/>
    </row>
    <row r="30" spans="1:41" s="1350" customFormat="1" ht="30" customHeight="1">
      <c r="A30" s="1738">
        <f t="shared" si="0"/>
        <v>11</v>
      </c>
      <c r="B30" s="2214" t="s">
        <v>6643</v>
      </c>
      <c r="C30" s="2794" t="s">
        <v>6737</v>
      </c>
      <c r="D30" s="2214" t="s">
        <v>6715</v>
      </c>
      <c r="E30" s="2250" t="s">
        <v>6744</v>
      </c>
      <c r="F30" s="2944" t="s">
        <v>6501</v>
      </c>
      <c r="G30" s="2196" t="s">
        <v>1300</v>
      </c>
      <c r="H30" s="2197"/>
      <c r="I30" s="2203">
        <v>1</v>
      </c>
      <c r="J30" s="2203"/>
      <c r="K30" s="3064" t="s">
        <v>418</v>
      </c>
      <c r="L30" s="2203" t="s">
        <v>6716</v>
      </c>
      <c r="M30" s="2203"/>
      <c r="N30" s="2195" t="s">
        <v>6717</v>
      </c>
      <c r="O30" s="2203" t="s">
        <v>6722</v>
      </c>
      <c r="P30" s="2976" t="s">
        <v>6715</v>
      </c>
      <c r="Q30" s="2179" t="s">
        <v>6643</v>
      </c>
      <c r="R30" s="2179" t="s">
        <v>5944</v>
      </c>
      <c r="S30" s="2199" t="s">
        <v>287</v>
      </c>
      <c r="T30" s="2199"/>
      <c r="U30" s="2199"/>
      <c r="V30" s="2200"/>
      <c r="W30" s="2200"/>
      <c r="X30" s="2201"/>
      <c r="Y30" s="3041">
        <v>1500000</v>
      </c>
      <c r="Z30" s="2822">
        <v>1298000</v>
      </c>
      <c r="AA30" s="2201"/>
      <c r="AB30" s="2226"/>
      <c r="AC30" s="2226"/>
      <c r="AD30" s="2916">
        <v>500000</v>
      </c>
      <c r="AE30" s="2201"/>
      <c r="AF30" s="2201"/>
      <c r="AG30" s="1416">
        <f t="shared" si="1"/>
        <v>3298000</v>
      </c>
      <c r="AH30" s="2263"/>
      <c r="AI30" s="2374">
        <f t="shared" si="5"/>
        <v>4860000</v>
      </c>
      <c r="AJ30" s="1703">
        <f t="shared" si="2"/>
        <v>8158000</v>
      </c>
      <c r="AK30" s="2251"/>
      <c r="AL30" s="2933"/>
      <c r="AM30" s="1393"/>
    </row>
    <row r="31" spans="1:41" s="1350" customFormat="1" ht="40.200000000000003">
      <c r="A31" s="1738">
        <f t="shared" si="0"/>
        <v>12</v>
      </c>
      <c r="B31" s="2214" t="s">
        <v>6643</v>
      </c>
      <c r="C31" s="3100" t="s">
        <v>6820</v>
      </c>
      <c r="D31" s="2199" t="s">
        <v>6643</v>
      </c>
      <c r="E31" s="2250" t="s">
        <v>6819</v>
      </c>
      <c r="F31" s="2253" t="s">
        <v>6538</v>
      </c>
      <c r="G31" s="2196" t="s">
        <v>210</v>
      </c>
      <c r="H31" s="2197"/>
      <c r="I31" s="2203">
        <v>1</v>
      </c>
      <c r="J31" s="2203"/>
      <c r="K31" s="3067" t="s">
        <v>136</v>
      </c>
      <c r="L31" s="2794" t="s">
        <v>6752</v>
      </c>
      <c r="M31" s="2203" t="s">
        <v>6864</v>
      </c>
      <c r="N31" s="2195" t="s">
        <v>6812</v>
      </c>
      <c r="O31" s="2203" t="s">
        <v>6813</v>
      </c>
      <c r="P31" s="2992" t="s">
        <v>6753</v>
      </c>
      <c r="Q31" s="2179"/>
      <c r="R31" s="2179" t="s">
        <v>5972</v>
      </c>
      <c r="S31" s="2199" t="s">
        <v>287</v>
      </c>
      <c r="T31" s="2199"/>
      <c r="U31" s="2200">
        <v>400000</v>
      </c>
      <c r="V31" s="2200"/>
      <c r="W31" s="2200"/>
      <c r="X31" s="2201"/>
      <c r="Y31" s="3041">
        <v>1500000</v>
      </c>
      <c r="Z31" s="2822">
        <v>882000</v>
      </c>
      <c r="AA31" s="2822">
        <v>614337</v>
      </c>
      <c r="AB31" s="2201"/>
      <c r="AC31" s="2201"/>
      <c r="AD31" s="2916">
        <v>500000</v>
      </c>
      <c r="AE31" s="2201"/>
      <c r="AF31" s="2201"/>
      <c r="AG31" s="1416">
        <f>+SUM(X31:AF31)</f>
        <v>3496337</v>
      </c>
      <c r="AH31" s="3063" t="s">
        <v>6827</v>
      </c>
      <c r="AI31" s="2374">
        <f t="shared" si="5"/>
        <v>5292000</v>
      </c>
      <c r="AJ31" s="1703">
        <f t="shared" si="2"/>
        <v>8788337</v>
      </c>
      <c r="AK31" s="2251"/>
      <c r="AL31" s="2933"/>
      <c r="AM31" s="1393"/>
    </row>
    <row r="32" spans="1:41" s="1350" customFormat="1" ht="15.6">
      <c r="A32" s="1738">
        <f t="shared" si="0"/>
        <v>13</v>
      </c>
      <c r="B32" s="2214" t="s">
        <v>6694</v>
      </c>
      <c r="C32" s="2794" t="s">
        <v>6802</v>
      </c>
      <c r="D32" s="2199" t="s">
        <v>6799</v>
      </c>
      <c r="E32" s="2250" t="s">
        <v>6836</v>
      </c>
      <c r="F32" s="2944" t="s">
        <v>6500</v>
      </c>
      <c r="G32" s="2196" t="s">
        <v>1300</v>
      </c>
      <c r="H32" s="2197"/>
      <c r="I32" s="2203">
        <v>1</v>
      </c>
      <c r="J32" s="2203"/>
      <c r="K32" s="3064" t="s">
        <v>418</v>
      </c>
      <c r="L32" s="2203" t="s">
        <v>6793</v>
      </c>
      <c r="M32" s="2203"/>
      <c r="N32" s="2195" t="s">
        <v>6794</v>
      </c>
      <c r="O32" s="2203" t="s">
        <v>6792</v>
      </c>
      <c r="P32" s="2874" t="s">
        <v>6788</v>
      </c>
      <c r="Q32" s="2179" t="s">
        <v>6829</v>
      </c>
      <c r="R32" s="2179" t="s">
        <v>6056</v>
      </c>
      <c r="S32" s="2199" t="s">
        <v>287</v>
      </c>
      <c r="T32" s="2199"/>
      <c r="U32" s="2214"/>
      <c r="V32" s="2200"/>
      <c r="W32" s="2200"/>
      <c r="X32" s="2201"/>
      <c r="Y32" s="2822">
        <v>882000</v>
      </c>
      <c r="Z32" s="2822">
        <v>1280000</v>
      </c>
      <c r="AA32" s="2201"/>
      <c r="AB32" s="2201"/>
      <c r="AC32" s="2201"/>
      <c r="AD32" s="2916">
        <v>500000</v>
      </c>
      <c r="AE32" s="2201"/>
      <c r="AF32" s="2201"/>
      <c r="AG32" s="1416">
        <f t="shared" si="1"/>
        <v>2662000</v>
      </c>
      <c r="AH32" s="2203" t="s">
        <v>6867</v>
      </c>
      <c r="AI32" s="2374">
        <f>(U32*1.08)+(V32*1.08)+(W32*1.08)+((850000*(H32+I32))+(H32*3650000)+(I32*3650000))*1.08+(500000*1.08)</f>
        <v>5400000</v>
      </c>
      <c r="AJ32" s="1703">
        <f t="shared" si="2"/>
        <v>8062000</v>
      </c>
      <c r="AK32" s="2251"/>
      <c r="AL32" s="2933"/>
      <c r="AM32" s="1393"/>
    </row>
    <row r="33" spans="1:40" s="1350" customFormat="1" ht="15.6">
      <c r="A33" s="1738">
        <f t="shared" si="0"/>
        <v>14</v>
      </c>
      <c r="B33" s="2214" t="s">
        <v>6859</v>
      </c>
      <c r="C33" s="2794" t="s">
        <v>6804</v>
      </c>
      <c r="D33" s="2199" t="s">
        <v>6799</v>
      </c>
      <c r="E33" s="2250" t="s">
        <v>6837</v>
      </c>
      <c r="F33" s="2944" t="s">
        <v>6500</v>
      </c>
      <c r="G33" s="2196" t="s">
        <v>1300</v>
      </c>
      <c r="H33" s="2197"/>
      <c r="I33" s="2203">
        <v>1</v>
      </c>
      <c r="J33" s="2203"/>
      <c r="K33" s="3064" t="s">
        <v>418</v>
      </c>
      <c r="L33" s="2203" t="s">
        <v>6800</v>
      </c>
      <c r="M33" s="2203"/>
      <c r="N33" s="2195" t="s">
        <v>6821</v>
      </c>
      <c r="O33" s="2203" t="s">
        <v>6798</v>
      </c>
      <c r="P33" s="2874" t="s">
        <v>6694</v>
      </c>
      <c r="Q33" s="2254"/>
      <c r="R33" s="2179" t="s">
        <v>6255</v>
      </c>
      <c r="S33" s="2199" t="s">
        <v>287</v>
      </c>
      <c r="T33" s="2199"/>
      <c r="U33" s="2199"/>
      <c r="V33" s="2200"/>
      <c r="W33" s="2200"/>
      <c r="X33" s="2201"/>
      <c r="Y33" s="2822">
        <v>882000</v>
      </c>
      <c r="Z33" s="3041">
        <v>1500000</v>
      </c>
      <c r="AA33" s="2201"/>
      <c r="AB33" s="2201"/>
      <c r="AC33" s="2201"/>
      <c r="AD33" s="2916">
        <v>500000</v>
      </c>
      <c r="AE33" s="2201"/>
      <c r="AF33" s="2201"/>
      <c r="AG33" s="1416">
        <f t="shared" si="1"/>
        <v>2882000</v>
      </c>
      <c r="AH33" s="2203"/>
      <c r="AI33" s="2374">
        <f>(U33*1.08)+(V33*1.08)+(W33*1.08)+((850000*(H33+I33))+(H33*3650000)+(I33*3650000))*1.08</f>
        <v>4860000</v>
      </c>
      <c r="AJ33" s="1703">
        <f t="shared" si="2"/>
        <v>7742000</v>
      </c>
      <c r="AK33" s="2251"/>
      <c r="AL33" s="2933"/>
      <c r="AM33" s="1393"/>
    </row>
    <row r="34" spans="1:40" ht="27">
      <c r="A34" s="1738">
        <f t="shared" si="0"/>
        <v>15</v>
      </c>
      <c r="B34" s="2214" t="s">
        <v>6825</v>
      </c>
      <c r="C34" s="3070">
        <v>107476428510</v>
      </c>
      <c r="D34" s="2199" t="s">
        <v>6826</v>
      </c>
      <c r="E34" s="2250" t="s">
        <v>6851</v>
      </c>
      <c r="F34" s="3011" t="s">
        <v>6733</v>
      </c>
      <c r="G34" s="2196" t="s">
        <v>1300</v>
      </c>
      <c r="H34" s="2197"/>
      <c r="I34" s="2203">
        <v>2</v>
      </c>
      <c r="J34" s="2203"/>
      <c r="K34" s="3064" t="s">
        <v>418</v>
      </c>
      <c r="L34" s="2203" t="s">
        <v>6731</v>
      </c>
      <c r="M34" s="2203"/>
      <c r="N34" s="2195" t="s">
        <v>6735</v>
      </c>
      <c r="O34" s="2203" t="s">
        <v>6746</v>
      </c>
      <c r="P34" s="3045" t="s">
        <v>6663</v>
      </c>
      <c r="Q34" s="2773">
        <v>45725</v>
      </c>
      <c r="R34" s="2535" t="s">
        <v>6024</v>
      </c>
      <c r="S34" s="2199" t="s">
        <v>287</v>
      </c>
      <c r="T34" s="2199"/>
      <c r="U34" s="2257"/>
      <c r="V34" s="2200"/>
      <c r="W34" s="2200"/>
      <c r="X34" s="2259"/>
      <c r="Y34" s="2822">
        <v>3210000</v>
      </c>
      <c r="Z34" s="3041">
        <f>1500000+1280000</f>
        <v>2780000</v>
      </c>
      <c r="AA34" s="2929"/>
      <c r="AB34" s="2256"/>
      <c r="AC34" s="2256"/>
      <c r="AD34" s="2822">
        <v>1000000</v>
      </c>
      <c r="AE34" s="2256"/>
      <c r="AF34" s="2260"/>
      <c r="AG34" s="1416">
        <f t="shared" si="1"/>
        <v>6990000</v>
      </c>
      <c r="AH34" s="2261"/>
      <c r="AI34" s="2374">
        <f t="shared" ref="AI34" si="6">(U34*1.08)+(V34*1.08)+(W34*1.08)+((850000*(H34+I34))+(H34*3650000)+(I34*3650000))*1.08</f>
        <v>9720000</v>
      </c>
      <c r="AJ34" s="1703">
        <f t="shared" si="2"/>
        <v>16710000</v>
      </c>
      <c r="AK34" s="2262"/>
      <c r="AL34" s="2932"/>
      <c r="AM34" s="1354"/>
      <c r="AN34" s="1350"/>
    </row>
    <row r="35" spans="1:40" ht="15.6">
      <c r="A35" s="3711" t="s">
        <v>6848</v>
      </c>
      <c r="B35" s="3712"/>
      <c r="C35" s="3712"/>
      <c r="D35" s="3712"/>
      <c r="E35" s="3712"/>
      <c r="F35" s="3712"/>
      <c r="G35" s="3712"/>
      <c r="H35" s="3712"/>
      <c r="I35" s="3712"/>
      <c r="J35" s="3712"/>
      <c r="K35" s="3712"/>
      <c r="L35" s="3713"/>
      <c r="M35" s="3084"/>
      <c r="N35" s="2240"/>
      <c r="O35" s="2240"/>
      <c r="P35" s="2241"/>
      <c r="Q35" s="2241"/>
      <c r="R35" s="2241"/>
      <c r="S35" s="2242"/>
      <c r="T35" s="2242"/>
      <c r="U35" s="2243"/>
      <c r="V35" s="2242"/>
      <c r="W35" s="2244"/>
      <c r="X35" s="2245"/>
      <c r="Y35" s="2242"/>
      <c r="Z35" s="2242"/>
      <c r="AA35" s="2242"/>
      <c r="AB35" s="2242"/>
      <c r="AC35" s="2242"/>
      <c r="AD35" s="2244"/>
      <c r="AE35" s="2242"/>
      <c r="AF35" s="2246"/>
      <c r="AG35" s="2246"/>
      <c r="AH35" s="2247"/>
      <c r="AI35" s="2248"/>
      <c r="AJ35" s="2248"/>
      <c r="AK35" s="2935"/>
      <c r="AL35" s="2534">
        <v>450000</v>
      </c>
      <c r="AM35" s="1354"/>
      <c r="AN35" s="1350"/>
    </row>
    <row r="36" spans="1:40" s="1350" customFormat="1" ht="37.5" customHeight="1">
      <c r="A36" s="1738"/>
      <c r="B36" s="2214" t="s">
        <v>6595</v>
      </c>
      <c r="C36" s="2263" t="s">
        <v>6591</v>
      </c>
      <c r="D36" s="2199" t="s">
        <v>6595</v>
      </c>
      <c r="E36" s="2250" t="s">
        <v>7027</v>
      </c>
      <c r="F36" s="2253" t="s">
        <v>6579</v>
      </c>
      <c r="G36" s="2196" t="s">
        <v>210</v>
      </c>
      <c r="H36" s="2197">
        <v>1</v>
      </c>
      <c r="I36" s="2203"/>
      <c r="J36" s="2203"/>
      <c r="K36" s="3064" t="s">
        <v>418</v>
      </c>
      <c r="L36" s="2203" t="s">
        <v>6577</v>
      </c>
      <c r="M36" s="2203" t="s">
        <v>6750</v>
      </c>
      <c r="N36" s="2195" t="s">
        <v>6590</v>
      </c>
      <c r="O36" s="2253" t="s">
        <v>6592</v>
      </c>
      <c r="P36" s="2960" t="s">
        <v>6578</v>
      </c>
      <c r="Q36" s="2254"/>
      <c r="R36" s="1738"/>
      <c r="S36" s="2199" t="s">
        <v>287</v>
      </c>
      <c r="T36" s="2199"/>
      <c r="U36" s="2199"/>
      <c r="V36" s="2200"/>
      <c r="W36" s="2200"/>
      <c r="X36" s="2201"/>
      <c r="Y36" s="2929"/>
      <c r="Z36" s="2929"/>
      <c r="AA36" s="2929"/>
      <c r="AB36" s="1697"/>
      <c r="AC36" s="1697"/>
      <c r="AD36" s="2202"/>
      <c r="AE36" s="2201"/>
      <c r="AF36" s="2201"/>
      <c r="AG36" s="1416">
        <f>+SUM(X36:AF36)</f>
        <v>0</v>
      </c>
      <c r="AH36" s="2263" t="s">
        <v>6920</v>
      </c>
      <c r="AI36" s="2374">
        <f>1050000*2*1.08</f>
        <v>2268000</v>
      </c>
      <c r="AJ36" s="1703">
        <f t="shared" ref="AJ36:AJ38" si="7">+AG36+AI36</f>
        <v>2268000</v>
      </c>
      <c r="AK36" s="3048"/>
      <c r="AL36" s="1697"/>
      <c r="AM36" s="1393"/>
    </row>
    <row r="37" spans="1:40" s="1350" customFormat="1" ht="45" customHeight="1">
      <c r="A37" s="1738"/>
      <c r="B37" s="2214" t="s">
        <v>6611</v>
      </c>
      <c r="C37" s="2924" t="s">
        <v>6616</v>
      </c>
      <c r="D37" s="2773">
        <v>45877</v>
      </c>
      <c r="E37" s="2250" t="s">
        <v>7028</v>
      </c>
      <c r="F37" s="2253" t="s">
        <v>6538</v>
      </c>
      <c r="G37" s="2196" t="s">
        <v>210</v>
      </c>
      <c r="H37" s="2203"/>
      <c r="I37" s="2203">
        <v>1</v>
      </c>
      <c r="J37" s="2203"/>
      <c r="K37" s="2203" t="s">
        <v>210</v>
      </c>
      <c r="L37" s="2794" t="s">
        <v>6597</v>
      </c>
      <c r="M37" s="2794" t="s">
        <v>6751</v>
      </c>
      <c r="N37" s="2989" t="s">
        <v>6615</v>
      </c>
      <c r="O37" s="2203" t="s">
        <v>6637</v>
      </c>
      <c r="P37" s="2992" t="s">
        <v>6598</v>
      </c>
      <c r="Q37" s="2179"/>
      <c r="R37" s="2179"/>
      <c r="S37" s="2199" t="s">
        <v>287</v>
      </c>
      <c r="T37" s="2199"/>
      <c r="U37" s="2214"/>
      <c r="V37" s="2200"/>
      <c r="W37" s="2200"/>
      <c r="X37" s="2201"/>
      <c r="Y37" s="2929"/>
      <c r="Z37" s="2929"/>
      <c r="AA37" s="2929"/>
      <c r="AB37" s="2201"/>
      <c r="AC37" s="2201"/>
      <c r="AD37" s="2202"/>
      <c r="AE37" s="2201"/>
      <c r="AF37" s="2201"/>
      <c r="AG37" s="1416">
        <f t="shared" ref="AG37:AG38" si="8">+SUM(X37:AF37)</f>
        <v>0</v>
      </c>
      <c r="AH37" s="2263" t="s">
        <v>6920</v>
      </c>
      <c r="AI37" s="2374">
        <f>1050000*1.08</f>
        <v>1134000</v>
      </c>
      <c r="AJ37" s="1703">
        <f t="shared" si="7"/>
        <v>1134000</v>
      </c>
      <c r="AK37" s="3048"/>
      <c r="AL37" s="2933"/>
      <c r="AM37" s="1393"/>
    </row>
    <row r="38" spans="1:40" s="3053" customFormat="1" ht="27.6" thickBot="1">
      <c r="A38" s="3110"/>
      <c r="B38" s="3111" t="s">
        <v>6643</v>
      </c>
      <c r="C38" s="3134" t="s">
        <v>6820</v>
      </c>
      <c r="D38" s="3112" t="s">
        <v>6643</v>
      </c>
      <c r="E38" s="3113" t="s">
        <v>7029</v>
      </c>
      <c r="F38" s="3114" t="s">
        <v>6538</v>
      </c>
      <c r="G38" s="3115" t="s">
        <v>210</v>
      </c>
      <c r="H38" s="3116"/>
      <c r="I38" s="3117">
        <v>1</v>
      </c>
      <c r="J38" s="3117"/>
      <c r="K38" s="3118" t="s">
        <v>136</v>
      </c>
      <c r="L38" s="3119" t="s">
        <v>6752</v>
      </c>
      <c r="M38" s="3117" t="s">
        <v>6864</v>
      </c>
      <c r="N38" s="3120" t="s">
        <v>6812</v>
      </c>
      <c r="O38" s="3117" t="s">
        <v>6813</v>
      </c>
      <c r="P38" s="3121" t="s">
        <v>6753</v>
      </c>
      <c r="Q38" s="3122"/>
      <c r="R38" s="3122"/>
      <c r="S38" s="3112" t="s">
        <v>287</v>
      </c>
      <c r="T38" s="3112"/>
      <c r="U38" s="3123"/>
      <c r="V38" s="3123">
        <v>650000</v>
      </c>
      <c r="W38" s="3123"/>
      <c r="X38" s="3124"/>
      <c r="Y38" s="3125"/>
      <c r="Z38" s="3125"/>
      <c r="AA38" s="3125"/>
      <c r="AB38" s="3124"/>
      <c r="AC38" s="3124"/>
      <c r="AD38" s="3126"/>
      <c r="AE38" s="3124"/>
      <c r="AF38" s="3124"/>
      <c r="AG38" s="3127">
        <f t="shared" si="8"/>
        <v>0</v>
      </c>
      <c r="AH38" s="3128" t="s">
        <v>6995</v>
      </c>
      <c r="AI38" s="3129">
        <f>(U38*1.08)+(V38*1.08)+(W38*1.08)+1050000*1.08</f>
        <v>1836000</v>
      </c>
      <c r="AJ38" s="3130">
        <f t="shared" si="7"/>
        <v>1836000</v>
      </c>
      <c r="AK38" s="3131"/>
      <c r="AL38" s="3132"/>
      <c r="AM38" s="3133"/>
    </row>
    <row r="39" spans="1:40" s="1350" customFormat="1" ht="27">
      <c r="A39" s="2523">
        <v>1</v>
      </c>
      <c r="B39" s="2531" t="s">
        <v>6799</v>
      </c>
      <c r="C39" s="3104" t="s">
        <v>6817</v>
      </c>
      <c r="D39" s="671" t="s">
        <v>6643</v>
      </c>
      <c r="E39" s="2987" t="s">
        <v>7030</v>
      </c>
      <c r="F39" s="1423" t="s">
        <v>6816</v>
      </c>
      <c r="G39" s="2064" t="s">
        <v>210</v>
      </c>
      <c r="H39" s="2527"/>
      <c r="I39" s="1423"/>
      <c r="J39" s="1423" t="s">
        <v>128</v>
      </c>
      <c r="K39" s="1423" t="s">
        <v>210</v>
      </c>
      <c r="L39" s="1423" t="s">
        <v>6814</v>
      </c>
      <c r="M39" s="1423"/>
      <c r="N39" s="1565" t="s">
        <v>6872</v>
      </c>
      <c r="O39" s="1423"/>
      <c r="P39" s="3105" t="s">
        <v>6815</v>
      </c>
      <c r="Q39" s="1565"/>
      <c r="R39" s="1565" t="s">
        <v>6818</v>
      </c>
      <c r="S39" s="671" t="s">
        <v>3144</v>
      </c>
      <c r="T39" s="671"/>
      <c r="U39" s="671"/>
      <c r="V39" s="2182"/>
      <c r="W39" s="2183"/>
      <c r="X39" s="1415"/>
      <c r="Y39" s="1415"/>
      <c r="Z39" s="1415"/>
      <c r="AA39" s="3106">
        <v>433950</v>
      </c>
      <c r="AB39" s="3107"/>
      <c r="AC39" s="3107"/>
      <c r="AD39" s="1692"/>
      <c r="AE39" s="1415"/>
      <c r="AF39" s="1415"/>
      <c r="AG39" s="1416">
        <f t="shared" ref="AG39" si="9">+SUM(X39:AF39)</f>
        <v>433950</v>
      </c>
      <c r="AH39" s="3108" t="s">
        <v>6877</v>
      </c>
      <c r="AI39" s="676">
        <v>2646000</v>
      </c>
      <c r="AJ39" s="677">
        <f t="shared" ref="AJ39" si="10">+AG39+AI39</f>
        <v>3079950</v>
      </c>
      <c r="AK39" s="2270"/>
      <c r="AL39" s="3109"/>
      <c r="AM39" s="1393"/>
    </row>
    <row r="40" spans="1:40" s="1758" customFormat="1" ht="52.5" customHeight="1">
      <c r="A40" s="1738">
        <f>+A39+1</f>
        <v>2</v>
      </c>
      <c r="B40" s="3088" t="s">
        <v>6854</v>
      </c>
      <c r="C40" s="3089" t="s">
        <v>6855</v>
      </c>
      <c r="D40" s="3088" t="s">
        <v>6854</v>
      </c>
      <c r="E40" s="3175" t="s">
        <v>6844</v>
      </c>
      <c r="F40" s="3075" t="s">
        <v>6824</v>
      </c>
      <c r="G40" s="3076" t="s">
        <v>210</v>
      </c>
      <c r="H40" s="3090"/>
      <c r="I40" s="1744">
        <v>4</v>
      </c>
      <c r="J40" s="1744"/>
      <c r="K40" s="3073" t="s">
        <v>210</v>
      </c>
      <c r="L40" s="3073" t="s">
        <v>6822</v>
      </c>
      <c r="M40" s="2681"/>
      <c r="N40" s="3091" t="s">
        <v>6852</v>
      </c>
      <c r="O40" s="3073" t="s">
        <v>6832</v>
      </c>
      <c r="P40" s="3077" t="s">
        <v>6823</v>
      </c>
      <c r="Q40" s="3092"/>
      <c r="R40" s="3091" t="s">
        <v>6853</v>
      </c>
      <c r="S40" s="3074" t="s">
        <v>4078</v>
      </c>
      <c r="T40" s="3602"/>
      <c r="U40" s="2060"/>
      <c r="V40" s="3093">
        <v>650000</v>
      </c>
      <c r="W40" s="3093">
        <v>300000</v>
      </c>
      <c r="X40" s="3094"/>
      <c r="Y40" s="3095">
        <f>1280000*4</f>
        <v>5120000</v>
      </c>
      <c r="Z40" s="3095">
        <f>1250000*4</f>
        <v>5000000</v>
      </c>
      <c r="AA40" s="3103">
        <v>3214477</v>
      </c>
      <c r="AB40" s="3094"/>
      <c r="AC40" s="3094"/>
      <c r="AD40" s="3099">
        <v>2000000</v>
      </c>
      <c r="AE40" s="3094"/>
      <c r="AF40" s="3094"/>
      <c r="AG40" s="1416">
        <f>+SUM(X40:AF40)</f>
        <v>15334477</v>
      </c>
      <c r="AH40" s="3075" t="s">
        <v>6994</v>
      </c>
      <c r="AI40" s="3086">
        <f>(U40*1.08)+(V40*1.08)+(W40*1.08)+((850000*(H40+I40))+(H40*3650000)+(I40*3650000))*1.08</f>
        <v>20466000</v>
      </c>
      <c r="AJ40" s="3087">
        <f>+AG40+AI40</f>
        <v>35800477</v>
      </c>
      <c r="AK40" s="3096"/>
      <c r="AL40" s="3097"/>
      <c r="AM40" s="3098"/>
    </row>
    <row r="41" spans="1:40" s="1350" customFormat="1" ht="15.6">
      <c r="A41" s="1738">
        <f t="shared" ref="A41:A61" si="11">+A40+1</f>
        <v>3</v>
      </c>
      <c r="B41" s="2214" t="s">
        <v>6859</v>
      </c>
      <c r="C41" s="2794" t="s">
        <v>6860</v>
      </c>
      <c r="D41" s="2199" t="s">
        <v>6825</v>
      </c>
      <c r="E41" s="2250" t="s">
        <v>6880</v>
      </c>
      <c r="F41" s="2944" t="s">
        <v>6500</v>
      </c>
      <c r="G41" s="2196" t="s">
        <v>1300</v>
      </c>
      <c r="H41" s="2197"/>
      <c r="I41" s="2203"/>
      <c r="J41" s="2203" t="s">
        <v>128</v>
      </c>
      <c r="K41" s="3064" t="s">
        <v>418</v>
      </c>
      <c r="L41" s="3204" t="s">
        <v>6843</v>
      </c>
      <c r="M41" s="2203"/>
      <c r="N41" s="1565" t="s">
        <v>7016</v>
      </c>
      <c r="O41" s="2203"/>
      <c r="P41" s="2874" t="s">
        <v>6694</v>
      </c>
      <c r="Q41" s="2179"/>
      <c r="R41" s="2179" t="s">
        <v>6818</v>
      </c>
      <c r="S41" s="2199" t="s">
        <v>3144</v>
      </c>
      <c r="T41" s="2199"/>
      <c r="U41" s="2199"/>
      <c r="V41" s="2218"/>
      <c r="W41" s="2202"/>
      <c r="X41" s="3103">
        <v>162000</v>
      </c>
      <c r="Y41" s="1769"/>
      <c r="Z41" s="1769"/>
      <c r="AA41" s="2201"/>
      <c r="AB41" s="2201"/>
      <c r="AC41" s="3139"/>
      <c r="AE41" s="2201"/>
      <c r="AF41" s="2201"/>
      <c r="AG41" s="1416">
        <f>+SUM(X41:AF41)</f>
        <v>162000</v>
      </c>
      <c r="AH41" s="2203"/>
      <c r="AI41" s="2374">
        <f>(650000+1500000)*1.08</f>
        <v>2322000</v>
      </c>
      <c r="AJ41" s="1703">
        <f>+AG41+AI41</f>
        <v>2484000</v>
      </c>
      <c r="AK41" s="2251"/>
      <c r="AL41" s="2933"/>
      <c r="AM41" s="1393"/>
    </row>
    <row r="42" spans="1:40" s="1350" customFormat="1" ht="39.6">
      <c r="A42" s="1738">
        <f t="shared" si="11"/>
        <v>4</v>
      </c>
      <c r="B42" s="2214" t="s">
        <v>6889</v>
      </c>
      <c r="C42" s="2794" t="s">
        <v>6874</v>
      </c>
      <c r="D42" s="2199" t="s">
        <v>6875</v>
      </c>
      <c r="E42" s="2250" t="s">
        <v>6922</v>
      </c>
      <c r="F42" s="3011" t="s">
        <v>6796</v>
      </c>
      <c r="G42" s="2196" t="s">
        <v>1300</v>
      </c>
      <c r="H42" s="2197"/>
      <c r="I42" s="2203">
        <v>1</v>
      </c>
      <c r="J42" s="2203"/>
      <c r="K42" s="3064" t="s">
        <v>418</v>
      </c>
      <c r="L42" s="3062" t="s">
        <v>6790</v>
      </c>
      <c r="M42" s="2203"/>
      <c r="N42" s="2195" t="s">
        <v>6791</v>
      </c>
      <c r="O42" s="2203" t="s">
        <v>6797</v>
      </c>
      <c r="P42" s="2773" t="s">
        <v>6825</v>
      </c>
      <c r="Q42" s="2179"/>
      <c r="R42" s="2179" t="s">
        <v>5942</v>
      </c>
      <c r="S42" s="2199" t="s">
        <v>287</v>
      </c>
      <c r="T42" s="2199"/>
      <c r="U42" s="2199"/>
      <c r="V42" s="2200"/>
      <c r="W42" s="2200"/>
      <c r="X42" s="1769"/>
      <c r="Y42" s="3103">
        <v>882000</v>
      </c>
      <c r="Z42" s="3095">
        <v>1500000</v>
      </c>
      <c r="AA42" s="3082"/>
      <c r="AB42" s="2201"/>
      <c r="AC42" s="2201"/>
      <c r="AD42" s="3151">
        <v>500000</v>
      </c>
      <c r="AE42" s="2201"/>
      <c r="AF42" s="2201"/>
      <c r="AG42" s="1416">
        <f>+SUM(X42:AF42)</f>
        <v>2882000</v>
      </c>
      <c r="AH42" s="2203"/>
      <c r="AI42" s="2374">
        <f>(U42*1.08)+(V42*1.08)+(W42*1.08)+((850000*(H42+I42))+(H42*3650000)+(I42*3650000))*1.08</f>
        <v>4860000</v>
      </c>
      <c r="AJ42" s="1703">
        <f>+AG42+AI42</f>
        <v>7742000</v>
      </c>
      <c r="AK42" s="2251"/>
      <c r="AL42" s="2933"/>
      <c r="AM42" s="1393"/>
    </row>
    <row r="43" spans="1:40" s="1350" customFormat="1" ht="27">
      <c r="A43" s="1738">
        <f t="shared" si="11"/>
        <v>5</v>
      </c>
      <c r="B43" s="2214" t="s">
        <v>6901</v>
      </c>
      <c r="C43" s="2924" t="s">
        <v>6908</v>
      </c>
      <c r="D43" s="2199" t="s">
        <v>6901</v>
      </c>
      <c r="E43" s="2250" t="s">
        <v>6923</v>
      </c>
      <c r="F43" s="2263" t="s">
        <v>7017</v>
      </c>
      <c r="G43" s="2196" t="s">
        <v>210</v>
      </c>
      <c r="H43" s="2197"/>
      <c r="I43" s="2203">
        <v>1</v>
      </c>
      <c r="J43" s="2203"/>
      <c r="K43" s="3064" t="s">
        <v>418</v>
      </c>
      <c r="L43" s="2203" t="s">
        <v>6881</v>
      </c>
      <c r="M43" s="2203" t="s">
        <v>7077</v>
      </c>
      <c r="N43" s="2195" t="s">
        <v>6907</v>
      </c>
      <c r="O43" s="2203" t="s">
        <v>6947</v>
      </c>
      <c r="P43" s="2773" t="s">
        <v>6882</v>
      </c>
      <c r="Q43" s="2179"/>
      <c r="R43" s="2179" t="s">
        <v>5972</v>
      </c>
      <c r="S43" s="2199" t="s">
        <v>287</v>
      </c>
      <c r="T43" s="2199"/>
      <c r="U43" s="2199"/>
      <c r="V43" s="3093"/>
      <c r="W43" s="2202"/>
      <c r="X43" s="1769"/>
      <c r="Y43" s="3103">
        <v>882000</v>
      </c>
      <c r="Z43" s="3095">
        <v>1500000</v>
      </c>
      <c r="AA43" s="2822">
        <v>1084349</v>
      </c>
      <c r="AB43" s="2201"/>
      <c r="AC43" s="2201"/>
      <c r="AD43" s="3151">
        <v>500000</v>
      </c>
      <c r="AE43" s="2201"/>
      <c r="AF43" s="2201"/>
      <c r="AG43" s="1416">
        <f>+SUM(X43:AF43)</f>
        <v>3966349</v>
      </c>
      <c r="AH43" s="3075" t="s">
        <v>6909</v>
      </c>
      <c r="AI43" s="2374">
        <f>(U43*1.08)+(V43*1.08)+(W43*1.08)+((850000*(H43+I43))+(H43*3650000)+(I43*3650000))*1.08</f>
        <v>4860000</v>
      </c>
      <c r="AJ43" s="1703">
        <f>+AG43+AI43</f>
        <v>8826349</v>
      </c>
      <c r="AK43" s="2251"/>
      <c r="AL43" s="2933"/>
      <c r="AM43" s="1393"/>
    </row>
    <row r="44" spans="1:40" s="1350" customFormat="1" ht="39.6">
      <c r="A44" s="1738">
        <f t="shared" si="11"/>
        <v>6</v>
      </c>
      <c r="B44" s="2214" t="s">
        <v>6901</v>
      </c>
      <c r="C44" s="2794" t="s">
        <v>6890</v>
      </c>
      <c r="D44" s="2199" t="s">
        <v>6883</v>
      </c>
      <c r="E44" s="2250" t="s">
        <v>6924</v>
      </c>
      <c r="F44" s="3011" t="s">
        <v>6503</v>
      </c>
      <c r="G44" s="2196" t="s">
        <v>1300</v>
      </c>
      <c r="H44" s="2197"/>
      <c r="I44" s="2203">
        <v>3</v>
      </c>
      <c r="J44" s="2203"/>
      <c r="K44" s="3064" t="s">
        <v>418</v>
      </c>
      <c r="L44" s="3062" t="s">
        <v>6789</v>
      </c>
      <c r="M44" s="2203"/>
      <c r="N44" s="2195" t="s">
        <v>6787</v>
      </c>
      <c r="O44" s="2794" t="s">
        <v>6801</v>
      </c>
      <c r="P44" s="2773" t="s">
        <v>6825</v>
      </c>
      <c r="Q44" s="2179" t="s">
        <v>6901</v>
      </c>
      <c r="R44" s="2195" t="s">
        <v>6918</v>
      </c>
      <c r="S44" s="2199" t="s">
        <v>287</v>
      </c>
      <c r="T44" s="2199"/>
      <c r="U44" s="2199"/>
      <c r="V44" s="2200"/>
      <c r="W44" s="2200"/>
      <c r="X44" s="3196"/>
      <c r="Y44" s="3103">
        <v>3894000</v>
      </c>
      <c r="Z44" s="3095">
        <v>4500000</v>
      </c>
      <c r="AA44" s="3082"/>
      <c r="AB44" s="2201"/>
      <c r="AC44" s="2201"/>
      <c r="AD44" s="3151">
        <v>1500000</v>
      </c>
      <c r="AE44" s="2201"/>
      <c r="AF44" s="2201"/>
      <c r="AG44" s="1416">
        <f>+SUM(Y44:AF44)</f>
        <v>9894000</v>
      </c>
      <c r="AH44" s="2203" t="s">
        <v>6921</v>
      </c>
      <c r="AI44" s="2374">
        <f>(U44*1.08)+(V44*1.08)+(W44*1.08)+((850000*(H44+I44))+(H44*3650000)+(I44*3650000))*1.08+(1000000*1.08)</f>
        <v>15660000.000000002</v>
      </c>
      <c r="AJ44" s="1703">
        <f>+AG44+AI44</f>
        <v>25554000</v>
      </c>
      <c r="AK44" s="2251"/>
      <c r="AL44" s="2933"/>
      <c r="AM44" s="1393"/>
    </row>
    <row r="45" spans="1:40" ht="27">
      <c r="A45" s="1738">
        <f t="shared" si="11"/>
        <v>7</v>
      </c>
      <c r="B45" s="2199" t="s">
        <v>6937</v>
      </c>
      <c r="C45" s="2794" t="s">
        <v>6900</v>
      </c>
      <c r="D45" s="2199" t="s">
        <v>6889</v>
      </c>
      <c r="E45" s="2250" t="s">
        <v>6925</v>
      </c>
      <c r="F45" s="3011" t="s">
        <v>6733</v>
      </c>
      <c r="G45" s="2196" t="s">
        <v>1300</v>
      </c>
      <c r="H45" s="2197"/>
      <c r="I45" s="2203">
        <v>2</v>
      </c>
      <c r="J45" s="2203"/>
      <c r="K45" s="3064" t="s">
        <v>418</v>
      </c>
      <c r="L45" s="2203" t="s">
        <v>6830</v>
      </c>
      <c r="M45" s="2203"/>
      <c r="N45" s="2195" t="s">
        <v>6831</v>
      </c>
      <c r="O45" s="2203" t="s">
        <v>6884</v>
      </c>
      <c r="P45" s="2773" t="s">
        <v>6859</v>
      </c>
      <c r="Q45" s="2773">
        <v>45970</v>
      </c>
      <c r="R45" s="1738" t="s">
        <v>6953</v>
      </c>
      <c r="S45" s="2199" t="s">
        <v>287</v>
      </c>
      <c r="T45" s="2199"/>
      <c r="U45" s="2257"/>
      <c r="V45" s="2256"/>
      <c r="W45" s="2258"/>
      <c r="X45" s="3103">
        <v>48000</v>
      </c>
      <c r="Y45" s="3103">
        <v>3210000</v>
      </c>
      <c r="Z45" s="3095">
        <f>1500000+1450000</f>
        <v>2950000</v>
      </c>
      <c r="AA45" s="3083"/>
      <c r="AB45" s="2256"/>
      <c r="AC45" s="2256"/>
      <c r="AD45" s="3151">
        <v>1000000</v>
      </c>
      <c r="AE45" s="2256"/>
      <c r="AF45" s="2260"/>
      <c r="AG45" s="1416">
        <f>+SUM(X45:AF45)</f>
        <v>7208000</v>
      </c>
      <c r="AH45" s="2261"/>
      <c r="AI45" s="2374">
        <f>(U45*1.08)+(V45*1.08)+(W45*1.08)+((850000*(H45+I45))+(H45*3650000)+(I45*3650000))*1.08</f>
        <v>9720000</v>
      </c>
      <c r="AJ45" s="1703">
        <f t="shared" ref="AJ45:AJ47" si="12">+AG45+AI45</f>
        <v>16928000</v>
      </c>
      <c r="AK45" s="2251"/>
      <c r="AL45" s="2932"/>
      <c r="AM45" s="1354"/>
      <c r="AN45" s="1350"/>
    </row>
    <row r="46" spans="1:40" s="1350" customFormat="1" ht="15.6">
      <c r="A46" s="1738">
        <f t="shared" si="11"/>
        <v>8</v>
      </c>
      <c r="B46" s="2199" t="s">
        <v>6937</v>
      </c>
      <c r="C46" s="2794" t="s">
        <v>6932</v>
      </c>
      <c r="D46" s="2199" t="s">
        <v>6829</v>
      </c>
      <c r="E46" s="2250" t="s">
        <v>6952</v>
      </c>
      <c r="F46" s="2944" t="s">
        <v>6500</v>
      </c>
      <c r="G46" s="2196" t="s">
        <v>1300</v>
      </c>
      <c r="H46" s="2197"/>
      <c r="I46" s="2203"/>
      <c r="J46" s="2203" t="s">
        <v>128</v>
      </c>
      <c r="K46" s="3064" t="s">
        <v>418</v>
      </c>
      <c r="L46" s="2203" t="s">
        <v>6912</v>
      </c>
      <c r="M46" s="2203"/>
      <c r="N46" s="2195" t="s">
        <v>7020</v>
      </c>
      <c r="O46" s="2203" t="s">
        <v>6914</v>
      </c>
      <c r="P46" s="2874" t="s">
        <v>6829</v>
      </c>
      <c r="Q46" s="2179"/>
      <c r="R46" s="2179" t="s">
        <v>6022</v>
      </c>
      <c r="S46" s="671" t="s">
        <v>3144</v>
      </c>
      <c r="T46" s="671"/>
      <c r="U46" s="2199"/>
      <c r="V46" s="2218"/>
      <c r="W46" s="2202"/>
      <c r="X46" s="3103">
        <v>643950</v>
      </c>
      <c r="Y46" s="1769"/>
      <c r="Z46" s="1769"/>
      <c r="AA46" s="2201"/>
      <c r="AB46" s="2201"/>
      <c r="AC46" s="2201"/>
      <c r="AD46" s="2202"/>
      <c r="AE46" s="2201"/>
      <c r="AF46" s="2201"/>
      <c r="AG46" s="1416">
        <f t="shared" ref="AG46:AG57" si="13">+SUM(X46:AF46)</f>
        <v>643950</v>
      </c>
      <c r="AH46" s="2203"/>
      <c r="AI46" s="2374">
        <f>(650000+1800000)*1.08</f>
        <v>2646000</v>
      </c>
      <c r="AJ46" s="1703">
        <f t="shared" si="12"/>
        <v>3289950</v>
      </c>
      <c r="AK46" s="2251"/>
      <c r="AL46" s="2933"/>
      <c r="AM46" s="1393"/>
    </row>
    <row r="47" spans="1:40" s="1350" customFormat="1" ht="47.25" customHeight="1">
      <c r="A47" s="1738">
        <f t="shared" si="11"/>
        <v>9</v>
      </c>
      <c r="B47" s="2214" t="s">
        <v>6962</v>
      </c>
      <c r="C47" s="3267" t="s">
        <v>6950</v>
      </c>
      <c r="D47" s="2199" t="s">
        <v>6926</v>
      </c>
      <c r="E47" s="2250" t="s">
        <v>6951</v>
      </c>
      <c r="F47" s="3011" t="s">
        <v>6503</v>
      </c>
      <c r="G47" s="2196" t="s">
        <v>1300</v>
      </c>
      <c r="H47" s="2197"/>
      <c r="I47" s="2203">
        <v>3</v>
      </c>
      <c r="J47" s="2203"/>
      <c r="K47" s="3064" t="s">
        <v>418</v>
      </c>
      <c r="L47" s="2253" t="s">
        <v>6871</v>
      </c>
      <c r="M47" s="2203"/>
      <c r="N47" s="2195" t="s">
        <v>6870</v>
      </c>
      <c r="O47" s="2203" t="s">
        <v>6939</v>
      </c>
      <c r="P47" s="2874">
        <v>45756</v>
      </c>
      <c r="Q47" s="2179"/>
      <c r="R47" s="2195" t="s">
        <v>6978</v>
      </c>
      <c r="S47" s="2199" t="s">
        <v>287</v>
      </c>
      <c r="T47" s="2199"/>
      <c r="U47" s="2199"/>
      <c r="V47" s="2218"/>
      <c r="W47" s="2202"/>
      <c r="X47" s="3103">
        <v>422000</v>
      </c>
      <c r="Y47" s="3103">
        <v>3894000</v>
      </c>
      <c r="Z47" s="3095">
        <f>+(1500000*2)+1510000</f>
        <v>4510000</v>
      </c>
      <c r="AA47" s="2201"/>
      <c r="AB47" s="2201"/>
      <c r="AC47" s="2201"/>
      <c r="AD47" s="3151">
        <v>1500000</v>
      </c>
      <c r="AE47" s="3099">
        <f>450000+150000</f>
        <v>600000</v>
      </c>
      <c r="AF47" s="2201"/>
      <c r="AG47" s="1416">
        <f t="shared" si="13"/>
        <v>10926000</v>
      </c>
      <c r="AH47" s="2263" t="s">
        <v>6993</v>
      </c>
      <c r="AI47" s="2374">
        <f t="shared" ref="AI47" si="14">(U47*1.08)+(V47*1.08)+(W47*1.08)+((850000*(H47+I47))+(H47*3650000)+(I47*3650000))*1.08</f>
        <v>14580000.000000002</v>
      </c>
      <c r="AJ47" s="1703">
        <f t="shared" si="12"/>
        <v>25506000</v>
      </c>
      <c r="AK47" s="3184"/>
      <c r="AL47" s="2933"/>
      <c r="AM47" s="1393"/>
    </row>
    <row r="48" spans="1:40" s="1350" customFormat="1" ht="15.6">
      <c r="A48" s="1738">
        <f t="shared" si="11"/>
        <v>10</v>
      </c>
      <c r="B48" s="2214" t="s">
        <v>6857</v>
      </c>
      <c r="C48" s="2794" t="s">
        <v>6955</v>
      </c>
      <c r="D48" s="2199" t="s">
        <v>6937</v>
      </c>
      <c r="E48" s="2250" t="s">
        <v>6979</v>
      </c>
      <c r="F48" s="2944" t="s">
        <v>6500</v>
      </c>
      <c r="G48" s="2196" t="s">
        <v>1300</v>
      </c>
      <c r="H48" s="2197"/>
      <c r="I48" s="2203"/>
      <c r="J48" s="2203" t="s">
        <v>128</v>
      </c>
      <c r="K48" s="3064" t="s">
        <v>418</v>
      </c>
      <c r="L48" s="2203" t="s">
        <v>6948</v>
      </c>
      <c r="M48" s="2203"/>
      <c r="N48" s="2195" t="s">
        <v>7021</v>
      </c>
      <c r="O48" s="2203" t="s">
        <v>6949</v>
      </c>
      <c r="P48" s="2874" t="s">
        <v>6926</v>
      </c>
      <c r="Q48" s="2179"/>
      <c r="R48" s="2179" t="s">
        <v>6022</v>
      </c>
      <c r="S48" s="671" t="s">
        <v>5026</v>
      </c>
      <c r="T48" s="671"/>
      <c r="U48" s="2199"/>
      <c r="V48" s="2218"/>
      <c r="W48" s="2202"/>
      <c r="X48" s="3103">
        <v>339293</v>
      </c>
      <c r="Y48" s="1769"/>
      <c r="Z48" s="1769"/>
      <c r="AA48" s="2201"/>
      <c r="AB48" s="2201"/>
      <c r="AC48" s="2201"/>
      <c r="AD48" s="2202"/>
      <c r="AE48" s="2201"/>
      <c r="AF48" s="2201"/>
      <c r="AG48" s="1416">
        <f t="shared" si="13"/>
        <v>339293</v>
      </c>
      <c r="AH48" s="2203"/>
      <c r="AI48" s="2374">
        <f>(650000+1800000)*1.08</f>
        <v>2646000</v>
      </c>
      <c r="AJ48" s="1703">
        <f t="shared" ref="AJ48:AJ55" si="15">+AG48+AI48</f>
        <v>2985293</v>
      </c>
      <c r="AK48" s="2251"/>
      <c r="AL48" s="2933"/>
      <c r="AM48" s="1393"/>
    </row>
    <row r="49" spans="1:39" s="1350" customFormat="1" ht="15.6">
      <c r="A49" s="1738">
        <f t="shared" si="11"/>
        <v>11</v>
      </c>
      <c r="B49" s="2214" t="s">
        <v>6977</v>
      </c>
      <c r="C49" s="2794" t="s">
        <v>6975</v>
      </c>
      <c r="D49" s="2199" t="s">
        <v>6974</v>
      </c>
      <c r="E49" s="2250" t="s">
        <v>6980</v>
      </c>
      <c r="F49" s="2944" t="s">
        <v>6500</v>
      </c>
      <c r="G49" s="2196" t="s">
        <v>1300</v>
      </c>
      <c r="H49" s="2197"/>
      <c r="I49" s="2203"/>
      <c r="J49" s="2203" t="s">
        <v>128</v>
      </c>
      <c r="K49" s="3064" t="s">
        <v>418</v>
      </c>
      <c r="L49" s="2203" t="s">
        <v>6963</v>
      </c>
      <c r="M49" s="2203"/>
      <c r="N49" s="2195" t="s">
        <v>7022</v>
      </c>
      <c r="O49" s="2203" t="s">
        <v>6976</v>
      </c>
      <c r="P49" s="2874" t="s">
        <v>6857</v>
      </c>
      <c r="Q49" s="2179"/>
      <c r="R49" s="2179" t="s">
        <v>6224</v>
      </c>
      <c r="S49" s="671" t="s">
        <v>5026</v>
      </c>
      <c r="T49" s="671"/>
      <c r="U49" s="2199"/>
      <c r="V49" s="2218"/>
      <c r="W49" s="2202"/>
      <c r="X49" s="3103">
        <v>325037</v>
      </c>
      <c r="Y49" s="1769"/>
      <c r="Z49" s="1769"/>
      <c r="AA49" s="2201"/>
      <c r="AB49" s="2201"/>
      <c r="AC49" s="2201"/>
      <c r="AD49" s="3198"/>
      <c r="AE49" s="2201"/>
      <c r="AF49" s="2201"/>
      <c r="AG49" s="1416">
        <f t="shared" si="13"/>
        <v>325037</v>
      </c>
      <c r="AH49" s="2203"/>
      <c r="AI49" s="2374">
        <f>(650000+1800000)*1.08</f>
        <v>2646000</v>
      </c>
      <c r="AJ49" s="1703">
        <f t="shared" si="15"/>
        <v>2971037</v>
      </c>
      <c r="AK49" s="2251"/>
      <c r="AL49" s="2933"/>
      <c r="AM49" s="1393"/>
    </row>
    <row r="50" spans="1:39" s="1350" customFormat="1" ht="21">
      <c r="A50" s="1738">
        <f t="shared" si="11"/>
        <v>12</v>
      </c>
      <c r="B50" s="2214" t="s">
        <v>7031</v>
      </c>
      <c r="C50" s="2794" t="s">
        <v>6981</v>
      </c>
      <c r="D50" s="2199" t="s">
        <v>6974</v>
      </c>
      <c r="E50" s="2250" t="s">
        <v>7008</v>
      </c>
      <c r="F50" s="3011" t="s">
        <v>6945</v>
      </c>
      <c r="G50" s="2196" t="s">
        <v>1300</v>
      </c>
      <c r="H50" s="2197"/>
      <c r="I50" s="2203">
        <v>1</v>
      </c>
      <c r="J50" s="2203"/>
      <c r="K50" s="3064" t="s">
        <v>418</v>
      </c>
      <c r="L50" s="2203" t="s">
        <v>6943</v>
      </c>
      <c r="M50" s="2203"/>
      <c r="N50" s="2195" t="s">
        <v>6944</v>
      </c>
      <c r="O50" s="2203" t="s">
        <v>6946</v>
      </c>
      <c r="P50" s="2773">
        <v>45970</v>
      </c>
      <c r="Q50" s="2179" t="s">
        <v>7000</v>
      </c>
      <c r="R50" s="2179" t="s">
        <v>6223</v>
      </c>
      <c r="S50" s="2199" t="s">
        <v>287</v>
      </c>
      <c r="T50" s="2199"/>
      <c r="U50" s="2199"/>
      <c r="V50" s="2218"/>
      <c r="W50" s="2202"/>
      <c r="X50" s="1769"/>
      <c r="Y50" s="3103">
        <v>1298000</v>
      </c>
      <c r="Z50" s="3095">
        <v>1512000</v>
      </c>
      <c r="AA50" s="2201"/>
      <c r="AB50" s="2201"/>
      <c r="AC50" s="2201"/>
      <c r="AD50" s="3151">
        <v>500000</v>
      </c>
      <c r="AE50" s="2201"/>
      <c r="AF50" s="2201"/>
      <c r="AG50" s="1416">
        <f>+SUM(X50:AF50)</f>
        <v>3310000</v>
      </c>
      <c r="AH50" s="2203"/>
      <c r="AI50" s="2374">
        <f>(U50*1.08)+(V50*1.08)+(W50*1.08)+((850000*(H50+I50))+(H50*3650000)+(I50*3650000))*1.08</f>
        <v>4860000</v>
      </c>
      <c r="AJ50" s="1703">
        <f>+AG50+AI50</f>
        <v>8170000</v>
      </c>
      <c r="AK50" s="2251"/>
      <c r="AL50" s="2933"/>
      <c r="AM50" s="1393"/>
    </row>
    <row r="51" spans="1:39" s="1350" customFormat="1" ht="39.6">
      <c r="A51" s="1738">
        <f t="shared" si="11"/>
        <v>13</v>
      </c>
      <c r="B51" s="2214" t="s">
        <v>6977</v>
      </c>
      <c r="C51" s="2924" t="s">
        <v>6991</v>
      </c>
      <c r="D51" s="2199" t="s">
        <v>6977</v>
      </c>
      <c r="E51" s="2250" t="s">
        <v>7009</v>
      </c>
      <c r="F51" s="2253" t="s">
        <v>6997</v>
      </c>
      <c r="G51" s="2196" t="s">
        <v>210</v>
      </c>
      <c r="H51" s="2197"/>
      <c r="I51" s="2203">
        <v>1</v>
      </c>
      <c r="J51" s="2203"/>
      <c r="K51" s="3064" t="s">
        <v>418</v>
      </c>
      <c r="L51" s="2203" t="s">
        <v>6971</v>
      </c>
      <c r="M51" s="2203" t="s">
        <v>7078</v>
      </c>
      <c r="N51" s="2195" t="s">
        <v>6986</v>
      </c>
      <c r="O51" s="2203" t="s">
        <v>6992</v>
      </c>
      <c r="P51" s="2773" t="s">
        <v>6961</v>
      </c>
      <c r="Q51" s="2181"/>
      <c r="R51" s="2181" t="s">
        <v>6056</v>
      </c>
      <c r="S51" s="2199" t="s">
        <v>287</v>
      </c>
      <c r="T51" s="671"/>
      <c r="U51" s="671"/>
      <c r="V51" s="2182"/>
      <c r="W51" s="1692"/>
      <c r="X51" s="1362"/>
      <c r="Y51" s="3095">
        <v>1500000</v>
      </c>
      <c r="Z51" s="3103">
        <v>882000</v>
      </c>
      <c r="AA51" s="3103">
        <v>763816</v>
      </c>
      <c r="AB51" s="1415"/>
      <c r="AC51" s="1415"/>
      <c r="AD51" s="3151">
        <v>500000</v>
      </c>
      <c r="AE51" s="1415"/>
      <c r="AF51" s="1415"/>
      <c r="AG51" s="1416">
        <f>+SUM(X51:AF51)</f>
        <v>3645816</v>
      </c>
      <c r="AH51" s="3075" t="s">
        <v>6996</v>
      </c>
      <c r="AI51" s="2374">
        <f>(U51*1.08)+(V51*1.08)+(W51*1.08)+((850000*(H51+I51))+(H51*3650000)+(I51*3650000))*1.08</f>
        <v>4860000</v>
      </c>
      <c r="AJ51" s="1703">
        <f>+AG51+AI51</f>
        <v>8505816</v>
      </c>
      <c r="AK51" s="2251"/>
      <c r="AM51" s="1393"/>
    </row>
    <row r="52" spans="1:39" s="1350" customFormat="1" ht="39.6">
      <c r="A52" s="1738">
        <f t="shared" si="11"/>
        <v>14</v>
      </c>
      <c r="B52" s="2214" t="s">
        <v>6977</v>
      </c>
      <c r="C52" s="2924" t="s">
        <v>7005</v>
      </c>
      <c r="D52" s="2199" t="s">
        <v>6977</v>
      </c>
      <c r="E52" s="2250" t="s">
        <v>7010</v>
      </c>
      <c r="F52" s="2253" t="s">
        <v>6998</v>
      </c>
      <c r="G52" s="2196" t="s">
        <v>210</v>
      </c>
      <c r="H52" s="2197"/>
      <c r="I52" s="2203">
        <v>1</v>
      </c>
      <c r="J52" s="2203"/>
      <c r="K52" s="2203" t="s">
        <v>210</v>
      </c>
      <c r="L52" s="2203" t="s">
        <v>6960</v>
      </c>
      <c r="M52" s="2203" t="s">
        <v>7079</v>
      </c>
      <c r="N52" s="2195" t="s">
        <v>7004</v>
      </c>
      <c r="O52" s="2203" t="s">
        <v>7006</v>
      </c>
      <c r="P52" s="2773" t="s">
        <v>6961</v>
      </c>
      <c r="Q52" s="2179"/>
      <c r="R52" s="2179" t="s">
        <v>6999</v>
      </c>
      <c r="S52" s="2199" t="s">
        <v>287</v>
      </c>
      <c r="T52" s="2199"/>
      <c r="U52" s="2199"/>
      <c r="V52" s="2218"/>
      <c r="W52" s="2202"/>
      <c r="X52" s="3095">
        <v>236000</v>
      </c>
      <c r="Y52" s="3095">
        <v>1500000</v>
      </c>
      <c r="Z52" s="3103">
        <v>882000</v>
      </c>
      <c r="AA52" s="3103">
        <v>750986</v>
      </c>
      <c r="AB52" s="2201"/>
      <c r="AC52" s="2201"/>
      <c r="AD52" s="3151">
        <v>500000</v>
      </c>
      <c r="AE52" s="2201"/>
      <c r="AF52" s="2201"/>
      <c r="AG52" s="1416">
        <f>+SUM(X52:AF52)</f>
        <v>3868986</v>
      </c>
      <c r="AH52" s="3075" t="s">
        <v>7166</v>
      </c>
      <c r="AI52" s="2374">
        <f>(U52*1.08)+(V52*1.08)+(W52*1.08)+((850000*(H52+I52))+(H52*3650000)+(I52*3650000))*1.08</f>
        <v>4860000</v>
      </c>
      <c r="AJ52" s="1703">
        <f>+AG52+AI52</f>
        <v>8728986</v>
      </c>
      <c r="AK52" s="2251"/>
      <c r="AL52" s="2933"/>
      <c r="AM52" s="1393"/>
    </row>
    <row r="53" spans="1:39" s="1350" customFormat="1" ht="30" customHeight="1">
      <c r="A53" s="1738">
        <f t="shared" si="11"/>
        <v>15</v>
      </c>
      <c r="B53" s="2214" t="s">
        <v>7031</v>
      </c>
      <c r="C53" s="2794" t="s">
        <v>7003</v>
      </c>
      <c r="D53" s="2199" t="s">
        <v>6977</v>
      </c>
      <c r="E53" s="2250" t="s">
        <v>7011</v>
      </c>
      <c r="F53" s="2944" t="s">
        <v>6500</v>
      </c>
      <c r="G53" s="2196" t="s">
        <v>1300</v>
      </c>
      <c r="H53" s="2197"/>
      <c r="I53" s="2203"/>
      <c r="J53" s="2203">
        <v>1</v>
      </c>
      <c r="K53" s="3064" t="s">
        <v>418</v>
      </c>
      <c r="L53" s="2203" t="s">
        <v>6938</v>
      </c>
      <c r="M53" s="2203"/>
      <c r="N53" s="2195" t="s">
        <v>7012</v>
      </c>
      <c r="O53" s="2203" t="s">
        <v>6915</v>
      </c>
      <c r="P53" s="2773">
        <v>45817</v>
      </c>
      <c r="Q53" s="2179"/>
      <c r="R53" s="2179" t="s">
        <v>6022</v>
      </c>
      <c r="S53" s="2214" t="s">
        <v>6964</v>
      </c>
      <c r="T53" s="2214"/>
      <c r="U53" s="2199"/>
      <c r="V53" s="2218"/>
      <c r="W53" s="2202"/>
      <c r="X53" s="3103">
        <v>309272</v>
      </c>
      <c r="Y53" s="1769"/>
      <c r="Z53" s="1769"/>
      <c r="AA53" s="2201"/>
      <c r="AB53" s="2201"/>
      <c r="AC53" s="2201"/>
      <c r="AD53" s="3151">
        <v>26814</v>
      </c>
      <c r="AE53" s="2201"/>
      <c r="AF53" s="2201"/>
      <c r="AG53" s="1416">
        <f t="shared" si="13"/>
        <v>336086</v>
      </c>
      <c r="AH53" s="2203"/>
      <c r="AI53" s="2374">
        <f>(650000+2300000)*1.08</f>
        <v>3186000</v>
      </c>
      <c r="AJ53" s="1703">
        <f t="shared" si="15"/>
        <v>3522086</v>
      </c>
      <c r="AK53" s="2251"/>
      <c r="AL53" s="2933"/>
      <c r="AM53" s="1393"/>
    </row>
    <row r="54" spans="1:39" s="1350" customFormat="1" ht="26.4">
      <c r="A54" s="1738">
        <f t="shared" si="11"/>
        <v>16</v>
      </c>
      <c r="B54" s="2199" t="s">
        <v>6957</v>
      </c>
      <c r="C54" s="2794" t="s">
        <v>7037</v>
      </c>
      <c r="D54" s="1738" t="s">
        <v>6988</v>
      </c>
      <c r="E54" s="2250" t="s">
        <v>7047</v>
      </c>
      <c r="F54" s="3011" t="s">
        <v>6733</v>
      </c>
      <c r="G54" s="2196" t="s">
        <v>1300</v>
      </c>
      <c r="H54" s="2197"/>
      <c r="I54" s="2203">
        <v>2</v>
      </c>
      <c r="J54" s="2203"/>
      <c r="K54" s="3064" t="s">
        <v>418</v>
      </c>
      <c r="L54" s="2203" t="s">
        <v>6954</v>
      </c>
      <c r="M54" s="2203"/>
      <c r="N54" s="2195" t="s">
        <v>6982</v>
      </c>
      <c r="O54" s="2203" t="s">
        <v>6983</v>
      </c>
      <c r="P54" s="2874" t="s">
        <v>6977</v>
      </c>
      <c r="Q54" s="2179"/>
      <c r="R54" s="2195" t="s">
        <v>7057</v>
      </c>
      <c r="S54" s="2199" t="s">
        <v>287</v>
      </c>
      <c r="T54" s="2199"/>
      <c r="U54" s="2199"/>
      <c r="V54" s="2218"/>
      <c r="W54" s="2202"/>
      <c r="X54" s="1769"/>
      <c r="Y54" s="3103">
        <v>2692000</v>
      </c>
      <c r="Z54" s="3095">
        <f>1450000*2</f>
        <v>2900000</v>
      </c>
      <c r="AA54" s="2201"/>
      <c r="AB54" s="2201"/>
      <c r="AC54" s="2201"/>
      <c r="AD54" s="3151">
        <v>1000000</v>
      </c>
      <c r="AE54" s="2201"/>
      <c r="AF54" s="2201"/>
      <c r="AG54" s="1416">
        <f t="shared" ref="AG54" si="16">+SUM(X54:AF54)</f>
        <v>6592000</v>
      </c>
      <c r="AH54" s="2203"/>
      <c r="AI54" s="2374">
        <f>(U54*1.08)+(V54*1.08)+(W54*1.08)+((850000*(H54+I54))+(H54*3650000)+(I54*3650000))*1.08</f>
        <v>9720000</v>
      </c>
      <c r="AJ54" s="1703">
        <f t="shared" ref="AJ54" si="17">+AG54+AI54</f>
        <v>16312000</v>
      </c>
      <c r="AK54" s="2251"/>
      <c r="AL54" s="2933"/>
      <c r="AM54" s="1393"/>
    </row>
    <row r="55" spans="1:39" s="1350" customFormat="1" ht="39.6">
      <c r="A55" s="1738">
        <f t="shared" si="11"/>
        <v>17</v>
      </c>
      <c r="B55" s="2214" t="s">
        <v>7045</v>
      </c>
      <c r="C55" s="2794" t="s">
        <v>7058</v>
      </c>
      <c r="D55" s="2199" t="s">
        <v>7044</v>
      </c>
      <c r="E55" s="2250" t="s">
        <v>7074</v>
      </c>
      <c r="F55" s="3011" t="s">
        <v>6503</v>
      </c>
      <c r="G55" s="2196" t="s">
        <v>1300</v>
      </c>
      <c r="H55" s="2197"/>
      <c r="I55" s="2203">
        <v>3</v>
      </c>
      <c r="J55" s="2203"/>
      <c r="K55" s="3064" t="s">
        <v>418</v>
      </c>
      <c r="L55" s="2203" t="s">
        <v>6913</v>
      </c>
      <c r="M55" s="2203"/>
      <c r="N55" s="2195" t="s">
        <v>6984</v>
      </c>
      <c r="O55" s="2203" t="s">
        <v>6985</v>
      </c>
      <c r="P55" s="2773">
        <v>45878</v>
      </c>
      <c r="Q55" s="2179"/>
      <c r="R55" s="2195" t="s">
        <v>7081</v>
      </c>
      <c r="S55" s="2199" t="s">
        <v>287</v>
      </c>
      <c r="T55" s="2199"/>
      <c r="U55" s="2199"/>
      <c r="V55" s="2218"/>
      <c r="W55" s="2202"/>
      <c r="X55" s="1769"/>
      <c r="Y55" s="3103">
        <v>5460000</v>
      </c>
      <c r="Z55" s="3095">
        <f>1500000*3</f>
        <v>4500000</v>
      </c>
      <c r="AA55" s="2201"/>
      <c r="AB55" s="2201"/>
      <c r="AC55" s="2201"/>
      <c r="AD55" s="3151">
        <v>1500000</v>
      </c>
      <c r="AE55" s="3099">
        <v>2640000</v>
      </c>
      <c r="AF55" s="2201"/>
      <c r="AG55" s="1416">
        <f t="shared" si="13"/>
        <v>14100000</v>
      </c>
      <c r="AH55" s="2203"/>
      <c r="AI55" s="2374">
        <f t="shared" ref="AI55:AI57" si="18">(U55*1.08)+(V55*1.08)+(W55*1.08)+((850000*(H55+I55))+(H55*3650000)+(I55*3650000))*1.08</f>
        <v>14580000.000000002</v>
      </c>
      <c r="AJ55" s="1703">
        <f t="shared" si="15"/>
        <v>28680000</v>
      </c>
      <c r="AK55" s="2251"/>
      <c r="AL55" s="2933"/>
      <c r="AM55" s="1393"/>
    </row>
    <row r="56" spans="1:39" s="1350" customFormat="1" ht="15.6">
      <c r="A56" s="1738">
        <f t="shared" si="11"/>
        <v>18</v>
      </c>
      <c r="B56" s="2214" t="s">
        <v>7045</v>
      </c>
      <c r="C56" s="2794" t="s">
        <v>7073</v>
      </c>
      <c r="D56" s="2199" t="s">
        <v>7070</v>
      </c>
      <c r="E56" s="2250" t="s">
        <v>7075</v>
      </c>
      <c r="F56" s="2944" t="s">
        <v>6500</v>
      </c>
      <c r="G56" s="2196" t="s">
        <v>1300</v>
      </c>
      <c r="H56" s="2197"/>
      <c r="I56" s="2203"/>
      <c r="J56" s="2203" t="s">
        <v>128</v>
      </c>
      <c r="K56" s="3064" t="s">
        <v>418</v>
      </c>
      <c r="L56" s="2203" t="s">
        <v>7065</v>
      </c>
      <c r="M56" s="2203"/>
      <c r="N56" s="2195"/>
      <c r="O56" s="2203" t="s">
        <v>7071</v>
      </c>
      <c r="P56" s="2874" t="s">
        <v>7044</v>
      </c>
      <c r="Q56" s="2181"/>
      <c r="R56" s="2181" t="s">
        <v>6818</v>
      </c>
      <c r="S56" s="2199" t="s">
        <v>5026</v>
      </c>
      <c r="T56" s="2199"/>
      <c r="U56" s="2199"/>
      <c r="V56" s="2218"/>
      <c r="W56" s="2202"/>
      <c r="X56" s="3103">
        <v>366379</v>
      </c>
      <c r="Y56" s="2201"/>
      <c r="Z56" s="2201"/>
      <c r="AA56" s="2201"/>
      <c r="AB56" s="2201"/>
      <c r="AC56" s="2201"/>
      <c r="AD56" s="2202"/>
      <c r="AE56" s="2201"/>
      <c r="AF56" s="2201"/>
      <c r="AG56" s="1416">
        <f t="shared" si="13"/>
        <v>366379</v>
      </c>
      <c r="AH56" s="2203"/>
      <c r="AI56" s="2374">
        <f>(650000+1800000)*1.08</f>
        <v>2646000</v>
      </c>
      <c r="AJ56" s="1703">
        <f t="shared" ref="AJ56:AJ61" si="19">+AG56+AI56</f>
        <v>3012379</v>
      </c>
      <c r="AK56" s="2251"/>
      <c r="AL56" s="2933"/>
      <c r="AM56" s="1393"/>
    </row>
    <row r="57" spans="1:39" s="1350" customFormat="1" ht="24" customHeight="1">
      <c r="A57" s="1738">
        <f t="shared" si="11"/>
        <v>19</v>
      </c>
      <c r="B57" s="2214" t="s">
        <v>7108</v>
      </c>
      <c r="C57" s="2794" t="s">
        <v>7072</v>
      </c>
      <c r="D57" s="2199" t="s">
        <v>7070</v>
      </c>
      <c r="E57" s="2250" t="s">
        <v>7076</v>
      </c>
      <c r="F57" s="2944" t="s">
        <v>6500</v>
      </c>
      <c r="G57" s="2196" t="s">
        <v>1300</v>
      </c>
      <c r="H57" s="2197"/>
      <c r="I57" s="2203">
        <v>1</v>
      </c>
      <c r="J57" s="2203"/>
      <c r="K57" s="3064" t="s">
        <v>418</v>
      </c>
      <c r="L57" s="2203" t="s">
        <v>7038</v>
      </c>
      <c r="M57" s="2203"/>
      <c r="N57" s="2195" t="s">
        <v>7063</v>
      </c>
      <c r="O57" s="2203" t="s">
        <v>7062</v>
      </c>
      <c r="P57" s="2773" t="s">
        <v>7080</v>
      </c>
      <c r="Q57" s="2181" t="s">
        <v>7109</v>
      </c>
      <c r="R57" s="2181" t="s">
        <v>7122</v>
      </c>
      <c r="S57" s="2199" t="s">
        <v>287</v>
      </c>
      <c r="T57" s="2199"/>
      <c r="U57" s="2199"/>
      <c r="V57" s="2218"/>
      <c r="W57" s="2202"/>
      <c r="X57" s="2201"/>
      <c r="Y57" s="3103">
        <v>882000</v>
      </c>
      <c r="Z57" s="3095">
        <v>1512000</v>
      </c>
      <c r="AA57" s="2201"/>
      <c r="AB57" s="2201"/>
      <c r="AC57" s="2201"/>
      <c r="AD57" s="3151">
        <v>500000</v>
      </c>
      <c r="AE57" s="2201"/>
      <c r="AF57" s="2201"/>
      <c r="AG57" s="1416">
        <f t="shared" si="13"/>
        <v>2894000</v>
      </c>
      <c r="AH57" s="2203"/>
      <c r="AI57" s="2374">
        <f t="shared" si="18"/>
        <v>4860000</v>
      </c>
      <c r="AJ57" s="1703">
        <f t="shared" si="19"/>
        <v>7754000</v>
      </c>
      <c r="AK57" s="2251"/>
      <c r="AL57" s="2933"/>
      <c r="AM57" s="1393"/>
    </row>
    <row r="58" spans="1:39" s="1350" customFormat="1" ht="15.6">
      <c r="A58" s="1738">
        <f t="shared" si="11"/>
        <v>20</v>
      </c>
      <c r="B58" s="2214" t="s">
        <v>7088</v>
      </c>
      <c r="C58" s="3267" t="s">
        <v>7086</v>
      </c>
      <c r="D58" s="2199" t="s">
        <v>7054</v>
      </c>
      <c r="E58" s="2250" t="s">
        <v>7107</v>
      </c>
      <c r="F58" s="2944" t="s">
        <v>6500</v>
      </c>
      <c r="G58" s="2196" t="s">
        <v>1300</v>
      </c>
      <c r="H58" s="2197"/>
      <c r="I58" s="2203">
        <v>1</v>
      </c>
      <c r="J58" s="2203"/>
      <c r="K58" s="3064" t="s">
        <v>418</v>
      </c>
      <c r="L58" s="2203" t="s">
        <v>7064</v>
      </c>
      <c r="M58" s="2203"/>
      <c r="N58" s="2195" t="s">
        <v>7084</v>
      </c>
      <c r="O58" s="2203" t="s">
        <v>7085</v>
      </c>
      <c r="P58" s="2773" t="s">
        <v>7000</v>
      </c>
      <c r="Q58" s="1566"/>
      <c r="R58" s="2181" t="s">
        <v>7135</v>
      </c>
      <c r="S58" s="2199" t="s">
        <v>287</v>
      </c>
      <c r="T58" s="2199"/>
      <c r="U58" s="1566"/>
      <c r="V58" s="1566"/>
      <c r="W58" s="1566"/>
      <c r="X58" s="1566"/>
      <c r="Y58" s="3103">
        <v>882000</v>
      </c>
      <c r="Z58" s="3095">
        <v>1512000</v>
      </c>
      <c r="AA58" s="1566"/>
      <c r="AB58" s="1566"/>
      <c r="AC58" s="1566"/>
      <c r="AD58" s="3099">
        <v>500000</v>
      </c>
      <c r="AE58" s="1566"/>
      <c r="AF58" s="1566"/>
      <c r="AG58" s="1416">
        <f>+SUM(X58:AF58)</f>
        <v>2894000</v>
      </c>
      <c r="AH58" s="2250" t="s">
        <v>7165</v>
      </c>
      <c r="AI58" s="2374">
        <f>(U58*1.08)+(V58*1.08)+(W58*1.08)+((850000*(H58+I58))+(H58*3650000)+(I58*3650000))*1.08</f>
        <v>4860000</v>
      </c>
      <c r="AJ58" s="1703">
        <f>+AG58+AI58</f>
        <v>7754000</v>
      </c>
      <c r="AK58" s="1566"/>
      <c r="AL58" s="2933"/>
      <c r="AM58" s="3245"/>
    </row>
    <row r="59" spans="1:39" s="1350" customFormat="1" ht="26.4">
      <c r="A59" s="1738">
        <f t="shared" si="11"/>
        <v>21</v>
      </c>
      <c r="B59" s="2214" t="s">
        <v>7088</v>
      </c>
      <c r="C59" s="2924" t="s">
        <v>7136</v>
      </c>
      <c r="D59" s="2199" t="s">
        <v>7088</v>
      </c>
      <c r="E59" s="2250" t="s">
        <v>7153</v>
      </c>
      <c r="F59" s="2253" t="s">
        <v>6998</v>
      </c>
      <c r="G59" s="2196" t="s">
        <v>210</v>
      </c>
      <c r="H59" s="2197"/>
      <c r="I59" s="2203">
        <v>1</v>
      </c>
      <c r="J59" s="2203"/>
      <c r="K59" s="2203" t="s">
        <v>210</v>
      </c>
      <c r="L59" s="2203" t="s">
        <v>7069</v>
      </c>
      <c r="M59" s="3197"/>
      <c r="N59" s="1565" t="s">
        <v>7133</v>
      </c>
      <c r="O59" s="1423" t="s">
        <v>7152</v>
      </c>
      <c r="P59" s="3105" t="s">
        <v>7121</v>
      </c>
      <c r="Q59" s="2181"/>
      <c r="R59" s="2181" t="s">
        <v>7134</v>
      </c>
      <c r="S59" s="2199" t="s">
        <v>287</v>
      </c>
      <c r="T59" s="671"/>
      <c r="U59" s="671"/>
      <c r="V59" s="2182"/>
      <c r="W59" s="1692"/>
      <c r="X59" s="1415"/>
      <c r="Y59" s="3095">
        <v>1500000</v>
      </c>
      <c r="Z59" s="3103">
        <v>882000</v>
      </c>
      <c r="AA59" s="1415"/>
      <c r="AB59" s="1415"/>
      <c r="AC59" s="1415"/>
      <c r="AD59" s="3099">
        <v>500000</v>
      </c>
      <c r="AE59" s="1415"/>
      <c r="AF59" s="1415"/>
      <c r="AG59" s="1416">
        <f>+SUM(X59:AF59)</f>
        <v>2882000</v>
      </c>
      <c r="AH59" s="2681" t="s">
        <v>6909</v>
      </c>
      <c r="AI59" s="2374">
        <f>(U59*1.08)+(V59*1.08)+(W59*1.08)+((850000*(H59+I59))+(H59*3650000)+(I59*3650000))*1.08</f>
        <v>4860000</v>
      </c>
      <c r="AJ59" s="1703">
        <f>+AG59+AI59</f>
        <v>7742000</v>
      </c>
      <c r="AK59" s="2270"/>
      <c r="AL59" s="2933"/>
      <c r="AM59" s="1393"/>
    </row>
    <row r="60" spans="1:39" s="1350" customFormat="1" ht="15.6">
      <c r="A60" s="1738">
        <f t="shared" si="11"/>
        <v>22</v>
      </c>
      <c r="B60" s="2214" t="s">
        <v>6876</v>
      </c>
      <c r="C60" s="2794" t="s">
        <v>7159</v>
      </c>
      <c r="D60" s="2199" t="s">
        <v>7112</v>
      </c>
      <c r="E60" s="2250" t="s">
        <v>7162</v>
      </c>
      <c r="F60" s="2944" t="s">
        <v>6500</v>
      </c>
      <c r="G60" s="2196" t="s">
        <v>1300</v>
      </c>
      <c r="H60" s="2197"/>
      <c r="I60" s="2203"/>
      <c r="J60" s="2203" t="s">
        <v>128</v>
      </c>
      <c r="K60" s="3064" t="s">
        <v>418</v>
      </c>
      <c r="L60" s="2203" t="s">
        <v>7111</v>
      </c>
      <c r="M60" s="3197"/>
      <c r="N60" s="1565" t="s">
        <v>7160</v>
      </c>
      <c r="O60" s="1423" t="s">
        <v>7161</v>
      </c>
      <c r="P60" s="3211" t="s">
        <v>7108</v>
      </c>
      <c r="Q60" s="2181"/>
      <c r="R60" s="2181" t="s">
        <v>7181</v>
      </c>
      <c r="S60" s="2199" t="s">
        <v>5026</v>
      </c>
      <c r="T60" s="671"/>
      <c r="U60" s="671"/>
      <c r="V60" s="2182"/>
      <c r="W60" s="1692"/>
      <c r="X60" s="3103">
        <v>2226312</v>
      </c>
      <c r="Y60" s="1415"/>
      <c r="Z60" s="1415"/>
      <c r="AA60" s="1415"/>
      <c r="AB60" s="1415"/>
      <c r="AC60" s="1415"/>
      <c r="AD60" s="1692"/>
      <c r="AE60" s="1415"/>
      <c r="AF60" s="1415"/>
      <c r="AG60" s="1416">
        <f>+SUM(X60:AF60)</f>
        <v>2226312</v>
      </c>
      <c r="AH60" s="2203"/>
      <c r="AI60" s="2374">
        <f>(650000+1800000)*1.08</f>
        <v>2646000</v>
      </c>
      <c r="AJ60" s="1703">
        <f>+AG60+AI60</f>
        <v>4872312</v>
      </c>
      <c r="AK60" s="2270"/>
      <c r="AL60" s="2933"/>
      <c r="AM60" s="1393"/>
    </row>
    <row r="61" spans="1:39" s="1350" customFormat="1" ht="15.6">
      <c r="A61" s="1738">
        <f t="shared" si="11"/>
        <v>23</v>
      </c>
      <c r="B61" s="3206"/>
      <c r="C61" s="2203" t="s">
        <v>7100</v>
      </c>
      <c r="D61" s="2203"/>
      <c r="E61" s="2250" t="s">
        <v>7101</v>
      </c>
      <c r="F61" s="2253"/>
      <c r="G61" s="2196"/>
      <c r="H61" s="2197"/>
      <c r="I61" s="2203"/>
      <c r="J61" s="2203"/>
      <c r="K61" s="2203"/>
      <c r="L61" s="2203"/>
      <c r="M61" s="3207"/>
      <c r="N61" s="2195"/>
      <c r="O61" s="2203"/>
      <c r="P61" s="2773"/>
      <c r="Q61" s="2179"/>
      <c r="R61" s="2179"/>
      <c r="S61" s="2199"/>
      <c r="T61" s="2199"/>
      <c r="U61" s="2199"/>
      <c r="V61" s="2218"/>
      <c r="W61" s="2202"/>
      <c r="X61" s="2201"/>
      <c r="Y61" s="2201"/>
      <c r="Z61" s="2201"/>
      <c r="AA61" s="2201"/>
      <c r="AB61" s="2201"/>
      <c r="AC61" s="2201"/>
      <c r="AD61" s="2202"/>
      <c r="AF61" s="1415"/>
      <c r="AG61" s="1416">
        <f>+SUM(X61:AF61)</f>
        <v>0</v>
      </c>
      <c r="AH61" s="1423"/>
      <c r="AI61" s="2374">
        <f>+(12360000*1.08)</f>
        <v>13348800</v>
      </c>
      <c r="AJ61" s="1703">
        <f t="shared" si="19"/>
        <v>13348800</v>
      </c>
      <c r="AK61" s="2270"/>
      <c r="AL61" s="2933"/>
      <c r="AM61" s="1393"/>
    </row>
    <row r="62" spans="1:39" s="1350" customFormat="1">
      <c r="A62" s="4097" t="s">
        <v>7096</v>
      </c>
      <c r="B62" s="4098"/>
      <c r="C62" s="4098"/>
      <c r="D62" s="4098"/>
      <c r="E62" s="4098"/>
      <c r="F62" s="4098"/>
      <c r="G62" s="4098"/>
      <c r="H62" s="4098"/>
      <c r="I62" s="4098"/>
      <c r="J62" s="4098"/>
      <c r="K62" s="4098"/>
      <c r="L62" s="4098"/>
      <c r="M62" s="4098"/>
      <c r="N62" s="4098"/>
      <c r="O62" s="3212"/>
      <c r="P62" s="3213"/>
      <c r="Q62" s="3237"/>
      <c r="R62" s="3237"/>
      <c r="S62" s="2085"/>
      <c r="T62" s="2085"/>
      <c r="U62" s="3238"/>
      <c r="V62" s="2085"/>
      <c r="W62" s="3239"/>
      <c r="X62" s="3240"/>
      <c r="Y62" s="3240"/>
      <c r="Z62" s="3240"/>
      <c r="AA62" s="3240"/>
      <c r="AB62" s="3240"/>
      <c r="AC62" s="3240"/>
      <c r="AD62" s="3239"/>
      <c r="AE62" s="3240"/>
      <c r="AF62" s="3240"/>
      <c r="AG62" s="3240"/>
      <c r="AH62" s="3227"/>
      <c r="AI62" s="3241">
        <f>SUM(AI36:AI61)</f>
        <v>163576800</v>
      </c>
      <c r="AJ62" s="3242"/>
      <c r="AK62" s="3243"/>
      <c r="AL62" s="3244">
        <v>450000</v>
      </c>
      <c r="AM62" s="1393"/>
    </row>
    <row r="63" spans="1:39" s="1350" customFormat="1" ht="15.6">
      <c r="A63" s="1738">
        <v>1</v>
      </c>
      <c r="B63" s="2214"/>
      <c r="C63" s="3267" t="s">
        <v>7086</v>
      </c>
      <c r="D63" s="2199" t="s">
        <v>7054</v>
      </c>
      <c r="E63" s="2250" t="s">
        <v>7478</v>
      </c>
      <c r="F63" s="2944" t="s">
        <v>6500</v>
      </c>
      <c r="G63" s="2196" t="s">
        <v>1300</v>
      </c>
      <c r="H63" s="2197"/>
      <c r="I63" s="2203">
        <v>1</v>
      </c>
      <c r="J63" s="2203"/>
      <c r="K63" s="3064" t="s">
        <v>418</v>
      </c>
      <c r="L63" s="2203" t="s">
        <v>7064</v>
      </c>
      <c r="M63" s="2203"/>
      <c r="N63" s="2195" t="s">
        <v>7084</v>
      </c>
      <c r="O63" s="2203" t="s">
        <v>7085</v>
      </c>
      <c r="P63" s="2773"/>
      <c r="Q63" s="1566"/>
      <c r="R63" s="2181"/>
      <c r="S63" s="2199" t="s">
        <v>287</v>
      </c>
      <c r="T63" s="2199"/>
      <c r="U63" s="1566"/>
      <c r="V63" s="1566"/>
      <c r="W63" s="1566"/>
      <c r="X63" s="1566"/>
      <c r="Y63" s="3250"/>
      <c r="Z63" s="3198"/>
      <c r="AA63" s="1566"/>
      <c r="AB63" s="1566"/>
      <c r="AC63" s="3280">
        <v>500000</v>
      </c>
      <c r="AD63" s="3198"/>
      <c r="AE63" s="1566"/>
      <c r="AF63" s="1566"/>
      <c r="AG63" s="1416">
        <f>+SUM(X63:AF63)</f>
        <v>500000</v>
      </c>
      <c r="AH63" s="2250" t="s">
        <v>7439</v>
      </c>
      <c r="AI63" s="2374"/>
      <c r="AJ63" s="1703">
        <f>+AG63+AI63</f>
        <v>500000</v>
      </c>
      <c r="AK63" s="1566"/>
      <c r="AL63" s="2933"/>
      <c r="AM63" s="3245"/>
    </row>
    <row r="64" spans="1:39" s="1350" customFormat="1" ht="47.25" customHeight="1">
      <c r="A64" s="1738">
        <f t="shared" ref="A64" si="20">+A63+1</f>
        <v>2</v>
      </c>
      <c r="B64" s="2214"/>
      <c r="C64" s="3267" t="s">
        <v>6950</v>
      </c>
      <c r="D64" s="2199" t="s">
        <v>6926</v>
      </c>
      <c r="E64" s="2250" t="s">
        <v>7598</v>
      </c>
      <c r="F64" s="3011" t="s">
        <v>6503</v>
      </c>
      <c r="G64" s="2196" t="s">
        <v>1300</v>
      </c>
      <c r="H64" s="2197"/>
      <c r="I64" s="2203">
        <v>3</v>
      </c>
      <c r="J64" s="2203"/>
      <c r="K64" s="3064" t="s">
        <v>418</v>
      </c>
      <c r="L64" s="2253" t="s">
        <v>6871</v>
      </c>
      <c r="M64" s="2203"/>
      <c r="N64" s="2195" t="s">
        <v>6870</v>
      </c>
      <c r="O64" s="2203" t="s">
        <v>6939</v>
      </c>
      <c r="P64" s="2874">
        <v>45756</v>
      </c>
      <c r="Q64" s="2179"/>
      <c r="R64" s="2195"/>
      <c r="S64" s="2199" t="s">
        <v>287</v>
      </c>
      <c r="T64" s="2199"/>
      <c r="U64" s="2199"/>
      <c r="V64" s="2218"/>
      <c r="W64" s="2202"/>
      <c r="X64" s="3250"/>
      <c r="Y64" s="3250"/>
      <c r="Z64" s="3198"/>
      <c r="AA64" s="2201"/>
      <c r="AB64" s="2201"/>
      <c r="AC64" s="3280">
        <v>2562050</v>
      </c>
      <c r="AD64" s="3198"/>
      <c r="AE64" s="3198"/>
      <c r="AF64" s="2201"/>
      <c r="AG64" s="1416">
        <f t="shared" ref="AG64:AG66" si="21">+SUM(X64:AF64)</f>
        <v>2562050</v>
      </c>
      <c r="AH64" s="2250" t="s">
        <v>7483</v>
      </c>
      <c r="AI64" s="2374"/>
      <c r="AJ64" s="1703">
        <f t="shared" ref="AJ64" si="22">+AG64+AI64</f>
        <v>2562050</v>
      </c>
      <c r="AK64" s="3184"/>
      <c r="AL64" s="2933"/>
      <c r="AM64" s="1393"/>
    </row>
    <row r="65" spans="1:40" s="1350" customFormat="1" ht="27">
      <c r="A65" s="1738">
        <f>+A64+1</f>
        <v>3</v>
      </c>
      <c r="B65" s="2214"/>
      <c r="C65" s="2924" t="s">
        <v>6908</v>
      </c>
      <c r="D65" s="2199" t="s">
        <v>6901</v>
      </c>
      <c r="E65" s="2250" t="s">
        <v>7480</v>
      </c>
      <c r="F65" s="2263" t="s">
        <v>7017</v>
      </c>
      <c r="G65" s="2196" t="s">
        <v>210</v>
      </c>
      <c r="H65" s="2197"/>
      <c r="I65" s="2203">
        <v>1</v>
      </c>
      <c r="J65" s="2203"/>
      <c r="K65" s="3064" t="s">
        <v>418</v>
      </c>
      <c r="L65" s="2203" t="s">
        <v>6881</v>
      </c>
      <c r="M65" s="2203"/>
      <c r="N65" s="2195" t="s">
        <v>6907</v>
      </c>
      <c r="O65" s="2203" t="s">
        <v>6947</v>
      </c>
      <c r="P65" s="2773"/>
      <c r="Q65" s="2179"/>
      <c r="R65" s="2179"/>
      <c r="S65" s="2199" t="s">
        <v>287</v>
      </c>
      <c r="T65" s="2199"/>
      <c r="U65" s="2199"/>
      <c r="V65" s="3093">
        <v>650000</v>
      </c>
      <c r="W65" s="2202"/>
      <c r="X65" s="1769"/>
      <c r="Y65" s="3250"/>
      <c r="Z65" s="3198"/>
      <c r="AA65" s="2929"/>
      <c r="AB65" s="2201"/>
      <c r="AC65" s="2201"/>
      <c r="AD65" s="3198"/>
      <c r="AE65" s="2201"/>
      <c r="AF65" s="2201"/>
      <c r="AG65" s="1416">
        <f t="shared" si="21"/>
        <v>0</v>
      </c>
      <c r="AH65" s="3305" t="s">
        <v>7477</v>
      </c>
      <c r="AI65" s="2374">
        <f>650000*1.08</f>
        <v>702000</v>
      </c>
      <c r="AJ65" s="1703">
        <f>+AG65+AI65</f>
        <v>702000</v>
      </c>
      <c r="AK65" s="2251"/>
      <c r="AL65" s="2933"/>
      <c r="AM65" s="1393"/>
    </row>
    <row r="66" spans="1:40" s="1350" customFormat="1" ht="26.4">
      <c r="A66" s="1738">
        <f t="shared" ref="A66:A78" si="23">+A65+1</f>
        <v>4</v>
      </c>
      <c r="B66" s="2214"/>
      <c r="C66" s="2924" t="s">
        <v>6991</v>
      </c>
      <c r="D66" s="2199" t="s">
        <v>6977</v>
      </c>
      <c r="E66" s="2250" t="s">
        <v>7481</v>
      </c>
      <c r="F66" s="2253" t="s">
        <v>6997</v>
      </c>
      <c r="G66" s="2196" t="s">
        <v>210</v>
      </c>
      <c r="H66" s="2197"/>
      <c r="I66" s="2203">
        <v>1</v>
      </c>
      <c r="J66" s="2203"/>
      <c r="K66" s="3064" t="s">
        <v>418</v>
      </c>
      <c r="L66" s="2203" t="s">
        <v>6971</v>
      </c>
      <c r="M66" s="2203"/>
      <c r="N66" s="2195" t="s">
        <v>6986</v>
      </c>
      <c r="O66" s="2203" t="s">
        <v>6992</v>
      </c>
      <c r="P66" s="2773"/>
      <c r="Q66" s="2181"/>
      <c r="R66" s="2181"/>
      <c r="S66" s="2199" t="s">
        <v>287</v>
      </c>
      <c r="T66" s="671"/>
      <c r="U66" s="671"/>
      <c r="V66" s="3093">
        <v>650000</v>
      </c>
      <c r="W66" s="1692"/>
      <c r="X66" s="1362"/>
      <c r="Y66" s="3198"/>
      <c r="Z66" s="3250"/>
      <c r="AA66" s="3250"/>
      <c r="AB66" s="1415"/>
      <c r="AC66" s="1415"/>
      <c r="AD66" s="3198"/>
      <c r="AE66" s="1415"/>
      <c r="AF66" s="1415"/>
      <c r="AG66" s="1416">
        <f t="shared" si="21"/>
        <v>0</v>
      </c>
      <c r="AH66" s="3305" t="s">
        <v>7477</v>
      </c>
      <c r="AI66" s="2374">
        <f>650000*1.08</f>
        <v>702000</v>
      </c>
      <c r="AJ66" s="1703">
        <f>+AG66+AI66</f>
        <v>702000</v>
      </c>
      <c r="AK66" s="2251"/>
      <c r="AM66" s="1393"/>
    </row>
    <row r="67" spans="1:40" s="1350" customFormat="1" ht="26.4">
      <c r="A67" s="1738">
        <f t="shared" si="23"/>
        <v>5</v>
      </c>
      <c r="B67" s="2214"/>
      <c r="C67" s="2924" t="s">
        <v>7136</v>
      </c>
      <c r="D67" s="2199" t="s">
        <v>7088</v>
      </c>
      <c r="E67" s="2250" t="s">
        <v>7316</v>
      </c>
      <c r="F67" s="2253" t="s">
        <v>6998</v>
      </c>
      <c r="G67" s="2196" t="s">
        <v>210</v>
      </c>
      <c r="H67" s="2197"/>
      <c r="I67" s="2203">
        <v>1</v>
      </c>
      <c r="J67" s="2203"/>
      <c r="K67" s="2203" t="s">
        <v>210</v>
      </c>
      <c r="L67" s="2203" t="s">
        <v>7069</v>
      </c>
      <c r="M67" s="3197"/>
      <c r="N67" s="1565" t="s">
        <v>7133</v>
      </c>
      <c r="O67" s="1423" t="s">
        <v>7152</v>
      </c>
      <c r="P67" s="3105"/>
      <c r="Q67" s="2181"/>
      <c r="R67" s="2181"/>
      <c r="S67" s="2199" t="s">
        <v>287</v>
      </c>
      <c r="T67" s="671"/>
      <c r="U67" s="671"/>
      <c r="V67" s="2182"/>
      <c r="W67" s="1692"/>
      <c r="X67" s="1415"/>
      <c r="Y67" s="3198"/>
      <c r="Z67" s="3250"/>
      <c r="AA67" s="3280">
        <v>744604</v>
      </c>
      <c r="AB67" s="1415"/>
      <c r="AC67" s="1415"/>
      <c r="AD67" s="3198"/>
      <c r="AE67" s="1415"/>
      <c r="AF67" s="1415"/>
      <c r="AG67" s="1416">
        <f>+SUM(X67:AF67)</f>
        <v>744604</v>
      </c>
      <c r="AH67" s="3306" t="s">
        <v>7188</v>
      </c>
      <c r="AI67" s="2374"/>
      <c r="AJ67" s="1703">
        <f>+AG67+AI67</f>
        <v>744604</v>
      </c>
      <c r="AK67" s="2270"/>
      <c r="AL67" s="2933"/>
      <c r="AM67" s="1393"/>
    </row>
    <row r="68" spans="1:40" s="1758" customFormat="1" ht="52.5" customHeight="1">
      <c r="A68" s="1738">
        <f t="shared" si="23"/>
        <v>6</v>
      </c>
      <c r="B68" s="3088"/>
      <c r="C68" s="3089" t="s">
        <v>6855</v>
      </c>
      <c r="D68" s="3088" t="s">
        <v>6854</v>
      </c>
      <c r="E68" s="3175" t="s">
        <v>7479</v>
      </c>
      <c r="F68" s="3075" t="s">
        <v>6824</v>
      </c>
      <c r="G68" s="3076" t="s">
        <v>210</v>
      </c>
      <c r="H68" s="3090"/>
      <c r="I68" s="1744">
        <v>4</v>
      </c>
      <c r="J68" s="1744"/>
      <c r="K68" s="3249" t="s">
        <v>210</v>
      </c>
      <c r="L68" s="3249" t="s">
        <v>6822</v>
      </c>
      <c r="M68" s="2681"/>
      <c r="N68" s="3091" t="s">
        <v>6852</v>
      </c>
      <c r="O68" s="3249" t="s">
        <v>6832</v>
      </c>
      <c r="P68" s="3077"/>
      <c r="Q68" s="3092"/>
      <c r="R68" s="3091"/>
      <c r="S68" s="3074" t="s">
        <v>4078</v>
      </c>
      <c r="T68" s="3602"/>
      <c r="U68" s="2060"/>
      <c r="V68" s="3093"/>
      <c r="W68" s="3093"/>
      <c r="X68" s="3094"/>
      <c r="Y68" s="3198"/>
      <c r="Z68" s="3198"/>
      <c r="AA68" s="3250"/>
      <c r="AB68" s="3094"/>
      <c r="AC68" s="3094"/>
      <c r="AD68" s="3198"/>
      <c r="AE68" s="3094"/>
      <c r="AF68" s="3094"/>
      <c r="AG68" s="1416">
        <f>+SUM(X68:AF68)</f>
        <v>0</v>
      </c>
      <c r="AH68" s="3305" t="s">
        <v>7197</v>
      </c>
      <c r="AI68" s="2374">
        <f>1050000*2*1.08</f>
        <v>2268000</v>
      </c>
      <c r="AJ68" s="3087">
        <f>+AG68+AI68</f>
        <v>2268000</v>
      </c>
      <c r="AL68" s="3097"/>
      <c r="AM68" s="3098"/>
    </row>
    <row r="69" spans="1:40" s="1350" customFormat="1" ht="39.6">
      <c r="A69" s="1738">
        <f t="shared" si="23"/>
        <v>7</v>
      </c>
      <c r="B69" s="2214" t="s">
        <v>6876</v>
      </c>
      <c r="C69" s="3256" t="s">
        <v>7195</v>
      </c>
      <c r="D69" s="2214" t="s">
        <v>6876</v>
      </c>
      <c r="E69" s="2250" t="s">
        <v>7198</v>
      </c>
      <c r="F69" s="2263" t="s">
        <v>7154</v>
      </c>
      <c r="G69" s="2196" t="s">
        <v>210</v>
      </c>
      <c r="H69" s="2197"/>
      <c r="I69" s="2203">
        <v>1</v>
      </c>
      <c r="J69" s="2203"/>
      <c r="K69" s="2203" t="s">
        <v>210</v>
      </c>
      <c r="L69" s="2203" t="s">
        <v>7155</v>
      </c>
      <c r="M69" s="2203" t="s">
        <v>7272</v>
      </c>
      <c r="N69" s="1565" t="s">
        <v>7193</v>
      </c>
      <c r="O69" s="2203" t="s">
        <v>7189</v>
      </c>
      <c r="P69" s="2960" t="s">
        <v>7156</v>
      </c>
      <c r="Q69" s="2181"/>
      <c r="R69" s="2181" t="s">
        <v>7196</v>
      </c>
      <c r="S69" s="2199" t="s">
        <v>287</v>
      </c>
      <c r="T69" s="2199"/>
      <c r="U69" s="2199"/>
      <c r="V69" s="2218"/>
      <c r="W69" s="2202"/>
      <c r="X69" s="2201"/>
      <c r="Y69" s="3280">
        <v>1500000</v>
      </c>
      <c r="Z69" s="3280">
        <v>882000</v>
      </c>
      <c r="AA69" s="3280">
        <v>1004508</v>
      </c>
      <c r="AB69" s="2201"/>
      <c r="AC69" s="2201"/>
      <c r="AD69" s="2916">
        <v>500000</v>
      </c>
      <c r="AE69" s="2201"/>
      <c r="AF69" s="2201"/>
      <c r="AG69" s="1416">
        <f t="shared" ref="AG69:AG78" si="24">+SUM(X69:AF69)</f>
        <v>3886508</v>
      </c>
      <c r="AH69" s="2203"/>
      <c r="AI69" s="2374">
        <f t="shared" ref="AI69:AI73" si="25">(U69*1.08)+(V69*1.08)+(W69*1.08)+((850000*(H69+I69))+(H69*3650000)+(I69*3650000))*1.08</f>
        <v>4860000</v>
      </c>
      <c r="AJ69" s="1703">
        <f t="shared" ref="AJ69:AJ73" si="26">+AG69+AI69</f>
        <v>8746508</v>
      </c>
      <c r="AK69" s="3096"/>
      <c r="AL69" s="2933"/>
      <c r="AM69" s="1393"/>
    </row>
    <row r="70" spans="1:40" s="1350" customFormat="1" ht="39.6">
      <c r="A70" s="1738">
        <f t="shared" si="23"/>
        <v>8</v>
      </c>
      <c r="B70" s="2214" t="s">
        <v>7203</v>
      </c>
      <c r="C70" s="2924" t="s">
        <v>7208</v>
      </c>
      <c r="D70" s="2199" t="s">
        <v>7203</v>
      </c>
      <c r="E70" s="2250" t="s">
        <v>7214</v>
      </c>
      <c r="F70" s="2263" t="s">
        <v>7183</v>
      </c>
      <c r="G70" s="2196" t="s">
        <v>210</v>
      </c>
      <c r="H70" s="2197"/>
      <c r="I70" s="2203">
        <v>1</v>
      </c>
      <c r="J70" s="2203"/>
      <c r="K70" s="2203" t="s">
        <v>210</v>
      </c>
      <c r="L70" s="2203" t="s">
        <v>7194</v>
      </c>
      <c r="M70" s="2203" t="s">
        <v>7273</v>
      </c>
      <c r="N70" s="1565" t="s">
        <v>7205</v>
      </c>
      <c r="O70" s="2203"/>
      <c r="P70" s="2960" t="s">
        <v>7184</v>
      </c>
      <c r="Q70" s="2181"/>
      <c r="R70" s="2181" t="s">
        <v>7204</v>
      </c>
      <c r="S70" s="2199" t="s">
        <v>287</v>
      </c>
      <c r="T70" s="2199"/>
      <c r="U70" s="2199"/>
      <c r="V70" s="2218"/>
      <c r="W70" s="2202"/>
      <c r="X70" s="2201"/>
      <c r="Y70" s="3280">
        <v>1500000</v>
      </c>
      <c r="Z70" s="3280">
        <v>882000</v>
      </c>
      <c r="AA70" s="3280">
        <v>705828</v>
      </c>
      <c r="AB70" s="2201"/>
      <c r="AC70" s="2201"/>
      <c r="AD70" s="2916">
        <v>500000</v>
      </c>
      <c r="AE70" s="2201"/>
      <c r="AF70" s="2201"/>
      <c r="AG70" s="1416">
        <f t="shared" si="24"/>
        <v>3587828</v>
      </c>
      <c r="AH70" s="2203"/>
      <c r="AI70" s="2374">
        <f t="shared" si="25"/>
        <v>4860000</v>
      </c>
      <c r="AJ70" s="1703">
        <f t="shared" si="26"/>
        <v>8447828</v>
      </c>
      <c r="AK70" s="2251"/>
      <c r="AL70" s="2933"/>
      <c r="AM70" s="1393"/>
    </row>
    <row r="71" spans="1:40" s="1350" customFormat="1" ht="26.4">
      <c r="A71" s="1738">
        <f t="shared" si="23"/>
        <v>9</v>
      </c>
      <c r="B71" s="2214" t="s">
        <v>7109</v>
      </c>
      <c r="C71" s="2794" t="s">
        <v>7179</v>
      </c>
      <c r="D71" s="2199" t="s">
        <v>7139</v>
      </c>
      <c r="E71" s="2250" t="s">
        <v>7252</v>
      </c>
      <c r="F71" s="3011" t="s">
        <v>6733</v>
      </c>
      <c r="G71" s="2196" t="s">
        <v>1300</v>
      </c>
      <c r="H71" s="2197"/>
      <c r="I71" s="2203">
        <v>2</v>
      </c>
      <c r="J71" s="2203"/>
      <c r="K71" s="3064" t="s">
        <v>418</v>
      </c>
      <c r="L71" s="2203" t="s">
        <v>7053</v>
      </c>
      <c r="M71" s="2203"/>
      <c r="N71" s="2195" t="s">
        <v>7060</v>
      </c>
      <c r="O71" s="2203" t="s">
        <v>7061</v>
      </c>
      <c r="P71" s="2773">
        <v>45667</v>
      </c>
      <c r="Q71" s="2181"/>
      <c r="R71" s="3265" t="s">
        <v>7271</v>
      </c>
      <c r="S71" s="2199" t="s">
        <v>287</v>
      </c>
      <c r="T71" s="2199"/>
      <c r="U71" s="2199"/>
      <c r="V71" s="2218"/>
      <c r="W71" s="2202"/>
      <c r="X71" s="2201"/>
      <c r="Y71" s="3280">
        <v>2596000</v>
      </c>
      <c r="Z71" s="3280">
        <f>1450000*2</f>
        <v>2900000</v>
      </c>
      <c r="AA71" s="2201"/>
      <c r="AB71" s="2201"/>
      <c r="AC71" s="2201"/>
      <c r="AD71" s="2916">
        <v>1000000</v>
      </c>
      <c r="AE71" s="2201"/>
      <c r="AF71" s="2201"/>
      <c r="AG71" s="1416">
        <f t="shared" si="24"/>
        <v>6496000</v>
      </c>
      <c r="AH71" s="2203"/>
      <c r="AI71" s="2374">
        <f t="shared" si="25"/>
        <v>9720000</v>
      </c>
      <c r="AJ71" s="1703">
        <f t="shared" si="26"/>
        <v>16216000</v>
      </c>
      <c r="AK71" s="2251"/>
      <c r="AL71" s="2933"/>
      <c r="AM71" s="1393"/>
    </row>
    <row r="72" spans="1:40" s="1350" customFormat="1" ht="15.6">
      <c r="A72" s="1738">
        <f t="shared" si="23"/>
        <v>10</v>
      </c>
      <c r="B72" s="2214" t="s">
        <v>7199</v>
      </c>
      <c r="C72" s="2794" t="s">
        <v>7185</v>
      </c>
      <c r="D72" s="2199" t="s">
        <v>6876</v>
      </c>
      <c r="E72" s="2250" t="s">
        <v>7216</v>
      </c>
      <c r="F72" s="2944" t="s">
        <v>6500</v>
      </c>
      <c r="G72" s="2196" t="s">
        <v>1300</v>
      </c>
      <c r="H72" s="2197"/>
      <c r="I72" s="2203">
        <v>1</v>
      </c>
      <c r="J72" s="2203"/>
      <c r="K72" s="3064" t="s">
        <v>418</v>
      </c>
      <c r="L72" s="2203" t="s">
        <v>7119</v>
      </c>
      <c r="M72" s="2203"/>
      <c r="N72" s="2195" t="s">
        <v>7182</v>
      </c>
      <c r="O72" s="2203" t="s">
        <v>7187</v>
      </c>
      <c r="P72" s="2773" t="s">
        <v>7139</v>
      </c>
      <c r="Q72" s="3203"/>
      <c r="R72" s="3203" t="s">
        <v>7135</v>
      </c>
      <c r="S72" s="2199" t="s">
        <v>287</v>
      </c>
      <c r="T72" s="3201"/>
      <c r="U72" s="3201"/>
      <c r="V72" s="2218"/>
      <c r="W72" s="2202"/>
      <c r="X72" s="2201"/>
      <c r="Y72" s="3280">
        <v>882000</v>
      </c>
      <c r="Z72" s="3280">
        <v>2025000</v>
      </c>
      <c r="AA72" s="2201"/>
      <c r="AB72" s="2201"/>
      <c r="AC72" s="2201"/>
      <c r="AD72" s="2916">
        <v>500000</v>
      </c>
      <c r="AE72" s="2201"/>
      <c r="AF72" s="2201"/>
      <c r="AG72" s="1416">
        <f t="shared" si="24"/>
        <v>3407000</v>
      </c>
      <c r="AH72" s="2203" t="s">
        <v>7385</v>
      </c>
      <c r="AI72" s="2374">
        <f>(U72*1.08)+(V72*1.08)+(W72*1.08)+((850000*(H72+I72))+(H72*3650000)+(I72*3650000))*1.08+(500000*1.08)</f>
        <v>5400000</v>
      </c>
      <c r="AJ72" s="1703">
        <f t="shared" si="26"/>
        <v>8807000</v>
      </c>
      <c r="AK72" s="2251"/>
      <c r="AL72" s="2933"/>
      <c r="AM72" s="1393"/>
    </row>
    <row r="73" spans="1:40" s="1350" customFormat="1" ht="39.6">
      <c r="A73" s="1738">
        <f t="shared" si="23"/>
        <v>11</v>
      </c>
      <c r="B73" s="2214" t="s">
        <v>7280</v>
      </c>
      <c r="C73" s="2794" t="s">
        <v>7180</v>
      </c>
      <c r="D73" s="2199" t="s">
        <v>7203</v>
      </c>
      <c r="E73" s="2250" t="s">
        <v>7253</v>
      </c>
      <c r="F73" s="3011" t="s">
        <v>6503</v>
      </c>
      <c r="G73" s="2196" t="s">
        <v>1300</v>
      </c>
      <c r="H73" s="2197"/>
      <c r="I73" s="2203">
        <v>3</v>
      </c>
      <c r="J73" s="2203"/>
      <c r="K73" s="3064" t="s">
        <v>418</v>
      </c>
      <c r="L73" s="2203" t="s">
        <v>7110</v>
      </c>
      <c r="M73" s="2203"/>
      <c r="N73" s="2195" t="s">
        <v>7120</v>
      </c>
      <c r="O73" s="2203" t="s">
        <v>7186</v>
      </c>
      <c r="P73" s="2773" t="s">
        <v>6876</v>
      </c>
      <c r="Q73" s="2181"/>
      <c r="R73" s="3265" t="s">
        <v>7607</v>
      </c>
      <c r="S73" s="2199" t="s">
        <v>287</v>
      </c>
      <c r="T73" s="3201"/>
      <c r="U73" s="3201"/>
      <c r="V73" s="2218"/>
      <c r="W73" s="2202"/>
      <c r="X73" s="2201"/>
      <c r="Y73" s="3280">
        <v>4527000</v>
      </c>
      <c r="Z73" s="3280">
        <v>4500000</v>
      </c>
      <c r="AA73" s="2201"/>
      <c r="AB73" s="2201"/>
      <c r="AC73" s="2201"/>
      <c r="AD73" s="2916">
        <v>1500000</v>
      </c>
      <c r="AE73" s="3281">
        <f>714852+ 357426</f>
        <v>1072278</v>
      </c>
      <c r="AF73" s="2201"/>
      <c r="AG73" s="1416">
        <f t="shared" si="24"/>
        <v>11599278</v>
      </c>
      <c r="AH73" s="2203"/>
      <c r="AI73" s="2374">
        <f t="shared" si="25"/>
        <v>14580000.000000002</v>
      </c>
      <c r="AJ73" s="1703">
        <f t="shared" si="26"/>
        <v>26179278</v>
      </c>
      <c r="AK73" s="2251"/>
      <c r="AL73" s="2933"/>
      <c r="AM73" s="1393"/>
    </row>
    <row r="74" spans="1:40" s="1350" customFormat="1" ht="36" customHeight="1">
      <c r="A74" s="1738">
        <f t="shared" si="23"/>
        <v>12</v>
      </c>
      <c r="B74" s="2214" t="s">
        <v>7224</v>
      </c>
      <c r="C74" s="2794" t="s">
        <v>7221</v>
      </c>
      <c r="D74" s="2199" t="s">
        <v>7199</v>
      </c>
      <c r="E74" s="2250" t="s">
        <v>7218</v>
      </c>
      <c r="F74" s="2944" t="s">
        <v>6500</v>
      </c>
      <c r="G74" s="2196" t="s">
        <v>1300</v>
      </c>
      <c r="H74" s="2197"/>
      <c r="I74" s="2203"/>
      <c r="J74" s="2203" t="s">
        <v>128</v>
      </c>
      <c r="K74" s="3064" t="s">
        <v>418</v>
      </c>
      <c r="L74" s="2203" t="s">
        <v>7177</v>
      </c>
      <c r="M74" s="2203"/>
      <c r="N74" s="2195" t="s">
        <v>7240</v>
      </c>
      <c r="O74" s="2203" t="s">
        <v>7219</v>
      </c>
      <c r="P74" s="2773" t="s">
        <v>7220</v>
      </c>
      <c r="Q74" s="2181"/>
      <c r="R74" s="2181" t="s">
        <v>7281</v>
      </c>
      <c r="S74" s="2199" t="s">
        <v>5026</v>
      </c>
      <c r="T74" s="3201"/>
      <c r="U74" s="3201"/>
      <c r="V74" s="2218"/>
      <c r="W74" s="2202"/>
      <c r="X74" s="3280">
        <v>1313269</v>
      </c>
      <c r="Y74" s="2201"/>
      <c r="Z74" s="2201"/>
      <c r="AA74" s="2201"/>
      <c r="AB74" s="2230">
        <v>1714154</v>
      </c>
      <c r="AC74" s="3281">
        <v>4386645</v>
      </c>
      <c r="AD74" s="2202"/>
      <c r="AE74" s="2201"/>
      <c r="AF74" s="2201"/>
      <c r="AG74" s="1416">
        <f>+SUM(X74:AF74)</f>
        <v>7414068</v>
      </c>
      <c r="AH74" s="2203"/>
      <c r="AI74" s="2374">
        <f>(650000+1800000)*1.08</f>
        <v>2646000</v>
      </c>
      <c r="AJ74" s="1703">
        <f t="shared" ref="AJ74:AJ93" si="27">+AG74+AI74</f>
        <v>10060068</v>
      </c>
      <c r="AK74" s="2251"/>
      <c r="AL74" s="2933"/>
      <c r="AM74" s="1393"/>
    </row>
    <row r="75" spans="1:40" s="1350" customFormat="1" ht="30.75" customHeight="1">
      <c r="A75" s="1738">
        <f t="shared" si="23"/>
        <v>13</v>
      </c>
      <c r="B75" s="2199" t="s">
        <v>7109</v>
      </c>
      <c r="C75" s="2794" t="s">
        <v>7250</v>
      </c>
      <c r="D75" s="2199" t="s">
        <v>7224</v>
      </c>
      <c r="E75" s="2250" t="s">
        <v>7256</v>
      </c>
      <c r="F75" s="2944" t="s">
        <v>6500</v>
      </c>
      <c r="G75" s="2196" t="s">
        <v>1300</v>
      </c>
      <c r="H75" s="2197"/>
      <c r="I75" s="2203"/>
      <c r="J75" s="2203" t="s">
        <v>128</v>
      </c>
      <c r="K75" s="3064" t="s">
        <v>418</v>
      </c>
      <c r="L75" s="2203" t="s">
        <v>7201</v>
      </c>
      <c r="M75" s="2203"/>
      <c r="N75" s="2195" t="s">
        <v>7238</v>
      </c>
      <c r="O75" s="2203" t="s">
        <v>7239</v>
      </c>
      <c r="P75" s="2773" t="s">
        <v>7199</v>
      </c>
      <c r="Q75" s="3202"/>
      <c r="R75" s="2181" t="s">
        <v>6224</v>
      </c>
      <c r="S75" s="2199" t="s">
        <v>5026</v>
      </c>
      <c r="T75" s="2199"/>
      <c r="U75" s="3202"/>
      <c r="V75" s="3202"/>
      <c r="W75" s="3202"/>
      <c r="X75" s="3202"/>
      <c r="Y75" s="3202"/>
      <c r="Z75" s="3202"/>
      <c r="AA75" s="3202"/>
      <c r="AB75" s="3202"/>
      <c r="AC75" s="3202"/>
      <c r="AD75" s="3202"/>
      <c r="AE75" s="3202"/>
      <c r="AF75" s="3202"/>
      <c r="AG75" s="1416">
        <f t="shared" si="24"/>
        <v>0</v>
      </c>
      <c r="AH75" s="2681" t="s">
        <v>7297</v>
      </c>
      <c r="AI75" s="2374">
        <f>+(650000+4500000)*1.08</f>
        <v>5562000</v>
      </c>
      <c r="AJ75" s="1703">
        <f t="shared" si="27"/>
        <v>5562000</v>
      </c>
      <c r="AK75" s="3202"/>
      <c r="AL75" s="2933"/>
      <c r="AM75" s="3246"/>
      <c r="AN75" s="3246"/>
    </row>
    <row r="76" spans="1:40" s="1350" customFormat="1" ht="26.4">
      <c r="A76" s="1738">
        <f t="shared" si="23"/>
        <v>14</v>
      </c>
      <c r="B76" s="2203"/>
      <c r="C76" s="3288" t="s">
        <v>7264</v>
      </c>
      <c r="D76" s="2203"/>
      <c r="E76" s="2250" t="s">
        <v>7361</v>
      </c>
      <c r="F76" s="2203"/>
      <c r="G76" s="2196"/>
      <c r="H76" s="2197"/>
      <c r="I76" s="2203"/>
      <c r="J76" s="2203"/>
      <c r="K76" s="2203"/>
      <c r="L76" s="2203"/>
      <c r="M76" s="2203"/>
      <c r="N76" s="2195"/>
      <c r="O76" s="2203"/>
      <c r="P76" s="2773"/>
      <c r="Q76" s="2179"/>
      <c r="R76" s="2179"/>
      <c r="S76" s="2218"/>
      <c r="T76" s="2218"/>
      <c r="U76" s="2199"/>
      <c r="V76" s="2218"/>
      <c r="W76" s="2202"/>
      <c r="X76" s="2201"/>
      <c r="Y76" s="2201"/>
      <c r="Z76" s="2201"/>
      <c r="AA76" s="2201"/>
      <c r="AB76" s="1415"/>
      <c r="AC76" s="3280">
        <f>149116+6816926</f>
        <v>6966042</v>
      </c>
      <c r="AD76" s="1692"/>
      <c r="AE76" s="1415"/>
      <c r="AF76" s="1415"/>
      <c r="AG76" s="1416">
        <f t="shared" si="24"/>
        <v>6966042</v>
      </c>
      <c r="AH76" s="2203"/>
      <c r="AI76" s="2374">
        <f t="shared" ref="AI76:AI93" si="28">(U76*1.08)+(V76*1.08)+(W76*1.08)+((850000*(H76+I76))+(H76*3650000)+(I76*3650000))*1.08</f>
        <v>0</v>
      </c>
      <c r="AJ76" s="1703">
        <f t="shared" si="27"/>
        <v>6966042</v>
      </c>
      <c r="AK76" s="2270"/>
      <c r="AL76" s="2933"/>
      <c r="AM76" s="1393"/>
    </row>
    <row r="77" spans="1:40" s="1350" customFormat="1" ht="15.6">
      <c r="A77" s="1738">
        <f t="shared" si="23"/>
        <v>15</v>
      </c>
      <c r="B77" s="1738" t="s">
        <v>7331</v>
      </c>
      <c r="C77" s="2794" t="s">
        <v>7321</v>
      </c>
      <c r="D77" s="2193" t="s">
        <v>7320</v>
      </c>
      <c r="E77" s="2250" t="s">
        <v>7351</v>
      </c>
      <c r="F77" s="2203" t="s">
        <v>7269</v>
      </c>
      <c r="G77" s="2196" t="s">
        <v>1300</v>
      </c>
      <c r="H77" s="2197">
        <v>1</v>
      </c>
      <c r="I77" s="2203"/>
      <c r="J77" s="2203"/>
      <c r="K77" s="3064" t="s">
        <v>418</v>
      </c>
      <c r="L77" s="2203" t="s">
        <v>7267</v>
      </c>
      <c r="N77" s="2195" t="s">
        <v>7268</v>
      </c>
      <c r="O77" s="3055" t="s">
        <v>7303</v>
      </c>
      <c r="P77" s="2773">
        <v>45910</v>
      </c>
      <c r="Q77" s="2179"/>
      <c r="R77" s="2179" t="s">
        <v>7415</v>
      </c>
      <c r="S77" s="2199" t="s">
        <v>287</v>
      </c>
      <c r="T77" s="2199"/>
      <c r="U77" s="2199"/>
      <c r="V77" s="2218"/>
      <c r="W77" s="2202"/>
      <c r="Y77" s="3280">
        <v>727000</v>
      </c>
      <c r="Z77" s="3280">
        <v>900000</v>
      </c>
      <c r="AA77" s="2201"/>
      <c r="AB77" s="2201"/>
      <c r="AC77" s="2201"/>
      <c r="AD77" s="2916">
        <v>250000</v>
      </c>
      <c r="AE77" s="2201"/>
      <c r="AF77" s="2201"/>
      <c r="AG77" s="1416">
        <f>+SUM(Y77:AF77)</f>
        <v>1877000</v>
      </c>
      <c r="AH77" s="2203"/>
      <c r="AI77" s="2374">
        <f t="shared" si="28"/>
        <v>4860000</v>
      </c>
      <c r="AJ77" s="1703">
        <f t="shared" si="27"/>
        <v>6737000</v>
      </c>
      <c r="AK77" s="2251"/>
      <c r="AL77" s="2933"/>
      <c r="AM77" s="1393"/>
    </row>
    <row r="78" spans="1:40" s="1350" customFormat="1" ht="27" customHeight="1">
      <c r="A78" s="1738">
        <f t="shared" si="23"/>
        <v>16</v>
      </c>
      <c r="B78" s="1509" t="s">
        <v>7263</v>
      </c>
      <c r="C78" s="2196">
        <v>107607844740</v>
      </c>
      <c r="D78" s="2193" t="s">
        <v>7320</v>
      </c>
      <c r="E78" s="2206" t="s">
        <v>7352</v>
      </c>
      <c r="F78" s="2944" t="s">
        <v>6500</v>
      </c>
      <c r="G78" s="2196" t="s">
        <v>1300</v>
      </c>
      <c r="H78" s="2177"/>
      <c r="I78" s="2177"/>
      <c r="J78" s="3303" t="s">
        <v>128</v>
      </c>
      <c r="K78" s="3064" t="s">
        <v>418</v>
      </c>
      <c r="L78" s="3268" t="s">
        <v>7314</v>
      </c>
      <c r="M78" s="2179"/>
      <c r="N78" s="2195" t="s">
        <v>7315</v>
      </c>
      <c r="O78" s="1570"/>
      <c r="P78" s="2212" t="s">
        <v>7347</v>
      </c>
      <c r="Q78" s="2181"/>
      <c r="R78" s="2181" t="s">
        <v>5948</v>
      </c>
      <c r="S78" s="2199" t="s">
        <v>5026</v>
      </c>
      <c r="T78" s="2199"/>
      <c r="U78" s="2199"/>
      <c r="V78" s="2218"/>
      <c r="W78" s="2202"/>
      <c r="X78" s="3280">
        <v>510365</v>
      </c>
      <c r="Y78" s="2201"/>
      <c r="Z78" s="2201"/>
      <c r="AA78" s="2201"/>
      <c r="AB78" s="2201"/>
      <c r="AC78" s="2201"/>
      <c r="AD78" s="2202"/>
      <c r="AE78" s="2201"/>
      <c r="AF78" s="2201"/>
      <c r="AG78" s="1416">
        <f t="shared" si="24"/>
        <v>510365</v>
      </c>
      <c r="AH78" s="2203"/>
      <c r="AI78" s="2374">
        <f>(650000+1800000)*1.08</f>
        <v>2646000</v>
      </c>
      <c r="AJ78" s="1703">
        <f>+AG78+AI78</f>
        <v>3156365</v>
      </c>
      <c r="AK78" s="2251"/>
      <c r="AL78" s="2933"/>
      <c r="AM78" s="1393"/>
    </row>
    <row r="79" spans="1:40" s="1350" customFormat="1" ht="39.6">
      <c r="A79" s="1738">
        <f t="shared" ref="A79:A85" si="29">+A78+1</f>
        <v>17</v>
      </c>
      <c r="B79" s="1509" t="s">
        <v>7413</v>
      </c>
      <c r="C79" s="2196">
        <v>107616233430</v>
      </c>
      <c r="D79" s="2193" t="s">
        <v>7376</v>
      </c>
      <c r="E79" s="2206" t="s">
        <v>7391</v>
      </c>
      <c r="F79" s="3011" t="s">
        <v>6503</v>
      </c>
      <c r="G79" s="2196" t="s">
        <v>1300</v>
      </c>
      <c r="H79" s="2177"/>
      <c r="I79" s="2177">
        <v>3</v>
      </c>
      <c r="J79" s="2177"/>
      <c r="K79" s="3064" t="s">
        <v>418</v>
      </c>
      <c r="L79" s="3268" t="s">
        <v>7304</v>
      </c>
      <c r="M79" s="2179"/>
      <c r="N79" s="2195" t="s">
        <v>7305</v>
      </c>
      <c r="O79" s="3269" t="s">
        <v>7306</v>
      </c>
      <c r="P79" s="2773">
        <v>46001</v>
      </c>
      <c r="Q79" s="2179"/>
      <c r="R79" s="2195" t="s">
        <v>7448</v>
      </c>
      <c r="S79" s="2199" t="s">
        <v>287</v>
      </c>
      <c r="T79" s="2199"/>
      <c r="U79" s="2199"/>
      <c r="V79" s="2218"/>
      <c r="X79" s="3280">
        <v>3900000</v>
      </c>
      <c r="Y79" s="3280">
        <v>2646000</v>
      </c>
      <c r="Z79" s="3280">
        <f>1500000*3</f>
        <v>4500000</v>
      </c>
      <c r="AA79" s="2201"/>
      <c r="AB79" s="2201"/>
      <c r="AC79" s="2201"/>
      <c r="AD79" s="2916">
        <v>1500000</v>
      </c>
      <c r="AE79" s="3280">
        <f>1071063+119007</f>
        <v>1190070</v>
      </c>
      <c r="AF79" s="2201"/>
      <c r="AG79" s="1416">
        <f>+SUM(Y79:AF79)</f>
        <v>9836070</v>
      </c>
      <c r="AI79" s="2374">
        <f t="shared" si="28"/>
        <v>14580000.000000002</v>
      </c>
      <c r="AJ79" s="1703">
        <f t="shared" si="27"/>
        <v>24416070</v>
      </c>
      <c r="AK79" s="2251"/>
      <c r="AL79" s="2933"/>
      <c r="AM79" s="1393"/>
    </row>
    <row r="80" spans="1:40" s="1350" customFormat="1" ht="15.6">
      <c r="A80" s="1738">
        <f t="shared" si="29"/>
        <v>18</v>
      </c>
      <c r="B80" s="1539" t="s">
        <v>7350</v>
      </c>
      <c r="C80" s="2196">
        <v>107622819400</v>
      </c>
      <c r="D80" s="2193" t="s">
        <v>7373</v>
      </c>
      <c r="E80" s="2206" t="s">
        <v>7420</v>
      </c>
      <c r="F80" s="2944" t="s">
        <v>6500</v>
      </c>
      <c r="G80" s="2196" t="s">
        <v>1300</v>
      </c>
      <c r="H80" s="2177"/>
      <c r="I80" s="2177"/>
      <c r="J80" s="3303" t="s">
        <v>128</v>
      </c>
      <c r="K80" s="3064" t="s">
        <v>418</v>
      </c>
      <c r="L80" s="3268" t="s">
        <v>7399</v>
      </c>
      <c r="M80" s="1566"/>
      <c r="N80" s="2195" t="s">
        <v>7466</v>
      </c>
      <c r="O80" s="3269" t="s">
        <v>7375</v>
      </c>
      <c r="P80" s="2212" t="s">
        <v>7373</v>
      </c>
      <c r="Q80" s="1566"/>
      <c r="R80" s="2181" t="s">
        <v>7416</v>
      </c>
      <c r="S80" s="2199" t="s">
        <v>5026</v>
      </c>
      <c r="T80" s="2199"/>
      <c r="U80" s="1566"/>
      <c r="V80" s="1566"/>
      <c r="W80" s="1566"/>
      <c r="X80" s="3280">
        <v>567389</v>
      </c>
      <c r="Y80" s="1566"/>
      <c r="Z80" s="1566"/>
      <c r="AA80" s="1566"/>
      <c r="AB80" s="1566"/>
      <c r="AC80" s="1566"/>
      <c r="AD80" s="1566"/>
      <c r="AE80" s="1566"/>
      <c r="AF80" s="1566"/>
      <c r="AG80" s="1416">
        <f t="shared" ref="AG80:AG84" si="30">+SUM(Y80:AF80)</f>
        <v>0</v>
      </c>
      <c r="AH80" s="1566"/>
      <c r="AI80" s="2374">
        <f>(650000+1800000)*1.08</f>
        <v>2646000</v>
      </c>
      <c r="AJ80" s="1703">
        <f t="shared" si="27"/>
        <v>2646000</v>
      </c>
      <c r="AK80" s="1566"/>
      <c r="AL80" s="3331"/>
      <c r="AM80" s="3332"/>
      <c r="AN80" s="3332"/>
    </row>
    <row r="81" spans="1:39" s="1350" customFormat="1" ht="15.6">
      <c r="A81" s="1738">
        <f t="shared" si="29"/>
        <v>19</v>
      </c>
      <c r="B81" s="2450" t="s">
        <v>7472</v>
      </c>
      <c r="C81" s="2196">
        <v>107625937160</v>
      </c>
      <c r="D81" s="2193" t="s">
        <v>7387</v>
      </c>
      <c r="E81" s="2206" t="s">
        <v>7432</v>
      </c>
      <c r="F81" s="2944" t="s">
        <v>6500</v>
      </c>
      <c r="G81" s="2196" t="s">
        <v>1300</v>
      </c>
      <c r="H81" s="2177"/>
      <c r="I81" s="2177">
        <v>1</v>
      </c>
      <c r="J81" s="2177"/>
      <c r="K81" s="3064" t="s">
        <v>418</v>
      </c>
      <c r="L81" s="3268" t="s">
        <v>7349</v>
      </c>
      <c r="M81" s="3261"/>
      <c r="N81" s="2195" t="s">
        <v>7404</v>
      </c>
      <c r="O81" s="3269" t="s">
        <v>7374</v>
      </c>
      <c r="P81" s="2212" t="s">
        <v>7445</v>
      </c>
      <c r="Q81" s="2181"/>
      <c r="R81" s="2181" t="s">
        <v>7536</v>
      </c>
      <c r="S81" s="2199" t="s">
        <v>287</v>
      </c>
      <c r="T81" s="2199"/>
      <c r="U81" s="2199"/>
      <c r="V81" s="2218"/>
      <c r="W81" s="2202"/>
      <c r="X81" s="2201"/>
      <c r="Y81" s="3280">
        <v>882000</v>
      </c>
      <c r="Z81" s="3280">
        <v>1280000</v>
      </c>
      <c r="AA81" s="2201"/>
      <c r="AB81" s="2201"/>
      <c r="AC81" s="2201"/>
      <c r="AD81" s="2916">
        <v>500000</v>
      </c>
      <c r="AE81" s="2201"/>
      <c r="AF81" s="2201"/>
      <c r="AG81" s="1416">
        <f t="shared" si="30"/>
        <v>2662000</v>
      </c>
      <c r="AH81" s="2250" t="s">
        <v>7603</v>
      </c>
      <c r="AI81" s="2374">
        <f>(U81*1.08)+(V81*1.08)+(W81*1.08)+((850000*(H81+I81))+(H81*3650000)+(I81*3650000))*1.08+(500000*1.08)</f>
        <v>5400000</v>
      </c>
      <c r="AJ81" s="1703">
        <f t="shared" si="27"/>
        <v>8062000</v>
      </c>
      <c r="AK81" s="2251"/>
      <c r="AL81" s="2933"/>
      <c r="AM81" s="1393"/>
    </row>
    <row r="82" spans="1:39" s="1350" customFormat="1" ht="26.4">
      <c r="A82" s="1738">
        <f>+A83+1</f>
        <v>21</v>
      </c>
      <c r="B82" s="2450" t="s">
        <v>7472</v>
      </c>
      <c r="C82" s="2196">
        <v>107625952340</v>
      </c>
      <c r="D82" s="2193" t="s">
        <v>7387</v>
      </c>
      <c r="E82" s="2206" t="s">
        <v>7433</v>
      </c>
      <c r="F82" s="2944" t="s">
        <v>6500</v>
      </c>
      <c r="G82" s="2196" t="s">
        <v>1300</v>
      </c>
      <c r="H82" s="2177"/>
      <c r="I82" s="2177">
        <v>1</v>
      </c>
      <c r="J82" s="2177"/>
      <c r="K82" s="3064" t="s">
        <v>418</v>
      </c>
      <c r="L82" s="3268" t="s">
        <v>7402</v>
      </c>
      <c r="M82" s="2181"/>
      <c r="N82" s="2195" t="s">
        <v>7403</v>
      </c>
      <c r="O82" s="3297" t="s">
        <v>7414</v>
      </c>
      <c r="P82" s="2212" t="s">
        <v>7445</v>
      </c>
      <c r="Q82" s="2181" t="s">
        <v>7464</v>
      </c>
      <c r="R82" s="2181" t="s">
        <v>6255</v>
      </c>
      <c r="S82" s="2199" t="s">
        <v>287</v>
      </c>
      <c r="T82" s="2199"/>
      <c r="U82" s="2199"/>
      <c r="V82" s="2218"/>
      <c r="W82" s="2202"/>
      <c r="X82" s="2201"/>
      <c r="Y82" s="3280">
        <v>882000</v>
      </c>
      <c r="Z82" s="3280">
        <v>1280000</v>
      </c>
      <c r="AA82" s="2201"/>
      <c r="AB82" s="2201"/>
      <c r="AC82" s="2201"/>
      <c r="AD82" s="2916">
        <v>500000</v>
      </c>
      <c r="AE82" s="2201"/>
      <c r="AF82" s="2201"/>
      <c r="AG82" s="1416">
        <f t="shared" si="30"/>
        <v>2662000</v>
      </c>
      <c r="AH82" s="2253" t="s">
        <v>7701</v>
      </c>
      <c r="AI82" s="2374">
        <f t="shared" ref="AI82:AI83" si="31">(U82*1.08)+(V82*1.08)+(W82*1.08)+((850000*(H82+I82))+(H82*3650000)+(I82*3650000))*1.08+(500000*1.08)</f>
        <v>5400000</v>
      </c>
      <c r="AJ82" s="1703">
        <f t="shared" si="27"/>
        <v>8062000</v>
      </c>
      <c r="AK82" s="2251"/>
      <c r="AL82" s="2933"/>
      <c r="AM82" s="1393"/>
    </row>
    <row r="83" spans="1:39" s="1350" customFormat="1" ht="15.6">
      <c r="A83" s="1738">
        <f>+A81+1</f>
        <v>20</v>
      </c>
      <c r="B83" s="2450" t="s">
        <v>7482</v>
      </c>
      <c r="C83" s="2196">
        <v>107625966710</v>
      </c>
      <c r="D83" s="2193" t="s">
        <v>7387</v>
      </c>
      <c r="E83" s="2206" t="s">
        <v>7434</v>
      </c>
      <c r="F83" s="2944" t="s">
        <v>6500</v>
      </c>
      <c r="G83" s="2196" t="s">
        <v>1300</v>
      </c>
      <c r="H83" s="2177"/>
      <c r="I83" s="2177">
        <v>1</v>
      </c>
      <c r="J83" s="2177"/>
      <c r="K83" s="3064" t="s">
        <v>418</v>
      </c>
      <c r="L83" s="3268" t="s">
        <v>7401</v>
      </c>
      <c r="M83" s="2181"/>
      <c r="N83" s="2195" t="s">
        <v>7450</v>
      </c>
      <c r="O83" s="3269" t="s">
        <v>7388</v>
      </c>
      <c r="P83" s="2212" t="s">
        <v>7393</v>
      </c>
      <c r="Q83" s="2181" t="s">
        <v>7449</v>
      </c>
      <c r="R83" s="2181" t="s">
        <v>7503</v>
      </c>
      <c r="S83" s="2199" t="s">
        <v>287</v>
      </c>
      <c r="T83" s="671"/>
      <c r="U83" s="671"/>
      <c r="V83" s="2182"/>
      <c r="W83" s="1692"/>
      <c r="X83" s="1415"/>
      <c r="Y83" s="3280">
        <v>1532000</v>
      </c>
      <c r="Z83" s="3280">
        <v>1280000</v>
      </c>
      <c r="AA83" s="1415"/>
      <c r="AB83" s="1415"/>
      <c r="AC83" s="1415"/>
      <c r="AD83" s="2916">
        <v>500000</v>
      </c>
      <c r="AE83" s="1415"/>
      <c r="AF83" s="1415"/>
      <c r="AG83" s="1416">
        <f t="shared" si="30"/>
        <v>3312000</v>
      </c>
      <c r="AH83" s="2250" t="s">
        <v>7603</v>
      </c>
      <c r="AI83" s="2374">
        <f t="shared" si="31"/>
        <v>5400000</v>
      </c>
      <c r="AJ83" s="1703">
        <f t="shared" si="27"/>
        <v>8712000</v>
      </c>
      <c r="AK83" s="2270"/>
      <c r="AL83" s="3109"/>
      <c r="AM83" s="1393"/>
    </row>
    <row r="84" spans="1:39" s="1350" customFormat="1" ht="26.4">
      <c r="A84" s="1738">
        <f>+A82+1</f>
        <v>22</v>
      </c>
      <c r="B84" s="1509" t="s">
        <v>7393</v>
      </c>
      <c r="C84" s="2206">
        <v>307878084310</v>
      </c>
      <c r="D84" s="2193" t="s">
        <v>7393</v>
      </c>
      <c r="E84" s="2206" t="s">
        <v>7459</v>
      </c>
      <c r="F84" s="2263" t="s">
        <v>7183</v>
      </c>
      <c r="G84" s="2207" t="s">
        <v>210</v>
      </c>
      <c r="H84" s="2177"/>
      <c r="I84" s="2177">
        <v>1</v>
      </c>
      <c r="J84" s="2177"/>
      <c r="K84" s="2221" t="s">
        <v>210</v>
      </c>
      <c r="L84" s="3268" t="s">
        <v>7431</v>
      </c>
      <c r="M84" s="3337" t="s">
        <v>7587</v>
      </c>
      <c r="N84" s="1565" t="s">
        <v>7438</v>
      </c>
      <c r="O84" s="3269" t="s">
        <v>8040</v>
      </c>
      <c r="P84" s="2212" t="s">
        <v>7440</v>
      </c>
      <c r="Q84" s="2181" t="s">
        <v>7464</v>
      </c>
      <c r="R84" s="2181" t="s">
        <v>7447</v>
      </c>
      <c r="S84" s="2199" t="s">
        <v>287</v>
      </c>
      <c r="T84" s="2199"/>
      <c r="U84" s="2199"/>
      <c r="V84" s="2218"/>
      <c r="W84" s="2202"/>
      <c r="X84" s="2201"/>
      <c r="Y84" s="3280">
        <v>1500000</v>
      </c>
      <c r="Z84" s="3280">
        <v>882000</v>
      </c>
      <c r="AA84" s="3280">
        <v>1075370</v>
      </c>
      <c r="AB84" s="2201"/>
      <c r="AC84" s="2201"/>
      <c r="AD84" s="3280">
        <v>500000</v>
      </c>
      <c r="AE84" s="2201"/>
      <c r="AF84" s="2201"/>
      <c r="AG84" s="1416">
        <f t="shared" si="30"/>
        <v>3957370</v>
      </c>
      <c r="AH84" s="2253" t="s">
        <v>7602</v>
      </c>
      <c r="AI84" s="2374">
        <f t="shared" si="28"/>
        <v>4860000</v>
      </c>
      <c r="AJ84" s="1703">
        <f t="shared" si="27"/>
        <v>8817370</v>
      </c>
      <c r="AK84" s="2251"/>
      <c r="AL84" s="2933"/>
      <c r="AM84" s="1393"/>
    </row>
    <row r="85" spans="1:39" s="1758" customFormat="1" ht="24" customHeight="1">
      <c r="A85" s="3865">
        <f t="shared" si="29"/>
        <v>23</v>
      </c>
      <c r="B85" s="4044" t="s">
        <v>7456</v>
      </c>
      <c r="C85" s="4110">
        <v>307884860640</v>
      </c>
      <c r="D85" s="4138" t="s">
        <v>7456</v>
      </c>
      <c r="E85" s="4110" t="s">
        <v>7531</v>
      </c>
      <c r="F85" s="4136" t="s">
        <v>7183</v>
      </c>
      <c r="G85" s="4139" t="s">
        <v>210</v>
      </c>
      <c r="H85" s="4128"/>
      <c r="I85" s="4128">
        <v>2</v>
      </c>
      <c r="J85" s="4126"/>
      <c r="K85" s="3912" t="s">
        <v>210</v>
      </c>
      <c r="L85" s="4147" t="s">
        <v>7452</v>
      </c>
      <c r="M85" s="4147" t="s">
        <v>7599</v>
      </c>
      <c r="N85" s="3301" t="s">
        <v>7470</v>
      </c>
      <c r="O85" s="4149" t="s">
        <v>7465</v>
      </c>
      <c r="P85" s="4134" t="s">
        <v>7453</v>
      </c>
      <c r="Q85" s="3300"/>
      <c r="R85" s="3324" t="s">
        <v>7485</v>
      </c>
      <c r="S85" s="4130" t="s">
        <v>287</v>
      </c>
      <c r="T85" s="3608"/>
      <c r="U85" s="4130"/>
      <c r="V85" s="4130"/>
      <c r="W85" s="4145"/>
      <c r="X85" s="4141"/>
      <c r="Y85" s="4143">
        <v>3000000</v>
      </c>
      <c r="Z85" s="4143">
        <v>1764000</v>
      </c>
      <c r="AA85" s="4141"/>
      <c r="AB85" s="4141"/>
      <c r="AC85" s="4141"/>
      <c r="AD85" s="4143">
        <v>1000000</v>
      </c>
      <c r="AE85" s="4141"/>
      <c r="AF85" s="4141"/>
      <c r="AG85" s="4132">
        <f>SUM(X85:AF86)</f>
        <v>5764000</v>
      </c>
      <c r="AH85" s="4016"/>
      <c r="AI85" s="4124">
        <f>(U85*1.08)+(V85*1.08)+(W85*1.08)+((850000*(H85+I85))+(H85*3650000)+(I85*3650000))*1.08</f>
        <v>9720000</v>
      </c>
      <c r="AJ85" s="4125">
        <f>+AG85+AI85</f>
        <v>15484000</v>
      </c>
      <c r="AK85" s="3096"/>
      <c r="AL85" s="3097"/>
      <c r="AM85" s="1915"/>
    </row>
    <row r="86" spans="1:39" s="1758" customFormat="1" ht="23.25" customHeight="1">
      <c r="A86" s="3866"/>
      <c r="B86" s="3921"/>
      <c r="C86" s="4008"/>
      <c r="D86" s="3992"/>
      <c r="E86" s="4008"/>
      <c r="F86" s="4137"/>
      <c r="G86" s="4140"/>
      <c r="H86" s="4129"/>
      <c r="I86" s="4129"/>
      <c r="J86" s="4127"/>
      <c r="K86" s="4006"/>
      <c r="L86" s="4148"/>
      <c r="M86" s="4151"/>
      <c r="N86" s="3312" t="s">
        <v>7471</v>
      </c>
      <c r="O86" s="4150"/>
      <c r="P86" s="4135"/>
      <c r="Q86" s="3300"/>
      <c r="R86" s="3324" t="s">
        <v>5944</v>
      </c>
      <c r="S86" s="4131"/>
      <c r="T86" s="3609"/>
      <c r="U86" s="4131"/>
      <c r="V86" s="4131"/>
      <c r="W86" s="4146"/>
      <c r="X86" s="4142"/>
      <c r="Y86" s="4144"/>
      <c r="Z86" s="4144"/>
      <c r="AA86" s="4142"/>
      <c r="AB86" s="4142"/>
      <c r="AC86" s="4142"/>
      <c r="AD86" s="4144"/>
      <c r="AE86" s="4142"/>
      <c r="AF86" s="4142"/>
      <c r="AG86" s="4133"/>
      <c r="AH86" s="4017"/>
      <c r="AI86" s="3834"/>
      <c r="AJ86" s="3836"/>
      <c r="AK86" s="3096"/>
      <c r="AL86" s="3097"/>
      <c r="AM86" s="1915"/>
    </row>
    <row r="87" spans="1:39" s="1758" customFormat="1" ht="23.25" customHeight="1">
      <c r="A87" s="1738">
        <f>+A85+1</f>
        <v>24</v>
      </c>
      <c r="B87" s="3587" t="s">
        <v>7508</v>
      </c>
      <c r="C87" s="3319">
        <v>107645030620</v>
      </c>
      <c r="D87" s="3320" t="s">
        <v>7504</v>
      </c>
      <c r="E87" s="3313" t="s">
        <v>7532</v>
      </c>
      <c r="F87" s="2944" t="s">
        <v>6500</v>
      </c>
      <c r="G87" s="2196" t="s">
        <v>1300</v>
      </c>
      <c r="H87" s="3090"/>
      <c r="I87" s="3090"/>
      <c r="J87" s="3090" t="s">
        <v>128</v>
      </c>
      <c r="K87" s="3064" t="s">
        <v>418</v>
      </c>
      <c r="L87" s="3546" t="s">
        <v>7492</v>
      </c>
      <c r="M87" s="3092"/>
      <c r="N87" s="3315" t="s">
        <v>7493</v>
      </c>
      <c r="O87" s="3316" t="s">
        <v>7494</v>
      </c>
      <c r="P87" s="3317"/>
      <c r="Q87" s="3308"/>
      <c r="R87" s="3308" t="s">
        <v>6818</v>
      </c>
      <c r="S87" s="3310" t="s">
        <v>5026</v>
      </c>
      <c r="T87" s="3609"/>
      <c r="U87" s="2060"/>
      <c r="V87" s="3302"/>
      <c r="W87" s="1945"/>
      <c r="X87" s="3280">
        <v>412128</v>
      </c>
      <c r="Y87" s="1769"/>
      <c r="Z87" s="1769"/>
      <c r="AA87" s="1769"/>
      <c r="AB87" s="1769"/>
      <c r="AC87" s="1769"/>
      <c r="AD87" s="1945"/>
      <c r="AE87" s="1769"/>
      <c r="AF87" s="1769"/>
      <c r="AG87" s="1416">
        <f t="shared" ref="AG87:AG93" si="32">+SUM(Y87:AF87)</f>
        <v>0</v>
      </c>
      <c r="AH87" s="3309"/>
      <c r="AI87" s="2374">
        <f>+(650000+1800000)*1.08</f>
        <v>2646000</v>
      </c>
      <c r="AJ87" s="1703">
        <f t="shared" si="27"/>
        <v>2646000</v>
      </c>
      <c r="AK87" s="3096"/>
      <c r="AL87" s="3097"/>
      <c r="AM87" s="1915"/>
    </row>
    <row r="88" spans="1:39" s="1758" customFormat="1" ht="23.25" customHeight="1">
      <c r="A88" s="1738">
        <f>+A87+1</f>
        <v>25</v>
      </c>
      <c r="B88" s="3587" t="s">
        <v>7508</v>
      </c>
      <c r="C88" s="3313">
        <v>307900212340</v>
      </c>
      <c r="D88" s="3335" t="s">
        <v>7508</v>
      </c>
      <c r="E88" s="3313" t="s">
        <v>7588</v>
      </c>
      <c r="F88" s="2263" t="s">
        <v>7183</v>
      </c>
      <c r="G88" s="2196" t="s">
        <v>210</v>
      </c>
      <c r="H88" s="3090"/>
      <c r="I88" s="3090">
        <v>1</v>
      </c>
      <c r="J88" s="3090"/>
      <c r="K88" s="3314" t="s">
        <v>210</v>
      </c>
      <c r="L88" s="3344" t="s">
        <v>7500</v>
      </c>
      <c r="M88" s="3311" t="s">
        <v>7573</v>
      </c>
      <c r="N88" s="3315" t="s">
        <v>7546</v>
      </c>
      <c r="O88" s="3547" t="s">
        <v>7537</v>
      </c>
      <c r="P88" s="3317" t="s">
        <v>7501</v>
      </c>
      <c r="Q88" s="3308"/>
      <c r="R88" s="3308" t="s">
        <v>7135</v>
      </c>
      <c r="S88" s="2199" t="s">
        <v>287</v>
      </c>
      <c r="T88" s="2199"/>
      <c r="U88" s="2060"/>
      <c r="V88" s="3302"/>
      <c r="W88" s="1945"/>
      <c r="X88" s="1769"/>
      <c r="Y88" s="3280">
        <v>1500000</v>
      </c>
      <c r="Z88" s="3280">
        <v>882000</v>
      </c>
      <c r="AA88" s="1769"/>
      <c r="AB88" s="1769"/>
      <c r="AC88" s="1769"/>
      <c r="AD88" s="3280">
        <v>500000</v>
      </c>
      <c r="AE88" s="1769"/>
      <c r="AF88" s="1769"/>
      <c r="AG88" s="1416">
        <f t="shared" si="32"/>
        <v>2882000</v>
      </c>
      <c r="AH88" s="2776" t="s">
        <v>7652</v>
      </c>
      <c r="AI88" s="2374">
        <f t="shared" si="28"/>
        <v>4860000</v>
      </c>
      <c r="AJ88" s="1703">
        <f t="shared" si="27"/>
        <v>7742000</v>
      </c>
      <c r="AK88" s="3096"/>
      <c r="AL88" s="3097"/>
      <c r="AM88" s="1915"/>
    </row>
    <row r="89" spans="1:39" s="1350" customFormat="1" ht="27" customHeight="1">
      <c r="A89" s="3865">
        <f t="shared" ref="A89" si="33">+A88+1</f>
        <v>26</v>
      </c>
      <c r="B89" s="4156" t="s">
        <v>7550</v>
      </c>
      <c r="C89" s="4110">
        <v>307905702550</v>
      </c>
      <c r="D89" s="4159" t="s">
        <v>7508</v>
      </c>
      <c r="E89" s="4110" t="s">
        <v>7604</v>
      </c>
      <c r="F89" s="4158" t="s">
        <v>7495</v>
      </c>
      <c r="G89" s="4140" t="s">
        <v>210</v>
      </c>
      <c r="H89" s="4129"/>
      <c r="I89" s="4129">
        <v>4</v>
      </c>
      <c r="J89" s="4127"/>
      <c r="K89" s="3912" t="s">
        <v>210</v>
      </c>
      <c r="L89" s="4147" t="s">
        <v>7491</v>
      </c>
      <c r="M89" s="4152" t="s">
        <v>7664</v>
      </c>
      <c r="N89" s="3315" t="s">
        <v>7663</v>
      </c>
      <c r="O89" s="4105" t="s">
        <v>7590</v>
      </c>
      <c r="P89" s="4106" t="s">
        <v>7538</v>
      </c>
      <c r="Q89" s="2181"/>
      <c r="R89" s="2181" t="s">
        <v>7591</v>
      </c>
      <c r="S89" s="3887" t="s">
        <v>3101</v>
      </c>
      <c r="T89" s="3602"/>
      <c r="U89" s="2199"/>
      <c r="V89" s="2218"/>
      <c r="W89" s="2202"/>
      <c r="X89" s="2201"/>
      <c r="Y89" s="3280">
        <v>1500000</v>
      </c>
      <c r="Z89" s="3280">
        <v>1250000</v>
      </c>
      <c r="AA89" s="2201"/>
      <c r="AB89" s="2201"/>
      <c r="AC89" s="2201"/>
      <c r="AD89" s="3280">
        <v>1000000</v>
      </c>
      <c r="AE89" s="2201"/>
      <c r="AF89" s="2201"/>
      <c r="AG89" s="1416">
        <f t="shared" si="32"/>
        <v>3750000</v>
      </c>
      <c r="AH89" s="4107" t="s">
        <v>7652</v>
      </c>
      <c r="AI89" s="2374">
        <f>(U89*1.08)+(V89*1.08)+(W89*1.08)+((850000*(H89+I89))+(H89*3650000)+(I89*3650000))*1.08</f>
        <v>19440000</v>
      </c>
      <c r="AJ89" s="1703">
        <f t="shared" si="27"/>
        <v>23190000</v>
      </c>
      <c r="AK89" s="2251"/>
      <c r="AL89" s="2933"/>
      <c r="AM89" s="1393"/>
    </row>
    <row r="90" spans="1:39" s="1350" customFormat="1" ht="26.4">
      <c r="A90" s="3866"/>
      <c r="B90" s="4077"/>
      <c r="C90" s="4009"/>
      <c r="D90" s="4160"/>
      <c r="E90" s="4008"/>
      <c r="F90" s="4119"/>
      <c r="G90" s="4140"/>
      <c r="H90" s="4129"/>
      <c r="I90" s="4129"/>
      <c r="J90" s="4127"/>
      <c r="K90" s="3913"/>
      <c r="L90" s="4148"/>
      <c r="M90" s="4153"/>
      <c r="N90" s="3315" t="s">
        <v>7662</v>
      </c>
      <c r="O90" s="4105"/>
      <c r="P90" s="4106"/>
      <c r="Q90" s="2181"/>
      <c r="R90" s="2181" t="s">
        <v>7589</v>
      </c>
      <c r="S90" s="4122"/>
      <c r="T90" s="3607"/>
      <c r="U90" s="2199"/>
      <c r="V90" s="2218"/>
      <c r="W90" s="2202"/>
      <c r="X90" s="2201"/>
      <c r="Y90" s="3280">
        <v>1500000</v>
      </c>
      <c r="Z90" s="3280">
        <v>1250000</v>
      </c>
      <c r="AA90" s="2201"/>
      <c r="AB90" s="2201"/>
      <c r="AC90" s="2201"/>
      <c r="AD90" s="2226"/>
      <c r="AE90" s="2201"/>
      <c r="AF90" s="2201"/>
      <c r="AG90" s="1416">
        <f t="shared" si="32"/>
        <v>2750000</v>
      </c>
      <c r="AH90" s="4108"/>
      <c r="AI90" s="2374">
        <f t="shared" si="28"/>
        <v>0</v>
      </c>
      <c r="AJ90" s="1703">
        <f t="shared" si="27"/>
        <v>2750000</v>
      </c>
      <c r="AK90" s="2251"/>
      <c r="AL90" s="2933"/>
      <c r="AM90" s="1393"/>
    </row>
    <row r="91" spans="1:39" s="1350" customFormat="1" ht="25.5" customHeight="1">
      <c r="A91" s="3865">
        <v>27</v>
      </c>
      <c r="B91" s="4157" t="s">
        <v>7394</v>
      </c>
      <c r="C91" s="3867">
        <v>307905689360</v>
      </c>
      <c r="D91" s="4118" t="s">
        <v>7394</v>
      </c>
      <c r="E91" s="4008"/>
      <c r="F91" s="4119"/>
      <c r="G91" s="4140"/>
      <c r="H91" s="4129"/>
      <c r="I91" s="4129"/>
      <c r="J91" s="4127"/>
      <c r="K91" s="4052" t="s">
        <v>210</v>
      </c>
      <c r="L91" s="4148"/>
      <c r="M91" s="4153"/>
      <c r="N91" s="1618" t="s">
        <v>7660</v>
      </c>
      <c r="O91" s="4105"/>
      <c r="P91" s="4106"/>
      <c r="Q91" s="577"/>
      <c r="R91" s="577" t="s">
        <v>7609</v>
      </c>
      <c r="S91" s="4122"/>
      <c r="T91" s="3607"/>
      <c r="U91" s="2674"/>
      <c r="V91" s="1613"/>
      <c r="W91" s="2774"/>
      <c r="X91" s="2775"/>
      <c r="Y91" s="3280">
        <v>1500000</v>
      </c>
      <c r="Z91" s="3280">
        <v>1250000</v>
      </c>
      <c r="AA91" s="2775"/>
      <c r="AB91" s="2775"/>
      <c r="AC91" s="2775"/>
      <c r="AD91" s="3280">
        <v>1000000</v>
      </c>
      <c r="AE91" s="2775"/>
      <c r="AF91" s="2775"/>
      <c r="AG91" s="1416">
        <f t="shared" si="32"/>
        <v>3750000</v>
      </c>
      <c r="AH91" s="4108"/>
      <c r="AI91" s="2374">
        <f t="shared" si="28"/>
        <v>0</v>
      </c>
      <c r="AJ91" s="1703">
        <f t="shared" si="27"/>
        <v>3750000</v>
      </c>
      <c r="AK91" s="2779"/>
      <c r="AL91" s="2933"/>
      <c r="AM91" s="1393"/>
    </row>
    <row r="92" spans="1:39" s="1350" customFormat="1" ht="25.5" customHeight="1">
      <c r="A92" s="3866"/>
      <c r="B92" s="4077"/>
      <c r="C92" s="3868"/>
      <c r="D92" s="3771"/>
      <c r="E92" s="4008"/>
      <c r="F92" s="4119"/>
      <c r="G92" s="4140"/>
      <c r="H92" s="4129"/>
      <c r="I92" s="4129"/>
      <c r="J92" s="4127"/>
      <c r="K92" s="4121"/>
      <c r="L92" s="4148"/>
      <c r="M92" s="4154"/>
      <c r="N92" s="1618" t="s">
        <v>7661</v>
      </c>
      <c r="O92" s="4105"/>
      <c r="P92" s="4106"/>
      <c r="Q92" s="577"/>
      <c r="R92" s="577" t="s">
        <v>7608</v>
      </c>
      <c r="S92" s="4122"/>
      <c r="T92" s="3607"/>
      <c r="U92" s="2674"/>
      <c r="V92" s="1613"/>
      <c r="W92" s="2774"/>
      <c r="X92" s="2775"/>
      <c r="Y92" s="3280">
        <v>1500000</v>
      </c>
      <c r="Z92" s="3280">
        <v>1250000</v>
      </c>
      <c r="AA92" s="2775"/>
      <c r="AB92" s="2775"/>
      <c r="AC92" s="2775"/>
      <c r="AD92" s="3352"/>
      <c r="AE92" s="2775"/>
      <c r="AF92" s="2775"/>
      <c r="AG92" s="1416">
        <f t="shared" si="32"/>
        <v>2750000</v>
      </c>
      <c r="AH92" s="4109"/>
      <c r="AI92" s="2374">
        <f t="shared" si="28"/>
        <v>0</v>
      </c>
      <c r="AJ92" s="1703">
        <f t="shared" si="27"/>
        <v>2750000</v>
      </c>
      <c r="AK92" s="2779"/>
      <c r="AL92" s="2933"/>
      <c r="AM92" s="1393"/>
    </row>
    <row r="93" spans="1:39" s="1350" customFormat="1" ht="26.4">
      <c r="A93" s="1738">
        <v>28</v>
      </c>
      <c r="B93" s="2066" t="s">
        <v>7558</v>
      </c>
      <c r="C93" s="3313">
        <v>307913547560</v>
      </c>
      <c r="D93" s="3355" t="s">
        <v>7558</v>
      </c>
      <c r="E93" s="3345" t="s">
        <v>7612</v>
      </c>
      <c r="F93" s="2263" t="s">
        <v>7533</v>
      </c>
      <c r="G93" s="2421" t="s">
        <v>210</v>
      </c>
      <c r="H93" s="167"/>
      <c r="I93" s="167">
        <v>1</v>
      </c>
      <c r="J93" s="167"/>
      <c r="K93" s="2306" t="s">
        <v>210</v>
      </c>
      <c r="L93" s="3325">
        <v>235501768391</v>
      </c>
      <c r="M93" s="3356" t="s">
        <v>7611</v>
      </c>
      <c r="N93" s="1618" t="s">
        <v>7610</v>
      </c>
      <c r="O93" s="3353" t="s">
        <v>7606</v>
      </c>
      <c r="P93" s="3361" t="s">
        <v>7534</v>
      </c>
      <c r="Q93" s="577"/>
      <c r="R93" s="577" t="s">
        <v>6255</v>
      </c>
      <c r="S93" s="2674" t="s">
        <v>287</v>
      </c>
      <c r="T93" s="2674"/>
      <c r="U93" s="2674"/>
      <c r="V93" s="1613"/>
      <c r="W93" s="2774"/>
      <c r="X93" s="2775"/>
      <c r="Y93" s="3280">
        <v>1500000</v>
      </c>
      <c r="Z93" s="3280">
        <v>882000</v>
      </c>
      <c r="AA93" s="2775"/>
      <c r="AB93" s="2775"/>
      <c r="AC93" s="2775"/>
      <c r="AD93" s="3280">
        <v>500000</v>
      </c>
      <c r="AE93" s="2775"/>
      <c r="AF93" s="2775"/>
      <c r="AG93" s="1416">
        <f t="shared" si="32"/>
        <v>2882000</v>
      </c>
      <c r="AH93" s="2776" t="s">
        <v>7652</v>
      </c>
      <c r="AI93" s="2374">
        <f t="shared" si="28"/>
        <v>4860000</v>
      </c>
      <c r="AJ93" s="1703">
        <f t="shared" si="27"/>
        <v>7742000</v>
      </c>
      <c r="AK93" s="2779"/>
      <c r="AL93" s="2933"/>
      <c r="AM93" s="1393"/>
    </row>
    <row r="94" spans="1:39" s="1350" customFormat="1">
      <c r="A94" s="3711" t="s">
        <v>7545</v>
      </c>
      <c r="B94" s="4098"/>
      <c r="C94" s="4098"/>
      <c r="D94" s="4098"/>
      <c r="E94" s="4098"/>
      <c r="F94" s="4098"/>
      <c r="G94" s="4098"/>
      <c r="H94" s="4098"/>
      <c r="I94" s="4098"/>
      <c r="J94" s="4098"/>
      <c r="K94" s="4098"/>
      <c r="L94" s="4098"/>
      <c r="M94" s="4098"/>
      <c r="N94" s="4098"/>
      <c r="O94" s="3212"/>
      <c r="P94" s="3213"/>
      <c r="Q94" s="3237"/>
      <c r="R94" s="3237"/>
      <c r="S94" s="2085"/>
      <c r="T94" s="2085"/>
      <c r="U94" s="3238"/>
      <c r="V94" s="2085"/>
      <c r="W94" s="3239"/>
      <c r="X94" s="3240"/>
      <c r="Y94" s="3240"/>
      <c r="Z94" s="3240"/>
      <c r="AA94" s="3240"/>
      <c r="AB94" s="3240"/>
      <c r="AC94" s="3240"/>
      <c r="AD94" s="3239"/>
      <c r="AE94" s="3240"/>
      <c r="AF94" s="3240"/>
      <c r="AG94" s="3240"/>
      <c r="AH94" s="3339"/>
      <c r="AI94" s="3241">
        <f>SUM(AI63:AI93)</f>
        <v>138618000</v>
      </c>
      <c r="AJ94" s="3242">
        <v>11124000</v>
      </c>
      <c r="AK94" s="3243"/>
      <c r="AL94" s="3244">
        <v>450000</v>
      </c>
      <c r="AM94" s="1393"/>
    </row>
    <row r="95" spans="1:39" s="1758" customFormat="1" ht="23.25" customHeight="1">
      <c r="A95" s="1738">
        <v>1</v>
      </c>
      <c r="B95" s="3587" t="s">
        <v>7641</v>
      </c>
      <c r="C95" s="3313">
        <v>307900212340</v>
      </c>
      <c r="D95" s="3435" t="s">
        <v>7508</v>
      </c>
      <c r="E95" s="3313" t="s">
        <v>7850</v>
      </c>
      <c r="F95" s="2263" t="s">
        <v>7183</v>
      </c>
      <c r="G95" s="2196" t="s">
        <v>210</v>
      </c>
      <c r="H95" s="3090"/>
      <c r="I95" s="3090">
        <v>1</v>
      </c>
      <c r="J95" s="3090"/>
      <c r="K95" s="3314" t="s">
        <v>210</v>
      </c>
      <c r="L95" s="3436" t="s">
        <v>7500</v>
      </c>
      <c r="M95" s="3440" t="s">
        <v>7573</v>
      </c>
      <c r="N95" s="3315"/>
      <c r="O95" s="3316" t="s">
        <v>7537</v>
      </c>
      <c r="P95" s="3317" t="s">
        <v>7501</v>
      </c>
      <c r="Q95" s="3341"/>
      <c r="R95" s="3341"/>
      <c r="S95" s="2199" t="s">
        <v>287</v>
      </c>
      <c r="T95" s="2199"/>
      <c r="U95" s="2060"/>
      <c r="V95" s="3302"/>
      <c r="W95" s="1945"/>
      <c r="X95" s="1769"/>
      <c r="Y95" s="1769"/>
      <c r="Z95" s="1415"/>
      <c r="AA95" s="3280">
        <v>1145314</v>
      </c>
      <c r="AB95" s="1769"/>
      <c r="AC95" s="1769"/>
      <c r="AD95" s="1945"/>
      <c r="AE95" s="1769"/>
      <c r="AF95" s="1769"/>
      <c r="AG95" s="1416">
        <f>+SUM(X95:AF95)</f>
        <v>1145314</v>
      </c>
      <c r="AH95" s="3370" t="s">
        <v>7188</v>
      </c>
      <c r="AI95" s="2374">
        <v>9862240.8000000007</v>
      </c>
      <c r="AJ95" s="1703">
        <f t="shared" ref="AJ95:AJ100" si="34">+AG95+AI95</f>
        <v>11007554.800000001</v>
      </c>
      <c r="AK95" s="3096"/>
      <c r="AL95" s="3097"/>
      <c r="AM95" s="1915"/>
    </row>
    <row r="96" spans="1:39" s="1758" customFormat="1" ht="23.25" customHeight="1">
      <c r="A96" s="1738">
        <v>2</v>
      </c>
      <c r="B96" s="3587" t="s">
        <v>7641</v>
      </c>
      <c r="C96" s="3313">
        <v>307884860640</v>
      </c>
      <c r="D96" s="3553" t="s">
        <v>7456</v>
      </c>
      <c r="E96" s="3313" t="s">
        <v>7851</v>
      </c>
      <c r="F96" s="2263" t="s">
        <v>7183</v>
      </c>
      <c r="G96" s="2196" t="s">
        <v>210</v>
      </c>
      <c r="H96" s="3090"/>
      <c r="I96" s="3090">
        <v>2</v>
      </c>
      <c r="J96" s="3090"/>
      <c r="K96" s="3314" t="s">
        <v>210</v>
      </c>
      <c r="L96" s="3557" t="s">
        <v>7452</v>
      </c>
      <c r="M96" s="3557" t="s">
        <v>7599</v>
      </c>
      <c r="N96" s="3315"/>
      <c r="O96" s="3558" t="s">
        <v>7465</v>
      </c>
      <c r="P96" s="3559" t="s">
        <v>7453</v>
      </c>
      <c r="Q96" s="3556"/>
      <c r="R96" s="3556"/>
      <c r="S96" s="2199" t="s">
        <v>287</v>
      </c>
      <c r="T96" s="2199"/>
      <c r="U96" s="2060"/>
      <c r="V96" s="3302"/>
      <c r="W96" s="1945"/>
      <c r="X96" s="1769"/>
      <c r="Y96" s="1769"/>
      <c r="Z96" s="1415"/>
      <c r="AA96" s="3280">
        <v>1734549</v>
      </c>
      <c r="AB96" s="1769"/>
      <c r="AC96" s="1769"/>
      <c r="AD96" s="1945"/>
      <c r="AE96" s="1769"/>
      <c r="AF96" s="1769"/>
      <c r="AG96" s="1416">
        <v>1145314</v>
      </c>
      <c r="AH96" s="3560" t="s">
        <v>7188</v>
      </c>
      <c r="AI96" s="2374">
        <v>17014610.400000002</v>
      </c>
      <c r="AJ96" s="1703">
        <f>+AG96+AI96</f>
        <v>18159924.400000002</v>
      </c>
      <c r="AK96" s="3096"/>
      <c r="AL96" s="3097"/>
      <c r="AM96" s="1915"/>
    </row>
    <row r="97" spans="1:39" s="1350" customFormat="1" ht="26.4">
      <c r="A97" s="1738">
        <v>3</v>
      </c>
      <c r="B97" s="2891" t="s">
        <v>7641</v>
      </c>
      <c r="C97" s="3313">
        <v>307913547560</v>
      </c>
      <c r="D97" s="3355" t="s">
        <v>7558</v>
      </c>
      <c r="E97" s="3360" t="s">
        <v>7852</v>
      </c>
      <c r="F97" s="2263" t="s">
        <v>7533</v>
      </c>
      <c r="G97" s="2421" t="s">
        <v>210</v>
      </c>
      <c r="H97" s="3372"/>
      <c r="I97" s="1313">
        <v>1</v>
      </c>
      <c r="J97" s="1313"/>
      <c r="K97" s="2306" t="s">
        <v>210</v>
      </c>
      <c r="L97" s="3325">
        <v>235501768391</v>
      </c>
      <c r="M97" s="3456" t="s">
        <v>7611</v>
      </c>
      <c r="N97" s="1618"/>
      <c r="O97" s="3353" t="s">
        <v>7606</v>
      </c>
      <c r="P97" s="3346" t="s">
        <v>7534</v>
      </c>
      <c r="Q97" s="577"/>
      <c r="R97" s="577"/>
      <c r="S97" s="2674" t="s">
        <v>287</v>
      </c>
      <c r="T97" s="2674"/>
      <c r="U97" s="2674"/>
      <c r="V97" s="1613"/>
      <c r="W97" s="2774"/>
      <c r="X97" s="2775"/>
      <c r="Y97" s="2775"/>
      <c r="Z97" s="2775"/>
      <c r="AA97" s="3280">
        <v>1063125</v>
      </c>
      <c r="AB97" s="2775"/>
      <c r="AC97" s="2775"/>
      <c r="AD97" s="2774"/>
      <c r="AE97" s="2775"/>
      <c r="AF97" s="2775"/>
      <c r="AG97" s="1416">
        <f>+SUM(X97:AF97)</f>
        <v>1063125</v>
      </c>
      <c r="AH97" s="3370" t="s">
        <v>7188</v>
      </c>
      <c r="AI97" s="2374">
        <v>9862240.8000000007</v>
      </c>
      <c r="AJ97" s="1703">
        <f t="shared" si="34"/>
        <v>10925365.800000001</v>
      </c>
      <c r="AK97" s="2779"/>
      <c r="AL97" s="2933"/>
      <c r="AM97" s="1393"/>
    </row>
    <row r="98" spans="1:39" s="1350" customFormat="1" ht="15.6">
      <c r="A98" s="1738">
        <v>4</v>
      </c>
      <c r="B98" s="2891" t="s">
        <v>7641</v>
      </c>
      <c r="C98" s="2196">
        <v>107625952340</v>
      </c>
      <c r="D98" s="2193" t="s">
        <v>7387</v>
      </c>
      <c r="E98" s="2206" t="s">
        <v>7843</v>
      </c>
      <c r="F98" s="2944" t="s">
        <v>6500</v>
      </c>
      <c r="G98" s="2196" t="s">
        <v>1300</v>
      </c>
      <c r="H98" s="2197"/>
      <c r="I98" s="2197">
        <v>1</v>
      </c>
      <c r="J98" s="2197"/>
      <c r="K98" s="3064" t="s">
        <v>418</v>
      </c>
      <c r="L98" s="3268" t="s">
        <v>7402</v>
      </c>
      <c r="M98" s="2181"/>
      <c r="N98" s="2195"/>
      <c r="O98" s="3297" t="s">
        <v>7414</v>
      </c>
      <c r="P98" s="2212" t="s">
        <v>7445</v>
      </c>
      <c r="Q98" s="2181" t="s">
        <v>7464</v>
      </c>
      <c r="R98" s="2181"/>
      <c r="S98" s="2199" t="s">
        <v>287</v>
      </c>
      <c r="T98" s="2199"/>
      <c r="U98" s="2199"/>
      <c r="V98" s="2218"/>
      <c r="W98" s="2202"/>
      <c r="X98" s="2201"/>
      <c r="Y98" s="3250"/>
      <c r="Z98" s="3250"/>
      <c r="AA98" s="2201"/>
      <c r="AB98" s="2201"/>
      <c r="AC98" s="2201"/>
      <c r="AD98" s="2202"/>
      <c r="AE98" s="2201"/>
      <c r="AF98" s="3432">
        <v>312556</v>
      </c>
      <c r="AG98" s="1416">
        <f>+SUM(X98:AF98)</f>
        <v>312556</v>
      </c>
      <c r="AH98" s="2253"/>
      <c r="AI98" s="2374"/>
      <c r="AJ98" s="1703">
        <f t="shared" si="34"/>
        <v>312556</v>
      </c>
      <c r="AK98" s="2251"/>
      <c r="AL98" s="2933"/>
      <c r="AM98" s="1393"/>
    </row>
    <row r="99" spans="1:39" s="1350" customFormat="1" ht="45" customHeight="1">
      <c r="A99" s="3445">
        <v>5</v>
      </c>
      <c r="B99" s="3632"/>
      <c r="C99" s="3566" t="s">
        <v>7642</v>
      </c>
      <c r="D99" s="3565"/>
      <c r="E99" s="3517" t="s">
        <v>7756</v>
      </c>
      <c r="F99" s="3437" t="s">
        <v>7643</v>
      </c>
      <c r="G99" s="3446"/>
      <c r="H99" s="445"/>
      <c r="I99" s="445"/>
      <c r="J99" s="445"/>
      <c r="K99" s="3359"/>
      <c r="L99" s="3447"/>
      <c r="M99" s="3457"/>
      <c r="N99" s="1618"/>
      <c r="O99" s="3353"/>
      <c r="P99" s="3434"/>
      <c r="Q99" s="577"/>
      <c r="R99" s="577"/>
      <c r="S99" s="3369"/>
      <c r="T99" s="3369"/>
      <c r="U99" s="2674"/>
      <c r="V99" s="1613"/>
      <c r="W99" s="2774"/>
      <c r="X99" s="2775"/>
      <c r="Y99" s="2775"/>
      <c r="Z99" s="2775"/>
      <c r="AA99" s="2775"/>
      <c r="AB99" s="2775"/>
      <c r="AC99" s="2775"/>
      <c r="AD99" s="2774"/>
      <c r="AE99" s="2775"/>
      <c r="AF99" s="2775"/>
      <c r="AG99" s="1416"/>
      <c r="AH99" s="3370"/>
      <c r="AI99" s="3086" t="s">
        <v>7645</v>
      </c>
      <c r="AJ99" s="1703"/>
      <c r="AK99" s="2779"/>
      <c r="AL99" s="2933"/>
      <c r="AM99" s="1393"/>
    </row>
    <row r="100" spans="1:39" s="1350" customFormat="1" ht="15.6">
      <c r="A100" s="3448">
        <v>6</v>
      </c>
      <c r="B100" s="2891" t="s">
        <v>7641</v>
      </c>
      <c r="C100" s="3444">
        <v>307506178950</v>
      </c>
      <c r="D100" s="3442" t="s">
        <v>7872</v>
      </c>
      <c r="E100" s="3444" t="s">
        <v>7875</v>
      </c>
      <c r="F100" s="2944"/>
      <c r="G100" s="3449"/>
      <c r="H100" s="3450"/>
      <c r="I100" s="3450"/>
      <c r="J100" s="3450"/>
      <c r="K100" s="3064"/>
      <c r="L100" s="3451" t="s">
        <v>7873</v>
      </c>
      <c r="M100" s="3203"/>
      <c r="N100" s="3452"/>
      <c r="O100" s="3453"/>
      <c r="P100" s="2212"/>
      <c r="Q100" s="2179"/>
      <c r="R100" s="2181"/>
      <c r="S100" s="3443"/>
      <c r="T100" s="3443"/>
      <c r="U100" s="2199"/>
      <c r="V100" s="3093">
        <v>650000</v>
      </c>
      <c r="W100" s="2202"/>
      <c r="X100" s="2201"/>
      <c r="Y100" s="3250"/>
      <c r="Z100" s="3250"/>
      <c r="AA100" s="2201"/>
      <c r="AB100" s="2201"/>
      <c r="AC100" s="2201"/>
      <c r="AD100" s="2202"/>
      <c r="AE100" s="2201"/>
      <c r="AF100" s="3250"/>
      <c r="AG100" s="1416"/>
      <c r="AH100" s="3108" t="s">
        <v>7874</v>
      </c>
      <c r="AI100" s="2374">
        <f>650000*1.08</f>
        <v>702000</v>
      </c>
      <c r="AJ100" s="1703">
        <f t="shared" si="34"/>
        <v>702000</v>
      </c>
      <c r="AK100" s="2251"/>
      <c r="AL100" s="2933"/>
      <c r="AM100" s="1393"/>
    </row>
    <row r="101" spans="1:39" s="1350" customFormat="1" ht="24" customHeight="1">
      <c r="A101" s="4102">
        <v>7</v>
      </c>
      <c r="B101" s="3908" t="s">
        <v>7449</v>
      </c>
      <c r="C101" s="3867">
        <v>307905694260</v>
      </c>
      <c r="D101" s="4118" t="s">
        <v>7655</v>
      </c>
      <c r="E101" s="4110" t="s">
        <v>7691</v>
      </c>
      <c r="F101" s="4119" t="s">
        <v>7495</v>
      </c>
      <c r="G101" s="4042" t="s">
        <v>210</v>
      </c>
      <c r="H101" s="4111"/>
      <c r="I101" s="4111">
        <v>2</v>
      </c>
      <c r="J101" s="4113"/>
      <c r="K101" s="4052" t="s">
        <v>210</v>
      </c>
      <c r="L101" s="4104" t="s">
        <v>7491</v>
      </c>
      <c r="M101" s="4115" t="s">
        <v>7664</v>
      </c>
      <c r="N101" s="1618" t="s">
        <v>7646</v>
      </c>
      <c r="O101" s="4105" t="s">
        <v>7590</v>
      </c>
      <c r="P101" s="4106" t="s">
        <v>7538</v>
      </c>
      <c r="Q101" s="577"/>
      <c r="R101" s="577" t="s">
        <v>5942</v>
      </c>
      <c r="S101" s="4100" t="s">
        <v>3101</v>
      </c>
      <c r="T101" s="3605"/>
      <c r="U101" s="2674"/>
      <c r="V101" s="1613"/>
      <c r="W101" s="2774"/>
      <c r="X101" s="2775"/>
      <c r="Y101" s="3280">
        <v>1280000</v>
      </c>
      <c r="Z101" s="3280">
        <v>1250000</v>
      </c>
      <c r="AA101" s="2775"/>
      <c r="AB101" s="2775"/>
      <c r="AC101" s="3304"/>
      <c r="AD101" s="2916">
        <v>500000</v>
      </c>
      <c r="AE101" s="2775"/>
      <c r="AF101" s="2775"/>
      <c r="AG101" s="1416">
        <f>+SUM(X101:AF101)</f>
        <v>3030000</v>
      </c>
      <c r="AH101" s="3940" t="s">
        <v>7644</v>
      </c>
      <c r="AI101" s="2374">
        <f t="shared" ref="AI101:AI102" si="35">(U101*1.08)+(V101*1.08)+(W101*1.08)+((850000*(H101+I101))+(H101*3650000)+(I101*3650000))*1.08</f>
        <v>9720000</v>
      </c>
      <c r="AJ101" s="1703">
        <f t="shared" ref="AJ101:AJ102" si="36">+AG101+AI101</f>
        <v>12750000</v>
      </c>
      <c r="AK101" s="2779"/>
      <c r="AL101" s="2933"/>
      <c r="AM101" s="1393"/>
    </row>
    <row r="102" spans="1:39" s="1758" customFormat="1" ht="25.5" customHeight="1">
      <c r="A102" s="4103"/>
      <c r="B102" s="4117"/>
      <c r="C102" s="3868"/>
      <c r="D102" s="3771"/>
      <c r="E102" s="4009"/>
      <c r="F102" s="4120"/>
      <c r="G102" s="4004"/>
      <c r="H102" s="4112"/>
      <c r="I102" s="4112"/>
      <c r="J102" s="4114"/>
      <c r="K102" s="4121"/>
      <c r="L102" s="4104"/>
      <c r="M102" s="4116"/>
      <c r="N102" s="3381" t="s">
        <v>7656</v>
      </c>
      <c r="O102" s="4105"/>
      <c r="P102" s="4106"/>
      <c r="Q102" s="1459"/>
      <c r="R102" s="1459" t="s">
        <v>5972</v>
      </c>
      <c r="S102" s="4101"/>
      <c r="T102" s="3606"/>
      <c r="U102" s="2813"/>
      <c r="V102" s="2745"/>
      <c r="W102" s="2422"/>
      <c r="X102" s="1555"/>
      <c r="Y102" s="3280">
        <v>1500000</v>
      </c>
      <c r="Z102" s="3280">
        <v>1250000</v>
      </c>
      <c r="AA102" s="1555"/>
      <c r="AB102" s="1555"/>
      <c r="AC102" s="1555"/>
      <c r="AD102" s="3422">
        <v>500000</v>
      </c>
      <c r="AE102" s="1555"/>
      <c r="AF102" s="1555"/>
      <c r="AG102" s="1416">
        <f t="shared" ref="AG102:AG117" si="37">+SUM(X102:AF102)</f>
        <v>3250000</v>
      </c>
      <c r="AH102" s="4123"/>
      <c r="AI102" s="3382">
        <f t="shared" si="35"/>
        <v>0</v>
      </c>
      <c r="AJ102" s="1703">
        <f t="shared" si="36"/>
        <v>3250000</v>
      </c>
      <c r="AK102" s="2800"/>
      <c r="AL102" s="3097"/>
      <c r="AM102" s="1915"/>
    </row>
    <row r="103" spans="1:39" s="1350" customFormat="1" ht="33" customHeight="1">
      <c r="A103" s="1738">
        <f>+A101+1</f>
        <v>8</v>
      </c>
      <c r="B103" s="2188" t="s">
        <v>7464</v>
      </c>
      <c r="C103" s="2173">
        <v>307919891550</v>
      </c>
      <c r="D103" s="1616" t="s">
        <v>7449</v>
      </c>
      <c r="E103" s="2173" t="s">
        <v>7692</v>
      </c>
      <c r="F103" s="3365" t="s">
        <v>7637</v>
      </c>
      <c r="G103" s="2421" t="s">
        <v>210</v>
      </c>
      <c r="H103" s="167"/>
      <c r="I103" s="167"/>
      <c r="J103" s="167">
        <v>1</v>
      </c>
      <c r="K103" s="3374" t="s">
        <v>210</v>
      </c>
      <c r="L103" s="3364" t="s">
        <v>7624</v>
      </c>
      <c r="M103" s="3458" t="s">
        <v>7699</v>
      </c>
      <c r="N103" s="3362" t="s">
        <v>7630</v>
      </c>
      <c r="O103" s="3353" t="s">
        <v>7640</v>
      </c>
      <c r="P103" s="1612" t="s">
        <v>7625</v>
      </c>
      <c r="Q103" s="577"/>
      <c r="R103" s="577" t="s">
        <v>7150</v>
      </c>
      <c r="S103" s="2674" t="s">
        <v>7628</v>
      </c>
      <c r="T103" s="2674"/>
      <c r="U103" s="2674"/>
      <c r="V103" s="1613"/>
      <c r="W103" s="2774"/>
      <c r="X103" s="2775"/>
      <c r="Y103" s="2775"/>
      <c r="Z103" s="2775"/>
      <c r="AA103" s="3280">
        <v>431574</v>
      </c>
      <c r="AB103" s="2775"/>
      <c r="AC103" s="2775"/>
      <c r="AD103" s="2916">
        <v>5004</v>
      </c>
      <c r="AE103" s="2775"/>
      <c r="AF103" s="2775"/>
      <c r="AG103" s="1416">
        <f t="shared" si="37"/>
        <v>436578</v>
      </c>
      <c r="AH103" s="3567" t="s">
        <v>7652</v>
      </c>
      <c r="AI103" s="2374">
        <f>+((650000+(J103*1500000))*1.08)</f>
        <v>2322000</v>
      </c>
      <c r="AJ103" s="1703">
        <f>+AG103+AI103</f>
        <v>2758578</v>
      </c>
      <c r="AK103" s="2779"/>
      <c r="AL103" s="2933"/>
      <c r="AM103" s="1393"/>
    </row>
    <row r="104" spans="1:39" s="1350" customFormat="1" ht="26.4">
      <c r="A104" s="1738">
        <f t="shared" ref="A104:A150" si="38">+A103+1</f>
        <v>9</v>
      </c>
      <c r="B104" s="2188" t="s">
        <v>7464</v>
      </c>
      <c r="C104" s="2173">
        <v>307919911040</v>
      </c>
      <c r="D104" s="1616" t="s">
        <v>7449</v>
      </c>
      <c r="E104" s="2173" t="s">
        <v>7693</v>
      </c>
      <c r="F104" s="3365" t="s">
        <v>7638</v>
      </c>
      <c r="G104" s="2421" t="s">
        <v>210</v>
      </c>
      <c r="H104" s="167"/>
      <c r="I104" s="167"/>
      <c r="J104" s="167">
        <v>1</v>
      </c>
      <c r="K104" s="3374" t="s">
        <v>210</v>
      </c>
      <c r="L104" s="3364" t="s">
        <v>7626</v>
      </c>
      <c r="M104" s="3458" t="s">
        <v>7697</v>
      </c>
      <c r="N104" s="3373" t="s">
        <v>7629</v>
      </c>
      <c r="O104" s="3353" t="s">
        <v>7639</v>
      </c>
      <c r="P104" s="1612" t="s">
        <v>7627</v>
      </c>
      <c r="Q104" s="577"/>
      <c r="R104" s="577" t="s">
        <v>7150</v>
      </c>
      <c r="S104" s="2674" t="s">
        <v>7628</v>
      </c>
      <c r="T104" s="2674"/>
      <c r="U104" s="2674"/>
      <c r="V104" s="1613"/>
      <c r="W104" s="2774"/>
      <c r="X104" s="2775"/>
      <c r="Y104" s="2775"/>
      <c r="Z104" s="2775"/>
      <c r="AA104" s="3280">
        <v>430997</v>
      </c>
      <c r="AB104" s="2775"/>
      <c r="AC104" s="2775"/>
      <c r="AD104" s="2916">
        <v>8960</v>
      </c>
      <c r="AE104" s="2775"/>
      <c r="AF104" s="2775"/>
      <c r="AG104" s="1416">
        <f t="shared" si="37"/>
        <v>439957</v>
      </c>
      <c r="AH104" s="3567" t="s">
        <v>7652</v>
      </c>
      <c r="AI104" s="2374">
        <f>+((650000+(J104*1500000))*1.08)</f>
        <v>2322000</v>
      </c>
      <c r="AJ104" s="1703">
        <f t="shared" ref="AJ104" si="39">+AG104+AI104</f>
        <v>2761957</v>
      </c>
      <c r="AK104" s="2779"/>
      <c r="AL104" s="2933"/>
      <c r="AM104" s="1393"/>
    </row>
    <row r="105" spans="1:39" s="1350" customFormat="1" ht="26.4">
      <c r="A105" s="1738">
        <f t="shared" si="38"/>
        <v>10</v>
      </c>
      <c r="B105" s="2188" t="s">
        <v>7464</v>
      </c>
      <c r="C105" s="2173">
        <v>307924545850</v>
      </c>
      <c r="D105" s="1616" t="s">
        <v>7464</v>
      </c>
      <c r="E105" s="2173" t="s">
        <v>7694</v>
      </c>
      <c r="F105" s="2263" t="s">
        <v>7533</v>
      </c>
      <c r="G105" s="2421" t="s">
        <v>210</v>
      </c>
      <c r="H105" s="167"/>
      <c r="I105" s="167">
        <v>1</v>
      </c>
      <c r="J105" s="167"/>
      <c r="K105" s="3375" t="s">
        <v>210</v>
      </c>
      <c r="L105" s="3364" t="s">
        <v>7654</v>
      </c>
      <c r="M105" s="3454" t="s">
        <v>7698</v>
      </c>
      <c r="N105" s="3380" t="s">
        <v>7659</v>
      </c>
      <c r="O105" s="3353" t="s">
        <v>7657</v>
      </c>
      <c r="P105" s="1612" t="s">
        <v>7653</v>
      </c>
      <c r="Q105" s="577"/>
      <c r="R105" s="577" t="s">
        <v>5942</v>
      </c>
      <c r="S105" s="2674" t="s">
        <v>287</v>
      </c>
      <c r="T105" s="2674"/>
      <c r="U105" s="2674"/>
      <c r="V105" s="1613"/>
      <c r="W105" s="2774"/>
      <c r="X105" s="2775"/>
      <c r="Y105" s="3280">
        <v>1500000</v>
      </c>
      <c r="Z105" s="3280">
        <v>882000</v>
      </c>
      <c r="AA105" s="3280">
        <v>724335</v>
      </c>
      <c r="AB105" s="2775"/>
      <c r="AC105" s="2775"/>
      <c r="AD105" s="2916">
        <v>500000</v>
      </c>
      <c r="AE105" s="2775"/>
      <c r="AF105" s="2775"/>
      <c r="AG105" s="1416">
        <f t="shared" si="37"/>
        <v>3606335</v>
      </c>
      <c r="AH105" s="2776"/>
      <c r="AI105" s="2374">
        <f t="shared" ref="AI105" si="40">(U105*1.08)+(V105*1.08)+(W105*1.08)+((850000*(H105+I105))+(H105*3650000)+(I105*3650000))*1.08</f>
        <v>4860000</v>
      </c>
      <c r="AJ105" s="1703">
        <f t="shared" ref="AJ105" si="41">+AG105+AI105</f>
        <v>8466335</v>
      </c>
      <c r="AK105" s="2779"/>
      <c r="AL105" s="2933"/>
      <c r="AM105" s="1393"/>
    </row>
    <row r="106" spans="1:39" s="1350" customFormat="1" ht="27.75" customHeight="1">
      <c r="A106" s="1738">
        <f t="shared" si="38"/>
        <v>11</v>
      </c>
      <c r="B106" s="2450" t="s">
        <v>7700</v>
      </c>
      <c r="C106" s="2039">
        <v>107678017860</v>
      </c>
      <c r="D106" s="1616" t="s">
        <v>7636</v>
      </c>
      <c r="E106" s="2173" t="s">
        <v>7704</v>
      </c>
      <c r="F106" s="2944" t="s">
        <v>6500</v>
      </c>
      <c r="G106" s="2421" t="s">
        <v>1300</v>
      </c>
      <c r="H106" s="167"/>
      <c r="I106" s="167">
        <v>1</v>
      </c>
      <c r="J106" s="167"/>
      <c r="K106" s="3064" t="s">
        <v>418</v>
      </c>
      <c r="L106" s="3364" t="s">
        <v>7635</v>
      </c>
      <c r="M106" s="3455"/>
      <c r="N106" s="3401" t="s">
        <v>7682</v>
      </c>
      <c r="O106" s="3353" t="s">
        <v>7634</v>
      </c>
      <c r="P106" s="1612" t="s">
        <v>7636</v>
      </c>
      <c r="Q106" s="577" t="s">
        <v>7696</v>
      </c>
      <c r="R106" s="577" t="s">
        <v>7721</v>
      </c>
      <c r="S106" s="2674" t="s">
        <v>287</v>
      </c>
      <c r="T106" s="2674"/>
      <c r="U106" s="2674"/>
      <c r="V106" s="1613"/>
      <c r="W106" s="2774"/>
      <c r="X106" s="2775"/>
      <c r="Y106" s="3280">
        <v>882000</v>
      </c>
      <c r="Z106" s="3280">
        <v>1500000</v>
      </c>
      <c r="AA106" s="2775"/>
      <c r="AB106" s="2775"/>
      <c r="AC106" s="2775"/>
      <c r="AD106" s="2916">
        <v>500000</v>
      </c>
      <c r="AE106" s="2775"/>
      <c r="AF106" s="2775"/>
      <c r="AG106" s="1416">
        <f t="shared" si="37"/>
        <v>2882000</v>
      </c>
      <c r="AH106" s="2776"/>
      <c r="AI106" s="2374">
        <f t="shared" ref="AI106" si="42">(U106*1.08)+(V106*1.08)+(W106*1.08)+((850000*(H106+I106))+(H106*3650000)+(I106*3650000))*1.08</f>
        <v>4860000</v>
      </c>
      <c r="AJ106" s="1703">
        <f t="shared" ref="AJ106" si="43">+AG106+AI106</f>
        <v>7742000</v>
      </c>
      <c r="AK106" s="2779"/>
      <c r="AL106" s="2933"/>
      <c r="AM106" s="1393"/>
    </row>
    <row r="107" spans="1:39" s="1350" customFormat="1" ht="15.6">
      <c r="A107" s="1738">
        <f t="shared" si="38"/>
        <v>12</v>
      </c>
      <c r="B107" s="2450" t="s">
        <v>7700</v>
      </c>
      <c r="C107" s="2039">
        <v>107677604750</v>
      </c>
      <c r="D107" s="1616" t="s">
        <v>7636</v>
      </c>
      <c r="E107" s="2173" t="s">
        <v>7705</v>
      </c>
      <c r="F107" s="2944" t="s">
        <v>6500</v>
      </c>
      <c r="G107" s="2421" t="s">
        <v>1300</v>
      </c>
      <c r="H107" s="167"/>
      <c r="I107" s="167"/>
      <c r="J107" s="167" t="s">
        <v>128</v>
      </c>
      <c r="K107" s="3064" t="s">
        <v>418</v>
      </c>
      <c r="L107" s="3364" t="s">
        <v>7665</v>
      </c>
      <c r="M107" s="1587"/>
      <c r="N107" s="3439" t="s">
        <v>7695</v>
      </c>
      <c r="O107" s="3353" t="s">
        <v>7666</v>
      </c>
      <c r="P107" s="1612" t="s">
        <v>7464</v>
      </c>
      <c r="Q107" s="577"/>
      <c r="R107" s="577" t="s">
        <v>5948</v>
      </c>
      <c r="S107" s="2674" t="s">
        <v>3144</v>
      </c>
      <c r="T107" s="2674"/>
      <c r="U107" s="2674"/>
      <c r="V107" s="1613"/>
      <c r="W107" s="2774"/>
      <c r="X107" s="3280">
        <f>3413901+216000</f>
        <v>3629901</v>
      </c>
      <c r="Y107" s="2775"/>
      <c r="Z107" s="2775"/>
      <c r="AA107" s="2775"/>
      <c r="AB107" s="2775"/>
      <c r="AC107" s="2775"/>
      <c r="AD107" s="2774"/>
      <c r="AE107" s="2775"/>
      <c r="AF107" s="2775"/>
      <c r="AG107" s="1416">
        <f t="shared" si="37"/>
        <v>3629901</v>
      </c>
      <c r="AH107" s="2776"/>
      <c r="AI107" s="2374">
        <f>+(650000+(1800000+(1800*579)))*1.08</f>
        <v>3771576.0000000005</v>
      </c>
      <c r="AJ107" s="1703">
        <f t="shared" ref="AJ107:AJ110" si="44">+AG107+AI107</f>
        <v>7401477</v>
      </c>
      <c r="AK107" s="2779"/>
      <c r="AL107" s="2933"/>
      <c r="AM107" s="1393"/>
    </row>
    <row r="108" spans="1:39" s="1350" customFormat="1" ht="15.6">
      <c r="A108" s="1738">
        <f t="shared" si="38"/>
        <v>13</v>
      </c>
      <c r="B108" s="2450" t="s">
        <v>7758</v>
      </c>
      <c r="C108" s="2039">
        <v>107685389710</v>
      </c>
      <c r="D108" s="1616" t="s">
        <v>7700</v>
      </c>
      <c r="E108" s="2173" t="s">
        <v>7746</v>
      </c>
      <c r="F108" s="2944" t="s">
        <v>7714</v>
      </c>
      <c r="G108" s="2421" t="s">
        <v>1300</v>
      </c>
      <c r="H108" s="167"/>
      <c r="I108" s="167">
        <v>1</v>
      </c>
      <c r="J108" s="167"/>
      <c r="K108" s="3064" t="s">
        <v>418</v>
      </c>
      <c r="L108" s="3364" t="s">
        <v>7683</v>
      </c>
      <c r="M108" s="1587"/>
      <c r="N108" s="3423" t="s">
        <v>7717</v>
      </c>
      <c r="O108" s="3388" t="s">
        <v>7681</v>
      </c>
      <c r="P108" s="1612" t="s">
        <v>7680</v>
      </c>
      <c r="Q108" s="577" t="s">
        <v>7750</v>
      </c>
      <c r="R108" s="577" t="s">
        <v>7779</v>
      </c>
      <c r="S108" s="2674" t="s">
        <v>287</v>
      </c>
      <c r="T108" s="2674"/>
      <c r="U108" s="2674"/>
      <c r="V108" s="1613"/>
      <c r="W108" s="2774"/>
      <c r="X108" s="2775"/>
      <c r="Y108" s="3280">
        <v>882000</v>
      </c>
      <c r="Z108" s="3280">
        <v>1500000</v>
      </c>
      <c r="AA108" s="2775"/>
      <c r="AB108" s="2775"/>
      <c r="AC108" s="2775"/>
      <c r="AD108" s="2916">
        <v>500000</v>
      </c>
      <c r="AE108" s="2775"/>
      <c r="AF108" s="2775"/>
      <c r="AG108" s="1416">
        <f t="shared" si="37"/>
        <v>2882000</v>
      </c>
      <c r="AH108" s="2776"/>
      <c r="AI108" s="2374">
        <f t="shared" ref="AI108:AI109" si="45">(U108*1.08)+(V108*1.08)+(W108*1.08)+((850000*(H108+I108))+(H108*3650000)+(I108*3650000))*1.08</f>
        <v>4860000</v>
      </c>
      <c r="AJ108" s="1703">
        <f t="shared" si="44"/>
        <v>7742000</v>
      </c>
      <c r="AK108" s="2779"/>
      <c r="AL108" s="2933"/>
      <c r="AM108" s="1393"/>
    </row>
    <row r="109" spans="1:39" s="1350" customFormat="1" ht="15.6">
      <c r="A109" s="1738">
        <f t="shared" si="38"/>
        <v>14</v>
      </c>
      <c r="B109" s="2450" t="s">
        <v>7742</v>
      </c>
      <c r="C109" s="2039">
        <v>107683708420</v>
      </c>
      <c r="D109" s="1616" t="s">
        <v>7700</v>
      </c>
      <c r="E109" s="2173" t="s">
        <v>7747</v>
      </c>
      <c r="F109" s="2944" t="s">
        <v>6500</v>
      </c>
      <c r="G109" s="2421" t="s">
        <v>1300</v>
      </c>
      <c r="H109" s="167"/>
      <c r="I109" s="167">
        <v>1</v>
      </c>
      <c r="J109" s="167"/>
      <c r="K109" s="3064" t="s">
        <v>418</v>
      </c>
      <c r="L109" s="3364" t="s">
        <v>7679</v>
      </c>
      <c r="M109" s="1587"/>
      <c r="N109" s="3408" t="s">
        <v>7727</v>
      </c>
      <c r="O109" s="3388" t="s">
        <v>7684</v>
      </c>
      <c r="P109" s="1612" t="s">
        <v>7680</v>
      </c>
      <c r="Q109" s="577" t="s">
        <v>7750</v>
      </c>
      <c r="R109" s="577" t="s">
        <v>7762</v>
      </c>
      <c r="S109" s="2674" t="s">
        <v>287</v>
      </c>
      <c r="T109" s="2674"/>
      <c r="U109" s="2674"/>
      <c r="V109" s="1613"/>
      <c r="W109" s="2774"/>
      <c r="X109" s="2775"/>
      <c r="Y109" s="3280">
        <v>882000</v>
      </c>
      <c r="Z109" s="3280">
        <v>1500000</v>
      </c>
      <c r="AA109" s="2775"/>
      <c r="AB109" s="2775"/>
      <c r="AC109" s="2775"/>
      <c r="AD109" s="2916">
        <v>500000</v>
      </c>
      <c r="AE109" s="2775"/>
      <c r="AF109" s="2775"/>
      <c r="AG109" s="1416">
        <f t="shared" si="37"/>
        <v>2882000</v>
      </c>
      <c r="AH109" s="2776"/>
      <c r="AI109" s="2374">
        <f t="shared" si="45"/>
        <v>4860000</v>
      </c>
      <c r="AJ109" s="1703">
        <f t="shared" si="44"/>
        <v>7742000</v>
      </c>
      <c r="AK109" s="2779"/>
      <c r="AL109" s="2933"/>
      <c r="AM109" s="1393"/>
    </row>
    <row r="110" spans="1:39" s="1350" customFormat="1" ht="15.6">
      <c r="A110" s="1738">
        <f t="shared" si="38"/>
        <v>15</v>
      </c>
      <c r="B110" s="2450" t="s">
        <v>7742</v>
      </c>
      <c r="C110" s="2039">
        <v>107691125510</v>
      </c>
      <c r="D110" s="1616" t="s">
        <v>7726</v>
      </c>
      <c r="E110" s="2173" t="s">
        <v>7757</v>
      </c>
      <c r="F110" s="2944" t="s">
        <v>6500</v>
      </c>
      <c r="G110" s="2421" t="s">
        <v>1300</v>
      </c>
      <c r="H110" s="167"/>
      <c r="I110" s="167"/>
      <c r="J110" s="167" t="s">
        <v>128</v>
      </c>
      <c r="K110" s="3064" t="s">
        <v>418</v>
      </c>
      <c r="L110" s="3407" t="s">
        <v>7744</v>
      </c>
      <c r="M110" s="1587"/>
      <c r="N110" s="3438" t="s">
        <v>7745</v>
      </c>
      <c r="O110" s="3353" t="s">
        <v>7748</v>
      </c>
      <c r="P110" s="1612" t="s">
        <v>7680</v>
      </c>
      <c r="Q110" s="577" t="s">
        <v>210</v>
      </c>
      <c r="R110" s="577" t="s">
        <v>5948</v>
      </c>
      <c r="S110" s="2674" t="s">
        <v>3144</v>
      </c>
      <c r="T110" s="2674"/>
      <c r="U110" s="2674"/>
      <c r="V110" s="1613"/>
      <c r="W110" s="2774"/>
      <c r="X110" s="3280">
        <v>162000</v>
      </c>
      <c r="Y110" s="2775"/>
      <c r="Z110" s="2775"/>
      <c r="AA110" s="2775"/>
      <c r="AB110" s="2775"/>
      <c r="AC110" s="2775"/>
      <c r="AD110" s="2774"/>
      <c r="AE110" s="2775"/>
      <c r="AF110" s="2775"/>
      <c r="AG110" s="1416">
        <f t="shared" si="37"/>
        <v>162000</v>
      </c>
      <c r="AH110" s="2776"/>
      <c r="AI110" s="2374">
        <f>+(650000+1500000)*1.08</f>
        <v>2322000</v>
      </c>
      <c r="AJ110" s="1703">
        <f t="shared" si="44"/>
        <v>2484000</v>
      </c>
      <c r="AK110" s="2779"/>
      <c r="AL110" s="2933"/>
      <c r="AM110" s="1393"/>
    </row>
    <row r="111" spans="1:39" s="1350" customFormat="1" ht="31.5" customHeight="1">
      <c r="A111" s="1738">
        <f t="shared" si="38"/>
        <v>16</v>
      </c>
      <c r="B111" s="2450" t="s">
        <v>7711</v>
      </c>
      <c r="C111" s="2196">
        <v>107697210830</v>
      </c>
      <c r="D111" s="1616" t="s">
        <v>7631</v>
      </c>
      <c r="E111" s="2173" t="s">
        <v>7837</v>
      </c>
      <c r="F111" s="2944" t="s">
        <v>7765</v>
      </c>
      <c r="G111" s="2421" t="s">
        <v>1300</v>
      </c>
      <c r="H111" s="167"/>
      <c r="I111" s="167">
        <v>1</v>
      </c>
      <c r="J111" s="167"/>
      <c r="K111" s="3064" t="s">
        <v>418</v>
      </c>
      <c r="L111" s="3364" t="s">
        <v>7763</v>
      </c>
      <c r="M111" s="2515"/>
      <c r="N111" s="3427" t="s">
        <v>7764</v>
      </c>
      <c r="O111" s="3388" t="s">
        <v>7769</v>
      </c>
      <c r="P111" s="1612" t="s">
        <v>7770</v>
      </c>
      <c r="Q111" s="577" t="s">
        <v>7844</v>
      </c>
      <c r="R111" s="577"/>
      <c r="S111" s="3238" t="s">
        <v>2947</v>
      </c>
      <c r="T111" s="3238"/>
      <c r="U111" s="2674"/>
      <c r="V111" s="1613"/>
      <c r="W111" s="2774"/>
      <c r="X111" s="2775"/>
      <c r="Y111" s="3280">
        <v>687000</v>
      </c>
      <c r="Z111" s="3548">
        <v>1500000</v>
      </c>
      <c r="AA111" s="2775"/>
      <c r="AB111" s="2775"/>
      <c r="AC111" s="2775"/>
      <c r="AD111" s="2916">
        <v>500000</v>
      </c>
      <c r="AE111" s="2775"/>
      <c r="AF111" s="2775"/>
      <c r="AG111" s="1416">
        <f t="shared" si="37"/>
        <v>2687000</v>
      </c>
      <c r="AH111" s="2776"/>
      <c r="AI111" s="2374">
        <f t="shared" ref="AI111:AI112" si="46">(U111*1.08)+(V111*1.08)+(W111*1.08)+((850000*(H111+I111))+(H111*3650000)+(I111*3650000))*1.08</f>
        <v>4860000</v>
      </c>
      <c r="AJ111" s="1703">
        <f t="shared" ref="AJ111:AJ117" si="47">+AG111+AI111</f>
        <v>7547000</v>
      </c>
      <c r="AK111" s="2779"/>
      <c r="AL111" s="2933"/>
      <c r="AM111" s="1393"/>
    </row>
    <row r="112" spans="1:39" s="1350" customFormat="1" ht="14.25" customHeight="1">
      <c r="A112" s="1738">
        <f t="shared" si="38"/>
        <v>17</v>
      </c>
      <c r="B112" s="2450" t="s">
        <v>7813</v>
      </c>
      <c r="C112" s="1997">
        <v>107701007850</v>
      </c>
      <c r="D112" s="1616" t="s">
        <v>7776</v>
      </c>
      <c r="E112" s="2173" t="s">
        <v>7838</v>
      </c>
      <c r="F112" s="2944" t="s">
        <v>6500</v>
      </c>
      <c r="G112" s="2421" t="s">
        <v>1300</v>
      </c>
      <c r="H112" s="167"/>
      <c r="I112" s="167">
        <v>1</v>
      </c>
      <c r="J112" s="167"/>
      <c r="K112" s="3064" t="s">
        <v>418</v>
      </c>
      <c r="L112" s="3364" t="s">
        <v>7774</v>
      </c>
      <c r="M112" s="966"/>
      <c r="N112" s="3403" t="s">
        <v>7775</v>
      </c>
      <c r="O112" s="3353" t="s">
        <v>7781</v>
      </c>
      <c r="P112" s="1612" t="s">
        <v>7631</v>
      </c>
      <c r="Q112" s="577" t="s">
        <v>7784</v>
      </c>
      <c r="R112" s="577" t="s">
        <v>6056</v>
      </c>
      <c r="S112" s="2674" t="s">
        <v>287</v>
      </c>
      <c r="T112" s="2674"/>
      <c r="U112" s="2674"/>
      <c r="V112" s="1613"/>
      <c r="W112" s="2774"/>
      <c r="X112" s="2775"/>
      <c r="Y112" s="3280">
        <v>882000</v>
      </c>
      <c r="Z112" s="3548">
        <v>1485000</v>
      </c>
      <c r="AA112" s="2775"/>
      <c r="AB112" s="2775"/>
      <c r="AC112" s="2775"/>
      <c r="AD112" s="2916">
        <v>500000</v>
      </c>
      <c r="AE112" s="2775"/>
      <c r="AF112" s="2775"/>
      <c r="AG112" s="1416">
        <f t="shared" si="37"/>
        <v>2867000</v>
      </c>
      <c r="AH112" s="2776"/>
      <c r="AI112" s="2374">
        <f t="shared" si="46"/>
        <v>4860000</v>
      </c>
      <c r="AJ112" s="1703">
        <f t="shared" si="47"/>
        <v>7727000</v>
      </c>
      <c r="AK112" s="2779"/>
      <c r="AL112" s="2933"/>
      <c r="AM112" s="1393"/>
    </row>
    <row r="113" spans="1:39" s="1350" customFormat="1" ht="15.6">
      <c r="A113" s="1738">
        <f t="shared" si="38"/>
        <v>18</v>
      </c>
      <c r="B113" s="666" t="s">
        <v>7792</v>
      </c>
      <c r="C113" s="2196">
        <v>107705832950</v>
      </c>
      <c r="D113" s="1616" t="s">
        <v>7631</v>
      </c>
      <c r="E113" s="2173" t="s">
        <v>7814</v>
      </c>
      <c r="F113" s="2944" t="s">
        <v>6500</v>
      </c>
      <c r="G113" s="2421" t="s">
        <v>1300</v>
      </c>
      <c r="H113" s="167"/>
      <c r="I113" s="167"/>
      <c r="J113" s="167" t="s">
        <v>128</v>
      </c>
      <c r="K113" s="3064" t="s">
        <v>418</v>
      </c>
      <c r="L113" s="3364" t="s">
        <v>7785</v>
      </c>
      <c r="M113" s="966"/>
      <c r="N113" s="3439" t="s">
        <v>7786</v>
      </c>
      <c r="O113" s="3353" t="s">
        <v>7787</v>
      </c>
      <c r="P113" s="1612" t="s">
        <v>7631</v>
      </c>
      <c r="Q113" s="577" t="s">
        <v>210</v>
      </c>
      <c r="R113" s="577" t="s">
        <v>7811</v>
      </c>
      <c r="S113" s="2674" t="s">
        <v>3144</v>
      </c>
      <c r="T113" s="2674"/>
      <c r="U113" s="2674"/>
      <c r="V113" s="1613"/>
      <c r="W113" s="2774"/>
      <c r="X113" s="3280">
        <v>379210</v>
      </c>
      <c r="Y113" s="2775"/>
      <c r="Z113" s="2775"/>
      <c r="AA113" s="2775"/>
      <c r="AB113" s="2775"/>
      <c r="AC113" s="2775"/>
      <c r="AD113" s="2774"/>
      <c r="AE113" s="2775"/>
      <c r="AF113" s="2775"/>
      <c r="AG113" s="1416">
        <f t="shared" si="37"/>
        <v>379210</v>
      </c>
      <c r="AH113" s="2776"/>
      <c r="AI113" s="2374">
        <f>+(650000+1800000)*1.08</f>
        <v>2646000</v>
      </c>
      <c r="AJ113" s="1703">
        <f t="shared" si="47"/>
        <v>3025210</v>
      </c>
      <c r="AK113" s="2779"/>
      <c r="AL113" s="2933"/>
      <c r="AM113" s="1393"/>
    </row>
    <row r="114" spans="1:39" s="1350" customFormat="1" ht="15.6">
      <c r="A114" s="1738">
        <f t="shared" si="38"/>
        <v>19</v>
      </c>
      <c r="B114" s="2450" t="s">
        <v>7711</v>
      </c>
      <c r="C114" s="2196">
        <v>107713042730</v>
      </c>
      <c r="D114" s="1616" t="s">
        <v>7813</v>
      </c>
      <c r="E114" s="2173" t="s">
        <v>7848</v>
      </c>
      <c r="F114" s="2944" t="s">
        <v>6500</v>
      </c>
      <c r="G114" s="2421" t="s">
        <v>1300</v>
      </c>
      <c r="H114" s="167"/>
      <c r="I114" s="167"/>
      <c r="J114" s="167" t="s">
        <v>128</v>
      </c>
      <c r="K114" s="3064" t="s">
        <v>418</v>
      </c>
      <c r="L114" s="3364" t="s">
        <v>7822</v>
      </c>
      <c r="M114" s="577"/>
      <c r="N114" s="3439" t="s">
        <v>7828</v>
      </c>
      <c r="O114" s="3353" t="s">
        <v>7847</v>
      </c>
      <c r="P114" s="1612" t="s">
        <v>7770</v>
      </c>
      <c r="Q114" s="577"/>
      <c r="R114" s="577" t="s">
        <v>7150</v>
      </c>
      <c r="S114" s="2674" t="s">
        <v>3144</v>
      </c>
      <c r="T114" s="2674"/>
      <c r="U114" s="2674"/>
      <c r="V114" s="1613"/>
      <c r="W114" s="2774"/>
      <c r="X114" s="3280">
        <v>324000</v>
      </c>
      <c r="Y114" s="2775"/>
      <c r="Z114" s="2775"/>
      <c r="AA114" s="2775"/>
      <c r="AB114" s="2775"/>
      <c r="AC114" s="2775"/>
      <c r="AD114" s="2774"/>
      <c r="AE114" s="2775"/>
      <c r="AF114" s="2775"/>
      <c r="AG114" s="1416">
        <f t="shared" si="37"/>
        <v>324000</v>
      </c>
      <c r="AH114" s="2776"/>
      <c r="AI114" s="2374">
        <f>+(650000+1500000)*1.08</f>
        <v>2322000</v>
      </c>
      <c r="AJ114" s="1703">
        <f t="shared" si="47"/>
        <v>2646000</v>
      </c>
      <c r="AK114" s="2779"/>
      <c r="AL114" s="2933"/>
      <c r="AM114" s="1393"/>
    </row>
    <row r="115" spans="1:39" s="1350" customFormat="1" ht="15.6">
      <c r="A115" s="1738">
        <f t="shared" si="38"/>
        <v>20</v>
      </c>
      <c r="B115" s="2450" t="s">
        <v>7711</v>
      </c>
      <c r="C115" s="2196">
        <v>107713173960</v>
      </c>
      <c r="D115" s="1616" t="s">
        <v>7813</v>
      </c>
      <c r="E115" s="2173" t="s">
        <v>7849</v>
      </c>
      <c r="F115" s="2944" t="s">
        <v>6500</v>
      </c>
      <c r="G115" s="2421" t="s">
        <v>1300</v>
      </c>
      <c r="H115" s="167"/>
      <c r="I115" s="167"/>
      <c r="J115" s="167" t="s">
        <v>128</v>
      </c>
      <c r="K115" s="3064" t="s">
        <v>418</v>
      </c>
      <c r="L115" s="3364" t="s">
        <v>7823</v>
      </c>
      <c r="M115" s="577"/>
      <c r="N115" s="3439" t="s">
        <v>7845</v>
      </c>
      <c r="O115" s="3353" t="s">
        <v>7846</v>
      </c>
      <c r="P115" s="1612" t="s">
        <v>7770</v>
      </c>
      <c r="Q115" s="577"/>
      <c r="R115" s="577" t="s">
        <v>7150</v>
      </c>
      <c r="S115" s="2674" t="s">
        <v>3144</v>
      </c>
      <c r="T115" s="2674"/>
      <c r="U115" s="2674"/>
      <c r="V115" s="1613"/>
      <c r="W115" s="2774"/>
      <c r="X115" s="3280">
        <v>383508</v>
      </c>
      <c r="Y115" s="2775"/>
      <c r="Z115" s="2775"/>
      <c r="AA115" s="2775"/>
      <c r="AB115" s="2775"/>
      <c r="AC115" s="2775"/>
      <c r="AD115" s="2774"/>
      <c r="AE115" s="2775"/>
      <c r="AF115" s="2775"/>
      <c r="AG115" s="1416">
        <f t="shared" si="37"/>
        <v>383508</v>
      </c>
      <c r="AH115" s="2776"/>
      <c r="AI115" s="2374">
        <f>+(650000+1800000)*1.08</f>
        <v>2646000</v>
      </c>
      <c r="AJ115" s="1703">
        <f t="shared" si="47"/>
        <v>3029508</v>
      </c>
      <c r="AK115" s="2779"/>
      <c r="AL115" s="2933"/>
      <c r="AM115" s="1393"/>
    </row>
    <row r="116" spans="1:39" s="1350" customFormat="1" ht="52.8">
      <c r="A116" s="1738">
        <f t="shared" si="38"/>
        <v>21</v>
      </c>
      <c r="B116" s="2450" t="s">
        <v>7696</v>
      </c>
      <c r="C116" s="2206">
        <v>307968089720</v>
      </c>
      <c r="D116" s="1616" t="s">
        <v>7696</v>
      </c>
      <c r="E116" s="2173" t="s">
        <v>7876</v>
      </c>
      <c r="F116" s="2263" t="s">
        <v>7827</v>
      </c>
      <c r="G116" s="2421" t="s">
        <v>210</v>
      </c>
      <c r="H116" s="167"/>
      <c r="I116" s="167">
        <v>1</v>
      </c>
      <c r="J116" s="167"/>
      <c r="K116" s="3431" t="s">
        <v>210</v>
      </c>
      <c r="L116" s="3364" t="s">
        <v>7832</v>
      </c>
      <c r="M116" s="3515" t="s">
        <v>7912</v>
      </c>
      <c r="N116" s="1618" t="s">
        <v>7855</v>
      </c>
      <c r="O116" s="3353" t="s">
        <v>7868</v>
      </c>
      <c r="P116" s="1612" t="s">
        <v>7825</v>
      </c>
      <c r="Q116" s="577"/>
      <c r="R116" s="577" t="s">
        <v>5972</v>
      </c>
      <c r="S116" s="2674" t="s">
        <v>287</v>
      </c>
      <c r="T116" s="2674"/>
      <c r="U116" s="2674"/>
      <c r="V116" s="1613"/>
      <c r="W116" s="2774"/>
      <c r="X116" s="2775"/>
      <c r="Y116" s="3280">
        <f>623000+2854000+1500000</f>
        <v>4977000</v>
      </c>
      <c r="Z116" s="3280">
        <f>882000+1280000</f>
        <v>2162000</v>
      </c>
      <c r="AA116" s="2775"/>
      <c r="AB116" s="2916">
        <f>5393000+283842</f>
        <v>5676842</v>
      </c>
      <c r="AC116" s="2775"/>
      <c r="AD116" s="3466"/>
      <c r="AE116" s="2775"/>
      <c r="AF116" s="2775"/>
      <c r="AG116" s="1416">
        <f t="shared" si="37"/>
        <v>12815842</v>
      </c>
      <c r="AH116" s="3467" t="s">
        <v>7914</v>
      </c>
      <c r="AI116" s="2374">
        <f>(U116*1.08)+(V116*1.08)+(W116*1.08)+((850000*(H116+I116))+(H116*3650000)+(I116*3650000)+(I116*3650000)+(4120000))*1.08</f>
        <v>13251600</v>
      </c>
      <c r="AJ116" s="1703">
        <f t="shared" si="47"/>
        <v>26067442</v>
      </c>
      <c r="AK116" s="2779"/>
      <c r="AL116" s="2933"/>
      <c r="AM116" s="1393"/>
    </row>
    <row r="117" spans="1:39" s="1350" customFormat="1" ht="26.4">
      <c r="A117" s="1738">
        <f t="shared" si="38"/>
        <v>22</v>
      </c>
      <c r="B117" s="2450" t="s">
        <v>7839</v>
      </c>
      <c r="C117" s="2206">
        <v>307974020600</v>
      </c>
      <c r="D117" s="1616" t="s">
        <v>7839</v>
      </c>
      <c r="E117" s="2173" t="s">
        <v>7893</v>
      </c>
      <c r="F117" s="2263" t="s">
        <v>7826</v>
      </c>
      <c r="G117" s="2421" t="s">
        <v>210</v>
      </c>
      <c r="H117" s="167"/>
      <c r="I117" s="167">
        <v>1</v>
      </c>
      <c r="J117" s="167"/>
      <c r="K117" s="3460" t="s">
        <v>210</v>
      </c>
      <c r="L117" s="3364" t="s">
        <v>7824</v>
      </c>
      <c r="M117" s="1151" t="s">
        <v>7930</v>
      </c>
      <c r="N117" s="1618" t="s">
        <v>7882</v>
      </c>
      <c r="O117" s="3353" t="s">
        <v>7883</v>
      </c>
      <c r="P117" s="1612" t="s">
        <v>7880</v>
      </c>
      <c r="Q117" s="577"/>
      <c r="R117" s="577" t="s">
        <v>7888</v>
      </c>
      <c r="S117" s="2674" t="s">
        <v>287</v>
      </c>
      <c r="T117" s="2674"/>
      <c r="U117" s="2674"/>
      <c r="V117" s="1613"/>
      <c r="W117" s="2774"/>
      <c r="X117" s="2775"/>
      <c r="Y117" s="3280">
        <v>1500000</v>
      </c>
      <c r="Z117" s="3280">
        <v>882000</v>
      </c>
      <c r="AA117" s="3280">
        <v>1140741</v>
      </c>
      <c r="AB117" s="2775"/>
      <c r="AC117" s="2775"/>
      <c r="AD117" s="2916">
        <v>500000</v>
      </c>
      <c r="AE117" s="2775"/>
      <c r="AF117" s="2775"/>
      <c r="AG117" s="1416">
        <f t="shared" si="37"/>
        <v>4022741</v>
      </c>
      <c r="AH117" s="2776"/>
      <c r="AI117" s="2374">
        <f t="shared" ref="AI117:AI121" si="48">(U117*1.08)+(V117*1.08)+(W117*1.08)+((850000*(H117+I117))+(H117*3650000)+(I117*3650000))*1.08</f>
        <v>4860000</v>
      </c>
      <c r="AJ117" s="1703">
        <f t="shared" si="47"/>
        <v>8882741</v>
      </c>
      <c r="AK117" s="2779"/>
      <c r="AL117" s="2933"/>
      <c r="AM117" s="1393"/>
    </row>
    <row r="118" spans="1:39" s="1350" customFormat="1" ht="39.75" customHeight="1">
      <c r="A118" s="1738">
        <f t="shared" si="38"/>
        <v>23</v>
      </c>
      <c r="B118" s="2450" t="s">
        <v>7844</v>
      </c>
      <c r="C118" s="2196">
        <v>107718069910</v>
      </c>
      <c r="D118" s="1616" t="s">
        <v>7696</v>
      </c>
      <c r="E118" s="2173" t="s">
        <v>7894</v>
      </c>
      <c r="F118" s="2944" t="s">
        <v>6500</v>
      </c>
      <c r="G118" s="2421" t="s">
        <v>1300</v>
      </c>
      <c r="H118" s="167"/>
      <c r="I118" s="167">
        <v>1</v>
      </c>
      <c r="J118" s="167"/>
      <c r="K118" s="3064" t="s">
        <v>418</v>
      </c>
      <c r="L118" s="3364" t="s">
        <v>7788</v>
      </c>
      <c r="M118" s="577"/>
      <c r="N118" s="3459" t="s">
        <v>7857</v>
      </c>
      <c r="O118" s="3353" t="s">
        <v>7789</v>
      </c>
      <c r="P118" s="1612" t="s">
        <v>7711</v>
      </c>
      <c r="Q118" s="577" t="s">
        <v>7784</v>
      </c>
      <c r="R118" s="577" t="s">
        <v>7900</v>
      </c>
      <c r="S118" s="2674" t="s">
        <v>287</v>
      </c>
      <c r="T118" s="2674"/>
      <c r="U118" s="2674"/>
      <c r="V118" s="1613"/>
      <c r="W118" s="2774"/>
      <c r="X118" s="2775"/>
      <c r="Y118" s="3280">
        <v>882000</v>
      </c>
      <c r="Z118" s="3280">
        <v>1500000</v>
      </c>
      <c r="AA118" s="2775"/>
      <c r="AB118" s="2775"/>
      <c r="AC118" s="2775"/>
      <c r="AD118" s="2916">
        <v>500000</v>
      </c>
      <c r="AE118" s="2775"/>
      <c r="AF118" s="2775"/>
      <c r="AG118" s="1416">
        <f>+SUM(X118:AF118)</f>
        <v>2882000</v>
      </c>
      <c r="AH118" s="2776"/>
      <c r="AI118" s="2374">
        <f t="shared" si="48"/>
        <v>4860000</v>
      </c>
      <c r="AJ118" s="1703">
        <f>+AG118+AI118</f>
        <v>7742000</v>
      </c>
      <c r="AK118" s="2779"/>
      <c r="AL118" s="2933"/>
      <c r="AM118" s="1393"/>
    </row>
    <row r="119" spans="1:39" s="1350" customFormat="1" ht="15.6">
      <c r="A119" s="1738">
        <f t="shared" si="38"/>
        <v>24</v>
      </c>
      <c r="B119" s="2450" t="s">
        <v>7820</v>
      </c>
      <c r="C119" s="2196">
        <v>107712305740</v>
      </c>
      <c r="D119" s="1616" t="s">
        <v>7711</v>
      </c>
      <c r="E119" s="2173" t="s">
        <v>7895</v>
      </c>
      <c r="F119" s="2944" t="s">
        <v>6500</v>
      </c>
      <c r="G119" s="2421" t="s">
        <v>1300</v>
      </c>
      <c r="H119" s="167"/>
      <c r="I119" s="167">
        <v>1</v>
      </c>
      <c r="J119" s="167"/>
      <c r="K119" s="3064" t="s">
        <v>418</v>
      </c>
      <c r="L119" s="3268" t="s">
        <v>7803</v>
      </c>
      <c r="M119" s="577"/>
      <c r="N119" s="3465" t="s">
        <v>7861</v>
      </c>
      <c r="O119" s="3353" t="s">
        <v>7821</v>
      </c>
      <c r="P119" s="1612" t="s">
        <v>7839</v>
      </c>
      <c r="Q119" s="577" t="s">
        <v>7911</v>
      </c>
      <c r="R119" s="577" t="s">
        <v>7917</v>
      </c>
      <c r="S119" s="2674" t="s">
        <v>287</v>
      </c>
      <c r="T119" s="2674"/>
      <c r="U119" s="2674"/>
      <c r="V119" s="1613"/>
      <c r="W119" s="2774"/>
      <c r="X119" s="2775"/>
      <c r="Y119" s="3280">
        <v>882000</v>
      </c>
      <c r="Z119" s="3280">
        <v>1512000</v>
      </c>
      <c r="AA119" s="2775"/>
      <c r="AB119" s="2775"/>
      <c r="AC119" s="2775"/>
      <c r="AD119" s="2916">
        <v>500000</v>
      </c>
      <c r="AE119" s="2775"/>
      <c r="AF119" s="2775"/>
      <c r="AG119" s="1416">
        <f>+SUM(X119:AF119)</f>
        <v>2894000</v>
      </c>
      <c r="AH119" s="2776"/>
      <c r="AI119" s="2374">
        <f t="shared" si="48"/>
        <v>4860000</v>
      </c>
      <c r="AJ119" s="1703">
        <f>+AG119+AI119</f>
        <v>7754000</v>
      </c>
      <c r="AK119" s="2779"/>
      <c r="AL119" s="2933"/>
      <c r="AM119" s="1393"/>
    </row>
    <row r="120" spans="1:39" s="1350" customFormat="1" ht="15.6">
      <c r="A120" s="1738">
        <f t="shared" si="38"/>
        <v>25</v>
      </c>
      <c r="B120" s="1406" t="s">
        <v>7944</v>
      </c>
      <c r="C120" s="2196">
        <v>107711799860</v>
      </c>
      <c r="D120" s="1616" t="s">
        <v>7839</v>
      </c>
      <c r="E120" s="2173" t="s">
        <v>7937</v>
      </c>
      <c r="F120" s="3420" t="s">
        <v>7809</v>
      </c>
      <c r="G120" s="2421" t="s">
        <v>1300</v>
      </c>
      <c r="H120" s="167"/>
      <c r="I120" s="167">
        <v>1</v>
      </c>
      <c r="J120" s="167"/>
      <c r="K120" s="3064" t="s">
        <v>418</v>
      </c>
      <c r="L120" s="3364" t="s">
        <v>7801</v>
      </c>
      <c r="M120" s="577"/>
      <c r="N120" s="3471" t="s">
        <v>7802</v>
      </c>
      <c r="O120" s="3353" t="s">
        <v>7812</v>
      </c>
      <c r="P120" s="1612" t="s">
        <v>7770</v>
      </c>
      <c r="Q120" s="577" t="s">
        <v>7944</v>
      </c>
      <c r="R120" s="577" t="s">
        <v>6255</v>
      </c>
      <c r="S120" s="2674" t="s">
        <v>287</v>
      </c>
      <c r="T120" s="2674"/>
      <c r="U120" s="2674"/>
      <c r="V120" s="1613"/>
      <c r="W120" s="2774"/>
      <c r="X120" s="2775"/>
      <c r="Y120" s="3280">
        <v>3482000</v>
      </c>
      <c r="Z120" s="3280">
        <v>1500000</v>
      </c>
      <c r="AA120" s="2775"/>
      <c r="AB120" s="2775"/>
      <c r="AC120" s="2775"/>
      <c r="AD120" s="2916">
        <v>500000</v>
      </c>
      <c r="AE120" s="3281">
        <f>592898</f>
        <v>592898</v>
      </c>
      <c r="AF120" s="2775"/>
      <c r="AG120" s="1416">
        <f t="shared" ref="AG120:AG147" si="49">+SUM(X120:AF120)</f>
        <v>6074898</v>
      </c>
      <c r="AH120" s="2776" t="s">
        <v>7959</v>
      </c>
      <c r="AI120" s="2374">
        <f>(U120*1.08)+(V120*1.08)+(W120*1.08)+((850000*(H120+I120))+(H120*3650000)+(I120*3650000))*1.08+(300000*1.03)*1.08</f>
        <v>5193720</v>
      </c>
      <c r="AJ120" s="1703">
        <f t="shared" ref="AJ120:AJ121" si="50">+AG120+AI120</f>
        <v>11268618</v>
      </c>
      <c r="AK120" s="2779"/>
      <c r="AL120" s="2933"/>
      <c r="AM120" s="1393"/>
    </row>
    <row r="121" spans="1:39" s="1350" customFormat="1" ht="40.5" customHeight="1">
      <c r="A121" s="1738">
        <f t="shared" si="38"/>
        <v>26</v>
      </c>
      <c r="B121" s="2450" t="s">
        <v>7954</v>
      </c>
      <c r="C121" s="2196">
        <v>107728676530</v>
      </c>
      <c r="D121" s="1616" t="s">
        <v>7844</v>
      </c>
      <c r="E121" s="2173" t="s">
        <v>7938</v>
      </c>
      <c r="F121" s="2944" t="s">
        <v>6500</v>
      </c>
      <c r="G121" s="2421" t="s">
        <v>1300</v>
      </c>
      <c r="H121" s="167"/>
      <c r="I121" s="167">
        <v>1</v>
      </c>
      <c r="J121" s="167"/>
      <c r="K121" s="3064" t="s">
        <v>418</v>
      </c>
      <c r="L121" s="3364" t="s">
        <v>7854</v>
      </c>
      <c r="M121" s="577"/>
      <c r="N121" s="3544" t="s">
        <v>7904</v>
      </c>
      <c r="O121" s="3353" t="s">
        <v>7905</v>
      </c>
      <c r="P121" s="1612" t="s">
        <v>7820</v>
      </c>
      <c r="Q121" s="577" t="s">
        <v>7940</v>
      </c>
      <c r="R121" s="577" t="s">
        <v>5972</v>
      </c>
      <c r="S121" s="2674" t="s">
        <v>287</v>
      </c>
      <c r="T121" s="2674"/>
      <c r="U121" s="2674"/>
      <c r="V121" s="1613"/>
      <c r="W121" s="2774"/>
      <c r="X121" s="2775"/>
      <c r="Y121" s="3280">
        <v>1532000</v>
      </c>
      <c r="Z121" s="3280">
        <v>1280000</v>
      </c>
      <c r="AA121" s="2775"/>
      <c r="AB121" s="2775"/>
      <c r="AC121" s="2775"/>
      <c r="AD121" s="2916">
        <v>500000</v>
      </c>
      <c r="AE121" s="2775"/>
      <c r="AF121" s="2775"/>
      <c r="AG121" s="1416">
        <f t="shared" si="49"/>
        <v>3312000</v>
      </c>
      <c r="AH121" s="2776"/>
      <c r="AI121" s="2374">
        <f t="shared" si="48"/>
        <v>4860000</v>
      </c>
      <c r="AJ121" s="1703">
        <f t="shared" si="50"/>
        <v>8172000</v>
      </c>
      <c r="AK121" s="2779"/>
      <c r="AL121" s="2933"/>
      <c r="AM121" s="1393"/>
    </row>
    <row r="122" spans="1:39" s="1350" customFormat="1" ht="15.6">
      <c r="A122" s="1738">
        <f t="shared" si="38"/>
        <v>27</v>
      </c>
      <c r="B122" s="1509" t="s">
        <v>8004</v>
      </c>
      <c r="C122" s="2039" t="s">
        <v>8014</v>
      </c>
      <c r="D122" s="1824" t="s">
        <v>7955</v>
      </c>
      <c r="E122" s="2173" t="s">
        <v>8022</v>
      </c>
      <c r="F122" s="2944" t="s">
        <v>6500</v>
      </c>
      <c r="G122" s="2421" t="s">
        <v>1300</v>
      </c>
      <c r="H122" s="167"/>
      <c r="I122" s="167"/>
      <c r="J122" s="167" t="s">
        <v>128</v>
      </c>
      <c r="K122" s="1645"/>
      <c r="L122" s="3525" t="s">
        <v>7986</v>
      </c>
      <c r="M122" s="1587"/>
      <c r="N122" s="3523" t="s">
        <v>8023</v>
      </c>
      <c r="O122" s="3388" t="s">
        <v>7987</v>
      </c>
      <c r="P122" s="2038"/>
      <c r="Q122" s="577"/>
      <c r="R122" s="577" t="s">
        <v>8029</v>
      </c>
      <c r="S122" s="1613"/>
      <c r="T122" s="1613"/>
      <c r="U122" s="2674"/>
      <c r="V122" s="1613"/>
      <c r="W122" s="2774"/>
      <c r="X122" s="3280">
        <v>3113510</v>
      </c>
      <c r="Y122" s="2775"/>
      <c r="Z122" s="2775"/>
      <c r="AA122" s="2775"/>
      <c r="AB122" s="2775"/>
      <c r="AC122" s="2775"/>
      <c r="AD122" s="2774"/>
      <c r="AE122" s="2775"/>
      <c r="AF122" s="2775"/>
      <c r="AG122" s="1416">
        <f t="shared" si="49"/>
        <v>3113510</v>
      </c>
      <c r="AH122" s="2776"/>
      <c r="AI122" s="2374">
        <f>+(650000+3931200)*1.08</f>
        <v>4947696</v>
      </c>
      <c r="AJ122" s="1703">
        <f t="shared" ref="AJ122" si="51">+AG122+AI122</f>
        <v>8061206</v>
      </c>
      <c r="AK122" s="2779"/>
      <c r="AL122" s="2933"/>
      <c r="AM122" s="1393"/>
    </row>
    <row r="123" spans="1:39" s="1350" customFormat="1">
      <c r="A123" s="3711" t="s">
        <v>7970</v>
      </c>
      <c r="B123" s="4098"/>
      <c r="C123" s="4098"/>
      <c r="D123" s="4098"/>
      <c r="E123" s="4098"/>
      <c r="F123" s="4098"/>
      <c r="G123" s="4098"/>
      <c r="H123" s="4098"/>
      <c r="I123" s="4098"/>
      <c r="J123" s="4098"/>
      <c r="K123" s="4098"/>
      <c r="L123" s="4098"/>
      <c r="M123" s="4098"/>
      <c r="N123" s="4098"/>
      <c r="O123" s="3212"/>
      <c r="P123" s="3213"/>
      <c r="Q123" s="3237"/>
      <c r="R123" s="3237"/>
      <c r="S123" s="2085"/>
      <c r="T123" s="2085"/>
      <c r="U123" s="3238"/>
      <c r="V123" s="2085"/>
      <c r="W123" s="3239"/>
      <c r="X123" s="3240"/>
      <c r="Y123" s="3240"/>
      <c r="Z123" s="3240"/>
      <c r="AA123" s="3240"/>
      <c r="AB123" s="3240"/>
      <c r="AC123" s="3240"/>
      <c r="AD123" s="3239"/>
      <c r="AE123" s="3240"/>
      <c r="AF123" s="3240"/>
      <c r="AG123" s="3242">
        <f>SUM(AG100:AG122)</f>
        <v>64956480</v>
      </c>
      <c r="AH123" s="3518"/>
      <c r="AI123" s="3242">
        <f>SUM(AI100:AI122)</f>
        <v>100766592</v>
      </c>
      <c r="AJ123" s="3242">
        <f>SUM(AJ100:AJ122)</f>
        <v>165723072</v>
      </c>
      <c r="AK123" s="3243"/>
      <c r="AL123" s="3244">
        <v>450000</v>
      </c>
      <c r="AM123" s="1393"/>
    </row>
    <row r="124" spans="1:39" s="1350" customFormat="1" ht="26.4">
      <c r="A124" s="1738">
        <v>1</v>
      </c>
      <c r="B124" s="3633" t="s">
        <v>7641</v>
      </c>
      <c r="C124" s="2173">
        <v>307919891550</v>
      </c>
      <c r="D124" s="1616" t="s">
        <v>7449</v>
      </c>
      <c r="E124" s="2173" t="s">
        <v>8078</v>
      </c>
      <c r="F124" s="3365" t="s">
        <v>7637</v>
      </c>
      <c r="G124" s="2421" t="s">
        <v>210</v>
      </c>
      <c r="H124" s="167"/>
      <c r="I124" s="167"/>
      <c r="J124" s="167">
        <v>1</v>
      </c>
      <c r="K124" s="3555" t="s">
        <v>210</v>
      </c>
      <c r="L124" s="3364" t="s">
        <v>7624</v>
      </c>
      <c r="M124" s="1151" t="s">
        <v>7699</v>
      </c>
      <c r="N124" s="3554" t="s">
        <v>7630</v>
      </c>
      <c r="O124" s="3353" t="s">
        <v>7640</v>
      </c>
      <c r="P124" s="1612" t="s">
        <v>7625</v>
      </c>
      <c r="Q124" s="577"/>
      <c r="R124" s="577"/>
      <c r="S124" s="2674" t="s">
        <v>7628</v>
      </c>
      <c r="T124" s="2674"/>
      <c r="U124" s="2674"/>
      <c r="V124" s="1613"/>
      <c r="W124" s="2774"/>
      <c r="X124" s="2775"/>
      <c r="Y124" s="2775"/>
      <c r="Z124" s="2775"/>
      <c r="AA124" s="3250"/>
      <c r="AB124" s="2201"/>
      <c r="AC124" s="2201"/>
      <c r="AD124" s="2202"/>
      <c r="AE124" s="2775"/>
      <c r="AF124" s="2775"/>
      <c r="AG124" s="1416">
        <f t="shared" ref="AG124:AG125" si="52">+SUM(X124:AF124)</f>
        <v>0</v>
      </c>
      <c r="AH124" s="3568" t="s">
        <v>8242</v>
      </c>
      <c r="AI124" s="2374"/>
      <c r="AJ124" s="1703"/>
      <c r="AK124" s="2779"/>
      <c r="AL124" s="2933"/>
      <c r="AM124" s="1393"/>
    </row>
    <row r="125" spans="1:39" s="1350" customFormat="1" ht="26.4">
      <c r="A125" s="1738">
        <v>2</v>
      </c>
      <c r="B125" s="3633" t="s">
        <v>7641</v>
      </c>
      <c r="C125" s="2173">
        <v>307919911040</v>
      </c>
      <c r="D125" s="1616" t="s">
        <v>7449</v>
      </c>
      <c r="E125" s="2173" t="s">
        <v>8079</v>
      </c>
      <c r="F125" s="3365" t="s">
        <v>7638</v>
      </c>
      <c r="G125" s="2421" t="s">
        <v>210</v>
      </c>
      <c r="H125" s="167"/>
      <c r="I125" s="167"/>
      <c r="J125" s="167">
        <v>1</v>
      </c>
      <c r="K125" s="3555" t="s">
        <v>210</v>
      </c>
      <c r="L125" s="3364" t="s">
        <v>7626</v>
      </c>
      <c r="M125" s="1151" t="s">
        <v>7697</v>
      </c>
      <c r="N125" s="3554" t="s">
        <v>7629</v>
      </c>
      <c r="O125" s="3353" t="s">
        <v>7639</v>
      </c>
      <c r="P125" s="1612" t="s">
        <v>7627</v>
      </c>
      <c r="Q125" s="577"/>
      <c r="R125" s="577"/>
      <c r="S125" s="2674" t="s">
        <v>7628</v>
      </c>
      <c r="T125" s="2674"/>
      <c r="U125" s="2674"/>
      <c r="V125" s="1613"/>
      <c r="W125" s="2774"/>
      <c r="X125" s="2775"/>
      <c r="Y125" s="2775"/>
      <c r="Z125" s="2775"/>
      <c r="AA125" s="3250"/>
      <c r="AB125" s="2201"/>
      <c r="AC125" s="2201"/>
      <c r="AD125" s="2202"/>
      <c r="AE125" s="2775"/>
      <c r="AF125" s="2775"/>
      <c r="AG125" s="1416">
        <f t="shared" si="52"/>
        <v>0</v>
      </c>
      <c r="AH125" s="3568" t="s">
        <v>8242</v>
      </c>
      <c r="AI125" s="2374"/>
      <c r="AJ125" s="1703"/>
      <c r="AK125" s="2779"/>
      <c r="AL125" s="2933"/>
      <c r="AM125" s="1393"/>
    </row>
    <row r="126" spans="1:39" s="1350" customFormat="1" ht="26.4">
      <c r="A126" s="1738">
        <v>3</v>
      </c>
      <c r="B126" s="2450" t="s">
        <v>7992</v>
      </c>
      <c r="C126" s="2039">
        <v>107744820040</v>
      </c>
      <c r="D126" s="1616" t="s">
        <v>7954</v>
      </c>
      <c r="E126" s="2173" t="s">
        <v>8092</v>
      </c>
      <c r="F126" s="2944" t="s">
        <v>6500</v>
      </c>
      <c r="G126" s="2421" t="s">
        <v>1300</v>
      </c>
      <c r="H126" s="167"/>
      <c r="I126" s="167">
        <v>1</v>
      </c>
      <c r="J126" s="167"/>
      <c r="K126" s="3064" t="s">
        <v>418</v>
      </c>
      <c r="L126" s="3364" t="s">
        <v>7948</v>
      </c>
      <c r="M126" s="1151"/>
      <c r="N126" s="3671" t="s">
        <v>7949</v>
      </c>
      <c r="O126" s="3388" t="s">
        <v>7953</v>
      </c>
      <c r="P126" s="1612" t="s">
        <v>7954</v>
      </c>
      <c r="Q126" s="577"/>
      <c r="R126" s="3636" t="s">
        <v>8120</v>
      </c>
      <c r="S126" s="2674" t="s">
        <v>287</v>
      </c>
      <c r="T126" s="2674"/>
      <c r="U126" s="2674"/>
      <c r="V126" s="1613"/>
      <c r="W126" s="2774"/>
      <c r="X126" s="2775"/>
      <c r="Y126" s="3280">
        <v>882000</v>
      </c>
      <c r="Z126" s="3678">
        <f>105000+1500000</f>
        <v>1605000</v>
      </c>
      <c r="AA126" s="2775"/>
      <c r="AB126" s="2775"/>
      <c r="AC126" s="2775"/>
      <c r="AD126" s="2916">
        <v>500000</v>
      </c>
      <c r="AE126" s="2775"/>
      <c r="AF126" s="2775"/>
      <c r="AG126" s="1416">
        <f t="shared" si="49"/>
        <v>2987000</v>
      </c>
      <c r="AH126" s="3467" t="s">
        <v>8270</v>
      </c>
      <c r="AI126" s="2374">
        <f t="shared" ref="AI126" si="53">(U126*1.08)+(V126*1.08)+(W126*1.08)+((850000*(H126+I126))+(H126*3650000)+(I126*3650000))*1.08</f>
        <v>4860000</v>
      </c>
      <c r="AJ126" s="1703">
        <f t="shared" ref="AJ126" si="54">+AG126+AI126</f>
        <v>7847000</v>
      </c>
      <c r="AK126" s="2779"/>
      <c r="AL126" s="2933"/>
      <c r="AM126" s="1393"/>
    </row>
    <row r="127" spans="1:39" s="1350" customFormat="1" ht="33" customHeight="1">
      <c r="A127" s="1738">
        <f>+A126+1</f>
        <v>4</v>
      </c>
      <c r="B127" s="2450" t="s">
        <v>7992</v>
      </c>
      <c r="C127" s="2173">
        <v>308011157440</v>
      </c>
      <c r="D127" s="1616" t="s">
        <v>7992</v>
      </c>
      <c r="E127" s="2173" t="s">
        <v>8093</v>
      </c>
      <c r="F127" s="2263" t="s">
        <v>7827</v>
      </c>
      <c r="G127" s="2421" t="s">
        <v>210</v>
      </c>
      <c r="H127" s="167"/>
      <c r="I127" s="167">
        <v>1</v>
      </c>
      <c r="J127" s="167"/>
      <c r="K127" s="3545" t="s">
        <v>210</v>
      </c>
      <c r="L127" s="2988" t="s">
        <v>7913</v>
      </c>
      <c r="M127" s="1151" t="s">
        <v>8094</v>
      </c>
      <c r="N127" s="1618" t="s">
        <v>8035</v>
      </c>
      <c r="O127" s="3388" t="s">
        <v>8052</v>
      </c>
      <c r="P127" s="3549" t="s">
        <v>8054</v>
      </c>
      <c r="Q127" s="1566"/>
      <c r="R127" s="3636" t="s">
        <v>8117</v>
      </c>
      <c r="S127" s="2674" t="s">
        <v>287</v>
      </c>
      <c r="T127" s="2674"/>
      <c r="U127" s="1566"/>
      <c r="V127" s="1566"/>
      <c r="W127" s="1566"/>
      <c r="X127" s="1566"/>
      <c r="Y127" s="3280">
        <v>882000</v>
      </c>
      <c r="Z127" s="3678">
        <v>1500000</v>
      </c>
      <c r="AA127" s="3280">
        <v>337933</v>
      </c>
      <c r="AB127" s="1566"/>
      <c r="AC127" s="1566"/>
      <c r="AD127" s="2916">
        <v>500000</v>
      </c>
      <c r="AE127" s="1566"/>
      <c r="AF127" s="1566"/>
      <c r="AG127" s="1416">
        <f t="shared" si="49"/>
        <v>3219933</v>
      </c>
      <c r="AH127" s="2776" t="s">
        <v>8058</v>
      </c>
      <c r="AI127" s="2374">
        <f t="shared" ref="AI127:AI134" si="55">(U127*1.08)+(V127*1.08)+(W127*1.08)+((850000*(H127+I127))+(H127*3650000)+(I127*3650000))*1.08</f>
        <v>4860000</v>
      </c>
      <c r="AJ127" s="1703">
        <f t="shared" ref="AJ127:AJ134" si="56">+AG127+AI127</f>
        <v>8079933</v>
      </c>
      <c r="AK127" s="1566"/>
      <c r="AL127" s="2933"/>
      <c r="AM127" s="1393"/>
    </row>
    <row r="128" spans="1:39" s="1350" customFormat="1" ht="27.75" customHeight="1">
      <c r="A128" s="1738">
        <f t="shared" si="38"/>
        <v>5</v>
      </c>
      <c r="B128" s="2450" t="s">
        <v>7992</v>
      </c>
      <c r="C128" s="2173">
        <v>308011189420</v>
      </c>
      <c r="D128" s="1616" t="s">
        <v>7992</v>
      </c>
      <c r="E128" s="2173" t="s">
        <v>8100</v>
      </c>
      <c r="F128" s="2263" t="s">
        <v>7826</v>
      </c>
      <c r="G128" s="2421" t="s">
        <v>210</v>
      </c>
      <c r="H128" s="167"/>
      <c r="I128" s="167">
        <v>1</v>
      </c>
      <c r="J128" s="167"/>
      <c r="K128" s="3064" t="s">
        <v>418</v>
      </c>
      <c r="L128" s="3364" t="s">
        <v>8050</v>
      </c>
      <c r="M128" s="1151" t="s">
        <v>8095</v>
      </c>
      <c r="N128" s="1618" t="s">
        <v>8039</v>
      </c>
      <c r="O128" s="3388" t="s">
        <v>8053</v>
      </c>
      <c r="P128" s="3549" t="s">
        <v>8054</v>
      </c>
      <c r="Q128" s="577"/>
      <c r="R128" s="3636" t="s">
        <v>8118</v>
      </c>
      <c r="S128" s="2674" t="s">
        <v>287</v>
      </c>
      <c r="T128" s="1778"/>
      <c r="U128" s="1778"/>
      <c r="V128" s="807"/>
      <c r="W128" s="2651"/>
      <c r="X128" s="1623"/>
      <c r="Y128" s="3280">
        <v>882000</v>
      </c>
      <c r="Z128" s="3678">
        <v>1500000</v>
      </c>
      <c r="AA128" s="3280">
        <v>977819</v>
      </c>
      <c r="AB128" s="1623"/>
      <c r="AC128" s="1623"/>
      <c r="AD128" s="2916">
        <v>500000</v>
      </c>
      <c r="AE128" s="1623"/>
      <c r="AF128" s="1623"/>
      <c r="AG128" s="1416">
        <f t="shared" si="49"/>
        <v>3859819</v>
      </c>
      <c r="AH128" s="2776" t="s">
        <v>8059</v>
      </c>
      <c r="AI128" s="2374">
        <f t="shared" si="55"/>
        <v>4860000</v>
      </c>
      <c r="AJ128" s="1703">
        <f t="shared" si="56"/>
        <v>8719819</v>
      </c>
      <c r="AK128" s="3289"/>
      <c r="AL128" s="2933"/>
      <c r="AM128" s="1393"/>
    </row>
    <row r="129" spans="1:39" s="1350" customFormat="1" ht="15.6">
      <c r="A129" s="1738">
        <f t="shared" si="38"/>
        <v>6</v>
      </c>
      <c r="B129" s="2450" t="s">
        <v>8037</v>
      </c>
      <c r="C129" s="2039">
        <v>107756561140</v>
      </c>
      <c r="D129" s="1616" t="s">
        <v>7992</v>
      </c>
      <c r="E129" s="2173" t="s">
        <v>8101</v>
      </c>
      <c r="F129" s="2944" t="s">
        <v>6500</v>
      </c>
      <c r="G129" s="2421" t="s">
        <v>1300</v>
      </c>
      <c r="H129" s="167"/>
      <c r="I129" s="167"/>
      <c r="J129" s="167" t="s">
        <v>128</v>
      </c>
      <c r="K129" s="3064" t="s">
        <v>418</v>
      </c>
      <c r="L129" s="2988" t="s">
        <v>8036</v>
      </c>
      <c r="M129" s="1697"/>
      <c r="N129" s="3671" t="s">
        <v>8060</v>
      </c>
      <c r="O129" s="3388" t="s">
        <v>8049</v>
      </c>
      <c r="P129" s="1612" t="s">
        <v>7957</v>
      </c>
      <c r="Q129" s="577"/>
      <c r="R129" s="577" t="s">
        <v>7181</v>
      </c>
      <c r="S129" s="2674" t="s">
        <v>5026</v>
      </c>
      <c r="T129" s="2674"/>
      <c r="U129" s="2674"/>
      <c r="V129" s="1613"/>
      <c r="W129" s="2774"/>
      <c r="X129" s="3280">
        <v>326268</v>
      </c>
      <c r="Y129" s="2775"/>
      <c r="Z129" s="2775"/>
      <c r="AA129" s="2775"/>
      <c r="AB129" s="2775"/>
      <c r="AC129" s="2775"/>
      <c r="AD129" s="2774"/>
      <c r="AE129" s="2775"/>
      <c r="AF129" s="2775"/>
      <c r="AG129" s="1416">
        <f>+SUM(X129:AF129)</f>
        <v>326268</v>
      </c>
      <c r="AH129" s="2776"/>
      <c r="AI129" s="2374">
        <f>(U129*1.08)+(V129*1.08)+(W129*1.08)+((650000+1800000)*1.08)</f>
        <v>2646000</v>
      </c>
      <c r="AJ129" s="1703">
        <f>+AG129+AI129</f>
        <v>2972268</v>
      </c>
      <c r="AK129" s="2779"/>
      <c r="AL129" s="2933"/>
      <c r="AM129" s="1393"/>
    </row>
    <row r="130" spans="1:39" s="1350" customFormat="1" ht="15.6">
      <c r="A130" s="1738">
        <f t="shared" si="38"/>
        <v>7</v>
      </c>
      <c r="B130" s="2450" t="s">
        <v>7911</v>
      </c>
      <c r="C130" s="2039" t="s">
        <v>8072</v>
      </c>
      <c r="D130" s="1824" t="s">
        <v>7955</v>
      </c>
      <c r="E130" s="2173" t="s">
        <v>8102</v>
      </c>
      <c r="F130" s="2944" t="s">
        <v>6500</v>
      </c>
      <c r="G130" s="2421" t="s">
        <v>1300</v>
      </c>
      <c r="H130" s="167"/>
      <c r="I130" s="167">
        <v>1</v>
      </c>
      <c r="J130" s="167"/>
      <c r="K130" s="2203" t="s">
        <v>210</v>
      </c>
      <c r="L130" s="3364" t="s">
        <v>7951</v>
      </c>
      <c r="M130" s="577"/>
      <c r="N130" s="3425" t="s">
        <v>8045</v>
      </c>
      <c r="O130" s="3388" t="s">
        <v>7952</v>
      </c>
      <c r="P130" s="1612" t="s">
        <v>8037</v>
      </c>
      <c r="Q130" s="577"/>
      <c r="R130" s="577" t="s">
        <v>8083</v>
      </c>
      <c r="S130" s="2674" t="s">
        <v>287</v>
      </c>
      <c r="T130" s="2674"/>
      <c r="U130" s="2674"/>
      <c r="V130" s="1613"/>
      <c r="W130" s="2774"/>
      <c r="X130" s="2775"/>
      <c r="Y130" s="3280">
        <v>882000</v>
      </c>
      <c r="Z130" s="3679">
        <v>1512000</v>
      </c>
      <c r="AA130" s="2775"/>
      <c r="AB130" s="2775"/>
      <c r="AC130" s="2775"/>
      <c r="AD130" s="2916">
        <v>500000</v>
      </c>
      <c r="AE130" s="2775"/>
      <c r="AF130" s="2775"/>
      <c r="AG130" s="1416">
        <f t="shared" si="49"/>
        <v>2894000</v>
      </c>
      <c r="AH130" s="2776"/>
      <c r="AI130" s="2374">
        <f t="shared" si="55"/>
        <v>4860000</v>
      </c>
      <c r="AJ130" s="1703">
        <f t="shared" si="56"/>
        <v>7754000</v>
      </c>
      <c r="AK130" s="2779"/>
      <c r="AL130" s="2933"/>
      <c r="AM130" s="1393"/>
    </row>
    <row r="131" spans="1:39" s="1350" customFormat="1" ht="26.4">
      <c r="A131" s="1738">
        <f t="shared" si="38"/>
        <v>8</v>
      </c>
      <c r="B131" s="666" t="s">
        <v>7940</v>
      </c>
      <c r="C131" s="2039" t="s">
        <v>8073</v>
      </c>
      <c r="D131" s="1616" t="s">
        <v>7985</v>
      </c>
      <c r="E131" s="2173" t="s">
        <v>8104</v>
      </c>
      <c r="F131" s="2944" t="s">
        <v>6500</v>
      </c>
      <c r="G131" s="2421" t="s">
        <v>1300</v>
      </c>
      <c r="H131" s="167"/>
      <c r="I131" s="167">
        <v>1</v>
      </c>
      <c r="J131" s="167"/>
      <c r="K131" s="3064" t="s">
        <v>418</v>
      </c>
      <c r="L131" s="3364" t="s">
        <v>7967</v>
      </c>
      <c r="M131" s="577"/>
      <c r="N131" s="3670" t="s">
        <v>8046</v>
      </c>
      <c r="O131" s="3388" t="s">
        <v>7968</v>
      </c>
      <c r="P131" s="1612" t="s">
        <v>7985</v>
      </c>
      <c r="Q131" s="577"/>
      <c r="R131" s="3636" t="s">
        <v>8119</v>
      </c>
      <c r="S131" s="2674" t="s">
        <v>287</v>
      </c>
      <c r="T131" s="2674"/>
      <c r="U131" s="2674"/>
      <c r="V131" s="1613"/>
      <c r="W131" s="2774"/>
      <c r="X131" s="2775"/>
      <c r="Y131" s="3280">
        <v>882000</v>
      </c>
      <c r="Z131" s="3678">
        <v>1500000</v>
      </c>
      <c r="AA131" s="2775"/>
      <c r="AB131" s="2775"/>
      <c r="AC131" s="2775"/>
      <c r="AD131" s="2916">
        <v>500000</v>
      </c>
      <c r="AE131" s="2775"/>
      <c r="AF131" s="2775"/>
      <c r="AG131" s="1416">
        <f t="shared" si="49"/>
        <v>2882000</v>
      </c>
      <c r="AH131" s="2776"/>
      <c r="AI131" s="2374">
        <f t="shared" si="55"/>
        <v>4860000</v>
      </c>
      <c r="AJ131" s="1703">
        <f t="shared" si="56"/>
        <v>7742000</v>
      </c>
      <c r="AK131" s="2779"/>
      <c r="AL131" s="2933"/>
      <c r="AM131" s="1393"/>
    </row>
    <row r="132" spans="1:39" s="1350" customFormat="1" ht="26.4">
      <c r="A132" s="1738">
        <f t="shared" si="38"/>
        <v>9</v>
      </c>
      <c r="B132" s="2450" t="s">
        <v>8128</v>
      </c>
      <c r="C132" s="2039">
        <v>107763845710</v>
      </c>
      <c r="D132" s="1616" t="s">
        <v>8037</v>
      </c>
      <c r="E132" s="2173" t="s">
        <v>8149</v>
      </c>
      <c r="F132" s="3420" t="s">
        <v>7809</v>
      </c>
      <c r="G132" s="2421" t="s">
        <v>1300</v>
      </c>
      <c r="H132" s="167"/>
      <c r="I132" s="167">
        <v>1</v>
      </c>
      <c r="J132" s="167"/>
      <c r="K132" s="3064" t="s">
        <v>418</v>
      </c>
      <c r="L132" s="3364" t="s">
        <v>7969</v>
      </c>
      <c r="M132" s="1587"/>
      <c r="N132" s="2211" t="s">
        <v>8047</v>
      </c>
      <c r="O132" s="3388" t="s">
        <v>8048</v>
      </c>
      <c r="P132" s="1612" t="s">
        <v>8037</v>
      </c>
      <c r="Q132" s="577" t="s">
        <v>8128</v>
      </c>
      <c r="R132" s="3636" t="s">
        <v>8243</v>
      </c>
      <c r="S132" s="2674" t="s">
        <v>287</v>
      </c>
      <c r="T132" s="2674"/>
      <c r="U132" s="2674"/>
      <c r="V132" s="1613"/>
      <c r="W132" s="2774"/>
      <c r="X132" s="2775"/>
      <c r="Y132" s="3280">
        <v>3482000</v>
      </c>
      <c r="Z132" s="3678">
        <v>1620000</v>
      </c>
      <c r="AA132" s="2775"/>
      <c r="AB132" s="2775"/>
      <c r="AC132" s="2775"/>
      <c r="AD132" s="2916">
        <v>500000</v>
      </c>
      <c r="AE132" s="3280">
        <f>300000+150000</f>
        <v>450000</v>
      </c>
      <c r="AF132" s="2775"/>
      <c r="AG132" s="1416">
        <f t="shared" si="49"/>
        <v>6052000</v>
      </c>
      <c r="AH132" s="2776"/>
      <c r="AI132" s="2374">
        <f t="shared" si="55"/>
        <v>4860000</v>
      </c>
      <c r="AJ132" s="1703">
        <f t="shared" si="56"/>
        <v>10912000</v>
      </c>
      <c r="AK132" s="2779"/>
      <c r="AL132" s="2933"/>
      <c r="AM132" s="1393"/>
    </row>
    <row r="133" spans="1:39" s="1350" customFormat="1" ht="26.4">
      <c r="A133" s="1738">
        <f t="shared" si="38"/>
        <v>10</v>
      </c>
      <c r="B133" s="1859" t="s">
        <v>8147</v>
      </c>
      <c r="C133" s="2039" t="s">
        <v>8132</v>
      </c>
      <c r="D133" s="1616" t="s">
        <v>8113</v>
      </c>
      <c r="E133" s="2173" t="s">
        <v>8150</v>
      </c>
      <c r="F133" s="2944" t="s">
        <v>6500</v>
      </c>
      <c r="G133" s="2421" t="s">
        <v>1300</v>
      </c>
      <c r="H133" s="167"/>
      <c r="I133" s="167">
        <v>2</v>
      </c>
      <c r="J133" s="167"/>
      <c r="K133" s="3639" t="s">
        <v>210</v>
      </c>
      <c r="L133" s="3364" t="s">
        <v>8033</v>
      </c>
      <c r="M133" s="2515"/>
      <c r="N133" s="2362" t="s">
        <v>8151</v>
      </c>
      <c r="O133" s="3388" t="s">
        <v>8085</v>
      </c>
      <c r="P133" s="1612" t="s">
        <v>8113</v>
      </c>
      <c r="Q133" s="577"/>
      <c r="R133" s="959" t="s">
        <v>8170</v>
      </c>
      <c r="S133" s="2674" t="s">
        <v>287</v>
      </c>
      <c r="T133" s="3669" t="s">
        <v>8241</v>
      </c>
      <c r="U133" s="2674"/>
      <c r="V133" s="1613"/>
      <c r="W133" s="2774"/>
      <c r="X133" s="2775"/>
      <c r="Y133" s="3280">
        <v>1764000</v>
      </c>
      <c r="Z133" s="3679">
        <f>745000*2</f>
        <v>1490000</v>
      </c>
      <c r="AA133" s="2775"/>
      <c r="AB133" s="2775"/>
      <c r="AC133" s="2775"/>
      <c r="AD133" s="2916">
        <v>1000000</v>
      </c>
      <c r="AE133" s="2775"/>
      <c r="AF133" s="2775"/>
      <c r="AG133" s="1416">
        <f t="shared" si="49"/>
        <v>4254000</v>
      </c>
      <c r="AH133" s="2776" t="s">
        <v>8264</v>
      </c>
      <c r="AI133" s="2374">
        <f>(U133*1.08)+(V133*1.08)+(W133*1.08)+((850000*(H133+I133))+(H133*3650000)+(I133*3650000))*1.08+(1500000*2*1.08)</f>
        <v>12960000</v>
      </c>
      <c r="AJ133" s="1703">
        <f t="shared" si="56"/>
        <v>17214000</v>
      </c>
      <c r="AK133" s="2779"/>
      <c r="AL133" s="2933"/>
      <c r="AM133" s="1393"/>
    </row>
    <row r="134" spans="1:39" s="1350" customFormat="1" ht="42" customHeight="1">
      <c r="A134" s="1738">
        <f t="shared" si="38"/>
        <v>11</v>
      </c>
      <c r="B134" s="2450" t="s">
        <v>4793</v>
      </c>
      <c r="C134" s="2039">
        <v>107780853350</v>
      </c>
      <c r="D134" s="1616" t="s">
        <v>8146</v>
      </c>
      <c r="E134" s="2173" t="s">
        <v>8217</v>
      </c>
      <c r="F134" s="3011" t="s">
        <v>6796</v>
      </c>
      <c r="G134" s="2421" t="s">
        <v>1300</v>
      </c>
      <c r="H134" s="167"/>
      <c r="I134" s="167">
        <v>1</v>
      </c>
      <c r="J134" s="167"/>
      <c r="K134" s="3064" t="s">
        <v>418</v>
      </c>
      <c r="L134" s="3563" t="s">
        <v>8069</v>
      </c>
      <c r="M134" s="1587"/>
      <c r="N134" s="3670" t="s">
        <v>8070</v>
      </c>
      <c r="O134" s="3388" t="s">
        <v>8137</v>
      </c>
      <c r="P134" s="1612" t="s">
        <v>7992</v>
      </c>
      <c r="Q134" s="577" t="s">
        <v>4793</v>
      </c>
      <c r="R134" s="3265" t="s">
        <v>8188</v>
      </c>
      <c r="S134" s="2674" t="s">
        <v>287</v>
      </c>
      <c r="T134" s="2674"/>
      <c r="U134" s="2674"/>
      <c r="V134" s="1613"/>
      <c r="W134" s="2774"/>
      <c r="X134" s="2775"/>
      <c r="Y134" s="3280">
        <v>3482000</v>
      </c>
      <c r="Z134" s="3679">
        <v>1500000</v>
      </c>
      <c r="AA134" s="2775"/>
      <c r="AB134" s="2775"/>
      <c r="AC134" s="2775"/>
      <c r="AD134" s="2916">
        <v>500000</v>
      </c>
      <c r="AE134" s="3280">
        <v>615000</v>
      </c>
      <c r="AF134" s="2775"/>
      <c r="AG134" s="1416">
        <f t="shared" si="49"/>
        <v>6097000</v>
      </c>
      <c r="AH134" s="2776"/>
      <c r="AI134" s="2374">
        <f t="shared" si="55"/>
        <v>4860000</v>
      </c>
      <c r="AJ134" s="1703">
        <f t="shared" si="56"/>
        <v>10957000</v>
      </c>
      <c r="AK134" s="2779"/>
      <c r="AL134" s="2933"/>
      <c r="AM134" s="1393"/>
    </row>
    <row r="135" spans="1:39" s="1350" customFormat="1" ht="15.6">
      <c r="A135" s="1738">
        <f t="shared" si="38"/>
        <v>12</v>
      </c>
      <c r="B135" s="2450" t="s">
        <v>8113</v>
      </c>
      <c r="C135" s="2039">
        <v>107772585210</v>
      </c>
      <c r="D135" s="1616" t="s">
        <v>7940</v>
      </c>
      <c r="E135" s="2173" t="s">
        <v>8218</v>
      </c>
      <c r="F135" s="2944" t="s">
        <v>6500</v>
      </c>
      <c r="G135" s="2421" t="s">
        <v>1300</v>
      </c>
      <c r="H135" s="167"/>
      <c r="I135" s="167"/>
      <c r="J135" s="167" t="s">
        <v>128</v>
      </c>
      <c r="K135" s="3064" t="s">
        <v>418</v>
      </c>
      <c r="L135" s="3611" t="s">
        <v>8107</v>
      </c>
      <c r="M135" s="1587"/>
      <c r="N135" s="3670" t="s">
        <v>8114</v>
      </c>
      <c r="O135" s="3388" t="s">
        <v>8148</v>
      </c>
      <c r="P135" s="1612" t="s">
        <v>7911</v>
      </c>
      <c r="Q135" s="1587"/>
      <c r="R135" s="1587" t="s">
        <v>6224</v>
      </c>
      <c r="S135" s="2674" t="s">
        <v>3144</v>
      </c>
      <c r="T135" s="1613"/>
      <c r="U135" s="2674"/>
      <c r="V135" s="1613"/>
      <c r="W135" s="2774"/>
      <c r="X135" s="3280">
        <v>324000</v>
      </c>
      <c r="Y135" s="2775"/>
      <c r="Z135" s="2775"/>
      <c r="AA135" s="2775"/>
      <c r="AB135" s="2775"/>
      <c r="AC135" s="2775"/>
      <c r="AD135" s="2774"/>
      <c r="AE135" s="2775"/>
      <c r="AF135" s="3507"/>
      <c r="AG135" s="1416">
        <f t="shared" si="49"/>
        <v>324000</v>
      </c>
      <c r="AH135" s="2776"/>
      <c r="AI135" s="2374">
        <f>(U135*1.08)+(V135*1.08)+(W135*1.08)+((650000+1500000)*1.08)</f>
        <v>2322000</v>
      </c>
      <c r="AJ135" s="1703">
        <f t="shared" ref="AJ135:AJ143" si="57">+AG135+AI135</f>
        <v>2646000</v>
      </c>
      <c r="AK135" s="2779"/>
      <c r="AL135" s="2933"/>
      <c r="AM135" s="1393"/>
    </row>
    <row r="136" spans="1:39" s="1350" customFormat="1" ht="36.75" customHeight="1">
      <c r="A136" s="1738">
        <f t="shared" si="38"/>
        <v>13</v>
      </c>
      <c r="B136" s="2450" t="s">
        <v>8152</v>
      </c>
      <c r="C136" s="3397" t="s">
        <v>8171</v>
      </c>
      <c r="D136" s="1616" t="s">
        <v>8152</v>
      </c>
      <c r="E136" s="2173" t="s">
        <v>8219</v>
      </c>
      <c r="F136" s="2263" t="s">
        <v>8143</v>
      </c>
      <c r="G136" s="2421" t="s">
        <v>210</v>
      </c>
      <c r="H136" s="167"/>
      <c r="I136" s="167">
        <v>1</v>
      </c>
      <c r="J136" s="167"/>
      <c r="K136" s="3648" t="s">
        <v>136</v>
      </c>
      <c r="L136" s="2988" t="s">
        <v>8071</v>
      </c>
      <c r="M136" s="3611" t="s">
        <v>8168</v>
      </c>
      <c r="N136" s="3643" t="s">
        <v>8159</v>
      </c>
      <c r="O136" s="3647" t="s">
        <v>8169</v>
      </c>
      <c r="P136" s="2038" t="s">
        <v>8145</v>
      </c>
      <c r="Q136" s="577"/>
      <c r="R136" s="577" t="s">
        <v>6056</v>
      </c>
      <c r="S136" s="2674" t="s">
        <v>287</v>
      </c>
      <c r="T136" s="2674"/>
      <c r="U136" s="3250">
        <v>400000</v>
      </c>
      <c r="V136" s="2218"/>
      <c r="W136" s="3250">
        <v>300000</v>
      </c>
      <c r="X136" s="3250"/>
      <c r="Y136" s="3280">
        <v>882000</v>
      </c>
      <c r="Z136" s="3679">
        <v>1500000</v>
      </c>
      <c r="AA136" s="3103">
        <v>1123311</v>
      </c>
      <c r="AB136" s="2775"/>
      <c r="AC136" s="2775"/>
      <c r="AD136" s="2916">
        <v>500000</v>
      </c>
      <c r="AE136" s="2775"/>
      <c r="AF136" s="2775"/>
      <c r="AG136" s="1416">
        <f t="shared" si="49"/>
        <v>4005311</v>
      </c>
      <c r="AH136" s="3467" t="s">
        <v>8265</v>
      </c>
      <c r="AI136" s="2374">
        <f>(U136*1.08)+(V136*1.08)+(W136*1.08)+((850000*(H136+I136))+(H136*3650000)+(I136*3650000))*1.08</f>
        <v>5616000</v>
      </c>
      <c r="AJ136" s="1703">
        <f t="shared" si="57"/>
        <v>9621311</v>
      </c>
      <c r="AK136" s="2779"/>
      <c r="AL136" s="2933"/>
      <c r="AM136" s="1393"/>
    </row>
    <row r="137" spans="1:39" s="1350" customFormat="1" ht="39.6">
      <c r="A137" s="1738">
        <f t="shared" si="38"/>
        <v>14</v>
      </c>
      <c r="B137" s="2450" t="s">
        <v>8146</v>
      </c>
      <c r="C137" s="2173">
        <v>308046194430</v>
      </c>
      <c r="D137" s="1616" t="s">
        <v>8146</v>
      </c>
      <c r="E137" s="2173" t="s">
        <v>8220</v>
      </c>
      <c r="F137" s="2263" t="s">
        <v>8144</v>
      </c>
      <c r="G137" s="2421" t="s">
        <v>210</v>
      </c>
      <c r="H137" s="167"/>
      <c r="I137" s="167">
        <v>1</v>
      </c>
      <c r="J137" s="167"/>
      <c r="K137" s="3649" t="s">
        <v>210</v>
      </c>
      <c r="L137" s="3611" t="s">
        <v>8084</v>
      </c>
      <c r="M137" s="3646" t="s">
        <v>8181</v>
      </c>
      <c r="N137" s="2362" t="s">
        <v>8172</v>
      </c>
      <c r="O137" s="3647" t="s">
        <v>8182</v>
      </c>
      <c r="P137" s="2038" t="s">
        <v>8145</v>
      </c>
      <c r="Q137" s="1587"/>
      <c r="R137" s="1587" t="s">
        <v>5942</v>
      </c>
      <c r="S137" s="2674" t="s">
        <v>287</v>
      </c>
      <c r="T137" s="1613"/>
      <c r="U137" s="2674"/>
      <c r="V137" s="1613"/>
      <c r="W137" s="2774"/>
      <c r="X137" s="3250"/>
      <c r="Y137" s="3280">
        <v>882000</v>
      </c>
      <c r="Z137" s="3679">
        <v>1500000</v>
      </c>
      <c r="AA137" s="3103">
        <v>850590</v>
      </c>
      <c r="AB137" s="2775"/>
      <c r="AC137" s="2775"/>
      <c r="AD137" s="2916">
        <v>500000</v>
      </c>
      <c r="AE137" s="2775"/>
      <c r="AF137" s="3507"/>
      <c r="AG137" s="1416">
        <f t="shared" si="49"/>
        <v>3732590</v>
      </c>
      <c r="AH137" s="2776"/>
      <c r="AI137" s="2374">
        <f t="shared" ref="AI137:AI143" si="58">(U137*1.08)+(V137*1.08)+(W137*1.08)+((850000*(H137+I137))+(H137*3650000)+(I137*3650000))*1.08</f>
        <v>4860000</v>
      </c>
      <c r="AJ137" s="1703">
        <f t="shared" si="57"/>
        <v>8592590</v>
      </c>
      <c r="AK137" s="2779"/>
      <c r="AL137" s="2933"/>
      <c r="AM137" s="1393"/>
    </row>
    <row r="138" spans="1:39" s="1350" customFormat="1" ht="26.4">
      <c r="A138" s="1738">
        <f t="shared" si="38"/>
        <v>15</v>
      </c>
      <c r="B138" s="1731" t="s">
        <v>8128</v>
      </c>
      <c r="C138" s="2173">
        <v>308052794620</v>
      </c>
      <c r="D138" s="1616" t="s">
        <v>4793</v>
      </c>
      <c r="E138" s="2173" t="s">
        <v>8221</v>
      </c>
      <c r="F138" s="3365" t="s">
        <v>8266</v>
      </c>
      <c r="G138" s="2421" t="s">
        <v>210</v>
      </c>
      <c r="H138" s="1745"/>
      <c r="I138" s="1745"/>
      <c r="J138" s="3506">
        <v>1</v>
      </c>
      <c r="K138" s="3064" t="s">
        <v>418</v>
      </c>
      <c r="L138" s="3645" t="s">
        <v>8189</v>
      </c>
      <c r="M138" s="3645" t="s">
        <v>8267</v>
      </c>
      <c r="N138" s="3670" t="s">
        <v>8197</v>
      </c>
      <c r="O138" s="3388" t="s">
        <v>8232</v>
      </c>
      <c r="P138" s="1612" t="s">
        <v>8179</v>
      </c>
      <c r="Q138" s="1587"/>
      <c r="R138" s="1587" t="s">
        <v>8231</v>
      </c>
      <c r="S138" s="2673" t="s">
        <v>8190</v>
      </c>
      <c r="T138" s="1613"/>
      <c r="U138" s="2674"/>
      <c r="V138" s="1613"/>
      <c r="W138" s="2774"/>
      <c r="X138" s="2775"/>
      <c r="Y138" s="2775"/>
      <c r="Z138" s="2775"/>
      <c r="AA138" s="2775"/>
      <c r="AB138" s="2775"/>
      <c r="AC138" s="2775"/>
      <c r="AD138" s="2916">
        <v>24164</v>
      </c>
      <c r="AE138" s="2775"/>
      <c r="AF138" s="3507"/>
      <c r="AG138" s="1416">
        <f>+SUM(X138:AF138)</f>
        <v>24164</v>
      </c>
      <c r="AH138" s="3371" t="s">
        <v>8263</v>
      </c>
      <c r="AI138" s="2374">
        <f>(U138*1.08)+(V138*1.08)+(W138*1.08)+((650000+1800000)*1.08)</f>
        <v>2646000</v>
      </c>
      <c r="AJ138" s="1703">
        <f>+AG138+AI138</f>
        <v>2670164</v>
      </c>
      <c r="AK138" s="2779"/>
      <c r="AL138" s="1697"/>
      <c r="AM138" s="1393"/>
    </row>
    <row r="139" spans="1:39" s="1350" customFormat="1" ht="26.4">
      <c r="A139" s="1738">
        <f t="shared" si="38"/>
        <v>16</v>
      </c>
      <c r="B139" s="1859"/>
      <c r="C139" s="2039">
        <v>107796898750</v>
      </c>
      <c r="D139" s="1616" t="s">
        <v>4793</v>
      </c>
      <c r="E139" s="2173" t="s">
        <v>8222</v>
      </c>
      <c r="F139" s="2944" t="s">
        <v>6500</v>
      </c>
      <c r="G139" s="2421" t="s">
        <v>1300</v>
      </c>
      <c r="H139" s="167"/>
      <c r="I139" s="167"/>
      <c r="J139" s="167">
        <v>1</v>
      </c>
      <c r="K139" s="3064" t="s">
        <v>418</v>
      </c>
      <c r="L139" s="3645" t="s">
        <v>8185</v>
      </c>
      <c r="M139" s="1579"/>
      <c r="N139" s="1587" t="s">
        <v>8193</v>
      </c>
      <c r="O139" s="3388" t="s">
        <v>8186</v>
      </c>
      <c r="P139" s="1612" t="s">
        <v>8184</v>
      </c>
      <c r="Q139" s="1579"/>
      <c r="R139" s="1579"/>
      <c r="S139" s="2673" t="s">
        <v>6964</v>
      </c>
      <c r="T139" s="1579"/>
      <c r="U139" s="1579"/>
      <c r="V139" s="1579"/>
      <c r="W139" s="1579"/>
      <c r="X139" s="1579"/>
      <c r="Y139" s="3250"/>
      <c r="Z139" s="1579"/>
      <c r="AA139" s="1579"/>
      <c r="AB139" s="1579"/>
      <c r="AC139" s="1579"/>
      <c r="AD139" s="2916">
        <v>33539</v>
      </c>
      <c r="AE139" s="1579"/>
      <c r="AF139" s="3507"/>
      <c r="AG139" s="1416">
        <f>+SUM(X139:AF139)</f>
        <v>33539</v>
      </c>
      <c r="AH139" s="3371" t="s">
        <v>8263</v>
      </c>
      <c r="AI139" s="2374">
        <f>(U139*1.08)+(V139*1.08)+(W139*1.08)+((650000+2300000*1.08))</f>
        <v>3134000</v>
      </c>
      <c r="AJ139" s="1703">
        <f>+AG139+AI139</f>
        <v>3167539</v>
      </c>
      <c r="AK139" s="2779"/>
      <c r="AL139" s="2933"/>
      <c r="AM139" s="1393"/>
    </row>
    <row r="140" spans="1:39" s="1350" customFormat="1" ht="15.6">
      <c r="A140" s="1738">
        <f t="shared" si="38"/>
        <v>17</v>
      </c>
      <c r="B140" s="1599"/>
      <c r="C140" s="2039">
        <v>107804918650</v>
      </c>
      <c r="D140" s="2159" t="s">
        <v>8229</v>
      </c>
      <c r="E140" s="2039"/>
      <c r="F140" s="2944" t="s">
        <v>6500</v>
      </c>
      <c r="G140" s="2421" t="s">
        <v>1300</v>
      </c>
      <c r="H140" s="1647"/>
      <c r="I140" s="1647"/>
      <c r="J140" s="1647" t="s">
        <v>128</v>
      </c>
      <c r="K140" s="3064" t="s">
        <v>418</v>
      </c>
      <c r="L140" s="3660" t="s">
        <v>8194</v>
      </c>
      <c r="M140" s="1824"/>
      <c r="N140" s="1824" t="s">
        <v>8195</v>
      </c>
      <c r="O140" s="3660" t="s">
        <v>8196</v>
      </c>
      <c r="P140" s="1919" t="s">
        <v>8179</v>
      </c>
      <c r="Q140" s="1824"/>
      <c r="R140" s="1824"/>
      <c r="S140" s="1599" t="s">
        <v>5026</v>
      </c>
      <c r="T140" s="1647"/>
      <c r="U140" s="1599"/>
      <c r="V140" s="1647"/>
      <c r="W140" s="2774"/>
      <c r="X140" s="2775"/>
      <c r="Y140" s="2775"/>
      <c r="Z140" s="2775"/>
      <c r="AA140" s="2775"/>
      <c r="AB140" s="2775"/>
      <c r="AC140" s="2775"/>
      <c r="AD140" s="2774"/>
      <c r="AE140" s="2775"/>
      <c r="AF140" s="3507"/>
      <c r="AG140" s="1416">
        <f t="shared" ref="AG140:AG141" si="59">+SUM(X140:AF140)</f>
        <v>0</v>
      </c>
      <c r="AH140" s="2776"/>
      <c r="AI140" s="2374">
        <f>(U140*1.08)+(V140*1.08)+(W140*1.08)+((650000+1500000)*1.08)</f>
        <v>2322000</v>
      </c>
      <c r="AJ140" s="1703">
        <f t="shared" ref="AJ140:AJ142" si="60">+AG140+AI140</f>
        <v>2322000</v>
      </c>
      <c r="AK140" s="2779"/>
      <c r="AL140" s="1697"/>
      <c r="AM140" s="1393"/>
    </row>
    <row r="141" spans="1:39" s="1350" customFormat="1" ht="15.6">
      <c r="A141" s="1738">
        <f t="shared" si="38"/>
        <v>18</v>
      </c>
      <c r="B141" s="1599"/>
      <c r="C141" s="2039">
        <v>107805002760</v>
      </c>
      <c r="D141" s="2159" t="s">
        <v>8229</v>
      </c>
      <c r="E141" s="2039"/>
      <c r="F141" s="2944" t="s">
        <v>6500</v>
      </c>
      <c r="G141" s="2421" t="s">
        <v>1300</v>
      </c>
      <c r="H141" s="1647"/>
      <c r="I141" s="1647"/>
      <c r="J141" s="1647" t="s">
        <v>128</v>
      </c>
      <c r="K141" s="3064" t="s">
        <v>418</v>
      </c>
      <c r="L141" s="3660" t="s">
        <v>8233</v>
      </c>
      <c r="M141" s="2816"/>
      <c r="N141" s="2816" t="s">
        <v>8234</v>
      </c>
      <c r="O141" s="3660" t="s">
        <v>8252</v>
      </c>
      <c r="P141" s="1919" t="s">
        <v>8179</v>
      </c>
      <c r="Q141" s="1824"/>
      <c r="R141" s="1824"/>
      <c r="S141" s="1599" t="s">
        <v>5026</v>
      </c>
      <c r="T141" s="1647"/>
      <c r="U141" s="1599"/>
      <c r="V141" s="1647"/>
      <c r="W141" s="2774"/>
      <c r="X141" s="2775"/>
      <c r="Y141" s="2775"/>
      <c r="Z141" s="2775"/>
      <c r="AA141" s="2775"/>
      <c r="AB141" s="2775"/>
      <c r="AC141" s="2775"/>
      <c r="AD141" s="2774"/>
      <c r="AE141" s="2775"/>
      <c r="AF141" s="3507"/>
      <c r="AG141" s="1416">
        <f t="shared" si="59"/>
        <v>0</v>
      </c>
      <c r="AH141" s="2776"/>
      <c r="AI141" s="2374">
        <f t="shared" ref="AI141" si="61">(U141*1.08)+(V141*1.08)+(W141*1.08)+((650000+1500000)*1.08)</f>
        <v>2322000</v>
      </c>
      <c r="AJ141" s="1703">
        <f t="shared" si="60"/>
        <v>2322000</v>
      </c>
      <c r="AK141" s="2779"/>
      <c r="AL141" s="1697"/>
      <c r="AM141" s="1393"/>
    </row>
    <row r="142" spans="1:39" s="1350" customFormat="1" ht="26.4">
      <c r="A142" s="1738">
        <f t="shared" si="38"/>
        <v>19</v>
      </c>
      <c r="B142" s="1859"/>
      <c r="C142" s="2039" t="s">
        <v>8187</v>
      </c>
      <c r="D142" s="1824"/>
      <c r="E142" s="2173"/>
      <c r="F142" s="3011" t="s">
        <v>6945</v>
      </c>
      <c r="G142" s="2421" t="s">
        <v>1300</v>
      </c>
      <c r="H142" s="167"/>
      <c r="I142" s="167">
        <v>2</v>
      </c>
      <c r="J142" s="167"/>
      <c r="K142" s="1645"/>
      <c r="L142" s="3645" t="s">
        <v>8161</v>
      </c>
      <c r="M142" s="1587"/>
      <c r="N142" s="2362" t="s">
        <v>8162</v>
      </c>
      <c r="O142" s="3388" t="s">
        <v>8163</v>
      </c>
      <c r="P142" s="1612" t="s">
        <v>8229</v>
      </c>
      <c r="Q142" s="1587"/>
      <c r="R142" s="1587"/>
      <c r="S142" s="2674" t="s">
        <v>287</v>
      </c>
      <c r="T142" s="1613"/>
      <c r="U142" s="2674"/>
      <c r="V142" s="1613"/>
      <c r="W142" s="2774"/>
      <c r="X142" s="2775"/>
      <c r="Y142" s="2775"/>
      <c r="Z142" s="2775"/>
      <c r="AA142" s="2775"/>
      <c r="AB142" s="2775"/>
      <c r="AC142" s="2775"/>
      <c r="AD142" s="2774"/>
      <c r="AE142" s="2775"/>
      <c r="AF142" s="3507"/>
      <c r="AG142" s="1416">
        <f t="shared" si="49"/>
        <v>0</v>
      </c>
      <c r="AH142" s="2776"/>
      <c r="AI142" s="2374">
        <f t="shared" si="58"/>
        <v>9720000</v>
      </c>
      <c r="AJ142" s="1703">
        <f t="shared" si="60"/>
        <v>9720000</v>
      </c>
      <c r="AK142" s="2779"/>
      <c r="AL142" s="2933"/>
      <c r="AM142" s="1393"/>
    </row>
    <row r="143" spans="1:39" s="1350" customFormat="1" ht="21">
      <c r="A143" s="1738">
        <f t="shared" si="38"/>
        <v>20</v>
      </c>
      <c r="B143" s="1859"/>
      <c r="C143" s="2039" t="s">
        <v>8187</v>
      </c>
      <c r="D143" s="1824"/>
      <c r="E143" s="2173" t="s">
        <v>704</v>
      </c>
      <c r="F143" s="3011" t="s">
        <v>8167</v>
      </c>
      <c r="G143" s="2421" t="s">
        <v>1300</v>
      </c>
      <c r="H143" s="167"/>
      <c r="I143" s="167">
        <v>1</v>
      </c>
      <c r="J143" s="167"/>
      <c r="K143" s="1579"/>
      <c r="L143" s="3645" t="s">
        <v>8165</v>
      </c>
      <c r="M143" s="1579"/>
      <c r="N143" s="1587" t="s">
        <v>8164</v>
      </c>
      <c r="O143" s="3388" t="s">
        <v>8166</v>
      </c>
      <c r="P143" s="1612" t="s">
        <v>8229</v>
      </c>
      <c r="Q143" s="1579"/>
      <c r="R143" s="1579"/>
      <c r="S143" s="2674" t="s">
        <v>287</v>
      </c>
      <c r="T143" s="1579"/>
      <c r="U143" s="1579"/>
      <c r="V143" s="1579"/>
      <c r="W143" s="1579"/>
      <c r="X143" s="1579"/>
      <c r="Y143" s="1579"/>
      <c r="Z143" s="1579"/>
      <c r="AA143" s="1579"/>
      <c r="AB143" s="1579"/>
      <c r="AC143" s="1579"/>
      <c r="AD143" s="1579"/>
      <c r="AE143" s="1579"/>
      <c r="AF143" s="3507"/>
      <c r="AG143" s="1416">
        <f t="shared" si="49"/>
        <v>0</v>
      </c>
      <c r="AH143" s="2776"/>
      <c r="AI143" s="2374">
        <f t="shared" si="58"/>
        <v>4860000</v>
      </c>
      <c r="AJ143" s="1703">
        <f t="shared" si="57"/>
        <v>4860000</v>
      </c>
      <c r="AK143" s="2779"/>
      <c r="AL143" s="2933"/>
      <c r="AM143" s="1393"/>
    </row>
    <row r="144" spans="1:39" s="1350" customFormat="1" ht="39.6">
      <c r="A144" s="1738">
        <f t="shared" si="38"/>
        <v>21</v>
      </c>
      <c r="B144" s="3673" t="s">
        <v>8256</v>
      </c>
      <c r="D144" s="1919"/>
      <c r="E144" s="2039"/>
      <c r="F144" s="2263" t="s">
        <v>8257</v>
      </c>
      <c r="G144" s="2039" t="s">
        <v>210</v>
      </c>
      <c r="H144" s="1647"/>
      <c r="I144" s="1599">
        <v>2</v>
      </c>
      <c r="J144" s="1647"/>
      <c r="K144" s="2041"/>
      <c r="L144" s="3672" t="s">
        <v>8255</v>
      </c>
      <c r="M144" s="1824"/>
      <c r="N144" s="2816"/>
      <c r="O144" s="1824"/>
      <c r="P144" s="2619" t="s">
        <v>8262</v>
      </c>
      <c r="Q144" s="1824"/>
      <c r="R144" s="1824"/>
      <c r="S144" s="1599" t="s">
        <v>287</v>
      </c>
      <c r="T144" s="1647"/>
      <c r="U144" s="1599"/>
      <c r="V144" s="1647"/>
      <c r="W144" s="2774"/>
      <c r="X144" s="2775"/>
      <c r="Y144" s="2775"/>
      <c r="Z144" s="2775"/>
      <c r="AA144" s="2775"/>
      <c r="AB144" s="2775"/>
      <c r="AC144" s="2775"/>
      <c r="AD144" s="2774"/>
      <c r="AE144" s="2775"/>
      <c r="AF144" s="3507"/>
      <c r="AG144" s="1416">
        <f t="shared" si="49"/>
        <v>0</v>
      </c>
      <c r="AH144" s="2776"/>
      <c r="AI144" s="2374">
        <f t="shared" ref="AI144" si="62">(U144*1.08)+(V144*1.08)+(W144*1.08)+((850000*(H144+I144))+(H144*3650000)+(I144*3650000))*1.08</f>
        <v>9720000</v>
      </c>
      <c r="AJ144" s="1703">
        <f t="shared" ref="AJ144" si="63">+AG144+AI144</f>
        <v>9720000</v>
      </c>
      <c r="AK144" s="2779"/>
      <c r="AL144" s="1697"/>
      <c r="AM144" s="1393"/>
    </row>
    <row r="145" spans="1:39" s="1350" customFormat="1" ht="15.6">
      <c r="A145" s="1738">
        <f t="shared" si="38"/>
        <v>22</v>
      </c>
      <c r="B145" s="1599"/>
      <c r="C145" s="2039"/>
      <c r="D145" s="1919"/>
      <c r="E145" s="2039"/>
      <c r="F145" s="2039"/>
      <c r="G145" s="2039"/>
      <c r="H145" s="1647"/>
      <c r="I145" s="1647"/>
      <c r="J145" s="1647"/>
      <c r="K145" s="2041"/>
      <c r="L145" s="1824"/>
      <c r="M145" s="1824"/>
      <c r="N145" s="1824"/>
      <c r="O145" s="1824"/>
      <c r="P145" s="2040"/>
      <c r="Q145" s="1824"/>
      <c r="R145" s="1824"/>
      <c r="S145" s="1647"/>
      <c r="T145" s="1647"/>
      <c r="U145" s="1599"/>
      <c r="V145" s="1647"/>
      <c r="W145" s="2774"/>
      <c r="X145" s="2775"/>
      <c r="Y145" s="2775"/>
      <c r="Z145" s="2775"/>
      <c r="AA145" s="2775"/>
      <c r="AB145" s="2775"/>
      <c r="AC145" s="2775"/>
      <c r="AD145" s="2774"/>
      <c r="AE145" s="2775"/>
      <c r="AF145" s="3507"/>
      <c r="AG145" s="1416">
        <f t="shared" si="49"/>
        <v>0</v>
      </c>
      <c r="AH145" s="2776"/>
      <c r="AI145" s="2374">
        <f t="shared" ref="AI145:AI169" si="64">(U145*1.08)+(V145*1.08)+(W145*1.08)+((850000*(H145+I145))+(H145*3650000)+(I145*3650000))*1.08</f>
        <v>0</v>
      </c>
      <c r="AJ145" s="1703">
        <f t="shared" ref="AJ145:AJ169" si="65">+AG145+AI145</f>
        <v>0</v>
      </c>
      <c r="AK145" s="2779"/>
      <c r="AL145" s="1697"/>
      <c r="AM145" s="1393"/>
    </row>
    <row r="146" spans="1:39" s="1350" customFormat="1" ht="15.6">
      <c r="A146" s="1738">
        <f t="shared" si="38"/>
        <v>23</v>
      </c>
      <c r="B146" s="1599"/>
      <c r="C146" s="2039"/>
      <c r="D146" s="1919"/>
      <c r="E146" s="2039"/>
      <c r="F146" s="2039"/>
      <c r="G146" s="2039"/>
      <c r="H146" s="1647"/>
      <c r="I146" s="1647"/>
      <c r="J146" s="1647"/>
      <c r="K146" s="2041"/>
      <c r="L146" s="1824"/>
      <c r="M146" s="2816"/>
      <c r="N146" s="1824"/>
      <c r="O146" s="1824"/>
      <c r="P146" s="2040"/>
      <c r="Q146" s="1824"/>
      <c r="R146" s="1824"/>
      <c r="S146" s="1647"/>
      <c r="T146" s="1647"/>
      <c r="U146" s="1599"/>
      <c r="V146" s="1647"/>
      <c r="W146" s="2774"/>
      <c r="X146" s="2775"/>
      <c r="Y146" s="2775"/>
      <c r="Z146" s="2775"/>
      <c r="AA146" s="2775"/>
      <c r="AB146" s="2775"/>
      <c r="AC146" s="2775"/>
      <c r="AD146" s="2774"/>
      <c r="AE146" s="2775"/>
      <c r="AF146" s="3507"/>
      <c r="AG146" s="1416">
        <f t="shared" si="49"/>
        <v>0</v>
      </c>
      <c r="AH146" s="2776"/>
      <c r="AI146" s="2374">
        <f t="shared" si="64"/>
        <v>0</v>
      </c>
      <c r="AJ146" s="1703">
        <f t="shared" si="65"/>
        <v>0</v>
      </c>
      <c r="AK146" s="2779"/>
      <c r="AL146" s="1697"/>
      <c r="AM146" s="1393"/>
    </row>
    <row r="147" spans="1:39" s="1350" customFormat="1" ht="15.6">
      <c r="A147" s="1738">
        <f t="shared" si="38"/>
        <v>24</v>
      </c>
      <c r="B147" s="2378"/>
      <c r="C147" s="3650"/>
      <c r="D147" s="3651"/>
      <c r="E147" s="3650"/>
      <c r="F147" s="3650"/>
      <c r="G147" s="3650"/>
      <c r="H147" s="3080"/>
      <c r="I147" s="3080"/>
      <c r="J147" s="3080"/>
      <c r="K147" s="3652"/>
      <c r="L147" s="3653"/>
      <c r="M147" s="1726"/>
      <c r="N147" s="3653"/>
      <c r="O147" s="1726"/>
      <c r="P147" s="3654"/>
      <c r="Q147" s="1726"/>
      <c r="R147" s="1726"/>
      <c r="S147" s="3080"/>
      <c r="T147" s="3080"/>
      <c r="U147" s="2378"/>
      <c r="V147" s="3080"/>
      <c r="W147" s="2155"/>
      <c r="X147" s="2154"/>
      <c r="Y147" s="2154"/>
      <c r="Z147" s="2154"/>
      <c r="AA147" s="2154"/>
      <c r="AB147" s="2154"/>
      <c r="AC147" s="2154"/>
      <c r="AD147" s="2155"/>
      <c r="AE147" s="2154"/>
      <c r="AF147" s="3507"/>
      <c r="AG147" s="1416">
        <f t="shared" si="49"/>
        <v>0</v>
      </c>
      <c r="AH147" s="3655"/>
      <c r="AI147" s="2374">
        <f t="shared" si="64"/>
        <v>0</v>
      </c>
      <c r="AJ147" s="1703">
        <f t="shared" si="65"/>
        <v>0</v>
      </c>
      <c r="AK147" s="3656"/>
      <c r="AL147" s="2405"/>
      <c r="AM147" s="1393"/>
    </row>
    <row r="148" spans="1:39" s="1350" customFormat="1" ht="15.6">
      <c r="A148" s="1738">
        <f t="shared" si="38"/>
        <v>25</v>
      </c>
      <c r="B148" s="1599"/>
      <c r="C148" s="2039"/>
      <c r="D148" s="1919"/>
      <c r="E148" s="2039"/>
      <c r="F148" s="2039"/>
      <c r="G148" s="2039"/>
      <c r="H148" s="1647"/>
      <c r="I148" s="1647"/>
      <c r="J148" s="1647"/>
      <c r="K148" s="2041"/>
      <c r="L148" s="1824"/>
      <c r="M148" s="1824"/>
      <c r="N148" s="1824"/>
      <c r="O148" s="1824"/>
      <c r="P148" s="2040"/>
      <c r="Q148" s="1824"/>
      <c r="R148" s="1824"/>
      <c r="S148" s="1647"/>
      <c r="T148" s="1647"/>
      <c r="U148" s="1599"/>
      <c r="V148" s="1647"/>
      <c r="W148" s="2774"/>
      <c r="X148" s="2775"/>
      <c r="Y148" s="2775"/>
      <c r="Z148" s="2775"/>
      <c r="AA148" s="2775"/>
      <c r="AB148" s="2775"/>
      <c r="AC148" s="2775"/>
      <c r="AD148" s="2774"/>
      <c r="AE148" s="2775"/>
      <c r="AF148" s="3507"/>
      <c r="AG148" s="2775"/>
      <c r="AH148" s="2776"/>
      <c r="AI148" s="2374">
        <f t="shared" si="64"/>
        <v>0</v>
      </c>
      <c r="AJ148" s="1703">
        <f t="shared" si="65"/>
        <v>0</v>
      </c>
      <c r="AK148" s="2779"/>
      <c r="AL148" s="1697"/>
      <c r="AM148" s="1393"/>
    </row>
    <row r="149" spans="1:39" s="1350" customFormat="1" ht="15.6">
      <c r="A149" s="1738">
        <f t="shared" si="38"/>
        <v>26</v>
      </c>
      <c r="B149" s="1599"/>
      <c r="C149" s="2039"/>
      <c r="D149" s="1919"/>
      <c r="E149" s="2039"/>
      <c r="F149" s="2039"/>
      <c r="G149" s="2039"/>
      <c r="H149" s="1647"/>
      <c r="I149" s="1647"/>
      <c r="J149" s="1647"/>
      <c r="K149" s="2041"/>
      <c r="L149" s="1824"/>
      <c r="M149" s="1824"/>
      <c r="N149" s="1824"/>
      <c r="O149" s="1824"/>
      <c r="P149" s="2040"/>
      <c r="Q149" s="1824"/>
      <c r="R149" s="1824"/>
      <c r="S149" s="1647"/>
      <c r="T149" s="1647"/>
      <c r="U149" s="1599"/>
      <c r="V149" s="1647"/>
      <c r="W149" s="2774"/>
      <c r="X149" s="2775"/>
      <c r="Y149" s="2775"/>
      <c r="Z149" s="2775"/>
      <c r="AA149" s="2775"/>
      <c r="AB149" s="2775"/>
      <c r="AC149" s="2775"/>
      <c r="AD149" s="2774"/>
      <c r="AE149" s="2775"/>
      <c r="AF149" s="2775"/>
      <c r="AG149" s="2775"/>
      <c r="AH149" s="2776"/>
      <c r="AI149" s="2374">
        <f t="shared" si="64"/>
        <v>0</v>
      </c>
      <c r="AJ149" s="1703" t="e">
        <f>+AG149+#REF!</f>
        <v>#REF!</v>
      </c>
      <c r="AK149" s="2779"/>
      <c r="AL149" s="1697"/>
      <c r="AM149" s="1393"/>
    </row>
    <row r="150" spans="1:39" s="1350" customFormat="1" ht="15.6">
      <c r="A150" s="1738">
        <f t="shared" si="38"/>
        <v>27</v>
      </c>
      <c r="B150" s="1599"/>
      <c r="C150" s="2039"/>
      <c r="D150" s="1919"/>
      <c r="E150" s="2039"/>
      <c r="F150" s="2039"/>
      <c r="G150" s="2039"/>
      <c r="H150" s="1647"/>
      <c r="I150" s="1647"/>
      <c r="J150" s="1647"/>
      <c r="K150" s="2041"/>
      <c r="L150" s="1824"/>
      <c r="M150" s="1824"/>
      <c r="N150" s="1824"/>
      <c r="O150" s="1824"/>
      <c r="P150" s="2040"/>
      <c r="Q150" s="1824"/>
      <c r="R150" s="1824"/>
      <c r="S150" s="1647"/>
      <c r="T150" s="1647"/>
      <c r="U150" s="1599"/>
      <c r="V150" s="1647"/>
      <c r="W150" s="2774"/>
      <c r="X150" s="2775"/>
      <c r="Y150" s="2775"/>
      <c r="Z150" s="2775"/>
      <c r="AA150" s="2775"/>
      <c r="AB150" s="2775"/>
      <c r="AC150" s="2775"/>
      <c r="AD150" s="2774"/>
      <c r="AE150" s="2775"/>
      <c r="AF150" s="2775"/>
      <c r="AG150" s="2775"/>
      <c r="AH150" s="2776"/>
      <c r="AI150" s="2374">
        <f t="shared" si="64"/>
        <v>0</v>
      </c>
      <c r="AJ150" s="1703">
        <f t="shared" si="65"/>
        <v>0</v>
      </c>
      <c r="AK150" s="2779"/>
      <c r="AL150" s="1697"/>
      <c r="AM150" s="1393"/>
    </row>
    <row r="151" spans="1:39" s="1350" customFormat="1" ht="15.6">
      <c r="A151" s="1738">
        <f t="shared" ref="A151:A169" si="66">+A150+1</f>
        <v>28</v>
      </c>
      <c r="B151" s="1599"/>
      <c r="C151" s="2039"/>
      <c r="D151" s="1919"/>
      <c r="E151" s="2039"/>
      <c r="F151" s="2039"/>
      <c r="G151" s="2039"/>
      <c r="H151" s="1647"/>
      <c r="I151" s="1647"/>
      <c r="J151" s="1647"/>
      <c r="K151" s="2041"/>
      <c r="L151" s="1824"/>
      <c r="M151" s="1824"/>
      <c r="N151" s="1824"/>
      <c r="O151" s="1824"/>
      <c r="P151" s="2040"/>
      <c r="Q151" s="1824"/>
      <c r="R151" s="1824"/>
      <c r="S151" s="1647"/>
      <c r="T151" s="1647"/>
      <c r="U151" s="1599"/>
      <c r="V151" s="1647"/>
      <c r="W151" s="2774"/>
      <c r="X151" s="2775"/>
      <c r="Y151" s="2775"/>
      <c r="Z151" s="2775"/>
      <c r="AA151" s="2775"/>
      <c r="AB151" s="2775"/>
      <c r="AC151" s="2775"/>
      <c r="AD151" s="2774"/>
      <c r="AE151" s="2775"/>
      <c r="AF151" s="2775"/>
      <c r="AG151" s="2775"/>
      <c r="AH151" s="2776"/>
      <c r="AI151" s="2374">
        <f t="shared" si="64"/>
        <v>0</v>
      </c>
      <c r="AJ151" s="1703">
        <f t="shared" si="65"/>
        <v>0</v>
      </c>
      <c r="AK151" s="2779"/>
      <c r="AL151" s="1697"/>
      <c r="AM151" s="1393"/>
    </row>
    <row r="152" spans="1:39" s="1350" customFormat="1" ht="15.6">
      <c r="A152" s="1738">
        <f t="shared" si="66"/>
        <v>29</v>
      </c>
      <c r="B152" s="1599"/>
      <c r="C152" s="2039"/>
      <c r="D152" s="1919"/>
      <c r="E152" s="2039"/>
      <c r="F152" s="2039"/>
      <c r="G152" s="2039"/>
      <c r="H152" s="1647"/>
      <c r="I152" s="1647"/>
      <c r="J152" s="1647"/>
      <c r="K152" s="2041"/>
      <c r="L152" s="1824"/>
      <c r="M152" s="1824"/>
      <c r="N152" s="1824"/>
      <c r="O152" s="1824"/>
      <c r="P152" s="2040"/>
      <c r="Q152" s="1824"/>
      <c r="R152" s="1824"/>
      <c r="S152" s="1647"/>
      <c r="T152" s="1647"/>
      <c r="U152" s="1599"/>
      <c r="V152" s="1647"/>
      <c r="W152" s="2774"/>
      <c r="X152" s="2775"/>
      <c r="Y152" s="2775"/>
      <c r="Z152" s="2775"/>
      <c r="AA152" s="2775"/>
      <c r="AB152" s="2775"/>
      <c r="AC152" s="2775"/>
      <c r="AD152" s="2774"/>
      <c r="AE152" s="2775"/>
      <c r="AF152" s="2775"/>
      <c r="AG152" s="2775"/>
      <c r="AH152" s="2776"/>
      <c r="AI152" s="2374">
        <f t="shared" si="64"/>
        <v>0</v>
      </c>
      <c r="AJ152" s="1703">
        <f t="shared" si="65"/>
        <v>0</v>
      </c>
      <c r="AK152" s="2779"/>
      <c r="AL152" s="1697"/>
      <c r="AM152" s="1393"/>
    </row>
    <row r="153" spans="1:39" s="1350" customFormat="1" ht="15.6">
      <c r="A153" s="1738">
        <f t="shared" si="66"/>
        <v>30</v>
      </c>
      <c r="B153" s="1599"/>
      <c r="C153" s="2039"/>
      <c r="D153" s="1919"/>
      <c r="E153" s="2039"/>
      <c r="F153" s="2039"/>
      <c r="G153" s="2039"/>
      <c r="H153" s="1647"/>
      <c r="I153" s="1647"/>
      <c r="J153" s="1647"/>
      <c r="K153" s="2041"/>
      <c r="L153" s="1824"/>
      <c r="M153" s="1824"/>
      <c r="N153" s="1824"/>
      <c r="O153" s="1824"/>
      <c r="P153" s="2040"/>
      <c r="Q153" s="1824"/>
      <c r="R153" s="1824"/>
      <c r="S153" s="1647"/>
      <c r="T153" s="1647"/>
      <c r="U153" s="1599"/>
      <c r="V153" s="1647"/>
      <c r="W153" s="2774"/>
      <c r="X153" s="2775"/>
      <c r="Y153" s="2775"/>
      <c r="Z153" s="2775"/>
      <c r="AA153" s="2775"/>
      <c r="AB153" s="2775"/>
      <c r="AC153" s="2775"/>
      <c r="AD153" s="2774"/>
      <c r="AE153" s="2775"/>
      <c r="AF153" s="2775"/>
      <c r="AG153" s="2775"/>
      <c r="AH153" s="2776"/>
      <c r="AI153" s="2374">
        <f t="shared" si="64"/>
        <v>0</v>
      </c>
      <c r="AJ153" s="1703">
        <f t="shared" si="65"/>
        <v>0</v>
      </c>
      <c r="AK153" s="2779"/>
      <c r="AL153" s="1697"/>
      <c r="AM153" s="1393"/>
    </row>
    <row r="154" spans="1:39" s="1350" customFormat="1" ht="15.6">
      <c r="A154" s="1738">
        <f t="shared" si="66"/>
        <v>31</v>
      </c>
      <c r="B154" s="1599"/>
      <c r="C154" s="2039"/>
      <c r="D154" s="1919"/>
      <c r="E154" s="2039"/>
      <c r="F154" s="2039"/>
      <c r="G154" s="2039"/>
      <c r="H154" s="1647"/>
      <c r="I154" s="1647"/>
      <c r="J154" s="1647"/>
      <c r="K154" s="2041"/>
      <c r="L154" s="1824"/>
      <c r="M154" s="1824"/>
      <c r="N154" s="1824"/>
      <c r="O154" s="1824"/>
      <c r="P154" s="2040"/>
      <c r="Q154" s="1824"/>
      <c r="R154" s="1824"/>
      <c r="S154" s="1647"/>
      <c r="T154" s="1647"/>
      <c r="U154" s="1599"/>
      <c r="V154" s="1647"/>
      <c r="W154" s="2774"/>
      <c r="X154" s="2775"/>
      <c r="Y154" s="2775"/>
      <c r="Z154" s="2775"/>
      <c r="AA154" s="2775"/>
      <c r="AB154" s="2775"/>
      <c r="AC154" s="2775"/>
      <c r="AD154" s="2774"/>
      <c r="AE154" s="2775"/>
      <c r="AF154" s="2775"/>
      <c r="AG154" s="2775"/>
      <c r="AH154" s="2776"/>
      <c r="AI154" s="2374">
        <f t="shared" si="64"/>
        <v>0</v>
      </c>
      <c r="AJ154" s="1703">
        <f t="shared" si="65"/>
        <v>0</v>
      </c>
      <c r="AK154" s="2779"/>
      <c r="AL154" s="1697"/>
      <c r="AM154" s="1393"/>
    </row>
    <row r="155" spans="1:39" s="1350" customFormat="1" ht="15.6">
      <c r="A155" s="1738">
        <f t="shared" si="66"/>
        <v>32</v>
      </c>
      <c r="B155" s="1599"/>
      <c r="C155" s="2039"/>
      <c r="D155" s="1919"/>
      <c r="E155" s="2039"/>
      <c r="F155" s="2039"/>
      <c r="G155" s="2039"/>
      <c r="H155" s="1647"/>
      <c r="I155" s="1647"/>
      <c r="J155" s="1647"/>
      <c r="K155" s="2041"/>
      <c r="L155" s="1824"/>
      <c r="M155" s="1824"/>
      <c r="N155" s="1824"/>
      <c r="O155" s="1824"/>
      <c r="P155" s="2040"/>
      <c r="Q155" s="1824"/>
      <c r="R155" s="1824"/>
      <c r="S155" s="1647"/>
      <c r="T155" s="1647"/>
      <c r="U155" s="1599"/>
      <c r="V155" s="1647"/>
      <c r="W155" s="2774"/>
      <c r="X155" s="2775"/>
      <c r="Y155" s="2775"/>
      <c r="Z155" s="2775"/>
      <c r="AA155" s="2775"/>
      <c r="AB155" s="2775"/>
      <c r="AC155" s="2775"/>
      <c r="AD155" s="2774"/>
      <c r="AE155" s="2775"/>
      <c r="AF155" s="2775"/>
      <c r="AG155" s="2775"/>
      <c r="AH155" s="2776"/>
      <c r="AI155" s="2374">
        <f t="shared" si="64"/>
        <v>0</v>
      </c>
      <c r="AJ155" s="1703">
        <f t="shared" si="65"/>
        <v>0</v>
      </c>
      <c r="AK155" s="2779"/>
      <c r="AL155" s="1697"/>
      <c r="AM155" s="1393"/>
    </row>
    <row r="156" spans="1:39" s="1350" customFormat="1" ht="15.6">
      <c r="A156" s="1738">
        <f t="shared" si="66"/>
        <v>33</v>
      </c>
      <c r="B156" s="1599"/>
      <c r="C156" s="2039"/>
      <c r="D156" s="1919"/>
      <c r="E156" s="2039"/>
      <c r="F156" s="2039"/>
      <c r="G156" s="2039"/>
      <c r="H156" s="1647"/>
      <c r="I156" s="1647"/>
      <c r="J156" s="1647"/>
      <c r="K156" s="2041"/>
      <c r="L156" s="1824"/>
      <c r="M156" s="1824"/>
      <c r="N156" s="1824"/>
      <c r="O156" s="1824"/>
      <c r="P156" s="2040"/>
      <c r="Q156" s="1824"/>
      <c r="R156" s="1824"/>
      <c r="S156" s="1647"/>
      <c r="T156" s="1647"/>
      <c r="U156" s="1599"/>
      <c r="V156" s="1647"/>
      <c r="W156" s="2774"/>
      <c r="X156" s="2775"/>
      <c r="Y156" s="2775"/>
      <c r="Z156" s="2775"/>
      <c r="AA156" s="2775"/>
      <c r="AB156" s="2775"/>
      <c r="AC156" s="2775"/>
      <c r="AD156" s="2774"/>
      <c r="AE156" s="2775"/>
      <c r="AF156" s="2775"/>
      <c r="AG156" s="2775"/>
      <c r="AH156" s="2776"/>
      <c r="AI156" s="2374">
        <f t="shared" si="64"/>
        <v>0</v>
      </c>
      <c r="AJ156" s="1703">
        <f t="shared" si="65"/>
        <v>0</v>
      </c>
      <c r="AK156" s="2779"/>
      <c r="AL156" s="1697"/>
      <c r="AM156" s="1393"/>
    </row>
    <row r="157" spans="1:39" s="1350" customFormat="1" ht="15.6">
      <c r="A157" s="1738">
        <f t="shared" si="66"/>
        <v>34</v>
      </c>
      <c r="B157" s="1599"/>
      <c r="C157" s="2039"/>
      <c r="D157" s="1919"/>
      <c r="E157" s="2039"/>
      <c r="F157" s="2039"/>
      <c r="G157" s="2039"/>
      <c r="H157" s="1647"/>
      <c r="I157" s="1647"/>
      <c r="J157" s="1647"/>
      <c r="K157" s="2041"/>
      <c r="L157" s="1824"/>
      <c r="M157" s="1824"/>
      <c r="N157" s="1824"/>
      <c r="O157" s="1824"/>
      <c r="P157" s="2040"/>
      <c r="Q157" s="1824"/>
      <c r="R157" s="1824"/>
      <c r="S157" s="1647"/>
      <c r="T157" s="1647"/>
      <c r="U157" s="1599"/>
      <c r="V157" s="1647"/>
      <c r="W157" s="2774"/>
      <c r="X157" s="2775"/>
      <c r="Y157" s="2775"/>
      <c r="Z157" s="2775"/>
      <c r="AA157" s="2775"/>
      <c r="AB157" s="2775"/>
      <c r="AC157" s="2775"/>
      <c r="AD157" s="2774"/>
      <c r="AE157" s="2775"/>
      <c r="AF157" s="2775"/>
      <c r="AG157" s="2775"/>
      <c r="AH157" s="2776"/>
      <c r="AI157" s="2374">
        <f t="shared" si="64"/>
        <v>0</v>
      </c>
      <c r="AJ157" s="1703">
        <f t="shared" si="65"/>
        <v>0</v>
      </c>
      <c r="AK157" s="2779"/>
      <c r="AL157" s="1697"/>
      <c r="AM157" s="1393"/>
    </row>
    <row r="158" spans="1:39" s="1350" customFormat="1" ht="15.6">
      <c r="A158" s="1738">
        <f t="shared" si="66"/>
        <v>35</v>
      </c>
      <c r="B158" s="1599"/>
      <c r="C158" s="2039"/>
      <c r="D158" s="1919"/>
      <c r="E158" s="2039"/>
      <c r="F158" s="2039"/>
      <c r="G158" s="2039"/>
      <c r="H158" s="1647"/>
      <c r="I158" s="1647"/>
      <c r="J158" s="1647"/>
      <c r="K158" s="2041"/>
      <c r="L158" s="1824"/>
      <c r="M158" s="1824"/>
      <c r="N158" s="1824"/>
      <c r="O158" s="1824"/>
      <c r="P158" s="2040"/>
      <c r="Q158" s="1824"/>
      <c r="R158" s="1824"/>
      <c r="S158" s="1647"/>
      <c r="T158" s="1647"/>
      <c r="U158" s="1599"/>
      <c r="V158" s="1647"/>
      <c r="W158" s="2774"/>
      <c r="X158" s="2775"/>
      <c r="Y158" s="2775"/>
      <c r="Z158" s="2775"/>
      <c r="AA158" s="2775"/>
      <c r="AB158" s="2775"/>
      <c r="AC158" s="2775"/>
      <c r="AD158" s="2774"/>
      <c r="AE158" s="2775"/>
      <c r="AF158" s="2775"/>
      <c r="AG158" s="2775"/>
      <c r="AH158" s="2776"/>
      <c r="AI158" s="2374">
        <f t="shared" si="64"/>
        <v>0</v>
      </c>
      <c r="AJ158" s="1703">
        <f t="shared" si="65"/>
        <v>0</v>
      </c>
      <c r="AK158" s="2779"/>
      <c r="AL158" s="1697"/>
      <c r="AM158" s="1393"/>
    </row>
    <row r="159" spans="1:39" s="1350" customFormat="1" ht="15.6">
      <c r="A159" s="1738">
        <f t="shared" si="66"/>
        <v>36</v>
      </c>
      <c r="B159" s="1599"/>
      <c r="C159" s="2039"/>
      <c r="D159" s="1919"/>
      <c r="E159" s="2039"/>
      <c r="F159" s="2039"/>
      <c r="G159" s="2039"/>
      <c r="H159" s="1647"/>
      <c r="I159" s="1647"/>
      <c r="J159" s="1647"/>
      <c r="K159" s="2041"/>
      <c r="L159" s="1824"/>
      <c r="M159" s="1824"/>
      <c r="N159" s="1824"/>
      <c r="O159" s="1824"/>
      <c r="P159" s="2040"/>
      <c r="Q159" s="1824"/>
      <c r="R159" s="1824"/>
      <c r="S159" s="1647"/>
      <c r="T159" s="1647"/>
      <c r="U159" s="1599"/>
      <c r="V159" s="1647"/>
      <c r="W159" s="2774"/>
      <c r="X159" s="2775"/>
      <c r="Y159" s="2775"/>
      <c r="Z159" s="2775"/>
      <c r="AA159" s="2775"/>
      <c r="AB159" s="2775"/>
      <c r="AC159" s="2775"/>
      <c r="AD159" s="2774"/>
      <c r="AE159" s="2775"/>
      <c r="AF159" s="2775"/>
      <c r="AG159" s="2775"/>
      <c r="AH159" s="2776"/>
      <c r="AI159" s="2374">
        <f t="shared" si="64"/>
        <v>0</v>
      </c>
      <c r="AJ159" s="1703">
        <f t="shared" si="65"/>
        <v>0</v>
      </c>
      <c r="AK159" s="2779"/>
      <c r="AL159" s="1697"/>
      <c r="AM159" s="1393"/>
    </row>
    <row r="160" spans="1:39" s="1350" customFormat="1" ht="15.6">
      <c r="A160" s="1738">
        <f t="shared" si="66"/>
        <v>37</v>
      </c>
      <c r="B160" s="1599"/>
      <c r="C160" s="2039"/>
      <c r="D160" s="1919"/>
      <c r="E160" s="2039"/>
      <c r="F160" s="2039"/>
      <c r="G160" s="2039"/>
      <c r="H160" s="1647"/>
      <c r="I160" s="1647"/>
      <c r="J160" s="1647"/>
      <c r="K160" s="2041"/>
      <c r="L160" s="1824"/>
      <c r="M160" s="1824"/>
      <c r="N160" s="1824"/>
      <c r="O160" s="1824"/>
      <c r="P160" s="2040"/>
      <c r="Q160" s="1824"/>
      <c r="R160" s="1824"/>
      <c r="S160" s="1647"/>
      <c r="T160" s="1647"/>
      <c r="U160" s="1599"/>
      <c r="V160" s="1647"/>
      <c r="W160" s="2774"/>
      <c r="X160" s="2775"/>
      <c r="Y160" s="2775"/>
      <c r="Z160" s="2775"/>
      <c r="AA160" s="2775"/>
      <c r="AB160" s="2775"/>
      <c r="AC160" s="2775"/>
      <c r="AD160" s="2774"/>
      <c r="AE160" s="2775"/>
      <c r="AF160" s="2775"/>
      <c r="AG160" s="2775"/>
      <c r="AH160" s="2776"/>
      <c r="AI160" s="2374">
        <f t="shared" si="64"/>
        <v>0</v>
      </c>
      <c r="AJ160" s="1703">
        <f t="shared" si="65"/>
        <v>0</v>
      </c>
      <c r="AK160" s="2779"/>
      <c r="AL160" s="1697"/>
      <c r="AM160" s="1393"/>
    </row>
    <row r="161" spans="1:39" s="1350" customFormat="1" ht="15.6">
      <c r="A161" s="1738">
        <f t="shared" si="66"/>
        <v>38</v>
      </c>
      <c r="B161" s="1599"/>
      <c r="C161" s="2039"/>
      <c r="D161" s="1919"/>
      <c r="E161" s="2039"/>
      <c r="F161" s="2039"/>
      <c r="G161" s="2039"/>
      <c r="H161" s="1647"/>
      <c r="I161" s="1647"/>
      <c r="J161" s="1647"/>
      <c r="K161" s="2041"/>
      <c r="L161" s="1824"/>
      <c r="M161" s="1824"/>
      <c r="N161" s="1824"/>
      <c r="O161" s="1824"/>
      <c r="P161" s="2040"/>
      <c r="Q161" s="1824"/>
      <c r="R161" s="1824"/>
      <c r="S161" s="1647"/>
      <c r="T161" s="1647"/>
      <c r="U161" s="1599"/>
      <c r="V161" s="1647"/>
      <c r="W161" s="2774"/>
      <c r="X161" s="2775"/>
      <c r="Y161" s="2775"/>
      <c r="Z161" s="2775"/>
      <c r="AA161" s="2775"/>
      <c r="AB161" s="2775"/>
      <c r="AC161" s="2775"/>
      <c r="AD161" s="2774"/>
      <c r="AE161" s="2775"/>
      <c r="AF161" s="2775"/>
      <c r="AG161" s="2775"/>
      <c r="AH161" s="2776"/>
      <c r="AI161" s="2374">
        <f t="shared" si="64"/>
        <v>0</v>
      </c>
      <c r="AJ161" s="1703">
        <f t="shared" si="65"/>
        <v>0</v>
      </c>
      <c r="AK161" s="2779"/>
      <c r="AL161" s="1697"/>
      <c r="AM161" s="1393"/>
    </row>
    <row r="162" spans="1:39" s="1350" customFormat="1" ht="15.6">
      <c r="A162" s="1738">
        <f t="shared" si="66"/>
        <v>39</v>
      </c>
      <c r="B162" s="1599"/>
      <c r="C162" s="2039"/>
      <c r="D162" s="1919"/>
      <c r="E162" s="2039"/>
      <c r="F162" s="2039"/>
      <c r="G162" s="2039"/>
      <c r="H162" s="1647"/>
      <c r="I162" s="1647"/>
      <c r="J162" s="1647"/>
      <c r="K162" s="2041"/>
      <c r="L162" s="1824"/>
      <c r="M162" s="1824"/>
      <c r="N162" s="1824"/>
      <c r="O162" s="1824"/>
      <c r="P162" s="2040"/>
      <c r="Q162" s="1824"/>
      <c r="R162" s="1824"/>
      <c r="S162" s="1647"/>
      <c r="T162" s="1647"/>
      <c r="U162" s="1599"/>
      <c r="V162" s="1647"/>
      <c r="W162" s="2774"/>
      <c r="X162" s="2775"/>
      <c r="Y162" s="2775"/>
      <c r="Z162" s="2775"/>
      <c r="AA162" s="2775"/>
      <c r="AB162" s="2775"/>
      <c r="AC162" s="2775"/>
      <c r="AD162" s="2774"/>
      <c r="AE162" s="2775"/>
      <c r="AF162" s="2775"/>
      <c r="AG162" s="2775"/>
      <c r="AH162" s="2776"/>
      <c r="AI162" s="2374">
        <f t="shared" si="64"/>
        <v>0</v>
      </c>
      <c r="AJ162" s="1703">
        <f t="shared" si="65"/>
        <v>0</v>
      </c>
      <c r="AK162" s="2779"/>
      <c r="AL162" s="1697"/>
      <c r="AM162" s="1393"/>
    </row>
    <row r="163" spans="1:39" s="1350" customFormat="1" ht="15.6">
      <c r="A163" s="1738">
        <f t="shared" si="66"/>
        <v>40</v>
      </c>
      <c r="B163" s="1599"/>
      <c r="C163" s="2039"/>
      <c r="D163" s="1919"/>
      <c r="E163" s="2039"/>
      <c r="F163" s="2039"/>
      <c r="G163" s="2039"/>
      <c r="H163" s="1647"/>
      <c r="I163" s="1647"/>
      <c r="J163" s="1647"/>
      <c r="K163" s="2041"/>
      <c r="L163" s="1824"/>
      <c r="M163" s="1824"/>
      <c r="N163" s="1824"/>
      <c r="O163" s="1824"/>
      <c r="P163" s="2040"/>
      <c r="Q163" s="1824"/>
      <c r="R163" s="1824"/>
      <c r="S163" s="1647"/>
      <c r="T163" s="1647"/>
      <c r="U163" s="1599"/>
      <c r="V163" s="1647"/>
      <c r="W163" s="2774"/>
      <c r="X163" s="2775"/>
      <c r="Y163" s="2775"/>
      <c r="Z163" s="2775"/>
      <c r="AA163" s="2775"/>
      <c r="AB163" s="2775"/>
      <c r="AC163" s="2775"/>
      <c r="AD163" s="2774"/>
      <c r="AE163" s="2775"/>
      <c r="AF163" s="2775"/>
      <c r="AG163" s="2775"/>
      <c r="AH163" s="2776"/>
      <c r="AI163" s="2374">
        <f t="shared" si="64"/>
        <v>0</v>
      </c>
      <c r="AJ163" s="1703">
        <f t="shared" si="65"/>
        <v>0</v>
      </c>
      <c r="AK163" s="2779"/>
      <c r="AL163" s="1697"/>
      <c r="AM163" s="1393"/>
    </row>
    <row r="164" spans="1:39" s="1350" customFormat="1" ht="15.6">
      <c r="A164" s="1738">
        <f t="shared" si="66"/>
        <v>41</v>
      </c>
      <c r="B164" s="1599"/>
      <c r="C164" s="2039"/>
      <c r="D164" s="1919"/>
      <c r="E164" s="2039"/>
      <c r="F164" s="2039"/>
      <c r="G164" s="2039"/>
      <c r="H164" s="1647"/>
      <c r="I164" s="1647"/>
      <c r="J164" s="1647"/>
      <c r="K164" s="2041"/>
      <c r="L164" s="1824"/>
      <c r="M164" s="1824"/>
      <c r="N164" s="1824"/>
      <c r="O164" s="1824"/>
      <c r="P164" s="2040"/>
      <c r="Q164" s="1824"/>
      <c r="R164" s="1824"/>
      <c r="S164" s="1647"/>
      <c r="T164" s="1647"/>
      <c r="U164" s="1599"/>
      <c r="V164" s="1647"/>
      <c r="W164" s="2774"/>
      <c r="X164" s="2775"/>
      <c r="Y164" s="2775"/>
      <c r="Z164" s="2775"/>
      <c r="AA164" s="2775"/>
      <c r="AB164" s="2775"/>
      <c r="AC164" s="2775"/>
      <c r="AD164" s="2774"/>
      <c r="AE164" s="2775"/>
      <c r="AF164" s="2775"/>
      <c r="AG164" s="2775"/>
      <c r="AH164" s="2776"/>
      <c r="AI164" s="2374">
        <f t="shared" si="64"/>
        <v>0</v>
      </c>
      <c r="AJ164" s="1703">
        <f t="shared" si="65"/>
        <v>0</v>
      </c>
      <c r="AK164" s="2779"/>
      <c r="AL164" s="1697"/>
      <c r="AM164" s="1393"/>
    </row>
    <row r="165" spans="1:39" s="1350" customFormat="1" ht="15.6">
      <c r="A165" s="1738">
        <f t="shared" si="66"/>
        <v>42</v>
      </c>
      <c r="B165" s="1599"/>
      <c r="C165" s="2039"/>
      <c r="D165" s="1919"/>
      <c r="E165" s="2039"/>
      <c r="F165" s="2039"/>
      <c r="G165" s="2039"/>
      <c r="H165" s="1647"/>
      <c r="I165" s="1647"/>
      <c r="J165" s="1647"/>
      <c r="K165" s="2041"/>
      <c r="L165" s="1824"/>
      <c r="M165" s="1824"/>
      <c r="N165" s="1824"/>
      <c r="O165" s="1824"/>
      <c r="P165" s="2040"/>
      <c r="Q165" s="1824"/>
      <c r="R165" s="1824"/>
      <c r="S165" s="1647"/>
      <c r="T165" s="1647"/>
      <c r="U165" s="1599"/>
      <c r="V165" s="1647"/>
      <c r="W165" s="2774"/>
      <c r="X165" s="2775"/>
      <c r="Y165" s="2775"/>
      <c r="Z165" s="2775"/>
      <c r="AA165" s="2775"/>
      <c r="AB165" s="2775"/>
      <c r="AC165" s="2775"/>
      <c r="AD165" s="2774"/>
      <c r="AE165" s="2775"/>
      <c r="AF165" s="2775"/>
      <c r="AG165" s="2775"/>
      <c r="AH165" s="2776"/>
      <c r="AI165" s="2374">
        <f t="shared" si="64"/>
        <v>0</v>
      </c>
      <c r="AJ165" s="1703">
        <f t="shared" si="65"/>
        <v>0</v>
      </c>
      <c r="AK165" s="2779"/>
      <c r="AL165" s="1697"/>
      <c r="AM165" s="1393"/>
    </row>
    <row r="166" spans="1:39" s="1350" customFormat="1" ht="15.6">
      <c r="A166" s="1738">
        <f t="shared" si="66"/>
        <v>43</v>
      </c>
      <c r="B166" s="1599"/>
      <c r="C166" s="2039"/>
      <c r="D166" s="1919"/>
      <c r="E166" s="2039"/>
      <c r="F166" s="2039"/>
      <c r="G166" s="2039"/>
      <c r="H166" s="1647"/>
      <c r="I166" s="1647"/>
      <c r="J166" s="1647"/>
      <c r="K166" s="2041"/>
      <c r="L166" s="1824"/>
      <c r="M166" s="1824"/>
      <c r="N166" s="1824"/>
      <c r="O166" s="1824"/>
      <c r="P166" s="2040"/>
      <c r="Q166" s="1824"/>
      <c r="R166" s="1824"/>
      <c r="S166" s="1647"/>
      <c r="T166" s="1647"/>
      <c r="U166" s="1599"/>
      <c r="V166" s="1647"/>
      <c r="W166" s="2774"/>
      <c r="X166" s="2775"/>
      <c r="Y166" s="2775"/>
      <c r="Z166" s="2775"/>
      <c r="AA166" s="2775"/>
      <c r="AB166" s="2775"/>
      <c r="AC166" s="2775"/>
      <c r="AD166" s="2774"/>
      <c r="AE166" s="2775"/>
      <c r="AF166" s="2775"/>
      <c r="AG166" s="2775"/>
      <c r="AH166" s="2776"/>
      <c r="AI166" s="2374">
        <f t="shared" si="64"/>
        <v>0</v>
      </c>
      <c r="AJ166" s="1703">
        <f t="shared" si="65"/>
        <v>0</v>
      </c>
      <c r="AK166" s="2779"/>
      <c r="AL166" s="1697"/>
      <c r="AM166" s="1393"/>
    </row>
    <row r="167" spans="1:39" s="1350" customFormat="1" ht="15.6">
      <c r="A167" s="1738">
        <f t="shared" si="66"/>
        <v>44</v>
      </c>
      <c r="B167" s="1599"/>
      <c r="C167" s="2039"/>
      <c r="D167" s="1919"/>
      <c r="E167" s="2039"/>
      <c r="F167" s="2039"/>
      <c r="G167" s="2039"/>
      <c r="H167" s="1647"/>
      <c r="I167" s="1647"/>
      <c r="J167" s="1647"/>
      <c r="K167" s="2041"/>
      <c r="L167" s="1824"/>
      <c r="M167" s="1824"/>
      <c r="N167" s="1824"/>
      <c r="O167" s="1824"/>
      <c r="P167" s="2040"/>
      <c r="Q167" s="1824"/>
      <c r="R167" s="1824"/>
      <c r="S167" s="1647"/>
      <c r="T167" s="1647"/>
      <c r="U167" s="1599"/>
      <c r="V167" s="1647"/>
      <c r="W167" s="2774"/>
      <c r="X167" s="2775"/>
      <c r="Y167" s="2775"/>
      <c r="Z167" s="2775"/>
      <c r="AA167" s="2775"/>
      <c r="AB167" s="2775"/>
      <c r="AC167" s="2775"/>
      <c r="AD167" s="2774"/>
      <c r="AE167" s="2775"/>
      <c r="AF167" s="2775"/>
      <c r="AG167" s="2775"/>
      <c r="AH167" s="2776"/>
      <c r="AI167" s="2374">
        <f t="shared" si="64"/>
        <v>0</v>
      </c>
      <c r="AJ167" s="1703">
        <f t="shared" si="65"/>
        <v>0</v>
      </c>
      <c r="AK167" s="2779"/>
      <c r="AL167" s="1697"/>
      <c r="AM167" s="1393"/>
    </row>
    <row r="168" spans="1:39" s="1350" customFormat="1" ht="15.6">
      <c r="A168" s="1738">
        <f t="shared" si="66"/>
        <v>45</v>
      </c>
      <c r="B168" s="1599"/>
      <c r="C168" s="2039"/>
      <c r="D168" s="1919"/>
      <c r="E168" s="2039"/>
      <c r="F168" s="2039"/>
      <c r="G168" s="2039"/>
      <c r="H168" s="1647"/>
      <c r="I168" s="1647"/>
      <c r="J168" s="1647"/>
      <c r="K168" s="2041"/>
      <c r="L168" s="1824"/>
      <c r="M168" s="1824"/>
      <c r="N168" s="1824"/>
      <c r="O168" s="1824"/>
      <c r="P168" s="2040"/>
      <c r="Q168" s="1824"/>
      <c r="R168" s="1824"/>
      <c r="S168" s="1647"/>
      <c r="T168" s="1647"/>
      <c r="U168" s="1599"/>
      <c r="V168" s="1647"/>
      <c r="W168" s="2774"/>
      <c r="X168" s="2775"/>
      <c r="Y168" s="2775"/>
      <c r="Z168" s="2775"/>
      <c r="AA168" s="2775"/>
      <c r="AB168" s="2775"/>
      <c r="AC168" s="2775"/>
      <c r="AD168" s="2774"/>
      <c r="AE168" s="2775"/>
      <c r="AF168" s="2775"/>
      <c r="AG168" s="2775"/>
      <c r="AH168" s="2776"/>
      <c r="AI168" s="2374">
        <f t="shared" si="64"/>
        <v>0</v>
      </c>
      <c r="AJ168" s="1703">
        <f t="shared" si="65"/>
        <v>0</v>
      </c>
      <c r="AK168" s="2779"/>
      <c r="AL168" s="1697"/>
      <c r="AM168" s="1393"/>
    </row>
    <row r="169" spans="1:39" s="1350" customFormat="1" ht="15.6">
      <c r="A169" s="1738">
        <f t="shared" si="66"/>
        <v>46</v>
      </c>
      <c r="B169" s="1599"/>
      <c r="C169" s="2039"/>
      <c r="D169" s="1919"/>
      <c r="E169" s="2039"/>
      <c r="F169" s="2039"/>
      <c r="G169" s="2039"/>
      <c r="H169" s="1647"/>
      <c r="I169" s="1647"/>
      <c r="J169" s="1647"/>
      <c r="K169" s="2041"/>
      <c r="L169" s="1824"/>
      <c r="M169" s="1824"/>
      <c r="N169" s="1824"/>
      <c r="O169" s="1824"/>
      <c r="P169" s="2040"/>
      <c r="Q169" s="1824"/>
      <c r="R169" s="1824"/>
      <c r="S169" s="1647"/>
      <c r="T169" s="1647"/>
      <c r="U169" s="1599"/>
      <c r="V169" s="1647"/>
      <c r="W169" s="2774"/>
      <c r="X169" s="2775"/>
      <c r="Y169" s="2775"/>
      <c r="Z169" s="2775"/>
      <c r="AA169" s="2775"/>
      <c r="AB169" s="2775"/>
      <c r="AC169" s="2775"/>
      <c r="AD169" s="2774"/>
      <c r="AE169" s="2775"/>
      <c r="AF169" s="2775"/>
      <c r="AG169" s="2775"/>
      <c r="AH169" s="2776"/>
      <c r="AI169" s="2374">
        <f t="shared" si="64"/>
        <v>0</v>
      </c>
      <c r="AJ169" s="1703">
        <f t="shared" si="65"/>
        <v>0</v>
      </c>
      <c r="AK169" s="2779"/>
      <c r="AL169" s="1697"/>
      <c r="AM169" s="1393"/>
    </row>
    <row r="170" spans="1:39" s="1350" customFormat="1">
      <c r="A170" s="1"/>
      <c r="B170" s="1"/>
      <c r="C170" s="4"/>
      <c r="D170" s="3"/>
      <c r="E170" s="4"/>
      <c r="F170" s="4"/>
      <c r="G170" s="4"/>
      <c r="H170" s="6"/>
      <c r="I170" s="6"/>
      <c r="J170" s="6"/>
      <c r="K170" s="11"/>
      <c r="L170" s="5"/>
      <c r="M170" s="5"/>
      <c r="N170" s="5"/>
      <c r="O170" s="5"/>
      <c r="P170" s="7"/>
      <c r="Q170" s="5"/>
      <c r="R170" s="5"/>
      <c r="S170" s="6"/>
      <c r="T170" s="6"/>
      <c r="U170" s="1"/>
      <c r="V170" s="6"/>
      <c r="W170" s="1878"/>
      <c r="X170" s="1877"/>
      <c r="Y170" s="1877"/>
      <c r="Z170" s="1877"/>
      <c r="AA170" s="1877"/>
      <c r="AB170" s="1877"/>
      <c r="AC170" s="1877"/>
      <c r="AD170" s="1878"/>
      <c r="AE170" s="1877"/>
      <c r="AF170" s="1877"/>
      <c r="AG170" s="1877"/>
      <c r="AH170" s="1911"/>
      <c r="AI170" s="1912"/>
      <c r="AJ170" s="1881"/>
      <c r="AK170" s="1913"/>
      <c r="AM170" s="1393"/>
    </row>
    <row r="171" spans="1:39" s="1350" customFormat="1">
      <c r="A171" s="1"/>
      <c r="B171" s="1"/>
      <c r="C171" s="4"/>
      <c r="D171" s="3"/>
      <c r="E171" s="4"/>
      <c r="F171" s="4"/>
      <c r="G171" s="4"/>
      <c r="H171" s="6"/>
      <c r="I171" s="6"/>
      <c r="J171" s="6"/>
      <c r="K171" s="11"/>
      <c r="L171" s="5"/>
      <c r="M171" s="5"/>
      <c r="N171" s="5"/>
      <c r="O171" s="5"/>
      <c r="P171" s="7"/>
      <c r="Q171" s="5"/>
      <c r="R171" s="5"/>
      <c r="S171" s="6"/>
      <c r="T171" s="6"/>
      <c r="U171" s="1"/>
      <c r="V171" s="6"/>
      <c r="W171" s="1878"/>
      <c r="X171" s="1877"/>
      <c r="Y171" s="1877"/>
      <c r="Z171" s="1877"/>
      <c r="AA171" s="1877"/>
      <c r="AB171" s="1877"/>
      <c r="AC171" s="1877"/>
      <c r="AD171" s="1878"/>
      <c r="AE171" s="1877"/>
      <c r="AF171" s="1877"/>
      <c r="AG171" s="1877"/>
      <c r="AH171" s="1911"/>
      <c r="AI171" s="1912"/>
      <c r="AJ171" s="1881"/>
      <c r="AK171" s="1913"/>
      <c r="AM171" s="1393"/>
    </row>
    <row r="172" spans="1:39" s="1350" customFormat="1">
      <c r="A172" s="1"/>
      <c r="B172" s="1"/>
      <c r="C172" s="4"/>
      <c r="D172" s="3"/>
      <c r="E172" s="4"/>
      <c r="F172" s="4"/>
      <c r="G172" s="4"/>
      <c r="H172" s="6"/>
      <c r="I172" s="6"/>
      <c r="J172" s="6"/>
      <c r="K172" s="11"/>
      <c r="L172" s="5"/>
      <c r="M172" s="5"/>
      <c r="N172" s="5"/>
      <c r="O172" s="5"/>
      <c r="P172" s="7"/>
      <c r="Q172" s="5"/>
      <c r="R172" s="5"/>
      <c r="S172" s="6"/>
      <c r="T172" s="6"/>
      <c r="U172" s="1"/>
      <c r="V172" s="6"/>
      <c r="W172" s="1878"/>
      <c r="X172" s="1877"/>
      <c r="Y172" s="1877"/>
      <c r="Z172" s="1877"/>
      <c r="AA172" s="1877"/>
      <c r="AB172" s="1877"/>
      <c r="AC172" s="1877"/>
      <c r="AD172" s="1878"/>
      <c r="AE172" s="1877"/>
      <c r="AF172" s="1877"/>
      <c r="AG172" s="1877"/>
      <c r="AH172" s="1911"/>
      <c r="AI172" s="1912"/>
      <c r="AJ172" s="1881"/>
      <c r="AK172" s="1913"/>
      <c r="AM172" s="1393"/>
    </row>
    <row r="173" spans="1:39" s="1350" customFormat="1">
      <c r="A173" s="1"/>
      <c r="B173" s="1"/>
      <c r="C173" s="4"/>
      <c r="D173" s="3"/>
      <c r="E173" s="4"/>
      <c r="F173" s="4"/>
      <c r="G173" s="4"/>
      <c r="H173" s="6"/>
      <c r="I173" s="6"/>
      <c r="J173" s="6"/>
      <c r="K173" s="11"/>
      <c r="L173" s="5"/>
      <c r="M173" s="5"/>
      <c r="N173" s="5"/>
      <c r="O173" s="5"/>
      <c r="P173" s="7"/>
      <c r="Q173" s="5"/>
      <c r="R173" s="5"/>
      <c r="S173" s="6"/>
      <c r="T173" s="6"/>
      <c r="U173" s="1"/>
      <c r="V173" s="6"/>
      <c r="W173" s="1878"/>
      <c r="X173" s="1877"/>
      <c r="Y173" s="1877"/>
      <c r="Z173" s="1877"/>
      <c r="AA173" s="1877"/>
      <c r="AB173" s="1877"/>
      <c r="AC173" s="1877"/>
      <c r="AD173" s="1878"/>
      <c r="AE173" s="1877"/>
      <c r="AF173" s="1877"/>
      <c r="AG173" s="1877"/>
      <c r="AH173" s="1911"/>
      <c r="AI173" s="1912"/>
      <c r="AJ173" s="1881"/>
      <c r="AK173" s="1913"/>
      <c r="AM173" s="1393"/>
    </row>
    <row r="174" spans="1:39" s="1350" customFormat="1">
      <c r="A174" s="1"/>
      <c r="B174" s="1"/>
      <c r="C174" s="4"/>
      <c r="D174" s="3"/>
      <c r="E174" s="4"/>
      <c r="F174" s="4"/>
      <c r="G174" s="4"/>
      <c r="H174" s="6"/>
      <c r="I174" s="6"/>
      <c r="J174" s="6"/>
      <c r="K174" s="11"/>
      <c r="L174" s="5"/>
      <c r="M174" s="5"/>
      <c r="N174" s="5"/>
      <c r="O174" s="5"/>
      <c r="P174" s="7"/>
      <c r="Q174" s="5"/>
      <c r="R174" s="5"/>
      <c r="S174" s="6"/>
      <c r="T174" s="6"/>
      <c r="U174" s="1"/>
      <c r="V174" s="6"/>
      <c r="W174" s="1878"/>
      <c r="X174" s="1877"/>
      <c r="Y174" s="1877"/>
      <c r="Z174" s="1877"/>
      <c r="AA174" s="1877"/>
      <c r="AB174" s="1877"/>
      <c r="AC174" s="1877"/>
      <c r="AD174" s="1878"/>
      <c r="AE174" s="1877"/>
      <c r="AF174" s="1877"/>
      <c r="AG174" s="1877"/>
      <c r="AH174" s="1911"/>
      <c r="AI174" s="1912"/>
      <c r="AJ174" s="1881"/>
      <c r="AK174" s="1913"/>
      <c r="AM174" s="1393"/>
    </row>
    <row r="175" spans="1:39" s="1350" customFormat="1">
      <c r="A175" s="1"/>
      <c r="B175" s="1"/>
      <c r="C175" s="4"/>
      <c r="D175" s="3"/>
      <c r="E175" s="4"/>
      <c r="F175" s="4"/>
      <c r="G175" s="4"/>
      <c r="H175" s="6"/>
      <c r="I175" s="6"/>
      <c r="J175" s="6"/>
      <c r="K175" s="11"/>
      <c r="L175" s="5"/>
      <c r="M175" s="5"/>
      <c r="N175" s="5"/>
      <c r="O175" s="5"/>
      <c r="P175" s="7"/>
      <c r="Q175" s="5"/>
      <c r="R175" s="5"/>
      <c r="S175" s="6"/>
      <c r="T175" s="6"/>
      <c r="U175" s="1"/>
      <c r="V175" s="6"/>
      <c r="W175" s="1878"/>
      <c r="X175" s="1877"/>
      <c r="Y175" s="1877"/>
      <c r="Z175" s="1877"/>
      <c r="AA175" s="1877"/>
      <c r="AB175" s="1877"/>
      <c r="AC175" s="1877"/>
      <c r="AD175" s="1878"/>
      <c r="AE175" s="1877"/>
      <c r="AF175" s="1877"/>
      <c r="AG175" s="1877"/>
      <c r="AH175" s="1911"/>
      <c r="AI175" s="1912"/>
      <c r="AJ175" s="1881"/>
      <c r="AK175" s="1913"/>
      <c r="AM175" s="1393"/>
    </row>
    <row r="176" spans="1:39" s="1350" customFormat="1">
      <c r="A176" s="1"/>
      <c r="B176" s="1"/>
      <c r="C176" s="4"/>
      <c r="D176" s="3"/>
      <c r="E176" s="4"/>
      <c r="F176" s="4"/>
      <c r="G176" s="4"/>
      <c r="H176" s="6"/>
      <c r="I176" s="6"/>
      <c r="J176" s="6"/>
      <c r="K176" s="11"/>
      <c r="L176" s="5"/>
      <c r="M176" s="5"/>
      <c r="N176" s="5"/>
      <c r="O176" s="5"/>
      <c r="P176" s="7"/>
      <c r="Q176" s="5"/>
      <c r="R176" s="5"/>
      <c r="S176" s="6"/>
      <c r="T176" s="6"/>
      <c r="U176" s="1"/>
      <c r="V176" s="6"/>
      <c r="W176" s="1878"/>
      <c r="X176" s="1877"/>
      <c r="Y176" s="1877"/>
      <c r="Z176" s="1877"/>
      <c r="AA176" s="1877"/>
      <c r="AB176" s="1877"/>
      <c r="AC176" s="1877"/>
      <c r="AD176" s="1878"/>
      <c r="AE176" s="1877"/>
      <c r="AF176" s="1877"/>
      <c r="AG176" s="1877"/>
      <c r="AH176" s="1911"/>
      <c r="AI176" s="1912"/>
      <c r="AJ176" s="1881"/>
      <c r="AK176" s="1913"/>
      <c r="AM176" s="1393"/>
    </row>
    <row r="177" spans="1:39" s="1350" customFormat="1">
      <c r="A177" s="1"/>
      <c r="B177" s="1"/>
      <c r="C177" s="4"/>
      <c r="D177" s="3"/>
      <c r="E177" s="4"/>
      <c r="F177" s="4"/>
      <c r="G177" s="4"/>
      <c r="H177" s="6"/>
      <c r="I177" s="6"/>
      <c r="J177" s="6"/>
      <c r="K177" s="11"/>
      <c r="L177" s="5"/>
      <c r="M177" s="5"/>
      <c r="N177" s="5"/>
      <c r="O177" s="5"/>
      <c r="P177" s="7"/>
      <c r="Q177" s="5"/>
      <c r="R177" s="5"/>
      <c r="S177" s="6"/>
      <c r="T177" s="6"/>
      <c r="U177" s="1"/>
      <c r="V177" s="6"/>
      <c r="W177" s="1878"/>
      <c r="X177" s="1877"/>
      <c r="Y177" s="1877"/>
      <c r="Z177" s="1877"/>
      <c r="AA177" s="1877"/>
      <c r="AB177" s="1877"/>
      <c r="AC177" s="1877"/>
      <c r="AD177" s="1878"/>
      <c r="AE177" s="1877"/>
      <c r="AF177" s="1877"/>
      <c r="AG177" s="1877"/>
      <c r="AH177" s="1911"/>
      <c r="AI177" s="1912"/>
      <c r="AJ177" s="1881"/>
      <c r="AK177" s="1913"/>
      <c r="AM177" s="1393"/>
    </row>
    <row r="178" spans="1:39" s="1350" customFormat="1">
      <c r="A178" s="1"/>
      <c r="B178" s="1"/>
      <c r="C178" s="4"/>
      <c r="D178" s="3"/>
      <c r="E178" s="4"/>
      <c r="F178" s="4"/>
      <c r="G178" s="4"/>
      <c r="H178" s="6"/>
      <c r="I178" s="6"/>
      <c r="J178" s="6"/>
      <c r="K178" s="11"/>
      <c r="L178" s="5"/>
      <c r="M178" s="5"/>
      <c r="N178" s="5"/>
      <c r="O178" s="5"/>
      <c r="P178" s="7"/>
      <c r="Q178" s="5"/>
      <c r="R178" s="5"/>
      <c r="S178" s="6"/>
      <c r="T178" s="6"/>
      <c r="U178" s="1"/>
      <c r="V178" s="6"/>
      <c r="W178" s="1878"/>
      <c r="X178" s="1877"/>
      <c r="Y178" s="1877"/>
      <c r="Z178" s="1877"/>
      <c r="AA178" s="1877"/>
      <c r="AB178" s="1877"/>
      <c r="AC178" s="1877"/>
      <c r="AD178" s="1878"/>
      <c r="AE178" s="1877"/>
      <c r="AF178" s="1877"/>
      <c r="AG178" s="1877"/>
      <c r="AH178" s="1911"/>
      <c r="AI178" s="1912"/>
      <c r="AJ178" s="1881"/>
      <c r="AK178" s="1913"/>
      <c r="AM178" s="1393"/>
    </row>
    <row r="179" spans="1:39" s="1350" customFormat="1">
      <c r="A179" s="1"/>
      <c r="B179" s="1"/>
      <c r="C179" s="4"/>
      <c r="D179" s="3"/>
      <c r="E179" s="4"/>
      <c r="F179" s="4"/>
      <c r="G179" s="4"/>
      <c r="H179" s="6"/>
      <c r="I179" s="6"/>
      <c r="J179" s="6"/>
      <c r="K179" s="11"/>
      <c r="L179" s="5"/>
      <c r="M179" s="5"/>
      <c r="N179" s="5"/>
      <c r="O179" s="5"/>
      <c r="P179" s="7"/>
      <c r="Q179" s="5"/>
      <c r="R179" s="5"/>
      <c r="S179" s="6"/>
      <c r="T179" s="6"/>
      <c r="U179" s="1"/>
      <c r="V179" s="6"/>
      <c r="W179" s="1878"/>
      <c r="X179" s="1877"/>
      <c r="Y179" s="1877"/>
      <c r="Z179" s="1877"/>
      <c r="AA179" s="1877"/>
      <c r="AB179" s="1877"/>
      <c r="AC179" s="1877"/>
      <c r="AD179" s="1878"/>
      <c r="AE179" s="1877"/>
      <c r="AF179" s="1877"/>
      <c r="AG179" s="1877"/>
      <c r="AH179" s="1911"/>
      <c r="AI179" s="1912"/>
      <c r="AJ179" s="1881"/>
      <c r="AK179" s="1913"/>
      <c r="AM179" s="1393"/>
    </row>
    <row r="180" spans="1:39" s="1350" customFormat="1">
      <c r="A180" s="1"/>
      <c r="B180" s="1"/>
      <c r="C180" s="4"/>
      <c r="D180" s="3"/>
      <c r="E180" s="4"/>
      <c r="F180" s="4"/>
      <c r="G180" s="4"/>
      <c r="H180" s="6"/>
      <c r="I180" s="6"/>
      <c r="J180" s="6"/>
      <c r="K180" s="11"/>
      <c r="L180" s="5"/>
      <c r="M180" s="5"/>
      <c r="N180" s="5"/>
      <c r="O180" s="5"/>
      <c r="P180" s="7"/>
      <c r="Q180" s="5"/>
      <c r="R180" s="5"/>
      <c r="S180" s="6"/>
      <c r="T180" s="6"/>
      <c r="U180" s="1"/>
      <c r="V180" s="6"/>
      <c r="W180" s="1878"/>
      <c r="X180" s="1877"/>
      <c r="Y180" s="1877"/>
      <c r="Z180" s="1877"/>
      <c r="AA180" s="1877"/>
      <c r="AB180" s="1877"/>
      <c r="AC180" s="1877"/>
      <c r="AD180" s="1878"/>
      <c r="AE180" s="1877"/>
      <c r="AF180" s="1877"/>
      <c r="AG180" s="1877"/>
      <c r="AH180" s="1911"/>
      <c r="AI180" s="1912"/>
      <c r="AJ180" s="1881"/>
      <c r="AK180" s="1913"/>
      <c r="AM180" s="1393"/>
    </row>
    <row r="181" spans="1:39" s="1350" customFormat="1">
      <c r="A181" s="1"/>
      <c r="B181" s="1"/>
      <c r="C181" s="4"/>
      <c r="D181" s="3"/>
      <c r="E181" s="4"/>
      <c r="F181" s="4"/>
      <c r="G181" s="4"/>
      <c r="H181" s="6"/>
      <c r="I181" s="6"/>
      <c r="J181" s="6"/>
      <c r="K181" s="11"/>
      <c r="L181" s="5"/>
      <c r="M181" s="5"/>
      <c r="N181" s="5"/>
      <c r="O181" s="5"/>
      <c r="P181" s="7"/>
      <c r="Q181" s="5"/>
      <c r="R181" s="5"/>
      <c r="S181" s="6"/>
      <c r="T181" s="6"/>
      <c r="U181" s="1"/>
      <c r="V181" s="6"/>
      <c r="W181" s="1878"/>
      <c r="X181" s="1877"/>
      <c r="Y181" s="1877"/>
      <c r="Z181" s="1877"/>
      <c r="AA181" s="1877"/>
      <c r="AB181" s="1877"/>
      <c r="AC181" s="1877"/>
      <c r="AD181" s="1878"/>
      <c r="AE181" s="1877"/>
      <c r="AF181" s="1877"/>
      <c r="AG181" s="1877"/>
      <c r="AH181" s="1911"/>
      <c r="AI181" s="1912"/>
      <c r="AJ181" s="1881"/>
      <c r="AK181" s="1913"/>
      <c r="AM181" s="1393"/>
    </row>
    <row r="182" spans="1:39" s="1350" customFormat="1">
      <c r="A182" s="1"/>
      <c r="B182" s="1"/>
      <c r="C182" s="4"/>
      <c r="D182" s="3"/>
      <c r="E182" s="4"/>
      <c r="F182" s="4"/>
      <c r="G182" s="4"/>
      <c r="H182" s="6"/>
      <c r="I182" s="6"/>
      <c r="J182" s="6"/>
      <c r="K182" s="11"/>
      <c r="L182" s="5"/>
      <c r="M182" s="5"/>
      <c r="N182" s="5"/>
      <c r="O182" s="5"/>
      <c r="P182" s="7"/>
      <c r="Q182" s="5"/>
      <c r="R182" s="5"/>
      <c r="S182" s="6"/>
      <c r="T182" s="6"/>
      <c r="U182" s="1"/>
      <c r="V182" s="6"/>
      <c r="W182" s="1878"/>
      <c r="X182" s="1877"/>
      <c r="Y182" s="1877"/>
      <c r="Z182" s="1877"/>
      <c r="AA182" s="1877"/>
      <c r="AB182" s="1877"/>
      <c r="AC182" s="1877"/>
      <c r="AD182" s="1878"/>
      <c r="AE182" s="1877"/>
      <c r="AF182" s="1877"/>
      <c r="AG182" s="1877"/>
      <c r="AH182" s="1911"/>
      <c r="AI182" s="1912"/>
      <c r="AJ182" s="1881"/>
      <c r="AK182" s="1913"/>
      <c r="AM182" s="1393"/>
    </row>
    <row r="183" spans="1:39" s="1350" customFormat="1">
      <c r="A183" s="1"/>
      <c r="B183" s="1"/>
      <c r="C183" s="4"/>
      <c r="D183" s="3"/>
      <c r="E183" s="4"/>
      <c r="F183" s="4"/>
      <c r="G183" s="4"/>
      <c r="H183" s="6"/>
      <c r="I183" s="6"/>
      <c r="J183" s="6"/>
      <c r="K183" s="11"/>
      <c r="L183" s="5"/>
      <c r="M183" s="5"/>
      <c r="N183" s="5"/>
      <c r="O183" s="5"/>
      <c r="P183" s="7"/>
      <c r="Q183" s="5"/>
      <c r="R183" s="5"/>
      <c r="S183" s="6"/>
      <c r="T183" s="6"/>
      <c r="U183" s="1"/>
      <c r="V183" s="6"/>
      <c r="W183" s="1878"/>
      <c r="X183" s="1877"/>
      <c r="Y183" s="1877"/>
      <c r="Z183" s="1877"/>
      <c r="AA183" s="1877"/>
      <c r="AB183" s="1877"/>
      <c r="AC183" s="1877"/>
      <c r="AD183" s="1878"/>
      <c r="AE183" s="1877"/>
      <c r="AF183" s="1877"/>
      <c r="AG183" s="1877"/>
      <c r="AH183" s="1911"/>
      <c r="AI183" s="1912"/>
      <c r="AJ183" s="1881"/>
      <c r="AK183" s="1913"/>
      <c r="AM183" s="1393"/>
    </row>
    <row r="184" spans="1:39" s="1350" customFormat="1">
      <c r="A184" s="1"/>
      <c r="B184" s="1"/>
      <c r="C184" s="4"/>
      <c r="D184" s="3"/>
      <c r="E184" s="4"/>
      <c r="F184" s="4"/>
      <c r="G184" s="4"/>
      <c r="H184" s="6"/>
      <c r="I184" s="6"/>
      <c r="J184" s="6"/>
      <c r="K184" s="11"/>
      <c r="L184" s="5"/>
      <c r="M184" s="5"/>
      <c r="N184" s="5"/>
      <c r="O184" s="5"/>
      <c r="P184" s="7"/>
      <c r="Q184" s="5"/>
      <c r="R184" s="5"/>
      <c r="S184" s="6"/>
      <c r="T184" s="6"/>
      <c r="U184" s="1"/>
      <c r="V184" s="6"/>
      <c r="W184" s="1878"/>
      <c r="X184" s="1877"/>
      <c r="Y184" s="1877"/>
      <c r="Z184" s="1877"/>
      <c r="AA184" s="1877"/>
      <c r="AB184" s="1877"/>
      <c r="AC184" s="1877"/>
      <c r="AD184" s="1878"/>
      <c r="AE184" s="1877"/>
      <c r="AF184" s="1877"/>
      <c r="AG184" s="1877"/>
      <c r="AH184" s="1911"/>
      <c r="AI184" s="1912"/>
      <c r="AJ184" s="1881"/>
      <c r="AK184" s="1913"/>
      <c r="AM184" s="1393"/>
    </row>
    <row r="185" spans="1:39" s="1350" customFormat="1">
      <c r="A185" s="1"/>
      <c r="B185" s="1"/>
      <c r="C185" s="4"/>
      <c r="D185" s="3"/>
      <c r="E185" s="4"/>
      <c r="F185" s="4"/>
      <c r="G185" s="4"/>
      <c r="H185" s="6"/>
      <c r="I185" s="6"/>
      <c r="J185" s="6"/>
      <c r="K185" s="11"/>
      <c r="L185" s="5"/>
      <c r="M185" s="5"/>
      <c r="N185" s="5"/>
      <c r="O185" s="5"/>
      <c r="P185" s="7"/>
      <c r="Q185" s="5"/>
      <c r="R185" s="5"/>
      <c r="S185" s="6"/>
      <c r="T185" s="6"/>
      <c r="U185" s="1"/>
      <c r="V185" s="6"/>
      <c r="W185" s="1878"/>
      <c r="X185" s="1877"/>
      <c r="Y185" s="1877"/>
      <c r="Z185" s="1877"/>
      <c r="AA185" s="1877"/>
      <c r="AB185" s="1877"/>
      <c r="AC185" s="1877"/>
      <c r="AD185" s="1878"/>
      <c r="AE185" s="1877"/>
      <c r="AF185" s="1877"/>
      <c r="AG185" s="1877"/>
      <c r="AH185" s="1911"/>
      <c r="AI185" s="1912"/>
      <c r="AJ185" s="1881"/>
      <c r="AK185" s="1913"/>
      <c r="AM185" s="1393"/>
    </row>
    <row r="186" spans="1:39" s="1350" customFormat="1">
      <c r="A186" s="1"/>
      <c r="B186" s="1"/>
      <c r="C186" s="4"/>
      <c r="D186" s="3"/>
      <c r="E186" s="4"/>
      <c r="F186" s="4"/>
      <c r="G186" s="4"/>
      <c r="H186" s="6"/>
      <c r="I186" s="6"/>
      <c r="J186" s="6"/>
      <c r="K186" s="11"/>
      <c r="L186" s="5"/>
      <c r="M186" s="5"/>
      <c r="N186" s="5"/>
      <c r="O186" s="5"/>
      <c r="P186" s="7"/>
      <c r="Q186" s="5"/>
      <c r="R186" s="5"/>
      <c r="S186" s="6"/>
      <c r="T186" s="6"/>
      <c r="U186" s="1"/>
      <c r="V186" s="6"/>
      <c r="W186" s="1878"/>
      <c r="X186" s="1877"/>
      <c r="Y186" s="1877"/>
      <c r="Z186" s="1877"/>
      <c r="AA186" s="1877"/>
      <c r="AB186" s="1877"/>
      <c r="AC186" s="1877"/>
      <c r="AD186" s="1878"/>
      <c r="AE186" s="1877"/>
      <c r="AF186" s="1877"/>
      <c r="AG186" s="1877"/>
      <c r="AH186" s="1911"/>
      <c r="AI186" s="1912"/>
      <c r="AJ186" s="1881"/>
      <c r="AK186" s="1913"/>
      <c r="AM186" s="1393"/>
    </row>
    <row r="187" spans="1:39" s="1350" customFormat="1">
      <c r="A187" s="1"/>
      <c r="B187" s="1"/>
      <c r="C187" s="4"/>
      <c r="D187" s="3"/>
      <c r="E187" s="4"/>
      <c r="F187" s="4"/>
      <c r="G187" s="4"/>
      <c r="H187" s="6"/>
      <c r="I187" s="6"/>
      <c r="J187" s="6"/>
      <c r="K187" s="11"/>
      <c r="L187" s="5"/>
      <c r="M187" s="5"/>
      <c r="N187" s="5"/>
      <c r="O187" s="5"/>
      <c r="P187" s="7"/>
      <c r="Q187" s="5"/>
      <c r="R187" s="5"/>
      <c r="S187" s="6"/>
      <c r="T187" s="6"/>
      <c r="U187" s="1"/>
      <c r="V187" s="6"/>
      <c r="W187" s="1878"/>
      <c r="X187" s="1877"/>
      <c r="Y187" s="1877"/>
      <c r="Z187" s="1877"/>
      <c r="AA187" s="1877"/>
      <c r="AB187" s="1877"/>
      <c r="AC187" s="1877"/>
      <c r="AD187" s="1878"/>
      <c r="AE187" s="1877"/>
      <c r="AF187" s="1877"/>
      <c r="AG187" s="1877"/>
      <c r="AH187" s="1911"/>
      <c r="AI187" s="1912"/>
      <c r="AJ187" s="1881"/>
      <c r="AK187" s="1913"/>
      <c r="AM187" s="1393"/>
    </row>
    <row r="188" spans="1:39" s="1350" customFormat="1">
      <c r="A188" s="1"/>
      <c r="B188" s="1"/>
      <c r="C188" s="4"/>
      <c r="D188" s="3"/>
      <c r="E188" s="4"/>
      <c r="F188" s="4"/>
      <c r="G188" s="4"/>
      <c r="H188" s="6"/>
      <c r="I188" s="6"/>
      <c r="J188" s="6"/>
      <c r="K188" s="11"/>
      <c r="L188" s="5"/>
      <c r="M188" s="5"/>
      <c r="N188" s="5"/>
      <c r="O188" s="5"/>
      <c r="P188" s="7"/>
      <c r="Q188" s="5"/>
      <c r="R188" s="5"/>
      <c r="S188" s="6"/>
      <c r="T188" s="6"/>
      <c r="U188" s="1"/>
      <c r="V188" s="6"/>
      <c r="W188" s="1878"/>
      <c r="X188" s="1877"/>
      <c r="Y188" s="1877"/>
      <c r="Z188" s="1877"/>
      <c r="AA188" s="1877"/>
      <c r="AB188" s="1877"/>
      <c r="AC188" s="1877"/>
      <c r="AD188" s="1878"/>
      <c r="AE188" s="1877"/>
      <c r="AF188" s="1877"/>
      <c r="AG188" s="1877"/>
      <c r="AH188" s="1911"/>
      <c r="AI188" s="1912"/>
      <c r="AJ188" s="1881"/>
      <c r="AK188" s="1913"/>
      <c r="AM188" s="1393"/>
    </row>
    <row r="189" spans="1:39" s="1350" customFormat="1">
      <c r="A189" s="1"/>
      <c r="B189" s="1"/>
      <c r="C189" s="4"/>
      <c r="D189" s="3"/>
      <c r="E189" s="4"/>
      <c r="F189" s="4"/>
      <c r="G189" s="4"/>
      <c r="H189" s="6"/>
      <c r="I189" s="6"/>
      <c r="J189" s="6"/>
      <c r="K189" s="11"/>
      <c r="L189" s="5"/>
      <c r="M189" s="5"/>
      <c r="N189" s="5"/>
      <c r="O189" s="5"/>
      <c r="P189" s="7"/>
      <c r="Q189" s="5"/>
      <c r="R189" s="5"/>
      <c r="S189" s="6"/>
      <c r="T189" s="6"/>
      <c r="U189" s="1"/>
      <c r="V189" s="6"/>
      <c r="W189" s="1878"/>
      <c r="X189" s="1877"/>
      <c r="Y189" s="1877"/>
      <c r="Z189" s="1877"/>
      <c r="AA189" s="1877"/>
      <c r="AB189" s="1877"/>
      <c r="AC189" s="1877"/>
      <c r="AD189" s="1878"/>
      <c r="AE189" s="1877"/>
      <c r="AF189" s="1877"/>
      <c r="AG189" s="1877"/>
      <c r="AH189" s="1911"/>
      <c r="AI189" s="1912"/>
      <c r="AJ189" s="1881"/>
      <c r="AK189" s="1913"/>
      <c r="AM189" s="1393"/>
    </row>
    <row r="190" spans="1:39" s="1350" customFormat="1">
      <c r="A190" s="1"/>
      <c r="B190" s="1"/>
      <c r="C190" s="4"/>
      <c r="D190" s="3"/>
      <c r="E190" s="4"/>
      <c r="F190" s="4"/>
      <c r="G190" s="4"/>
      <c r="H190" s="6"/>
      <c r="I190" s="6"/>
      <c r="J190" s="6"/>
      <c r="K190" s="11"/>
      <c r="L190" s="5"/>
      <c r="M190" s="5"/>
      <c r="N190" s="5"/>
      <c r="O190" s="5"/>
      <c r="P190" s="7"/>
      <c r="Q190" s="5"/>
      <c r="R190" s="5"/>
      <c r="S190" s="6"/>
      <c r="T190" s="6"/>
      <c r="U190" s="1"/>
      <c r="V190" s="6"/>
      <c r="W190" s="1878"/>
      <c r="X190" s="1877"/>
      <c r="Y190" s="1877"/>
      <c r="Z190" s="1877"/>
      <c r="AA190" s="1877"/>
      <c r="AB190" s="1877"/>
      <c r="AC190" s="1877"/>
      <c r="AD190" s="1878"/>
      <c r="AE190" s="1877"/>
      <c r="AF190" s="1877"/>
      <c r="AG190" s="1877"/>
      <c r="AH190" s="1911"/>
      <c r="AI190" s="1912"/>
      <c r="AJ190" s="1881"/>
      <c r="AK190" s="1913"/>
      <c r="AM190" s="1393"/>
    </row>
    <row r="191" spans="1:39" s="1350" customFormat="1">
      <c r="A191" s="1"/>
      <c r="B191" s="1"/>
      <c r="C191" s="4"/>
      <c r="D191" s="3"/>
      <c r="E191" s="4"/>
      <c r="F191" s="4"/>
      <c r="G191" s="4"/>
      <c r="H191" s="6"/>
      <c r="I191" s="6"/>
      <c r="J191" s="6"/>
      <c r="K191" s="11"/>
      <c r="L191" s="5"/>
      <c r="M191" s="5"/>
      <c r="N191" s="5"/>
      <c r="O191" s="5"/>
      <c r="P191" s="7"/>
      <c r="Q191" s="5"/>
      <c r="R191" s="5"/>
      <c r="S191" s="6"/>
      <c r="T191" s="6"/>
      <c r="U191" s="1"/>
      <c r="V191" s="6"/>
      <c r="W191" s="1878"/>
      <c r="X191" s="1877"/>
      <c r="Y191" s="1877"/>
      <c r="Z191" s="1877"/>
      <c r="AA191" s="1877"/>
      <c r="AB191" s="1877"/>
      <c r="AC191" s="1877"/>
      <c r="AD191" s="1878"/>
      <c r="AE191" s="1877"/>
      <c r="AF191" s="1877"/>
      <c r="AG191" s="1877"/>
      <c r="AH191" s="1911"/>
      <c r="AI191" s="1912"/>
      <c r="AJ191" s="1881"/>
      <c r="AK191" s="1913"/>
      <c r="AM191" s="1393"/>
    </row>
    <row r="192" spans="1:39" s="1350" customFormat="1">
      <c r="A192" s="1"/>
      <c r="B192" s="1"/>
      <c r="C192" s="4"/>
      <c r="D192" s="3"/>
      <c r="E192" s="4"/>
      <c r="F192" s="4"/>
      <c r="G192" s="4"/>
      <c r="H192" s="6"/>
      <c r="I192" s="6"/>
      <c r="J192" s="6"/>
      <c r="K192" s="11"/>
      <c r="L192" s="5"/>
      <c r="M192" s="5"/>
      <c r="N192" s="5"/>
      <c r="O192" s="5"/>
      <c r="P192" s="7"/>
      <c r="Q192" s="5"/>
      <c r="R192" s="5"/>
      <c r="S192" s="6"/>
      <c r="T192" s="6"/>
      <c r="U192" s="1"/>
      <c r="V192" s="6"/>
      <c r="W192" s="1878"/>
      <c r="X192" s="1877"/>
      <c r="Y192" s="1877"/>
      <c r="Z192" s="1877"/>
      <c r="AA192" s="1877"/>
      <c r="AB192" s="1877"/>
      <c r="AC192" s="1877"/>
      <c r="AD192" s="1878"/>
      <c r="AE192" s="1877"/>
      <c r="AF192" s="1877"/>
      <c r="AG192" s="1877"/>
      <c r="AH192" s="1911"/>
      <c r="AI192" s="1912"/>
      <c r="AJ192" s="1881"/>
      <c r="AK192" s="1913"/>
      <c r="AM192" s="1393"/>
    </row>
    <row r="193" spans="1:39" s="1350" customFormat="1">
      <c r="A193" s="1"/>
      <c r="B193" s="1"/>
      <c r="C193" s="4"/>
      <c r="D193" s="3"/>
      <c r="E193" s="4"/>
      <c r="F193" s="4"/>
      <c r="G193" s="4"/>
      <c r="H193" s="6"/>
      <c r="I193" s="6"/>
      <c r="J193" s="6"/>
      <c r="K193" s="11"/>
      <c r="L193" s="5"/>
      <c r="M193" s="5"/>
      <c r="N193" s="5"/>
      <c r="O193" s="5"/>
      <c r="P193" s="7"/>
      <c r="Q193" s="5"/>
      <c r="R193" s="5"/>
      <c r="S193" s="6"/>
      <c r="T193" s="6"/>
      <c r="U193" s="1"/>
      <c r="V193" s="6"/>
      <c r="W193" s="1878"/>
      <c r="X193" s="1877"/>
      <c r="Y193" s="1877"/>
      <c r="Z193" s="1877"/>
      <c r="AA193" s="1877"/>
      <c r="AB193" s="1877"/>
      <c r="AC193" s="1877"/>
      <c r="AD193" s="1878"/>
      <c r="AE193" s="1877"/>
      <c r="AF193" s="1877"/>
      <c r="AG193" s="1877"/>
      <c r="AH193" s="1911"/>
      <c r="AI193" s="1912"/>
      <c r="AJ193" s="1881"/>
      <c r="AK193" s="1913"/>
      <c r="AM193" s="1393"/>
    </row>
    <row r="194" spans="1:39" s="1350" customFormat="1">
      <c r="A194" s="1"/>
      <c r="B194" s="1"/>
      <c r="C194" s="4"/>
      <c r="D194" s="3"/>
      <c r="E194" s="4"/>
      <c r="F194" s="4"/>
      <c r="G194" s="4"/>
      <c r="H194" s="6"/>
      <c r="I194" s="6"/>
      <c r="J194" s="6"/>
      <c r="K194" s="11"/>
      <c r="L194" s="5"/>
      <c r="M194" s="5"/>
      <c r="N194" s="5"/>
      <c r="O194" s="5"/>
      <c r="P194" s="7"/>
      <c r="Q194" s="5"/>
      <c r="R194" s="5"/>
      <c r="S194" s="6"/>
      <c r="T194" s="6"/>
      <c r="U194" s="1"/>
      <c r="V194" s="6"/>
      <c r="W194" s="1878"/>
      <c r="X194" s="1877"/>
      <c r="Y194" s="1877"/>
      <c r="Z194" s="1877"/>
      <c r="AA194" s="1877"/>
      <c r="AB194" s="1877"/>
      <c r="AC194" s="1877"/>
      <c r="AD194" s="1878"/>
      <c r="AE194" s="1877"/>
      <c r="AF194" s="1877"/>
      <c r="AG194" s="1877"/>
      <c r="AH194" s="1911"/>
      <c r="AI194" s="1912"/>
      <c r="AJ194" s="1881"/>
      <c r="AK194" s="1913"/>
      <c r="AM194" s="1393"/>
    </row>
    <row r="195" spans="1:39" s="1350" customFormat="1">
      <c r="A195" s="1"/>
      <c r="B195" s="1"/>
      <c r="C195" s="4"/>
      <c r="D195" s="3"/>
      <c r="E195" s="4"/>
      <c r="F195" s="4"/>
      <c r="G195" s="4"/>
      <c r="H195" s="6"/>
      <c r="I195" s="6"/>
      <c r="J195" s="6"/>
      <c r="K195" s="11"/>
      <c r="L195" s="5"/>
      <c r="M195" s="5"/>
      <c r="N195" s="5"/>
      <c r="O195" s="5"/>
      <c r="P195" s="7"/>
      <c r="Q195" s="5"/>
      <c r="R195" s="5"/>
      <c r="S195" s="6"/>
      <c r="T195" s="6"/>
      <c r="U195" s="1"/>
      <c r="V195" s="6"/>
      <c r="W195" s="1878"/>
      <c r="X195" s="1877"/>
      <c r="Y195" s="1877"/>
      <c r="Z195" s="1877"/>
      <c r="AA195" s="1877"/>
      <c r="AB195" s="1877"/>
      <c r="AC195" s="1877"/>
      <c r="AD195" s="1878"/>
      <c r="AE195" s="1877"/>
      <c r="AF195" s="1877"/>
      <c r="AG195" s="1877"/>
      <c r="AH195" s="1911"/>
      <c r="AI195" s="1912"/>
      <c r="AJ195" s="1881"/>
      <c r="AK195" s="1913"/>
      <c r="AM195" s="1393"/>
    </row>
    <row r="196" spans="1:39" s="1350" customFormat="1">
      <c r="A196" s="1"/>
      <c r="B196" s="1"/>
      <c r="C196" s="4"/>
      <c r="D196" s="3"/>
      <c r="E196" s="4"/>
      <c r="F196" s="4"/>
      <c r="G196" s="4"/>
      <c r="H196" s="6"/>
      <c r="I196" s="6"/>
      <c r="J196" s="6"/>
      <c r="K196" s="11"/>
      <c r="L196" s="5"/>
      <c r="M196" s="5"/>
      <c r="N196" s="5"/>
      <c r="O196" s="5"/>
      <c r="P196" s="7"/>
      <c r="Q196" s="5"/>
      <c r="R196" s="5"/>
      <c r="S196" s="6"/>
      <c r="T196" s="6"/>
      <c r="U196" s="1"/>
      <c r="V196" s="6"/>
      <c r="W196" s="1878"/>
      <c r="X196" s="1877"/>
      <c r="Y196" s="1877"/>
      <c r="Z196" s="1877"/>
      <c r="AA196" s="1877"/>
      <c r="AB196" s="1877"/>
      <c r="AC196" s="1877"/>
      <c r="AD196" s="1878"/>
      <c r="AE196" s="1877"/>
      <c r="AF196" s="1877"/>
      <c r="AG196" s="1877"/>
      <c r="AH196" s="1911"/>
      <c r="AI196" s="1912"/>
      <c r="AJ196" s="1881"/>
      <c r="AK196" s="1913"/>
      <c r="AM196" s="1393"/>
    </row>
    <row r="197" spans="1:39" s="1350" customFormat="1">
      <c r="A197" s="1"/>
      <c r="B197" s="1"/>
      <c r="C197" s="4"/>
      <c r="D197" s="3"/>
      <c r="E197" s="4"/>
      <c r="F197" s="4"/>
      <c r="G197" s="4"/>
      <c r="H197" s="6"/>
      <c r="I197" s="6"/>
      <c r="J197" s="6"/>
      <c r="K197" s="11"/>
      <c r="L197" s="5"/>
      <c r="M197" s="5"/>
      <c r="N197" s="5"/>
      <c r="O197" s="5"/>
      <c r="P197" s="7"/>
      <c r="Q197" s="5"/>
      <c r="R197" s="5"/>
      <c r="S197" s="6"/>
      <c r="T197" s="6"/>
      <c r="U197" s="1"/>
      <c r="V197" s="6"/>
      <c r="W197" s="1878"/>
      <c r="X197" s="1877"/>
      <c r="Y197" s="1877"/>
      <c r="Z197" s="1877"/>
      <c r="AA197" s="1877"/>
      <c r="AB197" s="1877"/>
      <c r="AC197" s="1877"/>
      <c r="AD197" s="1878"/>
      <c r="AE197" s="1877"/>
      <c r="AF197" s="1877"/>
      <c r="AG197" s="1877"/>
      <c r="AH197" s="1911"/>
      <c r="AI197" s="1912"/>
      <c r="AJ197" s="1881"/>
      <c r="AK197" s="1913"/>
      <c r="AM197" s="1393"/>
    </row>
    <row r="198" spans="1:39" s="1350" customFormat="1">
      <c r="A198" s="1"/>
      <c r="B198" s="1"/>
      <c r="C198" s="4"/>
      <c r="D198" s="3"/>
      <c r="E198" s="4"/>
      <c r="F198" s="4"/>
      <c r="G198" s="4"/>
      <c r="H198" s="6"/>
      <c r="I198" s="6"/>
      <c r="J198" s="6"/>
      <c r="K198" s="11"/>
      <c r="L198" s="5"/>
      <c r="M198" s="5"/>
      <c r="N198" s="5"/>
      <c r="O198" s="5"/>
      <c r="P198" s="7"/>
      <c r="Q198" s="5"/>
      <c r="R198" s="5"/>
      <c r="S198" s="6"/>
      <c r="T198" s="6"/>
      <c r="U198" s="1"/>
      <c r="V198" s="6"/>
      <c r="W198" s="1878"/>
      <c r="X198" s="1877"/>
      <c r="Y198" s="1877"/>
      <c r="Z198" s="1877"/>
      <c r="AA198" s="1877"/>
      <c r="AB198" s="1877"/>
      <c r="AC198" s="1877"/>
      <c r="AD198" s="1878"/>
      <c r="AE198" s="1877"/>
      <c r="AF198" s="1877"/>
      <c r="AG198" s="1877"/>
      <c r="AH198" s="1911"/>
      <c r="AI198" s="1912"/>
      <c r="AJ198" s="1881"/>
      <c r="AK198" s="1913"/>
      <c r="AM198" s="1393"/>
    </row>
    <row r="199" spans="1:39" s="1350" customFormat="1">
      <c r="A199" s="1"/>
      <c r="B199" s="1"/>
      <c r="C199" s="4"/>
      <c r="D199" s="3"/>
      <c r="E199" s="4"/>
      <c r="F199" s="4"/>
      <c r="G199" s="4"/>
      <c r="H199" s="6"/>
      <c r="I199" s="6"/>
      <c r="J199" s="6"/>
      <c r="K199" s="11"/>
      <c r="L199" s="5"/>
      <c r="M199" s="5"/>
      <c r="N199" s="5"/>
      <c r="O199" s="5"/>
      <c r="P199" s="7"/>
      <c r="Q199" s="5"/>
      <c r="R199" s="5"/>
      <c r="S199" s="6"/>
      <c r="T199" s="6"/>
      <c r="U199" s="1"/>
      <c r="V199" s="6"/>
      <c r="W199" s="1878"/>
      <c r="X199" s="1877"/>
      <c r="Y199" s="1877"/>
      <c r="Z199" s="1877"/>
      <c r="AA199" s="1877"/>
      <c r="AB199" s="1877"/>
      <c r="AC199" s="1877"/>
      <c r="AD199" s="1878"/>
      <c r="AE199" s="1877"/>
      <c r="AF199" s="1877"/>
      <c r="AG199" s="1877"/>
      <c r="AH199" s="1911"/>
      <c r="AI199" s="1912"/>
      <c r="AJ199" s="1881"/>
      <c r="AK199" s="1913"/>
      <c r="AM199" s="1393"/>
    </row>
    <row r="200" spans="1:39" s="1350" customFormat="1">
      <c r="A200" s="1"/>
      <c r="B200" s="1"/>
      <c r="C200" s="4"/>
      <c r="D200" s="3"/>
      <c r="E200" s="4"/>
      <c r="F200" s="4"/>
      <c r="G200" s="4"/>
      <c r="H200" s="6"/>
      <c r="I200" s="6"/>
      <c r="J200" s="6"/>
      <c r="K200" s="11"/>
      <c r="L200" s="5"/>
      <c r="M200" s="5"/>
      <c r="N200" s="5"/>
      <c r="O200" s="5"/>
      <c r="P200" s="7"/>
      <c r="Q200" s="5"/>
      <c r="R200" s="5"/>
      <c r="S200" s="6"/>
      <c r="T200" s="6"/>
      <c r="U200" s="1"/>
      <c r="V200" s="6"/>
      <c r="W200" s="1878"/>
      <c r="X200" s="1877"/>
      <c r="Y200" s="1877"/>
      <c r="Z200" s="1877"/>
      <c r="AA200" s="1877"/>
      <c r="AB200" s="1877"/>
      <c r="AC200" s="1877"/>
      <c r="AD200" s="1878"/>
      <c r="AE200" s="1877"/>
      <c r="AF200" s="1877"/>
      <c r="AG200" s="1877"/>
      <c r="AH200" s="1911"/>
      <c r="AI200" s="1912"/>
      <c r="AJ200" s="1881"/>
      <c r="AK200" s="1913"/>
      <c r="AM200" s="1393"/>
    </row>
    <row r="201" spans="1:39" s="1350" customFormat="1">
      <c r="A201" s="1"/>
      <c r="B201" s="1"/>
      <c r="C201" s="4"/>
      <c r="D201" s="3"/>
      <c r="E201" s="4"/>
      <c r="F201" s="4"/>
      <c r="G201" s="4"/>
      <c r="H201" s="6"/>
      <c r="I201" s="6"/>
      <c r="J201" s="6"/>
      <c r="K201" s="11"/>
      <c r="L201" s="5"/>
      <c r="M201" s="5"/>
      <c r="N201" s="5"/>
      <c r="O201" s="5"/>
      <c r="P201" s="7"/>
      <c r="Q201" s="5"/>
      <c r="R201" s="5"/>
      <c r="S201" s="6"/>
      <c r="T201" s="6"/>
      <c r="U201" s="1"/>
      <c r="V201" s="6"/>
      <c r="W201" s="1878"/>
      <c r="X201" s="1877"/>
      <c r="Y201" s="1877"/>
      <c r="Z201" s="1877"/>
      <c r="AA201" s="1877"/>
      <c r="AB201" s="1877"/>
      <c r="AC201" s="1877"/>
      <c r="AD201" s="1878"/>
      <c r="AE201" s="1877"/>
      <c r="AF201" s="1877"/>
      <c r="AG201" s="1877"/>
      <c r="AH201" s="1911"/>
      <c r="AI201" s="1912"/>
      <c r="AJ201" s="1881"/>
      <c r="AK201" s="1913"/>
      <c r="AM201" s="1393"/>
    </row>
    <row r="202" spans="1:39" s="1350" customFormat="1">
      <c r="A202" s="1"/>
      <c r="B202" s="1"/>
      <c r="C202" s="4"/>
      <c r="D202" s="3"/>
      <c r="E202" s="4"/>
      <c r="F202" s="4"/>
      <c r="G202" s="4"/>
      <c r="H202" s="6"/>
      <c r="I202" s="6"/>
      <c r="J202" s="6"/>
      <c r="K202" s="11"/>
      <c r="L202" s="5"/>
      <c r="M202" s="5"/>
      <c r="N202" s="5"/>
      <c r="O202" s="5"/>
      <c r="P202" s="7"/>
      <c r="Q202" s="5"/>
      <c r="R202" s="5"/>
      <c r="S202" s="6"/>
      <c r="T202" s="6"/>
      <c r="U202" s="1"/>
      <c r="V202" s="6"/>
      <c r="W202" s="1878"/>
      <c r="X202" s="1877"/>
      <c r="Y202" s="1877"/>
      <c r="Z202" s="1877"/>
      <c r="AA202" s="1877"/>
      <c r="AB202" s="1877"/>
      <c r="AC202" s="1877"/>
      <c r="AD202" s="1878"/>
      <c r="AE202" s="1877"/>
      <c r="AF202" s="1877"/>
      <c r="AG202" s="1877"/>
      <c r="AH202" s="1911"/>
      <c r="AI202" s="1912"/>
      <c r="AJ202" s="1881"/>
      <c r="AK202" s="1913"/>
      <c r="AM202" s="1393"/>
    </row>
    <row r="203" spans="1:39" s="1350" customFormat="1">
      <c r="A203" s="1"/>
      <c r="B203" s="1"/>
      <c r="C203" s="4"/>
      <c r="D203" s="3"/>
      <c r="E203" s="4"/>
      <c r="F203" s="4"/>
      <c r="G203" s="4"/>
      <c r="H203" s="6"/>
      <c r="I203" s="6"/>
      <c r="J203" s="6"/>
      <c r="K203" s="11"/>
      <c r="L203" s="5"/>
      <c r="M203" s="5"/>
      <c r="N203" s="5"/>
      <c r="O203" s="5"/>
      <c r="P203" s="7"/>
      <c r="Q203" s="5"/>
      <c r="R203" s="5"/>
      <c r="S203" s="6"/>
      <c r="T203" s="6"/>
      <c r="U203" s="1"/>
      <c r="V203" s="6"/>
      <c r="W203" s="1878"/>
      <c r="X203" s="1877"/>
      <c r="Y203" s="1877"/>
      <c r="Z203" s="1877"/>
      <c r="AA203" s="1877"/>
      <c r="AB203" s="1877"/>
      <c r="AC203" s="1877"/>
      <c r="AD203" s="1878"/>
      <c r="AE203" s="1877"/>
      <c r="AF203" s="1877"/>
      <c r="AG203" s="1877"/>
      <c r="AH203" s="1911"/>
      <c r="AI203" s="1912"/>
      <c r="AJ203" s="1881"/>
      <c r="AK203" s="1913"/>
      <c r="AM203" s="1393"/>
    </row>
    <row r="204" spans="1:39" s="1350" customFormat="1">
      <c r="A204" s="1"/>
      <c r="B204" s="1"/>
      <c r="C204" s="4"/>
      <c r="D204" s="3"/>
      <c r="E204" s="4"/>
      <c r="F204" s="4"/>
      <c r="G204" s="4"/>
      <c r="H204" s="6"/>
      <c r="I204" s="6"/>
      <c r="J204" s="6"/>
      <c r="K204" s="11"/>
      <c r="L204" s="5"/>
      <c r="M204" s="5"/>
      <c r="N204" s="5"/>
      <c r="O204" s="5"/>
      <c r="P204" s="7"/>
      <c r="Q204" s="5"/>
      <c r="R204" s="5"/>
      <c r="S204" s="6"/>
      <c r="T204" s="6"/>
      <c r="U204" s="1"/>
      <c r="V204" s="6"/>
      <c r="W204" s="1878"/>
      <c r="X204" s="1877"/>
      <c r="Y204" s="1877"/>
      <c r="Z204" s="1877"/>
      <c r="AA204" s="1877"/>
      <c r="AB204" s="1877"/>
      <c r="AC204" s="1877"/>
      <c r="AD204" s="1878"/>
      <c r="AE204" s="1877"/>
      <c r="AF204" s="1877"/>
      <c r="AG204" s="1877"/>
      <c r="AH204" s="1911"/>
      <c r="AI204" s="1912"/>
      <c r="AJ204" s="1881"/>
      <c r="AK204" s="1913"/>
      <c r="AM204" s="1393"/>
    </row>
    <row r="205" spans="1:39" s="1350" customFormat="1">
      <c r="A205" s="1"/>
      <c r="B205" s="1"/>
      <c r="C205" s="4"/>
      <c r="D205" s="3"/>
      <c r="E205" s="4"/>
      <c r="F205" s="4"/>
      <c r="G205" s="4"/>
      <c r="H205" s="6"/>
      <c r="I205" s="6"/>
      <c r="J205" s="6"/>
      <c r="K205" s="11"/>
      <c r="L205" s="5"/>
      <c r="M205" s="5"/>
      <c r="N205" s="5"/>
      <c r="O205" s="5"/>
      <c r="P205" s="7"/>
      <c r="Q205" s="5"/>
      <c r="R205" s="5"/>
      <c r="S205" s="6"/>
      <c r="T205" s="6"/>
      <c r="U205" s="1"/>
      <c r="V205" s="6"/>
      <c r="W205" s="1878"/>
      <c r="X205" s="1877"/>
      <c r="Y205" s="1877"/>
      <c r="Z205" s="1877"/>
      <c r="AA205" s="1877"/>
      <c r="AB205" s="1877"/>
      <c r="AC205" s="1877"/>
      <c r="AD205" s="1878"/>
      <c r="AE205" s="1877"/>
      <c r="AF205" s="1877"/>
      <c r="AG205" s="1877"/>
      <c r="AH205" s="1911"/>
      <c r="AI205" s="1912"/>
      <c r="AJ205" s="1881"/>
      <c r="AK205" s="1913"/>
      <c r="AM205" s="1393"/>
    </row>
    <row r="206" spans="1:39" s="1350" customFormat="1">
      <c r="A206" s="1"/>
      <c r="B206" s="1"/>
      <c r="C206" s="4"/>
      <c r="D206" s="3"/>
      <c r="E206" s="4"/>
      <c r="F206" s="4"/>
      <c r="G206" s="4"/>
      <c r="H206" s="6"/>
      <c r="I206" s="6"/>
      <c r="J206" s="6"/>
      <c r="K206" s="11"/>
      <c r="L206" s="5"/>
      <c r="M206" s="5"/>
      <c r="N206" s="5"/>
      <c r="O206" s="5"/>
      <c r="P206" s="7"/>
      <c r="Q206" s="5"/>
      <c r="R206" s="5"/>
      <c r="S206" s="6"/>
      <c r="T206" s="6"/>
      <c r="U206" s="1"/>
      <c r="V206" s="6"/>
      <c r="W206" s="1878"/>
      <c r="X206" s="1877"/>
      <c r="Y206" s="1877"/>
      <c r="Z206" s="1877"/>
      <c r="AA206" s="1877"/>
      <c r="AB206" s="1877"/>
      <c r="AC206" s="1877"/>
      <c r="AD206" s="1878"/>
      <c r="AE206" s="1877"/>
      <c r="AF206" s="1877"/>
      <c r="AG206" s="1877"/>
      <c r="AH206" s="1911"/>
      <c r="AI206" s="1912"/>
      <c r="AJ206" s="1881"/>
      <c r="AK206" s="1913"/>
      <c r="AM206" s="1393"/>
    </row>
    <row r="207" spans="1:39" s="1350" customFormat="1">
      <c r="A207" s="1"/>
      <c r="B207" s="1"/>
      <c r="C207" s="4"/>
      <c r="D207" s="3"/>
      <c r="E207" s="4"/>
      <c r="F207" s="4"/>
      <c r="G207" s="4"/>
      <c r="H207" s="6"/>
      <c r="I207" s="6"/>
      <c r="J207" s="6"/>
      <c r="K207" s="11"/>
      <c r="L207" s="5"/>
      <c r="M207" s="5"/>
      <c r="N207" s="5"/>
      <c r="O207" s="5"/>
      <c r="P207" s="7"/>
      <c r="Q207" s="5"/>
      <c r="R207" s="5"/>
      <c r="S207" s="6"/>
      <c r="T207" s="6"/>
      <c r="U207" s="1"/>
      <c r="V207" s="6"/>
      <c r="W207" s="1878"/>
      <c r="X207" s="1877"/>
      <c r="Y207" s="1877"/>
      <c r="Z207" s="1877"/>
      <c r="AA207" s="1877"/>
      <c r="AB207" s="1877"/>
      <c r="AC207" s="1877"/>
      <c r="AD207" s="1878"/>
      <c r="AE207" s="1877"/>
      <c r="AF207" s="1877"/>
      <c r="AG207" s="1877"/>
      <c r="AH207" s="1911"/>
      <c r="AI207" s="1912"/>
      <c r="AJ207" s="1881"/>
      <c r="AK207" s="1913"/>
      <c r="AM207" s="1393"/>
    </row>
    <row r="208" spans="1:39" s="1350" customFormat="1">
      <c r="A208" s="1"/>
      <c r="B208" s="1"/>
      <c r="C208" s="4"/>
      <c r="D208" s="3"/>
      <c r="E208" s="4"/>
      <c r="F208" s="4"/>
      <c r="G208" s="4"/>
      <c r="H208" s="6"/>
      <c r="I208" s="6"/>
      <c r="J208" s="6"/>
      <c r="K208" s="11"/>
      <c r="L208" s="5"/>
      <c r="M208" s="5"/>
      <c r="N208" s="5"/>
      <c r="O208" s="5"/>
      <c r="P208" s="7"/>
      <c r="Q208" s="5"/>
      <c r="R208" s="5"/>
      <c r="S208" s="6"/>
      <c r="T208" s="6"/>
      <c r="U208" s="1"/>
      <c r="V208" s="6"/>
      <c r="W208" s="1878"/>
      <c r="X208" s="1877"/>
      <c r="Y208" s="1877"/>
      <c r="Z208" s="1877"/>
      <c r="AA208" s="1877"/>
      <c r="AB208" s="1877"/>
      <c r="AC208" s="1877"/>
      <c r="AD208" s="1878"/>
      <c r="AE208" s="1877"/>
      <c r="AF208" s="1877"/>
      <c r="AG208" s="1877"/>
      <c r="AH208" s="1911"/>
      <c r="AI208" s="1912"/>
      <c r="AJ208" s="1881"/>
      <c r="AK208" s="1913"/>
      <c r="AM208" s="1393"/>
    </row>
    <row r="209" spans="1:39" s="1350" customFormat="1">
      <c r="A209" s="1"/>
      <c r="B209" s="1"/>
      <c r="C209" s="4"/>
      <c r="D209" s="3"/>
      <c r="E209" s="4"/>
      <c r="F209" s="4"/>
      <c r="G209" s="4"/>
      <c r="H209" s="6"/>
      <c r="I209" s="6"/>
      <c r="J209" s="6"/>
      <c r="K209" s="11"/>
      <c r="L209" s="5"/>
      <c r="M209" s="5"/>
      <c r="N209" s="5"/>
      <c r="O209" s="5"/>
      <c r="P209" s="7"/>
      <c r="Q209" s="5"/>
      <c r="R209" s="5"/>
      <c r="S209" s="6"/>
      <c r="T209" s="6"/>
      <c r="U209" s="1"/>
      <c r="V209" s="6"/>
      <c r="W209" s="1878"/>
      <c r="X209" s="1877"/>
      <c r="Y209" s="1877"/>
      <c r="Z209" s="1877"/>
      <c r="AA209" s="1877"/>
      <c r="AB209" s="1877"/>
      <c r="AC209" s="1877"/>
      <c r="AD209" s="1878"/>
      <c r="AE209" s="1877"/>
      <c r="AF209" s="1877"/>
      <c r="AG209" s="1877"/>
      <c r="AH209" s="1911"/>
      <c r="AI209" s="1912"/>
      <c r="AJ209" s="1881"/>
      <c r="AK209" s="1913"/>
      <c r="AM209" s="1393"/>
    </row>
    <row r="210" spans="1:39" s="1350" customFormat="1">
      <c r="A210" s="1"/>
      <c r="B210" s="1"/>
      <c r="C210" s="4"/>
      <c r="D210" s="3"/>
      <c r="E210" s="4"/>
      <c r="F210" s="4"/>
      <c r="G210" s="4"/>
      <c r="H210" s="6"/>
      <c r="I210" s="6"/>
      <c r="J210" s="6"/>
      <c r="K210" s="11"/>
      <c r="L210" s="5"/>
      <c r="M210" s="5"/>
      <c r="N210" s="5"/>
      <c r="O210" s="5"/>
      <c r="P210" s="7"/>
      <c r="Q210" s="5"/>
      <c r="R210" s="5"/>
      <c r="S210" s="6"/>
      <c r="T210" s="6"/>
      <c r="U210" s="1"/>
      <c r="V210" s="6"/>
      <c r="W210" s="1878"/>
      <c r="X210" s="1877"/>
      <c r="Y210" s="1877"/>
      <c r="Z210" s="1877"/>
      <c r="AA210" s="1877"/>
      <c r="AB210" s="1877"/>
      <c r="AC210" s="1877"/>
      <c r="AD210" s="1878"/>
      <c r="AE210" s="1877"/>
      <c r="AF210" s="1877"/>
      <c r="AG210" s="1877"/>
      <c r="AH210" s="1911"/>
      <c r="AI210" s="1912"/>
      <c r="AJ210" s="1881"/>
      <c r="AK210" s="1913"/>
      <c r="AM210" s="1393"/>
    </row>
    <row r="211" spans="1:39" s="1350" customFormat="1">
      <c r="A211" s="1"/>
      <c r="B211" s="1"/>
      <c r="C211" s="4"/>
      <c r="D211" s="3"/>
      <c r="E211" s="4"/>
      <c r="F211" s="4"/>
      <c r="G211" s="4"/>
      <c r="H211" s="6"/>
      <c r="I211" s="6"/>
      <c r="J211" s="6"/>
      <c r="K211" s="11"/>
      <c r="L211" s="5"/>
      <c r="M211" s="5"/>
      <c r="N211" s="5"/>
      <c r="O211" s="5"/>
      <c r="P211" s="7"/>
      <c r="Q211" s="5"/>
      <c r="R211" s="5"/>
      <c r="S211" s="6"/>
      <c r="T211" s="6"/>
      <c r="U211" s="1"/>
      <c r="V211" s="6"/>
      <c r="W211" s="1878"/>
      <c r="X211" s="1877"/>
      <c r="Y211" s="1877"/>
      <c r="Z211" s="1877"/>
      <c r="AA211" s="1877"/>
      <c r="AB211" s="1877"/>
      <c r="AC211" s="1877"/>
      <c r="AD211" s="1878"/>
      <c r="AE211" s="1877"/>
      <c r="AF211" s="1877"/>
      <c r="AG211" s="1877"/>
      <c r="AH211" s="1911"/>
      <c r="AI211" s="1912"/>
      <c r="AJ211" s="1881"/>
      <c r="AK211" s="1913"/>
      <c r="AM211" s="1393"/>
    </row>
    <row r="212" spans="1:39" s="1350" customFormat="1">
      <c r="A212" s="1"/>
      <c r="B212" s="1"/>
      <c r="C212" s="4"/>
      <c r="D212" s="3"/>
      <c r="E212" s="4"/>
      <c r="F212" s="4"/>
      <c r="G212" s="4"/>
      <c r="H212" s="6"/>
      <c r="I212" s="6"/>
      <c r="J212" s="6"/>
      <c r="K212" s="11"/>
      <c r="L212" s="5"/>
      <c r="M212" s="5"/>
      <c r="N212" s="5"/>
      <c r="O212" s="5"/>
      <c r="P212" s="7"/>
      <c r="Q212" s="5"/>
      <c r="R212" s="5"/>
      <c r="S212" s="6"/>
      <c r="T212" s="6"/>
      <c r="U212" s="1"/>
      <c r="V212" s="6"/>
      <c r="W212" s="1878"/>
      <c r="X212" s="1877"/>
      <c r="Y212" s="1877"/>
      <c r="Z212" s="1877"/>
      <c r="AA212" s="1877"/>
      <c r="AB212" s="1877"/>
      <c r="AC212" s="1877"/>
      <c r="AD212" s="1878"/>
      <c r="AE212" s="1877"/>
      <c r="AF212" s="1877"/>
      <c r="AG212" s="1877"/>
      <c r="AH212" s="1911"/>
      <c r="AI212" s="1912"/>
      <c r="AJ212" s="1881"/>
      <c r="AK212" s="1913"/>
      <c r="AM212" s="1393"/>
    </row>
    <row r="213" spans="1:39" s="1350" customFormat="1">
      <c r="A213" s="1"/>
      <c r="B213" s="1"/>
      <c r="C213" s="4"/>
      <c r="D213" s="3"/>
      <c r="E213" s="4"/>
      <c r="F213" s="4"/>
      <c r="G213" s="4"/>
      <c r="H213" s="6"/>
      <c r="I213" s="6"/>
      <c r="J213" s="6"/>
      <c r="K213" s="11"/>
      <c r="L213" s="5"/>
      <c r="M213" s="5"/>
      <c r="N213" s="5"/>
      <c r="O213" s="5"/>
      <c r="P213" s="7"/>
      <c r="Q213" s="5"/>
      <c r="R213" s="5"/>
      <c r="S213" s="6"/>
      <c r="T213" s="6"/>
      <c r="U213" s="1"/>
      <c r="V213" s="6"/>
      <c r="W213" s="1878"/>
      <c r="X213" s="1877"/>
      <c r="Y213" s="1877"/>
      <c r="Z213" s="1877"/>
      <c r="AA213" s="1877"/>
      <c r="AB213" s="1877"/>
      <c r="AC213" s="1877"/>
      <c r="AD213" s="1878"/>
      <c r="AE213" s="1877"/>
      <c r="AF213" s="1877"/>
      <c r="AG213" s="1877"/>
      <c r="AH213" s="1911"/>
      <c r="AI213" s="1912"/>
      <c r="AJ213" s="1881"/>
      <c r="AK213" s="1913"/>
      <c r="AM213" s="1393"/>
    </row>
    <row r="214" spans="1:39" s="1350" customFormat="1">
      <c r="A214" s="1"/>
      <c r="B214" s="1"/>
      <c r="C214" s="4"/>
      <c r="D214" s="3"/>
      <c r="E214" s="4"/>
      <c r="F214" s="4"/>
      <c r="G214" s="4"/>
      <c r="H214" s="6"/>
      <c r="I214" s="6"/>
      <c r="J214" s="6"/>
      <c r="K214" s="11"/>
      <c r="L214" s="5"/>
      <c r="M214" s="5"/>
      <c r="N214" s="5"/>
      <c r="O214" s="5"/>
      <c r="P214" s="7"/>
      <c r="Q214" s="5"/>
      <c r="R214" s="5"/>
      <c r="S214" s="6"/>
      <c r="T214" s="6"/>
      <c r="U214" s="1"/>
      <c r="V214" s="6"/>
      <c r="W214" s="1878"/>
      <c r="X214" s="1877"/>
      <c r="Y214" s="1877"/>
      <c r="Z214" s="1877"/>
      <c r="AA214" s="1877"/>
      <c r="AB214" s="1877"/>
      <c r="AC214" s="1877"/>
      <c r="AD214" s="1878"/>
      <c r="AE214" s="1877"/>
      <c r="AF214" s="1877"/>
      <c r="AG214" s="1877"/>
      <c r="AH214" s="1911"/>
      <c r="AI214" s="1912"/>
      <c r="AJ214" s="1881"/>
      <c r="AK214" s="1913"/>
      <c r="AM214" s="1393"/>
    </row>
    <row r="215" spans="1:39" s="1350" customFormat="1">
      <c r="A215" s="1"/>
      <c r="B215" s="1"/>
      <c r="C215" s="4"/>
      <c r="D215" s="3"/>
      <c r="E215" s="4"/>
      <c r="F215" s="4"/>
      <c r="G215" s="4"/>
      <c r="H215" s="6"/>
      <c r="I215" s="6"/>
      <c r="J215" s="6"/>
      <c r="K215" s="11"/>
      <c r="L215" s="5"/>
      <c r="M215" s="5"/>
      <c r="N215" s="5"/>
      <c r="O215" s="5"/>
      <c r="P215" s="7"/>
      <c r="Q215" s="5"/>
      <c r="R215" s="5"/>
      <c r="S215" s="6"/>
      <c r="T215" s="6"/>
      <c r="U215" s="1"/>
      <c r="V215" s="6"/>
      <c r="W215" s="1878"/>
      <c r="X215" s="1877"/>
      <c r="Y215" s="1877"/>
      <c r="Z215" s="1877"/>
      <c r="AA215" s="1877"/>
      <c r="AB215" s="1877"/>
      <c r="AC215" s="1877"/>
      <c r="AD215" s="1878"/>
      <c r="AE215" s="1877"/>
      <c r="AF215" s="1877"/>
      <c r="AG215" s="1877"/>
      <c r="AH215" s="1911"/>
      <c r="AI215" s="1912"/>
      <c r="AJ215" s="1881"/>
      <c r="AK215" s="1913"/>
      <c r="AM215" s="1393"/>
    </row>
    <row r="216" spans="1:39" s="1350" customFormat="1">
      <c r="A216" s="1"/>
      <c r="B216" s="1"/>
      <c r="C216" s="4"/>
      <c r="D216" s="3"/>
      <c r="E216" s="4"/>
      <c r="F216" s="4"/>
      <c r="G216" s="4"/>
      <c r="H216" s="6"/>
      <c r="I216" s="6"/>
      <c r="J216" s="6"/>
      <c r="K216" s="11"/>
      <c r="L216" s="5"/>
      <c r="M216" s="5"/>
      <c r="N216" s="5"/>
      <c r="O216" s="5"/>
      <c r="P216" s="7"/>
      <c r="Q216" s="5"/>
      <c r="R216" s="5"/>
      <c r="S216" s="6"/>
      <c r="T216" s="6"/>
      <c r="U216" s="1"/>
      <c r="V216" s="6"/>
      <c r="W216" s="1878"/>
      <c r="X216" s="1877"/>
      <c r="Y216" s="1877"/>
      <c r="Z216" s="1877"/>
      <c r="AA216" s="1877"/>
      <c r="AB216" s="1877"/>
      <c r="AC216" s="1877"/>
      <c r="AD216" s="1878"/>
      <c r="AE216" s="1877"/>
      <c r="AF216" s="1877"/>
      <c r="AG216" s="1877"/>
      <c r="AH216" s="1911"/>
      <c r="AI216" s="1912"/>
      <c r="AJ216" s="1881"/>
      <c r="AK216" s="1913"/>
      <c r="AM216" s="1393"/>
    </row>
    <row r="217" spans="1:39" s="1350" customFormat="1">
      <c r="A217" s="1"/>
      <c r="B217" s="1"/>
      <c r="C217" s="4"/>
      <c r="D217" s="3"/>
      <c r="E217" s="4"/>
      <c r="F217" s="4"/>
      <c r="G217" s="4"/>
      <c r="H217" s="6"/>
      <c r="I217" s="6"/>
      <c r="J217" s="6"/>
      <c r="K217" s="11"/>
      <c r="L217" s="5"/>
      <c r="M217" s="5"/>
      <c r="N217" s="5"/>
      <c r="O217" s="5"/>
      <c r="P217" s="7"/>
      <c r="Q217" s="5"/>
      <c r="R217" s="5"/>
      <c r="S217" s="6"/>
      <c r="T217" s="6"/>
      <c r="U217" s="1"/>
      <c r="V217" s="6"/>
      <c r="W217" s="1878"/>
      <c r="X217" s="1877"/>
      <c r="Y217" s="1877"/>
      <c r="Z217" s="1877"/>
      <c r="AA217" s="1877"/>
      <c r="AB217" s="1877"/>
      <c r="AC217" s="1877"/>
      <c r="AD217" s="1878"/>
      <c r="AE217" s="1877"/>
      <c r="AF217" s="1877"/>
      <c r="AG217" s="1877"/>
      <c r="AH217" s="1911"/>
      <c r="AI217" s="1912"/>
      <c r="AJ217" s="1881"/>
      <c r="AK217" s="1913"/>
      <c r="AM217" s="1393"/>
    </row>
    <row r="218" spans="1:39" s="1350" customFormat="1">
      <c r="A218" s="1"/>
      <c r="B218" s="1"/>
      <c r="C218" s="4"/>
      <c r="D218" s="3"/>
      <c r="E218" s="4"/>
      <c r="F218" s="4"/>
      <c r="G218" s="4"/>
      <c r="H218" s="6"/>
      <c r="I218" s="6"/>
      <c r="J218" s="6"/>
      <c r="K218" s="11"/>
      <c r="L218" s="5"/>
      <c r="M218" s="5"/>
      <c r="N218" s="5"/>
      <c r="O218" s="5"/>
      <c r="P218" s="7"/>
      <c r="Q218" s="5"/>
      <c r="R218" s="5"/>
      <c r="S218" s="6"/>
      <c r="T218" s="6"/>
      <c r="U218" s="1"/>
      <c r="V218" s="6"/>
      <c r="W218" s="1878"/>
      <c r="X218" s="1877"/>
      <c r="Y218" s="1877"/>
      <c r="Z218" s="1877"/>
      <c r="AA218" s="1877"/>
      <c r="AB218" s="1877"/>
      <c r="AC218" s="1877"/>
      <c r="AD218" s="1878"/>
      <c r="AE218" s="1877"/>
      <c r="AF218" s="1877"/>
      <c r="AG218" s="1877"/>
      <c r="AH218" s="1911"/>
      <c r="AI218" s="1912"/>
      <c r="AJ218" s="1881"/>
      <c r="AK218" s="1913"/>
      <c r="AM218" s="1393"/>
    </row>
    <row r="219" spans="1:39" s="1350" customFormat="1">
      <c r="A219" s="1"/>
      <c r="B219" s="1"/>
      <c r="C219" s="4"/>
      <c r="D219" s="3"/>
      <c r="E219" s="4"/>
      <c r="F219" s="4"/>
      <c r="G219" s="4"/>
      <c r="H219" s="6"/>
      <c r="I219" s="6"/>
      <c r="J219" s="6"/>
      <c r="K219" s="11"/>
      <c r="L219" s="5"/>
      <c r="M219" s="5"/>
      <c r="N219" s="5"/>
      <c r="O219" s="5"/>
      <c r="P219" s="7"/>
      <c r="Q219" s="5"/>
      <c r="R219" s="5"/>
      <c r="S219" s="6"/>
      <c r="T219" s="6"/>
      <c r="U219" s="1"/>
      <c r="V219" s="6"/>
      <c r="W219" s="1878"/>
      <c r="X219" s="1877"/>
      <c r="Y219" s="1877"/>
      <c r="Z219" s="1877"/>
      <c r="AA219" s="1877"/>
      <c r="AB219" s="1877"/>
      <c r="AC219" s="1877"/>
      <c r="AD219" s="1878"/>
      <c r="AE219" s="1877"/>
      <c r="AF219" s="1877"/>
      <c r="AG219" s="1877"/>
      <c r="AH219" s="1911"/>
      <c r="AI219" s="1912"/>
      <c r="AJ219" s="1881"/>
      <c r="AK219" s="1913"/>
      <c r="AM219" s="1393"/>
    </row>
    <row r="220" spans="1:39" s="1350" customFormat="1">
      <c r="A220" s="1"/>
      <c r="B220" s="1"/>
      <c r="C220" s="4"/>
      <c r="D220" s="3"/>
      <c r="E220" s="4"/>
      <c r="F220" s="4"/>
      <c r="G220" s="4"/>
      <c r="H220" s="6"/>
      <c r="I220" s="6"/>
      <c r="J220" s="6"/>
      <c r="K220" s="11"/>
      <c r="L220" s="5"/>
      <c r="M220" s="5"/>
      <c r="N220" s="5"/>
      <c r="O220" s="5"/>
      <c r="P220" s="7"/>
      <c r="Q220" s="5"/>
      <c r="R220" s="5"/>
      <c r="S220" s="6"/>
      <c r="T220" s="6"/>
      <c r="U220" s="1"/>
      <c r="V220" s="6"/>
      <c r="W220" s="1878"/>
      <c r="X220" s="1877"/>
      <c r="Y220" s="1877"/>
      <c r="Z220" s="1877"/>
      <c r="AA220" s="1877"/>
      <c r="AB220" s="1877"/>
      <c r="AC220" s="1877"/>
      <c r="AD220" s="1878"/>
      <c r="AE220" s="1877"/>
      <c r="AF220" s="1877"/>
      <c r="AG220" s="1877"/>
      <c r="AH220" s="1911"/>
      <c r="AI220" s="1912"/>
      <c r="AJ220" s="1881"/>
      <c r="AK220" s="1913"/>
      <c r="AM220" s="1393"/>
    </row>
    <row r="221" spans="1:39" s="1350" customFormat="1">
      <c r="A221" s="1"/>
      <c r="B221" s="1"/>
      <c r="C221" s="4"/>
      <c r="D221" s="3"/>
      <c r="E221" s="4"/>
      <c r="F221" s="4"/>
      <c r="G221" s="4"/>
      <c r="H221" s="6"/>
      <c r="I221" s="6"/>
      <c r="J221" s="6"/>
      <c r="K221" s="11"/>
      <c r="L221" s="5"/>
      <c r="M221" s="5"/>
      <c r="N221" s="5"/>
      <c r="O221" s="5"/>
      <c r="P221" s="7"/>
      <c r="Q221" s="5"/>
      <c r="R221" s="5"/>
      <c r="S221" s="6"/>
      <c r="T221" s="6"/>
      <c r="U221" s="1"/>
      <c r="V221" s="6"/>
      <c r="W221" s="1878"/>
      <c r="X221" s="1877"/>
      <c r="Y221" s="1877"/>
      <c r="Z221" s="1877"/>
      <c r="AA221" s="1877"/>
      <c r="AB221" s="1877"/>
      <c r="AC221" s="1877"/>
      <c r="AD221" s="1878"/>
      <c r="AE221" s="1877"/>
      <c r="AF221" s="1877"/>
      <c r="AG221" s="1877"/>
      <c r="AH221" s="1911"/>
      <c r="AI221" s="1912"/>
      <c r="AJ221" s="1881"/>
      <c r="AK221" s="1913"/>
      <c r="AM221" s="1393"/>
    </row>
    <row r="222" spans="1:39" s="1350" customFormat="1">
      <c r="A222" s="1"/>
      <c r="B222" s="1"/>
      <c r="C222" s="4"/>
      <c r="D222" s="3"/>
      <c r="E222" s="4"/>
      <c r="F222" s="4"/>
      <c r="G222" s="4"/>
      <c r="H222" s="6"/>
      <c r="I222" s="6"/>
      <c r="J222" s="6"/>
      <c r="K222" s="11"/>
      <c r="L222" s="5"/>
      <c r="M222" s="5"/>
      <c r="N222" s="5"/>
      <c r="O222" s="5"/>
      <c r="P222" s="7"/>
      <c r="Q222" s="5"/>
      <c r="R222" s="5"/>
      <c r="S222" s="6"/>
      <c r="T222" s="6"/>
      <c r="U222" s="1"/>
      <c r="V222" s="6"/>
      <c r="W222" s="1878"/>
      <c r="X222" s="1877"/>
      <c r="Y222" s="1877"/>
      <c r="Z222" s="1877"/>
      <c r="AA222" s="1877"/>
      <c r="AB222" s="1877"/>
      <c r="AC222" s="1877"/>
      <c r="AD222" s="1878"/>
      <c r="AE222" s="1877"/>
      <c r="AF222" s="1877"/>
      <c r="AG222" s="1877"/>
      <c r="AH222" s="1911"/>
      <c r="AI222" s="1912"/>
      <c r="AJ222" s="1881"/>
      <c r="AK222" s="1913"/>
      <c r="AM222" s="1393"/>
    </row>
    <row r="223" spans="1:39" s="1350" customFormat="1">
      <c r="A223" s="1"/>
      <c r="B223" s="1"/>
      <c r="C223" s="4"/>
      <c r="D223" s="3"/>
      <c r="E223" s="4"/>
      <c r="F223" s="4"/>
      <c r="G223" s="4"/>
      <c r="H223" s="6"/>
      <c r="I223" s="6"/>
      <c r="J223" s="6"/>
      <c r="K223" s="11"/>
      <c r="L223" s="5"/>
      <c r="M223" s="5"/>
      <c r="N223" s="5"/>
      <c r="O223" s="5"/>
      <c r="P223" s="7"/>
      <c r="Q223" s="5"/>
      <c r="R223" s="5"/>
      <c r="S223" s="6"/>
      <c r="T223" s="6"/>
      <c r="U223" s="1"/>
      <c r="V223" s="6"/>
      <c r="W223" s="1878"/>
      <c r="X223" s="1877"/>
      <c r="Y223" s="1877"/>
      <c r="Z223" s="1877"/>
      <c r="AA223" s="1877"/>
      <c r="AB223" s="1877"/>
      <c r="AC223" s="1877"/>
      <c r="AD223" s="1878"/>
      <c r="AE223" s="1877"/>
      <c r="AF223" s="1877"/>
      <c r="AG223" s="1877"/>
      <c r="AH223" s="1911"/>
      <c r="AI223" s="1912"/>
      <c r="AJ223" s="1881"/>
      <c r="AK223" s="1913"/>
      <c r="AM223" s="1393"/>
    </row>
    <row r="224" spans="1:39" s="1350" customFormat="1">
      <c r="A224" s="1"/>
      <c r="B224" s="1"/>
      <c r="C224" s="4"/>
      <c r="D224" s="3"/>
      <c r="E224" s="4"/>
      <c r="F224" s="4"/>
      <c r="G224" s="4"/>
      <c r="H224" s="6"/>
      <c r="I224" s="6"/>
      <c r="J224" s="6"/>
      <c r="K224" s="11"/>
      <c r="L224" s="5"/>
      <c r="M224" s="5"/>
      <c r="N224" s="5"/>
      <c r="O224" s="5"/>
      <c r="P224" s="7"/>
      <c r="Q224" s="5"/>
      <c r="R224" s="5"/>
      <c r="S224" s="6"/>
      <c r="T224" s="6"/>
      <c r="U224" s="1"/>
      <c r="V224" s="6"/>
      <c r="W224" s="1878"/>
      <c r="X224" s="1877"/>
      <c r="Y224" s="1877"/>
      <c r="Z224" s="1877"/>
      <c r="AA224" s="1877"/>
      <c r="AB224" s="1877"/>
      <c r="AC224" s="1877"/>
      <c r="AD224" s="1878"/>
      <c r="AE224" s="1877"/>
      <c r="AF224" s="1877"/>
      <c r="AG224" s="1877"/>
      <c r="AH224" s="1911"/>
      <c r="AI224" s="1912"/>
      <c r="AJ224" s="1881"/>
      <c r="AK224" s="1913"/>
      <c r="AM224" s="1393"/>
    </row>
    <row r="225" spans="1:39" s="1350" customFormat="1">
      <c r="A225" s="1"/>
      <c r="B225" s="1"/>
      <c r="C225" s="4"/>
      <c r="D225" s="3"/>
      <c r="E225" s="4"/>
      <c r="F225" s="4"/>
      <c r="G225" s="4"/>
      <c r="H225" s="6"/>
      <c r="I225" s="6"/>
      <c r="J225" s="6"/>
      <c r="K225" s="11"/>
      <c r="L225" s="5"/>
      <c r="M225" s="5"/>
      <c r="N225" s="5"/>
      <c r="O225" s="5"/>
      <c r="P225" s="7"/>
      <c r="Q225" s="5"/>
      <c r="R225" s="5"/>
      <c r="S225" s="6"/>
      <c r="T225" s="6"/>
      <c r="U225" s="1"/>
      <c r="V225" s="6"/>
      <c r="W225" s="1878"/>
      <c r="X225" s="1877"/>
      <c r="Y225" s="1877"/>
      <c r="Z225" s="1877"/>
      <c r="AA225" s="1877"/>
      <c r="AB225" s="1877"/>
      <c r="AC225" s="1877"/>
      <c r="AD225" s="1878"/>
      <c r="AE225" s="1877"/>
      <c r="AF225" s="1877"/>
      <c r="AG225" s="1877"/>
      <c r="AH225" s="1911"/>
      <c r="AI225" s="1912"/>
      <c r="AJ225" s="1881"/>
      <c r="AK225" s="1913"/>
      <c r="AM225" s="1393"/>
    </row>
    <row r="226" spans="1:39" s="1350" customFormat="1">
      <c r="A226" s="1"/>
      <c r="B226" s="1"/>
      <c r="C226" s="4"/>
      <c r="D226" s="3"/>
      <c r="E226" s="4"/>
      <c r="F226" s="4"/>
      <c r="G226" s="4"/>
      <c r="H226" s="6"/>
      <c r="I226" s="6"/>
      <c r="J226" s="6"/>
      <c r="K226" s="11"/>
      <c r="L226" s="5"/>
      <c r="M226" s="5"/>
      <c r="N226" s="5"/>
      <c r="O226" s="5"/>
      <c r="P226" s="7"/>
      <c r="Q226" s="5"/>
      <c r="R226" s="5"/>
      <c r="S226" s="6"/>
      <c r="T226" s="6"/>
      <c r="U226" s="1"/>
      <c r="V226" s="6"/>
      <c r="W226" s="1878"/>
      <c r="X226" s="1877"/>
      <c r="Y226" s="1877"/>
      <c r="Z226" s="1877"/>
      <c r="AA226" s="1877"/>
      <c r="AB226" s="1877"/>
      <c r="AC226" s="1877"/>
      <c r="AD226" s="1878"/>
      <c r="AE226" s="1877"/>
      <c r="AF226" s="1877"/>
      <c r="AG226" s="1877"/>
      <c r="AH226" s="1911"/>
      <c r="AI226" s="1912"/>
      <c r="AJ226" s="1881"/>
      <c r="AK226" s="1913"/>
      <c r="AM226" s="1393"/>
    </row>
    <row r="227" spans="1:39" s="1350" customFormat="1">
      <c r="A227" s="1"/>
      <c r="B227" s="1"/>
      <c r="C227" s="4"/>
      <c r="D227" s="3"/>
      <c r="E227" s="4"/>
      <c r="F227" s="4"/>
      <c r="G227" s="4"/>
      <c r="H227" s="6"/>
      <c r="I227" s="6"/>
      <c r="J227" s="6"/>
      <c r="K227" s="11"/>
      <c r="L227" s="5"/>
      <c r="M227" s="5"/>
      <c r="N227" s="5"/>
      <c r="O227" s="5"/>
      <c r="P227" s="7"/>
      <c r="Q227" s="5"/>
      <c r="R227" s="5"/>
      <c r="S227" s="6"/>
      <c r="T227" s="6"/>
      <c r="U227" s="1"/>
      <c r="V227" s="6"/>
      <c r="W227" s="1878"/>
      <c r="X227" s="1877"/>
      <c r="Y227" s="1877"/>
      <c r="Z227" s="1877"/>
      <c r="AA227" s="1877"/>
      <c r="AB227" s="1877"/>
      <c r="AC227" s="1877"/>
      <c r="AD227" s="1878"/>
      <c r="AE227" s="1877"/>
      <c r="AF227" s="1877"/>
      <c r="AG227" s="1877"/>
      <c r="AH227" s="1911"/>
      <c r="AI227" s="1912"/>
      <c r="AJ227" s="1881"/>
      <c r="AK227" s="1913"/>
      <c r="AM227" s="1393"/>
    </row>
    <row r="228" spans="1:39" s="1350" customFormat="1">
      <c r="A228" s="1"/>
      <c r="B228" s="1"/>
      <c r="C228" s="4"/>
      <c r="D228" s="3"/>
      <c r="E228" s="4"/>
      <c r="F228" s="4"/>
      <c r="G228" s="4"/>
      <c r="H228" s="6"/>
      <c r="I228" s="6"/>
      <c r="J228" s="6"/>
      <c r="K228" s="11"/>
      <c r="L228" s="5"/>
      <c r="M228" s="5"/>
      <c r="N228" s="5"/>
      <c r="O228" s="5"/>
      <c r="P228" s="7"/>
      <c r="Q228" s="5"/>
      <c r="R228" s="5"/>
      <c r="S228" s="6"/>
      <c r="T228" s="6"/>
      <c r="U228" s="1"/>
      <c r="V228" s="6"/>
      <c r="W228" s="1878"/>
      <c r="X228" s="1877"/>
      <c r="Y228" s="1877"/>
      <c r="Z228" s="1877"/>
      <c r="AA228" s="1877"/>
      <c r="AB228" s="1877"/>
      <c r="AC228" s="1877"/>
      <c r="AD228" s="1878"/>
      <c r="AE228" s="1877"/>
      <c r="AF228" s="1877"/>
      <c r="AG228" s="1877"/>
      <c r="AH228" s="1911"/>
      <c r="AI228" s="1912"/>
      <c r="AJ228" s="1881"/>
      <c r="AK228" s="1913"/>
      <c r="AM228" s="1393"/>
    </row>
    <row r="229" spans="1:39" s="1350" customFormat="1">
      <c r="A229" s="1"/>
      <c r="B229" s="1"/>
      <c r="C229" s="4"/>
      <c r="D229" s="3"/>
      <c r="E229" s="4"/>
      <c r="F229" s="4"/>
      <c r="G229" s="4"/>
      <c r="H229" s="6"/>
      <c r="I229" s="6"/>
      <c r="J229" s="6"/>
      <c r="K229" s="11"/>
      <c r="L229" s="5"/>
      <c r="M229" s="5"/>
      <c r="N229" s="5"/>
      <c r="O229" s="5"/>
      <c r="P229" s="7"/>
      <c r="Q229" s="5"/>
      <c r="R229" s="5"/>
      <c r="S229" s="6"/>
      <c r="T229" s="6"/>
      <c r="U229" s="1"/>
      <c r="V229" s="6"/>
      <c r="W229" s="1878"/>
      <c r="X229" s="1877"/>
      <c r="Y229" s="1877"/>
      <c r="Z229" s="1877"/>
      <c r="AA229" s="1877"/>
      <c r="AB229" s="1877"/>
      <c r="AC229" s="1877"/>
      <c r="AD229" s="1878"/>
      <c r="AE229" s="1877"/>
      <c r="AF229" s="1877"/>
      <c r="AG229" s="1877"/>
      <c r="AH229" s="1911"/>
      <c r="AI229" s="1912"/>
      <c r="AJ229" s="1881"/>
      <c r="AK229" s="1913"/>
      <c r="AM229" s="1393"/>
    </row>
    <row r="230" spans="1:39" s="1350" customFormat="1">
      <c r="A230" s="1"/>
      <c r="B230" s="1"/>
      <c r="C230" s="4"/>
      <c r="D230" s="3"/>
      <c r="E230" s="4"/>
      <c r="F230" s="4"/>
      <c r="G230" s="4"/>
      <c r="H230" s="6"/>
      <c r="I230" s="6"/>
      <c r="J230" s="6"/>
      <c r="K230" s="11"/>
      <c r="L230" s="5"/>
      <c r="M230" s="5"/>
      <c r="N230" s="5"/>
      <c r="O230" s="5"/>
      <c r="P230" s="7"/>
      <c r="Q230" s="5"/>
      <c r="R230" s="5"/>
      <c r="S230" s="6"/>
      <c r="T230" s="6"/>
      <c r="U230" s="1"/>
      <c r="V230" s="6"/>
      <c r="W230" s="1878"/>
      <c r="X230" s="1877"/>
      <c r="Y230" s="1877"/>
      <c r="Z230" s="1877"/>
      <c r="AA230" s="1877"/>
      <c r="AB230" s="1877"/>
      <c r="AC230" s="1877"/>
      <c r="AD230" s="1878"/>
      <c r="AE230" s="1877"/>
      <c r="AF230" s="1877"/>
      <c r="AG230" s="1877"/>
      <c r="AH230" s="1911"/>
      <c r="AI230" s="1912"/>
      <c r="AJ230" s="1881"/>
      <c r="AK230" s="1913"/>
      <c r="AM230" s="1393"/>
    </row>
    <row r="231" spans="1:39" s="1350" customFormat="1">
      <c r="A231" s="1"/>
      <c r="B231" s="1"/>
      <c r="C231" s="4"/>
      <c r="D231" s="3"/>
      <c r="E231" s="4"/>
      <c r="F231" s="4"/>
      <c r="G231" s="4"/>
      <c r="H231" s="6"/>
      <c r="I231" s="6"/>
      <c r="J231" s="6"/>
      <c r="K231" s="11"/>
      <c r="L231" s="5"/>
      <c r="M231" s="5"/>
      <c r="N231" s="5"/>
      <c r="O231" s="5"/>
      <c r="P231" s="7"/>
      <c r="Q231" s="5"/>
      <c r="R231" s="5"/>
      <c r="S231" s="6"/>
      <c r="T231" s="6"/>
      <c r="U231" s="1"/>
      <c r="V231" s="6"/>
      <c r="W231" s="1878"/>
      <c r="X231" s="1877"/>
      <c r="Y231" s="1877"/>
      <c r="Z231" s="1877"/>
      <c r="AA231" s="1877"/>
      <c r="AB231" s="1877"/>
      <c r="AC231" s="1877"/>
      <c r="AD231" s="1878"/>
      <c r="AE231" s="1877"/>
      <c r="AF231" s="1877"/>
      <c r="AG231" s="1877"/>
      <c r="AH231" s="1911"/>
      <c r="AI231" s="1912"/>
      <c r="AJ231" s="1881"/>
      <c r="AK231" s="1913"/>
      <c r="AM231" s="1393"/>
    </row>
    <row r="232" spans="1:39" s="1350" customFormat="1">
      <c r="A232" s="1"/>
      <c r="B232" s="1"/>
      <c r="C232" s="4"/>
      <c r="D232" s="3"/>
      <c r="E232" s="4"/>
      <c r="F232" s="4"/>
      <c r="G232" s="4"/>
      <c r="H232" s="6"/>
      <c r="I232" s="6"/>
      <c r="J232" s="6"/>
      <c r="K232" s="11"/>
      <c r="L232" s="5"/>
      <c r="M232" s="5"/>
      <c r="N232" s="5"/>
      <c r="O232" s="5"/>
      <c r="P232" s="7"/>
      <c r="Q232" s="5"/>
      <c r="R232" s="5"/>
      <c r="S232" s="6"/>
      <c r="T232" s="6"/>
      <c r="U232" s="1"/>
      <c r="V232" s="6"/>
      <c r="W232" s="1878"/>
      <c r="X232" s="1877"/>
      <c r="Y232" s="1877"/>
      <c r="Z232" s="1877"/>
      <c r="AA232" s="1877"/>
      <c r="AB232" s="1877"/>
      <c r="AC232" s="1877"/>
      <c r="AD232" s="1878"/>
      <c r="AE232" s="1877"/>
      <c r="AF232" s="1877"/>
      <c r="AG232" s="1877"/>
      <c r="AH232" s="1911"/>
      <c r="AI232" s="1912"/>
      <c r="AJ232" s="1881"/>
      <c r="AK232" s="1913"/>
      <c r="AM232" s="1393"/>
    </row>
    <row r="233" spans="1:39" s="1350" customFormat="1">
      <c r="A233" s="1"/>
      <c r="B233" s="1"/>
      <c r="C233" s="4"/>
      <c r="D233" s="3"/>
      <c r="E233" s="4"/>
      <c r="F233" s="4"/>
      <c r="G233" s="4"/>
      <c r="H233" s="6"/>
      <c r="I233" s="6"/>
      <c r="J233" s="6"/>
      <c r="K233" s="11"/>
      <c r="L233" s="5"/>
      <c r="M233" s="5"/>
      <c r="N233" s="5"/>
      <c r="O233" s="5"/>
      <c r="P233" s="7"/>
      <c r="Q233" s="5"/>
      <c r="R233" s="5"/>
      <c r="S233" s="6"/>
      <c r="T233" s="6"/>
      <c r="U233" s="1"/>
      <c r="V233" s="6"/>
      <c r="W233" s="1878"/>
      <c r="X233" s="1877"/>
      <c r="Y233" s="1877"/>
      <c r="Z233" s="1877"/>
      <c r="AA233" s="1877"/>
      <c r="AB233" s="1877"/>
      <c r="AC233" s="1877"/>
      <c r="AD233" s="1878"/>
      <c r="AE233" s="1877"/>
      <c r="AF233" s="1877"/>
      <c r="AG233" s="1877"/>
      <c r="AH233" s="1911"/>
      <c r="AI233" s="1912"/>
      <c r="AJ233" s="1881"/>
      <c r="AK233" s="1913"/>
      <c r="AM233" s="1393"/>
    </row>
    <row r="234" spans="1:39" s="1350" customFormat="1">
      <c r="A234" s="1"/>
      <c r="B234" s="1"/>
      <c r="C234" s="4"/>
      <c r="D234" s="3"/>
      <c r="E234" s="4"/>
      <c r="F234" s="4"/>
      <c r="G234" s="4"/>
      <c r="H234" s="6"/>
      <c r="I234" s="6"/>
      <c r="J234" s="6"/>
      <c r="K234" s="11"/>
      <c r="L234" s="5"/>
      <c r="M234" s="5"/>
      <c r="N234" s="5"/>
      <c r="O234" s="5"/>
      <c r="P234" s="7"/>
      <c r="Q234" s="5"/>
      <c r="R234" s="5"/>
      <c r="S234" s="6"/>
      <c r="T234" s="6"/>
      <c r="U234" s="1"/>
      <c r="V234" s="6"/>
      <c r="W234" s="1878"/>
      <c r="X234" s="1877"/>
      <c r="Y234" s="1877"/>
      <c r="Z234" s="1877"/>
      <c r="AA234" s="1877"/>
      <c r="AB234" s="1877"/>
      <c r="AC234" s="1877"/>
      <c r="AD234" s="1878"/>
      <c r="AE234" s="1877"/>
      <c r="AF234" s="1877"/>
      <c r="AG234" s="1877"/>
      <c r="AH234" s="1911"/>
      <c r="AI234" s="1912"/>
      <c r="AJ234" s="1881"/>
      <c r="AK234" s="1913"/>
      <c r="AM234" s="1393"/>
    </row>
    <row r="235" spans="1:39" s="1350" customFormat="1">
      <c r="A235" s="1"/>
      <c r="B235" s="1"/>
      <c r="C235" s="4"/>
      <c r="D235" s="3"/>
      <c r="E235" s="4"/>
      <c r="F235" s="4"/>
      <c r="G235" s="4"/>
      <c r="H235" s="6"/>
      <c r="I235" s="6"/>
      <c r="J235" s="6"/>
      <c r="K235" s="11"/>
      <c r="L235" s="5"/>
      <c r="M235" s="5"/>
      <c r="N235" s="5"/>
      <c r="O235" s="5"/>
      <c r="P235" s="7"/>
      <c r="Q235" s="5"/>
      <c r="R235" s="5"/>
      <c r="S235" s="6"/>
      <c r="T235" s="6"/>
      <c r="U235" s="1"/>
      <c r="V235" s="6"/>
      <c r="W235" s="1878"/>
      <c r="X235" s="1877"/>
      <c r="Y235" s="1877"/>
      <c r="Z235" s="1877"/>
      <c r="AA235" s="1877"/>
      <c r="AB235" s="1877"/>
      <c r="AC235" s="1877"/>
      <c r="AD235" s="1878"/>
      <c r="AE235" s="1877"/>
      <c r="AF235" s="1877"/>
      <c r="AG235" s="1877"/>
      <c r="AH235" s="1911"/>
      <c r="AI235" s="1912"/>
      <c r="AJ235" s="1881"/>
      <c r="AK235" s="1913"/>
      <c r="AM235" s="1393"/>
    </row>
    <row r="236" spans="1:39" s="1350" customFormat="1">
      <c r="A236" s="1"/>
      <c r="B236" s="1"/>
      <c r="C236" s="4"/>
      <c r="D236" s="3"/>
      <c r="E236" s="4"/>
      <c r="F236" s="4"/>
      <c r="G236" s="4"/>
      <c r="H236" s="6"/>
      <c r="I236" s="6"/>
      <c r="J236" s="6"/>
      <c r="K236" s="11"/>
      <c r="L236" s="5"/>
      <c r="M236" s="5"/>
      <c r="N236" s="5"/>
      <c r="O236" s="5"/>
      <c r="P236" s="7"/>
      <c r="Q236" s="5"/>
      <c r="R236" s="5"/>
      <c r="S236" s="6"/>
      <c r="T236" s="6"/>
      <c r="U236" s="1"/>
      <c r="V236" s="6"/>
      <c r="W236" s="1878"/>
      <c r="X236" s="1877"/>
      <c r="Y236" s="1877"/>
      <c r="Z236" s="1877"/>
      <c r="AA236" s="1877"/>
      <c r="AB236" s="1877"/>
      <c r="AC236" s="1877"/>
      <c r="AD236" s="1878"/>
      <c r="AE236" s="1877"/>
      <c r="AF236" s="1877"/>
      <c r="AG236" s="1877"/>
      <c r="AH236" s="1911"/>
      <c r="AI236" s="1912"/>
      <c r="AJ236" s="1881"/>
      <c r="AK236" s="1913"/>
      <c r="AM236" s="1393"/>
    </row>
    <row r="237" spans="1:39" s="1350" customFormat="1">
      <c r="A237" s="1"/>
      <c r="B237" s="1"/>
      <c r="C237" s="4"/>
      <c r="D237" s="3"/>
      <c r="E237" s="4"/>
      <c r="F237" s="4"/>
      <c r="G237" s="4"/>
      <c r="H237" s="6"/>
      <c r="I237" s="6"/>
      <c r="J237" s="6"/>
      <c r="K237" s="11"/>
      <c r="L237" s="5"/>
      <c r="M237" s="5"/>
      <c r="N237" s="5"/>
      <c r="O237" s="5"/>
      <c r="P237" s="7"/>
      <c r="Q237" s="5"/>
      <c r="R237" s="5"/>
      <c r="S237" s="6"/>
      <c r="T237" s="6"/>
      <c r="U237" s="1"/>
      <c r="V237" s="6"/>
      <c r="W237" s="1878"/>
      <c r="X237" s="1877"/>
      <c r="Y237" s="1877"/>
      <c r="Z237" s="1877"/>
      <c r="AA237" s="1877"/>
      <c r="AB237" s="1877"/>
      <c r="AC237" s="1877"/>
      <c r="AD237" s="1878"/>
      <c r="AE237" s="1877"/>
      <c r="AF237" s="1877"/>
      <c r="AG237" s="1877"/>
      <c r="AH237" s="1911"/>
      <c r="AI237" s="1912"/>
      <c r="AJ237" s="1881"/>
      <c r="AK237" s="1913"/>
      <c r="AM237" s="1393"/>
    </row>
    <row r="238" spans="1:39" s="1350" customFormat="1">
      <c r="A238" s="1"/>
      <c r="B238" s="1"/>
      <c r="C238" s="4"/>
      <c r="D238" s="3"/>
      <c r="E238" s="4"/>
      <c r="F238" s="4"/>
      <c r="G238" s="4"/>
      <c r="H238" s="6"/>
      <c r="I238" s="6"/>
      <c r="J238" s="6"/>
      <c r="K238" s="11"/>
      <c r="L238" s="5"/>
      <c r="M238" s="5"/>
      <c r="N238" s="5"/>
      <c r="O238" s="5"/>
      <c r="P238" s="7"/>
      <c r="Q238" s="5"/>
      <c r="R238" s="5"/>
      <c r="S238" s="6"/>
      <c r="T238" s="6"/>
      <c r="U238" s="1"/>
      <c r="V238" s="6"/>
      <c r="W238" s="1878"/>
      <c r="X238" s="1877"/>
      <c r="Y238" s="1877"/>
      <c r="Z238" s="1877"/>
      <c r="AA238" s="1877"/>
      <c r="AB238" s="1877"/>
      <c r="AC238" s="1877"/>
      <c r="AD238" s="1878"/>
      <c r="AE238" s="1877"/>
      <c r="AF238" s="1877"/>
      <c r="AG238" s="1877"/>
      <c r="AH238" s="1911"/>
      <c r="AI238" s="1912"/>
      <c r="AJ238" s="1881"/>
      <c r="AK238" s="1913"/>
      <c r="AM238" s="1393"/>
    </row>
    <row r="239" spans="1:39" s="1350" customFormat="1">
      <c r="A239" s="1"/>
      <c r="B239" s="1"/>
      <c r="C239" s="4"/>
      <c r="D239" s="3"/>
      <c r="E239" s="4"/>
      <c r="F239" s="4"/>
      <c r="G239" s="4"/>
      <c r="H239" s="6"/>
      <c r="I239" s="6"/>
      <c r="J239" s="6"/>
      <c r="K239" s="11"/>
      <c r="L239" s="5"/>
      <c r="M239" s="5"/>
      <c r="N239" s="5"/>
      <c r="O239" s="5"/>
      <c r="P239" s="7"/>
      <c r="Q239" s="5"/>
      <c r="R239" s="5"/>
      <c r="S239" s="6"/>
      <c r="T239" s="6"/>
      <c r="U239" s="1"/>
      <c r="V239" s="6"/>
      <c r="W239" s="1878"/>
      <c r="X239" s="1877"/>
      <c r="Y239" s="1877"/>
      <c r="Z239" s="1877"/>
      <c r="AA239" s="1877"/>
      <c r="AB239" s="1877"/>
      <c r="AC239" s="1877"/>
      <c r="AD239" s="1878"/>
      <c r="AE239" s="1877"/>
      <c r="AF239" s="1877"/>
      <c r="AG239" s="1877"/>
      <c r="AH239" s="1911"/>
      <c r="AI239" s="1912"/>
      <c r="AJ239" s="1881"/>
      <c r="AK239" s="1913"/>
      <c r="AM239" s="1393"/>
    </row>
    <row r="240" spans="1:39" s="1350" customFormat="1">
      <c r="A240" s="1"/>
      <c r="B240" s="1"/>
      <c r="C240" s="4"/>
      <c r="D240" s="3"/>
      <c r="E240" s="4"/>
      <c r="F240" s="4"/>
      <c r="G240" s="4"/>
      <c r="H240" s="6"/>
      <c r="I240" s="6"/>
      <c r="J240" s="6"/>
      <c r="K240" s="11"/>
      <c r="L240" s="5"/>
      <c r="M240" s="5"/>
      <c r="N240" s="5"/>
      <c r="O240" s="5"/>
      <c r="P240" s="7"/>
      <c r="Q240" s="5"/>
      <c r="R240" s="5"/>
      <c r="S240" s="6"/>
      <c r="T240" s="6"/>
      <c r="U240" s="1"/>
      <c r="V240" s="6"/>
      <c r="W240" s="1878"/>
      <c r="X240" s="1877"/>
      <c r="Y240" s="1877"/>
      <c r="Z240" s="1877"/>
      <c r="AA240" s="1877"/>
      <c r="AB240" s="1877"/>
      <c r="AC240" s="1877"/>
      <c r="AD240" s="1878"/>
      <c r="AE240" s="1877"/>
      <c r="AF240" s="1877"/>
      <c r="AG240" s="1877"/>
      <c r="AH240" s="1911"/>
      <c r="AI240" s="1912"/>
      <c r="AJ240" s="1881"/>
      <c r="AK240" s="1913"/>
      <c r="AM240" s="1393"/>
    </row>
    <row r="241" spans="1:39" s="1350" customFormat="1">
      <c r="A241" s="1"/>
      <c r="B241" s="1"/>
      <c r="C241" s="4"/>
      <c r="D241" s="3"/>
      <c r="E241" s="4"/>
      <c r="F241" s="4"/>
      <c r="G241" s="4"/>
      <c r="H241" s="6"/>
      <c r="I241" s="6"/>
      <c r="J241" s="6"/>
      <c r="K241" s="11"/>
      <c r="L241" s="5"/>
      <c r="M241" s="5"/>
      <c r="N241" s="5"/>
      <c r="O241" s="5"/>
      <c r="P241" s="7"/>
      <c r="Q241" s="5"/>
      <c r="R241" s="5"/>
      <c r="S241" s="6"/>
      <c r="T241" s="6"/>
      <c r="U241" s="1"/>
      <c r="V241" s="6"/>
      <c r="W241" s="1878"/>
      <c r="X241" s="1877"/>
      <c r="Y241" s="1877"/>
      <c r="Z241" s="1877"/>
      <c r="AA241" s="1877"/>
      <c r="AB241" s="1877"/>
      <c r="AC241" s="1877"/>
      <c r="AD241" s="1878"/>
      <c r="AE241" s="1877"/>
      <c r="AF241" s="1877"/>
      <c r="AG241" s="1877"/>
      <c r="AH241" s="1911"/>
      <c r="AI241" s="1912"/>
      <c r="AJ241" s="1881"/>
      <c r="AK241" s="1913"/>
      <c r="AM241" s="1393"/>
    </row>
    <row r="242" spans="1:39" s="1350" customFormat="1">
      <c r="A242" s="1"/>
      <c r="B242" s="1"/>
      <c r="C242" s="4"/>
      <c r="D242" s="3"/>
      <c r="E242" s="4"/>
      <c r="F242" s="4"/>
      <c r="G242" s="4"/>
      <c r="H242" s="6"/>
      <c r="I242" s="6"/>
      <c r="J242" s="6"/>
      <c r="K242" s="11"/>
      <c r="L242" s="5"/>
      <c r="M242" s="5"/>
      <c r="N242" s="5"/>
      <c r="O242" s="5"/>
      <c r="P242" s="7"/>
      <c r="Q242" s="5"/>
      <c r="R242" s="5"/>
      <c r="S242" s="6"/>
      <c r="T242" s="6"/>
      <c r="U242" s="1"/>
      <c r="V242" s="6"/>
      <c r="W242" s="1878"/>
      <c r="X242" s="1877"/>
      <c r="Y242" s="1877"/>
      <c r="Z242" s="1877"/>
      <c r="AA242" s="1877"/>
      <c r="AB242" s="1877"/>
      <c r="AC242" s="1877"/>
      <c r="AD242" s="1878"/>
      <c r="AE242" s="1877"/>
      <c r="AF242" s="1877"/>
      <c r="AG242" s="1877"/>
      <c r="AH242" s="1911"/>
      <c r="AI242" s="1912"/>
      <c r="AJ242" s="1881"/>
      <c r="AK242" s="1913"/>
      <c r="AM242" s="1393"/>
    </row>
    <row r="243" spans="1:39" s="1350" customFormat="1">
      <c r="A243" s="1"/>
      <c r="B243" s="1"/>
      <c r="C243" s="4"/>
      <c r="D243" s="3"/>
      <c r="E243" s="4"/>
      <c r="F243" s="4"/>
      <c r="G243" s="4"/>
      <c r="H243" s="6"/>
      <c r="I243" s="6"/>
      <c r="J243" s="6"/>
      <c r="K243" s="11"/>
      <c r="L243" s="5"/>
      <c r="M243" s="5"/>
      <c r="N243" s="5"/>
      <c r="O243" s="5"/>
      <c r="P243" s="7"/>
      <c r="Q243" s="5"/>
      <c r="R243" s="5"/>
      <c r="S243" s="6"/>
      <c r="T243" s="6"/>
      <c r="U243" s="1"/>
      <c r="V243" s="6"/>
      <c r="W243" s="1878"/>
      <c r="X243" s="1877"/>
      <c r="Y243" s="1877"/>
      <c r="Z243" s="1877"/>
      <c r="AA243" s="1877"/>
      <c r="AB243" s="1877"/>
      <c r="AC243" s="1877"/>
      <c r="AD243" s="1878"/>
      <c r="AE243" s="1877"/>
      <c r="AF243" s="1877"/>
      <c r="AG243" s="1877"/>
      <c r="AH243" s="1911"/>
      <c r="AI243" s="1912"/>
      <c r="AJ243" s="1881"/>
      <c r="AK243" s="1913"/>
      <c r="AM243" s="1393"/>
    </row>
    <row r="244" spans="1:39" s="1350" customFormat="1">
      <c r="A244" s="1"/>
      <c r="B244" s="1"/>
      <c r="C244" s="4"/>
      <c r="D244" s="3"/>
      <c r="E244" s="4"/>
      <c r="F244" s="4"/>
      <c r="G244" s="4"/>
      <c r="H244" s="6"/>
      <c r="I244" s="6"/>
      <c r="J244" s="6"/>
      <c r="K244" s="11"/>
      <c r="L244" s="5"/>
      <c r="M244" s="5"/>
      <c r="N244" s="5"/>
      <c r="O244" s="5"/>
      <c r="P244" s="7"/>
      <c r="Q244" s="5"/>
      <c r="R244" s="5"/>
      <c r="S244" s="6"/>
      <c r="T244" s="6"/>
      <c r="U244" s="1"/>
      <c r="V244" s="6"/>
      <c r="W244" s="1878"/>
      <c r="X244" s="1877"/>
      <c r="Y244" s="1877"/>
      <c r="Z244" s="1877"/>
      <c r="AA244" s="1877"/>
      <c r="AB244" s="1877"/>
      <c r="AC244" s="1877"/>
      <c r="AD244" s="1878"/>
      <c r="AE244" s="1877"/>
      <c r="AF244" s="1877"/>
      <c r="AG244" s="1877"/>
      <c r="AH244" s="1911"/>
      <c r="AI244" s="1912"/>
      <c r="AJ244" s="1881"/>
      <c r="AK244" s="1913"/>
      <c r="AM244" s="1393"/>
    </row>
    <row r="245" spans="1:39" s="1350" customFormat="1">
      <c r="A245" s="1"/>
      <c r="B245" s="1"/>
      <c r="C245" s="4"/>
      <c r="D245" s="3"/>
      <c r="E245" s="4"/>
      <c r="F245" s="4"/>
      <c r="G245" s="4"/>
      <c r="H245" s="6"/>
      <c r="I245" s="6"/>
      <c r="J245" s="6"/>
      <c r="K245" s="11"/>
      <c r="L245" s="5"/>
      <c r="M245" s="5"/>
      <c r="N245" s="5"/>
      <c r="O245" s="5"/>
      <c r="P245" s="7"/>
      <c r="Q245" s="5"/>
      <c r="R245" s="5"/>
      <c r="S245" s="6"/>
      <c r="T245" s="6"/>
      <c r="U245" s="1"/>
      <c r="V245" s="6"/>
      <c r="W245" s="1878"/>
      <c r="X245" s="1877"/>
      <c r="Y245" s="1877"/>
      <c r="Z245" s="1877"/>
      <c r="AA245" s="1877"/>
      <c r="AB245" s="1877"/>
      <c r="AC245" s="1877"/>
      <c r="AD245" s="1878"/>
      <c r="AE245" s="1877"/>
      <c r="AF245" s="1877"/>
      <c r="AG245" s="1877"/>
      <c r="AH245" s="1911"/>
      <c r="AI245" s="1912"/>
      <c r="AJ245" s="1881"/>
      <c r="AK245" s="1913"/>
      <c r="AM245" s="1393"/>
    </row>
    <row r="246" spans="1:39" s="1350" customFormat="1">
      <c r="A246" s="1"/>
      <c r="B246" s="1"/>
      <c r="C246" s="4"/>
      <c r="D246" s="3"/>
      <c r="E246" s="4"/>
      <c r="F246" s="4"/>
      <c r="G246" s="4"/>
      <c r="H246" s="6"/>
      <c r="I246" s="6"/>
      <c r="J246" s="6"/>
      <c r="K246" s="11"/>
      <c r="L246" s="5"/>
      <c r="M246" s="5"/>
      <c r="N246" s="5"/>
      <c r="O246" s="5"/>
      <c r="P246" s="7"/>
      <c r="Q246" s="5"/>
      <c r="R246" s="5"/>
      <c r="S246" s="6"/>
      <c r="T246" s="6"/>
      <c r="U246" s="1"/>
      <c r="V246" s="6"/>
      <c r="W246" s="1878"/>
      <c r="X246" s="1877"/>
      <c r="Y246" s="1877"/>
      <c r="Z246" s="1877"/>
      <c r="AA246" s="1877"/>
      <c r="AB246" s="1877"/>
      <c r="AC246" s="1877"/>
      <c r="AD246" s="1878"/>
      <c r="AE246" s="1877"/>
      <c r="AF246" s="1877"/>
      <c r="AG246" s="1877"/>
      <c r="AH246" s="1911"/>
      <c r="AI246" s="1912"/>
      <c r="AJ246" s="1881"/>
      <c r="AK246" s="1913"/>
      <c r="AM246" s="1393"/>
    </row>
    <row r="247" spans="1:39" s="1350" customFormat="1">
      <c r="A247" s="1"/>
      <c r="B247" s="1"/>
      <c r="C247" s="4"/>
      <c r="D247" s="3"/>
      <c r="E247" s="4"/>
      <c r="F247" s="4"/>
      <c r="G247" s="4"/>
      <c r="H247" s="6"/>
      <c r="I247" s="6"/>
      <c r="J247" s="6"/>
      <c r="K247" s="11"/>
      <c r="L247" s="5"/>
      <c r="M247" s="5"/>
      <c r="N247" s="5"/>
      <c r="O247" s="5"/>
      <c r="P247" s="7"/>
      <c r="Q247" s="5"/>
      <c r="R247" s="5"/>
      <c r="S247" s="6"/>
      <c r="T247" s="6"/>
      <c r="U247" s="1"/>
      <c r="V247" s="6"/>
      <c r="W247" s="1878"/>
      <c r="X247" s="1877"/>
      <c r="Y247" s="1877"/>
      <c r="Z247" s="1877"/>
      <c r="AA247" s="1877"/>
      <c r="AB247" s="1877"/>
      <c r="AC247" s="1877"/>
      <c r="AD247" s="1878"/>
      <c r="AE247" s="1877"/>
      <c r="AF247" s="1877"/>
      <c r="AG247" s="1877"/>
      <c r="AH247" s="1911"/>
      <c r="AI247" s="1912"/>
      <c r="AJ247" s="1881"/>
      <c r="AK247" s="1913"/>
      <c r="AM247" s="1393"/>
    </row>
    <row r="248" spans="1:39" s="1350" customFormat="1">
      <c r="A248" s="1"/>
      <c r="B248" s="1"/>
      <c r="C248" s="4"/>
      <c r="D248" s="3"/>
      <c r="E248" s="4"/>
      <c r="F248" s="4"/>
      <c r="G248" s="4"/>
      <c r="H248" s="6"/>
      <c r="I248" s="6"/>
      <c r="J248" s="6"/>
      <c r="K248" s="11"/>
      <c r="L248" s="5"/>
      <c r="M248" s="5"/>
      <c r="N248" s="5"/>
      <c r="O248" s="5"/>
      <c r="P248" s="7"/>
      <c r="Q248" s="5"/>
      <c r="R248" s="5"/>
      <c r="S248" s="6"/>
      <c r="T248" s="6"/>
      <c r="U248" s="1"/>
      <c r="V248" s="6"/>
      <c r="W248" s="1878"/>
      <c r="X248" s="1877"/>
      <c r="Y248" s="1877"/>
      <c r="Z248" s="1877"/>
      <c r="AA248" s="1877"/>
      <c r="AB248" s="1877"/>
      <c r="AC248" s="1877"/>
      <c r="AD248" s="1878"/>
      <c r="AE248" s="1877"/>
      <c r="AF248" s="1877"/>
      <c r="AG248" s="1877"/>
      <c r="AH248" s="1911"/>
      <c r="AI248" s="1912"/>
      <c r="AJ248" s="1881"/>
      <c r="AK248" s="1913"/>
      <c r="AM248" s="1393"/>
    </row>
    <row r="249" spans="1:39" s="1350" customFormat="1">
      <c r="A249" s="1"/>
      <c r="B249" s="1"/>
      <c r="C249" s="4"/>
      <c r="D249" s="3"/>
      <c r="E249" s="4"/>
      <c r="F249" s="4"/>
      <c r="G249" s="4"/>
      <c r="H249" s="6"/>
      <c r="I249" s="6"/>
      <c r="J249" s="6"/>
      <c r="K249" s="11"/>
      <c r="L249" s="5"/>
      <c r="M249" s="5"/>
      <c r="N249" s="5"/>
      <c r="O249" s="5"/>
      <c r="P249" s="7"/>
      <c r="Q249" s="5"/>
      <c r="R249" s="5"/>
      <c r="S249" s="6"/>
      <c r="T249" s="6"/>
      <c r="U249" s="1"/>
      <c r="V249" s="6"/>
      <c r="W249" s="1878"/>
      <c r="X249" s="1877"/>
      <c r="Y249" s="1877"/>
      <c r="Z249" s="1877"/>
      <c r="AA249" s="1877"/>
      <c r="AB249" s="1877"/>
      <c r="AC249" s="1877"/>
      <c r="AD249" s="1878"/>
      <c r="AE249" s="1877"/>
      <c r="AF249" s="1877"/>
      <c r="AG249" s="1877"/>
      <c r="AH249" s="1911"/>
      <c r="AI249" s="1912"/>
      <c r="AJ249" s="1881"/>
      <c r="AK249" s="1913"/>
      <c r="AM249" s="1393"/>
    </row>
    <row r="250" spans="1:39" s="1350" customFormat="1">
      <c r="A250" s="1"/>
      <c r="B250" s="1"/>
      <c r="C250" s="4"/>
      <c r="D250" s="3"/>
      <c r="E250" s="4"/>
      <c r="F250" s="4"/>
      <c r="G250" s="4"/>
      <c r="H250" s="6"/>
      <c r="I250" s="6"/>
      <c r="J250" s="6"/>
      <c r="K250" s="11"/>
      <c r="L250" s="5"/>
      <c r="M250" s="5"/>
      <c r="N250" s="5"/>
      <c r="O250" s="5"/>
      <c r="P250" s="7"/>
      <c r="Q250" s="5"/>
      <c r="R250" s="5"/>
      <c r="S250" s="6"/>
      <c r="T250" s="6"/>
      <c r="U250" s="1"/>
      <c r="V250" s="6"/>
      <c r="W250" s="1878"/>
      <c r="X250" s="1877"/>
      <c r="Y250" s="1877"/>
      <c r="Z250" s="1877"/>
      <c r="AA250" s="1877"/>
      <c r="AB250" s="1877"/>
      <c r="AC250" s="1877"/>
      <c r="AD250" s="1878"/>
      <c r="AE250" s="1877"/>
      <c r="AF250" s="1877"/>
      <c r="AG250" s="1877"/>
      <c r="AH250" s="1911"/>
      <c r="AI250" s="1912"/>
      <c r="AJ250" s="1881"/>
      <c r="AK250" s="1913"/>
      <c r="AM250" s="1393"/>
    </row>
    <row r="251" spans="1:39" s="1350" customFormat="1">
      <c r="A251" s="1"/>
      <c r="B251" s="1"/>
      <c r="C251" s="4"/>
      <c r="D251" s="3"/>
      <c r="E251" s="4"/>
      <c r="F251" s="4"/>
      <c r="G251" s="4"/>
      <c r="H251" s="6"/>
      <c r="I251" s="6"/>
      <c r="J251" s="6"/>
      <c r="K251" s="11"/>
      <c r="L251" s="5"/>
      <c r="M251" s="5"/>
      <c r="N251" s="5"/>
      <c r="O251" s="5"/>
      <c r="P251" s="7"/>
      <c r="Q251" s="5"/>
      <c r="R251" s="5"/>
      <c r="S251" s="6"/>
      <c r="T251" s="6"/>
      <c r="U251" s="1"/>
      <c r="V251" s="6"/>
      <c r="W251" s="1878"/>
      <c r="X251" s="1877"/>
      <c r="Y251" s="1877"/>
      <c r="Z251" s="1877"/>
      <c r="AA251" s="1877"/>
      <c r="AB251" s="1877"/>
      <c r="AC251" s="1877"/>
      <c r="AD251" s="1878"/>
      <c r="AE251" s="1877"/>
      <c r="AF251" s="1877"/>
      <c r="AG251" s="1877"/>
      <c r="AH251" s="1911"/>
      <c r="AI251" s="1912"/>
      <c r="AJ251" s="1881"/>
      <c r="AK251" s="1913"/>
      <c r="AM251" s="1393"/>
    </row>
    <row r="252" spans="1:39" s="1350" customFormat="1">
      <c r="A252" s="1"/>
      <c r="B252" s="1"/>
      <c r="C252" s="4"/>
      <c r="D252" s="3"/>
      <c r="E252" s="4"/>
      <c r="F252" s="4"/>
      <c r="G252" s="4"/>
      <c r="H252" s="6"/>
      <c r="I252" s="6"/>
      <c r="J252" s="6"/>
      <c r="K252" s="11"/>
      <c r="L252" s="5"/>
      <c r="M252" s="5"/>
      <c r="N252" s="5"/>
      <c r="O252" s="5"/>
      <c r="P252" s="7"/>
      <c r="Q252" s="5"/>
      <c r="R252" s="5"/>
      <c r="S252" s="6"/>
      <c r="T252" s="6"/>
      <c r="U252" s="1"/>
      <c r="V252" s="6"/>
      <c r="W252" s="1878"/>
      <c r="X252" s="1877"/>
      <c r="Y252" s="1877"/>
      <c r="Z252" s="1877"/>
      <c r="AA252" s="1877"/>
      <c r="AB252" s="1877"/>
      <c r="AC252" s="1877"/>
      <c r="AD252" s="1878"/>
      <c r="AE252" s="1877"/>
      <c r="AF252" s="1877"/>
      <c r="AG252" s="1877"/>
      <c r="AH252" s="1911"/>
      <c r="AI252" s="1912"/>
      <c r="AJ252" s="1881"/>
      <c r="AK252" s="1913"/>
      <c r="AM252" s="1393"/>
    </row>
    <row r="253" spans="1:39" s="1350" customFormat="1">
      <c r="A253" s="1"/>
      <c r="B253" s="1"/>
      <c r="C253" s="4"/>
      <c r="D253" s="3"/>
      <c r="E253" s="4"/>
      <c r="F253" s="4"/>
      <c r="G253" s="4"/>
      <c r="H253" s="6"/>
      <c r="I253" s="6"/>
      <c r="J253" s="6"/>
      <c r="K253" s="11"/>
      <c r="L253" s="5"/>
      <c r="M253" s="5"/>
      <c r="N253" s="5"/>
      <c r="O253" s="5"/>
      <c r="P253" s="7"/>
      <c r="Q253" s="5"/>
      <c r="R253" s="5"/>
      <c r="S253" s="6"/>
      <c r="T253" s="6"/>
      <c r="U253" s="1"/>
      <c r="V253" s="6"/>
      <c r="W253" s="1878"/>
      <c r="X253" s="1877"/>
      <c r="Y253" s="1877"/>
      <c r="Z253" s="1877"/>
      <c r="AA253" s="1877"/>
      <c r="AB253" s="1877"/>
      <c r="AC253" s="1877"/>
      <c r="AD253" s="1878"/>
      <c r="AE253" s="1877"/>
      <c r="AF253" s="1877"/>
      <c r="AG253" s="1877"/>
      <c r="AH253" s="1911"/>
      <c r="AI253" s="1912"/>
      <c r="AJ253" s="1881"/>
      <c r="AK253" s="1913"/>
      <c r="AM253" s="1393"/>
    </row>
    <row r="254" spans="1:39" s="1350" customFormat="1">
      <c r="A254" s="1"/>
      <c r="B254" s="1"/>
      <c r="C254" s="4"/>
      <c r="D254" s="3"/>
      <c r="E254" s="4"/>
      <c r="F254" s="4"/>
      <c r="G254" s="4"/>
      <c r="H254" s="6"/>
      <c r="I254" s="6"/>
      <c r="J254" s="6"/>
      <c r="K254" s="11"/>
      <c r="L254" s="5"/>
      <c r="M254" s="5"/>
      <c r="N254" s="5"/>
      <c r="O254" s="5"/>
      <c r="P254" s="7"/>
      <c r="Q254" s="5"/>
      <c r="R254" s="5"/>
      <c r="S254" s="6"/>
      <c r="T254" s="6"/>
      <c r="U254" s="1"/>
      <c r="V254" s="6"/>
      <c r="W254" s="1878"/>
      <c r="X254" s="1877"/>
      <c r="Y254" s="1877"/>
      <c r="Z254" s="1877"/>
      <c r="AA254" s="1877"/>
      <c r="AB254" s="1877"/>
      <c r="AC254" s="1877"/>
      <c r="AD254" s="1878"/>
      <c r="AE254" s="1877"/>
      <c r="AF254" s="1877"/>
      <c r="AG254" s="1877"/>
      <c r="AH254" s="1911"/>
      <c r="AI254" s="1912"/>
      <c r="AJ254" s="1881"/>
      <c r="AK254" s="1913"/>
      <c r="AM254" s="1393"/>
    </row>
    <row r="255" spans="1:39" s="1350" customFormat="1">
      <c r="A255" s="1"/>
      <c r="B255" s="1"/>
      <c r="C255" s="4"/>
      <c r="D255" s="3"/>
      <c r="E255" s="4"/>
      <c r="F255" s="4"/>
      <c r="G255" s="4"/>
      <c r="H255" s="6"/>
      <c r="I255" s="6"/>
      <c r="J255" s="6"/>
      <c r="K255" s="11"/>
      <c r="L255" s="5"/>
      <c r="M255" s="5"/>
      <c r="N255" s="5"/>
      <c r="O255" s="5"/>
      <c r="P255" s="7"/>
      <c r="Q255" s="5"/>
      <c r="R255" s="5"/>
      <c r="S255" s="6"/>
      <c r="T255" s="6"/>
      <c r="U255" s="1"/>
      <c r="V255" s="6"/>
      <c r="W255" s="1878"/>
      <c r="X255" s="1877"/>
      <c r="Y255" s="1877"/>
      <c r="Z255" s="1877"/>
      <c r="AA255" s="1877"/>
      <c r="AB255" s="1877"/>
      <c r="AC255" s="1877"/>
      <c r="AD255" s="1878"/>
      <c r="AE255" s="1877"/>
      <c r="AF255" s="1877"/>
      <c r="AG255" s="1877"/>
      <c r="AH255" s="1911"/>
      <c r="AI255" s="1912"/>
      <c r="AJ255" s="1881"/>
      <c r="AK255" s="1913"/>
      <c r="AM255" s="1393"/>
    </row>
    <row r="256" spans="1:39" s="1350" customFormat="1">
      <c r="A256" s="1"/>
      <c r="B256" s="1"/>
      <c r="C256" s="4"/>
      <c r="D256" s="3"/>
      <c r="E256" s="4"/>
      <c r="F256" s="4"/>
      <c r="G256" s="4"/>
      <c r="H256" s="6"/>
      <c r="I256" s="6"/>
      <c r="J256" s="6"/>
      <c r="K256" s="11"/>
      <c r="L256" s="5"/>
      <c r="M256" s="5"/>
      <c r="N256" s="5"/>
      <c r="O256" s="5"/>
      <c r="P256" s="7"/>
      <c r="Q256" s="5"/>
      <c r="R256" s="5"/>
      <c r="S256" s="6"/>
      <c r="T256" s="6"/>
      <c r="U256" s="1"/>
      <c r="V256" s="6"/>
      <c r="W256" s="1878"/>
      <c r="X256" s="1877"/>
      <c r="Y256" s="1877"/>
      <c r="Z256" s="1877"/>
      <c r="AA256" s="1877"/>
      <c r="AB256" s="1877"/>
      <c r="AC256" s="1877"/>
      <c r="AD256" s="1878"/>
      <c r="AE256" s="1877"/>
      <c r="AF256" s="1877"/>
      <c r="AG256" s="1877"/>
      <c r="AH256" s="1911"/>
      <c r="AI256" s="1912"/>
      <c r="AJ256" s="1881"/>
      <c r="AK256" s="1913"/>
      <c r="AM256" s="1393"/>
    </row>
    <row r="257" spans="1:39" s="1350" customFormat="1">
      <c r="A257" s="1"/>
      <c r="B257" s="1"/>
      <c r="C257" s="4"/>
      <c r="D257" s="3"/>
      <c r="E257" s="4"/>
      <c r="F257" s="4"/>
      <c r="G257" s="4"/>
      <c r="H257" s="6"/>
      <c r="I257" s="6"/>
      <c r="J257" s="6"/>
      <c r="K257" s="11"/>
      <c r="L257" s="5"/>
      <c r="M257" s="5"/>
      <c r="N257" s="5"/>
      <c r="O257" s="5"/>
      <c r="P257" s="7"/>
      <c r="Q257" s="5"/>
      <c r="R257" s="5"/>
      <c r="S257" s="6"/>
      <c r="T257" s="6"/>
      <c r="U257" s="1"/>
      <c r="V257" s="6"/>
      <c r="W257" s="1878"/>
      <c r="X257" s="1877"/>
      <c r="Y257" s="1877"/>
      <c r="Z257" s="1877"/>
      <c r="AA257" s="1877"/>
      <c r="AB257" s="1877"/>
      <c r="AC257" s="1877"/>
      <c r="AD257" s="1878"/>
      <c r="AE257" s="1877"/>
      <c r="AF257" s="1877"/>
      <c r="AG257" s="1877"/>
      <c r="AH257" s="1911"/>
      <c r="AI257" s="1912"/>
      <c r="AJ257" s="1881"/>
      <c r="AK257" s="1913"/>
      <c r="AM257" s="1393"/>
    </row>
    <row r="258" spans="1:39" s="1350" customFormat="1">
      <c r="A258" s="1"/>
      <c r="B258" s="1"/>
      <c r="C258" s="4"/>
      <c r="D258" s="3"/>
      <c r="E258" s="4"/>
      <c r="F258" s="4"/>
      <c r="G258" s="4"/>
      <c r="H258" s="6"/>
      <c r="I258" s="6"/>
      <c r="J258" s="6"/>
      <c r="K258" s="11"/>
      <c r="L258" s="5"/>
      <c r="M258" s="5"/>
      <c r="N258" s="5"/>
      <c r="O258" s="5"/>
      <c r="P258" s="7"/>
      <c r="Q258" s="5"/>
      <c r="R258" s="5"/>
      <c r="S258" s="6"/>
      <c r="T258" s="6"/>
      <c r="U258" s="1"/>
      <c r="V258" s="6"/>
      <c r="W258" s="1878"/>
      <c r="X258" s="1877"/>
      <c r="Y258" s="1877"/>
      <c r="Z258" s="1877"/>
      <c r="AA258" s="1877"/>
      <c r="AB258" s="1877"/>
      <c r="AC258" s="1877"/>
      <c r="AD258" s="1878"/>
      <c r="AE258" s="1877"/>
      <c r="AF258" s="1877"/>
      <c r="AG258" s="1877"/>
      <c r="AH258" s="1911"/>
      <c r="AI258" s="1912"/>
      <c r="AJ258" s="1881"/>
      <c r="AK258" s="1913"/>
      <c r="AM258" s="1393"/>
    </row>
    <row r="259" spans="1:39" s="1350" customFormat="1">
      <c r="A259" s="1"/>
      <c r="B259" s="1"/>
      <c r="C259" s="4"/>
      <c r="D259" s="3"/>
      <c r="E259" s="4"/>
      <c r="F259" s="4"/>
      <c r="G259" s="4"/>
      <c r="H259" s="6"/>
      <c r="I259" s="6"/>
      <c r="J259" s="6"/>
      <c r="K259" s="11"/>
      <c r="L259" s="5"/>
      <c r="M259" s="5"/>
      <c r="N259" s="5"/>
      <c r="O259" s="5"/>
      <c r="P259" s="7"/>
      <c r="Q259" s="5"/>
      <c r="R259" s="5"/>
      <c r="S259" s="6"/>
      <c r="T259" s="6"/>
      <c r="U259" s="1"/>
      <c r="V259" s="6"/>
      <c r="W259" s="1878"/>
      <c r="X259" s="1877"/>
      <c r="Y259" s="1877"/>
      <c r="Z259" s="1877"/>
      <c r="AA259" s="1877"/>
      <c r="AB259" s="1877"/>
      <c r="AC259" s="1877"/>
      <c r="AD259" s="1878"/>
      <c r="AE259" s="1877"/>
      <c r="AF259" s="1877"/>
      <c r="AG259" s="1877"/>
      <c r="AH259" s="1911"/>
      <c r="AI259" s="1912"/>
      <c r="AJ259" s="1881"/>
      <c r="AK259" s="1913"/>
      <c r="AM259" s="1393"/>
    </row>
    <row r="260" spans="1:39" s="1350" customFormat="1">
      <c r="A260" s="1"/>
      <c r="B260" s="1"/>
      <c r="C260" s="4"/>
      <c r="D260" s="3"/>
      <c r="E260" s="4"/>
      <c r="F260" s="4"/>
      <c r="G260" s="4"/>
      <c r="H260" s="6"/>
      <c r="I260" s="6"/>
      <c r="J260" s="6"/>
      <c r="K260" s="11"/>
      <c r="L260" s="5"/>
      <c r="M260" s="5"/>
      <c r="N260" s="5"/>
      <c r="O260" s="5"/>
      <c r="P260" s="7"/>
      <c r="Q260" s="5"/>
      <c r="R260" s="5"/>
      <c r="S260" s="6"/>
      <c r="T260" s="6"/>
      <c r="U260" s="1"/>
      <c r="V260" s="6"/>
      <c r="W260" s="1878"/>
      <c r="X260" s="1877"/>
      <c r="Y260" s="1877"/>
      <c r="Z260" s="1877"/>
      <c r="AA260" s="1877"/>
      <c r="AB260" s="1877"/>
      <c r="AC260" s="1877"/>
      <c r="AD260" s="1878"/>
      <c r="AE260" s="1877"/>
      <c r="AF260" s="1877"/>
      <c r="AG260" s="1877"/>
      <c r="AH260" s="1911"/>
      <c r="AI260" s="1912"/>
      <c r="AJ260" s="1881"/>
      <c r="AK260" s="1913"/>
      <c r="AM260" s="1393"/>
    </row>
    <row r="261" spans="1:39" s="1350" customFormat="1">
      <c r="A261" s="1"/>
      <c r="B261" s="1"/>
      <c r="C261" s="4"/>
      <c r="D261" s="3"/>
      <c r="E261" s="4"/>
      <c r="F261" s="4"/>
      <c r="G261" s="4"/>
      <c r="H261" s="6"/>
      <c r="I261" s="6"/>
      <c r="J261" s="6"/>
      <c r="K261" s="11"/>
      <c r="L261" s="5"/>
      <c r="M261" s="5"/>
      <c r="N261" s="5"/>
      <c r="O261" s="5"/>
      <c r="P261" s="7"/>
      <c r="Q261" s="5"/>
      <c r="R261" s="5"/>
      <c r="S261" s="6"/>
      <c r="T261" s="6"/>
      <c r="U261" s="1"/>
      <c r="V261" s="6"/>
      <c r="W261" s="1878"/>
      <c r="X261" s="1877"/>
      <c r="Y261" s="1877"/>
      <c r="Z261" s="1877"/>
      <c r="AA261" s="1877"/>
      <c r="AB261" s="1877"/>
      <c r="AC261" s="1877"/>
      <c r="AD261" s="1878"/>
      <c r="AE261" s="1877"/>
      <c r="AF261" s="1877"/>
      <c r="AG261" s="1877"/>
      <c r="AH261" s="1911"/>
      <c r="AI261" s="1912"/>
      <c r="AJ261" s="1881"/>
      <c r="AK261" s="1913"/>
      <c r="AM261" s="1393"/>
    </row>
    <row r="262" spans="1:39" s="1350" customFormat="1">
      <c r="A262" s="1"/>
      <c r="B262" s="1"/>
      <c r="C262" s="4"/>
      <c r="D262" s="3"/>
      <c r="E262" s="4"/>
      <c r="F262" s="4"/>
      <c r="G262" s="4"/>
      <c r="H262" s="6"/>
      <c r="I262" s="6"/>
      <c r="J262" s="6"/>
      <c r="K262" s="11"/>
      <c r="L262" s="5"/>
      <c r="M262" s="5"/>
      <c r="N262" s="5"/>
      <c r="O262" s="5"/>
      <c r="P262" s="7"/>
      <c r="Q262" s="5"/>
      <c r="R262" s="5"/>
      <c r="S262" s="6"/>
      <c r="T262" s="6"/>
      <c r="U262" s="1"/>
      <c r="V262" s="6"/>
      <c r="W262" s="1878"/>
      <c r="X262" s="1877"/>
      <c r="Y262" s="1877"/>
      <c r="Z262" s="1877"/>
      <c r="AA262" s="1877"/>
      <c r="AB262" s="1877"/>
      <c r="AC262" s="1877"/>
      <c r="AD262" s="1878"/>
      <c r="AE262" s="1877"/>
      <c r="AF262" s="1877"/>
      <c r="AG262" s="1877"/>
      <c r="AH262" s="1911"/>
      <c r="AI262" s="1912"/>
      <c r="AJ262" s="1881"/>
      <c r="AK262" s="1913"/>
      <c r="AM262" s="1393"/>
    </row>
    <row r="263" spans="1:39" s="1350" customFormat="1">
      <c r="A263" s="1"/>
      <c r="B263" s="1"/>
      <c r="C263" s="4"/>
      <c r="D263" s="3"/>
      <c r="E263" s="4"/>
      <c r="F263" s="4"/>
      <c r="G263" s="4"/>
      <c r="H263" s="6"/>
      <c r="I263" s="6"/>
      <c r="J263" s="6"/>
      <c r="K263" s="11"/>
      <c r="L263" s="5"/>
      <c r="M263" s="5"/>
      <c r="N263" s="5"/>
      <c r="O263" s="5"/>
      <c r="P263" s="7"/>
      <c r="Q263" s="5"/>
      <c r="R263" s="5"/>
      <c r="S263" s="6"/>
      <c r="T263" s="6"/>
      <c r="U263" s="1"/>
      <c r="V263" s="6"/>
      <c r="W263" s="1878"/>
      <c r="X263" s="1877"/>
      <c r="Y263" s="1877"/>
      <c r="Z263" s="1877"/>
      <c r="AA263" s="1877"/>
      <c r="AB263" s="1877"/>
      <c r="AC263" s="1877"/>
      <c r="AD263" s="1878"/>
      <c r="AE263" s="1877"/>
      <c r="AF263" s="1877"/>
      <c r="AG263" s="1877"/>
      <c r="AH263" s="1911"/>
      <c r="AI263" s="1912"/>
      <c r="AJ263" s="1881"/>
      <c r="AK263" s="1913"/>
      <c r="AM263" s="1393"/>
    </row>
    <row r="264" spans="1:39" s="1350" customFormat="1">
      <c r="A264" s="1"/>
      <c r="B264" s="1"/>
      <c r="C264" s="4"/>
      <c r="D264" s="3"/>
      <c r="E264" s="4"/>
      <c r="F264" s="4"/>
      <c r="G264" s="4"/>
      <c r="H264" s="6"/>
      <c r="I264" s="6"/>
      <c r="J264" s="6"/>
      <c r="K264" s="11"/>
      <c r="L264" s="5"/>
      <c r="M264" s="5"/>
      <c r="N264" s="5"/>
      <c r="O264" s="5"/>
      <c r="P264" s="7"/>
      <c r="Q264" s="5"/>
      <c r="R264" s="5"/>
      <c r="S264" s="6"/>
      <c r="T264" s="6"/>
      <c r="U264" s="1"/>
      <c r="V264" s="6"/>
      <c r="W264" s="1878"/>
      <c r="X264" s="1877"/>
      <c r="Y264" s="1877"/>
      <c r="Z264" s="1877"/>
      <c r="AA264" s="1877"/>
      <c r="AB264" s="1877"/>
      <c r="AC264" s="1877"/>
      <c r="AD264" s="1878"/>
      <c r="AE264" s="1877"/>
      <c r="AF264" s="1877"/>
      <c r="AG264" s="1877"/>
      <c r="AH264" s="1911"/>
      <c r="AI264" s="1912"/>
      <c r="AJ264" s="1881"/>
      <c r="AK264" s="1913"/>
      <c r="AM264" s="1393"/>
    </row>
    <row r="265" spans="1:39" s="1350" customFormat="1">
      <c r="A265" s="1"/>
      <c r="B265" s="1"/>
      <c r="C265" s="4"/>
      <c r="D265" s="3"/>
      <c r="E265" s="4"/>
      <c r="F265" s="4"/>
      <c r="G265" s="4"/>
      <c r="H265" s="6"/>
      <c r="I265" s="6"/>
      <c r="J265" s="6"/>
      <c r="K265" s="11"/>
      <c r="L265" s="5"/>
      <c r="M265" s="5"/>
      <c r="N265" s="5"/>
      <c r="O265" s="5"/>
      <c r="P265" s="7"/>
      <c r="Q265" s="5"/>
      <c r="R265" s="5"/>
      <c r="S265" s="6"/>
      <c r="T265" s="6"/>
      <c r="U265" s="1"/>
      <c r="V265" s="6"/>
      <c r="W265" s="1878"/>
      <c r="X265" s="1877"/>
      <c r="Y265" s="1877"/>
      <c r="Z265" s="1877"/>
      <c r="AA265" s="1877"/>
      <c r="AB265" s="1877"/>
      <c r="AC265" s="1877"/>
      <c r="AD265" s="1878"/>
      <c r="AE265" s="1877"/>
      <c r="AF265" s="1877"/>
      <c r="AG265" s="1877"/>
      <c r="AH265" s="1911"/>
      <c r="AI265" s="1912"/>
      <c r="AJ265" s="1881"/>
      <c r="AK265" s="1913"/>
      <c r="AM265" s="1393"/>
    </row>
    <row r="266" spans="1:39" s="1350" customFormat="1">
      <c r="A266" s="1"/>
      <c r="B266" s="1"/>
      <c r="C266" s="4"/>
      <c r="D266" s="3"/>
      <c r="E266" s="4"/>
      <c r="F266" s="4"/>
      <c r="G266" s="4"/>
      <c r="H266" s="6"/>
      <c r="I266" s="6"/>
      <c r="J266" s="6"/>
      <c r="K266" s="11"/>
      <c r="L266" s="5"/>
      <c r="M266" s="5"/>
      <c r="N266" s="5"/>
      <c r="O266" s="5"/>
      <c r="P266" s="7"/>
      <c r="Q266" s="5"/>
      <c r="R266" s="5"/>
      <c r="S266" s="6"/>
      <c r="T266" s="6"/>
      <c r="U266" s="1"/>
      <c r="V266" s="6"/>
      <c r="W266" s="1878"/>
      <c r="X266" s="1877"/>
      <c r="Y266" s="1877"/>
      <c r="Z266" s="1877"/>
      <c r="AA266" s="1877"/>
      <c r="AB266" s="1877"/>
      <c r="AC266" s="1877"/>
      <c r="AD266" s="1878"/>
      <c r="AE266" s="1877"/>
      <c r="AF266" s="1877"/>
      <c r="AG266" s="1877"/>
      <c r="AH266" s="1911"/>
      <c r="AI266" s="1912"/>
      <c r="AJ266" s="1881"/>
      <c r="AK266" s="1913"/>
      <c r="AM266" s="1393"/>
    </row>
    <row r="267" spans="1:39" s="1350" customFormat="1">
      <c r="A267" s="1"/>
      <c r="B267" s="1"/>
      <c r="C267" s="4"/>
      <c r="D267" s="3"/>
      <c r="E267" s="4"/>
      <c r="F267" s="4"/>
      <c r="G267" s="4"/>
      <c r="H267" s="6"/>
      <c r="I267" s="6"/>
      <c r="J267" s="6"/>
      <c r="K267" s="11"/>
      <c r="L267" s="5"/>
      <c r="M267" s="5"/>
      <c r="N267" s="5"/>
      <c r="O267" s="5"/>
      <c r="P267" s="7"/>
      <c r="Q267" s="5"/>
      <c r="R267" s="5"/>
      <c r="S267" s="6"/>
      <c r="T267" s="6"/>
      <c r="U267" s="1"/>
      <c r="V267" s="6"/>
      <c r="W267" s="1878"/>
      <c r="X267" s="1877"/>
      <c r="Y267" s="1877"/>
      <c r="Z267" s="1877"/>
      <c r="AA267" s="1877"/>
      <c r="AB267" s="1877"/>
      <c r="AC267" s="1877"/>
      <c r="AD267" s="1878"/>
      <c r="AE267" s="1877"/>
      <c r="AF267" s="1877"/>
      <c r="AG267" s="1877"/>
      <c r="AH267" s="1911"/>
      <c r="AI267" s="1912"/>
      <c r="AJ267" s="1881"/>
      <c r="AK267" s="1913"/>
      <c r="AM267" s="1393"/>
    </row>
    <row r="268" spans="1:39" s="1350" customFormat="1">
      <c r="A268" s="1"/>
      <c r="B268" s="1"/>
      <c r="C268" s="4"/>
      <c r="D268" s="3"/>
      <c r="E268" s="4"/>
      <c r="F268" s="4"/>
      <c r="G268" s="4"/>
      <c r="H268" s="6"/>
      <c r="I268" s="6"/>
      <c r="J268" s="6"/>
      <c r="K268" s="11"/>
      <c r="L268" s="5"/>
      <c r="M268" s="5"/>
      <c r="N268" s="5"/>
      <c r="O268" s="5"/>
      <c r="P268" s="7"/>
      <c r="Q268" s="5"/>
      <c r="R268" s="5"/>
      <c r="S268" s="6"/>
      <c r="T268" s="6"/>
      <c r="U268" s="1"/>
      <c r="V268" s="6"/>
      <c r="W268" s="1878"/>
      <c r="X268" s="1877"/>
      <c r="Y268" s="1877"/>
      <c r="Z268" s="1877"/>
      <c r="AA268" s="1877"/>
      <c r="AB268" s="1877"/>
      <c r="AC268" s="1877"/>
      <c r="AD268" s="1878"/>
      <c r="AE268" s="1877"/>
      <c r="AF268" s="1877"/>
      <c r="AG268" s="1877"/>
      <c r="AH268" s="1911"/>
      <c r="AI268" s="1912"/>
      <c r="AJ268" s="1881"/>
      <c r="AK268" s="1913"/>
      <c r="AM268" s="1393"/>
    </row>
    <row r="269" spans="1:39" s="1350" customFormat="1">
      <c r="A269" s="1"/>
      <c r="B269" s="1"/>
      <c r="C269" s="4"/>
      <c r="D269" s="3"/>
      <c r="E269" s="4"/>
      <c r="F269" s="4"/>
      <c r="G269" s="4"/>
      <c r="H269" s="6"/>
      <c r="I269" s="6"/>
      <c r="J269" s="6"/>
      <c r="K269" s="11"/>
      <c r="L269" s="5"/>
      <c r="M269" s="5"/>
      <c r="N269" s="5"/>
      <c r="O269" s="5"/>
      <c r="P269" s="7"/>
      <c r="Q269" s="5"/>
      <c r="R269" s="5"/>
      <c r="S269" s="6"/>
      <c r="T269" s="6"/>
      <c r="U269" s="1"/>
      <c r="V269" s="6"/>
      <c r="W269" s="1878"/>
      <c r="X269" s="1877"/>
      <c r="Y269" s="1877"/>
      <c r="Z269" s="1877"/>
      <c r="AA269" s="1877"/>
      <c r="AB269" s="1877"/>
      <c r="AC269" s="1877"/>
      <c r="AD269" s="1878"/>
      <c r="AE269" s="1877"/>
      <c r="AF269" s="1877"/>
      <c r="AG269" s="1877"/>
      <c r="AH269" s="1911"/>
      <c r="AI269" s="1912"/>
      <c r="AJ269" s="1881"/>
      <c r="AK269" s="1913"/>
      <c r="AM269" s="1393"/>
    </row>
    <row r="270" spans="1:39" s="1350" customFormat="1">
      <c r="A270" s="1"/>
      <c r="B270" s="1"/>
      <c r="C270" s="4"/>
      <c r="D270" s="3"/>
      <c r="E270" s="4"/>
      <c r="F270" s="4"/>
      <c r="G270" s="4"/>
      <c r="H270" s="6"/>
      <c r="I270" s="6"/>
      <c r="J270" s="6"/>
      <c r="K270" s="11"/>
      <c r="L270" s="5"/>
      <c r="M270" s="5"/>
      <c r="N270" s="5"/>
      <c r="O270" s="5"/>
      <c r="P270" s="7"/>
      <c r="Q270" s="5"/>
      <c r="R270" s="5"/>
      <c r="S270" s="6"/>
      <c r="T270" s="6"/>
      <c r="U270" s="1"/>
      <c r="V270" s="6"/>
      <c r="W270" s="1878"/>
      <c r="X270" s="1877"/>
      <c r="Y270" s="1877"/>
      <c r="Z270" s="1877"/>
      <c r="AA270" s="1877"/>
      <c r="AB270" s="1877"/>
      <c r="AC270" s="1877"/>
      <c r="AD270" s="1878"/>
      <c r="AE270" s="1877"/>
      <c r="AF270" s="1877"/>
      <c r="AG270" s="1877"/>
      <c r="AH270" s="1911"/>
      <c r="AI270" s="1912"/>
      <c r="AJ270" s="1881"/>
      <c r="AK270" s="1913"/>
      <c r="AM270" s="1393"/>
    </row>
    <row r="271" spans="1:39" s="1350" customFormat="1">
      <c r="A271" s="1"/>
      <c r="B271" s="1"/>
      <c r="C271" s="4"/>
      <c r="D271" s="3"/>
      <c r="E271" s="4"/>
      <c r="F271" s="4"/>
      <c r="G271" s="4"/>
      <c r="H271" s="6"/>
      <c r="I271" s="6"/>
      <c r="J271" s="6"/>
      <c r="K271" s="11"/>
      <c r="L271" s="5"/>
      <c r="M271" s="5"/>
      <c r="N271" s="5"/>
      <c r="O271" s="5"/>
      <c r="P271" s="7"/>
      <c r="Q271" s="5"/>
      <c r="R271" s="5"/>
      <c r="S271" s="6"/>
      <c r="T271" s="6"/>
      <c r="U271" s="1"/>
      <c r="V271" s="6"/>
      <c r="W271" s="1878"/>
      <c r="X271" s="1877"/>
      <c r="Y271" s="1877"/>
      <c r="Z271" s="1877"/>
      <c r="AA271" s="1877"/>
      <c r="AB271" s="1877"/>
      <c r="AC271" s="1877"/>
      <c r="AD271" s="1878"/>
      <c r="AE271" s="1877"/>
      <c r="AF271" s="1877"/>
      <c r="AG271" s="1877"/>
      <c r="AH271" s="1911"/>
      <c r="AI271" s="1912"/>
      <c r="AJ271" s="1881"/>
      <c r="AK271" s="1913"/>
      <c r="AM271" s="1393"/>
    </row>
    <row r="272" spans="1:39" s="1350" customFormat="1">
      <c r="A272" s="1"/>
      <c r="B272" s="1"/>
      <c r="C272" s="4"/>
      <c r="D272" s="3"/>
      <c r="E272" s="4"/>
      <c r="F272" s="4"/>
      <c r="G272" s="4"/>
      <c r="H272" s="6"/>
      <c r="I272" s="6"/>
      <c r="J272" s="6"/>
      <c r="K272" s="11"/>
      <c r="L272" s="5"/>
      <c r="M272" s="5"/>
      <c r="N272" s="5"/>
      <c r="O272" s="5"/>
      <c r="P272" s="7"/>
      <c r="Q272" s="5"/>
      <c r="R272" s="5"/>
      <c r="S272" s="6"/>
      <c r="T272" s="6"/>
      <c r="U272" s="1"/>
      <c r="V272" s="6"/>
      <c r="W272" s="1878"/>
      <c r="X272" s="1877"/>
      <c r="Y272" s="1877"/>
      <c r="Z272" s="1877"/>
      <c r="AA272" s="1877"/>
      <c r="AB272" s="1877"/>
      <c r="AC272" s="1877"/>
      <c r="AD272" s="1878"/>
      <c r="AE272" s="1877"/>
      <c r="AF272" s="1877"/>
      <c r="AG272" s="1877"/>
      <c r="AH272" s="1911"/>
      <c r="AI272" s="1912"/>
      <c r="AJ272" s="1881"/>
      <c r="AK272" s="1913"/>
      <c r="AM272" s="1393"/>
    </row>
    <row r="273" spans="1:39" s="1350" customFormat="1">
      <c r="A273" s="1"/>
      <c r="B273" s="1"/>
      <c r="C273" s="4"/>
      <c r="D273" s="3"/>
      <c r="E273" s="4"/>
      <c r="F273" s="4"/>
      <c r="G273" s="4"/>
      <c r="H273" s="6"/>
      <c r="I273" s="6"/>
      <c r="J273" s="6"/>
      <c r="K273" s="11"/>
      <c r="L273" s="5"/>
      <c r="M273" s="5"/>
      <c r="N273" s="5"/>
      <c r="O273" s="5"/>
      <c r="P273" s="7"/>
      <c r="Q273" s="5"/>
      <c r="R273" s="5"/>
      <c r="S273" s="6"/>
      <c r="T273" s="6"/>
      <c r="U273" s="1"/>
      <c r="V273" s="6"/>
      <c r="W273" s="1878"/>
      <c r="X273" s="1877"/>
      <c r="Y273" s="1877"/>
      <c r="Z273" s="1877"/>
      <c r="AA273" s="1877"/>
      <c r="AB273" s="1877"/>
      <c r="AC273" s="1877"/>
      <c r="AD273" s="1878"/>
      <c r="AE273" s="1877"/>
      <c r="AF273" s="1877"/>
      <c r="AG273" s="1877"/>
      <c r="AH273" s="1911"/>
      <c r="AI273" s="1912"/>
      <c r="AJ273" s="1881"/>
      <c r="AK273" s="1913"/>
      <c r="AM273" s="1393"/>
    </row>
    <row r="274" spans="1:39" s="1350" customFormat="1">
      <c r="A274" s="1"/>
      <c r="B274" s="1"/>
      <c r="C274" s="4"/>
      <c r="D274" s="3"/>
      <c r="E274" s="4"/>
      <c r="F274" s="4"/>
      <c r="G274" s="4"/>
      <c r="H274" s="6"/>
      <c r="I274" s="6"/>
      <c r="J274" s="6"/>
      <c r="K274" s="11"/>
      <c r="L274" s="5"/>
      <c r="M274" s="5"/>
      <c r="N274" s="5"/>
      <c r="O274" s="5"/>
      <c r="P274" s="7"/>
      <c r="Q274" s="5"/>
      <c r="R274" s="5"/>
      <c r="S274" s="6"/>
      <c r="T274" s="6"/>
      <c r="U274" s="1"/>
      <c r="V274" s="6"/>
      <c r="W274" s="1878"/>
      <c r="X274" s="1877"/>
      <c r="Y274" s="1877"/>
      <c r="Z274" s="1877"/>
      <c r="AA274" s="1877"/>
      <c r="AB274" s="1877"/>
      <c r="AC274" s="1877"/>
      <c r="AD274" s="1878"/>
      <c r="AE274" s="1877"/>
      <c r="AF274" s="1877"/>
      <c r="AG274" s="1877"/>
      <c r="AH274" s="1911"/>
      <c r="AI274" s="1912"/>
      <c r="AJ274" s="1881"/>
      <c r="AK274" s="1913"/>
      <c r="AM274" s="1393"/>
    </row>
    <row r="275" spans="1:39" s="1350" customFormat="1">
      <c r="A275" s="1"/>
      <c r="B275" s="1"/>
      <c r="C275" s="4"/>
      <c r="D275" s="3"/>
      <c r="E275" s="4"/>
      <c r="F275" s="4"/>
      <c r="G275" s="4"/>
      <c r="H275" s="6"/>
      <c r="I275" s="6"/>
      <c r="J275" s="6"/>
      <c r="K275" s="11"/>
      <c r="L275" s="5"/>
      <c r="M275" s="5"/>
      <c r="N275" s="5"/>
      <c r="O275" s="5"/>
      <c r="P275" s="7"/>
      <c r="Q275" s="5"/>
      <c r="R275" s="5"/>
      <c r="S275" s="6"/>
      <c r="T275" s="6"/>
      <c r="U275" s="1"/>
      <c r="V275" s="6"/>
      <c r="W275" s="1878"/>
      <c r="X275" s="1877"/>
      <c r="Y275" s="1877"/>
      <c r="Z275" s="1877"/>
      <c r="AA275" s="1877"/>
      <c r="AB275" s="1877"/>
      <c r="AC275" s="1877"/>
      <c r="AD275" s="1878"/>
      <c r="AE275" s="1877"/>
      <c r="AF275" s="1877"/>
      <c r="AG275" s="1877"/>
      <c r="AH275" s="1911"/>
      <c r="AI275" s="1912"/>
      <c r="AJ275" s="1881"/>
      <c r="AK275" s="1913"/>
      <c r="AM275" s="1393"/>
    </row>
    <row r="276" spans="1:39" s="1350" customFormat="1">
      <c r="A276" s="1"/>
      <c r="B276" s="1"/>
      <c r="C276" s="4"/>
      <c r="D276" s="3"/>
      <c r="E276" s="4"/>
      <c r="F276" s="4"/>
      <c r="G276" s="4"/>
      <c r="H276" s="6"/>
      <c r="I276" s="6"/>
      <c r="J276" s="6"/>
      <c r="K276" s="11"/>
      <c r="L276" s="5"/>
      <c r="M276" s="5"/>
      <c r="N276" s="5"/>
      <c r="O276" s="5"/>
      <c r="P276" s="7"/>
      <c r="Q276" s="5"/>
      <c r="R276" s="5"/>
      <c r="S276" s="6"/>
      <c r="T276" s="6"/>
      <c r="U276" s="1"/>
      <c r="V276" s="6"/>
      <c r="W276" s="1878"/>
      <c r="X276" s="1877"/>
      <c r="Y276" s="1877"/>
      <c r="Z276" s="1877"/>
      <c r="AA276" s="1877"/>
      <c r="AB276" s="1877"/>
      <c r="AC276" s="1877"/>
      <c r="AD276" s="1878"/>
      <c r="AE276" s="1877"/>
      <c r="AF276" s="1877"/>
      <c r="AG276" s="1877"/>
      <c r="AH276" s="1911"/>
      <c r="AI276" s="1912"/>
      <c r="AJ276" s="1881"/>
      <c r="AK276" s="1913"/>
      <c r="AM276" s="1393"/>
    </row>
    <row r="277" spans="1:39" s="1350" customFormat="1">
      <c r="A277" s="1"/>
      <c r="B277" s="1"/>
      <c r="C277" s="4"/>
      <c r="D277" s="3"/>
      <c r="E277" s="4"/>
      <c r="F277" s="4"/>
      <c r="G277" s="4"/>
      <c r="H277" s="6"/>
      <c r="I277" s="6"/>
      <c r="J277" s="6"/>
      <c r="K277" s="11"/>
      <c r="L277" s="5"/>
      <c r="M277" s="5"/>
      <c r="N277" s="5"/>
      <c r="O277" s="5"/>
      <c r="P277" s="7"/>
      <c r="Q277" s="5"/>
      <c r="R277" s="5"/>
      <c r="S277" s="6"/>
      <c r="T277" s="6"/>
      <c r="U277" s="1"/>
      <c r="V277" s="6"/>
      <c r="W277" s="1878"/>
      <c r="X277" s="1877"/>
      <c r="Y277" s="1877"/>
      <c r="Z277" s="1877"/>
      <c r="AA277" s="1877"/>
      <c r="AB277" s="1877"/>
      <c r="AC277" s="1877"/>
      <c r="AD277" s="1878"/>
      <c r="AE277" s="1877"/>
      <c r="AF277" s="1877"/>
      <c r="AG277" s="1877"/>
      <c r="AH277" s="1911"/>
      <c r="AI277" s="1912"/>
      <c r="AJ277" s="1881"/>
      <c r="AK277" s="1913"/>
      <c r="AM277" s="1393"/>
    </row>
    <row r="278" spans="1:39" s="1350" customFormat="1">
      <c r="A278" s="1"/>
      <c r="B278" s="1"/>
      <c r="C278" s="4"/>
      <c r="D278" s="3"/>
      <c r="E278" s="4"/>
      <c r="F278" s="4"/>
      <c r="G278" s="4"/>
      <c r="H278" s="6"/>
      <c r="I278" s="6"/>
      <c r="J278" s="6"/>
      <c r="K278" s="11"/>
      <c r="L278" s="5"/>
      <c r="M278" s="5"/>
      <c r="N278" s="5"/>
      <c r="O278" s="5"/>
      <c r="P278" s="7"/>
      <c r="Q278" s="5"/>
      <c r="R278" s="5"/>
      <c r="S278" s="6"/>
      <c r="T278" s="6"/>
      <c r="U278" s="1"/>
      <c r="V278" s="6"/>
      <c r="W278" s="1878"/>
      <c r="X278" s="1877"/>
      <c r="Y278" s="1877"/>
      <c r="Z278" s="1877"/>
      <c r="AA278" s="1877"/>
      <c r="AB278" s="1877"/>
      <c r="AC278" s="1877"/>
      <c r="AD278" s="1878"/>
      <c r="AE278" s="1877"/>
      <c r="AF278" s="1877"/>
      <c r="AG278" s="1877"/>
      <c r="AH278" s="1911"/>
      <c r="AI278" s="1912"/>
      <c r="AJ278" s="1881"/>
      <c r="AK278" s="1913"/>
      <c r="AM278" s="1393"/>
    </row>
    <row r="279" spans="1:39" s="1350" customFormat="1">
      <c r="A279" s="1"/>
      <c r="B279" s="1"/>
      <c r="C279" s="4"/>
      <c r="D279" s="3"/>
      <c r="E279" s="4"/>
      <c r="F279" s="4"/>
      <c r="G279" s="4"/>
      <c r="H279" s="6"/>
      <c r="I279" s="6"/>
      <c r="J279" s="6"/>
      <c r="K279" s="11"/>
      <c r="L279" s="5"/>
      <c r="M279" s="5"/>
      <c r="N279" s="5"/>
      <c r="O279" s="5"/>
      <c r="P279" s="7"/>
      <c r="Q279" s="5"/>
      <c r="R279" s="5"/>
      <c r="S279" s="6"/>
      <c r="T279" s="6"/>
      <c r="U279" s="1"/>
      <c r="V279" s="6"/>
      <c r="W279" s="1878"/>
      <c r="X279" s="1877"/>
      <c r="Y279" s="1877"/>
      <c r="Z279" s="1877"/>
      <c r="AA279" s="1877"/>
      <c r="AB279" s="1877"/>
      <c r="AC279" s="1877"/>
      <c r="AD279" s="1878"/>
      <c r="AE279" s="1877"/>
      <c r="AF279" s="1877"/>
      <c r="AG279" s="1877"/>
      <c r="AH279" s="1911"/>
      <c r="AI279" s="1912"/>
      <c r="AJ279" s="1881"/>
      <c r="AK279" s="1913"/>
      <c r="AM279" s="1393"/>
    </row>
    <row r="280" spans="1:39" s="1350" customFormat="1">
      <c r="A280" s="1"/>
      <c r="B280" s="1"/>
      <c r="C280" s="4"/>
      <c r="D280" s="3"/>
      <c r="E280" s="4"/>
      <c r="F280" s="4"/>
      <c r="G280" s="4"/>
      <c r="H280" s="6"/>
      <c r="I280" s="6"/>
      <c r="J280" s="6"/>
      <c r="K280" s="11"/>
      <c r="L280" s="5"/>
      <c r="M280" s="5"/>
      <c r="N280" s="5"/>
      <c r="O280" s="5"/>
      <c r="P280" s="7"/>
      <c r="Q280" s="5"/>
      <c r="R280" s="5"/>
      <c r="S280" s="6"/>
      <c r="T280" s="6"/>
      <c r="U280" s="1"/>
      <c r="V280" s="6"/>
      <c r="W280" s="1878"/>
      <c r="X280" s="1877"/>
      <c r="Y280" s="1877"/>
      <c r="Z280" s="1877"/>
      <c r="AA280" s="1877"/>
      <c r="AB280" s="1877"/>
      <c r="AC280" s="1877"/>
      <c r="AD280" s="1878"/>
      <c r="AE280" s="1877"/>
      <c r="AF280" s="1877"/>
      <c r="AG280" s="1877"/>
      <c r="AH280" s="1911"/>
      <c r="AI280" s="1912"/>
      <c r="AJ280" s="1881"/>
      <c r="AK280" s="1913"/>
      <c r="AM280" s="1393"/>
    </row>
    <row r="281" spans="1:39" s="1350" customFormat="1">
      <c r="A281" s="1"/>
      <c r="B281" s="1"/>
      <c r="C281" s="4"/>
      <c r="D281" s="3"/>
      <c r="E281" s="4"/>
      <c r="F281" s="4"/>
      <c r="G281" s="4"/>
      <c r="H281" s="6"/>
      <c r="I281" s="6"/>
      <c r="J281" s="6"/>
      <c r="K281" s="11"/>
      <c r="L281" s="5"/>
      <c r="M281" s="5"/>
      <c r="N281" s="5"/>
      <c r="O281" s="5"/>
      <c r="P281" s="7"/>
      <c r="Q281" s="5"/>
      <c r="R281" s="5"/>
      <c r="S281" s="6"/>
      <c r="T281" s="6"/>
      <c r="U281" s="1"/>
      <c r="V281" s="6"/>
      <c r="W281" s="1878"/>
      <c r="X281" s="1877"/>
      <c r="Y281" s="1877"/>
      <c r="Z281" s="1877"/>
      <c r="AA281" s="1877"/>
      <c r="AB281" s="1877"/>
      <c r="AC281" s="1877"/>
      <c r="AD281" s="1878"/>
      <c r="AE281" s="1877"/>
      <c r="AF281" s="1877"/>
      <c r="AG281" s="1877"/>
      <c r="AH281" s="1911"/>
      <c r="AI281" s="1912"/>
      <c r="AJ281" s="1881"/>
      <c r="AK281" s="1913"/>
      <c r="AM281" s="1393"/>
    </row>
    <row r="282" spans="1:39" s="1350" customFormat="1">
      <c r="A282" s="1"/>
      <c r="B282" s="1"/>
      <c r="C282" s="4"/>
      <c r="D282" s="3"/>
      <c r="E282" s="4"/>
      <c r="F282" s="4"/>
      <c r="G282" s="4"/>
      <c r="H282" s="6"/>
      <c r="I282" s="6"/>
      <c r="J282" s="6"/>
      <c r="K282" s="11"/>
      <c r="L282" s="5"/>
      <c r="M282" s="5"/>
      <c r="N282" s="5"/>
      <c r="O282" s="5"/>
      <c r="P282" s="7"/>
      <c r="Q282" s="5"/>
      <c r="R282" s="5"/>
      <c r="S282" s="6"/>
      <c r="T282" s="6"/>
      <c r="U282" s="1"/>
      <c r="V282" s="6"/>
      <c r="W282" s="1878"/>
      <c r="X282" s="1877"/>
      <c r="Y282" s="1877"/>
      <c r="Z282" s="1877"/>
      <c r="AA282" s="1877"/>
      <c r="AB282" s="1877"/>
      <c r="AC282" s="1877"/>
      <c r="AD282" s="1878"/>
      <c r="AE282" s="1877"/>
      <c r="AF282" s="1877"/>
      <c r="AG282" s="1877"/>
      <c r="AH282" s="1911"/>
      <c r="AI282" s="1912"/>
      <c r="AJ282" s="1881"/>
      <c r="AK282" s="1913"/>
      <c r="AM282" s="1393"/>
    </row>
    <row r="283" spans="1:39" s="1350" customFormat="1">
      <c r="A283" s="1"/>
      <c r="B283" s="1"/>
      <c r="C283" s="4"/>
      <c r="D283" s="3"/>
      <c r="E283" s="4"/>
      <c r="F283" s="4"/>
      <c r="G283" s="4"/>
      <c r="H283" s="6"/>
      <c r="I283" s="6"/>
      <c r="J283" s="6"/>
      <c r="K283" s="11"/>
      <c r="L283" s="5"/>
      <c r="M283" s="5"/>
      <c r="N283" s="5"/>
      <c r="O283" s="5"/>
      <c r="P283" s="7"/>
      <c r="Q283" s="5"/>
      <c r="R283" s="5"/>
      <c r="S283" s="6"/>
      <c r="T283" s="6"/>
      <c r="U283" s="1"/>
      <c r="V283" s="6"/>
      <c r="W283" s="1878"/>
      <c r="X283" s="1877"/>
      <c r="Y283" s="1877"/>
      <c r="Z283" s="1877"/>
      <c r="AA283" s="1877"/>
      <c r="AB283" s="1877"/>
      <c r="AC283" s="1877"/>
      <c r="AD283" s="1878"/>
      <c r="AE283" s="1877"/>
      <c r="AF283" s="1877"/>
      <c r="AG283" s="1877"/>
      <c r="AH283" s="1911"/>
      <c r="AI283" s="1912"/>
      <c r="AJ283" s="1881"/>
      <c r="AK283" s="1913"/>
      <c r="AM283" s="1393"/>
    </row>
    <row r="284" spans="1:39" s="1350" customFormat="1">
      <c r="A284" s="1"/>
      <c r="B284" s="1"/>
      <c r="C284" s="4"/>
      <c r="D284" s="3"/>
      <c r="E284" s="4"/>
      <c r="F284" s="4"/>
      <c r="G284" s="4"/>
      <c r="H284" s="6"/>
      <c r="I284" s="6"/>
      <c r="J284" s="6"/>
      <c r="K284" s="11"/>
      <c r="L284" s="5"/>
      <c r="M284" s="5"/>
      <c r="N284" s="5"/>
      <c r="O284" s="5"/>
      <c r="P284" s="7"/>
      <c r="Q284" s="5"/>
      <c r="R284" s="5"/>
      <c r="S284" s="6"/>
      <c r="T284" s="6"/>
      <c r="U284" s="1"/>
      <c r="V284" s="6"/>
      <c r="W284" s="1878"/>
      <c r="X284" s="1877"/>
      <c r="Y284" s="1877"/>
      <c r="Z284" s="1877"/>
      <c r="AA284" s="1877"/>
      <c r="AB284" s="1877"/>
      <c r="AC284" s="1877"/>
      <c r="AD284" s="1878"/>
      <c r="AE284" s="1877"/>
      <c r="AF284" s="1877"/>
      <c r="AG284" s="1877"/>
      <c r="AH284" s="1911"/>
      <c r="AI284" s="1912"/>
      <c r="AJ284" s="1881"/>
      <c r="AK284" s="1913"/>
      <c r="AM284" s="1393"/>
    </row>
    <row r="285" spans="1:39" s="1350" customFormat="1">
      <c r="A285" s="1"/>
      <c r="B285" s="1"/>
      <c r="C285" s="4"/>
      <c r="D285" s="3"/>
      <c r="E285" s="4"/>
      <c r="F285" s="4"/>
      <c r="G285" s="4"/>
      <c r="H285" s="6"/>
      <c r="I285" s="6"/>
      <c r="J285" s="6"/>
      <c r="K285" s="11"/>
      <c r="L285" s="5"/>
      <c r="M285" s="5"/>
      <c r="N285" s="5"/>
      <c r="O285" s="5"/>
      <c r="P285" s="7"/>
      <c r="Q285" s="5"/>
      <c r="R285" s="5"/>
      <c r="S285" s="6"/>
      <c r="T285" s="6"/>
      <c r="U285" s="1"/>
      <c r="V285" s="6"/>
      <c r="W285" s="1878"/>
      <c r="X285" s="1877"/>
      <c r="Y285" s="1877"/>
      <c r="Z285" s="1877"/>
      <c r="AA285" s="1877"/>
      <c r="AB285" s="1877"/>
      <c r="AC285" s="1877"/>
      <c r="AD285" s="1878"/>
      <c r="AE285" s="1877"/>
      <c r="AF285" s="1877"/>
      <c r="AG285" s="1877"/>
      <c r="AH285" s="1911"/>
      <c r="AI285" s="1912"/>
      <c r="AJ285" s="1881"/>
      <c r="AK285" s="1913"/>
      <c r="AM285" s="1393"/>
    </row>
    <row r="286" spans="1:39" s="1350" customFormat="1">
      <c r="A286" s="1"/>
      <c r="B286" s="1"/>
      <c r="C286" s="4"/>
      <c r="D286" s="3"/>
      <c r="E286" s="4"/>
      <c r="F286" s="4"/>
      <c r="G286" s="4"/>
      <c r="H286" s="6"/>
      <c r="I286" s="6"/>
      <c r="J286" s="6"/>
      <c r="K286" s="11"/>
      <c r="L286" s="5"/>
      <c r="M286" s="5"/>
      <c r="N286" s="5"/>
      <c r="O286" s="5"/>
      <c r="P286" s="7"/>
      <c r="Q286" s="5"/>
      <c r="R286" s="5"/>
      <c r="S286" s="6"/>
      <c r="T286" s="6"/>
      <c r="U286" s="1"/>
      <c r="V286" s="6"/>
      <c r="W286" s="1878"/>
      <c r="X286" s="1877"/>
      <c r="Y286" s="1877"/>
      <c r="Z286" s="1877"/>
      <c r="AA286" s="1877"/>
      <c r="AB286" s="1877"/>
      <c r="AC286" s="1877"/>
      <c r="AD286" s="1878"/>
      <c r="AE286" s="1877"/>
      <c r="AF286" s="1877"/>
      <c r="AG286" s="1877"/>
      <c r="AH286" s="1911"/>
      <c r="AI286" s="1912"/>
      <c r="AJ286" s="1881"/>
      <c r="AK286" s="1913"/>
      <c r="AM286" s="1393"/>
    </row>
    <row r="287" spans="1:39" s="1350" customFormat="1">
      <c r="A287" s="1"/>
      <c r="B287" s="1"/>
      <c r="C287" s="4"/>
      <c r="D287" s="3"/>
      <c r="E287" s="4"/>
      <c r="F287" s="4"/>
      <c r="G287" s="4"/>
      <c r="H287" s="6"/>
      <c r="I287" s="6"/>
      <c r="J287" s="6"/>
      <c r="K287" s="11"/>
      <c r="L287" s="5"/>
      <c r="M287" s="5"/>
      <c r="N287" s="5"/>
      <c r="O287" s="5"/>
      <c r="P287" s="7"/>
      <c r="Q287" s="5"/>
      <c r="R287" s="5"/>
      <c r="S287" s="6"/>
      <c r="T287" s="6"/>
      <c r="U287" s="1"/>
      <c r="V287" s="6"/>
      <c r="W287" s="1878"/>
      <c r="X287" s="1877"/>
      <c r="Y287" s="1877"/>
      <c r="Z287" s="1877"/>
      <c r="AA287" s="1877"/>
      <c r="AB287" s="1877"/>
      <c r="AC287" s="1877"/>
      <c r="AD287" s="1878"/>
      <c r="AE287" s="1877"/>
      <c r="AF287" s="1877"/>
      <c r="AG287" s="1877"/>
      <c r="AH287" s="1911"/>
      <c r="AI287" s="1912"/>
      <c r="AJ287" s="1881"/>
      <c r="AK287" s="1913"/>
      <c r="AM287" s="1393"/>
    </row>
    <row r="288" spans="1:39" s="1350" customFormat="1">
      <c r="A288" s="1"/>
      <c r="B288" s="1"/>
      <c r="C288" s="4"/>
      <c r="D288" s="3"/>
      <c r="E288" s="4"/>
      <c r="F288" s="4"/>
      <c r="G288" s="4"/>
      <c r="H288" s="6"/>
      <c r="I288" s="6"/>
      <c r="J288" s="6"/>
      <c r="K288" s="11"/>
      <c r="L288" s="5"/>
      <c r="M288" s="5"/>
      <c r="N288" s="5"/>
      <c r="O288" s="5"/>
      <c r="P288" s="7"/>
      <c r="Q288" s="5"/>
      <c r="R288" s="5"/>
      <c r="S288" s="6"/>
      <c r="T288" s="6"/>
      <c r="U288" s="1"/>
      <c r="V288" s="6"/>
      <c r="W288" s="1878"/>
      <c r="X288" s="1877"/>
      <c r="Y288" s="1877"/>
      <c r="Z288" s="1877"/>
      <c r="AA288" s="1877"/>
      <c r="AB288" s="1877"/>
      <c r="AC288" s="1877"/>
      <c r="AD288" s="1878"/>
      <c r="AE288" s="1877"/>
      <c r="AF288" s="1877"/>
      <c r="AG288" s="1877"/>
      <c r="AH288" s="1911"/>
      <c r="AI288" s="1912"/>
      <c r="AJ288" s="1881"/>
      <c r="AK288" s="1913"/>
      <c r="AM288" s="1393"/>
    </row>
    <row r="289" spans="1:39" s="1350" customFormat="1">
      <c r="A289" s="1"/>
      <c r="B289" s="1"/>
      <c r="C289" s="4"/>
      <c r="D289" s="3"/>
      <c r="E289" s="4"/>
      <c r="F289" s="4"/>
      <c r="G289" s="4"/>
      <c r="H289" s="6"/>
      <c r="I289" s="6"/>
      <c r="J289" s="6"/>
      <c r="K289" s="11"/>
      <c r="L289" s="5"/>
      <c r="M289" s="5"/>
      <c r="N289" s="5"/>
      <c r="O289" s="5"/>
      <c r="P289" s="7"/>
      <c r="Q289" s="5"/>
      <c r="R289" s="5"/>
      <c r="S289" s="6"/>
      <c r="T289" s="6"/>
      <c r="U289" s="1"/>
      <c r="V289" s="6"/>
      <c r="W289" s="1878"/>
      <c r="X289" s="1877"/>
      <c r="Y289" s="1877"/>
      <c r="Z289" s="1877"/>
      <c r="AA289" s="1877"/>
      <c r="AB289" s="1877"/>
      <c r="AC289" s="1877"/>
      <c r="AD289" s="1878"/>
      <c r="AE289" s="1877"/>
      <c r="AF289" s="1877"/>
      <c r="AG289" s="1877"/>
      <c r="AH289" s="1911"/>
      <c r="AI289" s="1912"/>
      <c r="AJ289" s="1881"/>
      <c r="AK289" s="1913"/>
      <c r="AM289" s="1393"/>
    </row>
    <row r="290" spans="1:39" s="1350" customFormat="1">
      <c r="A290" s="1"/>
      <c r="B290" s="1"/>
      <c r="C290" s="4"/>
      <c r="D290" s="3"/>
      <c r="E290" s="4"/>
      <c r="F290" s="4"/>
      <c r="G290" s="4"/>
      <c r="H290" s="6"/>
      <c r="I290" s="6"/>
      <c r="J290" s="6"/>
      <c r="K290" s="11"/>
      <c r="L290" s="5"/>
      <c r="M290" s="5"/>
      <c r="N290" s="5"/>
      <c r="O290" s="5"/>
      <c r="P290" s="7"/>
      <c r="Q290" s="5"/>
      <c r="R290" s="5"/>
      <c r="S290" s="6"/>
      <c r="T290" s="6"/>
      <c r="U290" s="1"/>
      <c r="V290" s="6"/>
      <c r="W290" s="1878"/>
      <c r="X290" s="1877"/>
      <c r="Y290" s="1877"/>
      <c r="Z290" s="1877"/>
      <c r="AA290" s="1877"/>
      <c r="AB290" s="1877"/>
      <c r="AC290" s="1877"/>
      <c r="AD290" s="1878"/>
      <c r="AE290" s="1877"/>
      <c r="AF290" s="1877"/>
      <c r="AG290" s="1877"/>
      <c r="AH290" s="1911"/>
      <c r="AI290" s="1912"/>
      <c r="AJ290" s="1881"/>
      <c r="AK290" s="1913"/>
      <c r="AM290" s="1393"/>
    </row>
    <row r="291" spans="1:39" s="1350" customFormat="1">
      <c r="A291" s="1"/>
      <c r="B291" s="1"/>
      <c r="C291" s="4"/>
      <c r="D291" s="3"/>
      <c r="E291" s="4"/>
      <c r="F291" s="4"/>
      <c r="G291" s="4"/>
      <c r="H291" s="6"/>
      <c r="I291" s="6"/>
      <c r="J291" s="6"/>
      <c r="K291" s="11"/>
      <c r="L291" s="5"/>
      <c r="M291" s="5"/>
      <c r="N291" s="5"/>
      <c r="O291" s="5"/>
      <c r="P291" s="7"/>
      <c r="Q291" s="5"/>
      <c r="R291" s="5"/>
      <c r="S291" s="6"/>
      <c r="T291" s="6"/>
      <c r="U291" s="1"/>
      <c r="V291" s="6"/>
      <c r="W291" s="1878"/>
      <c r="X291" s="1877"/>
      <c r="Y291" s="1877"/>
      <c r="Z291" s="1877"/>
      <c r="AA291" s="1877"/>
      <c r="AB291" s="1877"/>
      <c r="AC291" s="1877"/>
      <c r="AD291" s="1878"/>
      <c r="AE291" s="1877"/>
      <c r="AF291" s="1877"/>
      <c r="AG291" s="1877"/>
      <c r="AH291" s="1911"/>
      <c r="AI291" s="1912"/>
      <c r="AJ291" s="1881"/>
      <c r="AK291" s="1913"/>
      <c r="AM291" s="1393"/>
    </row>
    <row r="292" spans="1:39" s="1350" customFormat="1">
      <c r="A292" s="1"/>
      <c r="B292" s="1"/>
      <c r="C292" s="4"/>
      <c r="D292" s="3"/>
      <c r="E292" s="4"/>
      <c r="F292" s="4"/>
      <c r="G292" s="4"/>
      <c r="H292" s="6"/>
      <c r="I292" s="6"/>
      <c r="J292" s="6"/>
      <c r="K292" s="11"/>
      <c r="L292" s="5"/>
      <c r="M292" s="5"/>
      <c r="N292" s="5"/>
      <c r="O292" s="5"/>
      <c r="P292" s="7"/>
      <c r="Q292" s="5"/>
      <c r="R292" s="5"/>
      <c r="S292" s="6"/>
      <c r="T292" s="6"/>
      <c r="U292" s="1"/>
      <c r="V292" s="6"/>
      <c r="W292" s="1878"/>
      <c r="X292" s="1877"/>
      <c r="Y292" s="1877"/>
      <c r="Z292" s="1877"/>
      <c r="AA292" s="1877"/>
      <c r="AB292" s="1877"/>
      <c r="AC292" s="1877"/>
      <c r="AD292" s="1878"/>
      <c r="AE292" s="1877"/>
      <c r="AF292" s="1877"/>
      <c r="AG292" s="1877"/>
      <c r="AH292" s="1911"/>
      <c r="AI292" s="1912"/>
      <c r="AJ292" s="1881"/>
      <c r="AK292" s="1913"/>
      <c r="AM292" s="1393"/>
    </row>
    <row r="293" spans="1:39" s="1350" customFormat="1">
      <c r="A293" s="1"/>
      <c r="B293" s="1"/>
      <c r="C293" s="4"/>
      <c r="D293" s="3"/>
      <c r="E293" s="4"/>
      <c r="F293" s="4"/>
      <c r="G293" s="4"/>
      <c r="H293" s="6"/>
      <c r="I293" s="6"/>
      <c r="J293" s="6"/>
      <c r="K293" s="11"/>
      <c r="L293" s="5"/>
      <c r="M293" s="5"/>
      <c r="N293" s="5"/>
      <c r="O293" s="5"/>
      <c r="P293" s="7"/>
      <c r="Q293" s="5"/>
      <c r="R293" s="5"/>
      <c r="S293" s="6"/>
      <c r="T293" s="6"/>
      <c r="U293" s="1"/>
      <c r="V293" s="6"/>
      <c r="W293" s="1878"/>
      <c r="X293" s="1877"/>
      <c r="Y293" s="1877"/>
      <c r="Z293" s="1877"/>
      <c r="AA293" s="1877"/>
      <c r="AB293" s="1877"/>
      <c r="AC293" s="1877"/>
      <c r="AD293" s="1878"/>
      <c r="AE293" s="1877"/>
      <c r="AF293" s="1877"/>
      <c r="AG293" s="1877"/>
      <c r="AH293" s="1911"/>
      <c r="AI293" s="1912"/>
      <c r="AJ293" s="1881"/>
      <c r="AK293" s="1913"/>
      <c r="AM293" s="1393"/>
    </row>
    <row r="294" spans="1:39" s="1350" customFormat="1">
      <c r="A294" s="1"/>
      <c r="B294" s="1"/>
      <c r="C294" s="4"/>
      <c r="D294" s="3"/>
      <c r="E294" s="4"/>
      <c r="F294" s="4"/>
      <c r="G294" s="4"/>
      <c r="H294" s="6"/>
      <c r="I294" s="6"/>
      <c r="J294" s="6"/>
      <c r="K294" s="11"/>
      <c r="L294" s="5"/>
      <c r="M294" s="5"/>
      <c r="N294" s="5"/>
      <c r="O294" s="5"/>
      <c r="P294" s="7"/>
      <c r="Q294" s="5"/>
      <c r="R294" s="5"/>
      <c r="S294" s="6"/>
      <c r="T294" s="6"/>
      <c r="U294" s="1"/>
      <c r="V294" s="6"/>
      <c r="W294" s="1878"/>
      <c r="X294" s="1877"/>
      <c r="Y294" s="1877"/>
      <c r="Z294" s="1877"/>
      <c r="AA294" s="1877"/>
      <c r="AB294" s="1877"/>
      <c r="AC294" s="1877"/>
      <c r="AD294" s="1878"/>
      <c r="AE294" s="1877"/>
      <c r="AF294" s="1877"/>
      <c r="AG294" s="1877"/>
      <c r="AH294" s="1911"/>
      <c r="AI294" s="1912"/>
      <c r="AJ294" s="1881"/>
      <c r="AK294" s="1913"/>
      <c r="AM294" s="1393"/>
    </row>
    <row r="295" spans="1:39" s="1350" customFormat="1">
      <c r="A295" s="1"/>
      <c r="B295" s="1"/>
      <c r="C295" s="4"/>
      <c r="D295" s="3"/>
      <c r="E295" s="4"/>
      <c r="F295" s="4"/>
      <c r="G295" s="4"/>
      <c r="H295" s="6"/>
      <c r="I295" s="6"/>
      <c r="J295" s="6"/>
      <c r="K295" s="11"/>
      <c r="L295" s="5"/>
      <c r="M295" s="5"/>
      <c r="N295" s="5"/>
      <c r="O295" s="5"/>
      <c r="P295" s="7"/>
      <c r="Q295" s="5"/>
      <c r="R295" s="5"/>
      <c r="S295" s="6"/>
      <c r="T295" s="6"/>
      <c r="U295" s="1"/>
      <c r="V295" s="6"/>
      <c r="W295" s="1878"/>
      <c r="X295" s="1877"/>
      <c r="Y295" s="1877"/>
      <c r="Z295" s="1877"/>
      <c r="AA295" s="1877"/>
      <c r="AB295" s="1877"/>
      <c r="AC295" s="1877"/>
      <c r="AD295" s="1878"/>
      <c r="AE295" s="1877"/>
      <c r="AF295" s="1877"/>
      <c r="AG295" s="1877"/>
      <c r="AH295" s="1911"/>
      <c r="AI295" s="1912"/>
      <c r="AJ295" s="1881"/>
      <c r="AK295" s="1913"/>
      <c r="AM295" s="1393"/>
    </row>
    <row r="296" spans="1:39" s="1350" customFormat="1">
      <c r="A296" s="1"/>
      <c r="B296" s="1"/>
      <c r="C296" s="4"/>
      <c r="D296" s="3"/>
      <c r="E296" s="4"/>
      <c r="F296" s="4"/>
      <c r="G296" s="4"/>
      <c r="H296" s="6"/>
      <c r="I296" s="6"/>
      <c r="J296" s="6"/>
      <c r="K296" s="11"/>
      <c r="L296" s="5"/>
      <c r="M296" s="5"/>
      <c r="N296" s="5"/>
      <c r="O296" s="5"/>
      <c r="P296" s="7"/>
      <c r="Q296" s="5"/>
      <c r="R296" s="5"/>
      <c r="S296" s="6"/>
      <c r="T296" s="6"/>
      <c r="U296" s="1"/>
      <c r="V296" s="6"/>
      <c r="W296" s="1878"/>
      <c r="X296" s="1877"/>
      <c r="Y296" s="1877"/>
      <c r="Z296" s="1877"/>
      <c r="AA296" s="1877"/>
      <c r="AB296" s="1877"/>
      <c r="AC296" s="1877"/>
      <c r="AD296" s="1878"/>
      <c r="AE296" s="1877"/>
      <c r="AF296" s="1877"/>
      <c r="AG296" s="1877"/>
      <c r="AH296" s="1911"/>
      <c r="AI296" s="1912"/>
      <c r="AJ296" s="1881"/>
      <c r="AK296" s="1913"/>
      <c r="AM296" s="1393"/>
    </row>
    <row r="297" spans="1:39" s="1350" customFormat="1">
      <c r="A297" s="1"/>
      <c r="B297" s="1"/>
      <c r="C297" s="4"/>
      <c r="D297" s="3"/>
      <c r="E297" s="4"/>
      <c r="F297" s="4"/>
      <c r="G297" s="4"/>
      <c r="H297" s="6"/>
      <c r="I297" s="6"/>
      <c r="J297" s="6"/>
      <c r="K297" s="11"/>
      <c r="L297" s="5"/>
      <c r="M297" s="5"/>
      <c r="N297" s="5"/>
      <c r="O297" s="5"/>
      <c r="P297" s="7"/>
      <c r="Q297" s="5"/>
      <c r="R297" s="5"/>
      <c r="S297" s="6"/>
      <c r="T297" s="6"/>
      <c r="U297" s="1"/>
      <c r="V297" s="6"/>
      <c r="W297" s="1878"/>
      <c r="X297" s="1877"/>
      <c r="Y297" s="1877"/>
      <c r="Z297" s="1877"/>
      <c r="AA297" s="1877"/>
      <c r="AB297" s="1877"/>
      <c r="AC297" s="1877"/>
      <c r="AD297" s="1878"/>
      <c r="AE297" s="1877"/>
      <c r="AF297" s="1877"/>
      <c r="AG297" s="1877"/>
      <c r="AH297" s="1911"/>
      <c r="AI297" s="1912"/>
      <c r="AJ297" s="1881"/>
      <c r="AK297" s="1913"/>
      <c r="AM297" s="1393"/>
    </row>
    <row r="298" spans="1:39" s="1350" customFormat="1">
      <c r="A298" s="1"/>
      <c r="B298" s="1"/>
      <c r="C298" s="4"/>
      <c r="D298" s="3"/>
      <c r="E298" s="4"/>
      <c r="F298" s="4"/>
      <c r="G298" s="4"/>
      <c r="H298" s="6"/>
      <c r="I298" s="6"/>
      <c r="J298" s="6"/>
      <c r="K298" s="11"/>
      <c r="L298" s="5"/>
      <c r="M298" s="5"/>
      <c r="N298" s="5"/>
      <c r="O298" s="5"/>
      <c r="P298" s="7"/>
      <c r="Q298" s="5"/>
      <c r="R298" s="5"/>
      <c r="S298" s="6"/>
      <c r="T298" s="6"/>
      <c r="U298" s="1"/>
      <c r="V298" s="6"/>
      <c r="W298" s="1878"/>
      <c r="X298" s="1877"/>
      <c r="Y298" s="1877"/>
      <c r="Z298" s="1877"/>
      <c r="AA298" s="1877"/>
      <c r="AB298" s="1877"/>
      <c r="AC298" s="1877"/>
      <c r="AD298" s="1878"/>
      <c r="AE298" s="1877"/>
      <c r="AF298" s="1877"/>
      <c r="AG298" s="1877"/>
      <c r="AH298" s="1911"/>
      <c r="AI298" s="1912"/>
      <c r="AJ298" s="1881"/>
      <c r="AK298" s="1913"/>
      <c r="AM298" s="1393"/>
    </row>
    <row r="299" spans="1:39" s="1350" customFormat="1">
      <c r="A299" s="1"/>
      <c r="B299" s="1"/>
      <c r="C299" s="4"/>
      <c r="D299" s="3"/>
      <c r="E299" s="4"/>
      <c r="F299" s="4"/>
      <c r="G299" s="4"/>
      <c r="H299" s="6"/>
      <c r="I299" s="6"/>
      <c r="J299" s="6"/>
      <c r="K299" s="11"/>
      <c r="L299" s="5"/>
      <c r="M299" s="5"/>
      <c r="N299" s="5"/>
      <c r="O299" s="5"/>
      <c r="P299" s="7"/>
      <c r="Q299" s="5"/>
      <c r="R299" s="5"/>
      <c r="S299" s="6"/>
      <c r="T299" s="6"/>
      <c r="U299" s="1"/>
      <c r="V299" s="6"/>
      <c r="W299" s="1878"/>
      <c r="X299" s="1877"/>
      <c r="Y299" s="1877"/>
      <c r="Z299" s="1877"/>
      <c r="AA299" s="1877"/>
      <c r="AB299" s="1877"/>
      <c r="AC299" s="1877"/>
      <c r="AD299" s="1878"/>
      <c r="AE299" s="1877"/>
      <c r="AF299" s="1877"/>
      <c r="AG299" s="1877"/>
      <c r="AH299" s="1911"/>
      <c r="AI299" s="1912"/>
      <c r="AJ299" s="1881"/>
      <c r="AK299" s="1913"/>
      <c r="AM299" s="1393"/>
    </row>
    <row r="300" spans="1:39" s="1350" customFormat="1">
      <c r="A300" s="1"/>
      <c r="B300" s="1"/>
      <c r="C300" s="4"/>
      <c r="D300" s="3"/>
      <c r="E300" s="4"/>
      <c r="F300" s="4"/>
      <c r="G300" s="4"/>
      <c r="H300" s="6"/>
      <c r="I300" s="6"/>
      <c r="J300" s="6"/>
      <c r="K300" s="11"/>
      <c r="L300" s="5"/>
      <c r="M300" s="5"/>
      <c r="N300" s="5"/>
      <c r="O300" s="5"/>
      <c r="P300" s="7"/>
      <c r="Q300" s="5"/>
      <c r="R300" s="5"/>
      <c r="S300" s="6"/>
      <c r="T300" s="6"/>
      <c r="U300" s="1"/>
      <c r="V300" s="6"/>
      <c r="W300" s="1878"/>
      <c r="X300" s="1877"/>
      <c r="Y300" s="1877"/>
      <c r="Z300" s="1877"/>
      <c r="AA300" s="1877"/>
      <c r="AB300" s="1877"/>
      <c r="AC300" s="1877"/>
      <c r="AD300" s="1878"/>
      <c r="AE300" s="1877"/>
      <c r="AF300" s="1877"/>
      <c r="AG300" s="1877"/>
      <c r="AH300" s="1911"/>
      <c r="AI300" s="1912"/>
      <c r="AJ300" s="1881"/>
      <c r="AK300" s="1913"/>
      <c r="AM300" s="1393"/>
    </row>
    <row r="301" spans="1:39" s="1350" customFormat="1">
      <c r="A301" s="1"/>
      <c r="B301" s="1"/>
      <c r="C301" s="4"/>
      <c r="D301" s="3"/>
      <c r="E301" s="4"/>
      <c r="F301" s="4"/>
      <c r="G301" s="4"/>
      <c r="H301" s="6"/>
      <c r="I301" s="6"/>
      <c r="J301" s="6"/>
      <c r="K301" s="11"/>
      <c r="L301" s="5"/>
      <c r="M301" s="5"/>
      <c r="N301" s="5"/>
      <c r="O301" s="5"/>
      <c r="P301" s="7"/>
      <c r="Q301" s="5"/>
      <c r="R301" s="5"/>
      <c r="S301" s="6"/>
      <c r="T301" s="6"/>
      <c r="U301" s="1"/>
      <c r="V301" s="6"/>
      <c r="W301" s="1878"/>
      <c r="X301" s="1877"/>
      <c r="Y301" s="1877"/>
      <c r="Z301" s="1877"/>
      <c r="AA301" s="1877"/>
      <c r="AB301" s="1877"/>
      <c r="AC301" s="1877"/>
      <c r="AD301" s="1878"/>
      <c r="AE301" s="1877"/>
      <c r="AF301" s="1877"/>
      <c r="AG301" s="1877"/>
      <c r="AH301" s="1911"/>
      <c r="AI301" s="1912"/>
      <c r="AJ301" s="1881"/>
      <c r="AK301" s="1913"/>
      <c r="AM301" s="1393"/>
    </row>
    <row r="302" spans="1:39" s="1350" customFormat="1">
      <c r="A302" s="1"/>
      <c r="B302" s="1"/>
      <c r="C302" s="4"/>
      <c r="D302" s="3"/>
      <c r="E302" s="4"/>
      <c r="F302" s="4"/>
      <c r="G302" s="4"/>
      <c r="H302" s="6"/>
      <c r="I302" s="6"/>
      <c r="J302" s="6"/>
      <c r="K302" s="11"/>
      <c r="L302" s="5"/>
      <c r="M302" s="5"/>
      <c r="N302" s="5"/>
      <c r="O302" s="5"/>
      <c r="P302" s="7"/>
      <c r="Q302" s="5"/>
      <c r="R302" s="5"/>
      <c r="S302" s="6"/>
      <c r="T302" s="6"/>
      <c r="U302" s="1"/>
      <c r="V302" s="6"/>
      <c r="W302" s="1878"/>
      <c r="X302" s="1877"/>
      <c r="Y302" s="1877"/>
      <c r="Z302" s="1877"/>
      <c r="AA302" s="1877"/>
      <c r="AB302" s="1877"/>
      <c r="AC302" s="1877"/>
      <c r="AD302" s="1878"/>
      <c r="AE302" s="1877"/>
      <c r="AF302" s="1877"/>
      <c r="AG302" s="1877"/>
      <c r="AH302" s="1911"/>
      <c r="AI302" s="1912"/>
      <c r="AJ302" s="1881"/>
      <c r="AK302" s="1913"/>
      <c r="AM302" s="1393"/>
    </row>
    <row r="303" spans="1:39" s="1350" customFormat="1">
      <c r="A303" s="1"/>
      <c r="B303" s="1"/>
      <c r="C303" s="4"/>
      <c r="D303" s="3"/>
      <c r="E303" s="4"/>
      <c r="F303" s="4"/>
      <c r="G303" s="4"/>
      <c r="H303" s="6"/>
      <c r="I303" s="6"/>
      <c r="J303" s="6"/>
      <c r="K303" s="11"/>
      <c r="L303" s="5"/>
      <c r="M303" s="5"/>
      <c r="N303" s="5"/>
      <c r="O303" s="5"/>
      <c r="P303" s="7"/>
      <c r="Q303" s="5"/>
      <c r="R303" s="5"/>
      <c r="S303" s="6"/>
      <c r="T303" s="6"/>
      <c r="U303" s="1"/>
      <c r="V303" s="6"/>
      <c r="W303" s="1878"/>
      <c r="X303" s="1877"/>
      <c r="Y303" s="1877"/>
      <c r="Z303" s="1877"/>
      <c r="AA303" s="1877"/>
      <c r="AB303" s="1877"/>
      <c r="AC303" s="1877"/>
      <c r="AD303" s="1878"/>
      <c r="AE303" s="1877"/>
      <c r="AF303" s="1877"/>
      <c r="AG303" s="1877"/>
      <c r="AH303" s="1911"/>
      <c r="AI303" s="1912"/>
      <c r="AJ303" s="1881"/>
      <c r="AK303" s="1913"/>
      <c r="AM303" s="1393"/>
    </row>
    <row r="304" spans="1:39" s="1350" customFormat="1">
      <c r="A304" s="1"/>
      <c r="B304" s="1"/>
      <c r="C304" s="4"/>
      <c r="D304" s="3"/>
      <c r="E304" s="4"/>
      <c r="F304" s="4"/>
      <c r="G304" s="4"/>
      <c r="H304" s="6"/>
      <c r="I304" s="6"/>
      <c r="J304" s="6"/>
      <c r="K304" s="11"/>
      <c r="L304" s="5"/>
      <c r="M304" s="5"/>
      <c r="N304" s="5"/>
      <c r="O304" s="5"/>
      <c r="P304" s="7"/>
      <c r="Q304" s="5"/>
      <c r="R304" s="5"/>
      <c r="S304" s="6"/>
      <c r="T304" s="6"/>
      <c r="U304" s="1"/>
      <c r="V304" s="6"/>
      <c r="W304" s="1878"/>
      <c r="X304" s="1877"/>
      <c r="Y304" s="1877"/>
      <c r="Z304" s="1877"/>
      <c r="AA304" s="1877"/>
      <c r="AB304" s="1877"/>
      <c r="AC304" s="1877"/>
      <c r="AD304" s="1878"/>
      <c r="AE304" s="1877"/>
      <c r="AF304" s="1877"/>
      <c r="AG304" s="1877"/>
      <c r="AH304" s="1911"/>
      <c r="AI304" s="1912"/>
      <c r="AJ304" s="1881"/>
      <c r="AK304" s="1913"/>
      <c r="AM304" s="1393"/>
    </row>
    <row r="305" spans="1:39" s="1350" customFormat="1">
      <c r="A305" s="1"/>
      <c r="B305" s="1"/>
      <c r="C305" s="4"/>
      <c r="D305" s="3"/>
      <c r="E305" s="4"/>
      <c r="F305" s="4"/>
      <c r="G305" s="4"/>
      <c r="H305" s="6"/>
      <c r="I305" s="6"/>
      <c r="J305" s="6"/>
      <c r="K305" s="11"/>
      <c r="L305" s="5"/>
      <c r="M305" s="5"/>
      <c r="N305" s="5"/>
      <c r="O305" s="5"/>
      <c r="P305" s="7"/>
      <c r="Q305" s="5"/>
      <c r="R305" s="5"/>
      <c r="S305" s="6"/>
      <c r="T305" s="6"/>
      <c r="U305" s="1"/>
      <c r="V305" s="6"/>
      <c r="W305" s="1878"/>
      <c r="X305" s="1877"/>
      <c r="Y305" s="1877"/>
      <c r="Z305" s="1877"/>
      <c r="AA305" s="1877"/>
      <c r="AB305" s="1877"/>
      <c r="AC305" s="1877"/>
      <c r="AD305" s="1878"/>
      <c r="AE305" s="1877"/>
      <c r="AF305" s="1877"/>
      <c r="AG305" s="1877"/>
      <c r="AH305" s="1911"/>
      <c r="AI305" s="1912"/>
      <c r="AJ305" s="1881"/>
      <c r="AK305" s="1913"/>
      <c r="AM305" s="1393"/>
    </row>
    <row r="306" spans="1:39" s="1350" customFormat="1">
      <c r="A306" s="1"/>
      <c r="B306" s="1"/>
      <c r="C306" s="4"/>
      <c r="D306" s="3"/>
      <c r="E306" s="4"/>
      <c r="F306" s="4"/>
      <c r="G306" s="4"/>
      <c r="H306" s="6"/>
      <c r="I306" s="6"/>
      <c r="J306" s="6"/>
      <c r="K306" s="11"/>
      <c r="L306" s="5"/>
      <c r="M306" s="5"/>
      <c r="N306" s="5"/>
      <c r="O306" s="5"/>
      <c r="P306" s="7"/>
      <c r="Q306" s="5"/>
      <c r="R306" s="5"/>
      <c r="S306" s="6"/>
      <c r="T306" s="6"/>
      <c r="U306" s="1"/>
      <c r="V306" s="6"/>
      <c r="W306" s="1878"/>
      <c r="X306" s="1877"/>
      <c r="Y306" s="1877"/>
      <c r="Z306" s="1877"/>
      <c r="AA306" s="1877"/>
      <c r="AB306" s="1877"/>
      <c r="AC306" s="1877"/>
      <c r="AD306" s="1878"/>
      <c r="AE306" s="1877"/>
      <c r="AF306" s="1877"/>
      <c r="AG306" s="1877"/>
      <c r="AH306" s="1911"/>
      <c r="AI306" s="1912"/>
      <c r="AJ306" s="1881"/>
      <c r="AK306" s="1913"/>
      <c r="AM306" s="1393"/>
    </row>
    <row r="307" spans="1:39" s="1350" customFormat="1">
      <c r="A307" s="1"/>
      <c r="B307" s="1"/>
      <c r="C307" s="4"/>
      <c r="D307" s="3"/>
      <c r="E307" s="4"/>
      <c r="F307" s="4"/>
      <c r="G307" s="4"/>
      <c r="H307" s="6"/>
      <c r="I307" s="6"/>
      <c r="J307" s="6"/>
      <c r="K307" s="11"/>
      <c r="L307" s="5"/>
      <c r="M307" s="5"/>
      <c r="N307" s="5"/>
      <c r="O307" s="5"/>
      <c r="P307" s="7"/>
      <c r="Q307" s="5"/>
      <c r="R307" s="5"/>
      <c r="S307" s="6"/>
      <c r="T307" s="6"/>
      <c r="U307" s="1"/>
      <c r="V307" s="6"/>
      <c r="W307" s="1878"/>
      <c r="X307" s="1877"/>
      <c r="Y307" s="1877"/>
      <c r="Z307" s="1877"/>
      <c r="AA307" s="1877"/>
      <c r="AB307" s="1877"/>
      <c r="AC307" s="1877"/>
      <c r="AD307" s="1878"/>
      <c r="AE307" s="1877"/>
      <c r="AF307" s="1877"/>
      <c r="AG307" s="1877"/>
      <c r="AH307" s="1911"/>
      <c r="AI307" s="1912"/>
      <c r="AJ307" s="1881"/>
      <c r="AK307" s="1913"/>
      <c r="AM307" s="1393"/>
    </row>
    <row r="308" spans="1:39" s="1350" customFormat="1">
      <c r="A308" s="1"/>
      <c r="B308" s="1"/>
      <c r="C308" s="4"/>
      <c r="D308" s="3"/>
      <c r="E308" s="4"/>
      <c r="F308" s="4"/>
      <c r="G308" s="4"/>
      <c r="H308" s="6"/>
      <c r="I308" s="6"/>
      <c r="J308" s="6"/>
      <c r="K308" s="11"/>
      <c r="L308" s="5"/>
      <c r="M308" s="5"/>
      <c r="N308" s="5"/>
      <c r="O308" s="5"/>
      <c r="P308" s="7"/>
      <c r="Q308" s="5"/>
      <c r="R308" s="5"/>
      <c r="S308" s="6"/>
      <c r="T308" s="6"/>
      <c r="U308" s="1"/>
      <c r="V308" s="6"/>
      <c r="W308" s="1878"/>
      <c r="X308" s="1877"/>
      <c r="Y308" s="1877"/>
      <c r="Z308" s="1877"/>
      <c r="AA308" s="1877"/>
      <c r="AB308" s="1877"/>
      <c r="AC308" s="1877"/>
      <c r="AD308" s="1878"/>
      <c r="AE308" s="1877"/>
      <c r="AF308" s="1877"/>
      <c r="AG308" s="1877"/>
      <c r="AH308" s="1911"/>
      <c r="AI308" s="1912"/>
      <c r="AJ308" s="1881"/>
      <c r="AK308" s="1913"/>
      <c r="AM308" s="1393"/>
    </row>
    <row r="309" spans="1:39" s="1350" customFormat="1">
      <c r="A309" s="1"/>
      <c r="B309" s="1"/>
      <c r="C309" s="4"/>
      <c r="D309" s="3"/>
      <c r="E309" s="4"/>
      <c r="F309" s="4"/>
      <c r="G309" s="4"/>
      <c r="H309" s="6"/>
      <c r="I309" s="6"/>
      <c r="J309" s="6"/>
      <c r="K309" s="11"/>
      <c r="L309" s="5"/>
      <c r="M309" s="5"/>
      <c r="N309" s="5"/>
      <c r="O309" s="5"/>
      <c r="P309" s="7"/>
      <c r="Q309" s="5"/>
      <c r="R309" s="5"/>
      <c r="S309" s="6"/>
      <c r="T309" s="6"/>
      <c r="U309" s="1"/>
      <c r="V309" s="6"/>
      <c r="W309" s="1878"/>
      <c r="X309" s="1877"/>
      <c r="Y309" s="1877"/>
      <c r="Z309" s="1877"/>
      <c r="AA309" s="1877"/>
      <c r="AB309" s="1877"/>
      <c r="AC309" s="1877"/>
      <c r="AD309" s="1878"/>
      <c r="AE309" s="1877"/>
      <c r="AF309" s="1877"/>
      <c r="AG309" s="1877"/>
      <c r="AH309" s="1911"/>
      <c r="AI309" s="1912"/>
      <c r="AJ309" s="1881"/>
      <c r="AK309" s="1913"/>
      <c r="AM309" s="1393"/>
    </row>
    <row r="310" spans="1:39" s="1350" customFormat="1">
      <c r="A310" s="1"/>
      <c r="B310" s="1"/>
      <c r="C310" s="4"/>
      <c r="D310" s="3"/>
      <c r="E310" s="4"/>
      <c r="F310" s="4"/>
      <c r="G310" s="4"/>
      <c r="H310" s="6"/>
      <c r="I310" s="6"/>
      <c r="J310" s="6"/>
      <c r="K310" s="11"/>
      <c r="L310" s="5"/>
      <c r="M310" s="5"/>
      <c r="N310" s="5"/>
      <c r="O310" s="5"/>
      <c r="P310" s="7"/>
      <c r="Q310" s="5"/>
      <c r="R310" s="5"/>
      <c r="S310" s="6"/>
      <c r="T310" s="6"/>
      <c r="U310" s="1"/>
      <c r="V310" s="6"/>
      <c r="W310" s="1878"/>
      <c r="X310" s="1877"/>
      <c r="Y310" s="1877"/>
      <c r="Z310" s="1877"/>
      <c r="AA310" s="1877"/>
      <c r="AB310" s="1877"/>
      <c r="AC310" s="1877"/>
      <c r="AD310" s="1878"/>
      <c r="AE310" s="1877"/>
      <c r="AF310" s="1877"/>
      <c r="AG310" s="1877"/>
      <c r="AH310" s="1911"/>
      <c r="AI310" s="1912"/>
      <c r="AJ310" s="1881"/>
      <c r="AK310" s="1913"/>
      <c r="AM310" s="1393"/>
    </row>
    <row r="311" spans="1:39" s="1350" customFormat="1">
      <c r="A311" s="1"/>
      <c r="B311" s="1"/>
      <c r="C311" s="4"/>
      <c r="D311" s="3"/>
      <c r="E311" s="4"/>
      <c r="F311" s="4"/>
      <c r="G311" s="4"/>
      <c r="H311" s="6"/>
      <c r="I311" s="6"/>
      <c r="J311" s="6"/>
      <c r="K311" s="11"/>
      <c r="L311" s="5"/>
      <c r="M311" s="5"/>
      <c r="N311" s="5"/>
      <c r="O311" s="5"/>
      <c r="P311" s="7"/>
      <c r="Q311" s="5"/>
      <c r="R311" s="5"/>
      <c r="S311" s="6"/>
      <c r="T311" s="6"/>
      <c r="U311" s="1"/>
      <c r="V311" s="6"/>
      <c r="W311" s="1878"/>
      <c r="X311" s="1877"/>
      <c r="Y311" s="1877"/>
      <c r="Z311" s="1877"/>
      <c r="AA311" s="1877"/>
      <c r="AB311" s="1877"/>
      <c r="AC311" s="1877"/>
      <c r="AD311" s="1878"/>
      <c r="AE311" s="1877"/>
      <c r="AF311" s="1877"/>
      <c r="AG311" s="1877"/>
      <c r="AH311" s="1911"/>
      <c r="AI311" s="1912"/>
      <c r="AJ311" s="1881"/>
      <c r="AK311" s="1913"/>
      <c r="AM311" s="1393"/>
    </row>
    <row r="312" spans="1:39" s="1350" customFormat="1">
      <c r="A312" s="1"/>
      <c r="B312" s="1"/>
      <c r="C312" s="4"/>
      <c r="D312" s="3"/>
      <c r="E312" s="4"/>
      <c r="F312" s="4"/>
      <c r="G312" s="4"/>
      <c r="H312" s="6"/>
      <c r="I312" s="6"/>
      <c r="J312" s="6"/>
      <c r="K312" s="11"/>
      <c r="L312" s="5"/>
      <c r="M312" s="5"/>
      <c r="N312" s="5"/>
      <c r="O312" s="5"/>
      <c r="P312" s="7"/>
      <c r="Q312" s="5"/>
      <c r="R312" s="5"/>
      <c r="S312" s="6"/>
      <c r="T312" s="6"/>
      <c r="U312" s="1"/>
      <c r="V312" s="6"/>
      <c r="W312" s="1878"/>
      <c r="X312" s="1877"/>
      <c r="Y312" s="1877"/>
      <c r="Z312" s="1877"/>
      <c r="AA312" s="1877"/>
      <c r="AB312" s="1877"/>
      <c r="AC312" s="1877"/>
      <c r="AD312" s="1878"/>
      <c r="AE312" s="1877"/>
      <c r="AF312" s="1877"/>
      <c r="AG312" s="1877"/>
      <c r="AH312" s="1911"/>
      <c r="AI312" s="1912"/>
      <c r="AJ312" s="1881"/>
      <c r="AK312" s="1913"/>
      <c r="AM312" s="1393"/>
    </row>
    <row r="313" spans="1:39" s="1350" customFormat="1">
      <c r="A313" s="1"/>
      <c r="B313" s="1"/>
      <c r="C313" s="4"/>
      <c r="D313" s="3"/>
      <c r="E313" s="4"/>
      <c r="F313" s="4"/>
      <c r="G313" s="4"/>
      <c r="H313" s="6"/>
      <c r="I313" s="6"/>
      <c r="J313" s="6"/>
      <c r="K313" s="11"/>
      <c r="L313" s="5"/>
      <c r="M313" s="5"/>
      <c r="N313" s="5"/>
      <c r="O313" s="5"/>
      <c r="P313" s="7"/>
      <c r="Q313" s="5"/>
      <c r="R313" s="5"/>
      <c r="S313" s="6"/>
      <c r="T313" s="6"/>
      <c r="U313" s="1"/>
      <c r="V313" s="6"/>
      <c r="W313" s="1878"/>
      <c r="X313" s="1877"/>
      <c r="Y313" s="1877"/>
      <c r="Z313" s="1877"/>
      <c r="AA313" s="1877"/>
      <c r="AB313" s="1877"/>
      <c r="AC313" s="1877"/>
      <c r="AD313" s="1878"/>
      <c r="AE313" s="1877"/>
      <c r="AF313" s="1877"/>
      <c r="AG313" s="1877"/>
      <c r="AH313" s="1911"/>
      <c r="AI313" s="1912"/>
      <c r="AJ313" s="1881"/>
      <c r="AK313" s="1913"/>
      <c r="AM313" s="1393"/>
    </row>
    <row r="314" spans="1:39" s="1350" customFormat="1">
      <c r="A314" s="1"/>
      <c r="B314" s="1"/>
      <c r="C314" s="4"/>
      <c r="D314" s="3"/>
      <c r="E314" s="4"/>
      <c r="F314" s="4"/>
      <c r="G314" s="4"/>
      <c r="H314" s="6"/>
      <c r="I314" s="6"/>
      <c r="J314" s="6"/>
      <c r="K314" s="11"/>
      <c r="L314" s="5"/>
      <c r="M314" s="5"/>
      <c r="N314" s="5"/>
      <c r="O314" s="5"/>
      <c r="P314" s="7"/>
      <c r="Q314" s="5"/>
      <c r="R314" s="5"/>
      <c r="S314" s="6"/>
      <c r="T314" s="6"/>
      <c r="U314" s="1"/>
      <c r="V314" s="6"/>
      <c r="W314" s="1878"/>
      <c r="X314" s="1877"/>
      <c r="Y314" s="1877"/>
      <c r="Z314" s="1877"/>
      <c r="AA314" s="1877"/>
      <c r="AB314" s="1877"/>
      <c r="AC314" s="1877"/>
      <c r="AD314" s="1878"/>
      <c r="AE314" s="1877"/>
      <c r="AF314" s="1877"/>
      <c r="AG314" s="1877"/>
      <c r="AH314" s="1911"/>
      <c r="AI314" s="1912"/>
      <c r="AJ314" s="1881"/>
      <c r="AK314" s="1913"/>
      <c r="AM314" s="1393"/>
    </row>
    <row r="315" spans="1:39" s="1350" customFormat="1">
      <c r="A315" s="1"/>
      <c r="B315" s="1"/>
      <c r="C315" s="4"/>
      <c r="D315" s="3"/>
      <c r="E315" s="4"/>
      <c r="F315" s="4"/>
      <c r="G315" s="4"/>
      <c r="H315" s="6"/>
      <c r="I315" s="6"/>
      <c r="J315" s="6"/>
      <c r="K315" s="11"/>
      <c r="L315" s="5"/>
      <c r="M315" s="5"/>
      <c r="N315" s="5"/>
      <c r="O315" s="5"/>
      <c r="P315" s="7"/>
      <c r="Q315" s="5"/>
      <c r="R315" s="5"/>
      <c r="S315" s="6"/>
      <c r="T315" s="6"/>
      <c r="U315" s="1"/>
      <c r="V315" s="6"/>
      <c r="W315" s="1878"/>
      <c r="X315" s="1877"/>
      <c r="Y315" s="1877"/>
      <c r="Z315" s="1877"/>
      <c r="AA315" s="1877"/>
      <c r="AB315" s="1877"/>
      <c r="AC315" s="1877"/>
      <c r="AD315" s="1878"/>
      <c r="AE315" s="1877"/>
      <c r="AF315" s="1877"/>
      <c r="AG315" s="1877"/>
      <c r="AH315" s="1911"/>
      <c r="AI315" s="1912"/>
      <c r="AJ315" s="1881"/>
      <c r="AK315" s="1913"/>
      <c r="AM315" s="1393"/>
    </row>
    <row r="316" spans="1:39" s="1350" customFormat="1">
      <c r="A316" s="1"/>
      <c r="B316" s="1"/>
      <c r="C316" s="4"/>
      <c r="D316" s="3"/>
      <c r="E316" s="4"/>
      <c r="F316" s="4"/>
      <c r="G316" s="4"/>
      <c r="H316" s="6"/>
      <c r="I316" s="6"/>
      <c r="J316" s="6"/>
      <c r="K316" s="11"/>
      <c r="L316" s="5"/>
      <c r="M316" s="5"/>
      <c r="N316" s="5"/>
      <c r="O316" s="5"/>
      <c r="P316" s="7"/>
      <c r="Q316" s="5"/>
      <c r="R316" s="5"/>
      <c r="S316" s="6"/>
      <c r="T316" s="6"/>
      <c r="U316" s="1"/>
      <c r="V316" s="6"/>
      <c r="W316" s="1878"/>
      <c r="X316" s="1877"/>
      <c r="Y316" s="1877"/>
      <c r="Z316" s="1877"/>
      <c r="AA316" s="1877"/>
      <c r="AB316" s="1877"/>
      <c r="AC316" s="1877"/>
      <c r="AD316" s="1878"/>
      <c r="AE316" s="1877"/>
      <c r="AF316" s="1877"/>
      <c r="AG316" s="1877"/>
      <c r="AH316" s="1911"/>
      <c r="AI316" s="1912"/>
      <c r="AJ316" s="1881"/>
      <c r="AK316" s="1913"/>
      <c r="AM316" s="1393"/>
    </row>
    <row r="317" spans="1:39" s="1350" customFormat="1">
      <c r="A317" s="1"/>
      <c r="B317" s="1"/>
      <c r="C317" s="4"/>
      <c r="D317" s="3"/>
      <c r="E317" s="4"/>
      <c r="F317" s="4"/>
      <c r="G317" s="4"/>
      <c r="H317" s="6"/>
      <c r="I317" s="6"/>
      <c r="J317" s="6"/>
      <c r="K317" s="11"/>
      <c r="L317" s="5"/>
      <c r="M317" s="5"/>
      <c r="N317" s="5"/>
      <c r="O317" s="5"/>
      <c r="P317" s="7"/>
      <c r="Q317" s="5"/>
      <c r="R317" s="5"/>
      <c r="S317" s="6"/>
      <c r="T317" s="6"/>
      <c r="U317" s="1"/>
      <c r="V317" s="6"/>
      <c r="W317" s="1878"/>
      <c r="X317" s="1877"/>
      <c r="Y317" s="1877"/>
      <c r="Z317" s="1877"/>
      <c r="AA317" s="1877"/>
      <c r="AB317" s="1877"/>
      <c r="AC317" s="1877"/>
      <c r="AD317" s="1878"/>
      <c r="AE317" s="1877"/>
      <c r="AF317" s="1877"/>
      <c r="AG317" s="1877"/>
      <c r="AH317" s="1911"/>
      <c r="AI317" s="1912"/>
      <c r="AJ317" s="1881"/>
      <c r="AK317" s="1913"/>
      <c r="AM317" s="1393"/>
    </row>
    <row r="318" spans="1:39" s="1350" customFormat="1">
      <c r="A318" s="1"/>
      <c r="B318" s="1"/>
      <c r="C318" s="4"/>
      <c r="D318" s="3"/>
      <c r="E318" s="4"/>
      <c r="F318" s="4"/>
      <c r="G318" s="4"/>
      <c r="H318" s="6"/>
      <c r="I318" s="6"/>
      <c r="J318" s="6"/>
      <c r="K318" s="11"/>
      <c r="L318" s="5"/>
      <c r="M318" s="5"/>
      <c r="N318" s="5"/>
      <c r="O318" s="5"/>
      <c r="P318" s="7"/>
      <c r="Q318" s="5"/>
      <c r="R318" s="5"/>
      <c r="S318" s="6"/>
      <c r="T318" s="6"/>
      <c r="U318" s="1"/>
      <c r="V318" s="6"/>
      <c r="W318" s="1878"/>
      <c r="X318" s="1877"/>
      <c r="Y318" s="1877"/>
      <c r="Z318" s="1877"/>
      <c r="AA318" s="1877"/>
      <c r="AB318" s="1877"/>
      <c r="AC318" s="1877"/>
      <c r="AD318" s="1878"/>
      <c r="AE318" s="1877"/>
      <c r="AF318" s="1877"/>
      <c r="AG318" s="1877"/>
      <c r="AH318" s="1911"/>
      <c r="AI318" s="1912"/>
      <c r="AJ318" s="1881"/>
      <c r="AK318" s="1913"/>
      <c r="AM318" s="1393"/>
    </row>
    <row r="319" spans="1:39" s="1350" customFormat="1">
      <c r="A319" s="1"/>
      <c r="B319" s="1"/>
      <c r="C319" s="4"/>
      <c r="D319" s="3"/>
      <c r="E319" s="4"/>
      <c r="F319" s="4"/>
      <c r="G319" s="4"/>
      <c r="H319" s="6"/>
      <c r="I319" s="6"/>
      <c r="J319" s="6"/>
      <c r="K319" s="11"/>
      <c r="L319" s="5"/>
      <c r="M319" s="5"/>
      <c r="N319" s="5"/>
      <c r="O319" s="5"/>
      <c r="P319" s="7"/>
      <c r="Q319" s="5"/>
      <c r="R319" s="5"/>
      <c r="S319" s="6"/>
      <c r="T319" s="6"/>
      <c r="U319" s="1"/>
      <c r="V319" s="6"/>
      <c r="W319" s="1878"/>
      <c r="X319" s="1877"/>
      <c r="Y319" s="1877"/>
      <c r="Z319" s="1877"/>
      <c r="AA319" s="1877"/>
      <c r="AB319" s="1877"/>
      <c r="AC319" s="1877"/>
      <c r="AD319" s="1878"/>
      <c r="AE319" s="1877"/>
      <c r="AF319" s="1877"/>
      <c r="AG319" s="1877"/>
      <c r="AH319" s="1911"/>
      <c r="AI319" s="1912"/>
      <c r="AJ319" s="1881"/>
      <c r="AK319" s="1913"/>
      <c r="AM319" s="1393"/>
    </row>
    <row r="320" spans="1:39" s="1350" customFormat="1">
      <c r="A320" s="1"/>
      <c r="B320" s="1"/>
      <c r="C320" s="4"/>
      <c r="D320" s="3"/>
      <c r="E320" s="4"/>
      <c r="F320" s="4"/>
      <c r="G320" s="4"/>
      <c r="H320" s="6"/>
      <c r="I320" s="6"/>
      <c r="J320" s="6"/>
      <c r="K320" s="11"/>
      <c r="L320" s="5"/>
      <c r="M320" s="5"/>
      <c r="N320" s="5"/>
      <c r="O320" s="5"/>
      <c r="P320" s="7"/>
      <c r="Q320" s="5"/>
      <c r="R320" s="5"/>
      <c r="S320" s="6"/>
      <c r="T320" s="6"/>
      <c r="U320" s="1"/>
      <c r="V320" s="6"/>
      <c r="W320" s="1878"/>
      <c r="X320" s="1877"/>
      <c r="Y320" s="1877"/>
      <c r="Z320" s="1877"/>
      <c r="AA320" s="1877"/>
      <c r="AB320" s="1877"/>
      <c r="AC320" s="1877"/>
      <c r="AD320" s="1878"/>
      <c r="AE320" s="1877"/>
      <c r="AF320" s="1877"/>
      <c r="AG320" s="1877"/>
      <c r="AH320" s="1911"/>
      <c r="AI320" s="1912"/>
      <c r="AJ320" s="1881"/>
      <c r="AK320" s="1913"/>
      <c r="AM320" s="1393"/>
    </row>
    <row r="321" spans="1:39" s="1350" customFormat="1">
      <c r="A321" s="1"/>
      <c r="B321" s="1"/>
      <c r="C321" s="4"/>
      <c r="D321" s="3"/>
      <c r="E321" s="4"/>
      <c r="F321" s="4"/>
      <c r="G321" s="4"/>
      <c r="H321" s="6"/>
      <c r="I321" s="6"/>
      <c r="J321" s="6"/>
      <c r="K321" s="11"/>
      <c r="L321" s="5"/>
      <c r="M321" s="5"/>
      <c r="N321" s="5"/>
      <c r="O321" s="5"/>
      <c r="P321" s="7"/>
      <c r="Q321" s="5"/>
      <c r="R321" s="5"/>
      <c r="S321" s="6"/>
      <c r="T321" s="6"/>
      <c r="U321" s="1"/>
      <c r="V321" s="6"/>
      <c r="W321" s="1878"/>
      <c r="X321" s="1877"/>
      <c r="Y321" s="1877"/>
      <c r="Z321" s="1877"/>
      <c r="AA321" s="1877"/>
      <c r="AB321" s="1877"/>
      <c r="AC321" s="1877"/>
      <c r="AD321" s="1878"/>
      <c r="AE321" s="1877"/>
      <c r="AF321" s="1877"/>
      <c r="AG321" s="1877"/>
      <c r="AH321" s="1911"/>
      <c r="AI321" s="1912"/>
      <c r="AJ321" s="1881"/>
      <c r="AK321" s="1913"/>
      <c r="AM321" s="1393"/>
    </row>
    <row r="322" spans="1:39" s="1350" customFormat="1">
      <c r="A322" s="1"/>
      <c r="B322" s="1"/>
      <c r="C322" s="4"/>
      <c r="D322" s="3"/>
      <c r="E322" s="4"/>
      <c r="F322" s="4"/>
      <c r="G322" s="4"/>
      <c r="H322" s="6"/>
      <c r="I322" s="6"/>
      <c r="J322" s="6"/>
      <c r="K322" s="11"/>
      <c r="L322" s="5"/>
      <c r="M322" s="5"/>
      <c r="N322" s="5"/>
      <c r="O322" s="5"/>
      <c r="P322" s="7"/>
      <c r="Q322" s="5"/>
      <c r="R322" s="5"/>
      <c r="S322" s="6"/>
      <c r="T322" s="6"/>
      <c r="U322" s="1"/>
      <c r="V322" s="6"/>
      <c r="W322" s="1878"/>
      <c r="X322" s="1877"/>
      <c r="Y322" s="1877"/>
      <c r="Z322" s="1877"/>
      <c r="AA322" s="1877"/>
      <c r="AB322" s="1877"/>
      <c r="AC322" s="1877"/>
      <c r="AD322" s="1878"/>
      <c r="AE322" s="1877"/>
      <c r="AF322" s="1877"/>
      <c r="AG322" s="1877"/>
      <c r="AH322" s="1911"/>
      <c r="AI322" s="1912"/>
      <c r="AJ322" s="1881"/>
      <c r="AK322" s="1913"/>
      <c r="AM322" s="1393"/>
    </row>
    <row r="323" spans="1:39" s="1350" customFormat="1">
      <c r="A323" s="1"/>
      <c r="B323" s="1"/>
      <c r="C323" s="4"/>
      <c r="D323" s="3"/>
      <c r="E323" s="4"/>
      <c r="F323" s="4"/>
      <c r="G323" s="4"/>
      <c r="H323" s="6"/>
      <c r="I323" s="6"/>
      <c r="J323" s="6"/>
      <c r="K323" s="11"/>
      <c r="L323" s="5"/>
      <c r="M323" s="5"/>
      <c r="N323" s="5"/>
      <c r="O323" s="5"/>
      <c r="P323" s="7"/>
      <c r="Q323" s="5"/>
      <c r="R323" s="5"/>
      <c r="S323" s="6"/>
      <c r="T323" s="6"/>
      <c r="U323" s="1"/>
      <c r="V323" s="6"/>
      <c r="W323" s="1878"/>
      <c r="X323" s="1877"/>
      <c r="Y323" s="1877"/>
      <c r="Z323" s="1877"/>
      <c r="AA323" s="1877"/>
      <c r="AB323" s="1877"/>
      <c r="AC323" s="1877"/>
      <c r="AD323" s="1878"/>
      <c r="AE323" s="1877"/>
      <c r="AF323" s="1877"/>
      <c r="AG323" s="1877"/>
      <c r="AH323" s="1911"/>
      <c r="AI323" s="1912"/>
      <c r="AJ323" s="1881"/>
      <c r="AK323" s="1913"/>
      <c r="AM323" s="1393"/>
    </row>
    <row r="324" spans="1:39" s="1350" customFormat="1">
      <c r="A324" s="1"/>
      <c r="B324" s="1"/>
      <c r="C324" s="4"/>
      <c r="D324" s="3"/>
      <c r="E324" s="4"/>
      <c r="F324" s="4"/>
      <c r="G324" s="4"/>
      <c r="H324" s="6"/>
      <c r="I324" s="6"/>
      <c r="J324" s="6"/>
      <c r="K324" s="11"/>
      <c r="L324" s="5"/>
      <c r="M324" s="5"/>
      <c r="N324" s="5"/>
      <c r="O324" s="5"/>
      <c r="P324" s="7"/>
      <c r="Q324" s="5"/>
      <c r="R324" s="5"/>
      <c r="S324" s="6"/>
      <c r="T324" s="6"/>
      <c r="U324" s="1"/>
      <c r="V324" s="6"/>
      <c r="W324" s="1878"/>
      <c r="X324" s="1877"/>
      <c r="Y324" s="1877"/>
      <c r="Z324" s="1877"/>
      <c r="AA324" s="1877"/>
      <c r="AB324" s="1877"/>
      <c r="AC324" s="1877"/>
      <c r="AD324" s="1878"/>
      <c r="AE324" s="1877"/>
      <c r="AF324" s="1877"/>
      <c r="AG324" s="1877"/>
      <c r="AH324" s="1911"/>
      <c r="AI324" s="1912"/>
      <c r="AJ324" s="1881"/>
      <c r="AK324" s="1913"/>
      <c r="AM324" s="1393"/>
    </row>
    <row r="325" spans="1:39" s="1350" customFormat="1">
      <c r="A325" s="1"/>
      <c r="B325" s="1"/>
      <c r="C325" s="4"/>
      <c r="D325" s="3"/>
      <c r="E325" s="4"/>
      <c r="F325" s="4"/>
      <c r="G325" s="4"/>
      <c r="H325" s="6"/>
      <c r="I325" s="6"/>
      <c r="J325" s="6"/>
      <c r="K325" s="11"/>
      <c r="L325" s="5"/>
      <c r="M325" s="5"/>
      <c r="N325" s="5"/>
      <c r="O325" s="5"/>
      <c r="P325" s="7"/>
      <c r="Q325" s="5"/>
      <c r="R325" s="5"/>
      <c r="S325" s="6"/>
      <c r="T325" s="6"/>
      <c r="U325" s="1"/>
      <c r="V325" s="6"/>
      <c r="W325" s="1878"/>
      <c r="X325" s="1877"/>
      <c r="Y325" s="1877"/>
      <c r="Z325" s="1877"/>
      <c r="AA325" s="1877"/>
      <c r="AB325" s="1877"/>
      <c r="AC325" s="1877"/>
      <c r="AD325" s="1878"/>
      <c r="AE325" s="1877"/>
      <c r="AF325" s="1877"/>
      <c r="AG325" s="1877"/>
      <c r="AH325" s="1911"/>
      <c r="AI325" s="1912"/>
      <c r="AJ325" s="1881"/>
      <c r="AK325" s="1913"/>
      <c r="AM325" s="1393"/>
    </row>
    <row r="326" spans="1:39" s="1350" customFormat="1">
      <c r="A326" s="1"/>
      <c r="B326" s="1"/>
      <c r="C326" s="4"/>
      <c r="D326" s="3"/>
      <c r="E326" s="4"/>
      <c r="F326" s="4"/>
      <c r="G326" s="4"/>
      <c r="H326" s="6"/>
      <c r="I326" s="6"/>
      <c r="J326" s="6"/>
      <c r="K326" s="11"/>
      <c r="L326" s="5"/>
      <c r="M326" s="5"/>
      <c r="N326" s="5"/>
      <c r="O326" s="5"/>
      <c r="P326" s="7"/>
      <c r="Q326" s="5"/>
      <c r="R326" s="5"/>
      <c r="S326" s="6"/>
      <c r="T326" s="6"/>
      <c r="U326" s="1"/>
      <c r="V326" s="6"/>
      <c r="W326" s="1878"/>
      <c r="X326" s="1877"/>
      <c r="Y326" s="1877"/>
      <c r="Z326" s="1877"/>
      <c r="AA326" s="1877"/>
      <c r="AB326" s="1877"/>
      <c r="AC326" s="1877"/>
      <c r="AD326" s="1878"/>
      <c r="AE326" s="1877"/>
      <c r="AF326" s="1877"/>
      <c r="AG326" s="1877"/>
      <c r="AH326" s="1911"/>
      <c r="AI326" s="1912"/>
      <c r="AJ326" s="1881"/>
      <c r="AK326" s="1913"/>
      <c r="AM326" s="1393"/>
    </row>
    <row r="327" spans="1:39" s="1350" customFormat="1">
      <c r="A327" s="1"/>
      <c r="B327" s="1"/>
      <c r="C327" s="4"/>
      <c r="D327" s="3"/>
      <c r="E327" s="4"/>
      <c r="F327" s="4"/>
      <c r="G327" s="4"/>
      <c r="H327" s="6"/>
      <c r="I327" s="6"/>
      <c r="J327" s="6"/>
      <c r="K327" s="11"/>
      <c r="L327" s="5"/>
      <c r="M327" s="5"/>
      <c r="N327" s="5"/>
      <c r="O327" s="5"/>
      <c r="P327" s="7"/>
      <c r="Q327" s="5"/>
      <c r="R327" s="5"/>
      <c r="S327" s="6"/>
      <c r="T327" s="6"/>
      <c r="U327" s="1"/>
      <c r="V327" s="6"/>
      <c r="W327" s="1878"/>
      <c r="X327" s="1877"/>
      <c r="Y327" s="1877"/>
      <c r="Z327" s="1877"/>
      <c r="AA327" s="1877"/>
      <c r="AB327" s="1877"/>
      <c r="AC327" s="1877"/>
      <c r="AD327" s="1878"/>
      <c r="AE327" s="1877"/>
      <c r="AF327" s="1877"/>
      <c r="AG327" s="1877"/>
      <c r="AH327" s="1911"/>
      <c r="AI327" s="1912"/>
      <c r="AJ327" s="1881"/>
      <c r="AK327" s="1913"/>
      <c r="AM327" s="1393"/>
    </row>
    <row r="328" spans="1:39" s="1350" customFormat="1">
      <c r="A328" s="1"/>
      <c r="B328" s="1"/>
      <c r="C328" s="4"/>
      <c r="D328" s="3"/>
      <c r="E328" s="4"/>
      <c r="F328" s="4"/>
      <c r="G328" s="4"/>
      <c r="H328" s="6"/>
      <c r="I328" s="6"/>
      <c r="J328" s="6"/>
      <c r="K328" s="11"/>
      <c r="L328" s="5"/>
      <c r="M328" s="5"/>
      <c r="N328" s="5"/>
      <c r="O328" s="5"/>
      <c r="P328" s="7"/>
      <c r="Q328" s="5"/>
      <c r="R328" s="5"/>
      <c r="S328" s="6"/>
      <c r="T328" s="6"/>
      <c r="U328" s="1"/>
      <c r="V328" s="6"/>
      <c r="W328" s="1878"/>
      <c r="X328" s="1877"/>
      <c r="Y328" s="1877"/>
      <c r="Z328" s="1877"/>
      <c r="AA328" s="1877"/>
      <c r="AB328" s="1877"/>
      <c r="AC328" s="1877"/>
      <c r="AD328" s="1878"/>
      <c r="AE328" s="1877"/>
      <c r="AF328" s="1877"/>
      <c r="AG328" s="1877"/>
      <c r="AH328" s="1911"/>
      <c r="AI328" s="1912"/>
      <c r="AJ328" s="1881"/>
      <c r="AK328" s="1913"/>
      <c r="AM328" s="1393"/>
    </row>
    <row r="329" spans="1:39" s="1350" customFormat="1">
      <c r="A329" s="1"/>
      <c r="B329" s="1"/>
      <c r="C329" s="4"/>
      <c r="D329" s="3"/>
      <c r="E329" s="4"/>
      <c r="F329" s="4"/>
      <c r="G329" s="4"/>
      <c r="H329" s="6"/>
      <c r="I329" s="6"/>
      <c r="J329" s="6"/>
      <c r="K329" s="11"/>
      <c r="L329" s="5"/>
      <c r="M329" s="5"/>
      <c r="N329" s="5"/>
      <c r="O329" s="5"/>
      <c r="P329" s="7"/>
      <c r="Q329" s="5"/>
      <c r="R329" s="5"/>
      <c r="S329" s="6"/>
      <c r="T329" s="6"/>
      <c r="U329" s="1"/>
      <c r="V329" s="6"/>
      <c r="W329" s="1878"/>
      <c r="X329" s="1877"/>
      <c r="Y329" s="1877"/>
      <c r="Z329" s="1877"/>
      <c r="AA329" s="1877"/>
      <c r="AB329" s="1877"/>
      <c r="AC329" s="1877"/>
      <c r="AD329" s="1878"/>
      <c r="AE329" s="1877"/>
      <c r="AF329" s="1877"/>
      <c r="AG329" s="1877"/>
      <c r="AH329" s="1911"/>
      <c r="AI329" s="1912"/>
      <c r="AJ329" s="1881"/>
      <c r="AK329" s="1913"/>
      <c r="AM329" s="1393"/>
    </row>
    <row r="330" spans="1:39" s="1350" customFormat="1">
      <c r="A330" s="1"/>
      <c r="B330" s="1"/>
      <c r="C330" s="4"/>
      <c r="D330" s="3"/>
      <c r="E330" s="4"/>
      <c r="F330" s="4"/>
      <c r="G330" s="4"/>
      <c r="H330" s="6"/>
      <c r="I330" s="6"/>
      <c r="J330" s="6"/>
      <c r="K330" s="11"/>
      <c r="L330" s="5"/>
      <c r="M330" s="5"/>
      <c r="N330" s="5"/>
      <c r="O330" s="5"/>
      <c r="P330" s="7"/>
      <c r="Q330" s="5"/>
      <c r="R330" s="5"/>
      <c r="S330" s="6"/>
      <c r="T330" s="6"/>
      <c r="U330" s="1"/>
      <c r="V330" s="6"/>
      <c r="W330" s="1878"/>
      <c r="X330" s="1877"/>
      <c r="Y330" s="1877"/>
      <c r="Z330" s="1877"/>
      <c r="AA330" s="1877"/>
      <c r="AB330" s="1877"/>
      <c r="AC330" s="1877"/>
      <c r="AD330" s="1878"/>
      <c r="AE330" s="1877"/>
      <c r="AF330" s="1877"/>
      <c r="AG330" s="1877"/>
      <c r="AH330" s="1911"/>
      <c r="AI330" s="1912"/>
      <c r="AJ330" s="1881"/>
      <c r="AK330" s="1913"/>
      <c r="AM330" s="1393"/>
    </row>
    <row r="331" spans="1:39" s="1350" customFormat="1">
      <c r="A331" s="1"/>
      <c r="B331" s="1"/>
      <c r="C331" s="4"/>
      <c r="D331" s="3"/>
      <c r="E331" s="4"/>
      <c r="F331" s="4"/>
      <c r="G331" s="4"/>
      <c r="H331" s="6"/>
      <c r="I331" s="6"/>
      <c r="J331" s="6"/>
      <c r="K331" s="11"/>
      <c r="L331" s="5"/>
      <c r="M331" s="5"/>
      <c r="N331" s="5"/>
      <c r="O331" s="5"/>
      <c r="P331" s="7"/>
      <c r="Q331" s="5"/>
      <c r="R331" s="5"/>
      <c r="S331" s="6"/>
      <c r="T331" s="6"/>
      <c r="U331" s="1"/>
      <c r="V331" s="6"/>
      <c r="W331" s="1878"/>
      <c r="X331" s="1877"/>
      <c r="Y331" s="1877"/>
      <c r="Z331" s="1877"/>
      <c r="AA331" s="1877"/>
      <c r="AB331" s="1877"/>
      <c r="AC331" s="1877"/>
      <c r="AD331" s="1878"/>
      <c r="AE331" s="1877"/>
      <c r="AF331" s="1877"/>
      <c r="AG331" s="1877"/>
      <c r="AH331" s="1911"/>
      <c r="AI331" s="1912"/>
      <c r="AJ331" s="1881"/>
      <c r="AK331" s="1913"/>
      <c r="AM331" s="1393"/>
    </row>
    <row r="332" spans="1:39" s="1350" customFormat="1">
      <c r="A332" s="1"/>
      <c r="B332" s="1"/>
      <c r="C332" s="4"/>
      <c r="D332" s="3"/>
      <c r="E332" s="4"/>
      <c r="F332" s="4"/>
      <c r="G332" s="4"/>
      <c r="H332" s="6"/>
      <c r="I332" s="6"/>
      <c r="J332" s="6"/>
      <c r="K332" s="11"/>
      <c r="L332" s="5"/>
      <c r="M332" s="5"/>
      <c r="N332" s="5"/>
      <c r="O332" s="5"/>
      <c r="P332" s="7"/>
      <c r="Q332" s="5"/>
      <c r="R332" s="5"/>
      <c r="S332" s="6"/>
      <c r="T332" s="6"/>
      <c r="U332" s="1"/>
      <c r="V332" s="6"/>
      <c r="W332" s="1878"/>
      <c r="X332" s="1877"/>
      <c r="Y332" s="1877"/>
      <c r="Z332" s="1877"/>
      <c r="AA332" s="1877"/>
      <c r="AB332" s="1877"/>
      <c r="AC332" s="1877"/>
      <c r="AD332" s="1878"/>
      <c r="AE332" s="1877"/>
      <c r="AF332" s="1877"/>
      <c r="AG332" s="1877"/>
      <c r="AH332" s="1911"/>
      <c r="AI332" s="1912"/>
      <c r="AJ332" s="1881"/>
      <c r="AK332" s="1913"/>
      <c r="AM332" s="1393"/>
    </row>
  </sheetData>
  <mergeCells count="80">
    <mergeCell ref="A89:A90"/>
    <mergeCell ref="A91:A92"/>
    <mergeCell ref="J89:J92"/>
    <mergeCell ref="L89:L92"/>
    <mergeCell ref="K89:K90"/>
    <mergeCell ref="K91:K92"/>
    <mergeCell ref="B89:B90"/>
    <mergeCell ref="B91:B92"/>
    <mergeCell ref="G89:G92"/>
    <mergeCell ref="I89:I92"/>
    <mergeCell ref="H89:H92"/>
    <mergeCell ref="F89:F92"/>
    <mergeCell ref="E89:E92"/>
    <mergeCell ref="C89:C90"/>
    <mergeCell ref="C91:C92"/>
    <mergeCell ref="D89:D90"/>
    <mergeCell ref="A2:Q2"/>
    <mergeCell ref="D3:L3"/>
    <mergeCell ref="A19:L19"/>
    <mergeCell ref="A35:L35"/>
    <mergeCell ref="A6:M6"/>
    <mergeCell ref="C4:F4"/>
    <mergeCell ref="D91:D92"/>
    <mergeCell ref="AH85:AH86"/>
    <mergeCell ref="L85:L86"/>
    <mergeCell ref="O85:O86"/>
    <mergeCell ref="M85:M86"/>
    <mergeCell ref="AF85:AF86"/>
    <mergeCell ref="P89:P92"/>
    <mergeCell ref="O89:O92"/>
    <mergeCell ref="M89:M92"/>
    <mergeCell ref="A62:N62"/>
    <mergeCell ref="AE85:AE86"/>
    <mergeCell ref="X85:X86"/>
    <mergeCell ref="Y85:Y86"/>
    <mergeCell ref="Z85:Z86"/>
    <mergeCell ref="U85:U86"/>
    <mergeCell ref="V85:V86"/>
    <mergeCell ref="W85:W86"/>
    <mergeCell ref="AA85:AA86"/>
    <mergeCell ref="AB85:AB86"/>
    <mergeCell ref="AC85:AC86"/>
    <mergeCell ref="AD85:AD86"/>
    <mergeCell ref="AI85:AI86"/>
    <mergeCell ref="AJ85:AJ86"/>
    <mergeCell ref="A85:A86"/>
    <mergeCell ref="B85:B86"/>
    <mergeCell ref="J85:J86"/>
    <mergeCell ref="H85:H86"/>
    <mergeCell ref="S85:S86"/>
    <mergeCell ref="AG85:AG86"/>
    <mergeCell ref="P85:P86"/>
    <mergeCell ref="F85:F86"/>
    <mergeCell ref="C85:C86"/>
    <mergeCell ref="D85:D86"/>
    <mergeCell ref="E85:E86"/>
    <mergeCell ref="G85:G86"/>
    <mergeCell ref="I85:I86"/>
    <mergeCell ref="K85:K86"/>
    <mergeCell ref="A123:N123"/>
    <mergeCell ref="AH89:AH92"/>
    <mergeCell ref="A94:N94"/>
    <mergeCell ref="E101:E102"/>
    <mergeCell ref="G101:G102"/>
    <mergeCell ref="I101:I102"/>
    <mergeCell ref="H101:H102"/>
    <mergeCell ref="J101:J102"/>
    <mergeCell ref="M101:M102"/>
    <mergeCell ref="B101:B102"/>
    <mergeCell ref="C101:C102"/>
    <mergeCell ref="D101:D102"/>
    <mergeCell ref="F101:F102"/>
    <mergeCell ref="K101:K102"/>
    <mergeCell ref="S89:S92"/>
    <mergeCell ref="AH101:AH102"/>
    <mergeCell ref="S101:S102"/>
    <mergeCell ref="A101:A102"/>
    <mergeCell ref="L101:L102"/>
    <mergeCell ref="O101:O102"/>
    <mergeCell ref="P101:P102"/>
  </mergeCells>
  <hyperlinks>
    <hyperlink ref="E17" r:id="rId1" display="javascript:void(0)"/>
  </hyperlinks>
  <pageMargins left="0.7" right="0.7" top="0.75" bottom="0.75" header="0.3" footer="0.3"/>
  <pageSetup paperSize="9" orientation="portrait"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D551"/>
  <sheetViews>
    <sheetView zoomScaleNormal="100" workbookViewId="0">
      <pane xSplit="9" ySplit="4" topLeftCell="J139" activePane="bottomRight" state="frozen"/>
      <selection activeCell="J47" sqref="J47"/>
      <selection pane="topRight" activeCell="J47" sqref="J47"/>
      <selection pane="bottomLeft" activeCell="J47" sqref="J47"/>
      <selection pane="bottomRight" activeCell="H160" sqref="H160"/>
    </sheetView>
  </sheetViews>
  <sheetFormatPr defaultColWidth="10.33203125" defaultRowHeight="15.6"/>
  <cols>
    <col min="1" max="1" width="7" style="1" customWidth="1"/>
    <col min="2" max="2" width="19.109375" style="1547" customWidth="1"/>
    <col min="3" max="3" width="14.109375" style="537" customWidth="1"/>
    <col min="4" max="4" width="14.88671875" style="4" customWidth="1"/>
    <col min="5" max="5" width="10.5546875" style="4" customWidth="1"/>
    <col min="6" max="7" width="5.109375" style="6" customWidth="1"/>
    <col min="8" max="8" width="25.44140625" style="7" customWidth="1"/>
    <col min="9" max="9" width="17.33203125" style="551" customWidth="1"/>
    <col min="10" max="10" width="21.33203125" style="11" customWidth="1"/>
    <col min="11" max="11" width="13.33203125" style="11" customWidth="1"/>
    <col min="12" max="12" width="34.33203125" style="270" customWidth="1"/>
    <col min="13" max="13" width="18.44140625" style="270" customWidth="1"/>
    <col min="14" max="14" width="18.6640625" style="271" customWidth="1"/>
    <col min="15" max="15" width="16.6640625" style="272" customWidth="1"/>
    <col min="16" max="16" width="15.109375" style="273" customWidth="1"/>
    <col min="17" max="17" width="37.109375" style="5" customWidth="1"/>
    <col min="18" max="181" width="10.33203125" style="13"/>
    <col min="182" max="182" width="7" style="13" customWidth="1"/>
    <col min="183" max="183" width="13" style="13" customWidth="1"/>
    <col min="184" max="184" width="14.109375" style="13" customWidth="1"/>
    <col min="185" max="185" width="17.33203125" style="13" customWidth="1"/>
    <col min="186" max="186" width="18.88671875" style="13" customWidth="1"/>
    <col min="187" max="187" width="14.109375" style="13" customWidth="1"/>
    <col min="188" max="188" width="21.5546875" style="13" customWidth="1"/>
    <col min="189" max="190" width="14.109375" style="13" customWidth="1"/>
    <col min="191" max="191" width="15" style="13" customWidth="1"/>
    <col min="192" max="192" width="13.33203125" style="13" customWidth="1"/>
    <col min="193" max="193" width="17" style="13" customWidth="1"/>
    <col min="194" max="194" width="24.88671875" style="13" customWidth="1"/>
    <col min="195" max="195" width="14.44140625" style="13" customWidth="1"/>
    <col min="196" max="196" width="23.109375" style="13" customWidth="1"/>
    <col min="197" max="197" width="13.109375" style="13" customWidth="1"/>
    <col min="198" max="201" width="0" style="13" hidden="1" customWidth="1"/>
    <col min="202" max="437" width="10.33203125" style="13"/>
    <col min="438" max="438" width="7" style="13" customWidth="1"/>
    <col min="439" max="439" width="13" style="13" customWidth="1"/>
    <col min="440" max="440" width="14.109375" style="13" customWidth="1"/>
    <col min="441" max="441" width="17.33203125" style="13" customWidth="1"/>
    <col min="442" max="442" width="18.88671875" style="13" customWidth="1"/>
    <col min="443" max="443" width="14.109375" style="13" customWidth="1"/>
    <col min="444" max="444" width="21.5546875" style="13" customWidth="1"/>
    <col min="445" max="446" width="14.109375" style="13" customWidth="1"/>
    <col min="447" max="447" width="15" style="13" customWidth="1"/>
    <col min="448" max="448" width="13.33203125" style="13" customWidth="1"/>
    <col min="449" max="449" width="17" style="13" customWidth="1"/>
    <col min="450" max="450" width="24.88671875" style="13" customWidth="1"/>
    <col min="451" max="451" width="14.44140625" style="13" customWidth="1"/>
    <col min="452" max="452" width="23.109375" style="13" customWidth="1"/>
    <col min="453" max="453" width="13.109375" style="13" customWidth="1"/>
    <col min="454" max="457" width="0" style="13" hidden="1" customWidth="1"/>
    <col min="458" max="693" width="10.33203125" style="13"/>
    <col min="694" max="694" width="7" style="13" customWidth="1"/>
    <col min="695" max="695" width="13" style="13" customWidth="1"/>
    <col min="696" max="696" width="14.109375" style="13" customWidth="1"/>
    <col min="697" max="697" width="17.33203125" style="13" customWidth="1"/>
    <col min="698" max="698" width="18.88671875" style="13" customWidth="1"/>
    <col min="699" max="699" width="14.109375" style="13" customWidth="1"/>
    <col min="700" max="700" width="21.5546875" style="13" customWidth="1"/>
    <col min="701" max="702" width="14.109375" style="13" customWidth="1"/>
    <col min="703" max="703" width="15" style="13" customWidth="1"/>
    <col min="704" max="704" width="13.33203125" style="13" customWidth="1"/>
    <col min="705" max="705" width="17" style="13" customWidth="1"/>
    <col min="706" max="706" width="24.88671875" style="13" customWidth="1"/>
    <col min="707" max="707" width="14.44140625" style="13" customWidth="1"/>
    <col min="708" max="708" width="23.109375" style="13" customWidth="1"/>
    <col min="709" max="709" width="13.109375" style="13" customWidth="1"/>
    <col min="710" max="713" width="0" style="13" hidden="1" customWidth="1"/>
    <col min="714" max="949" width="10.33203125" style="13"/>
    <col min="950" max="950" width="7" style="13" customWidth="1"/>
    <col min="951" max="951" width="13" style="13" customWidth="1"/>
    <col min="952" max="952" width="14.109375" style="13" customWidth="1"/>
    <col min="953" max="953" width="17.33203125" style="13" customWidth="1"/>
    <col min="954" max="954" width="18.88671875" style="13" customWidth="1"/>
    <col min="955" max="955" width="14.109375" style="13" customWidth="1"/>
    <col min="956" max="956" width="21.5546875" style="13" customWidth="1"/>
    <col min="957" max="958" width="14.109375" style="13" customWidth="1"/>
    <col min="959" max="959" width="15" style="13" customWidth="1"/>
    <col min="960" max="960" width="13.33203125" style="13" customWidth="1"/>
    <col min="961" max="961" width="17" style="13" customWidth="1"/>
    <col min="962" max="962" width="24.88671875" style="13" customWidth="1"/>
    <col min="963" max="963" width="14.44140625" style="13" customWidth="1"/>
    <col min="964" max="964" width="23.109375" style="13" customWidth="1"/>
    <col min="965" max="965" width="13.109375" style="13" customWidth="1"/>
    <col min="966" max="969" width="0" style="13" hidden="1" customWidth="1"/>
    <col min="970" max="1205" width="10.33203125" style="13"/>
    <col min="1206" max="1206" width="7" style="13" customWidth="1"/>
    <col min="1207" max="1207" width="13" style="13" customWidth="1"/>
    <col min="1208" max="1208" width="14.109375" style="13" customWidth="1"/>
    <col min="1209" max="1209" width="17.33203125" style="13" customWidth="1"/>
    <col min="1210" max="1210" width="18.88671875" style="13" customWidth="1"/>
    <col min="1211" max="1211" width="14.109375" style="13" customWidth="1"/>
    <col min="1212" max="1212" width="21.5546875" style="13" customWidth="1"/>
    <col min="1213" max="1214" width="14.109375" style="13" customWidth="1"/>
    <col min="1215" max="1215" width="15" style="13" customWidth="1"/>
    <col min="1216" max="1216" width="13.33203125" style="13" customWidth="1"/>
    <col min="1217" max="1217" width="17" style="13" customWidth="1"/>
    <col min="1218" max="1218" width="24.88671875" style="13" customWidth="1"/>
    <col min="1219" max="1219" width="14.44140625" style="13" customWidth="1"/>
    <col min="1220" max="1220" width="23.109375" style="13" customWidth="1"/>
    <col min="1221" max="1221" width="13.109375" style="13" customWidth="1"/>
    <col min="1222" max="1225" width="0" style="13" hidden="1" customWidth="1"/>
    <col min="1226" max="1461" width="10.33203125" style="13"/>
    <col min="1462" max="1462" width="7" style="13" customWidth="1"/>
    <col min="1463" max="1463" width="13" style="13" customWidth="1"/>
    <col min="1464" max="1464" width="14.109375" style="13" customWidth="1"/>
    <col min="1465" max="1465" width="17.33203125" style="13" customWidth="1"/>
    <col min="1466" max="1466" width="18.88671875" style="13" customWidth="1"/>
    <col min="1467" max="1467" width="14.109375" style="13" customWidth="1"/>
    <col min="1468" max="1468" width="21.5546875" style="13" customWidth="1"/>
    <col min="1469" max="1470" width="14.109375" style="13" customWidth="1"/>
    <col min="1471" max="1471" width="15" style="13" customWidth="1"/>
    <col min="1472" max="1472" width="13.33203125" style="13" customWidth="1"/>
    <col min="1473" max="1473" width="17" style="13" customWidth="1"/>
    <col min="1474" max="1474" width="24.88671875" style="13" customWidth="1"/>
    <col min="1475" max="1475" width="14.44140625" style="13" customWidth="1"/>
    <col min="1476" max="1476" width="23.109375" style="13" customWidth="1"/>
    <col min="1477" max="1477" width="13.109375" style="13" customWidth="1"/>
    <col min="1478" max="1481" width="0" style="13" hidden="1" customWidth="1"/>
    <col min="1482" max="1717" width="10.33203125" style="13"/>
    <col min="1718" max="1718" width="7" style="13" customWidth="1"/>
    <col min="1719" max="1719" width="13" style="13" customWidth="1"/>
    <col min="1720" max="1720" width="14.109375" style="13" customWidth="1"/>
    <col min="1721" max="1721" width="17.33203125" style="13" customWidth="1"/>
    <col min="1722" max="1722" width="18.88671875" style="13" customWidth="1"/>
    <col min="1723" max="1723" width="14.109375" style="13" customWidth="1"/>
    <col min="1724" max="1724" width="21.5546875" style="13" customWidth="1"/>
    <col min="1725" max="1726" width="14.109375" style="13" customWidth="1"/>
    <col min="1727" max="1727" width="15" style="13" customWidth="1"/>
    <col min="1728" max="1728" width="13.33203125" style="13" customWidth="1"/>
    <col min="1729" max="1729" width="17" style="13" customWidth="1"/>
    <col min="1730" max="1730" width="24.88671875" style="13" customWidth="1"/>
    <col min="1731" max="1731" width="14.44140625" style="13" customWidth="1"/>
    <col min="1732" max="1732" width="23.109375" style="13" customWidth="1"/>
    <col min="1733" max="1733" width="13.109375" style="13" customWidth="1"/>
    <col min="1734" max="1737" width="0" style="13" hidden="1" customWidth="1"/>
    <col min="1738" max="1973" width="10.33203125" style="13"/>
    <col min="1974" max="1974" width="7" style="13" customWidth="1"/>
    <col min="1975" max="1975" width="13" style="13" customWidth="1"/>
    <col min="1976" max="1976" width="14.109375" style="13" customWidth="1"/>
    <col min="1977" max="1977" width="17.33203125" style="13" customWidth="1"/>
    <col min="1978" max="1978" width="18.88671875" style="13" customWidth="1"/>
    <col min="1979" max="1979" width="14.109375" style="13" customWidth="1"/>
    <col min="1980" max="1980" width="21.5546875" style="13" customWidth="1"/>
    <col min="1981" max="1982" width="14.109375" style="13" customWidth="1"/>
    <col min="1983" max="1983" width="15" style="13" customWidth="1"/>
    <col min="1984" max="1984" width="13.33203125" style="13" customWidth="1"/>
    <col min="1985" max="1985" width="17" style="13" customWidth="1"/>
    <col min="1986" max="1986" width="24.88671875" style="13" customWidth="1"/>
    <col min="1987" max="1987" width="14.44140625" style="13" customWidth="1"/>
    <col min="1988" max="1988" width="23.109375" style="13" customWidth="1"/>
    <col min="1989" max="1989" width="13.109375" style="13" customWidth="1"/>
    <col min="1990" max="1993" width="0" style="13" hidden="1" customWidth="1"/>
    <col min="1994" max="2229" width="10.33203125" style="13"/>
    <col min="2230" max="2230" width="7" style="13" customWidth="1"/>
    <col min="2231" max="2231" width="13" style="13" customWidth="1"/>
    <col min="2232" max="2232" width="14.109375" style="13" customWidth="1"/>
    <col min="2233" max="2233" width="17.33203125" style="13" customWidth="1"/>
    <col min="2234" max="2234" width="18.88671875" style="13" customWidth="1"/>
    <col min="2235" max="2235" width="14.109375" style="13" customWidth="1"/>
    <col min="2236" max="2236" width="21.5546875" style="13" customWidth="1"/>
    <col min="2237" max="2238" width="14.109375" style="13" customWidth="1"/>
    <col min="2239" max="2239" width="15" style="13" customWidth="1"/>
    <col min="2240" max="2240" width="13.33203125" style="13" customWidth="1"/>
    <col min="2241" max="2241" width="17" style="13" customWidth="1"/>
    <col min="2242" max="2242" width="24.88671875" style="13" customWidth="1"/>
    <col min="2243" max="2243" width="14.44140625" style="13" customWidth="1"/>
    <col min="2244" max="2244" width="23.109375" style="13" customWidth="1"/>
    <col min="2245" max="2245" width="13.109375" style="13" customWidth="1"/>
    <col min="2246" max="2249" width="0" style="13" hidden="1" customWidth="1"/>
    <col min="2250" max="2485" width="10.33203125" style="13"/>
    <col min="2486" max="2486" width="7" style="13" customWidth="1"/>
    <col min="2487" max="2487" width="13" style="13" customWidth="1"/>
    <col min="2488" max="2488" width="14.109375" style="13" customWidth="1"/>
    <col min="2489" max="2489" width="17.33203125" style="13" customWidth="1"/>
    <col min="2490" max="2490" width="18.88671875" style="13" customWidth="1"/>
    <col min="2491" max="2491" width="14.109375" style="13" customWidth="1"/>
    <col min="2492" max="2492" width="21.5546875" style="13" customWidth="1"/>
    <col min="2493" max="2494" width="14.109375" style="13" customWidth="1"/>
    <col min="2495" max="2495" width="15" style="13" customWidth="1"/>
    <col min="2496" max="2496" width="13.33203125" style="13" customWidth="1"/>
    <col min="2497" max="2497" width="17" style="13" customWidth="1"/>
    <col min="2498" max="2498" width="24.88671875" style="13" customWidth="1"/>
    <col min="2499" max="2499" width="14.44140625" style="13" customWidth="1"/>
    <col min="2500" max="2500" width="23.109375" style="13" customWidth="1"/>
    <col min="2501" max="2501" width="13.109375" style="13" customWidth="1"/>
    <col min="2502" max="2505" width="0" style="13" hidden="1" customWidth="1"/>
    <col min="2506" max="2741" width="10.33203125" style="13"/>
    <col min="2742" max="2742" width="7" style="13" customWidth="1"/>
    <col min="2743" max="2743" width="13" style="13" customWidth="1"/>
    <col min="2744" max="2744" width="14.109375" style="13" customWidth="1"/>
    <col min="2745" max="2745" width="17.33203125" style="13" customWidth="1"/>
    <col min="2746" max="2746" width="18.88671875" style="13" customWidth="1"/>
    <col min="2747" max="2747" width="14.109375" style="13" customWidth="1"/>
    <col min="2748" max="2748" width="21.5546875" style="13" customWidth="1"/>
    <col min="2749" max="2750" width="14.109375" style="13" customWidth="1"/>
    <col min="2751" max="2751" width="15" style="13" customWidth="1"/>
    <col min="2752" max="2752" width="13.33203125" style="13" customWidth="1"/>
    <col min="2753" max="2753" width="17" style="13" customWidth="1"/>
    <col min="2754" max="2754" width="24.88671875" style="13" customWidth="1"/>
    <col min="2755" max="2755" width="14.44140625" style="13" customWidth="1"/>
    <col min="2756" max="2756" width="23.109375" style="13" customWidth="1"/>
    <col min="2757" max="2757" width="13.109375" style="13" customWidth="1"/>
    <col min="2758" max="2761" width="0" style="13" hidden="1" customWidth="1"/>
    <col min="2762" max="2997" width="10.33203125" style="13"/>
    <col min="2998" max="2998" width="7" style="13" customWidth="1"/>
    <col min="2999" max="2999" width="13" style="13" customWidth="1"/>
    <col min="3000" max="3000" width="14.109375" style="13" customWidth="1"/>
    <col min="3001" max="3001" width="17.33203125" style="13" customWidth="1"/>
    <col min="3002" max="3002" width="18.88671875" style="13" customWidth="1"/>
    <col min="3003" max="3003" width="14.109375" style="13" customWidth="1"/>
    <col min="3004" max="3004" width="21.5546875" style="13" customWidth="1"/>
    <col min="3005" max="3006" width="14.109375" style="13" customWidth="1"/>
    <col min="3007" max="3007" width="15" style="13" customWidth="1"/>
    <col min="3008" max="3008" width="13.33203125" style="13" customWidth="1"/>
    <col min="3009" max="3009" width="17" style="13" customWidth="1"/>
    <col min="3010" max="3010" width="24.88671875" style="13" customWidth="1"/>
    <col min="3011" max="3011" width="14.44140625" style="13" customWidth="1"/>
    <col min="3012" max="3012" width="23.109375" style="13" customWidth="1"/>
    <col min="3013" max="3013" width="13.109375" style="13" customWidth="1"/>
    <col min="3014" max="3017" width="0" style="13" hidden="1" customWidth="1"/>
    <col min="3018" max="3253" width="10.33203125" style="13"/>
    <col min="3254" max="3254" width="7" style="13" customWidth="1"/>
    <col min="3255" max="3255" width="13" style="13" customWidth="1"/>
    <col min="3256" max="3256" width="14.109375" style="13" customWidth="1"/>
    <col min="3257" max="3257" width="17.33203125" style="13" customWidth="1"/>
    <col min="3258" max="3258" width="18.88671875" style="13" customWidth="1"/>
    <col min="3259" max="3259" width="14.109375" style="13" customWidth="1"/>
    <col min="3260" max="3260" width="21.5546875" style="13" customWidth="1"/>
    <col min="3261" max="3262" width="14.109375" style="13" customWidth="1"/>
    <col min="3263" max="3263" width="15" style="13" customWidth="1"/>
    <col min="3264" max="3264" width="13.33203125" style="13" customWidth="1"/>
    <col min="3265" max="3265" width="17" style="13" customWidth="1"/>
    <col min="3266" max="3266" width="24.88671875" style="13" customWidth="1"/>
    <col min="3267" max="3267" width="14.44140625" style="13" customWidth="1"/>
    <col min="3268" max="3268" width="23.109375" style="13" customWidth="1"/>
    <col min="3269" max="3269" width="13.109375" style="13" customWidth="1"/>
    <col min="3270" max="3273" width="0" style="13" hidden="1" customWidth="1"/>
    <col min="3274" max="3509" width="10.33203125" style="13"/>
    <col min="3510" max="3510" width="7" style="13" customWidth="1"/>
    <col min="3511" max="3511" width="13" style="13" customWidth="1"/>
    <col min="3512" max="3512" width="14.109375" style="13" customWidth="1"/>
    <col min="3513" max="3513" width="17.33203125" style="13" customWidth="1"/>
    <col min="3514" max="3514" width="18.88671875" style="13" customWidth="1"/>
    <col min="3515" max="3515" width="14.109375" style="13" customWidth="1"/>
    <col min="3516" max="3516" width="21.5546875" style="13" customWidth="1"/>
    <col min="3517" max="3518" width="14.109375" style="13" customWidth="1"/>
    <col min="3519" max="3519" width="15" style="13" customWidth="1"/>
    <col min="3520" max="3520" width="13.33203125" style="13" customWidth="1"/>
    <col min="3521" max="3521" width="17" style="13" customWidth="1"/>
    <col min="3522" max="3522" width="24.88671875" style="13" customWidth="1"/>
    <col min="3523" max="3523" width="14.44140625" style="13" customWidth="1"/>
    <col min="3524" max="3524" width="23.109375" style="13" customWidth="1"/>
    <col min="3525" max="3525" width="13.109375" style="13" customWidth="1"/>
    <col min="3526" max="3529" width="0" style="13" hidden="1" customWidth="1"/>
    <col min="3530" max="3765" width="10.33203125" style="13"/>
    <col min="3766" max="3766" width="7" style="13" customWidth="1"/>
    <col min="3767" max="3767" width="13" style="13" customWidth="1"/>
    <col min="3768" max="3768" width="14.109375" style="13" customWidth="1"/>
    <col min="3769" max="3769" width="17.33203125" style="13" customWidth="1"/>
    <col min="3770" max="3770" width="18.88671875" style="13" customWidth="1"/>
    <col min="3771" max="3771" width="14.109375" style="13" customWidth="1"/>
    <col min="3772" max="3772" width="21.5546875" style="13" customWidth="1"/>
    <col min="3773" max="3774" width="14.109375" style="13" customWidth="1"/>
    <col min="3775" max="3775" width="15" style="13" customWidth="1"/>
    <col min="3776" max="3776" width="13.33203125" style="13" customWidth="1"/>
    <col min="3777" max="3777" width="17" style="13" customWidth="1"/>
    <col min="3778" max="3778" width="24.88671875" style="13" customWidth="1"/>
    <col min="3779" max="3779" width="14.44140625" style="13" customWidth="1"/>
    <col min="3780" max="3780" width="23.109375" style="13" customWidth="1"/>
    <col min="3781" max="3781" width="13.109375" style="13" customWidth="1"/>
    <col min="3782" max="3785" width="0" style="13" hidden="1" customWidth="1"/>
    <col min="3786" max="4021" width="10.33203125" style="13"/>
    <col min="4022" max="4022" width="7" style="13" customWidth="1"/>
    <col min="4023" max="4023" width="13" style="13" customWidth="1"/>
    <col min="4024" max="4024" width="14.109375" style="13" customWidth="1"/>
    <col min="4025" max="4025" width="17.33203125" style="13" customWidth="1"/>
    <col min="4026" max="4026" width="18.88671875" style="13" customWidth="1"/>
    <col min="4027" max="4027" width="14.109375" style="13" customWidth="1"/>
    <col min="4028" max="4028" width="21.5546875" style="13" customWidth="1"/>
    <col min="4029" max="4030" width="14.109375" style="13" customWidth="1"/>
    <col min="4031" max="4031" width="15" style="13" customWidth="1"/>
    <col min="4032" max="4032" width="13.33203125" style="13" customWidth="1"/>
    <col min="4033" max="4033" width="17" style="13" customWidth="1"/>
    <col min="4034" max="4034" width="24.88671875" style="13" customWidth="1"/>
    <col min="4035" max="4035" width="14.44140625" style="13" customWidth="1"/>
    <col min="4036" max="4036" width="23.109375" style="13" customWidth="1"/>
    <col min="4037" max="4037" width="13.109375" style="13" customWidth="1"/>
    <col min="4038" max="4041" width="0" style="13" hidden="1" customWidth="1"/>
    <col min="4042" max="4277" width="10.33203125" style="13"/>
    <col min="4278" max="4278" width="7" style="13" customWidth="1"/>
    <col min="4279" max="4279" width="13" style="13" customWidth="1"/>
    <col min="4280" max="4280" width="14.109375" style="13" customWidth="1"/>
    <col min="4281" max="4281" width="17.33203125" style="13" customWidth="1"/>
    <col min="4282" max="4282" width="18.88671875" style="13" customWidth="1"/>
    <col min="4283" max="4283" width="14.109375" style="13" customWidth="1"/>
    <col min="4284" max="4284" width="21.5546875" style="13" customWidth="1"/>
    <col min="4285" max="4286" width="14.109375" style="13" customWidth="1"/>
    <col min="4287" max="4287" width="15" style="13" customWidth="1"/>
    <col min="4288" max="4288" width="13.33203125" style="13" customWidth="1"/>
    <col min="4289" max="4289" width="17" style="13" customWidth="1"/>
    <col min="4290" max="4290" width="24.88671875" style="13" customWidth="1"/>
    <col min="4291" max="4291" width="14.44140625" style="13" customWidth="1"/>
    <col min="4292" max="4292" width="23.109375" style="13" customWidth="1"/>
    <col min="4293" max="4293" width="13.109375" style="13" customWidth="1"/>
    <col min="4294" max="4297" width="0" style="13" hidden="1" customWidth="1"/>
    <col min="4298" max="4533" width="10.33203125" style="13"/>
    <col min="4534" max="4534" width="7" style="13" customWidth="1"/>
    <col min="4535" max="4535" width="13" style="13" customWidth="1"/>
    <col min="4536" max="4536" width="14.109375" style="13" customWidth="1"/>
    <col min="4537" max="4537" width="17.33203125" style="13" customWidth="1"/>
    <col min="4538" max="4538" width="18.88671875" style="13" customWidth="1"/>
    <col min="4539" max="4539" width="14.109375" style="13" customWidth="1"/>
    <col min="4540" max="4540" width="21.5546875" style="13" customWidth="1"/>
    <col min="4541" max="4542" width="14.109375" style="13" customWidth="1"/>
    <col min="4543" max="4543" width="15" style="13" customWidth="1"/>
    <col min="4544" max="4544" width="13.33203125" style="13" customWidth="1"/>
    <col min="4545" max="4545" width="17" style="13" customWidth="1"/>
    <col min="4546" max="4546" width="24.88671875" style="13" customWidth="1"/>
    <col min="4547" max="4547" width="14.44140625" style="13" customWidth="1"/>
    <col min="4548" max="4548" width="23.109375" style="13" customWidth="1"/>
    <col min="4549" max="4549" width="13.109375" style="13" customWidth="1"/>
    <col min="4550" max="4553" width="0" style="13" hidden="1" customWidth="1"/>
    <col min="4554" max="4789" width="10.33203125" style="13"/>
    <col min="4790" max="4790" width="7" style="13" customWidth="1"/>
    <col min="4791" max="4791" width="13" style="13" customWidth="1"/>
    <col min="4792" max="4792" width="14.109375" style="13" customWidth="1"/>
    <col min="4793" max="4793" width="17.33203125" style="13" customWidth="1"/>
    <col min="4794" max="4794" width="18.88671875" style="13" customWidth="1"/>
    <col min="4795" max="4795" width="14.109375" style="13" customWidth="1"/>
    <col min="4796" max="4796" width="21.5546875" style="13" customWidth="1"/>
    <col min="4797" max="4798" width="14.109375" style="13" customWidth="1"/>
    <col min="4799" max="4799" width="15" style="13" customWidth="1"/>
    <col min="4800" max="4800" width="13.33203125" style="13" customWidth="1"/>
    <col min="4801" max="4801" width="17" style="13" customWidth="1"/>
    <col min="4802" max="4802" width="24.88671875" style="13" customWidth="1"/>
    <col min="4803" max="4803" width="14.44140625" style="13" customWidth="1"/>
    <col min="4804" max="4804" width="23.109375" style="13" customWidth="1"/>
    <col min="4805" max="4805" width="13.109375" style="13" customWidth="1"/>
    <col min="4806" max="4809" width="0" style="13" hidden="1" customWidth="1"/>
    <col min="4810" max="5045" width="10.33203125" style="13"/>
    <col min="5046" max="5046" width="7" style="13" customWidth="1"/>
    <col min="5047" max="5047" width="13" style="13" customWidth="1"/>
    <col min="5048" max="5048" width="14.109375" style="13" customWidth="1"/>
    <col min="5049" max="5049" width="17.33203125" style="13" customWidth="1"/>
    <col min="5050" max="5050" width="18.88671875" style="13" customWidth="1"/>
    <col min="5051" max="5051" width="14.109375" style="13" customWidth="1"/>
    <col min="5052" max="5052" width="21.5546875" style="13" customWidth="1"/>
    <col min="5053" max="5054" width="14.109375" style="13" customWidth="1"/>
    <col min="5055" max="5055" width="15" style="13" customWidth="1"/>
    <col min="5056" max="5056" width="13.33203125" style="13" customWidth="1"/>
    <col min="5057" max="5057" width="17" style="13" customWidth="1"/>
    <col min="5058" max="5058" width="24.88671875" style="13" customWidth="1"/>
    <col min="5059" max="5059" width="14.44140625" style="13" customWidth="1"/>
    <col min="5060" max="5060" width="23.109375" style="13" customWidth="1"/>
    <col min="5061" max="5061" width="13.109375" style="13" customWidth="1"/>
    <col min="5062" max="5065" width="0" style="13" hidden="1" customWidth="1"/>
    <col min="5066" max="5301" width="10.33203125" style="13"/>
    <col min="5302" max="5302" width="7" style="13" customWidth="1"/>
    <col min="5303" max="5303" width="13" style="13" customWidth="1"/>
    <col min="5304" max="5304" width="14.109375" style="13" customWidth="1"/>
    <col min="5305" max="5305" width="17.33203125" style="13" customWidth="1"/>
    <col min="5306" max="5306" width="18.88671875" style="13" customWidth="1"/>
    <col min="5307" max="5307" width="14.109375" style="13" customWidth="1"/>
    <col min="5308" max="5308" width="21.5546875" style="13" customWidth="1"/>
    <col min="5309" max="5310" width="14.109375" style="13" customWidth="1"/>
    <col min="5311" max="5311" width="15" style="13" customWidth="1"/>
    <col min="5312" max="5312" width="13.33203125" style="13" customWidth="1"/>
    <col min="5313" max="5313" width="17" style="13" customWidth="1"/>
    <col min="5314" max="5314" width="24.88671875" style="13" customWidth="1"/>
    <col min="5315" max="5315" width="14.44140625" style="13" customWidth="1"/>
    <col min="5316" max="5316" width="23.109375" style="13" customWidth="1"/>
    <col min="5317" max="5317" width="13.109375" style="13" customWidth="1"/>
    <col min="5318" max="5321" width="0" style="13" hidden="1" customWidth="1"/>
    <col min="5322" max="5557" width="10.33203125" style="13"/>
    <col min="5558" max="5558" width="7" style="13" customWidth="1"/>
    <col min="5559" max="5559" width="13" style="13" customWidth="1"/>
    <col min="5560" max="5560" width="14.109375" style="13" customWidth="1"/>
    <col min="5561" max="5561" width="17.33203125" style="13" customWidth="1"/>
    <col min="5562" max="5562" width="18.88671875" style="13" customWidth="1"/>
    <col min="5563" max="5563" width="14.109375" style="13" customWidth="1"/>
    <col min="5564" max="5564" width="21.5546875" style="13" customWidth="1"/>
    <col min="5565" max="5566" width="14.109375" style="13" customWidth="1"/>
    <col min="5567" max="5567" width="15" style="13" customWidth="1"/>
    <col min="5568" max="5568" width="13.33203125" style="13" customWidth="1"/>
    <col min="5569" max="5569" width="17" style="13" customWidth="1"/>
    <col min="5570" max="5570" width="24.88671875" style="13" customWidth="1"/>
    <col min="5571" max="5571" width="14.44140625" style="13" customWidth="1"/>
    <col min="5572" max="5572" width="23.109375" style="13" customWidth="1"/>
    <col min="5573" max="5573" width="13.109375" style="13" customWidth="1"/>
    <col min="5574" max="5577" width="0" style="13" hidden="1" customWidth="1"/>
    <col min="5578" max="5813" width="10.33203125" style="13"/>
    <col min="5814" max="5814" width="7" style="13" customWidth="1"/>
    <col min="5815" max="5815" width="13" style="13" customWidth="1"/>
    <col min="5816" max="5816" width="14.109375" style="13" customWidth="1"/>
    <col min="5817" max="5817" width="17.33203125" style="13" customWidth="1"/>
    <col min="5818" max="5818" width="18.88671875" style="13" customWidth="1"/>
    <col min="5819" max="5819" width="14.109375" style="13" customWidth="1"/>
    <col min="5820" max="5820" width="21.5546875" style="13" customWidth="1"/>
    <col min="5821" max="5822" width="14.109375" style="13" customWidth="1"/>
    <col min="5823" max="5823" width="15" style="13" customWidth="1"/>
    <col min="5824" max="5824" width="13.33203125" style="13" customWidth="1"/>
    <col min="5825" max="5825" width="17" style="13" customWidth="1"/>
    <col min="5826" max="5826" width="24.88671875" style="13" customWidth="1"/>
    <col min="5827" max="5827" width="14.44140625" style="13" customWidth="1"/>
    <col min="5828" max="5828" width="23.109375" style="13" customWidth="1"/>
    <col min="5829" max="5829" width="13.109375" style="13" customWidth="1"/>
    <col min="5830" max="5833" width="0" style="13" hidden="1" customWidth="1"/>
    <col min="5834" max="6069" width="10.33203125" style="13"/>
    <col min="6070" max="6070" width="7" style="13" customWidth="1"/>
    <col min="6071" max="6071" width="13" style="13" customWidth="1"/>
    <col min="6072" max="6072" width="14.109375" style="13" customWidth="1"/>
    <col min="6073" max="6073" width="17.33203125" style="13" customWidth="1"/>
    <col min="6074" max="6074" width="18.88671875" style="13" customWidth="1"/>
    <col min="6075" max="6075" width="14.109375" style="13" customWidth="1"/>
    <col min="6076" max="6076" width="21.5546875" style="13" customWidth="1"/>
    <col min="6077" max="6078" width="14.109375" style="13" customWidth="1"/>
    <col min="6079" max="6079" width="15" style="13" customWidth="1"/>
    <col min="6080" max="6080" width="13.33203125" style="13" customWidth="1"/>
    <col min="6081" max="6081" width="17" style="13" customWidth="1"/>
    <col min="6082" max="6082" width="24.88671875" style="13" customWidth="1"/>
    <col min="6083" max="6083" width="14.44140625" style="13" customWidth="1"/>
    <col min="6084" max="6084" width="23.109375" style="13" customWidth="1"/>
    <col min="6085" max="6085" width="13.109375" style="13" customWidth="1"/>
    <col min="6086" max="6089" width="0" style="13" hidden="1" customWidth="1"/>
    <col min="6090" max="6325" width="10.33203125" style="13"/>
    <col min="6326" max="6326" width="7" style="13" customWidth="1"/>
    <col min="6327" max="6327" width="13" style="13" customWidth="1"/>
    <col min="6328" max="6328" width="14.109375" style="13" customWidth="1"/>
    <col min="6329" max="6329" width="17.33203125" style="13" customWidth="1"/>
    <col min="6330" max="6330" width="18.88671875" style="13" customWidth="1"/>
    <col min="6331" max="6331" width="14.109375" style="13" customWidth="1"/>
    <col min="6332" max="6332" width="21.5546875" style="13" customWidth="1"/>
    <col min="6333" max="6334" width="14.109375" style="13" customWidth="1"/>
    <col min="6335" max="6335" width="15" style="13" customWidth="1"/>
    <col min="6336" max="6336" width="13.33203125" style="13" customWidth="1"/>
    <col min="6337" max="6337" width="17" style="13" customWidth="1"/>
    <col min="6338" max="6338" width="24.88671875" style="13" customWidth="1"/>
    <col min="6339" max="6339" width="14.44140625" style="13" customWidth="1"/>
    <col min="6340" max="6340" width="23.109375" style="13" customWidth="1"/>
    <col min="6341" max="6341" width="13.109375" style="13" customWidth="1"/>
    <col min="6342" max="6345" width="0" style="13" hidden="1" customWidth="1"/>
    <col min="6346" max="6581" width="10.33203125" style="13"/>
    <col min="6582" max="6582" width="7" style="13" customWidth="1"/>
    <col min="6583" max="6583" width="13" style="13" customWidth="1"/>
    <col min="6584" max="6584" width="14.109375" style="13" customWidth="1"/>
    <col min="6585" max="6585" width="17.33203125" style="13" customWidth="1"/>
    <col min="6586" max="6586" width="18.88671875" style="13" customWidth="1"/>
    <col min="6587" max="6587" width="14.109375" style="13" customWidth="1"/>
    <col min="6588" max="6588" width="21.5546875" style="13" customWidth="1"/>
    <col min="6589" max="6590" width="14.109375" style="13" customWidth="1"/>
    <col min="6591" max="6591" width="15" style="13" customWidth="1"/>
    <col min="6592" max="6592" width="13.33203125" style="13" customWidth="1"/>
    <col min="6593" max="6593" width="17" style="13" customWidth="1"/>
    <col min="6594" max="6594" width="24.88671875" style="13" customWidth="1"/>
    <col min="6595" max="6595" width="14.44140625" style="13" customWidth="1"/>
    <col min="6596" max="6596" width="23.109375" style="13" customWidth="1"/>
    <col min="6597" max="6597" width="13.109375" style="13" customWidth="1"/>
    <col min="6598" max="6601" width="0" style="13" hidden="1" customWidth="1"/>
    <col min="6602" max="6837" width="10.33203125" style="13"/>
    <col min="6838" max="6838" width="7" style="13" customWidth="1"/>
    <col min="6839" max="6839" width="13" style="13" customWidth="1"/>
    <col min="6840" max="6840" width="14.109375" style="13" customWidth="1"/>
    <col min="6841" max="6841" width="17.33203125" style="13" customWidth="1"/>
    <col min="6842" max="6842" width="18.88671875" style="13" customWidth="1"/>
    <col min="6843" max="6843" width="14.109375" style="13" customWidth="1"/>
    <col min="6844" max="6844" width="21.5546875" style="13" customWidth="1"/>
    <col min="6845" max="6846" width="14.109375" style="13" customWidth="1"/>
    <col min="6847" max="6847" width="15" style="13" customWidth="1"/>
    <col min="6848" max="6848" width="13.33203125" style="13" customWidth="1"/>
    <col min="6849" max="6849" width="17" style="13" customWidth="1"/>
    <col min="6850" max="6850" width="24.88671875" style="13" customWidth="1"/>
    <col min="6851" max="6851" width="14.44140625" style="13" customWidth="1"/>
    <col min="6852" max="6852" width="23.109375" style="13" customWidth="1"/>
    <col min="6853" max="6853" width="13.109375" style="13" customWidth="1"/>
    <col min="6854" max="6857" width="0" style="13" hidden="1" customWidth="1"/>
    <col min="6858" max="7093" width="10.33203125" style="13"/>
    <col min="7094" max="7094" width="7" style="13" customWidth="1"/>
    <col min="7095" max="7095" width="13" style="13" customWidth="1"/>
    <col min="7096" max="7096" width="14.109375" style="13" customWidth="1"/>
    <col min="7097" max="7097" width="17.33203125" style="13" customWidth="1"/>
    <col min="7098" max="7098" width="18.88671875" style="13" customWidth="1"/>
    <col min="7099" max="7099" width="14.109375" style="13" customWidth="1"/>
    <col min="7100" max="7100" width="21.5546875" style="13" customWidth="1"/>
    <col min="7101" max="7102" width="14.109375" style="13" customWidth="1"/>
    <col min="7103" max="7103" width="15" style="13" customWidth="1"/>
    <col min="7104" max="7104" width="13.33203125" style="13" customWidth="1"/>
    <col min="7105" max="7105" width="17" style="13" customWidth="1"/>
    <col min="7106" max="7106" width="24.88671875" style="13" customWidth="1"/>
    <col min="7107" max="7107" width="14.44140625" style="13" customWidth="1"/>
    <col min="7108" max="7108" width="23.109375" style="13" customWidth="1"/>
    <col min="7109" max="7109" width="13.109375" style="13" customWidth="1"/>
    <col min="7110" max="7113" width="0" style="13" hidden="1" customWidth="1"/>
    <col min="7114" max="7349" width="10.33203125" style="13"/>
    <col min="7350" max="7350" width="7" style="13" customWidth="1"/>
    <col min="7351" max="7351" width="13" style="13" customWidth="1"/>
    <col min="7352" max="7352" width="14.109375" style="13" customWidth="1"/>
    <col min="7353" max="7353" width="17.33203125" style="13" customWidth="1"/>
    <col min="7354" max="7354" width="18.88671875" style="13" customWidth="1"/>
    <col min="7355" max="7355" width="14.109375" style="13" customWidth="1"/>
    <col min="7356" max="7356" width="21.5546875" style="13" customWidth="1"/>
    <col min="7357" max="7358" width="14.109375" style="13" customWidth="1"/>
    <col min="7359" max="7359" width="15" style="13" customWidth="1"/>
    <col min="7360" max="7360" width="13.33203125" style="13" customWidth="1"/>
    <col min="7361" max="7361" width="17" style="13" customWidth="1"/>
    <col min="7362" max="7362" width="24.88671875" style="13" customWidth="1"/>
    <col min="7363" max="7363" width="14.44140625" style="13" customWidth="1"/>
    <col min="7364" max="7364" width="23.109375" style="13" customWidth="1"/>
    <col min="7365" max="7365" width="13.109375" style="13" customWidth="1"/>
    <col min="7366" max="7369" width="0" style="13" hidden="1" customWidth="1"/>
    <col min="7370" max="7605" width="10.33203125" style="13"/>
    <col min="7606" max="7606" width="7" style="13" customWidth="1"/>
    <col min="7607" max="7607" width="13" style="13" customWidth="1"/>
    <col min="7608" max="7608" width="14.109375" style="13" customWidth="1"/>
    <col min="7609" max="7609" width="17.33203125" style="13" customWidth="1"/>
    <col min="7610" max="7610" width="18.88671875" style="13" customWidth="1"/>
    <col min="7611" max="7611" width="14.109375" style="13" customWidth="1"/>
    <col min="7612" max="7612" width="21.5546875" style="13" customWidth="1"/>
    <col min="7613" max="7614" width="14.109375" style="13" customWidth="1"/>
    <col min="7615" max="7615" width="15" style="13" customWidth="1"/>
    <col min="7616" max="7616" width="13.33203125" style="13" customWidth="1"/>
    <col min="7617" max="7617" width="17" style="13" customWidth="1"/>
    <col min="7618" max="7618" width="24.88671875" style="13" customWidth="1"/>
    <col min="7619" max="7619" width="14.44140625" style="13" customWidth="1"/>
    <col min="7620" max="7620" width="23.109375" style="13" customWidth="1"/>
    <col min="7621" max="7621" width="13.109375" style="13" customWidth="1"/>
    <col min="7622" max="7625" width="0" style="13" hidden="1" customWidth="1"/>
    <col min="7626" max="7861" width="10.33203125" style="13"/>
    <col min="7862" max="7862" width="7" style="13" customWidth="1"/>
    <col min="7863" max="7863" width="13" style="13" customWidth="1"/>
    <col min="7864" max="7864" width="14.109375" style="13" customWidth="1"/>
    <col min="7865" max="7865" width="17.33203125" style="13" customWidth="1"/>
    <col min="7866" max="7866" width="18.88671875" style="13" customWidth="1"/>
    <col min="7867" max="7867" width="14.109375" style="13" customWidth="1"/>
    <col min="7868" max="7868" width="21.5546875" style="13" customWidth="1"/>
    <col min="7869" max="7870" width="14.109375" style="13" customWidth="1"/>
    <col min="7871" max="7871" width="15" style="13" customWidth="1"/>
    <col min="7872" max="7872" width="13.33203125" style="13" customWidth="1"/>
    <col min="7873" max="7873" width="17" style="13" customWidth="1"/>
    <col min="7874" max="7874" width="24.88671875" style="13" customWidth="1"/>
    <col min="7875" max="7875" width="14.44140625" style="13" customWidth="1"/>
    <col min="7876" max="7876" width="23.109375" style="13" customWidth="1"/>
    <col min="7877" max="7877" width="13.109375" style="13" customWidth="1"/>
    <col min="7878" max="7881" width="0" style="13" hidden="1" customWidth="1"/>
    <col min="7882" max="8117" width="10.33203125" style="13"/>
    <col min="8118" max="8118" width="7" style="13" customWidth="1"/>
    <col min="8119" max="8119" width="13" style="13" customWidth="1"/>
    <col min="8120" max="8120" width="14.109375" style="13" customWidth="1"/>
    <col min="8121" max="8121" width="17.33203125" style="13" customWidth="1"/>
    <col min="8122" max="8122" width="18.88671875" style="13" customWidth="1"/>
    <col min="8123" max="8123" width="14.109375" style="13" customWidth="1"/>
    <col min="8124" max="8124" width="21.5546875" style="13" customWidth="1"/>
    <col min="8125" max="8126" width="14.109375" style="13" customWidth="1"/>
    <col min="8127" max="8127" width="15" style="13" customWidth="1"/>
    <col min="8128" max="8128" width="13.33203125" style="13" customWidth="1"/>
    <col min="8129" max="8129" width="17" style="13" customWidth="1"/>
    <col min="8130" max="8130" width="24.88671875" style="13" customWidth="1"/>
    <col min="8131" max="8131" width="14.44140625" style="13" customWidth="1"/>
    <col min="8132" max="8132" width="23.109375" style="13" customWidth="1"/>
    <col min="8133" max="8133" width="13.109375" style="13" customWidth="1"/>
    <col min="8134" max="8137" width="0" style="13" hidden="1" customWidth="1"/>
    <col min="8138" max="8373" width="10.33203125" style="13"/>
    <col min="8374" max="8374" width="7" style="13" customWidth="1"/>
    <col min="8375" max="8375" width="13" style="13" customWidth="1"/>
    <col min="8376" max="8376" width="14.109375" style="13" customWidth="1"/>
    <col min="8377" max="8377" width="17.33203125" style="13" customWidth="1"/>
    <col min="8378" max="8378" width="18.88671875" style="13" customWidth="1"/>
    <col min="8379" max="8379" width="14.109375" style="13" customWidth="1"/>
    <col min="8380" max="8380" width="21.5546875" style="13" customWidth="1"/>
    <col min="8381" max="8382" width="14.109375" style="13" customWidth="1"/>
    <col min="8383" max="8383" width="15" style="13" customWidth="1"/>
    <col min="8384" max="8384" width="13.33203125" style="13" customWidth="1"/>
    <col min="8385" max="8385" width="17" style="13" customWidth="1"/>
    <col min="8386" max="8386" width="24.88671875" style="13" customWidth="1"/>
    <col min="8387" max="8387" width="14.44140625" style="13" customWidth="1"/>
    <col min="8388" max="8388" width="23.109375" style="13" customWidth="1"/>
    <col min="8389" max="8389" width="13.109375" style="13" customWidth="1"/>
    <col min="8390" max="8393" width="0" style="13" hidden="1" customWidth="1"/>
    <col min="8394" max="8629" width="10.33203125" style="13"/>
    <col min="8630" max="8630" width="7" style="13" customWidth="1"/>
    <col min="8631" max="8631" width="13" style="13" customWidth="1"/>
    <col min="8632" max="8632" width="14.109375" style="13" customWidth="1"/>
    <col min="8633" max="8633" width="17.33203125" style="13" customWidth="1"/>
    <col min="8634" max="8634" width="18.88671875" style="13" customWidth="1"/>
    <col min="8635" max="8635" width="14.109375" style="13" customWidth="1"/>
    <col min="8636" max="8636" width="21.5546875" style="13" customWidth="1"/>
    <col min="8637" max="8638" width="14.109375" style="13" customWidth="1"/>
    <col min="8639" max="8639" width="15" style="13" customWidth="1"/>
    <col min="8640" max="8640" width="13.33203125" style="13" customWidth="1"/>
    <col min="8641" max="8641" width="17" style="13" customWidth="1"/>
    <col min="8642" max="8642" width="24.88671875" style="13" customWidth="1"/>
    <col min="8643" max="8643" width="14.44140625" style="13" customWidth="1"/>
    <col min="8644" max="8644" width="23.109375" style="13" customWidth="1"/>
    <col min="8645" max="8645" width="13.109375" style="13" customWidth="1"/>
    <col min="8646" max="8649" width="0" style="13" hidden="1" customWidth="1"/>
    <col min="8650" max="8885" width="10.33203125" style="13"/>
    <col min="8886" max="8886" width="7" style="13" customWidth="1"/>
    <col min="8887" max="8887" width="13" style="13" customWidth="1"/>
    <col min="8888" max="8888" width="14.109375" style="13" customWidth="1"/>
    <col min="8889" max="8889" width="17.33203125" style="13" customWidth="1"/>
    <col min="8890" max="8890" width="18.88671875" style="13" customWidth="1"/>
    <col min="8891" max="8891" width="14.109375" style="13" customWidth="1"/>
    <col min="8892" max="8892" width="21.5546875" style="13" customWidth="1"/>
    <col min="8893" max="8894" width="14.109375" style="13" customWidth="1"/>
    <col min="8895" max="8895" width="15" style="13" customWidth="1"/>
    <col min="8896" max="8896" width="13.33203125" style="13" customWidth="1"/>
    <col min="8897" max="8897" width="17" style="13" customWidth="1"/>
    <col min="8898" max="8898" width="24.88671875" style="13" customWidth="1"/>
    <col min="8899" max="8899" width="14.44140625" style="13" customWidth="1"/>
    <col min="8900" max="8900" width="23.109375" style="13" customWidth="1"/>
    <col min="8901" max="8901" width="13.109375" style="13" customWidth="1"/>
    <col min="8902" max="8905" width="0" style="13" hidden="1" customWidth="1"/>
    <col min="8906" max="9141" width="10.33203125" style="13"/>
    <col min="9142" max="9142" width="7" style="13" customWidth="1"/>
    <col min="9143" max="9143" width="13" style="13" customWidth="1"/>
    <col min="9144" max="9144" width="14.109375" style="13" customWidth="1"/>
    <col min="9145" max="9145" width="17.33203125" style="13" customWidth="1"/>
    <col min="9146" max="9146" width="18.88671875" style="13" customWidth="1"/>
    <col min="9147" max="9147" width="14.109375" style="13" customWidth="1"/>
    <col min="9148" max="9148" width="21.5546875" style="13" customWidth="1"/>
    <col min="9149" max="9150" width="14.109375" style="13" customWidth="1"/>
    <col min="9151" max="9151" width="15" style="13" customWidth="1"/>
    <col min="9152" max="9152" width="13.33203125" style="13" customWidth="1"/>
    <col min="9153" max="9153" width="17" style="13" customWidth="1"/>
    <col min="9154" max="9154" width="24.88671875" style="13" customWidth="1"/>
    <col min="9155" max="9155" width="14.44140625" style="13" customWidth="1"/>
    <col min="9156" max="9156" width="23.109375" style="13" customWidth="1"/>
    <col min="9157" max="9157" width="13.109375" style="13" customWidth="1"/>
    <col min="9158" max="9161" width="0" style="13" hidden="1" customWidth="1"/>
    <col min="9162" max="9397" width="10.33203125" style="13"/>
    <col min="9398" max="9398" width="7" style="13" customWidth="1"/>
    <col min="9399" max="9399" width="13" style="13" customWidth="1"/>
    <col min="9400" max="9400" width="14.109375" style="13" customWidth="1"/>
    <col min="9401" max="9401" width="17.33203125" style="13" customWidth="1"/>
    <col min="9402" max="9402" width="18.88671875" style="13" customWidth="1"/>
    <col min="9403" max="9403" width="14.109375" style="13" customWidth="1"/>
    <col min="9404" max="9404" width="21.5546875" style="13" customWidth="1"/>
    <col min="9405" max="9406" width="14.109375" style="13" customWidth="1"/>
    <col min="9407" max="9407" width="15" style="13" customWidth="1"/>
    <col min="9408" max="9408" width="13.33203125" style="13" customWidth="1"/>
    <col min="9409" max="9409" width="17" style="13" customWidth="1"/>
    <col min="9410" max="9410" width="24.88671875" style="13" customWidth="1"/>
    <col min="9411" max="9411" width="14.44140625" style="13" customWidth="1"/>
    <col min="9412" max="9412" width="23.109375" style="13" customWidth="1"/>
    <col min="9413" max="9413" width="13.109375" style="13" customWidth="1"/>
    <col min="9414" max="9417" width="0" style="13" hidden="1" customWidth="1"/>
    <col min="9418" max="9653" width="10.33203125" style="13"/>
    <col min="9654" max="9654" width="7" style="13" customWidth="1"/>
    <col min="9655" max="9655" width="13" style="13" customWidth="1"/>
    <col min="9656" max="9656" width="14.109375" style="13" customWidth="1"/>
    <col min="9657" max="9657" width="17.33203125" style="13" customWidth="1"/>
    <col min="9658" max="9658" width="18.88671875" style="13" customWidth="1"/>
    <col min="9659" max="9659" width="14.109375" style="13" customWidth="1"/>
    <col min="9660" max="9660" width="21.5546875" style="13" customWidth="1"/>
    <col min="9661" max="9662" width="14.109375" style="13" customWidth="1"/>
    <col min="9663" max="9663" width="15" style="13" customWidth="1"/>
    <col min="9664" max="9664" width="13.33203125" style="13" customWidth="1"/>
    <col min="9665" max="9665" width="17" style="13" customWidth="1"/>
    <col min="9666" max="9666" width="24.88671875" style="13" customWidth="1"/>
    <col min="9667" max="9667" width="14.44140625" style="13" customWidth="1"/>
    <col min="9668" max="9668" width="23.109375" style="13" customWidth="1"/>
    <col min="9669" max="9669" width="13.109375" style="13" customWidth="1"/>
    <col min="9670" max="9673" width="0" style="13" hidden="1" customWidth="1"/>
    <col min="9674" max="9909" width="10.33203125" style="13"/>
    <col min="9910" max="9910" width="7" style="13" customWidth="1"/>
    <col min="9911" max="9911" width="13" style="13" customWidth="1"/>
    <col min="9912" max="9912" width="14.109375" style="13" customWidth="1"/>
    <col min="9913" max="9913" width="17.33203125" style="13" customWidth="1"/>
    <col min="9914" max="9914" width="18.88671875" style="13" customWidth="1"/>
    <col min="9915" max="9915" width="14.109375" style="13" customWidth="1"/>
    <col min="9916" max="9916" width="21.5546875" style="13" customWidth="1"/>
    <col min="9917" max="9918" width="14.109375" style="13" customWidth="1"/>
    <col min="9919" max="9919" width="15" style="13" customWidth="1"/>
    <col min="9920" max="9920" width="13.33203125" style="13" customWidth="1"/>
    <col min="9921" max="9921" width="17" style="13" customWidth="1"/>
    <col min="9922" max="9922" width="24.88671875" style="13" customWidth="1"/>
    <col min="9923" max="9923" width="14.44140625" style="13" customWidth="1"/>
    <col min="9924" max="9924" width="23.109375" style="13" customWidth="1"/>
    <col min="9925" max="9925" width="13.109375" style="13" customWidth="1"/>
    <col min="9926" max="9929" width="0" style="13" hidden="1" customWidth="1"/>
    <col min="9930" max="10165" width="10.33203125" style="13"/>
    <col min="10166" max="10166" width="7" style="13" customWidth="1"/>
    <col min="10167" max="10167" width="13" style="13" customWidth="1"/>
    <col min="10168" max="10168" width="14.109375" style="13" customWidth="1"/>
    <col min="10169" max="10169" width="17.33203125" style="13" customWidth="1"/>
    <col min="10170" max="10170" width="18.88671875" style="13" customWidth="1"/>
    <col min="10171" max="10171" width="14.109375" style="13" customWidth="1"/>
    <col min="10172" max="10172" width="21.5546875" style="13" customWidth="1"/>
    <col min="10173" max="10174" width="14.109375" style="13" customWidth="1"/>
    <col min="10175" max="10175" width="15" style="13" customWidth="1"/>
    <col min="10176" max="10176" width="13.33203125" style="13" customWidth="1"/>
    <col min="10177" max="10177" width="17" style="13" customWidth="1"/>
    <col min="10178" max="10178" width="24.88671875" style="13" customWidth="1"/>
    <col min="10179" max="10179" width="14.44140625" style="13" customWidth="1"/>
    <col min="10180" max="10180" width="23.109375" style="13" customWidth="1"/>
    <col min="10181" max="10181" width="13.109375" style="13" customWidth="1"/>
    <col min="10182" max="10185" width="0" style="13" hidden="1" customWidth="1"/>
    <col min="10186" max="10421" width="10.33203125" style="13"/>
    <col min="10422" max="10422" width="7" style="13" customWidth="1"/>
    <col min="10423" max="10423" width="13" style="13" customWidth="1"/>
    <col min="10424" max="10424" width="14.109375" style="13" customWidth="1"/>
    <col min="10425" max="10425" width="17.33203125" style="13" customWidth="1"/>
    <col min="10426" max="10426" width="18.88671875" style="13" customWidth="1"/>
    <col min="10427" max="10427" width="14.109375" style="13" customWidth="1"/>
    <col min="10428" max="10428" width="21.5546875" style="13" customWidth="1"/>
    <col min="10429" max="10430" width="14.109375" style="13" customWidth="1"/>
    <col min="10431" max="10431" width="15" style="13" customWidth="1"/>
    <col min="10432" max="10432" width="13.33203125" style="13" customWidth="1"/>
    <col min="10433" max="10433" width="17" style="13" customWidth="1"/>
    <col min="10434" max="10434" width="24.88671875" style="13" customWidth="1"/>
    <col min="10435" max="10435" width="14.44140625" style="13" customWidth="1"/>
    <col min="10436" max="10436" width="23.109375" style="13" customWidth="1"/>
    <col min="10437" max="10437" width="13.109375" style="13" customWidth="1"/>
    <col min="10438" max="10441" width="0" style="13" hidden="1" customWidth="1"/>
    <col min="10442" max="10677" width="10.33203125" style="13"/>
    <col min="10678" max="10678" width="7" style="13" customWidth="1"/>
    <col min="10679" max="10679" width="13" style="13" customWidth="1"/>
    <col min="10680" max="10680" width="14.109375" style="13" customWidth="1"/>
    <col min="10681" max="10681" width="17.33203125" style="13" customWidth="1"/>
    <col min="10682" max="10682" width="18.88671875" style="13" customWidth="1"/>
    <col min="10683" max="10683" width="14.109375" style="13" customWidth="1"/>
    <col min="10684" max="10684" width="21.5546875" style="13" customWidth="1"/>
    <col min="10685" max="10686" width="14.109375" style="13" customWidth="1"/>
    <col min="10687" max="10687" width="15" style="13" customWidth="1"/>
    <col min="10688" max="10688" width="13.33203125" style="13" customWidth="1"/>
    <col min="10689" max="10689" width="17" style="13" customWidth="1"/>
    <col min="10690" max="10690" width="24.88671875" style="13" customWidth="1"/>
    <col min="10691" max="10691" width="14.44140625" style="13" customWidth="1"/>
    <col min="10692" max="10692" width="23.109375" style="13" customWidth="1"/>
    <col min="10693" max="10693" width="13.109375" style="13" customWidth="1"/>
    <col min="10694" max="10697" width="0" style="13" hidden="1" customWidth="1"/>
    <col min="10698" max="10933" width="10.33203125" style="13"/>
    <col min="10934" max="10934" width="7" style="13" customWidth="1"/>
    <col min="10935" max="10935" width="13" style="13" customWidth="1"/>
    <col min="10936" max="10936" width="14.109375" style="13" customWidth="1"/>
    <col min="10937" max="10937" width="17.33203125" style="13" customWidth="1"/>
    <col min="10938" max="10938" width="18.88671875" style="13" customWidth="1"/>
    <col min="10939" max="10939" width="14.109375" style="13" customWidth="1"/>
    <col min="10940" max="10940" width="21.5546875" style="13" customWidth="1"/>
    <col min="10941" max="10942" width="14.109375" style="13" customWidth="1"/>
    <col min="10943" max="10943" width="15" style="13" customWidth="1"/>
    <col min="10944" max="10944" width="13.33203125" style="13" customWidth="1"/>
    <col min="10945" max="10945" width="17" style="13" customWidth="1"/>
    <col min="10946" max="10946" width="24.88671875" style="13" customWidth="1"/>
    <col min="10947" max="10947" width="14.44140625" style="13" customWidth="1"/>
    <col min="10948" max="10948" width="23.109375" style="13" customWidth="1"/>
    <col min="10949" max="10949" width="13.109375" style="13" customWidth="1"/>
    <col min="10950" max="10953" width="0" style="13" hidden="1" customWidth="1"/>
    <col min="10954" max="11189" width="10.33203125" style="13"/>
    <col min="11190" max="11190" width="7" style="13" customWidth="1"/>
    <col min="11191" max="11191" width="13" style="13" customWidth="1"/>
    <col min="11192" max="11192" width="14.109375" style="13" customWidth="1"/>
    <col min="11193" max="11193" width="17.33203125" style="13" customWidth="1"/>
    <col min="11194" max="11194" width="18.88671875" style="13" customWidth="1"/>
    <col min="11195" max="11195" width="14.109375" style="13" customWidth="1"/>
    <col min="11196" max="11196" width="21.5546875" style="13" customWidth="1"/>
    <col min="11197" max="11198" width="14.109375" style="13" customWidth="1"/>
    <col min="11199" max="11199" width="15" style="13" customWidth="1"/>
    <col min="11200" max="11200" width="13.33203125" style="13" customWidth="1"/>
    <col min="11201" max="11201" width="17" style="13" customWidth="1"/>
    <col min="11202" max="11202" width="24.88671875" style="13" customWidth="1"/>
    <col min="11203" max="11203" width="14.44140625" style="13" customWidth="1"/>
    <col min="11204" max="11204" width="23.109375" style="13" customWidth="1"/>
    <col min="11205" max="11205" width="13.109375" style="13" customWidth="1"/>
    <col min="11206" max="11209" width="0" style="13" hidden="1" customWidth="1"/>
    <col min="11210" max="11445" width="10.33203125" style="13"/>
    <col min="11446" max="11446" width="7" style="13" customWidth="1"/>
    <col min="11447" max="11447" width="13" style="13" customWidth="1"/>
    <col min="11448" max="11448" width="14.109375" style="13" customWidth="1"/>
    <col min="11449" max="11449" width="17.33203125" style="13" customWidth="1"/>
    <col min="11450" max="11450" width="18.88671875" style="13" customWidth="1"/>
    <col min="11451" max="11451" width="14.109375" style="13" customWidth="1"/>
    <col min="11452" max="11452" width="21.5546875" style="13" customWidth="1"/>
    <col min="11453" max="11454" width="14.109375" style="13" customWidth="1"/>
    <col min="11455" max="11455" width="15" style="13" customWidth="1"/>
    <col min="11456" max="11456" width="13.33203125" style="13" customWidth="1"/>
    <col min="11457" max="11457" width="17" style="13" customWidth="1"/>
    <col min="11458" max="11458" width="24.88671875" style="13" customWidth="1"/>
    <col min="11459" max="11459" width="14.44140625" style="13" customWidth="1"/>
    <col min="11460" max="11460" width="23.109375" style="13" customWidth="1"/>
    <col min="11461" max="11461" width="13.109375" style="13" customWidth="1"/>
    <col min="11462" max="11465" width="0" style="13" hidden="1" customWidth="1"/>
    <col min="11466" max="11701" width="10.33203125" style="13"/>
    <col min="11702" max="11702" width="7" style="13" customWidth="1"/>
    <col min="11703" max="11703" width="13" style="13" customWidth="1"/>
    <col min="11704" max="11704" width="14.109375" style="13" customWidth="1"/>
    <col min="11705" max="11705" width="17.33203125" style="13" customWidth="1"/>
    <col min="11706" max="11706" width="18.88671875" style="13" customWidth="1"/>
    <col min="11707" max="11707" width="14.109375" style="13" customWidth="1"/>
    <col min="11708" max="11708" width="21.5546875" style="13" customWidth="1"/>
    <col min="11709" max="11710" width="14.109375" style="13" customWidth="1"/>
    <col min="11711" max="11711" width="15" style="13" customWidth="1"/>
    <col min="11712" max="11712" width="13.33203125" style="13" customWidth="1"/>
    <col min="11713" max="11713" width="17" style="13" customWidth="1"/>
    <col min="11714" max="11714" width="24.88671875" style="13" customWidth="1"/>
    <col min="11715" max="11715" width="14.44140625" style="13" customWidth="1"/>
    <col min="11716" max="11716" width="23.109375" style="13" customWidth="1"/>
    <col min="11717" max="11717" width="13.109375" style="13" customWidth="1"/>
    <col min="11718" max="11721" width="0" style="13" hidden="1" customWidth="1"/>
    <col min="11722" max="11957" width="10.33203125" style="13"/>
    <col min="11958" max="11958" width="7" style="13" customWidth="1"/>
    <col min="11959" max="11959" width="13" style="13" customWidth="1"/>
    <col min="11960" max="11960" width="14.109375" style="13" customWidth="1"/>
    <col min="11961" max="11961" width="17.33203125" style="13" customWidth="1"/>
    <col min="11962" max="11962" width="18.88671875" style="13" customWidth="1"/>
    <col min="11963" max="11963" width="14.109375" style="13" customWidth="1"/>
    <col min="11964" max="11964" width="21.5546875" style="13" customWidth="1"/>
    <col min="11965" max="11966" width="14.109375" style="13" customWidth="1"/>
    <col min="11967" max="11967" width="15" style="13" customWidth="1"/>
    <col min="11968" max="11968" width="13.33203125" style="13" customWidth="1"/>
    <col min="11969" max="11969" width="17" style="13" customWidth="1"/>
    <col min="11970" max="11970" width="24.88671875" style="13" customWidth="1"/>
    <col min="11971" max="11971" width="14.44140625" style="13" customWidth="1"/>
    <col min="11972" max="11972" width="23.109375" style="13" customWidth="1"/>
    <col min="11973" max="11973" width="13.109375" style="13" customWidth="1"/>
    <col min="11974" max="11977" width="0" style="13" hidden="1" customWidth="1"/>
    <col min="11978" max="12213" width="10.33203125" style="13"/>
    <col min="12214" max="12214" width="7" style="13" customWidth="1"/>
    <col min="12215" max="12215" width="13" style="13" customWidth="1"/>
    <col min="12216" max="12216" width="14.109375" style="13" customWidth="1"/>
    <col min="12217" max="12217" width="17.33203125" style="13" customWidth="1"/>
    <col min="12218" max="12218" width="18.88671875" style="13" customWidth="1"/>
    <col min="12219" max="12219" width="14.109375" style="13" customWidth="1"/>
    <col min="12220" max="12220" width="21.5546875" style="13" customWidth="1"/>
    <col min="12221" max="12222" width="14.109375" style="13" customWidth="1"/>
    <col min="12223" max="12223" width="15" style="13" customWidth="1"/>
    <col min="12224" max="12224" width="13.33203125" style="13" customWidth="1"/>
    <col min="12225" max="12225" width="17" style="13" customWidth="1"/>
    <col min="12226" max="12226" width="24.88671875" style="13" customWidth="1"/>
    <col min="12227" max="12227" width="14.44140625" style="13" customWidth="1"/>
    <col min="12228" max="12228" width="23.109375" style="13" customWidth="1"/>
    <col min="12229" max="12229" width="13.109375" style="13" customWidth="1"/>
    <col min="12230" max="12233" width="0" style="13" hidden="1" customWidth="1"/>
    <col min="12234" max="12469" width="10.33203125" style="13"/>
    <col min="12470" max="12470" width="7" style="13" customWidth="1"/>
    <col min="12471" max="12471" width="13" style="13" customWidth="1"/>
    <col min="12472" max="12472" width="14.109375" style="13" customWidth="1"/>
    <col min="12473" max="12473" width="17.33203125" style="13" customWidth="1"/>
    <col min="12474" max="12474" width="18.88671875" style="13" customWidth="1"/>
    <col min="12475" max="12475" width="14.109375" style="13" customWidth="1"/>
    <col min="12476" max="12476" width="21.5546875" style="13" customWidth="1"/>
    <col min="12477" max="12478" width="14.109375" style="13" customWidth="1"/>
    <col min="12479" max="12479" width="15" style="13" customWidth="1"/>
    <col min="12480" max="12480" width="13.33203125" style="13" customWidth="1"/>
    <col min="12481" max="12481" width="17" style="13" customWidth="1"/>
    <col min="12482" max="12482" width="24.88671875" style="13" customWidth="1"/>
    <col min="12483" max="12483" width="14.44140625" style="13" customWidth="1"/>
    <col min="12484" max="12484" width="23.109375" style="13" customWidth="1"/>
    <col min="12485" max="12485" width="13.109375" style="13" customWidth="1"/>
    <col min="12486" max="12489" width="0" style="13" hidden="1" customWidth="1"/>
    <col min="12490" max="12725" width="10.33203125" style="13"/>
    <col min="12726" max="12726" width="7" style="13" customWidth="1"/>
    <col min="12727" max="12727" width="13" style="13" customWidth="1"/>
    <col min="12728" max="12728" width="14.109375" style="13" customWidth="1"/>
    <col min="12729" max="12729" width="17.33203125" style="13" customWidth="1"/>
    <col min="12730" max="12730" width="18.88671875" style="13" customWidth="1"/>
    <col min="12731" max="12731" width="14.109375" style="13" customWidth="1"/>
    <col min="12732" max="12732" width="21.5546875" style="13" customWidth="1"/>
    <col min="12733" max="12734" width="14.109375" style="13" customWidth="1"/>
    <col min="12735" max="12735" width="15" style="13" customWidth="1"/>
    <col min="12736" max="12736" width="13.33203125" style="13" customWidth="1"/>
    <col min="12737" max="12737" width="17" style="13" customWidth="1"/>
    <col min="12738" max="12738" width="24.88671875" style="13" customWidth="1"/>
    <col min="12739" max="12739" width="14.44140625" style="13" customWidth="1"/>
    <col min="12740" max="12740" width="23.109375" style="13" customWidth="1"/>
    <col min="12741" max="12741" width="13.109375" style="13" customWidth="1"/>
    <col min="12742" max="12745" width="0" style="13" hidden="1" customWidth="1"/>
    <col min="12746" max="12981" width="10.33203125" style="13"/>
    <col min="12982" max="12982" width="7" style="13" customWidth="1"/>
    <col min="12983" max="12983" width="13" style="13" customWidth="1"/>
    <col min="12984" max="12984" width="14.109375" style="13" customWidth="1"/>
    <col min="12985" max="12985" width="17.33203125" style="13" customWidth="1"/>
    <col min="12986" max="12986" width="18.88671875" style="13" customWidth="1"/>
    <col min="12987" max="12987" width="14.109375" style="13" customWidth="1"/>
    <col min="12988" max="12988" width="21.5546875" style="13" customWidth="1"/>
    <col min="12989" max="12990" width="14.109375" style="13" customWidth="1"/>
    <col min="12991" max="12991" width="15" style="13" customWidth="1"/>
    <col min="12992" max="12992" width="13.33203125" style="13" customWidth="1"/>
    <col min="12993" max="12993" width="17" style="13" customWidth="1"/>
    <col min="12994" max="12994" width="24.88671875" style="13" customWidth="1"/>
    <col min="12995" max="12995" width="14.44140625" style="13" customWidth="1"/>
    <col min="12996" max="12996" width="23.109375" style="13" customWidth="1"/>
    <col min="12997" max="12997" width="13.109375" style="13" customWidth="1"/>
    <col min="12998" max="13001" width="0" style="13" hidden="1" customWidth="1"/>
    <col min="13002" max="13237" width="10.33203125" style="13"/>
    <col min="13238" max="13238" width="7" style="13" customWidth="1"/>
    <col min="13239" max="13239" width="13" style="13" customWidth="1"/>
    <col min="13240" max="13240" width="14.109375" style="13" customWidth="1"/>
    <col min="13241" max="13241" width="17.33203125" style="13" customWidth="1"/>
    <col min="13242" max="13242" width="18.88671875" style="13" customWidth="1"/>
    <col min="13243" max="13243" width="14.109375" style="13" customWidth="1"/>
    <col min="13244" max="13244" width="21.5546875" style="13" customWidth="1"/>
    <col min="13245" max="13246" width="14.109375" style="13" customWidth="1"/>
    <col min="13247" max="13247" width="15" style="13" customWidth="1"/>
    <col min="13248" max="13248" width="13.33203125" style="13" customWidth="1"/>
    <col min="13249" max="13249" width="17" style="13" customWidth="1"/>
    <col min="13250" max="13250" width="24.88671875" style="13" customWidth="1"/>
    <col min="13251" max="13251" width="14.44140625" style="13" customWidth="1"/>
    <col min="13252" max="13252" width="23.109375" style="13" customWidth="1"/>
    <col min="13253" max="13253" width="13.109375" style="13" customWidth="1"/>
    <col min="13254" max="13257" width="0" style="13" hidden="1" customWidth="1"/>
    <col min="13258" max="13493" width="10.33203125" style="13"/>
    <col min="13494" max="13494" width="7" style="13" customWidth="1"/>
    <col min="13495" max="13495" width="13" style="13" customWidth="1"/>
    <col min="13496" max="13496" width="14.109375" style="13" customWidth="1"/>
    <col min="13497" max="13497" width="17.33203125" style="13" customWidth="1"/>
    <col min="13498" max="13498" width="18.88671875" style="13" customWidth="1"/>
    <col min="13499" max="13499" width="14.109375" style="13" customWidth="1"/>
    <col min="13500" max="13500" width="21.5546875" style="13" customWidth="1"/>
    <col min="13501" max="13502" width="14.109375" style="13" customWidth="1"/>
    <col min="13503" max="13503" width="15" style="13" customWidth="1"/>
    <col min="13504" max="13504" width="13.33203125" style="13" customWidth="1"/>
    <col min="13505" max="13505" width="17" style="13" customWidth="1"/>
    <col min="13506" max="13506" width="24.88671875" style="13" customWidth="1"/>
    <col min="13507" max="13507" width="14.44140625" style="13" customWidth="1"/>
    <col min="13508" max="13508" width="23.109375" style="13" customWidth="1"/>
    <col min="13509" max="13509" width="13.109375" style="13" customWidth="1"/>
    <col min="13510" max="13513" width="0" style="13" hidden="1" customWidth="1"/>
    <col min="13514" max="13749" width="10.33203125" style="13"/>
    <col min="13750" max="13750" width="7" style="13" customWidth="1"/>
    <col min="13751" max="13751" width="13" style="13" customWidth="1"/>
    <col min="13752" max="13752" width="14.109375" style="13" customWidth="1"/>
    <col min="13753" max="13753" width="17.33203125" style="13" customWidth="1"/>
    <col min="13754" max="13754" width="18.88671875" style="13" customWidth="1"/>
    <col min="13755" max="13755" width="14.109375" style="13" customWidth="1"/>
    <col min="13756" max="13756" width="21.5546875" style="13" customWidth="1"/>
    <col min="13757" max="13758" width="14.109375" style="13" customWidth="1"/>
    <col min="13759" max="13759" width="15" style="13" customWidth="1"/>
    <col min="13760" max="13760" width="13.33203125" style="13" customWidth="1"/>
    <col min="13761" max="13761" width="17" style="13" customWidth="1"/>
    <col min="13762" max="13762" width="24.88671875" style="13" customWidth="1"/>
    <col min="13763" max="13763" width="14.44140625" style="13" customWidth="1"/>
    <col min="13764" max="13764" width="23.109375" style="13" customWidth="1"/>
    <col min="13765" max="13765" width="13.109375" style="13" customWidth="1"/>
    <col min="13766" max="13769" width="0" style="13" hidden="1" customWidth="1"/>
    <col min="13770" max="14005" width="10.33203125" style="13"/>
    <col min="14006" max="14006" width="7" style="13" customWidth="1"/>
    <col min="14007" max="14007" width="13" style="13" customWidth="1"/>
    <col min="14008" max="14008" width="14.109375" style="13" customWidth="1"/>
    <col min="14009" max="14009" width="17.33203125" style="13" customWidth="1"/>
    <col min="14010" max="14010" width="18.88671875" style="13" customWidth="1"/>
    <col min="14011" max="14011" width="14.109375" style="13" customWidth="1"/>
    <col min="14012" max="14012" width="21.5546875" style="13" customWidth="1"/>
    <col min="14013" max="14014" width="14.109375" style="13" customWidth="1"/>
    <col min="14015" max="14015" width="15" style="13" customWidth="1"/>
    <col min="14016" max="14016" width="13.33203125" style="13" customWidth="1"/>
    <col min="14017" max="14017" width="17" style="13" customWidth="1"/>
    <col min="14018" max="14018" width="24.88671875" style="13" customWidth="1"/>
    <col min="14019" max="14019" width="14.44140625" style="13" customWidth="1"/>
    <col min="14020" max="14020" width="23.109375" style="13" customWidth="1"/>
    <col min="14021" max="14021" width="13.109375" style="13" customWidth="1"/>
    <col min="14022" max="14025" width="0" style="13" hidden="1" customWidth="1"/>
    <col min="14026" max="14261" width="10.33203125" style="13"/>
    <col min="14262" max="14262" width="7" style="13" customWidth="1"/>
    <col min="14263" max="14263" width="13" style="13" customWidth="1"/>
    <col min="14264" max="14264" width="14.109375" style="13" customWidth="1"/>
    <col min="14265" max="14265" width="17.33203125" style="13" customWidth="1"/>
    <col min="14266" max="14266" width="18.88671875" style="13" customWidth="1"/>
    <col min="14267" max="14267" width="14.109375" style="13" customWidth="1"/>
    <col min="14268" max="14268" width="21.5546875" style="13" customWidth="1"/>
    <col min="14269" max="14270" width="14.109375" style="13" customWidth="1"/>
    <col min="14271" max="14271" width="15" style="13" customWidth="1"/>
    <col min="14272" max="14272" width="13.33203125" style="13" customWidth="1"/>
    <col min="14273" max="14273" width="17" style="13" customWidth="1"/>
    <col min="14274" max="14274" width="24.88671875" style="13" customWidth="1"/>
    <col min="14275" max="14275" width="14.44140625" style="13" customWidth="1"/>
    <col min="14276" max="14276" width="23.109375" style="13" customWidth="1"/>
    <col min="14277" max="14277" width="13.109375" style="13" customWidth="1"/>
    <col min="14278" max="14281" width="0" style="13" hidden="1" customWidth="1"/>
    <col min="14282" max="14517" width="10.33203125" style="13"/>
    <col min="14518" max="14518" width="7" style="13" customWidth="1"/>
    <col min="14519" max="14519" width="13" style="13" customWidth="1"/>
    <col min="14520" max="14520" width="14.109375" style="13" customWidth="1"/>
    <col min="14521" max="14521" width="17.33203125" style="13" customWidth="1"/>
    <col min="14522" max="14522" width="18.88671875" style="13" customWidth="1"/>
    <col min="14523" max="14523" width="14.109375" style="13" customWidth="1"/>
    <col min="14524" max="14524" width="21.5546875" style="13" customWidth="1"/>
    <col min="14525" max="14526" width="14.109375" style="13" customWidth="1"/>
    <col min="14527" max="14527" width="15" style="13" customWidth="1"/>
    <col min="14528" max="14528" width="13.33203125" style="13" customWidth="1"/>
    <col min="14529" max="14529" width="17" style="13" customWidth="1"/>
    <col min="14530" max="14530" width="24.88671875" style="13" customWidth="1"/>
    <col min="14531" max="14531" width="14.44140625" style="13" customWidth="1"/>
    <col min="14532" max="14532" width="23.109375" style="13" customWidth="1"/>
    <col min="14533" max="14533" width="13.109375" style="13" customWidth="1"/>
    <col min="14534" max="14537" width="0" style="13" hidden="1" customWidth="1"/>
    <col min="14538" max="14773" width="10.33203125" style="13"/>
    <col min="14774" max="14774" width="7" style="13" customWidth="1"/>
    <col min="14775" max="14775" width="13" style="13" customWidth="1"/>
    <col min="14776" max="14776" width="14.109375" style="13" customWidth="1"/>
    <col min="14777" max="14777" width="17.33203125" style="13" customWidth="1"/>
    <col min="14778" max="14778" width="18.88671875" style="13" customWidth="1"/>
    <col min="14779" max="14779" width="14.109375" style="13" customWidth="1"/>
    <col min="14780" max="14780" width="21.5546875" style="13" customWidth="1"/>
    <col min="14781" max="14782" width="14.109375" style="13" customWidth="1"/>
    <col min="14783" max="14783" width="15" style="13" customWidth="1"/>
    <col min="14784" max="14784" width="13.33203125" style="13" customWidth="1"/>
    <col min="14785" max="14785" width="17" style="13" customWidth="1"/>
    <col min="14786" max="14786" width="24.88671875" style="13" customWidth="1"/>
    <col min="14787" max="14787" width="14.44140625" style="13" customWidth="1"/>
    <col min="14788" max="14788" width="23.109375" style="13" customWidth="1"/>
    <col min="14789" max="14789" width="13.109375" style="13" customWidth="1"/>
    <col min="14790" max="14793" width="0" style="13" hidden="1" customWidth="1"/>
    <col min="14794" max="15029" width="10.33203125" style="13"/>
    <col min="15030" max="15030" width="7" style="13" customWidth="1"/>
    <col min="15031" max="15031" width="13" style="13" customWidth="1"/>
    <col min="15032" max="15032" width="14.109375" style="13" customWidth="1"/>
    <col min="15033" max="15033" width="17.33203125" style="13" customWidth="1"/>
    <col min="15034" max="15034" width="18.88671875" style="13" customWidth="1"/>
    <col min="15035" max="15035" width="14.109375" style="13" customWidth="1"/>
    <col min="15036" max="15036" width="21.5546875" style="13" customWidth="1"/>
    <col min="15037" max="15038" width="14.109375" style="13" customWidth="1"/>
    <col min="15039" max="15039" width="15" style="13" customWidth="1"/>
    <col min="15040" max="15040" width="13.33203125" style="13" customWidth="1"/>
    <col min="15041" max="15041" width="17" style="13" customWidth="1"/>
    <col min="15042" max="15042" width="24.88671875" style="13" customWidth="1"/>
    <col min="15043" max="15043" width="14.44140625" style="13" customWidth="1"/>
    <col min="15044" max="15044" width="23.109375" style="13" customWidth="1"/>
    <col min="15045" max="15045" width="13.109375" style="13" customWidth="1"/>
    <col min="15046" max="15049" width="0" style="13" hidden="1" customWidth="1"/>
    <col min="15050" max="15285" width="10.33203125" style="13"/>
    <col min="15286" max="15286" width="7" style="13" customWidth="1"/>
    <col min="15287" max="15287" width="13" style="13" customWidth="1"/>
    <col min="15288" max="15288" width="14.109375" style="13" customWidth="1"/>
    <col min="15289" max="15289" width="17.33203125" style="13" customWidth="1"/>
    <col min="15290" max="15290" width="18.88671875" style="13" customWidth="1"/>
    <col min="15291" max="15291" width="14.109375" style="13" customWidth="1"/>
    <col min="15292" max="15292" width="21.5546875" style="13" customWidth="1"/>
    <col min="15293" max="15294" width="14.109375" style="13" customWidth="1"/>
    <col min="15295" max="15295" width="15" style="13" customWidth="1"/>
    <col min="15296" max="15296" width="13.33203125" style="13" customWidth="1"/>
    <col min="15297" max="15297" width="17" style="13" customWidth="1"/>
    <col min="15298" max="15298" width="24.88671875" style="13" customWidth="1"/>
    <col min="15299" max="15299" width="14.44140625" style="13" customWidth="1"/>
    <col min="15300" max="15300" width="23.109375" style="13" customWidth="1"/>
    <col min="15301" max="15301" width="13.109375" style="13" customWidth="1"/>
    <col min="15302" max="15305" width="0" style="13" hidden="1" customWidth="1"/>
    <col min="15306" max="15541" width="10.33203125" style="13"/>
    <col min="15542" max="15542" width="7" style="13" customWidth="1"/>
    <col min="15543" max="15543" width="13" style="13" customWidth="1"/>
    <col min="15544" max="15544" width="14.109375" style="13" customWidth="1"/>
    <col min="15545" max="15545" width="17.33203125" style="13" customWidth="1"/>
    <col min="15546" max="15546" width="18.88671875" style="13" customWidth="1"/>
    <col min="15547" max="15547" width="14.109375" style="13" customWidth="1"/>
    <col min="15548" max="15548" width="21.5546875" style="13" customWidth="1"/>
    <col min="15549" max="15550" width="14.109375" style="13" customWidth="1"/>
    <col min="15551" max="15551" width="15" style="13" customWidth="1"/>
    <col min="15552" max="15552" width="13.33203125" style="13" customWidth="1"/>
    <col min="15553" max="15553" width="17" style="13" customWidth="1"/>
    <col min="15554" max="15554" width="24.88671875" style="13" customWidth="1"/>
    <col min="15555" max="15555" width="14.44140625" style="13" customWidth="1"/>
    <col min="15556" max="15556" width="23.109375" style="13" customWidth="1"/>
    <col min="15557" max="15557" width="13.109375" style="13" customWidth="1"/>
    <col min="15558" max="15561" width="0" style="13" hidden="1" customWidth="1"/>
    <col min="15562" max="15797" width="10.33203125" style="13"/>
    <col min="15798" max="15798" width="7" style="13" customWidth="1"/>
    <col min="15799" max="15799" width="13" style="13" customWidth="1"/>
    <col min="15800" max="15800" width="14.109375" style="13" customWidth="1"/>
    <col min="15801" max="15801" width="17.33203125" style="13" customWidth="1"/>
    <col min="15802" max="15802" width="18.88671875" style="13" customWidth="1"/>
    <col min="15803" max="15803" width="14.109375" style="13" customWidth="1"/>
    <col min="15804" max="15804" width="21.5546875" style="13" customWidth="1"/>
    <col min="15805" max="15806" width="14.109375" style="13" customWidth="1"/>
    <col min="15807" max="15807" width="15" style="13" customWidth="1"/>
    <col min="15808" max="15808" width="13.33203125" style="13" customWidth="1"/>
    <col min="15809" max="15809" width="17" style="13" customWidth="1"/>
    <col min="15810" max="15810" width="24.88671875" style="13" customWidth="1"/>
    <col min="15811" max="15811" width="14.44140625" style="13" customWidth="1"/>
    <col min="15812" max="15812" width="23.109375" style="13" customWidth="1"/>
    <col min="15813" max="15813" width="13.109375" style="13" customWidth="1"/>
    <col min="15814" max="15817" width="0" style="13" hidden="1" customWidth="1"/>
    <col min="15818" max="16053" width="10.33203125" style="13"/>
    <col min="16054" max="16054" width="7" style="13" customWidth="1"/>
    <col min="16055" max="16055" width="13" style="13" customWidth="1"/>
    <col min="16056" max="16056" width="14.109375" style="13" customWidth="1"/>
    <col min="16057" max="16057" width="17.33203125" style="13" customWidth="1"/>
    <col min="16058" max="16058" width="18.88671875" style="13" customWidth="1"/>
    <col min="16059" max="16059" width="14.109375" style="13" customWidth="1"/>
    <col min="16060" max="16060" width="21.5546875" style="13" customWidth="1"/>
    <col min="16061" max="16062" width="14.109375" style="13" customWidth="1"/>
    <col min="16063" max="16063" width="15" style="13" customWidth="1"/>
    <col min="16064" max="16064" width="13.33203125" style="13" customWidth="1"/>
    <col min="16065" max="16065" width="17" style="13" customWidth="1"/>
    <col min="16066" max="16066" width="24.88671875" style="13" customWidth="1"/>
    <col min="16067" max="16067" width="14.44140625" style="13" customWidth="1"/>
    <col min="16068" max="16068" width="23.109375" style="13" customWidth="1"/>
    <col min="16069" max="16069" width="13.109375" style="13" customWidth="1"/>
    <col min="16070" max="16073" width="0" style="13" hidden="1" customWidth="1"/>
    <col min="16074" max="16384" width="10.33203125" style="13"/>
  </cols>
  <sheetData>
    <row r="1" spans="1:24" ht="15" customHeight="1">
      <c r="L1" s="282"/>
      <c r="M1" s="1210"/>
      <c r="N1" s="278"/>
      <c r="O1" s="278"/>
      <c r="P1" s="283"/>
    </row>
    <row r="2" spans="1:24" ht="20.25" customHeight="1">
      <c r="A2" s="4161" t="s">
        <v>661</v>
      </c>
      <c r="B2" s="4162"/>
      <c r="C2" s="4162"/>
      <c r="D2" s="4162"/>
      <c r="E2" s="4162"/>
      <c r="F2" s="4162"/>
      <c r="G2" s="4162"/>
      <c r="H2" s="4162"/>
      <c r="I2" s="552"/>
      <c r="L2" s="322"/>
      <c r="M2" s="1207"/>
      <c r="N2" s="322"/>
      <c r="O2" s="322"/>
      <c r="P2" s="322"/>
      <c r="Q2" s="13"/>
    </row>
    <row r="3" spans="1:24">
      <c r="B3" s="4" t="s">
        <v>659</v>
      </c>
      <c r="C3" s="2071" t="s">
        <v>4054</v>
      </c>
      <c r="D3" s="1219"/>
      <c r="E3" s="1219"/>
      <c r="F3" s="1219"/>
      <c r="G3" s="1219"/>
      <c r="H3" s="1219"/>
      <c r="I3" s="1219"/>
      <c r="J3" s="1219"/>
      <c r="K3" s="1219"/>
      <c r="L3" s="1219"/>
      <c r="M3" s="1219"/>
      <c r="N3" s="1219"/>
      <c r="O3" s="1219"/>
      <c r="P3" s="1219"/>
      <c r="Q3" s="1219"/>
      <c r="R3" s="1219"/>
      <c r="S3" s="1219"/>
      <c r="T3" s="1219"/>
      <c r="U3" s="1219"/>
      <c r="V3" s="1219"/>
      <c r="W3" s="1219"/>
      <c r="X3" s="1219"/>
    </row>
    <row r="4" spans="1:24" ht="26.4">
      <c r="A4" s="29" t="s">
        <v>2</v>
      </c>
      <c r="B4" s="166" t="s">
        <v>3</v>
      </c>
      <c r="C4" s="538" t="s">
        <v>4</v>
      </c>
      <c r="D4" s="384" t="s">
        <v>5</v>
      </c>
      <c r="E4" s="30" t="s">
        <v>401</v>
      </c>
      <c r="F4" s="33" t="s">
        <v>8</v>
      </c>
      <c r="G4" s="33" t="s">
        <v>9</v>
      </c>
      <c r="H4" s="323" t="s">
        <v>1888</v>
      </c>
      <c r="I4" s="553" t="s">
        <v>15</v>
      </c>
      <c r="J4" s="40" t="s">
        <v>4209</v>
      </c>
      <c r="K4" s="781" t="s">
        <v>3223</v>
      </c>
      <c r="L4" s="221" t="s">
        <v>197</v>
      </c>
      <c r="M4" s="1211" t="s">
        <v>4051</v>
      </c>
      <c r="N4" s="218" t="s">
        <v>198</v>
      </c>
      <c r="O4" s="219" t="s">
        <v>199</v>
      </c>
      <c r="P4" s="222" t="s">
        <v>200</v>
      </c>
      <c r="Q4" s="36" t="s">
        <v>204</v>
      </c>
    </row>
    <row r="5" spans="1:24" ht="13.2">
      <c r="A5" s="3701" t="s">
        <v>654</v>
      </c>
      <c r="B5" s="3702"/>
      <c r="C5" s="3702"/>
      <c r="D5" s="3702"/>
      <c r="E5" s="3702"/>
      <c r="F5" s="3702"/>
      <c r="G5" s="3702"/>
      <c r="H5" s="3702"/>
      <c r="I5" s="554"/>
      <c r="J5" s="369"/>
      <c r="K5" s="369"/>
      <c r="L5" s="346"/>
      <c r="M5" s="346"/>
      <c r="N5" s="346"/>
      <c r="O5" s="346"/>
      <c r="P5" s="346"/>
      <c r="Q5" s="346"/>
    </row>
    <row r="6" spans="1:24">
      <c r="A6" s="44">
        <v>1</v>
      </c>
      <c r="B6" s="348">
        <v>305442212260</v>
      </c>
      <c r="C6" s="539" t="s">
        <v>747</v>
      </c>
      <c r="D6" s="47" t="s">
        <v>870</v>
      </c>
      <c r="E6" s="126" t="s">
        <v>210</v>
      </c>
      <c r="F6" s="167"/>
      <c r="G6" s="167"/>
      <c r="H6" s="160"/>
      <c r="I6" s="555" t="s">
        <v>749</v>
      </c>
      <c r="J6" s="53" t="s">
        <v>748</v>
      </c>
      <c r="K6" s="811"/>
      <c r="L6" s="208"/>
      <c r="M6" s="1212"/>
      <c r="N6" s="341">
        <v>650000</v>
      </c>
      <c r="O6" s="342">
        <f>+N6*1.1</f>
        <v>715000</v>
      </c>
      <c r="P6" s="252"/>
      <c r="Q6" s="130"/>
    </row>
    <row r="7" spans="1:24">
      <c r="A7" s="44">
        <v>2</v>
      </c>
      <c r="B7" s="348">
        <v>305442133530</v>
      </c>
      <c r="C7" s="539" t="s">
        <v>747</v>
      </c>
      <c r="D7" s="47" t="s">
        <v>746</v>
      </c>
      <c r="E7" s="126" t="s">
        <v>210</v>
      </c>
      <c r="F7" s="167"/>
      <c r="G7" s="167"/>
      <c r="H7" s="160"/>
      <c r="I7" s="555" t="s">
        <v>750</v>
      </c>
      <c r="J7" s="53" t="s">
        <v>748</v>
      </c>
      <c r="K7" s="811"/>
      <c r="L7" s="249"/>
      <c r="M7" s="1073"/>
      <c r="N7" s="341">
        <v>650000</v>
      </c>
      <c r="O7" s="342">
        <f t="shared" ref="O7:O21" si="0">+N7*1.1</f>
        <v>715000</v>
      </c>
      <c r="P7" s="252"/>
      <c r="Q7" s="130"/>
    </row>
    <row r="8" spans="1:24" ht="13.2">
      <c r="A8" s="3701" t="s">
        <v>867</v>
      </c>
      <c r="B8" s="3702"/>
      <c r="C8" s="3702"/>
      <c r="D8" s="3702"/>
      <c r="E8" s="3702"/>
      <c r="F8" s="3702"/>
      <c r="G8" s="3702"/>
      <c r="H8" s="3702"/>
      <c r="I8" s="554"/>
      <c r="J8" s="369"/>
      <c r="K8" s="369"/>
      <c r="L8" s="346"/>
      <c r="M8" s="346"/>
      <c r="N8" s="346"/>
      <c r="O8" s="346"/>
      <c r="P8" s="346"/>
      <c r="Q8" s="346"/>
    </row>
    <row r="9" spans="1:24" ht="21" customHeight="1">
      <c r="A9" s="44">
        <v>1</v>
      </c>
      <c r="B9" s="345">
        <v>305532046060</v>
      </c>
      <c r="C9" s="540" t="s">
        <v>1035</v>
      </c>
      <c r="D9" s="47" t="s">
        <v>1038</v>
      </c>
      <c r="E9" s="126" t="s">
        <v>748</v>
      </c>
      <c r="F9" s="167"/>
      <c r="G9" s="167"/>
      <c r="H9" s="161"/>
      <c r="I9" s="556" t="s">
        <v>1037</v>
      </c>
      <c r="J9" s="61" t="s">
        <v>748</v>
      </c>
      <c r="K9" s="811"/>
      <c r="L9" s="249"/>
      <c r="M9" s="1073"/>
      <c r="N9" s="341">
        <v>650000</v>
      </c>
      <c r="O9" s="342">
        <f t="shared" si="0"/>
        <v>715000</v>
      </c>
      <c r="P9" s="252"/>
      <c r="Q9" s="321"/>
    </row>
    <row r="10" spans="1:24" ht="12.75" customHeight="1">
      <c r="A10" s="326">
        <v>2</v>
      </c>
      <c r="B10" s="345">
        <v>305532151210</v>
      </c>
      <c r="C10" s="540" t="s">
        <v>1035</v>
      </c>
      <c r="D10" s="47" t="s">
        <v>1040</v>
      </c>
      <c r="E10" s="126" t="s">
        <v>748</v>
      </c>
      <c r="F10" s="167"/>
      <c r="G10" s="167"/>
      <c r="H10" s="139"/>
      <c r="I10" s="557" t="s">
        <v>1039</v>
      </c>
      <c r="J10" s="61" t="s">
        <v>748</v>
      </c>
      <c r="K10" s="811"/>
      <c r="L10" s="249"/>
      <c r="M10" s="1073"/>
      <c r="N10" s="341">
        <v>650000</v>
      </c>
      <c r="O10" s="342">
        <f t="shared" si="0"/>
        <v>715000</v>
      </c>
      <c r="P10" s="252"/>
      <c r="Q10" s="142"/>
    </row>
    <row r="11" spans="1:24">
      <c r="A11" s="326">
        <f>+A10+1</f>
        <v>3</v>
      </c>
      <c r="B11" s="345">
        <v>305532316040</v>
      </c>
      <c r="C11" s="540" t="s">
        <v>1035</v>
      </c>
      <c r="D11" s="47" t="s">
        <v>1042</v>
      </c>
      <c r="E11" s="126" t="s">
        <v>748</v>
      </c>
      <c r="F11" s="167"/>
      <c r="G11" s="167"/>
      <c r="H11" s="162"/>
      <c r="I11" s="558" t="s">
        <v>1041</v>
      </c>
      <c r="J11" s="61" t="s">
        <v>748</v>
      </c>
      <c r="K11" s="811"/>
      <c r="L11" s="249"/>
      <c r="M11" s="1073"/>
      <c r="N11" s="341">
        <v>650000</v>
      </c>
      <c r="O11" s="342">
        <f t="shared" si="0"/>
        <v>715000</v>
      </c>
      <c r="P11" s="252"/>
      <c r="Q11" s="142"/>
    </row>
    <row r="12" spans="1:24">
      <c r="A12" s="326">
        <f t="shared" ref="A12:A43" si="1">+A11+1</f>
        <v>4</v>
      </c>
      <c r="B12" s="442">
        <v>305546961330</v>
      </c>
      <c r="C12" s="540" t="s">
        <v>1096</v>
      </c>
      <c r="D12" s="47" t="s">
        <v>1099</v>
      </c>
      <c r="E12" s="126" t="s">
        <v>748</v>
      </c>
      <c r="F12" s="167"/>
      <c r="G12" s="167"/>
      <c r="H12" s="162"/>
      <c r="I12" s="558" t="s">
        <v>1098</v>
      </c>
      <c r="J12" s="61" t="s">
        <v>748</v>
      </c>
      <c r="K12" s="811"/>
      <c r="L12" s="249"/>
      <c r="M12" s="1073"/>
      <c r="N12" s="341">
        <v>650000</v>
      </c>
      <c r="O12" s="342">
        <f t="shared" si="0"/>
        <v>715000</v>
      </c>
      <c r="P12" s="252"/>
      <c r="Q12" s="142"/>
    </row>
    <row r="13" spans="1:24">
      <c r="A13" s="326">
        <f t="shared" si="1"/>
        <v>5</v>
      </c>
      <c r="B13" s="442">
        <v>305548418400</v>
      </c>
      <c r="C13" s="540" t="s">
        <v>1096</v>
      </c>
      <c r="D13" s="47" t="s">
        <v>1101</v>
      </c>
      <c r="E13" s="126" t="s">
        <v>748</v>
      </c>
      <c r="F13" s="167"/>
      <c r="G13" s="167"/>
      <c r="H13" s="162"/>
      <c r="I13" s="558" t="s">
        <v>1100</v>
      </c>
      <c r="J13" s="61" t="s">
        <v>748</v>
      </c>
      <c r="K13" s="811"/>
      <c r="L13" s="249"/>
      <c r="M13" s="1073"/>
      <c r="N13" s="341">
        <v>650000</v>
      </c>
      <c r="O13" s="342">
        <f t="shared" si="0"/>
        <v>715000</v>
      </c>
      <c r="P13" s="252"/>
      <c r="Q13" s="142"/>
    </row>
    <row r="14" spans="1:24">
      <c r="A14" s="326">
        <f t="shared" si="1"/>
        <v>6</v>
      </c>
      <c r="B14" s="442">
        <v>305548497460</v>
      </c>
      <c r="C14" s="540" t="s">
        <v>1096</v>
      </c>
      <c r="D14" s="47" t="s">
        <v>1103</v>
      </c>
      <c r="E14" s="126" t="s">
        <v>748</v>
      </c>
      <c r="F14" s="167"/>
      <c r="G14" s="167"/>
      <c r="H14" s="162"/>
      <c r="I14" s="558" t="s">
        <v>1102</v>
      </c>
      <c r="J14" s="61" t="s">
        <v>748</v>
      </c>
      <c r="K14" s="811"/>
      <c r="L14" s="249"/>
      <c r="M14" s="1073"/>
      <c r="N14" s="341">
        <v>650000</v>
      </c>
      <c r="O14" s="342">
        <f t="shared" si="0"/>
        <v>715000</v>
      </c>
      <c r="P14" s="252"/>
      <c r="Q14" s="142"/>
    </row>
    <row r="15" spans="1:24">
      <c r="A15" s="326">
        <f t="shared" si="1"/>
        <v>7</v>
      </c>
      <c r="B15" s="443" t="s">
        <v>1177</v>
      </c>
      <c r="C15" s="540" t="s">
        <v>1178</v>
      </c>
      <c r="D15" s="47" t="s">
        <v>1180</v>
      </c>
      <c r="E15" s="126" t="s">
        <v>748</v>
      </c>
      <c r="F15" s="167"/>
      <c r="G15" s="167"/>
      <c r="H15" s="143"/>
      <c r="I15" s="558" t="s">
        <v>1179</v>
      </c>
      <c r="J15" s="92" t="s">
        <v>748</v>
      </c>
      <c r="K15" s="92"/>
      <c r="L15" s="249"/>
      <c r="M15" s="1073"/>
      <c r="N15" s="341">
        <v>650000</v>
      </c>
      <c r="O15" s="342">
        <f t="shared" si="0"/>
        <v>715000</v>
      </c>
      <c r="P15" s="252"/>
      <c r="Q15" s="142"/>
    </row>
    <row r="16" spans="1:24" ht="13.2">
      <c r="A16" s="3701" t="s">
        <v>1036</v>
      </c>
      <c r="B16" s="3702"/>
      <c r="C16" s="3702"/>
      <c r="D16" s="3702"/>
      <c r="E16" s="3702"/>
      <c r="F16" s="3702"/>
      <c r="G16" s="3702"/>
      <c r="H16" s="3702"/>
      <c r="I16" s="554"/>
      <c r="J16" s="369"/>
      <c r="K16" s="369"/>
      <c r="L16" s="346"/>
      <c r="M16" s="346"/>
      <c r="N16" s="346"/>
      <c r="O16" s="346"/>
      <c r="P16" s="346"/>
      <c r="Q16" s="346"/>
    </row>
    <row r="17" spans="1:20">
      <c r="A17" s="326">
        <v>1</v>
      </c>
      <c r="B17" s="443">
        <v>305584363510</v>
      </c>
      <c r="C17" s="541" t="s">
        <v>1204</v>
      </c>
      <c r="D17" s="47" t="s">
        <v>1206</v>
      </c>
      <c r="E17" s="126" t="s">
        <v>748</v>
      </c>
      <c r="F17" s="167"/>
      <c r="G17" s="167"/>
      <c r="H17" s="143"/>
      <c r="I17" s="558" t="s">
        <v>1205</v>
      </c>
      <c r="J17" s="92" t="s">
        <v>748</v>
      </c>
      <c r="K17" s="92"/>
      <c r="L17" s="249"/>
      <c r="M17" s="1073"/>
      <c r="N17" s="341">
        <v>650000</v>
      </c>
      <c r="O17" s="342">
        <f t="shared" si="0"/>
        <v>715000</v>
      </c>
      <c r="P17" s="252"/>
      <c r="Q17" s="141"/>
    </row>
    <row r="18" spans="1:20">
      <c r="A18" s="326">
        <f t="shared" si="1"/>
        <v>2</v>
      </c>
      <c r="B18" s="443">
        <v>305588213400</v>
      </c>
      <c r="C18" s="541" t="s">
        <v>1207</v>
      </c>
      <c r="D18" s="47" t="s">
        <v>1214</v>
      </c>
      <c r="E18" s="126" t="s">
        <v>748</v>
      </c>
      <c r="F18" s="167"/>
      <c r="G18" s="167"/>
      <c r="H18" s="149"/>
      <c r="I18" s="559" t="s">
        <v>1208</v>
      </c>
      <c r="J18" s="92" t="s">
        <v>748</v>
      </c>
      <c r="K18" s="92"/>
      <c r="L18" s="249"/>
      <c r="M18" s="1073"/>
      <c r="N18" s="341">
        <v>650000</v>
      </c>
      <c r="O18" s="342">
        <f t="shared" si="0"/>
        <v>715000</v>
      </c>
      <c r="P18" s="252"/>
      <c r="Q18" s="141"/>
    </row>
    <row r="19" spans="1:20">
      <c r="A19" s="326">
        <f t="shared" si="1"/>
        <v>3</v>
      </c>
      <c r="B19" s="443">
        <v>305588375430</v>
      </c>
      <c r="C19" s="541" t="s">
        <v>1207</v>
      </c>
      <c r="D19" s="47" t="s">
        <v>1210</v>
      </c>
      <c r="E19" s="126" t="s">
        <v>748</v>
      </c>
      <c r="F19" s="167"/>
      <c r="G19" s="167"/>
      <c r="H19" s="144"/>
      <c r="I19" s="559" t="s">
        <v>1209</v>
      </c>
      <c r="J19" s="92" t="s">
        <v>748</v>
      </c>
      <c r="K19" s="92"/>
      <c r="L19" s="249"/>
      <c r="M19" s="1073"/>
      <c r="N19" s="341">
        <v>650000</v>
      </c>
      <c r="O19" s="342">
        <f t="shared" si="0"/>
        <v>715000</v>
      </c>
      <c r="P19" s="252"/>
      <c r="Q19" s="141"/>
    </row>
    <row r="20" spans="1:20">
      <c r="A20" s="326">
        <f t="shared" si="1"/>
        <v>4</v>
      </c>
      <c r="B20" s="443">
        <v>305608137830</v>
      </c>
      <c r="C20" s="540" t="s">
        <v>1238</v>
      </c>
      <c r="D20" s="47" t="s">
        <v>1241</v>
      </c>
      <c r="E20" s="126" t="s">
        <v>748</v>
      </c>
      <c r="F20" s="167"/>
      <c r="G20" s="167"/>
      <c r="H20" s="144"/>
      <c r="I20" s="559" t="s">
        <v>1240</v>
      </c>
      <c r="J20" s="92" t="s">
        <v>748</v>
      </c>
      <c r="K20" s="92"/>
      <c r="L20" s="249"/>
      <c r="M20" s="1073"/>
      <c r="N20" s="341">
        <v>650000</v>
      </c>
      <c r="O20" s="342">
        <f t="shared" si="0"/>
        <v>715000</v>
      </c>
      <c r="P20" s="252"/>
      <c r="Q20" s="141"/>
    </row>
    <row r="21" spans="1:20" ht="16.2" thickBot="1">
      <c r="A21" s="326">
        <f t="shared" si="1"/>
        <v>5</v>
      </c>
      <c r="B21" s="443" t="s">
        <v>1243</v>
      </c>
      <c r="C21" s="540" t="s">
        <v>1238</v>
      </c>
      <c r="D21" s="47" t="s">
        <v>1242</v>
      </c>
      <c r="E21" s="126" t="s">
        <v>748</v>
      </c>
      <c r="F21" s="167"/>
      <c r="G21" s="167"/>
      <c r="H21" s="140"/>
      <c r="I21" s="559" t="s">
        <v>1257</v>
      </c>
      <c r="J21" s="79" t="s">
        <v>748</v>
      </c>
      <c r="K21" s="79"/>
      <c r="L21" s="249"/>
      <c r="M21" s="1073"/>
      <c r="N21" s="341">
        <v>650000</v>
      </c>
      <c r="O21" s="342">
        <f t="shared" si="0"/>
        <v>715000</v>
      </c>
      <c r="P21" s="252"/>
      <c r="Q21" s="141"/>
    </row>
    <row r="22" spans="1:20" ht="14.4">
      <c r="A22" s="3701" t="s">
        <v>1239</v>
      </c>
      <c r="B22" s="3702"/>
      <c r="C22" s="3702"/>
      <c r="D22" s="3702"/>
      <c r="E22" s="3702"/>
      <c r="F22" s="3702"/>
      <c r="G22" s="3702"/>
      <c r="H22" s="3702"/>
      <c r="I22" s="554"/>
      <c r="J22" s="369"/>
      <c r="K22" s="369"/>
      <c r="L22" s="346"/>
      <c r="M22" s="346"/>
      <c r="N22" s="346"/>
      <c r="O22" s="346"/>
      <c r="P22" s="346"/>
      <c r="Q22" s="346"/>
      <c r="T22" s="454"/>
    </row>
    <row r="23" spans="1:20">
      <c r="A23" s="326">
        <v>1</v>
      </c>
      <c r="B23" s="443">
        <v>305656231550</v>
      </c>
      <c r="C23" s="540">
        <v>45118</v>
      </c>
      <c r="D23" s="47" t="s">
        <v>1288</v>
      </c>
      <c r="E23" s="126" t="s">
        <v>210</v>
      </c>
      <c r="F23" s="167"/>
      <c r="G23" s="167"/>
      <c r="H23" s="140"/>
      <c r="I23" s="560" t="s">
        <v>1280</v>
      </c>
      <c r="J23" s="79"/>
      <c r="K23" s="79"/>
      <c r="L23" s="249"/>
      <c r="M23" s="1073"/>
      <c r="N23" s="341">
        <v>650000</v>
      </c>
      <c r="O23" s="342">
        <f>+N23*1.08</f>
        <v>702000</v>
      </c>
      <c r="P23" s="252"/>
      <c r="Q23" s="141"/>
    </row>
    <row r="24" spans="1:20">
      <c r="A24" s="326">
        <f t="shared" si="1"/>
        <v>2</v>
      </c>
      <c r="B24" s="443">
        <v>305656334600</v>
      </c>
      <c r="C24" s="540">
        <v>45118</v>
      </c>
      <c r="D24" s="47" t="s">
        <v>1287</v>
      </c>
      <c r="E24" s="126" t="s">
        <v>210</v>
      </c>
      <c r="F24" s="167"/>
      <c r="G24" s="167"/>
      <c r="H24" s="151"/>
      <c r="I24" s="560" t="s">
        <v>1281</v>
      </c>
      <c r="J24" s="79"/>
      <c r="K24" s="79"/>
      <c r="L24" s="249"/>
      <c r="M24" s="1073"/>
      <c r="N24" s="341">
        <v>650000</v>
      </c>
      <c r="O24" s="342">
        <f t="shared" ref="O24:O32" si="2">+N24*1.08</f>
        <v>702000</v>
      </c>
      <c r="P24" s="252"/>
      <c r="Q24" s="141"/>
    </row>
    <row r="25" spans="1:20">
      <c r="A25" s="326">
        <f t="shared" si="1"/>
        <v>3</v>
      </c>
      <c r="B25" s="443">
        <v>305656444500</v>
      </c>
      <c r="C25" s="540">
        <v>45118</v>
      </c>
      <c r="D25" s="47" t="s">
        <v>1446</v>
      </c>
      <c r="E25" s="126" t="s">
        <v>210</v>
      </c>
      <c r="F25" s="167"/>
      <c r="G25" s="167"/>
      <c r="H25" s="140"/>
      <c r="I25" s="560" t="s">
        <v>1282</v>
      </c>
      <c r="J25" s="79"/>
      <c r="K25" s="79"/>
      <c r="L25" s="249"/>
      <c r="M25" s="1073"/>
      <c r="N25" s="341">
        <v>650000</v>
      </c>
      <c r="O25" s="342">
        <f t="shared" si="2"/>
        <v>702000</v>
      </c>
      <c r="P25" s="252"/>
      <c r="Q25" s="141"/>
    </row>
    <row r="26" spans="1:20">
      <c r="A26" s="326">
        <f t="shared" si="1"/>
        <v>4</v>
      </c>
      <c r="B26" s="443">
        <v>305656572560</v>
      </c>
      <c r="C26" s="540">
        <v>45118</v>
      </c>
      <c r="D26" s="47" t="s">
        <v>1447</v>
      </c>
      <c r="E26" s="126" t="s">
        <v>210</v>
      </c>
      <c r="F26" s="167"/>
      <c r="G26" s="167"/>
      <c r="H26" s="151"/>
      <c r="I26" s="560" t="s">
        <v>1283</v>
      </c>
      <c r="J26" s="79"/>
      <c r="K26" s="79"/>
      <c r="L26" s="249"/>
      <c r="M26" s="1073"/>
      <c r="N26" s="341">
        <v>650000</v>
      </c>
      <c r="O26" s="342">
        <f t="shared" si="2"/>
        <v>702000</v>
      </c>
      <c r="P26" s="252"/>
      <c r="Q26" s="141"/>
    </row>
    <row r="27" spans="1:20">
      <c r="A27" s="326">
        <f t="shared" si="1"/>
        <v>5</v>
      </c>
      <c r="B27" s="443">
        <v>305657397200</v>
      </c>
      <c r="C27" s="540">
        <v>45118</v>
      </c>
      <c r="D27" s="47" t="s">
        <v>1286</v>
      </c>
      <c r="E27" s="126" t="s">
        <v>210</v>
      </c>
      <c r="F27" s="167"/>
      <c r="G27" s="167"/>
      <c r="H27" s="151"/>
      <c r="I27" s="560" t="s">
        <v>1284</v>
      </c>
      <c r="J27" s="79"/>
      <c r="K27" s="79"/>
      <c r="L27" s="249"/>
      <c r="M27" s="1073"/>
      <c r="N27" s="341">
        <v>650000</v>
      </c>
      <c r="O27" s="342">
        <f t="shared" si="2"/>
        <v>702000</v>
      </c>
      <c r="P27" s="252"/>
      <c r="Q27" s="141"/>
    </row>
    <row r="28" spans="1:20">
      <c r="A28" s="326">
        <f t="shared" si="1"/>
        <v>6</v>
      </c>
      <c r="B28" s="443">
        <v>305657644260</v>
      </c>
      <c r="C28" s="540">
        <v>45118</v>
      </c>
      <c r="D28" s="47" t="s">
        <v>1448</v>
      </c>
      <c r="E28" s="126" t="s">
        <v>210</v>
      </c>
      <c r="F28" s="167"/>
      <c r="G28" s="167"/>
      <c r="H28" s="337"/>
      <c r="I28" s="561" t="s">
        <v>1285</v>
      </c>
      <c r="J28" s="79"/>
      <c r="K28" s="79"/>
      <c r="L28" s="249"/>
      <c r="M28" s="1073"/>
      <c r="N28" s="341">
        <v>650000</v>
      </c>
      <c r="O28" s="342">
        <f t="shared" si="2"/>
        <v>702000</v>
      </c>
      <c r="P28" s="252"/>
      <c r="Q28" s="141"/>
    </row>
    <row r="29" spans="1:20">
      <c r="A29" s="326">
        <f t="shared" si="1"/>
        <v>7</v>
      </c>
      <c r="B29" s="443" t="s">
        <v>1348</v>
      </c>
      <c r="C29" s="540" t="s">
        <v>1343</v>
      </c>
      <c r="D29" s="47" t="s">
        <v>1449</v>
      </c>
      <c r="E29" s="126" t="s">
        <v>210</v>
      </c>
      <c r="F29" s="167"/>
      <c r="G29" s="167"/>
      <c r="H29" s="151"/>
      <c r="I29" s="560" t="s">
        <v>1349</v>
      </c>
      <c r="J29" s="79"/>
      <c r="K29" s="79"/>
      <c r="L29" s="249"/>
      <c r="M29" s="1073"/>
      <c r="N29" s="341">
        <v>650000</v>
      </c>
      <c r="O29" s="342">
        <f t="shared" si="2"/>
        <v>702000</v>
      </c>
      <c r="P29" s="252"/>
      <c r="Q29" s="141"/>
    </row>
    <row r="30" spans="1:20">
      <c r="A30" s="326">
        <f t="shared" si="1"/>
        <v>8</v>
      </c>
      <c r="B30" s="443" t="s">
        <v>1350</v>
      </c>
      <c r="C30" s="540" t="s">
        <v>1343</v>
      </c>
      <c r="D30" s="394" t="s">
        <v>1352</v>
      </c>
      <c r="E30" s="126" t="s">
        <v>210</v>
      </c>
      <c r="F30" s="167"/>
      <c r="G30" s="167"/>
      <c r="H30" s="151"/>
      <c r="I30" s="560" t="s">
        <v>1351</v>
      </c>
      <c r="J30" s="79"/>
      <c r="K30" s="79"/>
      <c r="L30" s="249"/>
      <c r="M30" s="1073"/>
      <c r="N30" s="341">
        <v>650000</v>
      </c>
      <c r="O30" s="342">
        <f t="shared" si="2"/>
        <v>702000</v>
      </c>
      <c r="P30" s="252"/>
      <c r="Q30" s="141"/>
    </row>
    <row r="31" spans="1:20">
      <c r="A31" s="326">
        <f t="shared" si="1"/>
        <v>9</v>
      </c>
      <c r="B31" s="443">
        <v>305680235950</v>
      </c>
      <c r="C31" s="540" t="s">
        <v>1343</v>
      </c>
      <c r="D31" s="47" t="s">
        <v>1353</v>
      </c>
      <c r="E31" s="126" t="s">
        <v>210</v>
      </c>
      <c r="F31" s="167"/>
      <c r="G31" s="167"/>
      <c r="H31" s="151"/>
      <c r="I31" s="560"/>
      <c r="J31" s="79"/>
      <c r="K31" s="79"/>
      <c r="L31" s="249"/>
      <c r="M31" s="1073"/>
      <c r="N31" s="341">
        <v>650000</v>
      </c>
      <c r="O31" s="342">
        <f t="shared" si="2"/>
        <v>702000</v>
      </c>
      <c r="P31" s="252"/>
      <c r="Q31" s="141"/>
    </row>
    <row r="32" spans="1:20" ht="16.2" thickBot="1">
      <c r="A32" s="326">
        <f t="shared" si="1"/>
        <v>10</v>
      </c>
      <c r="B32" s="443">
        <v>305680053730</v>
      </c>
      <c r="C32" s="540" t="s">
        <v>1343</v>
      </c>
      <c r="D32" s="47" t="s">
        <v>1450</v>
      </c>
      <c r="E32" s="126" t="s">
        <v>210</v>
      </c>
      <c r="F32" s="167"/>
      <c r="G32" s="167"/>
      <c r="H32" s="151"/>
      <c r="I32" s="560" t="s">
        <v>1354</v>
      </c>
      <c r="J32" s="79"/>
      <c r="K32" s="79"/>
      <c r="L32" s="249"/>
      <c r="M32" s="1073"/>
      <c r="N32" s="341">
        <v>650000</v>
      </c>
      <c r="O32" s="342">
        <f t="shared" si="2"/>
        <v>702000</v>
      </c>
      <c r="P32" s="252"/>
      <c r="Q32" s="141"/>
    </row>
    <row r="33" spans="1:20" ht="14.4">
      <c r="A33" s="3701" t="s">
        <v>1374</v>
      </c>
      <c r="B33" s="3702"/>
      <c r="C33" s="3702"/>
      <c r="D33" s="3702"/>
      <c r="E33" s="3702"/>
      <c r="F33" s="3702"/>
      <c r="G33" s="3702"/>
      <c r="H33" s="3702"/>
      <c r="I33" s="554"/>
      <c r="J33" s="369"/>
      <c r="K33" s="369"/>
      <c r="L33" s="346"/>
      <c r="M33" s="346"/>
      <c r="N33" s="346"/>
      <c r="O33" s="346"/>
      <c r="P33" s="346"/>
      <c r="Q33" s="346"/>
      <c r="T33" s="454"/>
    </row>
    <row r="34" spans="1:20">
      <c r="A34" s="326">
        <v>1</v>
      </c>
      <c r="B34" s="442">
        <v>305739854360</v>
      </c>
      <c r="C34" s="540" t="s">
        <v>1482</v>
      </c>
      <c r="D34" s="47" t="s">
        <v>1476</v>
      </c>
      <c r="E34" s="153" t="s">
        <v>210</v>
      </c>
      <c r="F34" s="167"/>
      <c r="G34" s="167"/>
      <c r="H34" s="151"/>
      <c r="I34" s="560" t="s">
        <v>1475</v>
      </c>
      <c r="J34" s="79"/>
      <c r="K34" s="79"/>
      <c r="L34" s="249"/>
      <c r="M34" s="1073"/>
      <c r="N34" s="341">
        <v>650000</v>
      </c>
      <c r="O34" s="342">
        <f>+N34*1.08</f>
        <v>702000</v>
      </c>
      <c r="P34" s="252"/>
      <c r="Q34" s="141"/>
    </row>
    <row r="35" spans="1:20">
      <c r="A35" s="326">
        <f t="shared" si="1"/>
        <v>2</v>
      </c>
      <c r="B35" s="442" t="s">
        <v>1478</v>
      </c>
      <c r="C35" s="540" t="s">
        <v>1482</v>
      </c>
      <c r="D35" s="47" t="s">
        <v>1477</v>
      </c>
      <c r="E35" s="126" t="s">
        <v>210</v>
      </c>
      <c r="F35" s="167"/>
      <c r="G35" s="167"/>
      <c r="H35" s="151"/>
      <c r="I35" s="560" t="s">
        <v>1479</v>
      </c>
      <c r="J35" s="79"/>
      <c r="K35" s="79"/>
      <c r="L35" s="249"/>
      <c r="M35" s="1073"/>
      <c r="N35" s="341">
        <v>650000</v>
      </c>
      <c r="O35" s="342">
        <f>+N35*1.08</f>
        <v>702000</v>
      </c>
      <c r="P35" s="252"/>
      <c r="Q35" s="141"/>
    </row>
    <row r="36" spans="1:20">
      <c r="A36" s="326">
        <f t="shared" si="1"/>
        <v>3</v>
      </c>
      <c r="B36" s="442">
        <v>305743448640</v>
      </c>
      <c r="C36" s="540" t="s">
        <v>1474</v>
      </c>
      <c r="D36" s="47" t="s">
        <v>1483</v>
      </c>
      <c r="E36" s="126" t="s">
        <v>210</v>
      </c>
      <c r="F36" s="167"/>
      <c r="G36" s="167"/>
      <c r="H36" s="151"/>
      <c r="I36" s="560" t="s">
        <v>1484</v>
      </c>
      <c r="J36" s="79"/>
      <c r="K36" s="79"/>
      <c r="L36" s="249"/>
      <c r="M36" s="1073"/>
      <c r="N36" s="341">
        <v>650000</v>
      </c>
      <c r="O36" s="342">
        <f t="shared" ref="O36:O43" si="3">+N36*1.08</f>
        <v>702000</v>
      </c>
      <c r="P36" s="252"/>
      <c r="Q36" s="141"/>
    </row>
    <row r="37" spans="1:20" ht="16.2" thickBot="1">
      <c r="A37" s="326">
        <f t="shared" si="1"/>
        <v>4</v>
      </c>
      <c r="B37" s="497">
        <v>305761895150</v>
      </c>
      <c r="C37" s="540" t="s">
        <v>1515</v>
      </c>
      <c r="D37" s="379" t="s">
        <v>1517</v>
      </c>
      <c r="E37" s="126" t="s">
        <v>748</v>
      </c>
      <c r="F37" s="167"/>
      <c r="G37" s="167"/>
      <c r="H37" s="151"/>
      <c r="I37" s="560" t="s">
        <v>1518</v>
      </c>
      <c r="J37" s="79"/>
      <c r="K37" s="79"/>
      <c r="L37" s="249"/>
      <c r="M37" s="1073"/>
      <c r="N37" s="341">
        <v>650000</v>
      </c>
      <c r="O37" s="342">
        <f t="shared" si="3"/>
        <v>702000</v>
      </c>
      <c r="P37" s="252"/>
      <c r="Q37" s="141"/>
    </row>
    <row r="38" spans="1:20" ht="14.4">
      <c r="A38" s="3701" t="s">
        <v>1507</v>
      </c>
      <c r="B38" s="3702"/>
      <c r="C38" s="3702"/>
      <c r="D38" s="3702"/>
      <c r="E38" s="3702"/>
      <c r="F38" s="3702"/>
      <c r="G38" s="3702"/>
      <c r="H38" s="3702"/>
      <c r="I38" s="554"/>
      <c r="J38" s="369"/>
      <c r="K38" s="369"/>
      <c r="L38" s="346"/>
      <c r="M38" s="346"/>
      <c r="N38" s="346"/>
      <c r="O38" s="346"/>
      <c r="P38" s="346"/>
      <c r="Q38" s="346"/>
      <c r="T38" s="454"/>
    </row>
    <row r="39" spans="1:20">
      <c r="A39" s="326">
        <v>1</v>
      </c>
      <c r="B39" s="442">
        <v>305822646200</v>
      </c>
      <c r="C39" s="540" t="s">
        <v>1610</v>
      </c>
      <c r="D39" s="47" t="s">
        <v>1612</v>
      </c>
      <c r="E39" s="126"/>
      <c r="F39" s="167"/>
      <c r="G39" s="167"/>
      <c r="H39" s="151"/>
      <c r="I39" s="560" t="s">
        <v>1611</v>
      </c>
      <c r="J39" s="79"/>
      <c r="K39" s="79"/>
      <c r="L39" s="249"/>
      <c r="M39" s="1073"/>
      <c r="N39" s="341">
        <v>650000</v>
      </c>
      <c r="O39" s="342">
        <f t="shared" si="3"/>
        <v>702000</v>
      </c>
      <c r="P39" s="252"/>
      <c r="Q39" s="141"/>
    </row>
    <row r="40" spans="1:20">
      <c r="A40" s="326">
        <f t="shared" si="1"/>
        <v>2</v>
      </c>
      <c r="B40" s="497">
        <v>305822995240</v>
      </c>
      <c r="C40" s="540" t="s">
        <v>1610</v>
      </c>
      <c r="D40" s="530" t="s">
        <v>1614</v>
      </c>
      <c r="E40" s="126"/>
      <c r="F40" s="167"/>
      <c r="G40" s="167"/>
      <c r="H40" s="151"/>
      <c r="I40" s="560" t="s">
        <v>1613</v>
      </c>
      <c r="J40" s="79"/>
      <c r="K40" s="79"/>
      <c r="L40" s="249"/>
      <c r="M40" s="1073"/>
      <c r="N40" s="341">
        <v>650000</v>
      </c>
      <c r="O40" s="342">
        <f t="shared" si="3"/>
        <v>702000</v>
      </c>
      <c r="P40" s="252"/>
      <c r="Q40" s="141"/>
    </row>
    <row r="41" spans="1:20">
      <c r="A41" s="326">
        <f t="shared" si="1"/>
        <v>3</v>
      </c>
      <c r="B41" s="497">
        <v>305831333900</v>
      </c>
      <c r="C41" s="540" t="s">
        <v>1632</v>
      </c>
      <c r="D41" s="47" t="s">
        <v>1647</v>
      </c>
      <c r="E41" s="126"/>
      <c r="F41" s="167"/>
      <c r="G41" s="167"/>
      <c r="H41" s="151"/>
      <c r="I41" s="560" t="s">
        <v>1648</v>
      </c>
      <c r="J41" s="79"/>
      <c r="K41" s="79"/>
      <c r="L41" s="249"/>
      <c r="M41" s="1073"/>
      <c r="N41" s="341">
        <v>650000</v>
      </c>
      <c r="O41" s="342">
        <f t="shared" si="3"/>
        <v>702000</v>
      </c>
      <c r="P41" s="252"/>
      <c r="Q41" s="141"/>
    </row>
    <row r="42" spans="1:20">
      <c r="A42" s="326">
        <f t="shared" si="1"/>
        <v>4</v>
      </c>
      <c r="B42" s="497">
        <v>305831342040</v>
      </c>
      <c r="C42" s="540" t="s">
        <v>1632</v>
      </c>
      <c r="D42" s="47" t="s">
        <v>1651</v>
      </c>
      <c r="E42" s="126"/>
      <c r="F42" s="167"/>
      <c r="G42" s="167"/>
      <c r="H42" s="151"/>
      <c r="I42" s="560" t="s">
        <v>1649</v>
      </c>
      <c r="J42" s="79"/>
      <c r="K42" s="79"/>
      <c r="L42" s="249"/>
      <c r="M42" s="1073"/>
      <c r="N42" s="341">
        <v>650000</v>
      </c>
      <c r="O42" s="342">
        <f t="shared" si="3"/>
        <v>702000</v>
      </c>
      <c r="P42" s="252"/>
      <c r="Q42" s="141"/>
    </row>
    <row r="43" spans="1:20" ht="16.2" thickBot="1">
      <c r="A43" s="326">
        <f t="shared" si="1"/>
        <v>5</v>
      </c>
      <c r="B43" s="497">
        <v>305831347640</v>
      </c>
      <c r="C43" s="540" t="s">
        <v>1632</v>
      </c>
      <c r="D43" s="332" t="s">
        <v>1652</v>
      </c>
      <c r="E43" s="444"/>
      <c r="F43" s="167"/>
      <c r="G43" s="167"/>
      <c r="H43" s="337"/>
      <c r="I43" s="560" t="s">
        <v>1650</v>
      </c>
      <c r="J43" s="519"/>
      <c r="K43" s="795"/>
      <c r="L43" s="397"/>
      <c r="M43" s="1113"/>
      <c r="N43" s="341">
        <v>650000</v>
      </c>
      <c r="O43" s="415">
        <f t="shared" si="3"/>
        <v>702000</v>
      </c>
      <c r="P43" s="520"/>
      <c r="Q43" s="336"/>
    </row>
    <row r="44" spans="1:20" ht="14.4">
      <c r="A44" s="3701" t="s">
        <v>1626</v>
      </c>
      <c r="B44" s="3702"/>
      <c r="C44" s="3702"/>
      <c r="D44" s="3702"/>
      <c r="E44" s="3702"/>
      <c r="F44" s="3702"/>
      <c r="G44" s="3702"/>
      <c r="H44" s="3702"/>
      <c r="I44" s="554"/>
      <c r="J44" s="369"/>
      <c r="K44" s="369"/>
      <c r="L44" s="346"/>
      <c r="M44" s="346"/>
      <c r="N44" s="346"/>
      <c r="O44" s="346"/>
      <c r="P44" s="346"/>
      <c r="Q44" s="346"/>
      <c r="T44" s="454"/>
    </row>
    <row r="45" spans="1:20">
      <c r="A45" s="98">
        <v>1</v>
      </c>
      <c r="B45" s="536" t="s">
        <v>1678</v>
      </c>
      <c r="C45" s="542">
        <v>45203</v>
      </c>
      <c r="D45" s="332" t="s">
        <v>1677</v>
      </c>
      <c r="E45" s="166"/>
      <c r="F45" s="87"/>
      <c r="G45" s="87"/>
      <c r="H45" s="521"/>
      <c r="I45" s="562" t="s">
        <v>1679</v>
      </c>
      <c r="J45" s="89"/>
      <c r="K45" s="89"/>
      <c r="L45" s="249"/>
      <c r="M45" s="1073"/>
      <c r="N45" s="341">
        <v>650000</v>
      </c>
      <c r="O45" s="415">
        <f t="shared" ref="O45:O50" si="4">+N45*1.08</f>
        <v>702000</v>
      </c>
      <c r="P45" s="252"/>
      <c r="Q45" s="46"/>
    </row>
    <row r="46" spans="1:20">
      <c r="A46" s="98">
        <v>2</v>
      </c>
      <c r="B46" s="536" t="s">
        <v>1698</v>
      </c>
      <c r="C46" s="542">
        <v>45209</v>
      </c>
      <c r="D46" s="332" t="s">
        <v>1682</v>
      </c>
      <c r="E46" s="166"/>
      <c r="F46" s="87"/>
      <c r="G46" s="87"/>
      <c r="H46" s="521"/>
      <c r="I46" s="563" t="s">
        <v>1681</v>
      </c>
      <c r="J46" s="89"/>
      <c r="K46" s="89"/>
      <c r="L46" s="249"/>
      <c r="M46" s="1073"/>
      <c r="N46" s="341">
        <v>650000</v>
      </c>
      <c r="O46" s="415">
        <f t="shared" si="4"/>
        <v>702000</v>
      </c>
      <c r="P46" s="252"/>
      <c r="Q46" s="46"/>
    </row>
    <row r="47" spans="1:20">
      <c r="A47" s="98">
        <v>3</v>
      </c>
      <c r="B47" s="536" t="s">
        <v>1697</v>
      </c>
      <c r="C47" s="542">
        <v>45209</v>
      </c>
      <c r="D47" s="332" t="s">
        <v>1683</v>
      </c>
      <c r="E47" s="166"/>
      <c r="F47" s="87"/>
      <c r="G47" s="87"/>
      <c r="H47" s="521"/>
      <c r="I47" s="563" t="s">
        <v>1684</v>
      </c>
      <c r="J47" s="89"/>
      <c r="K47" s="89"/>
      <c r="L47" s="249"/>
      <c r="M47" s="1073"/>
      <c r="N47" s="341">
        <v>650000</v>
      </c>
      <c r="O47" s="415">
        <f t="shared" si="4"/>
        <v>702000</v>
      </c>
      <c r="P47" s="252"/>
      <c r="Q47" s="46"/>
    </row>
    <row r="48" spans="1:20">
      <c r="A48" s="98">
        <v>4</v>
      </c>
      <c r="B48" s="536" t="s">
        <v>1758</v>
      </c>
      <c r="C48" s="540" t="s">
        <v>1718</v>
      </c>
      <c r="D48" s="332" t="s">
        <v>1723</v>
      </c>
      <c r="E48" s="166"/>
      <c r="F48" s="87"/>
      <c r="G48" s="87"/>
      <c r="H48" s="521"/>
      <c r="I48" s="563" t="s">
        <v>1722</v>
      </c>
      <c r="J48" s="89"/>
      <c r="K48" s="89"/>
      <c r="L48" s="249">
        <v>13971.583999999997</v>
      </c>
      <c r="M48" s="1073"/>
      <c r="N48" s="341">
        <v>650000</v>
      </c>
      <c r="O48" s="415">
        <f t="shared" si="4"/>
        <v>702000</v>
      </c>
      <c r="P48" s="252"/>
      <c r="Q48" s="46"/>
    </row>
    <row r="49" spans="1:17">
      <c r="A49" s="98">
        <v>5</v>
      </c>
      <c r="B49" s="536" t="s">
        <v>1759</v>
      </c>
      <c r="C49" s="540" t="s">
        <v>1729</v>
      </c>
      <c r="D49" s="332" t="s">
        <v>1738</v>
      </c>
      <c r="E49" s="166"/>
      <c r="F49" s="87"/>
      <c r="G49" s="87"/>
      <c r="H49" s="521"/>
      <c r="I49" s="563" t="s">
        <v>1737</v>
      </c>
      <c r="J49" s="89"/>
      <c r="K49" s="89"/>
      <c r="L49" s="249"/>
      <c r="M49" s="1073"/>
      <c r="N49" s="341">
        <v>650000</v>
      </c>
      <c r="O49" s="415">
        <f t="shared" si="4"/>
        <v>702000</v>
      </c>
      <c r="P49" s="252"/>
      <c r="Q49" s="46"/>
    </row>
    <row r="50" spans="1:17">
      <c r="A50" s="98">
        <v>6</v>
      </c>
      <c r="B50" s="536" t="s">
        <v>1760</v>
      </c>
      <c r="C50" s="540" t="s">
        <v>1729</v>
      </c>
      <c r="D50" s="332" t="s">
        <v>1740</v>
      </c>
      <c r="E50" s="166"/>
      <c r="F50" s="87"/>
      <c r="G50" s="87"/>
      <c r="H50" s="521"/>
      <c r="I50" s="563" t="s">
        <v>1739</v>
      </c>
      <c r="J50" s="89"/>
      <c r="K50" s="89"/>
      <c r="L50" s="249"/>
      <c r="M50" s="1073"/>
      <c r="N50" s="341">
        <v>650000</v>
      </c>
      <c r="O50" s="415">
        <f t="shared" si="4"/>
        <v>702000</v>
      </c>
      <c r="P50" s="252"/>
      <c r="Q50" s="46"/>
    </row>
    <row r="51" spans="1:17" ht="13.2">
      <c r="A51" s="3701" t="s">
        <v>1721</v>
      </c>
      <c r="B51" s="3702"/>
      <c r="C51" s="3702"/>
      <c r="D51" s="3702"/>
      <c r="E51" s="3702"/>
      <c r="F51" s="3702"/>
      <c r="G51" s="3702"/>
      <c r="H51" s="3702"/>
      <c r="I51" s="554"/>
      <c r="J51" s="369"/>
      <c r="K51" s="369"/>
      <c r="L51" s="346"/>
      <c r="M51" s="346"/>
      <c r="N51" s="346"/>
      <c r="O51" s="346"/>
      <c r="P51" s="346"/>
      <c r="Q51" s="346"/>
    </row>
    <row r="52" spans="1:17">
      <c r="A52" s="98">
        <v>1</v>
      </c>
      <c r="B52" s="536" t="s">
        <v>1840</v>
      </c>
      <c r="C52" s="540" t="s">
        <v>1817</v>
      </c>
      <c r="D52" s="179" t="s">
        <v>1819</v>
      </c>
      <c r="E52" s="166"/>
      <c r="F52" s="87"/>
      <c r="G52" s="87"/>
      <c r="H52" s="548" t="s">
        <v>1890</v>
      </c>
      <c r="I52" s="563" t="s">
        <v>1818</v>
      </c>
      <c r="J52" s="89"/>
      <c r="K52" s="89"/>
      <c r="L52" s="249"/>
      <c r="M52" s="1073"/>
      <c r="N52" s="341">
        <v>650000</v>
      </c>
      <c r="O52" s="415">
        <f>+N52*1.08</f>
        <v>702000</v>
      </c>
      <c r="P52" s="252"/>
      <c r="Q52" s="46"/>
    </row>
    <row r="53" spans="1:17">
      <c r="A53" s="98">
        <v>2</v>
      </c>
      <c r="B53" s="536" t="s">
        <v>1841</v>
      </c>
      <c r="C53" s="540" t="s">
        <v>1817</v>
      </c>
      <c r="D53" s="179" t="s">
        <v>1821</v>
      </c>
      <c r="E53" s="166"/>
      <c r="F53" s="87"/>
      <c r="G53" s="87"/>
      <c r="H53" s="548" t="s">
        <v>1891</v>
      </c>
      <c r="I53" s="563" t="s">
        <v>1820</v>
      </c>
      <c r="J53" s="89"/>
      <c r="K53" s="89"/>
      <c r="L53" s="249"/>
      <c r="M53" s="1073"/>
      <c r="N53" s="341">
        <v>650000</v>
      </c>
      <c r="O53" s="415">
        <f t="shared" ref="O53:O58" si="5">+N53*1.08</f>
        <v>702000</v>
      </c>
      <c r="P53" s="252"/>
      <c r="Q53" s="46"/>
    </row>
    <row r="54" spans="1:17">
      <c r="A54" s="98">
        <v>3</v>
      </c>
      <c r="B54" s="536" t="s">
        <v>1842</v>
      </c>
      <c r="C54" s="540" t="s">
        <v>1817</v>
      </c>
      <c r="D54" s="179" t="s">
        <v>1823</v>
      </c>
      <c r="E54" s="166"/>
      <c r="F54" s="87"/>
      <c r="G54" s="87"/>
      <c r="H54" s="548" t="s">
        <v>1892</v>
      </c>
      <c r="I54" s="563" t="s">
        <v>1822</v>
      </c>
      <c r="J54" s="89"/>
      <c r="K54" s="89"/>
      <c r="L54" s="249"/>
      <c r="M54" s="1073"/>
      <c r="N54" s="341">
        <v>650000</v>
      </c>
      <c r="O54" s="415">
        <f t="shared" si="5"/>
        <v>702000</v>
      </c>
      <c r="P54" s="252"/>
      <c r="Q54" s="46"/>
    </row>
    <row r="55" spans="1:17">
      <c r="A55" s="98">
        <v>4</v>
      </c>
      <c r="B55" s="536" t="s">
        <v>1843</v>
      </c>
      <c r="C55" s="540" t="s">
        <v>1817</v>
      </c>
      <c r="D55" s="179" t="s">
        <v>1825</v>
      </c>
      <c r="E55" s="166"/>
      <c r="F55" s="87"/>
      <c r="G55" s="87"/>
      <c r="H55" s="548" t="s">
        <v>1893</v>
      </c>
      <c r="I55" s="563" t="s">
        <v>1824</v>
      </c>
      <c r="J55" s="89"/>
      <c r="K55" s="89"/>
      <c r="L55" s="249"/>
      <c r="M55" s="1073"/>
      <c r="N55" s="341">
        <v>650000</v>
      </c>
      <c r="O55" s="415">
        <f t="shared" si="5"/>
        <v>702000</v>
      </c>
      <c r="P55" s="252"/>
      <c r="Q55" s="46"/>
    </row>
    <row r="56" spans="1:17">
      <c r="A56" s="98">
        <v>5</v>
      </c>
      <c r="B56" s="536" t="s">
        <v>1866</v>
      </c>
      <c r="C56" s="540" t="s">
        <v>1847</v>
      </c>
      <c r="D56" s="179" t="s">
        <v>1849</v>
      </c>
      <c r="E56" s="166"/>
      <c r="F56" s="87"/>
      <c r="G56" s="87"/>
      <c r="H56" s="548" t="s">
        <v>1894</v>
      </c>
      <c r="I56" s="563" t="s">
        <v>1848</v>
      </c>
      <c r="J56" s="89"/>
      <c r="K56" s="89"/>
      <c r="L56" s="249"/>
      <c r="M56" s="1073"/>
      <c r="N56" s="341">
        <v>650000</v>
      </c>
      <c r="O56" s="415">
        <f t="shared" si="5"/>
        <v>702000</v>
      </c>
      <c r="P56" s="252"/>
      <c r="Q56" s="46"/>
    </row>
    <row r="57" spans="1:17">
      <c r="A57" s="98">
        <v>6</v>
      </c>
      <c r="B57" s="536" t="s">
        <v>1867</v>
      </c>
      <c r="C57" s="540" t="s">
        <v>1847</v>
      </c>
      <c r="D57" s="179" t="s">
        <v>1851</v>
      </c>
      <c r="E57" s="166"/>
      <c r="F57" s="87"/>
      <c r="G57" s="87"/>
      <c r="H57" s="548" t="s">
        <v>1895</v>
      </c>
      <c r="I57" s="563" t="s">
        <v>1850</v>
      </c>
      <c r="J57" s="89"/>
      <c r="K57" s="89"/>
      <c r="L57" s="249"/>
      <c r="M57" s="1073"/>
      <c r="N57" s="341">
        <v>650000</v>
      </c>
      <c r="O57" s="415">
        <f t="shared" si="5"/>
        <v>702000</v>
      </c>
      <c r="P57" s="252"/>
      <c r="Q57" s="46"/>
    </row>
    <row r="58" spans="1:17">
      <c r="A58" s="98">
        <v>7</v>
      </c>
      <c r="B58" s="536" t="s">
        <v>1868</v>
      </c>
      <c r="C58" s="540" t="s">
        <v>1847</v>
      </c>
      <c r="D58" s="179" t="s">
        <v>1853</v>
      </c>
      <c r="E58" s="166"/>
      <c r="F58" s="87"/>
      <c r="G58" s="87"/>
      <c r="H58" s="548" t="s">
        <v>1896</v>
      </c>
      <c r="I58" s="563" t="s">
        <v>1852</v>
      </c>
      <c r="J58" s="89"/>
      <c r="K58" s="89"/>
      <c r="L58" s="249"/>
      <c r="M58" s="1073"/>
      <c r="N58" s="341">
        <v>650000</v>
      </c>
      <c r="O58" s="415">
        <f t="shared" si="5"/>
        <v>702000</v>
      </c>
      <c r="P58" s="252"/>
      <c r="Q58" s="46"/>
    </row>
    <row r="59" spans="1:17">
      <c r="A59" s="98">
        <v>8</v>
      </c>
      <c r="B59" s="536" t="s">
        <v>1903</v>
      </c>
      <c r="C59" s="540" t="s">
        <v>1847</v>
      </c>
      <c r="D59" s="179" t="s">
        <v>1899</v>
      </c>
      <c r="E59" s="166"/>
      <c r="F59" s="87"/>
      <c r="G59" s="87"/>
      <c r="H59" s="548" t="s">
        <v>1898</v>
      </c>
      <c r="I59" s="563" t="s">
        <v>1897</v>
      </c>
      <c r="J59" s="89"/>
      <c r="K59" s="89"/>
      <c r="L59" s="249"/>
      <c r="M59" s="1073"/>
      <c r="N59" s="341">
        <v>650000</v>
      </c>
      <c r="O59" s="415">
        <f t="shared" ref="O59:O65" si="6">+N59*1.08</f>
        <v>702000</v>
      </c>
      <c r="P59" s="252"/>
      <c r="Q59" s="46"/>
    </row>
    <row r="60" spans="1:17">
      <c r="A60" s="98">
        <v>9</v>
      </c>
      <c r="B60" s="536" t="s">
        <v>1904</v>
      </c>
      <c r="C60" s="540" t="s">
        <v>1847</v>
      </c>
      <c r="D60" s="549" t="s">
        <v>1902</v>
      </c>
      <c r="E60" s="166"/>
      <c r="F60" s="87"/>
      <c r="G60" s="87"/>
      <c r="H60" s="548" t="s">
        <v>1901</v>
      </c>
      <c r="I60" s="563" t="s">
        <v>1900</v>
      </c>
      <c r="J60" s="89"/>
      <c r="K60" s="89"/>
      <c r="L60" s="249"/>
      <c r="M60" s="1073"/>
      <c r="N60" s="341">
        <v>650000</v>
      </c>
      <c r="O60" s="415">
        <f t="shared" si="6"/>
        <v>702000</v>
      </c>
      <c r="P60" s="252"/>
      <c r="Q60" s="46"/>
    </row>
    <row r="61" spans="1:17">
      <c r="A61" s="98">
        <v>10</v>
      </c>
      <c r="B61" s="536" t="s">
        <v>1886</v>
      </c>
      <c r="C61" s="540" t="s">
        <v>1887</v>
      </c>
      <c r="D61" s="179" t="s">
        <v>1884</v>
      </c>
      <c r="E61" s="166"/>
      <c r="F61" s="87"/>
      <c r="G61" s="87"/>
      <c r="H61" s="548" t="s">
        <v>1889</v>
      </c>
      <c r="I61" s="563" t="s">
        <v>1885</v>
      </c>
      <c r="J61" s="89"/>
      <c r="K61" s="89"/>
      <c r="L61" s="249"/>
      <c r="M61" s="1073"/>
      <c r="N61" s="341">
        <v>650000</v>
      </c>
      <c r="O61" s="415">
        <f t="shared" si="6"/>
        <v>702000</v>
      </c>
      <c r="P61" s="252"/>
      <c r="Q61" s="46"/>
    </row>
    <row r="62" spans="1:17">
      <c r="A62" s="98">
        <v>11</v>
      </c>
      <c r="B62" s="536" t="s">
        <v>1917</v>
      </c>
      <c r="C62" s="540" t="s">
        <v>1905</v>
      </c>
      <c r="D62" s="179" t="s">
        <v>1910</v>
      </c>
      <c r="E62" s="166"/>
      <c r="F62" s="87"/>
      <c r="G62" s="87"/>
      <c r="H62" s="548" t="s">
        <v>1919</v>
      </c>
      <c r="I62" s="563" t="s">
        <v>1909</v>
      </c>
      <c r="J62" s="89"/>
      <c r="K62" s="89"/>
      <c r="L62" s="249"/>
      <c r="M62" s="1073"/>
      <c r="N62" s="341">
        <v>650000</v>
      </c>
      <c r="O62" s="415">
        <f t="shared" si="6"/>
        <v>702000</v>
      </c>
      <c r="P62" s="252"/>
      <c r="Q62" s="46"/>
    </row>
    <row r="63" spans="1:17">
      <c r="A63" s="98">
        <v>12</v>
      </c>
      <c r="B63" s="536" t="s">
        <v>1918</v>
      </c>
      <c r="C63" s="540" t="s">
        <v>1905</v>
      </c>
      <c r="D63" s="179" t="s">
        <v>1912</v>
      </c>
      <c r="E63" s="166"/>
      <c r="F63" s="87"/>
      <c r="G63" s="87"/>
      <c r="H63" s="548" t="s">
        <v>1920</v>
      </c>
      <c r="I63" s="563" t="s">
        <v>1911</v>
      </c>
      <c r="J63" s="89"/>
      <c r="K63" s="89"/>
      <c r="L63" s="249"/>
      <c r="M63" s="1073"/>
      <c r="N63" s="341">
        <v>650000</v>
      </c>
      <c r="O63" s="415">
        <f t="shared" si="6"/>
        <v>702000</v>
      </c>
      <c r="P63" s="252"/>
      <c r="Q63" s="46"/>
    </row>
    <row r="64" spans="1:17">
      <c r="A64" s="98">
        <v>13</v>
      </c>
      <c r="B64" s="536" t="s">
        <v>1922</v>
      </c>
      <c r="C64" s="540" t="s">
        <v>1905</v>
      </c>
      <c r="D64" s="179" t="s">
        <v>1921</v>
      </c>
      <c r="E64" s="166"/>
      <c r="F64" s="87"/>
      <c r="G64" s="87"/>
      <c r="H64" s="550" t="s">
        <v>1924</v>
      </c>
      <c r="I64" s="563" t="s">
        <v>1923</v>
      </c>
      <c r="J64" s="89"/>
      <c r="K64" s="89"/>
      <c r="L64" s="249"/>
      <c r="M64" s="1073"/>
      <c r="N64" s="341">
        <v>650000</v>
      </c>
      <c r="O64" s="415">
        <f t="shared" si="6"/>
        <v>702000</v>
      </c>
      <c r="P64" s="252"/>
      <c r="Q64" s="46"/>
    </row>
    <row r="65" spans="1:17">
      <c r="A65" s="98">
        <v>14</v>
      </c>
      <c r="B65" s="536" t="s">
        <v>1925</v>
      </c>
      <c r="C65" s="540" t="s">
        <v>1905</v>
      </c>
      <c r="D65" s="179" t="s">
        <v>1927</v>
      </c>
      <c r="E65" s="166"/>
      <c r="F65" s="87"/>
      <c r="G65" s="87"/>
      <c r="H65" s="550" t="s">
        <v>1928</v>
      </c>
      <c r="I65" s="563" t="s">
        <v>1926</v>
      </c>
      <c r="J65" s="89"/>
      <c r="K65" s="89"/>
      <c r="L65" s="249"/>
      <c r="M65" s="1073"/>
      <c r="N65" s="341">
        <v>650000</v>
      </c>
      <c r="O65" s="415">
        <f t="shared" si="6"/>
        <v>702000</v>
      </c>
      <c r="P65" s="252"/>
      <c r="Q65" s="46"/>
    </row>
    <row r="66" spans="1:17" ht="13.2">
      <c r="A66" s="3701" t="s">
        <v>1869</v>
      </c>
      <c r="B66" s="3702"/>
      <c r="C66" s="3702"/>
      <c r="D66" s="3702"/>
      <c r="E66" s="3702"/>
      <c r="F66" s="3702"/>
      <c r="G66" s="3702"/>
      <c r="H66" s="3702"/>
      <c r="I66" s="554"/>
      <c r="J66" s="369"/>
      <c r="K66" s="369"/>
      <c r="L66" s="346"/>
      <c r="M66" s="346"/>
      <c r="N66" s="346"/>
      <c r="O66" s="346"/>
      <c r="P66" s="346"/>
      <c r="Q66" s="346"/>
    </row>
    <row r="67" spans="1:17">
      <c r="A67" s="98">
        <v>1</v>
      </c>
      <c r="B67" s="442">
        <v>306062685630</v>
      </c>
      <c r="C67" s="542">
        <v>45272</v>
      </c>
      <c r="D67" s="179" t="s">
        <v>1954</v>
      </c>
      <c r="E67" s="166"/>
      <c r="F67" s="87"/>
      <c r="G67" s="87"/>
      <c r="H67" s="550" t="s">
        <v>1978</v>
      </c>
      <c r="I67" s="563" t="s">
        <v>1953</v>
      </c>
      <c r="J67" s="89"/>
      <c r="K67" s="89"/>
      <c r="L67" s="249"/>
      <c r="M67" s="1073"/>
      <c r="N67" s="341">
        <v>650000</v>
      </c>
      <c r="O67" s="415">
        <f t="shared" ref="O67:O72" si="7">+N67*1.08</f>
        <v>702000</v>
      </c>
      <c r="P67" s="252"/>
      <c r="Q67" s="46"/>
    </row>
    <row r="68" spans="1:17">
      <c r="A68" s="98">
        <v>2</v>
      </c>
      <c r="B68" s="442">
        <v>306062883250</v>
      </c>
      <c r="C68" s="542">
        <v>45272</v>
      </c>
      <c r="D68" s="179" t="s">
        <v>1955</v>
      </c>
      <c r="E68" s="166"/>
      <c r="F68" s="87"/>
      <c r="G68" s="87"/>
      <c r="H68" s="550" t="s">
        <v>1979</v>
      </c>
      <c r="I68" s="562">
        <v>122300027402885</v>
      </c>
      <c r="J68" s="89"/>
      <c r="K68" s="89"/>
      <c r="L68" s="249"/>
      <c r="M68" s="1073"/>
      <c r="N68" s="341">
        <v>650000</v>
      </c>
      <c r="O68" s="415">
        <f t="shared" si="7"/>
        <v>702000</v>
      </c>
      <c r="P68" s="252"/>
      <c r="Q68" s="46"/>
    </row>
    <row r="69" spans="1:17">
      <c r="A69" s="98">
        <v>3</v>
      </c>
      <c r="B69" s="442">
        <v>306063131530</v>
      </c>
      <c r="C69" s="542">
        <v>45272</v>
      </c>
      <c r="D69" s="179" t="s">
        <v>1956</v>
      </c>
      <c r="E69" s="166"/>
      <c r="F69" s="87"/>
      <c r="G69" s="87"/>
      <c r="H69" s="550" t="s">
        <v>1980</v>
      </c>
      <c r="I69" s="562">
        <v>122300027406288</v>
      </c>
      <c r="J69" s="89"/>
      <c r="K69" s="89"/>
      <c r="L69" s="249"/>
      <c r="M69" s="1073"/>
      <c r="N69" s="341">
        <v>650000</v>
      </c>
      <c r="O69" s="415">
        <f t="shared" si="7"/>
        <v>702000</v>
      </c>
      <c r="P69" s="252"/>
      <c r="Q69" s="46"/>
    </row>
    <row r="70" spans="1:17">
      <c r="A70" s="98">
        <v>4</v>
      </c>
      <c r="B70" s="442">
        <v>306063313860</v>
      </c>
      <c r="C70" s="542">
        <v>45272</v>
      </c>
      <c r="D70" s="179" t="s">
        <v>1957</v>
      </c>
      <c r="E70" s="166"/>
      <c r="F70" s="87"/>
      <c r="G70" s="87"/>
      <c r="H70" s="550" t="s">
        <v>1981</v>
      </c>
      <c r="I70" s="562">
        <v>122300027408587</v>
      </c>
      <c r="J70" s="89"/>
      <c r="K70" s="89"/>
      <c r="L70" s="249"/>
      <c r="M70" s="1073"/>
      <c r="N70" s="341">
        <v>650000</v>
      </c>
      <c r="O70" s="415">
        <f t="shared" si="7"/>
        <v>702000</v>
      </c>
      <c r="P70" s="252"/>
      <c r="Q70" s="46"/>
    </row>
    <row r="71" spans="1:17">
      <c r="A71" s="98">
        <v>5</v>
      </c>
      <c r="B71" s="442">
        <v>306090252700</v>
      </c>
      <c r="C71" s="540" t="s">
        <v>2022</v>
      </c>
      <c r="D71" s="179" t="s">
        <v>2024</v>
      </c>
      <c r="E71" s="166"/>
      <c r="F71" s="87"/>
      <c r="G71" s="87"/>
      <c r="H71" s="550" t="s">
        <v>2023</v>
      </c>
      <c r="I71" s="562">
        <v>122300027740181</v>
      </c>
      <c r="J71" s="89"/>
      <c r="K71" s="89"/>
      <c r="L71" s="249"/>
      <c r="M71" s="1073"/>
      <c r="N71" s="341">
        <v>650000</v>
      </c>
      <c r="O71" s="415">
        <f t="shared" si="7"/>
        <v>702000</v>
      </c>
      <c r="P71" s="252"/>
      <c r="Q71" s="46"/>
    </row>
    <row r="72" spans="1:17">
      <c r="A72" s="98">
        <v>6</v>
      </c>
      <c r="B72" s="442">
        <v>306090344510</v>
      </c>
      <c r="C72" s="540" t="s">
        <v>2022</v>
      </c>
      <c r="D72" s="179" t="s">
        <v>2027</v>
      </c>
      <c r="E72" s="166"/>
      <c r="F72" s="87"/>
      <c r="G72" s="87"/>
      <c r="H72" s="550" t="s">
        <v>2026</v>
      </c>
      <c r="I72" s="563" t="s">
        <v>2025</v>
      </c>
      <c r="J72" s="89"/>
      <c r="K72" s="89"/>
      <c r="L72" s="249"/>
      <c r="M72" s="1073"/>
      <c r="N72" s="341">
        <v>650000</v>
      </c>
      <c r="O72" s="415">
        <f t="shared" si="7"/>
        <v>702000</v>
      </c>
      <c r="P72" s="252"/>
      <c r="Q72" s="46"/>
    </row>
    <row r="73" spans="1:17">
      <c r="A73" s="98">
        <v>7</v>
      </c>
      <c r="B73" s="442">
        <v>306093395660</v>
      </c>
      <c r="C73" s="540" t="s">
        <v>2015</v>
      </c>
      <c r="D73" s="179" t="s">
        <v>2029</v>
      </c>
      <c r="E73" s="166"/>
      <c r="F73" s="87"/>
      <c r="G73" s="87"/>
      <c r="H73" s="117" t="s">
        <v>2028</v>
      </c>
      <c r="I73" s="562">
        <v>122300027779738</v>
      </c>
      <c r="J73" s="89"/>
      <c r="K73" s="89"/>
      <c r="L73" s="249"/>
      <c r="M73" s="1073"/>
      <c r="N73" s="341">
        <v>650000</v>
      </c>
      <c r="O73" s="415">
        <f>+N73*1.08</f>
        <v>702000</v>
      </c>
      <c r="P73" s="252"/>
      <c r="Q73" s="46"/>
    </row>
    <row r="74" spans="1:17">
      <c r="A74" s="98">
        <v>8</v>
      </c>
      <c r="B74" s="442">
        <v>306098691900</v>
      </c>
      <c r="C74" s="540" t="s">
        <v>2017</v>
      </c>
      <c r="D74" s="179" t="s">
        <v>2039</v>
      </c>
      <c r="E74" s="166"/>
      <c r="F74" s="87"/>
      <c r="G74" s="87"/>
      <c r="H74" s="117" t="s">
        <v>2038</v>
      </c>
      <c r="I74" s="562">
        <v>122300027844691</v>
      </c>
      <c r="J74" s="89"/>
      <c r="K74" s="89"/>
      <c r="L74" s="249"/>
      <c r="M74" s="1073"/>
      <c r="N74" s="341">
        <v>650000</v>
      </c>
      <c r="O74" s="415">
        <f>+N74*1.08</f>
        <v>702000</v>
      </c>
      <c r="P74" s="252"/>
      <c r="Q74" s="46"/>
    </row>
    <row r="75" spans="1:17">
      <c r="A75" s="98">
        <v>9</v>
      </c>
      <c r="B75" s="442">
        <v>306100258130</v>
      </c>
      <c r="C75" s="540" t="s">
        <v>2017</v>
      </c>
      <c r="D75" s="179" t="s">
        <v>2040</v>
      </c>
      <c r="E75" s="166"/>
      <c r="F75" s="87"/>
      <c r="G75" s="87"/>
      <c r="H75" s="116" t="s">
        <v>2041</v>
      </c>
      <c r="I75" s="562">
        <v>122300027848956</v>
      </c>
      <c r="J75" s="89"/>
      <c r="K75" s="89"/>
      <c r="L75" s="249"/>
      <c r="M75" s="1073"/>
      <c r="N75" s="341">
        <v>650000</v>
      </c>
      <c r="O75" s="415">
        <f>+N75*1.08</f>
        <v>702000</v>
      </c>
      <c r="P75" s="252"/>
      <c r="Q75" s="46"/>
    </row>
    <row r="76" spans="1:17" ht="13.2">
      <c r="A76" s="3701" t="s">
        <v>1991</v>
      </c>
      <c r="B76" s="3702"/>
      <c r="C76" s="3702"/>
      <c r="D76" s="3702"/>
      <c r="E76" s="3702"/>
      <c r="F76" s="3702"/>
      <c r="G76" s="3702"/>
      <c r="H76" s="3702"/>
      <c r="I76" s="554"/>
      <c r="J76" s="369"/>
      <c r="K76" s="369"/>
      <c r="L76" s="346"/>
      <c r="M76" s="346"/>
      <c r="N76" s="346"/>
      <c r="O76" s="346"/>
      <c r="P76" s="346"/>
      <c r="Q76" s="346"/>
    </row>
    <row r="77" spans="1:17">
      <c r="A77" s="98">
        <v>1</v>
      </c>
      <c r="B77" s="442">
        <v>306140690720</v>
      </c>
      <c r="C77" s="541" t="s">
        <v>2077</v>
      </c>
      <c r="D77" s="179" t="s">
        <v>2078</v>
      </c>
      <c r="E77" s="166"/>
      <c r="F77" s="87"/>
      <c r="G77" s="87"/>
      <c r="H77" s="548" t="s">
        <v>2152</v>
      </c>
      <c r="I77" s="562">
        <v>122400024003531</v>
      </c>
      <c r="J77" s="89"/>
      <c r="K77" s="89"/>
      <c r="L77" s="249"/>
      <c r="M77" s="1073"/>
      <c r="N77" s="341">
        <v>650000</v>
      </c>
      <c r="O77" s="415">
        <f t="shared" ref="O77:O82" si="8">+N77*1.08</f>
        <v>702000</v>
      </c>
      <c r="P77" s="252"/>
      <c r="Q77" s="46"/>
    </row>
    <row r="78" spans="1:17">
      <c r="A78" s="98">
        <v>2</v>
      </c>
      <c r="B78" s="525">
        <v>306142316820</v>
      </c>
      <c r="C78" s="541" t="s">
        <v>2079</v>
      </c>
      <c r="D78" s="179" t="s">
        <v>2080</v>
      </c>
      <c r="E78" s="166"/>
      <c r="F78" s="87"/>
      <c r="G78" s="87"/>
      <c r="H78" s="548" t="s">
        <v>2153</v>
      </c>
      <c r="I78" s="562">
        <v>122400024024448</v>
      </c>
      <c r="J78" s="89"/>
      <c r="K78" s="89"/>
      <c r="L78" s="249"/>
      <c r="M78" s="1073"/>
      <c r="N78" s="341">
        <v>650000</v>
      </c>
      <c r="O78" s="415">
        <f t="shared" si="8"/>
        <v>702000</v>
      </c>
      <c r="P78" s="252"/>
      <c r="Q78" s="46"/>
    </row>
    <row r="79" spans="1:17">
      <c r="A79" s="98">
        <v>3</v>
      </c>
      <c r="B79" s="442">
        <v>306142547710</v>
      </c>
      <c r="C79" s="541" t="s">
        <v>2079</v>
      </c>
      <c r="D79" s="179" t="s">
        <v>2081</v>
      </c>
      <c r="E79" s="166"/>
      <c r="F79" s="87"/>
      <c r="G79" s="87"/>
      <c r="H79" s="548" t="s">
        <v>2154</v>
      </c>
      <c r="I79" s="562">
        <v>122400024027571</v>
      </c>
      <c r="J79" s="89"/>
      <c r="K79" s="89"/>
      <c r="L79" s="249"/>
      <c r="M79" s="1073"/>
      <c r="N79" s="341">
        <v>650000</v>
      </c>
      <c r="O79" s="415">
        <f t="shared" si="8"/>
        <v>702000</v>
      </c>
      <c r="P79" s="252"/>
      <c r="Q79" s="46"/>
    </row>
    <row r="80" spans="1:17">
      <c r="A80" s="98">
        <v>4</v>
      </c>
      <c r="B80" s="442">
        <v>306142399530</v>
      </c>
      <c r="C80" s="541" t="s">
        <v>2079</v>
      </c>
      <c r="D80" s="179" t="s">
        <v>2082</v>
      </c>
      <c r="E80" s="166"/>
      <c r="F80" s="87"/>
      <c r="G80" s="87"/>
      <c r="H80" s="548" t="s">
        <v>2155</v>
      </c>
      <c r="I80" s="562">
        <v>122400024025467</v>
      </c>
      <c r="J80" s="89"/>
      <c r="K80" s="89"/>
      <c r="L80" s="249"/>
      <c r="M80" s="1073"/>
      <c r="N80" s="341">
        <v>650000</v>
      </c>
      <c r="O80" s="415">
        <f t="shared" si="8"/>
        <v>702000</v>
      </c>
      <c r="P80" s="252"/>
      <c r="Q80" s="46"/>
    </row>
    <row r="81" spans="1:17">
      <c r="A81" s="98">
        <v>5</v>
      </c>
      <c r="B81" s="442">
        <v>306158309240</v>
      </c>
      <c r="C81" s="540" t="s">
        <v>2110</v>
      </c>
      <c r="D81" s="179" t="s">
        <v>2114</v>
      </c>
      <c r="E81" s="166"/>
      <c r="F81" s="87"/>
      <c r="G81" s="87"/>
      <c r="H81" s="548" t="s">
        <v>2156</v>
      </c>
      <c r="I81" s="562">
        <v>122400024224479</v>
      </c>
      <c r="J81" s="89"/>
      <c r="K81" s="89"/>
      <c r="L81" s="249"/>
      <c r="M81" s="1073"/>
      <c r="N81" s="341">
        <v>650000</v>
      </c>
      <c r="O81" s="415">
        <f t="shared" si="8"/>
        <v>702000</v>
      </c>
      <c r="P81" s="252"/>
      <c r="Q81" s="46"/>
    </row>
    <row r="82" spans="1:17">
      <c r="A82" s="98">
        <v>6</v>
      </c>
      <c r="B82" s="442">
        <v>306161177840</v>
      </c>
      <c r="C82" s="540" t="s">
        <v>2121</v>
      </c>
      <c r="D82" s="179" t="s">
        <v>2122</v>
      </c>
      <c r="E82" s="166"/>
      <c r="F82" s="87"/>
      <c r="G82" s="87"/>
      <c r="H82" s="548" t="s">
        <v>2157</v>
      </c>
      <c r="I82" s="562">
        <v>122400024268839</v>
      </c>
      <c r="J82" s="89"/>
      <c r="K82" s="89"/>
      <c r="L82" s="249"/>
      <c r="M82" s="1073"/>
      <c r="N82" s="341">
        <v>650000</v>
      </c>
      <c r="O82" s="415">
        <f t="shared" si="8"/>
        <v>702000</v>
      </c>
      <c r="P82" s="252"/>
      <c r="Q82" s="46"/>
    </row>
    <row r="83" spans="1:17" ht="13.2">
      <c r="A83" s="3701" t="s">
        <v>2104</v>
      </c>
      <c r="B83" s="3702"/>
      <c r="C83" s="3702"/>
      <c r="D83" s="3702"/>
      <c r="E83" s="3702"/>
      <c r="F83" s="3702"/>
      <c r="G83" s="3702"/>
      <c r="H83" s="3702"/>
      <c r="I83" s="554"/>
      <c r="J83" s="369"/>
      <c r="K83" s="369"/>
      <c r="L83" s="346"/>
      <c r="M83" s="346"/>
      <c r="N83" s="346"/>
      <c r="O83" s="346"/>
      <c r="P83" s="346"/>
      <c r="Q83" s="346"/>
    </row>
    <row r="84" spans="1:17">
      <c r="A84" s="98">
        <v>1</v>
      </c>
      <c r="B84" s="442">
        <v>306191127820</v>
      </c>
      <c r="C84" s="593">
        <v>45324</v>
      </c>
      <c r="D84" s="179" t="s">
        <v>2164</v>
      </c>
      <c r="E84" s="166"/>
      <c r="F84" s="87"/>
      <c r="G84" s="87"/>
      <c r="H84" s="548" t="s">
        <v>2217</v>
      </c>
      <c r="I84" s="562" t="s">
        <v>2163</v>
      </c>
      <c r="J84" s="592"/>
      <c r="K84" s="592"/>
      <c r="L84" s="592"/>
      <c r="M84" s="1213"/>
      <c r="N84" s="341">
        <v>650000</v>
      </c>
      <c r="O84" s="415">
        <f>+N84*1.08</f>
        <v>702000</v>
      </c>
      <c r="P84" s="252"/>
      <c r="Q84" s="46"/>
    </row>
    <row r="85" spans="1:17">
      <c r="A85" s="98">
        <v>2</v>
      </c>
      <c r="B85" s="442">
        <v>306191335830</v>
      </c>
      <c r="C85" s="593">
        <v>45324</v>
      </c>
      <c r="D85" s="179" t="s">
        <v>2165</v>
      </c>
      <c r="E85" s="166"/>
      <c r="F85" s="87"/>
      <c r="G85" s="87"/>
      <c r="H85" s="548" t="s">
        <v>2218</v>
      </c>
      <c r="I85" s="562">
        <v>122400024639553</v>
      </c>
      <c r="J85" s="89"/>
      <c r="K85" s="89"/>
      <c r="L85" s="249"/>
      <c r="M85" s="1073"/>
      <c r="N85" s="341">
        <v>650000</v>
      </c>
      <c r="O85" s="415">
        <f>+N85*1.08</f>
        <v>702000</v>
      </c>
      <c r="P85" s="252"/>
      <c r="Q85" s="46"/>
    </row>
    <row r="86" spans="1:17">
      <c r="A86" s="98">
        <v>3</v>
      </c>
      <c r="B86" s="442">
        <v>306194523960</v>
      </c>
      <c r="C86" s="593">
        <v>45325</v>
      </c>
      <c r="D86" s="179" t="s">
        <v>2167</v>
      </c>
      <c r="E86" s="595" t="s">
        <v>2168</v>
      </c>
      <c r="F86" s="87"/>
      <c r="G86" s="87"/>
      <c r="H86" s="548" t="s">
        <v>2219</v>
      </c>
      <c r="I86" s="562">
        <v>122400024641809</v>
      </c>
      <c r="J86" s="89"/>
      <c r="K86" s="89"/>
      <c r="L86" s="249"/>
      <c r="M86" s="1073"/>
      <c r="N86" s="341">
        <v>650000</v>
      </c>
      <c r="O86" s="415">
        <f>+N86*1.08</f>
        <v>702000</v>
      </c>
      <c r="P86" s="252"/>
      <c r="Q86" s="46"/>
    </row>
    <row r="87" spans="1:17">
      <c r="A87" s="98">
        <v>4</v>
      </c>
      <c r="B87" s="442">
        <v>306230588810</v>
      </c>
      <c r="C87" s="593" t="s">
        <v>2214</v>
      </c>
      <c r="D87" s="179" t="s">
        <v>2215</v>
      </c>
      <c r="E87" s="166"/>
      <c r="F87" s="87"/>
      <c r="G87" s="87"/>
      <c r="H87" s="548" t="s">
        <v>2221</v>
      </c>
      <c r="I87" s="562">
        <v>122400025129980</v>
      </c>
      <c r="J87" s="89"/>
      <c r="K87" s="89"/>
      <c r="L87" s="249"/>
      <c r="M87" s="1073"/>
      <c r="N87" s="341">
        <v>650000</v>
      </c>
      <c r="O87" s="415">
        <f>+N87*1.08</f>
        <v>702000</v>
      </c>
      <c r="P87" s="252"/>
      <c r="Q87" s="46"/>
    </row>
    <row r="88" spans="1:17">
      <c r="A88" s="98">
        <v>5</v>
      </c>
      <c r="B88" s="442">
        <v>306230690530</v>
      </c>
      <c r="C88" s="593" t="s">
        <v>2214</v>
      </c>
      <c r="D88" s="179" t="s">
        <v>2216</v>
      </c>
      <c r="E88" s="166"/>
      <c r="F88" s="87"/>
      <c r="G88" s="87"/>
      <c r="H88" s="548" t="s">
        <v>2220</v>
      </c>
      <c r="I88" s="562">
        <v>122400025131227</v>
      </c>
      <c r="J88" s="89"/>
      <c r="K88" s="89"/>
      <c r="L88" s="249"/>
      <c r="M88" s="1073"/>
      <c r="N88" s="341">
        <v>650000</v>
      </c>
      <c r="O88" s="415">
        <f>+N88*1.08</f>
        <v>702000</v>
      </c>
      <c r="P88" s="252"/>
      <c r="Q88" s="46"/>
    </row>
    <row r="89" spans="1:17" ht="13.2">
      <c r="A89" s="3701" t="s">
        <v>2192</v>
      </c>
      <c r="B89" s="3702"/>
      <c r="C89" s="3702"/>
      <c r="D89" s="3702"/>
      <c r="E89" s="3702"/>
      <c r="F89" s="3702"/>
      <c r="G89" s="3702"/>
      <c r="H89" s="3702"/>
      <c r="I89" s="554"/>
      <c r="J89" s="369"/>
      <c r="K89" s="369"/>
      <c r="L89" s="346"/>
      <c r="M89" s="346"/>
      <c r="N89" s="598">
        <f>SUM(N83:N88)</f>
        <v>3250000</v>
      </c>
      <c r="O89" s="346"/>
      <c r="P89" s="346"/>
      <c r="Q89" s="346"/>
    </row>
    <row r="90" spans="1:17">
      <c r="A90" s="98">
        <v>1</v>
      </c>
      <c r="B90" s="442">
        <v>306245787210</v>
      </c>
      <c r="C90" s="597" t="s">
        <v>2235</v>
      </c>
      <c r="D90" s="179" t="s">
        <v>2236</v>
      </c>
      <c r="E90" s="166"/>
      <c r="F90" s="87"/>
      <c r="G90" s="87"/>
      <c r="H90" s="548" t="s">
        <v>2319</v>
      </c>
      <c r="I90" s="562">
        <v>122400025323208</v>
      </c>
      <c r="J90" s="89"/>
      <c r="K90" s="89"/>
      <c r="L90" s="249"/>
      <c r="M90" s="1073"/>
      <c r="N90" s="341">
        <v>650000</v>
      </c>
      <c r="O90" s="415">
        <f t="shared" ref="O90:O97" si="9">+N90*1.08</f>
        <v>702000</v>
      </c>
      <c r="P90" s="252"/>
      <c r="Q90" s="46"/>
    </row>
    <row r="91" spans="1:17">
      <c r="A91" s="98">
        <v>2</v>
      </c>
      <c r="B91" s="442">
        <v>306246093920</v>
      </c>
      <c r="C91" s="597" t="s">
        <v>2235</v>
      </c>
      <c r="D91" s="179" t="s">
        <v>2237</v>
      </c>
      <c r="E91" s="166"/>
      <c r="F91" s="87"/>
      <c r="G91" s="87"/>
      <c r="H91" s="548" t="s">
        <v>2320</v>
      </c>
      <c r="I91" s="562">
        <v>122400025327475</v>
      </c>
      <c r="J91" s="89"/>
      <c r="K91" s="89"/>
      <c r="L91" s="249"/>
      <c r="M91" s="1073"/>
      <c r="N91" s="341">
        <v>650000</v>
      </c>
      <c r="O91" s="415">
        <f t="shared" si="9"/>
        <v>702000</v>
      </c>
      <c r="P91" s="252"/>
      <c r="Q91" s="46"/>
    </row>
    <row r="92" spans="1:17">
      <c r="A92" s="98">
        <v>3</v>
      </c>
      <c r="B92" s="442">
        <v>306245932220</v>
      </c>
      <c r="C92" s="597" t="s">
        <v>2235</v>
      </c>
      <c r="D92" s="179" t="s">
        <v>2238</v>
      </c>
      <c r="E92" s="166"/>
      <c r="F92" s="87"/>
      <c r="G92" s="87"/>
      <c r="H92" s="548" t="s">
        <v>2321</v>
      </c>
      <c r="I92" s="562">
        <v>122400025325144</v>
      </c>
      <c r="J92" s="89"/>
      <c r="K92" s="89"/>
      <c r="L92" s="249"/>
      <c r="M92" s="1073"/>
      <c r="N92" s="341">
        <v>650000</v>
      </c>
      <c r="O92" s="415">
        <f t="shared" si="9"/>
        <v>702000</v>
      </c>
      <c r="P92" s="252"/>
      <c r="Q92" s="46"/>
    </row>
    <row r="93" spans="1:17">
      <c r="A93" s="98">
        <v>4</v>
      </c>
      <c r="B93" s="442">
        <v>306264685110</v>
      </c>
      <c r="C93" s="593" t="s">
        <v>2260</v>
      </c>
      <c r="D93" s="179" t="s">
        <v>2261</v>
      </c>
      <c r="E93" s="166"/>
      <c r="F93" s="87"/>
      <c r="G93" s="87"/>
      <c r="H93" s="548" t="s">
        <v>2322</v>
      </c>
      <c r="I93" s="562">
        <v>122400025561510</v>
      </c>
      <c r="J93" s="89"/>
      <c r="K93" s="89"/>
      <c r="L93" s="249"/>
      <c r="M93" s="1073"/>
      <c r="N93" s="341">
        <v>650000</v>
      </c>
      <c r="O93" s="415">
        <f t="shared" si="9"/>
        <v>702000</v>
      </c>
      <c r="P93" s="252"/>
      <c r="Q93" s="46"/>
    </row>
    <row r="94" spans="1:17">
      <c r="A94" s="98">
        <v>5</v>
      </c>
      <c r="B94" s="442">
        <v>306264838410</v>
      </c>
      <c r="C94" s="593" t="s">
        <v>2260</v>
      </c>
      <c r="D94" s="179" t="s">
        <v>2263</v>
      </c>
      <c r="E94" s="166"/>
      <c r="F94" s="87"/>
      <c r="G94" s="87"/>
      <c r="H94" s="548" t="s">
        <v>2323</v>
      </c>
      <c r="I94" s="599" t="s">
        <v>2262</v>
      </c>
      <c r="J94" s="89"/>
      <c r="K94" s="89"/>
      <c r="L94" s="249"/>
      <c r="M94" s="1073"/>
      <c r="N94" s="341">
        <v>650000</v>
      </c>
      <c r="O94" s="415">
        <f t="shared" si="9"/>
        <v>702000</v>
      </c>
      <c r="P94" s="252"/>
      <c r="Q94" s="46"/>
    </row>
    <row r="95" spans="1:17">
      <c r="A95" s="98">
        <v>6</v>
      </c>
      <c r="B95" s="442">
        <v>306297051340</v>
      </c>
      <c r="C95" s="593" t="s">
        <v>2302</v>
      </c>
      <c r="D95" s="179" t="s">
        <v>2313</v>
      </c>
      <c r="E95" s="166"/>
      <c r="F95" s="87"/>
      <c r="G95" s="87"/>
      <c r="H95" s="548" t="s">
        <v>2314</v>
      </c>
      <c r="I95" s="562">
        <v>132400025976496</v>
      </c>
      <c r="J95" s="89"/>
      <c r="K95" s="89"/>
      <c r="L95" s="249"/>
      <c r="M95" s="1073"/>
      <c r="N95" s="341">
        <v>650000</v>
      </c>
      <c r="O95" s="415">
        <f t="shared" si="9"/>
        <v>702000</v>
      </c>
      <c r="P95" s="252"/>
      <c r="Q95" s="46"/>
    </row>
    <row r="96" spans="1:17">
      <c r="A96" s="98">
        <v>7</v>
      </c>
      <c r="B96" s="442">
        <v>306299921820</v>
      </c>
      <c r="C96" s="593" t="s">
        <v>2312</v>
      </c>
      <c r="D96" s="179" t="s">
        <v>2317</v>
      </c>
      <c r="E96" s="166"/>
      <c r="F96" s="87"/>
      <c r="G96" s="87"/>
      <c r="H96" s="548" t="s">
        <v>2318</v>
      </c>
      <c r="I96" s="562">
        <v>122400026010696</v>
      </c>
      <c r="J96" s="89"/>
      <c r="K96" s="89"/>
      <c r="L96" s="249"/>
      <c r="M96" s="1073"/>
      <c r="N96" s="341">
        <v>650000</v>
      </c>
      <c r="O96" s="415">
        <f t="shared" si="9"/>
        <v>702000</v>
      </c>
      <c r="P96" s="252"/>
      <c r="Q96" s="46"/>
    </row>
    <row r="97" spans="1:30">
      <c r="A97" s="98">
        <v>8</v>
      </c>
      <c r="B97" s="442">
        <v>306299956600</v>
      </c>
      <c r="C97" s="593" t="s">
        <v>2312</v>
      </c>
      <c r="D97" s="179" t="s">
        <v>2315</v>
      </c>
      <c r="E97" s="166"/>
      <c r="F97" s="87"/>
      <c r="G97" s="87"/>
      <c r="H97" s="548" t="s">
        <v>2316</v>
      </c>
      <c r="I97" s="562">
        <v>122400026011047</v>
      </c>
      <c r="J97" s="89"/>
      <c r="K97" s="89"/>
      <c r="L97" s="249"/>
      <c r="M97" s="1073"/>
      <c r="N97" s="341">
        <v>650000</v>
      </c>
      <c r="O97" s="415">
        <f t="shared" si="9"/>
        <v>702000</v>
      </c>
      <c r="P97" s="252"/>
      <c r="Q97" s="46"/>
    </row>
    <row r="98" spans="1:30" ht="13.2">
      <c r="A98" s="3701" t="s">
        <v>2293</v>
      </c>
      <c r="B98" s="3702"/>
      <c r="C98" s="3702"/>
      <c r="D98" s="3702"/>
      <c r="E98" s="3702"/>
      <c r="F98" s="3702"/>
      <c r="G98" s="3702"/>
      <c r="H98" s="3702"/>
      <c r="I98" s="554"/>
      <c r="J98" s="369"/>
      <c r="K98" s="369"/>
      <c r="L98" s="346"/>
      <c r="M98" s="346"/>
      <c r="N98" s="598">
        <f>SUM(N90:N97)</f>
        <v>5200000</v>
      </c>
      <c r="O98" s="346"/>
      <c r="P98" s="346"/>
      <c r="Q98" s="346"/>
    </row>
    <row r="99" spans="1:30">
      <c r="A99" s="98">
        <v>1</v>
      </c>
      <c r="B99" s="442">
        <v>306320935340</v>
      </c>
      <c r="C99" s="593">
        <v>45385</v>
      </c>
      <c r="D99" s="179" t="s">
        <v>2367</v>
      </c>
      <c r="E99" s="166"/>
      <c r="F99" s="87"/>
      <c r="G99" s="87"/>
      <c r="H99" s="548" t="s">
        <v>2372</v>
      </c>
      <c r="I99" s="562" t="s">
        <v>2371</v>
      </c>
      <c r="J99" s="89"/>
      <c r="K99" s="89"/>
      <c r="L99" s="249"/>
      <c r="M99" s="1073"/>
      <c r="N99" s="341">
        <v>650000</v>
      </c>
      <c r="O99" s="415">
        <f t="shared" ref="O99:O104" si="10">+N99*1.08</f>
        <v>702000</v>
      </c>
      <c r="P99" s="252"/>
      <c r="Q99" s="46"/>
    </row>
    <row r="100" spans="1:30">
      <c r="A100" s="98">
        <v>2</v>
      </c>
      <c r="B100" s="442">
        <v>306320766860</v>
      </c>
      <c r="C100" s="593">
        <v>45385</v>
      </c>
      <c r="D100" s="179" t="s">
        <v>2368</v>
      </c>
      <c r="E100" s="166"/>
      <c r="F100" s="87"/>
      <c r="G100" s="87"/>
      <c r="H100" s="548" t="s">
        <v>2373</v>
      </c>
      <c r="I100" s="562">
        <v>122400026279891</v>
      </c>
      <c r="J100" s="89"/>
      <c r="K100" s="89"/>
      <c r="L100" s="249"/>
      <c r="M100" s="1073"/>
      <c r="N100" s="341">
        <v>650000</v>
      </c>
      <c r="O100" s="415">
        <f t="shared" si="10"/>
        <v>702000</v>
      </c>
      <c r="P100" s="252"/>
      <c r="Q100" s="46"/>
    </row>
    <row r="101" spans="1:30">
      <c r="A101" s="98">
        <v>3</v>
      </c>
      <c r="B101" s="442">
        <v>306325057900</v>
      </c>
      <c r="C101" s="593">
        <v>45387</v>
      </c>
      <c r="D101" s="179" t="s">
        <v>2369</v>
      </c>
      <c r="E101" s="166"/>
      <c r="F101" s="87"/>
      <c r="G101" s="87"/>
      <c r="H101" s="548" t="s">
        <v>2374</v>
      </c>
      <c r="I101" s="562">
        <v>122400026337437</v>
      </c>
      <c r="J101" s="89"/>
      <c r="K101" s="89"/>
      <c r="L101" s="249"/>
      <c r="M101" s="1073"/>
      <c r="N101" s="341">
        <v>650000</v>
      </c>
      <c r="O101" s="415">
        <f t="shared" si="10"/>
        <v>702000</v>
      </c>
      <c r="P101" s="252"/>
      <c r="Q101" s="46"/>
    </row>
    <row r="102" spans="1:30">
      <c r="A102" s="98">
        <v>4</v>
      </c>
      <c r="B102" s="442">
        <v>306325005030</v>
      </c>
      <c r="C102" s="593">
        <v>45387</v>
      </c>
      <c r="D102" s="179" t="s">
        <v>2370</v>
      </c>
      <c r="E102" s="166"/>
      <c r="F102" s="87"/>
      <c r="G102" s="87"/>
      <c r="H102" s="548" t="s">
        <v>2375</v>
      </c>
      <c r="I102" s="562">
        <v>122400026336711</v>
      </c>
      <c r="J102" s="89"/>
      <c r="K102" s="89"/>
      <c r="L102" s="249"/>
      <c r="M102" s="1073"/>
      <c r="N102" s="341">
        <v>650000</v>
      </c>
      <c r="O102" s="415">
        <f t="shared" si="10"/>
        <v>702000</v>
      </c>
      <c r="P102" s="252"/>
      <c r="Q102" s="46"/>
    </row>
    <row r="103" spans="1:30">
      <c r="A103" s="98">
        <v>5</v>
      </c>
      <c r="B103" s="442">
        <v>306324918820</v>
      </c>
      <c r="C103" s="593">
        <v>45387</v>
      </c>
      <c r="D103" s="179" t="s">
        <v>2462</v>
      </c>
      <c r="E103" s="166"/>
      <c r="F103" s="87"/>
      <c r="G103" s="87"/>
      <c r="H103" s="548" t="s">
        <v>2376</v>
      </c>
      <c r="I103" s="562">
        <v>122400026334839</v>
      </c>
      <c r="J103" s="89"/>
      <c r="K103" s="89"/>
      <c r="L103" s="249"/>
      <c r="M103" s="1073"/>
      <c r="N103" s="341">
        <v>650000</v>
      </c>
      <c r="O103" s="415">
        <f t="shared" si="10"/>
        <v>702000</v>
      </c>
      <c r="P103" s="252"/>
      <c r="Q103" s="46"/>
    </row>
    <row r="104" spans="1:30">
      <c r="A104" s="98">
        <v>6</v>
      </c>
      <c r="B104" s="442">
        <v>306343586420</v>
      </c>
      <c r="C104" s="593">
        <v>45394</v>
      </c>
      <c r="D104" s="179" t="s">
        <v>2463</v>
      </c>
      <c r="E104" s="166"/>
      <c r="F104" s="87"/>
      <c r="G104" s="87"/>
      <c r="H104" s="548" t="s">
        <v>2428</v>
      </c>
      <c r="I104" s="562" t="s">
        <v>2427</v>
      </c>
      <c r="J104" s="618" t="s">
        <v>123</v>
      </c>
      <c r="K104" s="89"/>
      <c r="L104" s="249"/>
      <c r="M104" s="1073"/>
      <c r="N104" s="341">
        <v>650000</v>
      </c>
      <c r="O104" s="415">
        <f t="shared" si="10"/>
        <v>702000</v>
      </c>
      <c r="P104" s="252"/>
      <c r="Q104" s="46"/>
    </row>
    <row r="105" spans="1:30" ht="13.2">
      <c r="A105" s="3701" t="s">
        <v>2469</v>
      </c>
      <c r="B105" s="3702"/>
      <c r="C105" s="3702"/>
      <c r="D105" s="3702"/>
      <c r="E105" s="3702"/>
      <c r="F105" s="3702"/>
      <c r="G105" s="3702"/>
      <c r="H105" s="3702"/>
      <c r="I105" s="554"/>
      <c r="J105" s="369"/>
      <c r="K105" s="369"/>
      <c r="L105" s="346"/>
      <c r="M105" s="346"/>
      <c r="N105" s="598">
        <f>SUM(N97:N104)</f>
        <v>9750000</v>
      </c>
      <c r="O105" s="346"/>
      <c r="P105" s="346"/>
      <c r="Q105" s="346"/>
    </row>
    <row r="106" spans="1:30">
      <c r="A106" s="98">
        <v>1</v>
      </c>
      <c r="B106" s="442">
        <v>306429735640</v>
      </c>
      <c r="C106" s="593" t="s">
        <v>2580</v>
      </c>
      <c r="D106" s="179" t="s">
        <v>2582</v>
      </c>
      <c r="E106" s="166"/>
      <c r="F106" s="87"/>
      <c r="G106" s="87"/>
      <c r="H106" s="548" t="s">
        <v>2581</v>
      </c>
      <c r="I106" s="562">
        <v>122400027689704</v>
      </c>
      <c r="J106" s="89"/>
      <c r="K106" s="89"/>
      <c r="L106" s="249"/>
      <c r="M106" s="1073"/>
      <c r="N106" s="341">
        <v>650000</v>
      </c>
      <c r="O106" s="415">
        <f>+N106*1.08</f>
        <v>702000</v>
      </c>
      <c r="P106" s="252"/>
      <c r="Q106" s="46"/>
    </row>
    <row r="107" spans="1:30">
      <c r="A107" s="98">
        <v>2</v>
      </c>
      <c r="B107" s="442">
        <v>306429848010</v>
      </c>
      <c r="C107" s="593" t="s">
        <v>2580</v>
      </c>
      <c r="D107" s="179" t="s">
        <v>2583</v>
      </c>
      <c r="E107" s="166"/>
      <c r="F107" s="87"/>
      <c r="G107" s="87"/>
      <c r="H107" s="548" t="s">
        <v>2584</v>
      </c>
      <c r="I107" s="562">
        <v>122400027691738</v>
      </c>
      <c r="J107" s="89"/>
      <c r="K107" s="89"/>
      <c r="L107" s="249"/>
      <c r="M107" s="1073"/>
      <c r="N107" s="341">
        <v>650000</v>
      </c>
      <c r="O107" s="415">
        <f>+N107*1.08</f>
        <v>702000</v>
      </c>
      <c r="P107" s="252"/>
      <c r="Q107" s="46"/>
    </row>
    <row r="108" spans="1:30" ht="13.2">
      <c r="A108" s="3701" t="s">
        <v>3132</v>
      </c>
      <c r="B108" s="3702"/>
      <c r="C108" s="3702"/>
      <c r="D108" s="3702"/>
      <c r="E108" s="3702"/>
      <c r="F108" s="3702"/>
      <c r="G108" s="3702"/>
      <c r="H108" s="3702"/>
      <c r="I108" s="554"/>
      <c r="J108" s="369"/>
      <c r="K108" s="369"/>
      <c r="L108" s="346"/>
      <c r="M108" s="346"/>
      <c r="N108" s="598">
        <f>SUM(N100:N107)</f>
        <v>14300000</v>
      </c>
      <c r="O108" s="346"/>
      <c r="P108" s="346"/>
      <c r="Q108" s="346"/>
    </row>
    <row r="109" spans="1:30">
      <c r="A109" s="98">
        <v>1</v>
      </c>
      <c r="B109" s="442">
        <v>306702372600</v>
      </c>
      <c r="C109" s="597" t="s">
        <v>3179</v>
      </c>
      <c r="D109" s="179" t="s">
        <v>3185</v>
      </c>
      <c r="E109" s="166"/>
      <c r="F109" s="87"/>
      <c r="G109" s="87"/>
      <c r="H109" s="117" t="s">
        <v>3180</v>
      </c>
      <c r="I109" s="562">
        <v>122400031225086</v>
      </c>
      <c r="J109" s="781"/>
      <c r="K109" s="781"/>
      <c r="L109" s="249"/>
      <c r="M109" s="1073"/>
      <c r="N109" s="341">
        <v>650000</v>
      </c>
      <c r="O109" s="415">
        <f t="shared" ref="O109:O119" si="11">+N109*1.08</f>
        <v>702000</v>
      </c>
      <c r="P109" s="252"/>
      <c r="Q109" s="46"/>
    </row>
    <row r="110" spans="1:30">
      <c r="A110" s="98">
        <v>2</v>
      </c>
      <c r="B110" s="442">
        <v>306702199330</v>
      </c>
      <c r="C110" s="597" t="s">
        <v>3179</v>
      </c>
      <c r="D110" s="179" t="s">
        <v>3186</v>
      </c>
      <c r="E110" s="166"/>
      <c r="F110" s="87"/>
      <c r="G110" s="87"/>
      <c r="H110" s="117" t="s">
        <v>3181</v>
      </c>
      <c r="I110" s="562">
        <v>122400031223021</v>
      </c>
      <c r="J110" s="89"/>
      <c r="K110" s="89"/>
      <c r="L110" s="782"/>
      <c r="M110" s="1214"/>
      <c r="N110" s="341">
        <v>650000</v>
      </c>
      <c r="O110" s="415">
        <f t="shared" si="11"/>
        <v>702000</v>
      </c>
      <c r="P110" s="783"/>
      <c r="Q110" s="784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1:30">
      <c r="A111" s="98">
        <v>3</v>
      </c>
      <c r="B111" s="443">
        <v>306702208910</v>
      </c>
      <c r="C111" s="597" t="s">
        <v>3179</v>
      </c>
      <c r="D111" s="179" t="s">
        <v>3187</v>
      </c>
      <c r="E111" s="166"/>
      <c r="F111" s="87"/>
      <c r="G111" s="87"/>
      <c r="H111" s="117" t="s">
        <v>3182</v>
      </c>
      <c r="I111" s="562" t="s">
        <v>3184</v>
      </c>
      <c r="J111" s="89"/>
      <c r="K111" s="89"/>
      <c r="L111" s="782"/>
      <c r="M111" s="1214"/>
      <c r="N111" s="341">
        <v>650000</v>
      </c>
      <c r="O111" s="415">
        <f t="shared" si="11"/>
        <v>702000</v>
      </c>
      <c r="P111" s="783"/>
      <c r="Q111" s="784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1:30">
      <c r="A112" s="98">
        <v>4</v>
      </c>
      <c r="B112" s="443">
        <v>306719425630</v>
      </c>
      <c r="C112" s="597" t="s">
        <v>3214</v>
      </c>
      <c r="D112" s="179" t="s">
        <v>3222</v>
      </c>
      <c r="E112" s="166"/>
      <c r="F112" s="87"/>
      <c r="G112" s="87"/>
      <c r="H112" s="117" t="s">
        <v>3209</v>
      </c>
      <c r="I112" s="562">
        <v>122400031444255</v>
      </c>
      <c r="J112" s="89"/>
      <c r="K112" s="848"/>
      <c r="L112" s="89" t="s">
        <v>3224</v>
      </c>
      <c r="M112" s="1215"/>
      <c r="N112" s="341">
        <v>650000</v>
      </c>
      <c r="O112" s="415">
        <f t="shared" si="11"/>
        <v>702000</v>
      </c>
      <c r="P112" s="252"/>
      <c r="Q112" s="46"/>
    </row>
    <row r="113" spans="1:28">
      <c r="A113" s="98">
        <v>5</v>
      </c>
      <c r="B113" s="442">
        <v>306719424010</v>
      </c>
      <c r="C113" s="597" t="s">
        <v>3214</v>
      </c>
      <c r="D113" s="179" t="s">
        <v>3226</v>
      </c>
      <c r="E113" s="166"/>
      <c r="F113" s="87"/>
      <c r="G113" s="87"/>
      <c r="H113" s="117" t="s">
        <v>3210</v>
      </c>
      <c r="I113" s="562">
        <v>122400031444197</v>
      </c>
      <c r="J113" s="89"/>
      <c r="K113" s="848"/>
      <c r="L113" s="89" t="s">
        <v>3225</v>
      </c>
      <c r="M113" s="1215"/>
      <c r="N113" s="341">
        <v>650000</v>
      </c>
      <c r="O113" s="415">
        <f t="shared" si="11"/>
        <v>702000</v>
      </c>
      <c r="P113" s="252"/>
      <c r="Q113" s="46"/>
    </row>
    <row r="114" spans="1:28">
      <c r="A114" s="98">
        <v>6</v>
      </c>
      <c r="B114" s="443">
        <v>306719421540</v>
      </c>
      <c r="C114" s="597" t="s">
        <v>3214</v>
      </c>
      <c r="D114" s="179" t="s">
        <v>3228</v>
      </c>
      <c r="E114" s="166"/>
      <c r="F114" s="87"/>
      <c r="G114" s="87"/>
      <c r="H114" s="117" t="s">
        <v>3211</v>
      </c>
      <c r="I114" s="562">
        <v>122400031444126</v>
      </c>
      <c r="J114" s="89"/>
      <c r="K114" s="848"/>
      <c r="L114" s="89" t="s">
        <v>3227</v>
      </c>
      <c r="M114" s="1215"/>
      <c r="N114" s="1699">
        <v>650000</v>
      </c>
      <c r="O114" s="1703">
        <f t="shared" si="11"/>
        <v>702000</v>
      </c>
      <c r="P114" s="1700"/>
      <c r="Q114" s="46"/>
    </row>
    <row r="115" spans="1:28" ht="13.2">
      <c r="A115" s="3811" t="s">
        <v>3330</v>
      </c>
      <c r="B115" s="3716"/>
      <c r="C115" s="3716"/>
      <c r="D115" s="3716"/>
      <c r="E115" s="3716"/>
      <c r="F115" s="3716"/>
      <c r="G115" s="3716"/>
      <c r="H115" s="3716"/>
      <c r="I115" s="554"/>
      <c r="J115" s="369"/>
      <c r="K115" s="369"/>
      <c r="L115" s="346"/>
      <c r="M115" s="346"/>
      <c r="N115" s="598">
        <f>SUM(N109:N114)</f>
        <v>3900000</v>
      </c>
      <c r="O115" s="1704">
        <f>SUM(O109:O114)</f>
        <v>4212000</v>
      </c>
      <c r="P115" s="1708"/>
      <c r="Q115" s="346"/>
    </row>
    <row r="116" spans="1:28">
      <c r="A116" s="98">
        <v>1</v>
      </c>
      <c r="B116" s="442">
        <v>306800813340</v>
      </c>
      <c r="C116" s="597" t="s">
        <v>3424</v>
      </c>
      <c r="D116" s="179" t="s">
        <v>3471</v>
      </c>
      <c r="E116" s="166"/>
      <c r="F116" s="87"/>
      <c r="G116" s="87"/>
      <c r="H116" s="117" t="s">
        <v>3458</v>
      </c>
      <c r="I116" s="562">
        <v>122400032479896</v>
      </c>
      <c r="J116" s="89"/>
      <c r="K116" s="89" t="s">
        <v>3470</v>
      </c>
      <c r="L116" s="89" t="s">
        <v>3463</v>
      </c>
      <c r="M116" s="1215"/>
      <c r="N116" s="1699">
        <v>650000</v>
      </c>
      <c r="O116" s="1703">
        <f t="shared" si="11"/>
        <v>702000</v>
      </c>
      <c r="P116" s="1606"/>
      <c r="Q116" s="1705"/>
    </row>
    <row r="117" spans="1:28">
      <c r="A117" s="98">
        <v>2</v>
      </c>
      <c r="B117" s="442">
        <v>306800814850</v>
      </c>
      <c r="C117" s="597" t="s">
        <v>3424</v>
      </c>
      <c r="D117" s="179" t="s">
        <v>3472</v>
      </c>
      <c r="E117" s="166"/>
      <c r="F117" s="87"/>
      <c r="G117" s="87"/>
      <c r="H117" s="117" t="s">
        <v>3459</v>
      </c>
      <c r="I117" s="562">
        <v>122400032480021</v>
      </c>
      <c r="J117" s="89"/>
      <c r="K117" s="89" t="s">
        <v>3465</v>
      </c>
      <c r="L117" s="89" t="s">
        <v>3464</v>
      </c>
      <c r="M117" s="1215"/>
      <c r="N117" s="1699">
        <v>650000</v>
      </c>
      <c r="O117" s="1703">
        <f t="shared" si="11"/>
        <v>702000</v>
      </c>
      <c r="P117" s="1606"/>
      <c r="Q117" s="1705"/>
    </row>
    <row r="118" spans="1:28">
      <c r="A118" s="98">
        <v>3</v>
      </c>
      <c r="B118" s="442">
        <v>306800816400</v>
      </c>
      <c r="C118" s="597" t="s">
        <v>3424</v>
      </c>
      <c r="D118" s="179" t="s">
        <v>3473</v>
      </c>
      <c r="E118" s="166"/>
      <c r="F118" s="87"/>
      <c r="G118" s="87"/>
      <c r="H118" s="117" t="s">
        <v>3460</v>
      </c>
      <c r="I118" s="562">
        <v>122400032480096</v>
      </c>
      <c r="J118" s="89"/>
      <c r="K118" s="89" t="s">
        <v>3467</v>
      </c>
      <c r="L118" s="89" t="s">
        <v>3466</v>
      </c>
      <c r="M118" s="1215"/>
      <c r="N118" s="1699">
        <v>650000</v>
      </c>
      <c r="O118" s="1703">
        <f t="shared" si="11"/>
        <v>702000</v>
      </c>
      <c r="P118" s="1606"/>
      <c r="Q118" s="1705"/>
    </row>
    <row r="119" spans="1:28">
      <c r="A119" s="98">
        <v>4</v>
      </c>
      <c r="B119" s="442">
        <v>306802251400</v>
      </c>
      <c r="C119" s="597" t="s">
        <v>3462</v>
      </c>
      <c r="D119" s="179" t="s">
        <v>3474</v>
      </c>
      <c r="E119" s="166"/>
      <c r="F119" s="87"/>
      <c r="G119" s="87"/>
      <c r="H119" s="117" t="s">
        <v>3461</v>
      </c>
      <c r="I119" s="562">
        <v>122400032499924</v>
      </c>
      <c r="J119" s="89"/>
      <c r="K119" s="89" t="s">
        <v>3469</v>
      </c>
      <c r="L119" s="89" t="s">
        <v>3468</v>
      </c>
      <c r="M119" s="1215"/>
      <c r="N119" s="1699">
        <v>650000</v>
      </c>
      <c r="O119" s="1703">
        <f t="shared" si="11"/>
        <v>702000</v>
      </c>
      <c r="P119" s="1606"/>
      <c r="Q119" s="1705"/>
    </row>
    <row r="120" spans="1:28">
      <c r="A120" s="98">
        <v>5</v>
      </c>
      <c r="B120" s="442">
        <v>306829751560</v>
      </c>
      <c r="C120" s="597" t="s">
        <v>3507</v>
      </c>
      <c r="D120" s="179" t="s">
        <v>3554</v>
      </c>
      <c r="E120" s="166"/>
      <c r="F120" s="87"/>
      <c r="G120" s="87"/>
      <c r="H120" s="117" t="s">
        <v>3528</v>
      </c>
      <c r="I120" s="562">
        <v>122400032842541</v>
      </c>
      <c r="J120" s="89"/>
      <c r="K120" s="89" t="s">
        <v>3518</v>
      </c>
      <c r="L120" s="89" t="s">
        <v>3463</v>
      </c>
      <c r="M120" s="1215"/>
      <c r="N120" s="1699">
        <v>650000</v>
      </c>
      <c r="O120" s="1703">
        <f>+N120*1.08</f>
        <v>702000</v>
      </c>
      <c r="P120" s="1606"/>
      <c r="Q120" s="1705"/>
    </row>
    <row r="121" spans="1:28" ht="13.2">
      <c r="A121" s="3811" t="s">
        <v>3560</v>
      </c>
      <c r="B121" s="3716"/>
      <c r="C121" s="3716"/>
      <c r="D121" s="3716"/>
      <c r="E121" s="3716"/>
      <c r="F121" s="3716"/>
      <c r="G121" s="3716"/>
      <c r="H121" s="3716"/>
      <c r="I121" s="554"/>
      <c r="J121" s="369"/>
      <c r="K121" s="369"/>
      <c r="L121" s="346"/>
      <c r="M121" s="346"/>
      <c r="N121" s="598">
        <f>SUM(N116:N120)</f>
        <v>3250000</v>
      </c>
      <c r="O121" s="1704">
        <f>SUM(O116:O120)</f>
        <v>3510000</v>
      </c>
      <c r="P121" s="1708"/>
      <c r="Q121" s="346"/>
    </row>
    <row r="122" spans="1:28">
      <c r="A122" s="98">
        <v>1</v>
      </c>
      <c r="B122" s="442">
        <v>306922277600</v>
      </c>
      <c r="C122" s="593" t="s">
        <v>4029</v>
      </c>
      <c r="D122" s="179" t="s">
        <v>4045</v>
      </c>
      <c r="E122" s="1208"/>
      <c r="F122" s="87"/>
      <c r="G122" s="87"/>
      <c r="H122" s="1205" t="s">
        <v>4034</v>
      </c>
      <c r="I122" s="1276" t="s">
        <v>4033</v>
      </c>
      <c r="J122" s="1050"/>
      <c r="K122" s="89" t="s">
        <v>4040</v>
      </c>
      <c r="L122" s="89" t="s">
        <v>4042</v>
      </c>
      <c r="M122" s="1217">
        <v>11562</v>
      </c>
      <c r="N122" s="1699">
        <v>650000</v>
      </c>
      <c r="O122" s="1703">
        <f>+N122*1.08</f>
        <v>702000</v>
      </c>
      <c r="P122" s="1566"/>
      <c r="Q122" s="1701"/>
      <c r="R122" s="1050"/>
      <c r="S122" s="1050"/>
      <c r="T122" s="1050"/>
      <c r="U122" s="1050"/>
      <c r="V122" s="1050"/>
      <c r="W122" s="1050"/>
      <c r="X122" s="1050"/>
      <c r="Y122" s="1050"/>
      <c r="Z122" s="1050"/>
      <c r="AA122" s="1050"/>
      <c r="AB122" s="1050"/>
    </row>
    <row r="123" spans="1:28">
      <c r="A123" s="98">
        <v>2</v>
      </c>
      <c r="B123" s="442">
        <v>306922938840</v>
      </c>
      <c r="C123" s="593" t="s">
        <v>4039</v>
      </c>
      <c r="D123" s="179" t="s">
        <v>4046</v>
      </c>
      <c r="E123" s="1208"/>
      <c r="F123" s="98">
        <v>1</v>
      </c>
      <c r="G123" s="87"/>
      <c r="H123" s="1206" t="s">
        <v>4035</v>
      </c>
      <c r="I123" s="1048">
        <v>122400034020721</v>
      </c>
      <c r="J123" s="1049"/>
      <c r="K123" s="1049" t="s">
        <v>4041</v>
      </c>
      <c r="L123" s="89" t="s">
        <v>3468</v>
      </c>
      <c r="M123" s="1217">
        <v>250000</v>
      </c>
      <c r="N123" s="1699">
        <v>650000</v>
      </c>
      <c r="O123" s="1703">
        <f>+N123*1.08</f>
        <v>702000</v>
      </c>
      <c r="P123" s="1606"/>
      <c r="Q123" s="1706"/>
    </row>
    <row r="124" spans="1:28" ht="13.2">
      <c r="A124" s="3811" t="s">
        <v>4111</v>
      </c>
      <c r="B124" s="3716"/>
      <c r="C124" s="3716"/>
      <c r="D124" s="3716"/>
      <c r="E124" s="3716"/>
      <c r="F124" s="3716"/>
      <c r="G124" s="3716"/>
      <c r="H124" s="3716"/>
      <c r="I124" s="1277"/>
      <c r="J124" s="369"/>
      <c r="K124" s="369"/>
      <c r="L124" s="346"/>
      <c r="M124" s="346"/>
      <c r="N124" s="598">
        <f>SUM(N122:N123)</f>
        <v>1300000</v>
      </c>
      <c r="O124" s="1704">
        <f>SUM(O122:O123)</f>
        <v>1404000</v>
      </c>
      <c r="P124" s="1708"/>
      <c r="Q124" s="346"/>
    </row>
    <row r="125" spans="1:28">
      <c r="A125" s="98">
        <v>1</v>
      </c>
      <c r="B125" s="442">
        <v>306981885400</v>
      </c>
      <c r="C125" s="593">
        <v>45638</v>
      </c>
      <c r="D125" s="179" t="s">
        <v>4217</v>
      </c>
      <c r="E125" s="166"/>
      <c r="F125" s="98">
        <v>1</v>
      </c>
      <c r="G125" s="87"/>
      <c r="H125" s="1206" t="s">
        <v>4198</v>
      </c>
      <c r="I125" s="1278">
        <v>122400034738454</v>
      </c>
      <c r="J125" s="1278" t="s">
        <v>4210</v>
      </c>
      <c r="K125" s="1279" t="s">
        <v>4190</v>
      </c>
      <c r="L125" s="89" t="s">
        <v>4191</v>
      </c>
      <c r="M125" s="1215"/>
      <c r="N125" s="1699">
        <v>650000</v>
      </c>
      <c r="O125" s="1703">
        <f>+N125*1.08</f>
        <v>702000</v>
      </c>
      <c r="P125" s="1566"/>
      <c r="Q125" s="1702"/>
      <c r="R125" s="1051"/>
      <c r="S125" s="1051"/>
      <c r="T125" s="1051"/>
      <c r="U125" s="1051"/>
      <c r="V125" s="1051"/>
      <c r="W125" s="1051"/>
      <c r="X125" s="1051"/>
      <c r="Y125" s="1051"/>
      <c r="Z125" s="1051"/>
      <c r="AA125" s="1051"/>
      <c r="AB125" s="1051"/>
    </row>
    <row r="126" spans="1:28" ht="13.2">
      <c r="A126" s="3811" t="s">
        <v>4302</v>
      </c>
      <c r="B126" s="3716"/>
      <c r="C126" s="3716"/>
      <c r="D126" s="3716"/>
      <c r="E126" s="3716"/>
      <c r="F126" s="3716"/>
      <c r="G126" s="3716"/>
      <c r="H126" s="3716"/>
      <c r="I126" s="1277"/>
      <c r="J126" s="369"/>
      <c r="K126" s="369"/>
      <c r="L126" s="346"/>
      <c r="M126" s="346"/>
      <c r="N126" s="598">
        <f>SUM(N125)</f>
        <v>650000</v>
      </c>
      <c r="O126" s="1704">
        <f>SUM(O125)</f>
        <v>702000</v>
      </c>
      <c r="P126" s="1708"/>
      <c r="Q126" s="346"/>
    </row>
    <row r="127" spans="1:28">
      <c r="A127" s="98">
        <v>1</v>
      </c>
      <c r="B127" s="442">
        <v>307078482930</v>
      </c>
      <c r="C127" s="593" t="s">
        <v>4478</v>
      </c>
      <c r="D127" s="179" t="s">
        <v>4706</v>
      </c>
      <c r="E127" s="166"/>
      <c r="F127" s="98">
        <v>1</v>
      </c>
      <c r="G127" s="87"/>
      <c r="H127" s="1206" t="s">
        <v>4687</v>
      </c>
      <c r="I127" s="1278">
        <v>122500028562035</v>
      </c>
      <c r="J127" s="1278" t="s">
        <v>4505</v>
      </c>
      <c r="K127" s="1279" t="s">
        <v>4484</v>
      </c>
      <c r="L127" s="89" t="s">
        <v>4191</v>
      </c>
      <c r="M127" s="1216"/>
      <c r="N127" s="1699">
        <v>650000</v>
      </c>
      <c r="O127" s="1703">
        <f>+N127*1.08</f>
        <v>702000</v>
      </c>
      <c r="P127" s="1566"/>
      <c r="Q127" s="1701"/>
      <c r="R127" s="1050"/>
    </row>
    <row r="128" spans="1:28" ht="13.2">
      <c r="A128" s="4163" t="s">
        <v>4675</v>
      </c>
      <c r="B128" s="3812"/>
      <c r="C128" s="3812"/>
      <c r="D128" s="3812"/>
      <c r="E128" s="3812"/>
      <c r="F128" s="3812"/>
      <c r="G128" s="3812"/>
      <c r="H128" s="3812"/>
      <c r="I128" s="1277"/>
      <c r="J128" s="369"/>
      <c r="K128" s="369"/>
      <c r="L128" s="346"/>
      <c r="M128" s="346"/>
      <c r="N128" s="598">
        <f>SUM(N127)</f>
        <v>650000</v>
      </c>
      <c r="O128" s="1704">
        <f>SUM(O127)</f>
        <v>702000</v>
      </c>
      <c r="P128" s="1708"/>
      <c r="Q128" s="346"/>
    </row>
    <row r="129" spans="1:29">
      <c r="A129" s="98">
        <v>1</v>
      </c>
      <c r="B129" s="442">
        <v>307152091910</v>
      </c>
      <c r="C129" s="597" t="s">
        <v>4826</v>
      </c>
      <c r="D129" s="179" t="s">
        <v>4876</v>
      </c>
      <c r="E129" s="166"/>
      <c r="F129" s="87"/>
      <c r="G129" s="87"/>
      <c r="H129" s="117" t="s">
        <v>4846</v>
      </c>
      <c r="I129" s="562">
        <v>122500029513739</v>
      </c>
      <c r="J129" s="89"/>
      <c r="K129" s="89" t="s">
        <v>4837</v>
      </c>
      <c r="L129" s="89" t="s">
        <v>4191</v>
      </c>
      <c r="M129" s="1073"/>
      <c r="N129" s="1699">
        <v>650000</v>
      </c>
      <c r="O129" s="1703">
        <f>+N129*1.08</f>
        <v>702000</v>
      </c>
      <c r="P129" s="1606"/>
      <c r="Q129" s="1705"/>
    </row>
    <row r="130" spans="1:29">
      <c r="A130" s="98">
        <v>2</v>
      </c>
      <c r="B130" s="442">
        <v>307152133910</v>
      </c>
      <c r="C130" s="597" t="s">
        <v>4826</v>
      </c>
      <c r="D130" s="179" t="s">
        <v>4877</v>
      </c>
      <c r="E130" s="166"/>
      <c r="F130" s="87"/>
      <c r="G130" s="87"/>
      <c r="H130" s="117" t="s">
        <v>4847</v>
      </c>
      <c r="I130" s="116" t="s">
        <v>4845</v>
      </c>
      <c r="J130" s="1050"/>
      <c r="K130" s="89" t="s">
        <v>4839</v>
      </c>
      <c r="L130" s="89" t="s">
        <v>4838</v>
      </c>
      <c r="M130" s="1216"/>
      <c r="N130" s="341">
        <v>650000</v>
      </c>
      <c r="O130" s="415">
        <f>+N130*1.08</f>
        <v>702000</v>
      </c>
      <c r="P130" s="1566"/>
      <c r="Q130" s="1701"/>
      <c r="R130" s="1050"/>
    </row>
    <row r="131" spans="1:29">
      <c r="A131" s="98">
        <v>3</v>
      </c>
      <c r="B131" s="442">
        <v>307164858620</v>
      </c>
      <c r="C131" s="597" t="s">
        <v>4888</v>
      </c>
      <c r="D131" s="179" t="s">
        <v>4934</v>
      </c>
      <c r="E131" s="166"/>
      <c r="F131" s="87"/>
      <c r="G131" s="87"/>
      <c r="H131" s="1628" t="s">
        <v>4914</v>
      </c>
      <c r="I131" s="1719">
        <v>122500029672780</v>
      </c>
      <c r="J131" s="1636" t="s">
        <v>4881</v>
      </c>
      <c r="K131" s="89" t="s">
        <v>4878</v>
      </c>
      <c r="L131" s="89" t="s">
        <v>3466</v>
      </c>
      <c r="M131" s="1614"/>
      <c r="N131" s="1699">
        <v>650000</v>
      </c>
      <c r="O131" s="1703">
        <f>+N131*1.08</f>
        <v>702000</v>
      </c>
      <c r="P131" s="1606"/>
      <c r="Q131" s="1707"/>
    </row>
    <row r="132" spans="1:29" ht="13.2">
      <c r="A132" s="4163" t="s">
        <v>4935</v>
      </c>
      <c r="B132" s="3812"/>
      <c r="C132" s="3812"/>
      <c r="D132" s="3812"/>
      <c r="E132" s="3812"/>
      <c r="F132" s="3812"/>
      <c r="G132" s="3812"/>
      <c r="H132" s="3812"/>
      <c r="I132" s="1749"/>
      <c r="J132" s="1969"/>
      <c r="K132" s="369"/>
      <c r="L132" s="346"/>
      <c r="M132" s="346"/>
      <c r="N132" s="598">
        <f>SUM(N129:N131)</f>
        <v>1950000</v>
      </c>
      <c r="O132" s="1704">
        <f>SUM(O129:O131)</f>
        <v>2106000</v>
      </c>
      <c r="P132" s="346"/>
      <c r="Q132" s="346"/>
    </row>
    <row r="133" spans="1:29" ht="12.75" customHeight="1">
      <c r="A133" s="98">
        <v>1</v>
      </c>
      <c r="B133" s="442">
        <v>307197271050</v>
      </c>
      <c r="C133" s="597" t="s">
        <v>4944</v>
      </c>
      <c r="D133" s="179" t="s">
        <v>5050</v>
      </c>
      <c r="E133" s="166"/>
      <c r="F133" s="98">
        <v>1</v>
      </c>
      <c r="G133" s="87"/>
      <c r="H133" s="1628" t="s">
        <v>5001</v>
      </c>
      <c r="I133" s="1628" t="s">
        <v>5000</v>
      </c>
      <c r="J133" s="1278" t="s">
        <v>5055</v>
      </c>
      <c r="K133" s="89" t="s">
        <v>5051</v>
      </c>
      <c r="L133" s="89" t="s">
        <v>4191</v>
      </c>
      <c r="M133" s="1548"/>
      <c r="N133" s="1699">
        <v>650000</v>
      </c>
      <c r="O133" s="1703">
        <f>+N133*1.08</f>
        <v>702000</v>
      </c>
      <c r="P133" s="1548"/>
      <c r="Q133" s="1548"/>
      <c r="R133" s="1548"/>
      <c r="S133" s="1548"/>
      <c r="T133" s="1548"/>
      <c r="U133" s="1548"/>
      <c r="V133" s="1548"/>
      <c r="W133" s="1548"/>
      <c r="X133" s="1548"/>
      <c r="Y133" s="1548"/>
      <c r="Z133" s="1548"/>
      <c r="AA133" s="1548"/>
      <c r="AB133" s="1548"/>
      <c r="AC133" s="1548"/>
    </row>
    <row r="134" spans="1:29" ht="13.2">
      <c r="A134" s="4163" t="s">
        <v>5220</v>
      </c>
      <c r="B134" s="3812"/>
      <c r="C134" s="3812"/>
      <c r="D134" s="3812"/>
      <c r="E134" s="3812"/>
      <c r="F134" s="3812"/>
      <c r="G134" s="3812"/>
      <c r="H134" s="3812"/>
      <c r="I134" s="1749"/>
      <c r="J134" s="1969"/>
      <c r="K134" s="369"/>
      <c r="L134" s="346"/>
      <c r="M134" s="1708"/>
      <c r="N134" s="598">
        <f>SUM(N133)</f>
        <v>650000</v>
      </c>
      <c r="O134" s="1704">
        <f>SUM(O133)</f>
        <v>702000</v>
      </c>
      <c r="P134" s="346"/>
      <c r="Q134" s="346"/>
    </row>
    <row r="135" spans="1:29">
      <c r="A135" s="98">
        <v>1</v>
      </c>
      <c r="B135" s="442">
        <v>307315065430</v>
      </c>
      <c r="C135" s="597" t="s">
        <v>5387</v>
      </c>
      <c r="D135" s="179" t="s">
        <v>5442</v>
      </c>
      <c r="E135" s="166"/>
      <c r="F135" s="87"/>
      <c r="G135" s="87"/>
      <c r="H135" s="1206" t="s">
        <v>5390</v>
      </c>
      <c r="I135" s="1681">
        <v>122500031613338</v>
      </c>
      <c r="J135" s="1636" t="s">
        <v>4881</v>
      </c>
      <c r="K135" s="89" t="s">
        <v>5380</v>
      </c>
      <c r="L135" s="2174" t="s">
        <v>3466</v>
      </c>
      <c r="M135" s="1614"/>
      <c r="N135" s="2175">
        <v>650000</v>
      </c>
      <c r="O135" s="1703">
        <f>+N135*1.08</f>
        <v>702000</v>
      </c>
      <c r="P135" s="808"/>
      <c r="Q135" s="1541"/>
    </row>
    <row r="136" spans="1:29">
      <c r="A136" s="98">
        <v>2</v>
      </c>
      <c r="B136" s="442">
        <v>307314959730</v>
      </c>
      <c r="C136" s="597" t="s">
        <v>5387</v>
      </c>
      <c r="D136" s="2150" t="s">
        <v>5443</v>
      </c>
      <c r="E136" s="166"/>
      <c r="F136" s="87"/>
      <c r="G136" s="87"/>
      <c r="H136" s="2074" t="s">
        <v>5388</v>
      </c>
      <c r="I136" s="1667">
        <v>122500031608266</v>
      </c>
      <c r="J136" s="89"/>
      <c r="K136" s="89" t="s">
        <v>5381</v>
      </c>
      <c r="L136" s="2174" t="s">
        <v>4838</v>
      </c>
      <c r="M136" s="1614"/>
      <c r="N136" s="2175">
        <v>650000</v>
      </c>
      <c r="O136" s="1703">
        <f>+N136*1.08</f>
        <v>702000</v>
      </c>
      <c r="P136" s="252"/>
      <c r="Q136" s="46"/>
    </row>
    <row r="137" spans="1:29">
      <c r="A137" s="98">
        <v>3</v>
      </c>
      <c r="B137" s="442">
        <v>307315003020</v>
      </c>
      <c r="C137" s="597" t="s">
        <v>5387</v>
      </c>
      <c r="D137" s="179" t="s">
        <v>5444</v>
      </c>
      <c r="E137" s="166"/>
      <c r="F137" s="87"/>
      <c r="G137" s="87"/>
      <c r="H137" s="117" t="s">
        <v>5389</v>
      </c>
      <c r="I137" s="2074">
        <v>122500031609088</v>
      </c>
      <c r="J137" s="89"/>
      <c r="K137" s="89" t="s">
        <v>5383</v>
      </c>
      <c r="L137" s="2174" t="s">
        <v>5382</v>
      </c>
      <c r="M137" s="1614"/>
      <c r="N137" s="2175">
        <v>650000</v>
      </c>
      <c r="O137" s="1703">
        <f>+N137*1.08</f>
        <v>702000</v>
      </c>
      <c r="P137" s="252"/>
      <c r="Q137" s="46"/>
    </row>
    <row r="138" spans="1:29" ht="13.2">
      <c r="A138" s="4163" t="s">
        <v>5776</v>
      </c>
      <c r="B138" s="3812"/>
      <c r="C138" s="3812"/>
      <c r="D138" s="3812"/>
      <c r="E138" s="3812"/>
      <c r="F138" s="3812"/>
      <c r="G138" s="3812"/>
      <c r="H138" s="3812"/>
      <c r="I138" s="1749"/>
      <c r="J138" s="1969"/>
      <c r="K138" s="369"/>
      <c r="L138" s="346"/>
      <c r="M138" s="346"/>
      <c r="N138" s="598">
        <f>SUM(N137)</f>
        <v>650000</v>
      </c>
      <c r="O138" s="1704">
        <f>SUM(O137)</f>
        <v>702000</v>
      </c>
      <c r="P138" s="346"/>
      <c r="Q138" s="346"/>
    </row>
    <row r="139" spans="1:29">
      <c r="A139" s="98">
        <v>1</v>
      </c>
      <c r="B139" s="179">
        <v>307497149910</v>
      </c>
      <c r="C139" s="593" t="s">
        <v>6018</v>
      </c>
      <c r="D139" s="179" t="s">
        <v>6156</v>
      </c>
      <c r="E139" s="166"/>
      <c r="F139" s="98"/>
      <c r="G139" s="98"/>
      <c r="H139" s="117" t="s">
        <v>6048</v>
      </c>
      <c r="I139" s="2074">
        <v>122500034002867</v>
      </c>
      <c r="J139" s="1636" t="s">
        <v>4881</v>
      </c>
      <c r="K139" s="89" t="s">
        <v>6049</v>
      </c>
      <c r="L139" s="2174" t="s">
        <v>3466</v>
      </c>
      <c r="M139" s="1073"/>
      <c r="N139" s="2175">
        <v>650000</v>
      </c>
      <c r="O139" s="1703">
        <f>+N139*1.08</f>
        <v>702000</v>
      </c>
      <c r="P139" s="252"/>
      <c r="Q139" s="46"/>
    </row>
    <row r="140" spans="1:29" ht="13.2">
      <c r="A140" s="4163" t="s">
        <v>6100</v>
      </c>
      <c r="B140" s="3812"/>
      <c r="C140" s="3812"/>
      <c r="D140" s="3812"/>
      <c r="E140" s="3812"/>
      <c r="F140" s="3812"/>
      <c r="G140" s="3812"/>
      <c r="H140" s="3812"/>
      <c r="I140" s="2912"/>
      <c r="J140" s="1969"/>
      <c r="K140" s="369"/>
      <c r="L140" s="346"/>
      <c r="M140" s="346"/>
      <c r="N140" s="598">
        <f>SUM(N139)</f>
        <v>650000</v>
      </c>
      <c r="O140" s="1704">
        <f>SUM(O139)</f>
        <v>702000</v>
      </c>
      <c r="P140" s="346"/>
      <c r="Q140" s="346"/>
    </row>
    <row r="141" spans="1:29">
      <c r="A141" s="98">
        <v>1</v>
      </c>
      <c r="B141" s="765" t="s">
        <v>6332</v>
      </c>
      <c r="C141" s="597" t="s">
        <v>6264</v>
      </c>
      <c r="D141" s="179" t="s">
        <v>6522</v>
      </c>
      <c r="E141" s="166"/>
      <c r="F141" s="98"/>
      <c r="G141" s="98"/>
      <c r="H141" s="117" t="s">
        <v>6330</v>
      </c>
      <c r="I141" s="2074">
        <v>122500034915093</v>
      </c>
      <c r="J141" s="89"/>
      <c r="K141" s="89" t="s">
        <v>6331</v>
      </c>
      <c r="L141" s="2174" t="s">
        <v>3466</v>
      </c>
      <c r="M141" s="1073"/>
      <c r="N141" s="2175">
        <v>650000</v>
      </c>
      <c r="O141" s="1703">
        <f>+N141*1.08</f>
        <v>702000</v>
      </c>
      <c r="P141" s="252"/>
      <c r="Q141" s="46"/>
    </row>
    <row r="142" spans="1:29">
      <c r="A142" s="98">
        <v>2</v>
      </c>
      <c r="B142" s="179">
        <v>307578793450</v>
      </c>
      <c r="C142" s="597" t="s">
        <v>6373</v>
      </c>
      <c r="D142" s="179" t="s">
        <v>6523</v>
      </c>
      <c r="E142" s="166"/>
      <c r="F142" s="87"/>
      <c r="G142" s="87"/>
      <c r="H142" s="117" t="s">
        <v>6386</v>
      </c>
      <c r="I142" s="2074">
        <v>122500035044065</v>
      </c>
      <c r="J142" s="89"/>
      <c r="K142" s="89" t="s">
        <v>6387</v>
      </c>
      <c r="L142" s="2174" t="s">
        <v>6388</v>
      </c>
      <c r="M142" s="1073"/>
      <c r="N142" s="2175">
        <v>650000</v>
      </c>
      <c r="O142" s="1703">
        <f t="shared" ref="O142:O144" si="12">+N142*1.08</f>
        <v>702000</v>
      </c>
      <c r="P142" s="252"/>
      <c r="Q142" s="46"/>
    </row>
    <row r="143" spans="1:29">
      <c r="A143" s="98">
        <v>3</v>
      </c>
      <c r="B143" s="179">
        <v>307602766130</v>
      </c>
      <c r="C143" s="597" t="s">
        <v>6441</v>
      </c>
      <c r="D143" s="179" t="s">
        <v>6524</v>
      </c>
      <c r="E143" s="166"/>
      <c r="F143" s="87"/>
      <c r="G143" s="87"/>
      <c r="H143" s="117" t="s">
        <v>6461</v>
      </c>
      <c r="I143" s="2074">
        <v>122500035354340</v>
      </c>
      <c r="J143" s="89"/>
      <c r="K143" s="89" t="s">
        <v>6476</v>
      </c>
      <c r="L143" s="2174" t="s">
        <v>6388</v>
      </c>
      <c r="M143" s="1073"/>
      <c r="N143" s="2175">
        <v>650000</v>
      </c>
      <c r="O143" s="1703">
        <f t="shared" si="12"/>
        <v>702000</v>
      </c>
      <c r="P143" s="252"/>
      <c r="Q143" s="46"/>
    </row>
    <row r="144" spans="1:29">
      <c r="A144" s="98">
        <v>4</v>
      </c>
      <c r="B144" s="179">
        <v>307603667620</v>
      </c>
      <c r="C144" s="597" t="s">
        <v>6441</v>
      </c>
      <c r="D144" s="179" t="s">
        <v>6525</v>
      </c>
      <c r="E144" s="166"/>
      <c r="F144" s="87"/>
      <c r="G144" s="87"/>
      <c r="H144" s="117" t="s">
        <v>6478</v>
      </c>
      <c r="I144" s="2074">
        <v>122500035367969</v>
      </c>
      <c r="J144" s="89"/>
      <c r="K144" s="89" t="s">
        <v>6475</v>
      </c>
      <c r="L144" s="2174" t="s">
        <v>6477</v>
      </c>
      <c r="M144" s="1073"/>
      <c r="N144" s="2175">
        <v>650000</v>
      </c>
      <c r="O144" s="1703">
        <f t="shared" si="12"/>
        <v>702000</v>
      </c>
      <c r="P144" s="252"/>
      <c r="Q144" s="46"/>
    </row>
    <row r="145" spans="1:28" ht="13.2">
      <c r="A145" s="4163" t="s">
        <v>6848</v>
      </c>
      <c r="B145" s="3812"/>
      <c r="C145" s="3812"/>
      <c r="D145" s="3812"/>
      <c r="E145" s="3812"/>
      <c r="F145" s="3812"/>
      <c r="G145" s="3812"/>
      <c r="H145" s="3812"/>
      <c r="I145" s="2912"/>
      <c r="J145" s="1969"/>
      <c r="K145" s="369"/>
      <c r="L145" s="346"/>
      <c r="M145" s="346"/>
      <c r="N145" s="598">
        <f>+SUM(N141:N144)</f>
        <v>2600000</v>
      </c>
      <c r="O145" s="598">
        <f>+SUM(O141:O144)</f>
        <v>2808000</v>
      </c>
      <c r="P145" s="346"/>
      <c r="Q145" s="346"/>
    </row>
    <row r="146" spans="1:28">
      <c r="A146" s="98">
        <v>1</v>
      </c>
      <c r="B146" s="179">
        <v>307741330800</v>
      </c>
      <c r="C146" s="597" t="s">
        <v>6926</v>
      </c>
      <c r="D146" s="179" t="s">
        <v>7050</v>
      </c>
      <c r="E146" s="166"/>
      <c r="F146" s="87"/>
      <c r="G146" s="87"/>
      <c r="H146" s="117" t="s">
        <v>6933</v>
      </c>
      <c r="I146" s="2074">
        <v>122500037144893</v>
      </c>
      <c r="J146" s="2074"/>
      <c r="K146" s="509" t="s">
        <v>6934</v>
      </c>
      <c r="L146" s="2174" t="s">
        <v>3466</v>
      </c>
      <c r="M146" s="2074"/>
      <c r="N146" s="2175">
        <v>650000</v>
      </c>
      <c r="O146" s="1703">
        <f t="shared" ref="O146" si="13">+N146*1.08</f>
        <v>702000</v>
      </c>
      <c r="P146" s="2074"/>
      <c r="Q146" s="2074"/>
      <c r="R146" s="2074"/>
      <c r="S146" s="2074"/>
      <c r="T146" s="2074"/>
      <c r="U146" s="2074"/>
      <c r="V146" s="2074"/>
      <c r="W146" s="2074"/>
      <c r="X146" s="2074"/>
      <c r="Y146" s="2074"/>
      <c r="Z146" s="2074"/>
      <c r="AA146" s="2074"/>
      <c r="AB146" s="2074"/>
    </row>
    <row r="147" spans="1:28" ht="13.2">
      <c r="A147" s="4163" t="s">
        <v>7096</v>
      </c>
      <c r="B147" s="3812"/>
      <c r="C147" s="3812"/>
      <c r="D147" s="3812"/>
      <c r="E147" s="3812"/>
      <c r="F147" s="3812"/>
      <c r="G147" s="3812"/>
      <c r="H147" s="3812"/>
      <c r="I147" s="2912"/>
      <c r="J147" s="1969"/>
      <c r="K147" s="369"/>
      <c r="L147" s="346"/>
      <c r="M147" s="346"/>
      <c r="N147" s="598">
        <f>SUM(N146)</f>
        <v>650000</v>
      </c>
      <c r="O147" s="598">
        <f>SUM(O146)</f>
        <v>702000</v>
      </c>
      <c r="P147" s="346"/>
      <c r="Q147" s="346"/>
    </row>
    <row r="148" spans="1:28">
      <c r="A148" s="98">
        <v>1</v>
      </c>
      <c r="B148" s="179">
        <v>307840088050</v>
      </c>
      <c r="C148" s="597" t="s">
        <v>7262</v>
      </c>
      <c r="D148" s="179" t="s">
        <v>7300</v>
      </c>
      <c r="E148" s="166"/>
      <c r="F148" s="87"/>
      <c r="G148" s="87"/>
      <c r="H148" s="117" t="s">
        <v>7299</v>
      </c>
      <c r="I148" s="2074">
        <v>122500038417319</v>
      </c>
      <c r="J148" s="89"/>
      <c r="K148" s="509" t="s">
        <v>7298</v>
      </c>
      <c r="L148" s="2174" t="s">
        <v>3466</v>
      </c>
      <c r="M148" s="1073"/>
      <c r="N148" s="2175">
        <v>650000</v>
      </c>
      <c r="O148" s="1703">
        <f t="shared" ref="O148" si="14">+N148*1.08</f>
        <v>702000</v>
      </c>
      <c r="P148" s="252"/>
      <c r="Q148" s="46"/>
    </row>
    <row r="149" spans="1:28" ht="13.2">
      <c r="A149" s="4163" t="s">
        <v>7545</v>
      </c>
      <c r="B149" s="3812"/>
      <c r="C149" s="3812"/>
      <c r="D149" s="3812"/>
      <c r="E149" s="3812"/>
      <c r="F149" s="3812"/>
      <c r="G149" s="3812"/>
      <c r="H149" s="3812"/>
      <c r="I149" s="2912"/>
      <c r="J149" s="1969"/>
      <c r="K149" s="369"/>
      <c r="L149" s="346"/>
      <c r="M149" s="346"/>
      <c r="N149" s="598">
        <f>SUM(N148)</f>
        <v>650000</v>
      </c>
      <c r="O149" s="598">
        <f>SUM(O148)</f>
        <v>702000</v>
      </c>
      <c r="P149" s="346"/>
      <c r="Q149" s="346"/>
    </row>
    <row r="150" spans="1:28" ht="13.2">
      <c r="A150" s="98"/>
      <c r="B150" s="442"/>
      <c r="C150" s="593"/>
      <c r="D150" s="166"/>
      <c r="E150" s="166"/>
      <c r="F150" s="87"/>
      <c r="G150" s="87"/>
      <c r="H150" s="1566"/>
      <c r="I150" s="1566"/>
      <c r="J150" s="1566"/>
      <c r="K150" s="1566"/>
      <c r="L150" s="1566"/>
      <c r="M150" s="1566"/>
      <c r="N150" s="1566"/>
      <c r="O150" s="1566"/>
      <c r="P150" s="1566"/>
      <c r="Q150" s="1566"/>
    </row>
    <row r="151" spans="1:28">
      <c r="A151" s="98"/>
      <c r="B151" s="442"/>
      <c r="C151" s="593"/>
      <c r="D151" s="166"/>
      <c r="E151" s="166"/>
      <c r="F151" s="87"/>
      <c r="G151" s="87"/>
      <c r="H151" s="521"/>
      <c r="I151" s="562"/>
      <c r="J151" s="89"/>
      <c r="K151" s="89"/>
      <c r="L151" s="249"/>
      <c r="M151" s="1073"/>
      <c r="N151" s="250"/>
      <c r="O151" s="251"/>
      <c r="P151" s="252"/>
      <c r="Q151" s="46"/>
    </row>
    <row r="152" spans="1:28">
      <c r="A152" s="98"/>
      <c r="B152" s="442"/>
      <c r="C152" s="593"/>
      <c r="D152" s="166"/>
      <c r="E152" s="166"/>
      <c r="F152" s="87"/>
      <c r="G152" s="87"/>
      <c r="H152" s="521"/>
      <c r="I152" s="562"/>
      <c r="J152" s="89"/>
      <c r="K152" s="89"/>
      <c r="L152" s="249"/>
      <c r="M152" s="1073"/>
      <c r="N152" s="250"/>
      <c r="O152" s="251"/>
      <c r="P152" s="252"/>
      <c r="Q152" s="46"/>
    </row>
    <row r="153" spans="1:28">
      <c r="A153" s="98"/>
      <c r="B153" s="442"/>
      <c r="C153" s="593"/>
      <c r="D153" s="166"/>
      <c r="E153" s="166"/>
      <c r="F153" s="87"/>
      <c r="G153" s="87"/>
      <c r="H153" s="521"/>
      <c r="I153" s="562"/>
      <c r="J153" s="89"/>
      <c r="K153" s="89"/>
      <c r="L153" s="249"/>
      <c r="M153" s="1073"/>
      <c r="N153" s="250"/>
      <c r="O153" s="251"/>
      <c r="P153" s="252"/>
      <c r="Q153" s="46"/>
    </row>
    <row r="154" spans="1:28">
      <c r="A154" s="98"/>
      <c r="B154" s="442"/>
      <c r="C154" s="593"/>
      <c r="D154" s="166"/>
      <c r="E154" s="166"/>
      <c r="F154" s="87"/>
      <c r="G154" s="87"/>
      <c r="H154" s="521"/>
      <c r="I154" s="562"/>
      <c r="J154" s="89"/>
      <c r="K154" s="89"/>
      <c r="L154" s="249"/>
      <c r="M154" s="1073"/>
      <c r="N154" s="250"/>
      <c r="O154" s="251"/>
      <c r="P154" s="252"/>
      <c r="Q154" s="46"/>
    </row>
    <row r="155" spans="1:28">
      <c r="A155" s="98"/>
      <c r="B155" s="442"/>
      <c r="C155" s="593"/>
      <c r="D155" s="166"/>
      <c r="E155" s="166"/>
      <c r="F155" s="87"/>
      <c r="G155" s="87"/>
      <c r="H155" s="521"/>
      <c r="I155" s="562"/>
      <c r="J155" s="89"/>
      <c r="K155" s="89"/>
      <c r="L155" s="249"/>
      <c r="M155" s="1073"/>
      <c r="N155" s="250"/>
      <c r="O155" s="251"/>
      <c r="P155" s="252"/>
      <c r="Q155" s="46"/>
    </row>
    <row r="156" spans="1:28">
      <c r="A156" s="98"/>
      <c r="B156" s="442"/>
      <c r="C156" s="593"/>
      <c r="D156" s="166"/>
      <c r="E156" s="166"/>
      <c r="F156" s="87"/>
      <c r="G156" s="87"/>
      <c r="H156" s="521"/>
      <c r="I156" s="562"/>
      <c r="J156" s="89"/>
      <c r="K156" s="89"/>
      <c r="L156" s="249"/>
      <c r="M156" s="1073"/>
      <c r="N156" s="250"/>
      <c r="O156" s="251"/>
      <c r="P156" s="252"/>
      <c r="Q156" s="46"/>
    </row>
    <row r="157" spans="1:28">
      <c r="A157" s="98"/>
      <c r="B157" s="442"/>
      <c r="C157" s="593"/>
      <c r="D157" s="166"/>
      <c r="E157" s="166"/>
      <c r="F157" s="87"/>
      <c r="G157" s="87"/>
      <c r="H157" s="521"/>
      <c r="I157" s="562"/>
      <c r="J157" s="89"/>
      <c r="K157" s="89"/>
      <c r="L157" s="249"/>
      <c r="M157" s="1073"/>
      <c r="N157" s="250"/>
      <c r="O157" s="251"/>
      <c r="P157" s="252"/>
      <c r="Q157" s="46"/>
    </row>
    <row r="158" spans="1:28">
      <c r="A158" s="98"/>
      <c r="B158" s="442"/>
      <c r="C158" s="593"/>
      <c r="D158" s="166"/>
      <c r="E158" s="166"/>
      <c r="F158" s="87"/>
      <c r="G158" s="87"/>
      <c r="H158" s="521"/>
      <c r="I158" s="562"/>
      <c r="J158" s="89"/>
      <c r="K158" s="89"/>
      <c r="L158" s="249"/>
      <c r="M158" s="1073"/>
      <c r="N158" s="250"/>
      <c r="O158" s="251"/>
      <c r="P158" s="252"/>
      <c r="Q158" s="46"/>
    </row>
    <row r="159" spans="1:28">
      <c r="A159" s="98"/>
      <c r="B159" s="442"/>
      <c r="C159" s="593"/>
      <c r="D159" s="166"/>
      <c r="E159" s="166"/>
      <c r="F159" s="87"/>
      <c r="G159" s="87"/>
      <c r="H159" s="521"/>
      <c r="I159" s="562"/>
      <c r="J159" s="89"/>
      <c r="K159" s="89"/>
      <c r="L159" s="249"/>
      <c r="M159" s="1073"/>
      <c r="N159" s="250"/>
      <c r="O159" s="251"/>
      <c r="P159" s="252"/>
      <c r="Q159" s="46"/>
    </row>
    <row r="160" spans="1:28">
      <c r="A160" s="98"/>
      <c r="B160" s="442"/>
      <c r="C160" s="593"/>
      <c r="D160" s="166"/>
      <c r="E160" s="166"/>
      <c r="F160" s="87"/>
      <c r="G160" s="87"/>
      <c r="H160" s="521"/>
      <c r="I160" s="562"/>
      <c r="J160" s="89"/>
      <c r="K160" s="89"/>
      <c r="L160" s="249"/>
      <c r="M160" s="1073"/>
      <c r="N160" s="250"/>
      <c r="O160" s="251"/>
      <c r="P160" s="252"/>
      <c r="Q160" s="46"/>
    </row>
    <row r="161" spans="1:17">
      <c r="A161" s="98"/>
      <c r="B161" s="442"/>
      <c r="C161" s="591"/>
      <c r="D161" s="166"/>
      <c r="E161" s="166"/>
      <c r="F161" s="87"/>
      <c r="G161" s="87"/>
      <c r="H161" s="521"/>
      <c r="I161" s="562"/>
      <c r="J161" s="89"/>
      <c r="K161" s="89"/>
      <c r="L161" s="249"/>
      <c r="M161" s="1073"/>
      <c r="N161" s="250"/>
      <c r="O161" s="251"/>
      <c r="P161" s="252"/>
      <c r="Q161" s="46"/>
    </row>
    <row r="162" spans="1:17">
      <c r="A162" s="98"/>
      <c r="B162" s="442"/>
      <c r="C162" s="591"/>
      <c r="D162" s="166"/>
      <c r="E162" s="166"/>
      <c r="F162" s="87"/>
      <c r="G162" s="87"/>
      <c r="H162" s="521"/>
      <c r="I162" s="562"/>
      <c r="J162" s="89"/>
      <c r="K162" s="89"/>
      <c r="L162" s="249"/>
      <c r="M162" s="1073"/>
      <c r="N162" s="250"/>
      <c r="O162" s="251"/>
      <c r="P162" s="252"/>
      <c r="Q162" s="46"/>
    </row>
    <row r="163" spans="1:17">
      <c r="A163" s="98"/>
      <c r="B163" s="442"/>
      <c r="C163" s="591"/>
      <c r="D163" s="166"/>
      <c r="E163" s="166"/>
      <c r="F163" s="87"/>
      <c r="G163" s="87"/>
      <c r="H163" s="521"/>
      <c r="I163" s="562"/>
      <c r="J163" s="89"/>
      <c r="K163" s="89"/>
      <c r="L163" s="249"/>
      <c r="M163" s="1073"/>
      <c r="N163" s="250"/>
      <c r="O163" s="251"/>
      <c r="P163" s="252"/>
      <c r="Q163" s="46"/>
    </row>
    <row r="164" spans="1:17">
      <c r="A164" s="98"/>
      <c r="B164" s="442"/>
      <c r="C164" s="591"/>
      <c r="D164" s="166"/>
      <c r="E164" s="166"/>
      <c r="F164" s="87"/>
      <c r="G164" s="87"/>
      <c r="H164" s="521"/>
      <c r="I164" s="562"/>
      <c r="J164" s="89"/>
      <c r="K164" s="89"/>
      <c r="L164" s="249"/>
      <c r="M164" s="1073"/>
      <c r="N164" s="250"/>
      <c r="O164" s="251"/>
      <c r="P164" s="252"/>
      <c r="Q164" s="46"/>
    </row>
    <row r="165" spans="1:17">
      <c r="A165" s="98"/>
      <c r="B165" s="442"/>
      <c r="C165" s="591"/>
      <c r="D165" s="166"/>
      <c r="E165" s="166"/>
      <c r="F165" s="87"/>
      <c r="G165" s="87"/>
      <c r="H165" s="521"/>
      <c r="I165" s="562"/>
      <c r="J165" s="89"/>
      <c r="K165" s="89"/>
      <c r="L165" s="249"/>
      <c r="M165" s="1073"/>
      <c r="N165" s="250"/>
      <c r="O165" s="251"/>
      <c r="P165" s="252"/>
      <c r="Q165" s="46"/>
    </row>
    <row r="166" spans="1:17">
      <c r="A166" s="98"/>
      <c r="B166" s="442"/>
      <c r="C166" s="591"/>
      <c r="D166" s="166"/>
      <c r="E166" s="166"/>
      <c r="F166" s="87"/>
      <c r="G166" s="87"/>
      <c r="H166" s="521"/>
      <c r="I166" s="562"/>
      <c r="J166" s="89"/>
      <c r="K166" s="89"/>
      <c r="L166" s="249"/>
      <c r="M166" s="1073"/>
      <c r="N166" s="250"/>
      <c r="O166" s="251"/>
      <c r="P166" s="252"/>
      <c r="Q166" s="46"/>
    </row>
    <row r="167" spans="1:17">
      <c r="A167" s="98"/>
      <c r="B167" s="442"/>
      <c r="C167" s="591"/>
      <c r="D167" s="166"/>
      <c r="E167" s="166"/>
      <c r="F167" s="87"/>
      <c r="G167" s="87"/>
      <c r="H167" s="521"/>
      <c r="I167" s="562"/>
      <c r="J167" s="89"/>
      <c r="K167" s="89"/>
      <c r="L167" s="249"/>
      <c r="M167" s="1073"/>
      <c r="N167" s="250"/>
      <c r="O167" s="251"/>
      <c r="P167" s="252"/>
      <c r="Q167" s="46"/>
    </row>
    <row r="168" spans="1:17">
      <c r="A168" s="98"/>
      <c r="B168" s="442"/>
      <c r="C168" s="591"/>
      <c r="D168" s="166"/>
      <c r="E168" s="166"/>
      <c r="F168" s="87"/>
      <c r="G168" s="87"/>
      <c r="H168" s="521"/>
      <c r="I168" s="562"/>
      <c r="J168" s="89"/>
      <c r="K168" s="89"/>
      <c r="L168" s="249"/>
      <c r="M168" s="1073"/>
      <c r="N168" s="250"/>
      <c r="O168" s="251"/>
      <c r="P168" s="252"/>
      <c r="Q168" s="46"/>
    </row>
    <row r="169" spans="1:17">
      <c r="A169" s="98"/>
      <c r="B169" s="442"/>
      <c r="C169" s="591"/>
      <c r="D169" s="166"/>
      <c r="E169" s="166"/>
      <c r="F169" s="87"/>
      <c r="G169" s="87"/>
      <c r="H169" s="521"/>
      <c r="I169" s="562"/>
      <c r="J169" s="89"/>
      <c r="K169" s="89"/>
      <c r="L169" s="249"/>
      <c r="M169" s="1073"/>
      <c r="N169" s="250"/>
      <c r="O169" s="251"/>
      <c r="P169" s="252"/>
      <c r="Q169" s="46"/>
    </row>
    <row r="170" spans="1:17">
      <c r="A170" s="98"/>
      <c r="B170" s="442"/>
      <c r="C170" s="591"/>
      <c r="D170" s="166"/>
      <c r="E170" s="166"/>
      <c r="F170" s="87"/>
      <c r="G170" s="87"/>
      <c r="H170" s="521"/>
      <c r="I170" s="562"/>
      <c r="J170" s="89"/>
      <c r="K170" s="89"/>
      <c r="L170" s="249"/>
      <c r="M170" s="1073"/>
      <c r="N170" s="250"/>
      <c r="O170" s="251"/>
      <c r="P170" s="252"/>
      <c r="Q170" s="46"/>
    </row>
    <row r="171" spans="1:17">
      <c r="A171" s="98"/>
      <c r="B171" s="442"/>
      <c r="C171" s="591"/>
      <c r="D171" s="166"/>
      <c r="E171" s="166"/>
      <c r="F171" s="87"/>
      <c r="G171" s="87"/>
      <c r="H171" s="521"/>
      <c r="I171" s="562"/>
      <c r="J171" s="89"/>
      <c r="K171" s="89"/>
      <c r="L171" s="249"/>
      <c r="M171" s="1073"/>
      <c r="N171" s="250"/>
      <c r="O171" s="251"/>
      <c r="P171" s="252"/>
      <c r="Q171" s="46"/>
    </row>
    <row r="172" spans="1:17">
      <c r="A172" s="98"/>
      <c r="B172" s="442"/>
      <c r="C172" s="591"/>
      <c r="D172" s="166"/>
      <c r="E172" s="166"/>
      <c r="F172" s="87"/>
      <c r="G172" s="87"/>
      <c r="H172" s="521"/>
      <c r="I172" s="562"/>
      <c r="J172" s="89"/>
      <c r="K172" s="89"/>
      <c r="L172" s="249"/>
      <c r="M172" s="1073"/>
      <c r="N172" s="250"/>
      <c r="O172" s="251"/>
      <c r="P172" s="252"/>
      <c r="Q172" s="46"/>
    </row>
    <row r="173" spans="1:17">
      <c r="A173" s="98"/>
      <c r="B173" s="442"/>
      <c r="C173" s="591"/>
      <c r="D173" s="166"/>
      <c r="E173" s="166"/>
      <c r="F173" s="87"/>
      <c r="G173" s="87"/>
      <c r="H173" s="521"/>
      <c r="I173" s="562"/>
      <c r="J173" s="89"/>
      <c r="K173" s="89"/>
      <c r="L173" s="249"/>
      <c r="M173" s="1073"/>
      <c r="N173" s="250"/>
      <c r="O173" s="251"/>
      <c r="P173" s="252"/>
      <c r="Q173" s="46"/>
    </row>
    <row r="174" spans="1:17">
      <c r="A174" s="98"/>
      <c r="B174" s="442"/>
      <c r="C174" s="591"/>
      <c r="D174" s="166"/>
      <c r="E174" s="166"/>
      <c r="F174" s="87"/>
      <c r="G174" s="87"/>
      <c r="H174" s="521"/>
      <c r="I174" s="562"/>
      <c r="J174" s="89"/>
      <c r="K174" s="89"/>
      <c r="L174" s="249"/>
      <c r="M174" s="1073"/>
      <c r="N174" s="250"/>
      <c r="O174" s="251"/>
      <c r="P174" s="252"/>
      <c r="Q174" s="46"/>
    </row>
    <row r="175" spans="1:17">
      <c r="A175" s="98"/>
      <c r="B175" s="442"/>
      <c r="C175" s="591"/>
      <c r="D175" s="166"/>
      <c r="E175" s="166"/>
      <c r="F175" s="87"/>
      <c r="G175" s="87"/>
      <c r="H175" s="521"/>
      <c r="I175" s="562"/>
      <c r="J175" s="89"/>
      <c r="K175" s="89"/>
      <c r="L175" s="249"/>
      <c r="M175" s="1073"/>
      <c r="N175" s="250"/>
      <c r="O175" s="251"/>
      <c r="P175" s="252"/>
      <c r="Q175" s="46"/>
    </row>
    <row r="176" spans="1:17">
      <c r="A176" s="98"/>
      <c r="B176" s="442"/>
      <c r="C176" s="591"/>
      <c r="D176" s="166"/>
      <c r="E176" s="166"/>
      <c r="F176" s="87"/>
      <c r="G176" s="87"/>
      <c r="H176" s="521"/>
      <c r="I176" s="562"/>
      <c r="J176" s="89"/>
      <c r="K176" s="89"/>
      <c r="L176" s="249"/>
      <c r="M176" s="1073"/>
      <c r="N176" s="250"/>
      <c r="O176" s="251"/>
      <c r="P176" s="252"/>
      <c r="Q176" s="46"/>
    </row>
    <row r="177" spans="1:17">
      <c r="A177" s="98"/>
      <c r="B177" s="442"/>
      <c r="C177" s="591"/>
      <c r="D177" s="166"/>
      <c r="E177" s="166"/>
      <c r="F177" s="87"/>
      <c r="G177" s="87"/>
      <c r="H177" s="521"/>
      <c r="I177" s="562"/>
      <c r="J177" s="89"/>
      <c r="K177" s="89"/>
      <c r="L177" s="249"/>
      <c r="M177" s="1073"/>
      <c r="N177" s="250"/>
      <c r="O177" s="251"/>
      <c r="P177" s="252"/>
      <c r="Q177" s="46"/>
    </row>
    <row r="178" spans="1:17">
      <c r="A178" s="98"/>
      <c r="B178" s="442"/>
      <c r="C178" s="591"/>
      <c r="D178" s="166"/>
      <c r="E178" s="166"/>
      <c r="F178" s="87"/>
      <c r="G178" s="87"/>
      <c r="H178" s="521"/>
      <c r="I178" s="562"/>
      <c r="J178" s="89"/>
      <c r="K178" s="89"/>
      <c r="L178" s="249"/>
      <c r="M178" s="1073"/>
      <c r="N178" s="250"/>
      <c r="O178" s="251"/>
      <c r="P178" s="252"/>
      <c r="Q178" s="46"/>
    </row>
    <row r="179" spans="1:17">
      <c r="A179" s="98"/>
      <c r="B179" s="442"/>
      <c r="C179" s="591"/>
      <c r="D179" s="166"/>
      <c r="E179" s="166"/>
      <c r="F179" s="87"/>
      <c r="G179" s="87"/>
      <c r="H179" s="521"/>
      <c r="I179" s="562"/>
      <c r="J179" s="89"/>
      <c r="K179" s="89"/>
      <c r="L179" s="249"/>
      <c r="M179" s="1073"/>
      <c r="N179" s="250"/>
      <c r="O179" s="251"/>
      <c r="P179" s="252"/>
      <c r="Q179" s="46"/>
    </row>
    <row r="180" spans="1:17">
      <c r="A180" s="98"/>
      <c r="B180" s="442"/>
      <c r="C180" s="591"/>
      <c r="D180" s="166"/>
      <c r="E180" s="166"/>
      <c r="F180" s="87"/>
      <c r="G180" s="87"/>
      <c r="H180" s="521"/>
      <c r="I180" s="562"/>
      <c r="J180" s="89"/>
      <c r="K180" s="89"/>
      <c r="L180" s="249"/>
      <c r="M180" s="1073"/>
      <c r="N180" s="250"/>
      <c r="O180" s="251"/>
      <c r="P180" s="252"/>
      <c r="Q180" s="46"/>
    </row>
    <row r="181" spans="1:17">
      <c r="A181" s="98"/>
      <c r="B181" s="442"/>
      <c r="C181" s="591"/>
      <c r="D181" s="166"/>
      <c r="E181" s="166"/>
      <c r="F181" s="87"/>
      <c r="G181" s="87"/>
      <c r="H181" s="521"/>
      <c r="I181" s="562"/>
      <c r="J181" s="89"/>
      <c r="K181" s="89"/>
      <c r="L181" s="249"/>
      <c r="M181" s="1073"/>
      <c r="N181" s="250"/>
      <c r="O181" s="251"/>
      <c r="P181" s="252"/>
      <c r="Q181" s="46"/>
    </row>
    <row r="182" spans="1:17">
      <c r="A182" s="98"/>
      <c r="B182" s="442"/>
      <c r="C182" s="591"/>
      <c r="D182" s="166"/>
      <c r="E182" s="166"/>
      <c r="F182" s="87"/>
      <c r="G182" s="87"/>
      <c r="H182" s="521"/>
      <c r="I182" s="562"/>
      <c r="J182" s="89"/>
      <c r="K182" s="89"/>
      <c r="L182" s="249"/>
      <c r="M182" s="1073"/>
      <c r="N182" s="250"/>
      <c r="O182" s="251"/>
      <c r="P182" s="252"/>
      <c r="Q182" s="46"/>
    </row>
    <row r="183" spans="1:17">
      <c r="A183" s="98"/>
      <c r="B183" s="442"/>
      <c r="C183" s="591"/>
      <c r="D183" s="166"/>
      <c r="E183" s="166"/>
      <c r="F183" s="87"/>
      <c r="G183" s="87"/>
      <c r="H183" s="521"/>
      <c r="I183" s="562"/>
      <c r="J183" s="89"/>
      <c r="K183" s="89"/>
      <c r="L183" s="249"/>
      <c r="M183" s="1073"/>
      <c r="N183" s="250"/>
      <c r="O183" s="251"/>
      <c r="P183" s="252"/>
      <c r="Q183" s="46"/>
    </row>
    <row r="184" spans="1:17">
      <c r="A184" s="98"/>
      <c r="B184" s="442"/>
      <c r="C184" s="591"/>
      <c r="D184" s="166"/>
      <c r="E184" s="166"/>
      <c r="F184" s="87"/>
      <c r="G184" s="87"/>
      <c r="H184" s="521"/>
      <c r="I184" s="562"/>
      <c r="J184" s="89"/>
      <c r="K184" s="89"/>
      <c r="L184" s="249"/>
      <c r="M184" s="1073"/>
      <c r="N184" s="250"/>
      <c r="O184" s="251"/>
      <c r="P184" s="252"/>
      <c r="Q184" s="46"/>
    </row>
    <row r="185" spans="1:17">
      <c r="A185" s="98"/>
      <c r="B185" s="442"/>
      <c r="C185" s="591"/>
      <c r="D185" s="166"/>
      <c r="E185" s="166"/>
      <c r="F185" s="87"/>
      <c r="G185" s="87"/>
      <c r="H185" s="521"/>
      <c r="I185" s="562"/>
      <c r="J185" s="89"/>
      <c r="K185" s="89"/>
      <c r="L185" s="249"/>
      <c r="M185" s="1073"/>
      <c r="N185" s="250"/>
      <c r="O185" s="251"/>
      <c r="P185" s="252"/>
      <c r="Q185" s="46"/>
    </row>
    <row r="186" spans="1:17">
      <c r="A186" s="98"/>
      <c r="B186" s="442"/>
      <c r="C186" s="591"/>
      <c r="D186" s="166"/>
      <c r="E186" s="166"/>
      <c r="F186" s="87"/>
      <c r="G186" s="87"/>
      <c r="H186" s="521"/>
      <c r="I186" s="562"/>
      <c r="J186" s="89"/>
      <c r="K186" s="89"/>
      <c r="L186" s="249"/>
      <c r="M186" s="1073"/>
      <c r="N186" s="250"/>
      <c r="O186" s="251"/>
      <c r="P186" s="252"/>
      <c r="Q186" s="46"/>
    </row>
    <row r="187" spans="1:17">
      <c r="A187" s="98"/>
      <c r="B187" s="442"/>
      <c r="C187" s="591"/>
      <c r="D187" s="166"/>
      <c r="E187" s="166"/>
      <c r="F187" s="87"/>
      <c r="G187" s="87"/>
      <c r="H187" s="521"/>
      <c r="I187" s="562"/>
      <c r="J187" s="89"/>
      <c r="K187" s="89"/>
      <c r="L187" s="249"/>
      <c r="M187" s="1073"/>
      <c r="N187" s="250"/>
      <c r="O187" s="251"/>
      <c r="P187" s="252"/>
      <c r="Q187" s="46"/>
    </row>
    <row r="188" spans="1:17">
      <c r="A188" s="98"/>
      <c r="B188" s="442"/>
      <c r="C188" s="591"/>
      <c r="D188" s="166"/>
      <c r="E188" s="166"/>
      <c r="F188" s="87"/>
      <c r="G188" s="87"/>
      <c r="H188" s="521"/>
      <c r="I188" s="562"/>
      <c r="J188" s="89"/>
      <c r="K188" s="89"/>
      <c r="L188" s="249"/>
      <c r="M188" s="1073"/>
      <c r="N188" s="250"/>
      <c r="O188" s="251"/>
      <c r="P188" s="252"/>
      <c r="Q188" s="46"/>
    </row>
    <row r="189" spans="1:17">
      <c r="A189" s="98"/>
      <c r="B189" s="442"/>
      <c r="C189" s="591"/>
      <c r="D189" s="166"/>
      <c r="E189" s="166"/>
      <c r="F189" s="87"/>
      <c r="G189" s="87"/>
      <c r="H189" s="521"/>
      <c r="I189" s="562"/>
      <c r="J189" s="89"/>
      <c r="K189" s="89"/>
      <c r="L189" s="249"/>
      <c r="M189" s="1073"/>
      <c r="N189" s="250"/>
      <c r="O189" s="251"/>
      <c r="P189" s="252"/>
      <c r="Q189" s="46"/>
    </row>
    <row r="190" spans="1:17">
      <c r="A190" s="98"/>
      <c r="B190" s="442"/>
      <c r="C190" s="591"/>
      <c r="D190" s="166"/>
      <c r="E190" s="166"/>
      <c r="F190" s="87"/>
      <c r="G190" s="87"/>
      <c r="H190" s="521"/>
      <c r="I190" s="562"/>
      <c r="J190" s="89"/>
      <c r="K190" s="89"/>
      <c r="L190" s="249"/>
      <c r="M190" s="1073"/>
      <c r="N190" s="250"/>
      <c r="O190" s="251"/>
      <c r="P190" s="252"/>
      <c r="Q190" s="46"/>
    </row>
    <row r="191" spans="1:17">
      <c r="A191" s="98"/>
      <c r="B191" s="442"/>
      <c r="C191" s="591"/>
      <c r="D191" s="166"/>
      <c r="E191" s="166"/>
      <c r="F191" s="87"/>
      <c r="G191" s="87"/>
      <c r="H191" s="521"/>
      <c r="I191" s="562"/>
      <c r="J191" s="89"/>
      <c r="K191" s="89"/>
      <c r="L191" s="249"/>
      <c r="M191" s="1073"/>
      <c r="N191" s="250"/>
      <c r="O191" s="251"/>
      <c r="P191" s="252"/>
      <c r="Q191" s="46"/>
    </row>
    <row r="192" spans="1:17">
      <c r="A192" s="98"/>
      <c r="B192" s="442"/>
      <c r="C192" s="591"/>
      <c r="D192" s="166"/>
      <c r="E192" s="166"/>
      <c r="F192" s="87"/>
      <c r="G192" s="87"/>
      <c r="H192" s="521"/>
      <c r="I192" s="562"/>
      <c r="J192" s="89"/>
      <c r="K192" s="89"/>
      <c r="L192" s="249"/>
      <c r="M192" s="1073"/>
      <c r="N192" s="250"/>
      <c r="O192" s="251"/>
      <c r="P192" s="252"/>
      <c r="Q192" s="46"/>
    </row>
    <row r="193" spans="1:17">
      <c r="A193" s="98"/>
      <c r="B193" s="442"/>
      <c r="C193" s="591"/>
      <c r="D193" s="166"/>
      <c r="E193" s="166"/>
      <c r="F193" s="87"/>
      <c r="G193" s="87"/>
      <c r="H193" s="521"/>
      <c r="I193" s="562"/>
      <c r="J193" s="89"/>
      <c r="K193" s="89"/>
      <c r="L193" s="249"/>
      <c r="M193" s="1073"/>
      <c r="N193" s="250"/>
      <c r="O193" s="251"/>
      <c r="P193" s="252"/>
      <c r="Q193" s="46"/>
    </row>
    <row r="194" spans="1:17">
      <c r="A194" s="98"/>
      <c r="B194" s="442"/>
      <c r="C194" s="591"/>
      <c r="D194" s="166"/>
      <c r="E194" s="166"/>
      <c r="F194" s="87"/>
      <c r="G194" s="87"/>
      <c r="H194" s="521"/>
      <c r="I194" s="562"/>
      <c r="J194" s="89"/>
      <c r="K194" s="89"/>
      <c r="L194" s="249"/>
      <c r="M194" s="1073"/>
      <c r="N194" s="250"/>
      <c r="O194" s="251"/>
      <c r="P194" s="252"/>
      <c r="Q194" s="46"/>
    </row>
    <row r="195" spans="1:17">
      <c r="A195" s="98"/>
      <c r="B195" s="442"/>
      <c r="C195" s="591"/>
      <c r="D195" s="166"/>
      <c r="E195" s="166"/>
      <c r="F195" s="87"/>
      <c r="G195" s="87"/>
      <c r="H195" s="521"/>
      <c r="I195" s="562"/>
      <c r="J195" s="89"/>
      <c r="K195" s="89"/>
      <c r="L195" s="249"/>
      <c r="M195" s="1073"/>
      <c r="N195" s="250"/>
      <c r="O195" s="251"/>
      <c r="P195" s="252"/>
      <c r="Q195" s="46"/>
    </row>
    <row r="196" spans="1:17">
      <c r="A196" s="98"/>
      <c r="B196" s="442"/>
      <c r="C196" s="591"/>
      <c r="D196" s="166"/>
      <c r="E196" s="166"/>
      <c r="F196" s="87"/>
      <c r="G196" s="87"/>
      <c r="H196" s="521"/>
      <c r="I196" s="562"/>
      <c r="J196" s="89"/>
      <c r="K196" s="89"/>
      <c r="L196" s="249"/>
      <c r="M196" s="1073"/>
      <c r="N196" s="250"/>
      <c r="O196" s="251"/>
      <c r="P196" s="252"/>
      <c r="Q196" s="46"/>
    </row>
    <row r="197" spans="1:17">
      <c r="A197" s="98"/>
      <c r="B197" s="442"/>
      <c r="C197" s="591"/>
      <c r="D197" s="166"/>
      <c r="E197" s="166"/>
      <c r="F197" s="87"/>
      <c r="G197" s="87"/>
      <c r="H197" s="521"/>
      <c r="I197" s="562"/>
      <c r="J197" s="89"/>
      <c r="K197" s="89"/>
      <c r="L197" s="249"/>
      <c r="M197" s="1073"/>
      <c r="N197" s="250"/>
      <c r="O197" s="251"/>
      <c r="P197" s="252"/>
      <c r="Q197" s="46"/>
    </row>
    <row r="198" spans="1:17">
      <c r="A198" s="98"/>
      <c r="B198" s="442"/>
      <c r="C198" s="591"/>
      <c r="D198" s="166"/>
      <c r="E198" s="166"/>
      <c r="F198" s="87"/>
      <c r="G198" s="87"/>
      <c r="H198" s="521"/>
      <c r="I198" s="562"/>
      <c r="J198" s="89"/>
      <c r="K198" s="89"/>
      <c r="L198" s="249"/>
      <c r="M198" s="1073"/>
      <c r="N198" s="250"/>
      <c r="O198" s="251"/>
      <c r="P198" s="252"/>
      <c r="Q198" s="46"/>
    </row>
    <row r="199" spans="1:17">
      <c r="A199" s="98"/>
      <c r="B199" s="442"/>
      <c r="C199" s="591"/>
      <c r="D199" s="166"/>
      <c r="E199" s="166"/>
      <c r="F199" s="87"/>
      <c r="G199" s="87"/>
      <c r="H199" s="521"/>
      <c r="I199" s="562"/>
      <c r="J199" s="89"/>
      <c r="K199" s="89"/>
      <c r="L199" s="249"/>
      <c r="M199" s="1073"/>
      <c r="N199" s="250"/>
      <c r="O199" s="251"/>
      <c r="P199" s="252"/>
      <c r="Q199" s="46"/>
    </row>
    <row r="200" spans="1:17">
      <c r="A200" s="98"/>
      <c r="B200" s="442"/>
      <c r="C200" s="591"/>
      <c r="D200" s="166"/>
      <c r="E200" s="166"/>
      <c r="F200" s="87"/>
      <c r="G200" s="87"/>
      <c r="H200" s="521"/>
      <c r="I200" s="562"/>
      <c r="J200" s="89"/>
      <c r="K200" s="89"/>
      <c r="L200" s="249"/>
      <c r="M200" s="1073"/>
      <c r="N200" s="250"/>
      <c r="O200" s="251"/>
      <c r="P200" s="252"/>
      <c r="Q200" s="46"/>
    </row>
    <row r="201" spans="1:17">
      <c r="A201" s="98"/>
      <c r="B201" s="442"/>
      <c r="C201" s="591"/>
      <c r="D201" s="166"/>
      <c r="E201" s="166"/>
      <c r="F201" s="87"/>
      <c r="G201" s="87"/>
      <c r="H201" s="521"/>
      <c r="I201" s="562"/>
      <c r="J201" s="89"/>
      <c r="K201" s="89"/>
      <c r="L201" s="249"/>
      <c r="M201" s="1073"/>
      <c r="N201" s="250"/>
      <c r="O201" s="251"/>
      <c r="P201" s="252"/>
      <c r="Q201" s="46"/>
    </row>
    <row r="202" spans="1:17">
      <c r="A202" s="98"/>
      <c r="B202" s="442"/>
      <c r="C202" s="591"/>
      <c r="D202" s="166"/>
      <c r="E202" s="166"/>
      <c r="F202" s="87"/>
      <c r="G202" s="87"/>
      <c r="H202" s="521"/>
      <c r="I202" s="562"/>
      <c r="J202" s="89"/>
      <c r="K202" s="89"/>
      <c r="L202" s="249"/>
      <c r="M202" s="1073"/>
      <c r="N202" s="250"/>
      <c r="O202" s="251"/>
      <c r="P202" s="252"/>
      <c r="Q202" s="46"/>
    </row>
    <row r="203" spans="1:17">
      <c r="A203" s="98"/>
      <c r="B203" s="442"/>
      <c r="C203" s="591"/>
      <c r="D203" s="166"/>
      <c r="E203" s="166"/>
      <c r="F203" s="87"/>
      <c r="G203" s="87"/>
      <c r="H203" s="521"/>
      <c r="I203" s="562"/>
      <c r="J203" s="89"/>
      <c r="K203" s="89"/>
      <c r="L203" s="249"/>
      <c r="M203" s="1073"/>
      <c r="N203" s="250"/>
      <c r="O203" s="251"/>
      <c r="P203" s="252"/>
      <c r="Q203" s="46"/>
    </row>
    <row r="204" spans="1:17">
      <c r="A204" s="98"/>
      <c r="B204" s="442"/>
      <c r="C204" s="591"/>
      <c r="D204" s="166"/>
      <c r="E204" s="166"/>
      <c r="F204" s="87"/>
      <c r="G204" s="87"/>
      <c r="H204" s="521"/>
      <c r="I204" s="562"/>
      <c r="J204" s="89"/>
      <c r="K204" s="89"/>
      <c r="L204" s="249"/>
      <c r="M204" s="1073"/>
      <c r="N204" s="250"/>
      <c r="O204" s="251"/>
      <c r="P204" s="252"/>
      <c r="Q204" s="46"/>
    </row>
    <row r="205" spans="1:17">
      <c r="A205" s="98"/>
      <c r="B205" s="442"/>
      <c r="C205" s="591"/>
      <c r="D205" s="166"/>
      <c r="E205" s="166"/>
      <c r="F205" s="87"/>
      <c r="G205" s="87"/>
      <c r="H205" s="521"/>
      <c r="I205" s="562"/>
      <c r="J205" s="89"/>
      <c r="K205" s="89"/>
      <c r="L205" s="249"/>
      <c r="M205" s="1073"/>
      <c r="N205" s="250"/>
      <c r="O205" s="251"/>
      <c r="P205" s="252"/>
      <c r="Q205" s="46"/>
    </row>
    <row r="206" spans="1:17">
      <c r="A206" s="98"/>
      <c r="B206" s="442"/>
      <c r="C206" s="591"/>
      <c r="D206" s="166"/>
      <c r="E206" s="166"/>
      <c r="F206" s="87"/>
      <c r="G206" s="87"/>
      <c r="H206" s="521"/>
      <c r="I206" s="562"/>
      <c r="J206" s="89"/>
      <c r="K206" s="89"/>
      <c r="L206" s="249"/>
      <c r="M206" s="1073"/>
      <c r="N206" s="250"/>
      <c r="O206" s="251"/>
      <c r="P206" s="252"/>
      <c r="Q206" s="46"/>
    </row>
    <row r="207" spans="1:17">
      <c r="A207" s="98"/>
      <c r="B207" s="442"/>
      <c r="C207" s="591"/>
      <c r="D207" s="166"/>
      <c r="E207" s="166"/>
      <c r="F207" s="87"/>
      <c r="G207" s="87"/>
      <c r="H207" s="521"/>
      <c r="I207" s="562"/>
      <c r="J207" s="89"/>
      <c r="K207" s="89"/>
      <c r="L207" s="249"/>
      <c r="M207" s="1073"/>
      <c r="N207" s="250"/>
      <c r="O207" s="251"/>
      <c r="P207" s="252"/>
      <c r="Q207" s="46"/>
    </row>
    <row r="208" spans="1:17">
      <c r="A208" s="98"/>
      <c r="B208" s="442"/>
      <c r="C208" s="591"/>
      <c r="D208" s="166"/>
      <c r="E208" s="166"/>
      <c r="F208" s="87"/>
      <c r="G208" s="87"/>
      <c r="H208" s="521"/>
      <c r="I208" s="562"/>
      <c r="J208" s="89"/>
      <c r="K208" s="89"/>
      <c r="L208" s="249"/>
      <c r="M208" s="1073"/>
      <c r="N208" s="250"/>
      <c r="O208" s="251"/>
      <c r="P208" s="252"/>
      <c r="Q208" s="46"/>
    </row>
    <row r="209" spans="1:17">
      <c r="A209" s="98"/>
      <c r="B209" s="442"/>
      <c r="C209" s="591"/>
      <c r="D209" s="166"/>
      <c r="E209" s="166"/>
      <c r="F209" s="87"/>
      <c r="G209" s="87"/>
      <c r="H209" s="521"/>
      <c r="I209" s="562"/>
      <c r="J209" s="89"/>
      <c r="K209" s="89"/>
      <c r="L209" s="249"/>
      <c r="M209" s="1073"/>
      <c r="N209" s="250"/>
      <c r="O209" s="251"/>
      <c r="P209" s="252"/>
      <c r="Q209" s="46"/>
    </row>
    <row r="210" spans="1:17">
      <c r="A210" s="98"/>
      <c r="B210" s="442"/>
      <c r="C210" s="591"/>
      <c r="D210" s="166"/>
      <c r="E210" s="166"/>
      <c r="F210" s="87"/>
      <c r="G210" s="87"/>
      <c r="H210" s="521"/>
      <c r="I210" s="562"/>
      <c r="J210" s="89"/>
      <c r="K210" s="89"/>
      <c r="L210" s="249"/>
      <c r="M210" s="1073"/>
      <c r="N210" s="250"/>
      <c r="O210" s="251"/>
      <c r="P210" s="252"/>
      <c r="Q210" s="46"/>
    </row>
    <row r="211" spans="1:17">
      <c r="A211" s="98"/>
      <c r="B211" s="442"/>
      <c r="C211" s="591"/>
      <c r="D211" s="166"/>
      <c r="E211" s="166"/>
      <c r="F211" s="87"/>
      <c r="G211" s="87"/>
      <c r="H211" s="521"/>
      <c r="I211" s="562"/>
      <c r="J211" s="89"/>
      <c r="K211" s="89"/>
      <c r="L211" s="249"/>
      <c r="M211" s="1073"/>
      <c r="N211" s="250"/>
      <c r="O211" s="251"/>
      <c r="P211" s="252"/>
      <c r="Q211" s="46"/>
    </row>
    <row r="212" spans="1:17">
      <c r="A212" s="98"/>
      <c r="B212" s="442"/>
      <c r="C212" s="591"/>
      <c r="D212" s="166"/>
      <c r="E212" s="166"/>
      <c r="F212" s="87"/>
      <c r="G212" s="87"/>
      <c r="H212" s="521"/>
      <c r="I212" s="562"/>
      <c r="J212" s="89"/>
      <c r="K212" s="89"/>
      <c r="L212" s="249"/>
      <c r="M212" s="1073"/>
      <c r="N212" s="250"/>
      <c r="O212" s="251"/>
      <c r="P212" s="252"/>
      <c r="Q212" s="46"/>
    </row>
    <row r="213" spans="1:17">
      <c r="A213" s="98"/>
      <c r="B213" s="442"/>
      <c r="C213" s="591"/>
      <c r="D213" s="166"/>
      <c r="E213" s="166"/>
      <c r="F213" s="87"/>
      <c r="G213" s="87"/>
      <c r="H213" s="521"/>
      <c r="I213" s="562"/>
      <c r="J213" s="89"/>
      <c r="K213" s="89"/>
      <c r="L213" s="249"/>
      <c r="M213" s="1073"/>
      <c r="N213" s="250"/>
      <c r="O213" s="251"/>
      <c r="P213" s="252"/>
      <c r="Q213" s="46"/>
    </row>
    <row r="214" spans="1:17">
      <c r="A214" s="98"/>
      <c r="B214" s="442"/>
      <c r="C214" s="591"/>
      <c r="D214" s="166"/>
      <c r="E214" s="166"/>
      <c r="F214" s="87"/>
      <c r="G214" s="87"/>
      <c r="H214" s="521"/>
      <c r="I214" s="562"/>
      <c r="J214" s="89"/>
      <c r="K214" s="89"/>
      <c r="L214" s="249"/>
      <c r="M214" s="1073"/>
      <c r="N214" s="250"/>
      <c r="O214" s="251"/>
      <c r="P214" s="252"/>
      <c r="Q214" s="46"/>
    </row>
    <row r="215" spans="1:17">
      <c r="A215" s="98"/>
      <c r="B215" s="442"/>
      <c r="C215" s="591"/>
      <c r="D215" s="166"/>
      <c r="E215" s="166"/>
      <c r="F215" s="87"/>
      <c r="G215" s="87"/>
      <c r="H215" s="521"/>
      <c r="I215" s="562"/>
      <c r="J215" s="89"/>
      <c r="K215" s="89"/>
      <c r="L215" s="249"/>
      <c r="M215" s="1073"/>
      <c r="N215" s="250"/>
      <c r="O215" s="251"/>
      <c r="P215" s="252"/>
      <c r="Q215" s="46"/>
    </row>
    <row r="216" spans="1:17">
      <c r="A216" s="98"/>
      <c r="B216" s="442"/>
      <c r="C216" s="591"/>
      <c r="D216" s="166"/>
      <c r="E216" s="166"/>
      <c r="F216" s="87"/>
      <c r="G216" s="87"/>
      <c r="H216" s="521"/>
      <c r="I216" s="562"/>
      <c r="J216" s="89"/>
      <c r="K216" s="89"/>
      <c r="L216" s="249"/>
      <c r="M216" s="1073"/>
      <c r="N216" s="250"/>
      <c r="O216" s="251"/>
      <c r="P216" s="252"/>
      <c r="Q216" s="46"/>
    </row>
    <row r="217" spans="1:17">
      <c r="A217" s="98"/>
      <c r="B217" s="442"/>
      <c r="C217" s="591"/>
      <c r="D217" s="166"/>
      <c r="E217" s="166"/>
      <c r="F217" s="87"/>
      <c r="G217" s="87"/>
      <c r="H217" s="521"/>
      <c r="I217" s="562"/>
      <c r="J217" s="89"/>
      <c r="K217" s="89"/>
      <c r="L217" s="249"/>
      <c r="M217" s="1073"/>
      <c r="N217" s="250"/>
      <c r="O217" s="251"/>
      <c r="P217" s="252"/>
      <c r="Q217" s="46"/>
    </row>
    <row r="218" spans="1:17">
      <c r="A218" s="98"/>
      <c r="B218" s="442"/>
      <c r="C218" s="591"/>
      <c r="D218" s="166"/>
      <c r="E218" s="166"/>
      <c r="F218" s="87"/>
      <c r="G218" s="87"/>
      <c r="H218" s="521"/>
      <c r="I218" s="562"/>
      <c r="J218" s="89"/>
      <c r="K218" s="89"/>
      <c r="L218" s="249"/>
      <c r="M218" s="1073"/>
      <c r="N218" s="250"/>
      <c r="O218" s="251"/>
      <c r="P218" s="252"/>
      <c r="Q218" s="46"/>
    </row>
    <row r="219" spans="1:17">
      <c r="A219" s="98"/>
      <c r="B219" s="442"/>
      <c r="C219" s="591"/>
      <c r="D219" s="166"/>
      <c r="E219" s="166"/>
      <c r="F219" s="87"/>
      <c r="G219" s="87"/>
      <c r="H219" s="521"/>
      <c r="I219" s="562"/>
      <c r="J219" s="89"/>
      <c r="K219" s="89"/>
      <c r="L219" s="249"/>
      <c r="M219" s="1073"/>
      <c r="N219" s="250"/>
      <c r="O219" s="251"/>
      <c r="P219" s="252"/>
      <c r="Q219" s="46"/>
    </row>
    <row r="220" spans="1:17">
      <c r="A220" s="98"/>
      <c r="B220" s="442"/>
      <c r="C220" s="591"/>
      <c r="D220" s="166"/>
      <c r="E220" s="166"/>
      <c r="F220" s="87"/>
      <c r="G220" s="87"/>
      <c r="H220" s="521"/>
      <c r="I220" s="562"/>
      <c r="J220" s="89"/>
      <c r="K220" s="89"/>
      <c r="L220" s="249"/>
      <c r="M220" s="1073"/>
      <c r="N220" s="250"/>
      <c r="O220" s="251"/>
      <c r="P220" s="252"/>
      <c r="Q220" s="46"/>
    </row>
    <row r="221" spans="1:17">
      <c r="A221" s="98"/>
      <c r="B221" s="442"/>
      <c r="C221" s="591"/>
      <c r="D221" s="166"/>
      <c r="E221" s="166"/>
      <c r="F221" s="87"/>
      <c r="G221" s="87"/>
      <c r="H221" s="521"/>
      <c r="I221" s="562"/>
      <c r="J221" s="89"/>
      <c r="K221" s="89"/>
      <c r="L221" s="249"/>
      <c r="M221" s="1073"/>
      <c r="N221" s="250"/>
      <c r="O221" s="251"/>
      <c r="P221" s="252"/>
      <c r="Q221" s="46"/>
    </row>
    <row r="222" spans="1:17">
      <c r="A222" s="98"/>
      <c r="B222" s="442"/>
      <c r="C222" s="591"/>
      <c r="D222" s="166"/>
      <c r="E222" s="166"/>
      <c r="F222" s="87"/>
      <c r="G222" s="87"/>
      <c r="H222" s="521"/>
      <c r="I222" s="562"/>
      <c r="J222" s="89"/>
      <c r="K222" s="89"/>
      <c r="L222" s="249"/>
      <c r="M222" s="1073"/>
      <c r="N222" s="250"/>
      <c r="O222" s="251"/>
      <c r="P222" s="252"/>
      <c r="Q222" s="46"/>
    </row>
    <row r="223" spans="1:17">
      <c r="A223" s="98"/>
      <c r="B223" s="442"/>
      <c r="C223" s="591"/>
      <c r="D223" s="166"/>
      <c r="E223" s="166"/>
      <c r="F223" s="87"/>
      <c r="G223" s="87"/>
      <c r="H223" s="521"/>
      <c r="I223" s="562"/>
      <c r="J223" s="89"/>
      <c r="K223" s="89"/>
      <c r="L223" s="249"/>
      <c r="M223" s="1073"/>
      <c r="N223" s="250"/>
      <c r="O223" s="251"/>
      <c r="P223" s="252"/>
      <c r="Q223" s="46"/>
    </row>
    <row r="224" spans="1:17">
      <c r="A224" s="98"/>
      <c r="B224" s="442"/>
      <c r="C224" s="591"/>
      <c r="D224" s="166"/>
      <c r="E224" s="166"/>
      <c r="F224" s="87"/>
      <c r="G224" s="87"/>
      <c r="H224" s="521"/>
      <c r="I224" s="562"/>
      <c r="J224" s="89"/>
      <c r="K224" s="89"/>
      <c r="L224" s="249"/>
      <c r="M224" s="1073"/>
      <c r="N224" s="250"/>
      <c r="O224" s="251"/>
      <c r="P224" s="252"/>
      <c r="Q224" s="46"/>
    </row>
    <row r="225" spans="1:17">
      <c r="A225" s="98"/>
      <c r="B225" s="442"/>
      <c r="C225" s="591"/>
      <c r="D225" s="166"/>
      <c r="E225" s="166"/>
      <c r="F225" s="87"/>
      <c r="G225" s="87"/>
      <c r="H225" s="521"/>
      <c r="I225" s="562"/>
      <c r="J225" s="89"/>
      <c r="K225" s="89"/>
      <c r="L225" s="249"/>
      <c r="M225" s="1073"/>
      <c r="N225" s="250"/>
      <c r="O225" s="251"/>
      <c r="P225" s="252"/>
      <c r="Q225" s="46"/>
    </row>
    <row r="226" spans="1:17">
      <c r="A226" s="98"/>
      <c r="B226" s="442"/>
      <c r="C226" s="591"/>
      <c r="D226" s="166"/>
      <c r="E226" s="166"/>
      <c r="F226" s="87"/>
      <c r="G226" s="87"/>
      <c r="H226" s="521"/>
      <c r="I226" s="562"/>
      <c r="J226" s="89"/>
      <c r="K226" s="89"/>
      <c r="L226" s="249"/>
      <c r="M226" s="1073"/>
      <c r="N226" s="250"/>
      <c r="O226" s="251"/>
      <c r="P226" s="252"/>
      <c r="Q226" s="46"/>
    </row>
    <row r="227" spans="1:17">
      <c r="A227" s="98"/>
      <c r="B227" s="442"/>
      <c r="C227" s="591"/>
      <c r="D227" s="166"/>
      <c r="E227" s="166"/>
      <c r="F227" s="87"/>
      <c r="G227" s="87"/>
      <c r="H227" s="521"/>
      <c r="I227" s="562"/>
      <c r="J227" s="89"/>
      <c r="K227" s="89"/>
      <c r="L227" s="249"/>
      <c r="M227" s="1073"/>
      <c r="N227" s="250"/>
      <c r="O227" s="251"/>
      <c r="P227" s="252"/>
      <c r="Q227" s="46"/>
    </row>
    <row r="228" spans="1:17">
      <c r="A228" s="98"/>
      <c r="B228" s="442"/>
      <c r="C228" s="591"/>
      <c r="D228" s="166"/>
      <c r="E228" s="166"/>
      <c r="F228" s="87"/>
      <c r="G228" s="87"/>
      <c r="H228" s="521"/>
      <c r="I228" s="562"/>
      <c r="J228" s="89"/>
      <c r="K228" s="89"/>
      <c r="L228" s="249"/>
      <c r="M228" s="1073"/>
      <c r="N228" s="250"/>
      <c r="O228" s="251"/>
      <c r="P228" s="252"/>
      <c r="Q228" s="46"/>
    </row>
    <row r="229" spans="1:17">
      <c r="A229" s="98"/>
      <c r="B229" s="442"/>
      <c r="C229" s="591"/>
      <c r="D229" s="166"/>
      <c r="E229" s="166"/>
      <c r="F229" s="87"/>
      <c r="G229" s="87"/>
      <c r="H229" s="521"/>
      <c r="I229" s="562"/>
      <c r="J229" s="89"/>
      <c r="K229" s="89"/>
      <c r="L229" s="249"/>
      <c r="M229" s="1073"/>
      <c r="N229" s="250"/>
      <c r="O229" s="251"/>
      <c r="P229" s="252"/>
      <c r="Q229" s="46"/>
    </row>
    <row r="230" spans="1:17">
      <c r="A230" s="98"/>
      <c r="B230" s="442"/>
      <c r="C230" s="591"/>
      <c r="D230" s="166"/>
      <c r="E230" s="166"/>
      <c r="F230" s="87"/>
      <c r="G230" s="87"/>
      <c r="H230" s="521"/>
      <c r="I230" s="562"/>
      <c r="J230" s="89"/>
      <c r="K230" s="89"/>
      <c r="L230" s="249"/>
      <c r="M230" s="1073"/>
      <c r="N230" s="250"/>
      <c r="O230" s="251"/>
      <c r="P230" s="252"/>
      <c r="Q230" s="46"/>
    </row>
    <row r="231" spans="1:17">
      <c r="A231" s="98"/>
      <c r="B231" s="442"/>
      <c r="C231" s="591"/>
      <c r="D231" s="166"/>
      <c r="E231" s="166"/>
      <c r="F231" s="87"/>
      <c r="G231" s="87"/>
      <c r="H231" s="521"/>
      <c r="I231" s="562"/>
      <c r="J231" s="89"/>
      <c r="K231" s="89"/>
      <c r="L231" s="249"/>
      <c r="M231" s="1073"/>
      <c r="N231" s="250"/>
      <c r="O231" s="251"/>
      <c r="P231" s="252"/>
      <c r="Q231" s="46"/>
    </row>
    <row r="232" spans="1:17">
      <c r="A232" s="98"/>
      <c r="B232" s="442"/>
      <c r="C232" s="591"/>
      <c r="D232" s="166"/>
      <c r="E232" s="166"/>
      <c r="F232" s="87"/>
      <c r="G232" s="87"/>
      <c r="H232" s="521"/>
      <c r="I232" s="562"/>
      <c r="J232" s="89"/>
      <c r="K232" s="89"/>
      <c r="L232" s="249"/>
      <c r="M232" s="1073"/>
      <c r="N232" s="250"/>
      <c r="O232" s="251"/>
      <c r="P232" s="252"/>
      <c r="Q232" s="46"/>
    </row>
    <row r="233" spans="1:17">
      <c r="A233" s="98"/>
      <c r="B233" s="442"/>
      <c r="C233" s="591"/>
      <c r="D233" s="166"/>
      <c r="E233" s="166"/>
      <c r="F233" s="87"/>
      <c r="G233" s="87"/>
      <c r="H233" s="521"/>
      <c r="I233" s="562"/>
      <c r="J233" s="89"/>
      <c r="K233" s="89"/>
      <c r="L233" s="249"/>
      <c r="M233" s="1073"/>
      <c r="N233" s="250"/>
      <c r="O233" s="251"/>
      <c r="P233" s="252"/>
      <c r="Q233" s="46"/>
    </row>
    <row r="234" spans="1:17">
      <c r="A234" s="98"/>
      <c r="B234" s="442"/>
      <c r="C234" s="591"/>
      <c r="D234" s="166"/>
      <c r="E234" s="166"/>
      <c r="F234" s="87"/>
      <c r="G234" s="87"/>
      <c r="H234" s="521"/>
      <c r="I234" s="562"/>
      <c r="J234" s="89"/>
      <c r="K234" s="89"/>
      <c r="L234" s="249"/>
      <c r="M234" s="1073"/>
      <c r="N234" s="250"/>
      <c r="O234" s="251"/>
      <c r="P234" s="252"/>
      <c r="Q234" s="46"/>
    </row>
    <row r="235" spans="1:17">
      <c r="A235" s="98"/>
      <c r="B235" s="442"/>
      <c r="C235" s="591"/>
      <c r="D235" s="166"/>
      <c r="E235" s="166"/>
      <c r="F235" s="87"/>
      <c r="G235" s="87"/>
      <c r="H235" s="521"/>
      <c r="I235" s="562"/>
      <c r="J235" s="89"/>
      <c r="K235" s="89"/>
      <c r="L235" s="249"/>
      <c r="M235" s="1073"/>
      <c r="N235" s="250"/>
      <c r="O235" s="251"/>
      <c r="P235" s="252"/>
      <c r="Q235" s="46"/>
    </row>
    <row r="236" spans="1:17">
      <c r="A236" s="98"/>
      <c r="B236" s="442"/>
      <c r="C236" s="591"/>
      <c r="D236" s="166"/>
      <c r="E236" s="166"/>
      <c r="F236" s="87"/>
      <c r="G236" s="87"/>
      <c r="H236" s="521"/>
      <c r="I236" s="562"/>
      <c r="J236" s="89"/>
      <c r="K236" s="89"/>
      <c r="L236" s="249"/>
      <c r="M236" s="1073"/>
      <c r="N236" s="250"/>
      <c r="O236" s="251"/>
      <c r="P236" s="252"/>
      <c r="Q236" s="46"/>
    </row>
    <row r="237" spans="1:17">
      <c r="A237" s="98"/>
      <c r="B237" s="442"/>
      <c r="C237" s="591"/>
      <c r="D237" s="166"/>
      <c r="E237" s="166"/>
      <c r="F237" s="87"/>
      <c r="G237" s="87"/>
      <c r="H237" s="521"/>
      <c r="I237" s="562"/>
      <c r="J237" s="89"/>
      <c r="K237" s="89"/>
      <c r="L237" s="249"/>
      <c r="M237" s="1073"/>
      <c r="N237" s="250"/>
      <c r="O237" s="251"/>
      <c r="P237" s="252"/>
      <c r="Q237" s="46"/>
    </row>
    <row r="238" spans="1:17">
      <c r="A238" s="98"/>
      <c r="B238" s="442"/>
      <c r="C238" s="540"/>
      <c r="D238" s="166"/>
      <c r="E238" s="166"/>
      <c r="F238" s="87"/>
      <c r="G238" s="87"/>
      <c r="H238" s="521"/>
      <c r="I238" s="562"/>
      <c r="J238" s="89"/>
      <c r="K238" s="89"/>
      <c r="L238" s="249"/>
      <c r="M238" s="1073"/>
      <c r="N238" s="250"/>
      <c r="O238" s="251"/>
      <c r="P238" s="252"/>
      <c r="Q238" s="46"/>
    </row>
    <row r="239" spans="1:17">
      <c r="A239" s="98"/>
      <c r="B239" s="442"/>
      <c r="C239" s="540"/>
      <c r="D239" s="166"/>
      <c r="E239" s="166"/>
      <c r="F239" s="87"/>
      <c r="G239" s="87"/>
      <c r="H239" s="521"/>
      <c r="I239" s="562"/>
      <c r="J239" s="89"/>
      <c r="K239" s="89"/>
      <c r="L239" s="249"/>
      <c r="M239" s="1073"/>
      <c r="N239" s="250"/>
      <c r="O239" s="251"/>
      <c r="P239" s="252"/>
      <c r="Q239" s="46"/>
    </row>
    <row r="240" spans="1:17">
      <c r="A240" s="98"/>
      <c r="B240" s="442"/>
      <c r="C240" s="540"/>
      <c r="D240" s="166"/>
      <c r="E240" s="166"/>
      <c r="F240" s="87"/>
      <c r="G240" s="87"/>
      <c r="H240" s="521"/>
      <c r="I240" s="562"/>
      <c r="J240" s="89"/>
      <c r="K240" s="89"/>
      <c r="L240" s="249"/>
      <c r="M240" s="1073"/>
      <c r="N240" s="250"/>
      <c r="O240" s="251"/>
      <c r="P240" s="252"/>
      <c r="Q240" s="46"/>
    </row>
    <row r="241" spans="1:17">
      <c r="A241" s="98"/>
      <c r="B241" s="442"/>
      <c r="C241" s="540"/>
      <c r="D241" s="166"/>
      <c r="E241" s="166"/>
      <c r="F241" s="87"/>
      <c r="G241" s="87"/>
      <c r="H241" s="521"/>
      <c r="I241" s="562"/>
      <c r="J241" s="89"/>
      <c r="K241" s="89"/>
      <c r="L241" s="249"/>
      <c r="M241" s="1073"/>
      <c r="N241" s="250"/>
      <c r="O241" s="251"/>
      <c r="P241" s="252"/>
      <c r="Q241" s="46"/>
    </row>
    <row r="242" spans="1:17">
      <c r="A242" s="98"/>
      <c r="B242" s="442"/>
      <c r="C242" s="540"/>
      <c r="D242" s="166"/>
      <c r="E242" s="166"/>
      <c r="F242" s="87"/>
      <c r="G242" s="87"/>
      <c r="H242" s="521"/>
      <c r="I242" s="562"/>
      <c r="J242" s="89"/>
      <c r="K242" s="89"/>
      <c r="L242" s="249"/>
      <c r="M242" s="1073"/>
      <c r="N242" s="250"/>
      <c r="O242" s="251"/>
      <c r="P242" s="252"/>
      <c r="Q242" s="46"/>
    </row>
    <row r="243" spans="1:17">
      <c r="A243" s="98"/>
      <c r="B243" s="442"/>
      <c r="C243" s="540"/>
      <c r="D243" s="166"/>
      <c r="E243" s="166"/>
      <c r="F243" s="87"/>
      <c r="G243" s="87"/>
      <c r="H243" s="521"/>
      <c r="I243" s="562"/>
      <c r="J243" s="89"/>
      <c r="K243" s="89"/>
      <c r="L243" s="249"/>
      <c r="M243" s="1073"/>
      <c r="N243" s="250"/>
      <c r="O243" s="251"/>
      <c r="P243" s="252"/>
      <c r="Q243" s="46"/>
    </row>
    <row r="244" spans="1:17">
      <c r="A244" s="98"/>
      <c r="B244" s="442"/>
      <c r="C244" s="540"/>
      <c r="D244" s="166"/>
      <c r="E244" s="166"/>
      <c r="F244" s="87"/>
      <c r="G244" s="87"/>
      <c r="H244" s="521"/>
      <c r="I244" s="562"/>
      <c r="J244" s="89"/>
      <c r="K244" s="89"/>
      <c r="L244" s="249"/>
      <c r="M244" s="1073"/>
      <c r="N244" s="250"/>
      <c r="O244" s="251"/>
      <c r="P244" s="252"/>
      <c r="Q244" s="46"/>
    </row>
    <row r="245" spans="1:17">
      <c r="A245" s="98"/>
      <c r="B245" s="442"/>
      <c r="C245" s="540"/>
      <c r="D245" s="166"/>
      <c r="E245" s="166"/>
      <c r="F245" s="87"/>
      <c r="G245" s="87"/>
      <c r="H245" s="521"/>
      <c r="I245" s="562"/>
      <c r="J245" s="89"/>
      <c r="K245" s="89"/>
      <c r="L245" s="249"/>
      <c r="M245" s="1073"/>
      <c r="N245" s="250"/>
      <c r="O245" s="251"/>
      <c r="P245" s="252"/>
      <c r="Q245" s="46"/>
    </row>
    <row r="246" spans="1:17">
      <c r="A246" s="98"/>
      <c r="B246" s="442"/>
      <c r="C246" s="540"/>
      <c r="D246" s="166"/>
      <c r="E246" s="166"/>
      <c r="F246" s="87"/>
      <c r="G246" s="87"/>
      <c r="H246" s="521"/>
      <c r="I246" s="562"/>
      <c r="J246" s="89"/>
      <c r="K246" s="89"/>
      <c r="L246" s="249"/>
      <c r="M246" s="1073"/>
      <c r="N246" s="250"/>
      <c r="O246" s="251"/>
      <c r="P246" s="252"/>
      <c r="Q246" s="46"/>
    </row>
    <row r="247" spans="1:17">
      <c r="A247" s="98"/>
      <c r="B247" s="442"/>
      <c r="C247" s="540"/>
      <c r="D247" s="166"/>
      <c r="E247" s="166"/>
      <c r="F247" s="87"/>
      <c r="G247" s="87"/>
      <c r="H247" s="521"/>
      <c r="I247" s="562"/>
      <c r="J247" s="89"/>
      <c r="K247" s="89"/>
      <c r="L247" s="249"/>
      <c r="M247" s="1073"/>
      <c r="N247" s="250"/>
      <c r="O247" s="251"/>
      <c r="P247" s="252"/>
      <c r="Q247" s="46"/>
    </row>
    <row r="248" spans="1:17">
      <c r="A248" s="98"/>
      <c r="B248" s="442"/>
      <c r="C248" s="540"/>
      <c r="D248" s="166"/>
      <c r="E248" s="166"/>
      <c r="F248" s="87"/>
      <c r="G248" s="87"/>
      <c r="H248" s="521"/>
      <c r="I248" s="562"/>
      <c r="J248" s="89"/>
      <c r="K248" s="89"/>
      <c r="L248" s="249"/>
      <c r="M248" s="1073"/>
      <c r="N248" s="250"/>
      <c r="O248" s="251"/>
      <c r="P248" s="252"/>
      <c r="Q248" s="46"/>
    </row>
    <row r="249" spans="1:17">
      <c r="A249" s="98"/>
      <c r="B249" s="442"/>
      <c r="C249" s="540"/>
      <c r="D249" s="166"/>
      <c r="E249" s="166"/>
      <c r="F249" s="87"/>
      <c r="G249" s="87"/>
      <c r="H249" s="521"/>
      <c r="I249" s="562"/>
      <c r="J249" s="89"/>
      <c r="K249" s="89"/>
      <c r="L249" s="249"/>
      <c r="M249" s="1073"/>
      <c r="N249" s="250"/>
      <c r="O249" s="251"/>
      <c r="P249" s="252"/>
      <c r="Q249" s="46"/>
    </row>
    <row r="250" spans="1:17">
      <c r="A250" s="98"/>
      <c r="B250" s="442"/>
      <c r="C250" s="540"/>
      <c r="D250" s="166"/>
      <c r="E250" s="166"/>
      <c r="F250" s="87"/>
      <c r="G250" s="87"/>
      <c r="H250" s="521"/>
      <c r="I250" s="562"/>
      <c r="J250" s="89"/>
      <c r="K250" s="89"/>
      <c r="L250" s="249"/>
      <c r="M250" s="1073"/>
      <c r="N250" s="250"/>
      <c r="O250" s="251"/>
      <c r="P250" s="252"/>
      <c r="Q250" s="46"/>
    </row>
    <row r="251" spans="1:17">
      <c r="A251" s="98"/>
      <c r="B251" s="442"/>
      <c r="C251" s="540"/>
      <c r="D251" s="166"/>
      <c r="E251" s="166"/>
      <c r="F251" s="87"/>
      <c r="G251" s="87"/>
      <c r="H251" s="521"/>
      <c r="I251" s="562"/>
      <c r="J251" s="89"/>
      <c r="K251" s="89"/>
      <c r="L251" s="249"/>
      <c r="M251" s="1073"/>
      <c r="N251" s="250"/>
      <c r="O251" s="251"/>
      <c r="P251" s="252"/>
      <c r="Q251" s="46"/>
    </row>
    <row r="252" spans="1:17">
      <c r="A252" s="98"/>
      <c r="B252" s="442"/>
      <c r="C252" s="540"/>
      <c r="D252" s="166"/>
      <c r="E252" s="166"/>
      <c r="F252" s="87"/>
      <c r="G252" s="87"/>
      <c r="H252" s="521"/>
      <c r="I252" s="562"/>
      <c r="J252" s="89"/>
      <c r="K252" s="89"/>
      <c r="L252" s="249"/>
      <c r="M252" s="1073"/>
      <c r="N252" s="250"/>
      <c r="O252" s="251"/>
      <c r="P252" s="252"/>
      <c r="Q252" s="46"/>
    </row>
    <row r="253" spans="1:17">
      <c r="A253" s="98"/>
      <c r="B253" s="442"/>
      <c r="C253" s="540"/>
      <c r="D253" s="166"/>
      <c r="E253" s="166"/>
      <c r="F253" s="87"/>
      <c r="G253" s="87"/>
      <c r="H253" s="521"/>
      <c r="I253" s="562"/>
      <c r="J253" s="89"/>
      <c r="K253" s="89"/>
      <c r="L253" s="249"/>
      <c r="M253" s="1073"/>
      <c r="N253" s="250"/>
      <c r="O253" s="251"/>
      <c r="P253" s="252"/>
      <c r="Q253" s="46"/>
    </row>
    <row r="254" spans="1:17">
      <c r="A254" s="98"/>
      <c r="B254" s="442"/>
      <c r="C254" s="540"/>
      <c r="D254" s="166"/>
      <c r="E254" s="166"/>
      <c r="F254" s="87"/>
      <c r="G254" s="87"/>
      <c r="H254" s="521"/>
      <c r="I254" s="562"/>
      <c r="J254" s="89"/>
      <c r="K254" s="89"/>
      <c r="L254" s="249"/>
      <c r="M254" s="1073"/>
      <c r="N254" s="250"/>
      <c r="O254" s="251"/>
      <c r="P254" s="252"/>
      <c r="Q254" s="46"/>
    </row>
    <row r="255" spans="1:17">
      <c r="A255" s="98"/>
      <c r="B255" s="442"/>
      <c r="C255" s="540"/>
      <c r="D255" s="166"/>
      <c r="E255" s="166"/>
      <c r="F255" s="87"/>
      <c r="G255" s="87"/>
      <c r="H255" s="521"/>
      <c r="I255" s="562"/>
      <c r="J255" s="89"/>
      <c r="K255" s="89"/>
      <c r="L255" s="249"/>
      <c r="M255" s="1073"/>
      <c r="N255" s="250"/>
      <c r="O255" s="251"/>
      <c r="P255" s="252"/>
      <c r="Q255" s="46"/>
    </row>
    <row r="256" spans="1:17">
      <c r="A256" s="98"/>
      <c r="B256" s="442"/>
      <c r="C256" s="540"/>
      <c r="D256" s="166"/>
      <c r="E256" s="166"/>
      <c r="F256" s="87"/>
      <c r="G256" s="87"/>
      <c r="H256" s="521"/>
      <c r="I256" s="562"/>
      <c r="J256" s="89"/>
      <c r="K256" s="89"/>
      <c r="L256" s="249"/>
      <c r="M256" s="1073"/>
      <c r="N256" s="250"/>
      <c r="O256" s="251"/>
      <c r="P256" s="252"/>
      <c r="Q256" s="46"/>
    </row>
    <row r="257" spans="1:17">
      <c r="A257" s="98"/>
      <c r="B257" s="442"/>
      <c r="C257" s="540"/>
      <c r="D257" s="166"/>
      <c r="E257" s="166"/>
      <c r="F257" s="87"/>
      <c r="G257" s="87"/>
      <c r="H257" s="521"/>
      <c r="I257" s="562"/>
      <c r="J257" s="89"/>
      <c r="K257" s="89"/>
      <c r="L257" s="249"/>
      <c r="M257" s="1073"/>
      <c r="N257" s="250"/>
      <c r="O257" s="251"/>
      <c r="P257" s="252"/>
      <c r="Q257" s="46"/>
    </row>
    <row r="258" spans="1:17">
      <c r="A258" s="98"/>
      <c r="B258" s="442"/>
      <c r="C258" s="540"/>
      <c r="D258" s="166"/>
      <c r="E258" s="166"/>
      <c r="F258" s="87"/>
      <c r="G258" s="87"/>
      <c r="H258" s="521"/>
      <c r="I258" s="562"/>
      <c r="J258" s="89"/>
      <c r="K258" s="89"/>
      <c r="L258" s="249"/>
      <c r="M258" s="1073"/>
      <c r="N258" s="250"/>
      <c r="O258" s="251"/>
      <c r="P258" s="252"/>
      <c r="Q258" s="46"/>
    </row>
    <row r="259" spans="1:17">
      <c r="A259" s="98"/>
      <c r="B259" s="442"/>
      <c r="C259" s="540"/>
      <c r="D259" s="166"/>
      <c r="E259" s="166"/>
      <c r="F259" s="87"/>
      <c r="G259" s="87"/>
      <c r="H259" s="521"/>
      <c r="I259" s="562"/>
      <c r="J259" s="89"/>
      <c r="K259" s="89"/>
      <c r="L259" s="249"/>
      <c r="M259" s="1073"/>
      <c r="N259" s="250"/>
      <c r="O259" s="251"/>
      <c r="P259" s="252"/>
      <c r="Q259" s="46"/>
    </row>
    <row r="260" spans="1:17">
      <c r="A260" s="98"/>
      <c r="B260" s="442"/>
      <c r="C260" s="540"/>
      <c r="D260" s="166"/>
      <c r="E260" s="166"/>
      <c r="F260" s="87"/>
      <c r="G260" s="87"/>
      <c r="H260" s="521"/>
      <c r="I260" s="562"/>
      <c r="J260" s="89"/>
      <c r="K260" s="89"/>
      <c r="L260" s="249"/>
      <c r="M260" s="1073"/>
      <c r="N260" s="250"/>
      <c r="O260" s="251"/>
      <c r="P260" s="252"/>
      <c r="Q260" s="46"/>
    </row>
    <row r="261" spans="1:17">
      <c r="A261" s="98"/>
      <c r="B261" s="442"/>
      <c r="C261" s="540"/>
      <c r="D261" s="166"/>
      <c r="E261" s="166"/>
      <c r="F261" s="87"/>
      <c r="G261" s="87"/>
      <c r="H261" s="521"/>
      <c r="I261" s="562"/>
      <c r="J261" s="89"/>
      <c r="K261" s="89"/>
      <c r="L261" s="249"/>
      <c r="M261" s="1073"/>
      <c r="N261" s="250"/>
      <c r="O261" s="251"/>
      <c r="P261" s="252"/>
      <c r="Q261" s="46"/>
    </row>
    <row r="262" spans="1:17">
      <c r="A262" s="98"/>
      <c r="B262" s="442"/>
      <c r="C262" s="540"/>
      <c r="D262" s="166"/>
      <c r="E262" s="166"/>
      <c r="F262" s="87"/>
      <c r="G262" s="87"/>
      <c r="H262" s="521"/>
      <c r="I262" s="562"/>
      <c r="J262" s="89"/>
      <c r="K262" s="89"/>
      <c r="L262" s="249"/>
      <c r="M262" s="1073"/>
      <c r="N262" s="250"/>
      <c r="O262" s="251"/>
      <c r="P262" s="252"/>
      <c r="Q262" s="46"/>
    </row>
    <row r="263" spans="1:17">
      <c r="A263" s="98"/>
      <c r="B263" s="442"/>
      <c r="C263" s="540"/>
      <c r="D263" s="166"/>
      <c r="E263" s="166"/>
      <c r="F263" s="87"/>
      <c r="G263" s="87"/>
      <c r="H263" s="521"/>
      <c r="I263" s="562"/>
      <c r="J263" s="89"/>
      <c r="K263" s="89"/>
      <c r="L263" s="249"/>
      <c r="M263" s="1073"/>
      <c r="N263" s="250"/>
      <c r="O263" s="251"/>
      <c r="P263" s="252"/>
      <c r="Q263" s="46"/>
    </row>
    <row r="264" spans="1:17">
      <c r="A264" s="98"/>
      <c r="B264" s="442"/>
      <c r="C264" s="540"/>
      <c r="D264" s="166"/>
      <c r="E264" s="166"/>
      <c r="F264" s="87"/>
      <c r="G264" s="87"/>
      <c r="H264" s="521"/>
      <c r="I264" s="562"/>
      <c r="J264" s="89"/>
      <c r="K264" s="89"/>
      <c r="L264" s="249"/>
      <c r="M264" s="1073"/>
      <c r="N264" s="250"/>
      <c r="O264" s="251"/>
      <c r="P264" s="252"/>
      <c r="Q264" s="46"/>
    </row>
    <row r="265" spans="1:17">
      <c r="A265" s="98"/>
      <c r="B265" s="442"/>
      <c r="C265" s="540"/>
      <c r="D265" s="166"/>
      <c r="E265" s="166"/>
      <c r="F265" s="87"/>
      <c r="G265" s="87"/>
      <c r="H265" s="521"/>
      <c r="I265" s="562"/>
      <c r="J265" s="89"/>
      <c r="K265" s="89"/>
      <c r="L265" s="249"/>
      <c r="M265" s="1073"/>
      <c r="N265" s="250"/>
      <c r="O265" s="251"/>
      <c r="P265" s="252"/>
      <c r="Q265" s="46"/>
    </row>
    <row r="266" spans="1:17">
      <c r="A266" s="98"/>
      <c r="B266" s="442"/>
      <c r="C266" s="540"/>
      <c r="D266" s="166"/>
      <c r="E266" s="166"/>
      <c r="F266" s="87"/>
      <c r="G266" s="87"/>
      <c r="H266" s="521"/>
      <c r="I266" s="562"/>
      <c r="J266" s="89"/>
      <c r="K266" s="89"/>
      <c r="L266" s="249"/>
      <c r="M266" s="1073"/>
      <c r="N266" s="250"/>
      <c r="O266" s="251"/>
      <c r="P266" s="252"/>
      <c r="Q266" s="46"/>
    </row>
    <row r="267" spans="1:17">
      <c r="A267" s="98"/>
      <c r="B267" s="442"/>
      <c r="C267" s="540"/>
      <c r="D267" s="166"/>
      <c r="E267" s="166"/>
      <c r="F267" s="87"/>
      <c r="G267" s="87"/>
      <c r="H267" s="521"/>
      <c r="I267" s="562"/>
      <c r="J267" s="89"/>
      <c r="K267" s="89"/>
      <c r="L267" s="249"/>
      <c r="M267" s="1073"/>
      <c r="N267" s="250"/>
      <c r="O267" s="251"/>
      <c r="P267" s="252"/>
      <c r="Q267" s="46"/>
    </row>
    <row r="268" spans="1:17">
      <c r="A268" s="98"/>
      <c r="B268" s="442"/>
      <c r="C268" s="540"/>
      <c r="D268" s="166"/>
      <c r="E268" s="166"/>
      <c r="F268" s="87"/>
      <c r="G268" s="87"/>
      <c r="H268" s="521"/>
      <c r="I268" s="562"/>
      <c r="J268" s="89"/>
      <c r="K268" s="89"/>
      <c r="L268" s="249"/>
      <c r="M268" s="1073"/>
      <c r="N268" s="250"/>
      <c r="O268" s="251"/>
      <c r="P268" s="252"/>
      <c r="Q268" s="46"/>
    </row>
    <row r="269" spans="1:17">
      <c r="A269" s="98"/>
      <c r="B269" s="442"/>
      <c r="C269" s="540"/>
      <c r="D269" s="166"/>
      <c r="E269" s="166"/>
      <c r="F269" s="87"/>
      <c r="G269" s="87"/>
      <c r="H269" s="521"/>
      <c r="I269" s="562"/>
      <c r="J269" s="89"/>
      <c r="K269" s="89"/>
      <c r="L269" s="249"/>
      <c r="M269" s="1073"/>
      <c r="N269" s="250"/>
      <c r="O269" s="251"/>
      <c r="P269" s="252"/>
      <c r="Q269" s="46"/>
    </row>
    <row r="270" spans="1:17">
      <c r="A270" s="98"/>
      <c r="B270" s="442"/>
      <c r="C270" s="540"/>
      <c r="D270" s="166"/>
      <c r="E270" s="166"/>
      <c r="F270" s="87"/>
      <c r="G270" s="87"/>
      <c r="H270" s="521"/>
      <c r="I270" s="562"/>
      <c r="J270" s="89"/>
      <c r="K270" s="89"/>
      <c r="L270" s="249"/>
      <c r="M270" s="1073"/>
      <c r="N270" s="250"/>
      <c r="O270" s="251"/>
      <c r="P270" s="252"/>
      <c r="Q270" s="46"/>
    </row>
    <row r="271" spans="1:17">
      <c r="A271" s="98"/>
      <c r="B271" s="442"/>
      <c r="C271" s="540"/>
      <c r="D271" s="166"/>
      <c r="E271" s="166"/>
      <c r="F271" s="87"/>
      <c r="G271" s="87"/>
      <c r="H271" s="521"/>
      <c r="I271" s="562"/>
      <c r="J271" s="89"/>
      <c r="K271" s="89"/>
      <c r="L271" s="249"/>
      <c r="M271" s="1073"/>
      <c r="N271" s="250"/>
      <c r="O271" s="251"/>
      <c r="P271" s="252"/>
      <c r="Q271" s="46"/>
    </row>
    <row r="272" spans="1:17">
      <c r="A272" s="98"/>
      <c r="B272" s="442"/>
      <c r="C272" s="540"/>
      <c r="D272" s="166"/>
      <c r="E272" s="166"/>
      <c r="F272" s="87"/>
      <c r="G272" s="87"/>
      <c r="H272" s="521"/>
      <c r="I272" s="562"/>
      <c r="J272" s="89"/>
      <c r="K272" s="89"/>
      <c r="L272" s="249"/>
      <c r="M272" s="1073"/>
      <c r="N272" s="250"/>
      <c r="O272" s="251"/>
      <c r="P272" s="252"/>
      <c r="Q272" s="46"/>
    </row>
    <row r="273" spans="1:17">
      <c r="A273" s="98"/>
      <c r="B273" s="442"/>
      <c r="C273" s="540"/>
      <c r="D273" s="166"/>
      <c r="E273" s="166"/>
      <c r="F273" s="87"/>
      <c r="G273" s="87"/>
      <c r="H273" s="521"/>
      <c r="I273" s="562"/>
      <c r="J273" s="89"/>
      <c r="K273" s="89"/>
      <c r="L273" s="249"/>
      <c r="M273" s="1073"/>
      <c r="N273" s="250"/>
      <c r="O273" s="251"/>
      <c r="P273" s="252"/>
      <c r="Q273" s="46"/>
    </row>
    <row r="274" spans="1:17">
      <c r="A274" s="98"/>
      <c r="B274" s="442"/>
      <c r="C274" s="540"/>
      <c r="D274" s="166"/>
      <c r="E274" s="166"/>
      <c r="F274" s="87"/>
      <c r="G274" s="87"/>
      <c r="H274" s="521"/>
      <c r="I274" s="562"/>
      <c r="J274" s="89"/>
      <c r="K274" s="89"/>
      <c r="L274" s="249"/>
      <c r="M274" s="1073"/>
      <c r="N274" s="250"/>
      <c r="O274" s="251"/>
      <c r="P274" s="252"/>
      <c r="Q274" s="46"/>
    </row>
    <row r="275" spans="1:17">
      <c r="A275" s="98"/>
      <c r="B275" s="442"/>
      <c r="C275" s="540"/>
      <c r="D275" s="166"/>
      <c r="E275" s="166"/>
      <c r="F275" s="87"/>
      <c r="G275" s="87"/>
      <c r="H275" s="521"/>
      <c r="I275" s="562"/>
      <c r="J275" s="89"/>
      <c r="K275" s="89"/>
      <c r="L275" s="249"/>
      <c r="M275" s="1073"/>
      <c r="N275" s="250"/>
      <c r="O275" s="251"/>
      <c r="P275" s="252"/>
      <c r="Q275" s="46"/>
    </row>
    <row r="276" spans="1:17">
      <c r="A276" s="98"/>
      <c r="B276" s="442"/>
      <c r="C276" s="540"/>
      <c r="D276" s="166"/>
      <c r="E276" s="166"/>
      <c r="F276" s="87"/>
      <c r="G276" s="87"/>
      <c r="H276" s="521"/>
      <c r="I276" s="562"/>
      <c r="J276" s="89"/>
      <c r="K276" s="89"/>
      <c r="L276" s="249"/>
      <c r="M276" s="1073"/>
      <c r="N276" s="250"/>
      <c r="O276" s="251"/>
      <c r="P276" s="252"/>
      <c r="Q276" s="46"/>
    </row>
    <row r="277" spans="1:17">
      <c r="A277" s="98"/>
      <c r="B277" s="442"/>
      <c r="C277" s="540"/>
      <c r="D277" s="166"/>
      <c r="E277" s="166"/>
      <c r="F277" s="87"/>
      <c r="G277" s="87"/>
      <c r="H277" s="521"/>
      <c r="I277" s="562"/>
      <c r="J277" s="89"/>
      <c r="K277" s="89"/>
      <c r="L277" s="249"/>
      <c r="M277" s="1073"/>
      <c r="N277" s="250"/>
      <c r="O277" s="251"/>
      <c r="P277" s="252"/>
      <c r="Q277" s="46"/>
    </row>
    <row r="278" spans="1:17">
      <c r="A278" s="98"/>
      <c r="B278" s="442"/>
      <c r="C278" s="540"/>
      <c r="D278" s="166"/>
      <c r="E278" s="166"/>
      <c r="F278" s="87"/>
      <c r="G278" s="87"/>
      <c r="H278" s="521"/>
      <c r="I278" s="562"/>
      <c r="J278" s="89"/>
      <c r="K278" s="89"/>
      <c r="L278" s="249"/>
      <c r="M278" s="1073"/>
      <c r="N278" s="250"/>
      <c r="O278" s="251"/>
      <c r="P278" s="252"/>
      <c r="Q278" s="46"/>
    </row>
    <row r="279" spans="1:17">
      <c r="A279" s="98"/>
      <c r="B279" s="442"/>
      <c r="C279" s="540"/>
      <c r="D279" s="166"/>
      <c r="E279" s="166"/>
      <c r="F279" s="87"/>
      <c r="G279" s="87"/>
      <c r="H279" s="521"/>
      <c r="I279" s="562"/>
      <c r="J279" s="89"/>
      <c r="K279" s="89"/>
      <c r="L279" s="249"/>
      <c r="M279" s="1073"/>
      <c r="N279" s="250"/>
      <c r="O279" s="251"/>
      <c r="P279" s="252"/>
      <c r="Q279" s="46"/>
    </row>
    <row r="280" spans="1:17">
      <c r="A280" s="98"/>
      <c r="B280" s="442"/>
      <c r="C280" s="540"/>
      <c r="D280" s="166"/>
      <c r="E280" s="166"/>
      <c r="F280" s="87"/>
      <c r="G280" s="87"/>
      <c r="H280" s="521"/>
      <c r="I280" s="562"/>
      <c r="J280" s="89"/>
      <c r="K280" s="89"/>
      <c r="L280" s="249"/>
      <c r="M280" s="1073"/>
      <c r="N280" s="250"/>
      <c r="O280" s="251"/>
      <c r="P280" s="252"/>
      <c r="Q280" s="46"/>
    </row>
    <row r="281" spans="1:17">
      <c r="A281" s="98"/>
      <c r="B281" s="442"/>
      <c r="C281" s="540"/>
      <c r="D281" s="166"/>
      <c r="E281" s="166"/>
      <c r="F281" s="87"/>
      <c r="G281" s="87"/>
      <c r="H281" s="521"/>
      <c r="I281" s="562"/>
      <c r="J281" s="89"/>
      <c r="K281" s="89"/>
      <c r="L281" s="249"/>
      <c r="M281" s="1073"/>
      <c r="N281" s="250"/>
      <c r="O281" s="251"/>
      <c r="P281" s="252"/>
      <c r="Q281" s="46"/>
    </row>
    <row r="282" spans="1:17">
      <c r="A282" s="98"/>
      <c r="B282" s="442"/>
      <c r="C282" s="540"/>
      <c r="D282" s="166"/>
      <c r="E282" s="166"/>
      <c r="F282" s="87"/>
      <c r="G282" s="87"/>
      <c r="H282" s="521"/>
      <c r="I282" s="562"/>
      <c r="J282" s="89"/>
      <c r="K282" s="89"/>
      <c r="L282" s="249"/>
      <c r="M282" s="1073"/>
      <c r="N282" s="250"/>
      <c r="O282" s="251"/>
      <c r="P282" s="252"/>
      <c r="Q282" s="46"/>
    </row>
    <row r="283" spans="1:17">
      <c r="A283" s="98"/>
      <c r="B283" s="442"/>
      <c r="C283" s="540"/>
      <c r="D283" s="166"/>
      <c r="E283" s="166"/>
      <c r="F283" s="87"/>
      <c r="G283" s="87"/>
      <c r="H283" s="521"/>
      <c r="I283" s="562"/>
      <c r="J283" s="89"/>
      <c r="K283" s="89"/>
      <c r="L283" s="249"/>
      <c r="M283" s="1073"/>
      <c r="N283" s="250"/>
      <c r="O283" s="251"/>
      <c r="P283" s="252"/>
      <c r="Q283" s="46"/>
    </row>
    <row r="284" spans="1:17">
      <c r="A284" s="98"/>
      <c r="B284" s="442"/>
      <c r="C284" s="540"/>
      <c r="D284" s="166"/>
      <c r="E284" s="166"/>
      <c r="F284" s="87"/>
      <c r="G284" s="87"/>
      <c r="H284" s="521"/>
      <c r="I284" s="562"/>
      <c r="J284" s="89"/>
      <c r="K284" s="89"/>
      <c r="L284" s="249"/>
      <c r="M284" s="1073"/>
      <c r="N284" s="250"/>
      <c r="O284" s="251"/>
      <c r="P284" s="252"/>
      <c r="Q284" s="46"/>
    </row>
    <row r="285" spans="1:17">
      <c r="A285" s="98"/>
      <c r="B285" s="442"/>
      <c r="C285" s="540"/>
      <c r="D285" s="166"/>
      <c r="E285" s="166"/>
      <c r="F285" s="87"/>
      <c r="G285" s="87"/>
      <c r="H285" s="521"/>
      <c r="I285" s="562"/>
      <c r="J285" s="89"/>
      <c r="K285" s="89"/>
      <c r="L285" s="249"/>
      <c r="M285" s="1073"/>
      <c r="N285" s="250"/>
      <c r="O285" s="251"/>
      <c r="P285" s="252"/>
      <c r="Q285" s="46"/>
    </row>
    <row r="286" spans="1:17">
      <c r="A286" s="98"/>
      <c r="B286" s="442"/>
      <c r="C286" s="540"/>
      <c r="D286" s="166"/>
      <c r="E286" s="166"/>
      <c r="F286" s="87"/>
      <c r="G286" s="87"/>
      <c r="H286" s="521"/>
      <c r="I286" s="562"/>
      <c r="J286" s="89"/>
      <c r="K286" s="89"/>
      <c r="L286" s="249"/>
      <c r="M286" s="1073"/>
      <c r="N286" s="250"/>
      <c r="O286" s="251"/>
      <c r="P286" s="252"/>
      <c r="Q286" s="46"/>
    </row>
    <row r="287" spans="1:17">
      <c r="A287" s="98"/>
      <c r="B287" s="442"/>
      <c r="C287" s="540"/>
      <c r="D287" s="166"/>
      <c r="E287" s="166"/>
      <c r="F287" s="87"/>
      <c r="G287" s="87"/>
      <c r="H287" s="521"/>
      <c r="I287" s="562"/>
      <c r="J287" s="89"/>
      <c r="K287" s="89"/>
      <c r="L287" s="249"/>
      <c r="M287" s="1073"/>
      <c r="N287" s="250"/>
      <c r="O287" s="251"/>
      <c r="P287" s="252"/>
      <c r="Q287" s="46"/>
    </row>
    <row r="288" spans="1:17">
      <c r="A288" s="98"/>
      <c r="B288" s="442"/>
      <c r="C288" s="540"/>
      <c r="D288" s="166"/>
      <c r="E288" s="166"/>
      <c r="F288" s="87"/>
      <c r="G288" s="87"/>
      <c r="H288" s="521"/>
      <c r="I288" s="562"/>
      <c r="J288" s="89"/>
      <c r="K288" s="89"/>
      <c r="L288" s="249"/>
      <c r="M288" s="1073"/>
      <c r="N288" s="250"/>
      <c r="O288" s="251"/>
      <c r="P288" s="252"/>
      <c r="Q288" s="46"/>
    </row>
    <row r="289" spans="1:17">
      <c r="A289" s="98"/>
      <c r="B289" s="442"/>
      <c r="C289" s="540"/>
      <c r="D289" s="166"/>
      <c r="E289" s="166"/>
      <c r="F289" s="87"/>
      <c r="G289" s="87"/>
      <c r="H289" s="521"/>
      <c r="I289" s="562"/>
      <c r="J289" s="89"/>
      <c r="K289" s="89"/>
      <c r="L289" s="249"/>
      <c r="M289" s="1073"/>
      <c r="N289" s="250"/>
      <c r="O289" s="251"/>
      <c r="P289" s="252"/>
      <c r="Q289" s="46"/>
    </row>
    <row r="290" spans="1:17">
      <c r="A290" s="98"/>
      <c r="B290" s="442"/>
      <c r="C290" s="540"/>
      <c r="D290" s="166"/>
      <c r="E290" s="166"/>
      <c r="F290" s="87"/>
      <c r="G290" s="87"/>
      <c r="H290" s="521"/>
      <c r="I290" s="562"/>
      <c r="J290" s="89"/>
      <c r="K290" s="89"/>
      <c r="L290" s="249"/>
      <c r="M290" s="1073"/>
      <c r="N290" s="250"/>
      <c r="O290" s="251"/>
      <c r="P290" s="252"/>
      <c r="Q290" s="46"/>
    </row>
    <row r="291" spans="1:17">
      <c r="A291" s="98"/>
      <c r="B291" s="442"/>
      <c r="C291" s="540"/>
      <c r="D291" s="166"/>
      <c r="E291" s="166"/>
      <c r="F291" s="87"/>
      <c r="G291" s="87"/>
      <c r="H291" s="521"/>
      <c r="I291" s="562"/>
      <c r="J291" s="89"/>
      <c r="K291" s="89"/>
      <c r="L291" s="249"/>
      <c r="M291" s="1073"/>
      <c r="N291" s="250"/>
      <c r="O291" s="251"/>
      <c r="P291" s="252"/>
      <c r="Q291" s="46"/>
    </row>
    <row r="292" spans="1:17">
      <c r="A292" s="98"/>
      <c r="B292" s="442"/>
      <c r="C292" s="540"/>
      <c r="D292" s="166"/>
      <c r="E292" s="166"/>
      <c r="F292" s="87"/>
      <c r="G292" s="87"/>
      <c r="H292" s="521"/>
      <c r="I292" s="562"/>
      <c r="J292" s="89"/>
      <c r="K292" s="89"/>
      <c r="L292" s="249"/>
      <c r="M292" s="1073"/>
      <c r="N292" s="250"/>
      <c r="O292" s="251"/>
      <c r="P292" s="252"/>
      <c r="Q292" s="46"/>
    </row>
    <row r="293" spans="1:17">
      <c r="A293" s="98"/>
      <c r="B293" s="442"/>
      <c r="C293" s="540"/>
      <c r="D293" s="166"/>
      <c r="E293" s="166"/>
      <c r="F293" s="87"/>
      <c r="G293" s="87"/>
      <c r="H293" s="521"/>
      <c r="I293" s="562"/>
      <c r="J293" s="89"/>
      <c r="K293" s="89"/>
      <c r="L293" s="249"/>
      <c r="M293" s="1073"/>
      <c r="N293" s="250"/>
      <c r="O293" s="251"/>
      <c r="P293" s="252"/>
      <c r="Q293" s="46"/>
    </row>
    <row r="294" spans="1:17">
      <c r="A294" s="98"/>
      <c r="B294" s="442"/>
      <c r="C294" s="540"/>
      <c r="D294" s="166"/>
      <c r="E294" s="166"/>
      <c r="F294" s="87"/>
      <c r="G294" s="87"/>
      <c r="H294" s="521"/>
      <c r="I294" s="562"/>
      <c r="J294" s="89"/>
      <c r="K294" s="89"/>
      <c r="L294" s="249"/>
      <c r="M294" s="1073"/>
      <c r="N294" s="250"/>
      <c r="O294" s="251"/>
      <c r="P294" s="252"/>
      <c r="Q294" s="46"/>
    </row>
    <row r="295" spans="1:17">
      <c r="A295" s="98"/>
      <c r="B295" s="442"/>
      <c r="C295" s="540"/>
      <c r="D295" s="166"/>
      <c r="E295" s="166"/>
      <c r="F295" s="87"/>
      <c r="G295" s="87"/>
      <c r="H295" s="521"/>
      <c r="I295" s="562"/>
      <c r="J295" s="89"/>
      <c r="K295" s="89"/>
      <c r="L295" s="249"/>
      <c r="M295" s="1073"/>
      <c r="N295" s="250"/>
      <c r="O295" s="251"/>
      <c r="P295" s="252"/>
      <c r="Q295" s="46"/>
    </row>
    <row r="296" spans="1:17">
      <c r="A296" s="98"/>
      <c r="B296" s="442"/>
      <c r="C296" s="540"/>
      <c r="D296" s="166"/>
      <c r="E296" s="166"/>
      <c r="F296" s="87"/>
      <c r="G296" s="87"/>
      <c r="H296" s="521"/>
      <c r="I296" s="562"/>
      <c r="J296" s="89"/>
      <c r="K296" s="89"/>
      <c r="L296" s="249"/>
      <c r="M296" s="1073"/>
      <c r="N296" s="250"/>
      <c r="O296" s="251"/>
      <c r="P296" s="252"/>
      <c r="Q296" s="46"/>
    </row>
    <row r="297" spans="1:17">
      <c r="A297" s="98"/>
      <c r="B297" s="442"/>
      <c r="C297" s="540"/>
      <c r="D297" s="166"/>
      <c r="E297" s="166"/>
      <c r="F297" s="87"/>
      <c r="G297" s="87"/>
      <c r="H297" s="521"/>
      <c r="I297" s="562"/>
      <c r="J297" s="89"/>
      <c r="K297" s="89"/>
      <c r="L297" s="249"/>
      <c r="M297" s="1073"/>
      <c r="N297" s="250"/>
      <c r="O297" s="251"/>
      <c r="P297" s="252"/>
      <c r="Q297" s="46"/>
    </row>
    <row r="298" spans="1:17">
      <c r="A298" s="98"/>
      <c r="B298" s="442"/>
      <c r="C298" s="540"/>
      <c r="D298" s="166"/>
      <c r="E298" s="166"/>
      <c r="F298" s="87"/>
      <c r="G298" s="87"/>
      <c r="H298" s="521"/>
      <c r="I298" s="562"/>
      <c r="J298" s="89"/>
      <c r="K298" s="89"/>
      <c r="L298" s="249"/>
      <c r="M298" s="1073"/>
      <c r="N298" s="250"/>
      <c r="O298" s="251"/>
      <c r="P298" s="252"/>
      <c r="Q298" s="46"/>
    </row>
    <row r="299" spans="1:17">
      <c r="A299" s="98"/>
      <c r="B299" s="442"/>
      <c r="C299" s="540"/>
      <c r="D299" s="166"/>
      <c r="E299" s="166"/>
      <c r="F299" s="87"/>
      <c r="G299" s="87"/>
      <c r="H299" s="521"/>
      <c r="I299" s="562"/>
      <c r="J299" s="89"/>
      <c r="K299" s="89"/>
      <c r="L299" s="249"/>
      <c r="M299" s="1073"/>
      <c r="N299" s="250"/>
      <c r="O299" s="251"/>
      <c r="P299" s="252"/>
      <c r="Q299" s="46"/>
    </row>
    <row r="300" spans="1:17">
      <c r="A300" s="98"/>
      <c r="B300" s="442"/>
      <c r="C300" s="540"/>
      <c r="D300" s="166"/>
      <c r="E300" s="166"/>
      <c r="F300" s="87"/>
      <c r="G300" s="87"/>
      <c r="H300" s="521"/>
      <c r="I300" s="562"/>
      <c r="J300" s="89"/>
      <c r="K300" s="89"/>
      <c r="L300" s="249"/>
      <c r="M300" s="1073"/>
      <c r="N300" s="250"/>
      <c r="O300" s="251"/>
      <c r="P300" s="252"/>
      <c r="Q300" s="46"/>
    </row>
    <row r="301" spans="1:17">
      <c r="A301" s="98"/>
      <c r="B301" s="442"/>
      <c r="C301" s="540"/>
      <c r="D301" s="166"/>
      <c r="E301" s="166"/>
      <c r="F301" s="87"/>
      <c r="G301" s="87"/>
      <c r="H301" s="521"/>
      <c r="I301" s="562"/>
      <c r="J301" s="89"/>
      <c r="K301" s="89"/>
      <c r="L301" s="249"/>
      <c r="M301" s="1073"/>
      <c r="N301" s="250"/>
      <c r="O301" s="251"/>
      <c r="P301" s="252"/>
      <c r="Q301" s="46"/>
    </row>
    <row r="302" spans="1:17">
      <c r="A302" s="98"/>
      <c r="B302" s="442"/>
      <c r="C302" s="540"/>
      <c r="D302" s="166"/>
      <c r="E302" s="166"/>
      <c r="F302" s="87"/>
      <c r="G302" s="87"/>
      <c r="H302" s="521"/>
      <c r="I302" s="562"/>
      <c r="J302" s="89"/>
      <c r="K302" s="89"/>
      <c r="L302" s="249"/>
      <c r="M302" s="1073"/>
      <c r="N302" s="250"/>
      <c r="O302" s="251"/>
      <c r="P302" s="252"/>
      <c r="Q302" s="46"/>
    </row>
    <row r="303" spans="1:17">
      <c r="A303" s="98"/>
      <c r="B303" s="442"/>
      <c r="C303" s="540"/>
      <c r="D303" s="166"/>
      <c r="E303" s="166"/>
      <c r="F303" s="87"/>
      <c r="G303" s="87"/>
      <c r="H303" s="521"/>
      <c r="I303" s="562"/>
      <c r="J303" s="89"/>
      <c r="K303" s="89"/>
      <c r="L303" s="249"/>
      <c r="M303" s="1073"/>
      <c r="N303" s="250"/>
      <c r="O303" s="251"/>
      <c r="P303" s="252"/>
      <c r="Q303" s="46"/>
    </row>
    <row r="304" spans="1:17">
      <c r="A304" s="98"/>
      <c r="B304" s="442"/>
      <c r="C304" s="540"/>
      <c r="D304" s="166"/>
      <c r="E304" s="166"/>
      <c r="F304" s="87"/>
      <c r="G304" s="87"/>
      <c r="H304" s="521"/>
      <c r="I304" s="562"/>
      <c r="J304" s="89"/>
      <c r="K304" s="89"/>
      <c r="L304" s="249"/>
      <c r="M304" s="1073"/>
      <c r="N304" s="250"/>
      <c r="O304" s="251"/>
      <c r="P304" s="252"/>
      <c r="Q304" s="46"/>
    </row>
    <row r="305" spans="1:17">
      <c r="A305" s="98"/>
      <c r="B305" s="442"/>
      <c r="C305" s="540"/>
      <c r="D305" s="166"/>
      <c r="E305" s="166"/>
      <c r="F305" s="87"/>
      <c r="G305" s="87"/>
      <c r="H305" s="521"/>
      <c r="I305" s="562"/>
      <c r="J305" s="89"/>
      <c r="K305" s="89"/>
      <c r="L305" s="249"/>
      <c r="M305" s="1073"/>
      <c r="N305" s="250"/>
      <c r="O305" s="251"/>
      <c r="P305" s="252"/>
      <c r="Q305" s="46"/>
    </row>
    <row r="306" spans="1:17">
      <c r="A306" s="98"/>
      <c r="B306" s="442"/>
      <c r="C306" s="540"/>
      <c r="D306" s="166"/>
      <c r="E306" s="166"/>
      <c r="F306" s="87"/>
      <c r="G306" s="87"/>
      <c r="H306" s="521"/>
      <c r="I306" s="562"/>
      <c r="J306" s="89"/>
      <c r="K306" s="89"/>
      <c r="L306" s="249"/>
      <c r="M306" s="1073"/>
      <c r="N306" s="250"/>
      <c r="O306" s="251"/>
      <c r="P306" s="252"/>
      <c r="Q306" s="46"/>
    </row>
    <row r="307" spans="1:17">
      <c r="A307" s="98"/>
      <c r="B307" s="442"/>
      <c r="C307" s="540"/>
      <c r="D307" s="166"/>
      <c r="E307" s="166"/>
      <c r="F307" s="87"/>
      <c r="G307" s="87"/>
      <c r="H307" s="521"/>
      <c r="I307" s="562"/>
      <c r="J307" s="89"/>
      <c r="K307" s="89"/>
      <c r="L307" s="249"/>
      <c r="M307" s="1073"/>
      <c r="N307" s="250"/>
      <c r="O307" s="251"/>
      <c r="P307" s="252"/>
      <c r="Q307" s="46"/>
    </row>
    <row r="308" spans="1:17">
      <c r="A308" s="98"/>
      <c r="B308" s="442"/>
      <c r="C308" s="540"/>
      <c r="D308" s="166"/>
      <c r="E308" s="166"/>
      <c r="F308" s="87"/>
      <c r="G308" s="87"/>
      <c r="H308" s="521"/>
      <c r="I308" s="562"/>
      <c r="J308" s="89"/>
      <c r="K308" s="89"/>
      <c r="L308" s="249"/>
      <c r="M308" s="1073"/>
      <c r="N308" s="250"/>
      <c r="O308" s="251"/>
      <c r="P308" s="252"/>
      <c r="Q308" s="46"/>
    </row>
    <row r="309" spans="1:17">
      <c r="A309" s="98"/>
      <c r="B309" s="442"/>
      <c r="C309" s="540"/>
      <c r="D309" s="166"/>
      <c r="E309" s="166"/>
      <c r="F309" s="87"/>
      <c r="G309" s="87"/>
      <c r="H309" s="521"/>
      <c r="I309" s="562"/>
      <c r="J309" s="89"/>
      <c r="K309" s="89"/>
      <c r="L309" s="249"/>
      <c r="M309" s="1073"/>
      <c r="N309" s="250"/>
      <c r="O309" s="251"/>
      <c r="P309" s="252"/>
      <c r="Q309" s="46"/>
    </row>
    <row r="310" spans="1:17">
      <c r="A310" s="98"/>
      <c r="B310" s="442"/>
      <c r="C310" s="540"/>
      <c r="D310" s="166"/>
      <c r="E310" s="166"/>
      <c r="F310" s="87"/>
      <c r="G310" s="87"/>
      <c r="H310" s="521"/>
      <c r="I310" s="562"/>
      <c r="J310" s="89"/>
      <c r="K310" s="89"/>
      <c r="L310" s="249"/>
      <c r="M310" s="1073"/>
      <c r="N310" s="250"/>
      <c r="O310" s="251"/>
      <c r="P310" s="252"/>
      <c r="Q310" s="46"/>
    </row>
    <row r="311" spans="1:17">
      <c r="A311" s="98"/>
      <c r="B311" s="442"/>
      <c r="C311" s="540"/>
      <c r="D311" s="166"/>
      <c r="E311" s="166"/>
      <c r="F311" s="87"/>
      <c r="G311" s="87"/>
      <c r="H311" s="521"/>
      <c r="I311" s="562"/>
      <c r="J311" s="89"/>
      <c r="K311" s="89"/>
      <c r="L311" s="249"/>
      <c r="M311" s="1073"/>
      <c r="N311" s="250"/>
      <c r="O311" s="251"/>
      <c r="P311" s="252"/>
      <c r="Q311" s="46"/>
    </row>
    <row r="312" spans="1:17">
      <c r="A312" s="98"/>
      <c r="B312" s="442"/>
      <c r="C312" s="540"/>
      <c r="D312" s="166"/>
      <c r="E312" s="166"/>
      <c r="F312" s="87"/>
      <c r="G312" s="87"/>
      <c r="H312" s="521"/>
      <c r="I312" s="562"/>
      <c r="J312" s="89"/>
      <c r="K312" s="89"/>
      <c r="L312" s="249"/>
      <c r="M312" s="1073"/>
      <c r="N312" s="250"/>
      <c r="O312" s="251"/>
      <c r="P312" s="252"/>
      <c r="Q312" s="46"/>
    </row>
    <row r="313" spans="1:17">
      <c r="A313" s="98"/>
      <c r="B313" s="442"/>
      <c r="C313" s="540"/>
      <c r="D313" s="166"/>
      <c r="E313" s="166"/>
      <c r="F313" s="87"/>
      <c r="G313" s="87"/>
      <c r="H313" s="521"/>
      <c r="I313" s="562"/>
      <c r="J313" s="89"/>
      <c r="K313" s="89"/>
      <c r="L313" s="249"/>
      <c r="M313" s="1073"/>
      <c r="N313" s="250"/>
      <c r="O313" s="251"/>
      <c r="P313" s="252"/>
      <c r="Q313" s="46"/>
    </row>
    <row r="314" spans="1:17">
      <c r="A314" s="98"/>
      <c r="B314" s="442"/>
      <c r="C314" s="540"/>
      <c r="D314" s="166"/>
      <c r="E314" s="166"/>
      <c r="F314" s="87"/>
      <c r="G314" s="87"/>
      <c r="H314" s="521"/>
      <c r="I314" s="562"/>
      <c r="J314" s="89"/>
      <c r="K314" s="89"/>
      <c r="L314" s="249"/>
      <c r="M314" s="1073"/>
      <c r="N314" s="250"/>
      <c r="O314" s="251"/>
      <c r="P314" s="252"/>
      <c r="Q314" s="46"/>
    </row>
    <row r="315" spans="1:17">
      <c r="A315" s="98"/>
      <c r="B315" s="442"/>
      <c r="C315" s="540"/>
      <c r="D315" s="166"/>
      <c r="E315" s="166"/>
      <c r="F315" s="87"/>
      <c r="G315" s="87"/>
      <c r="H315" s="521"/>
      <c r="I315" s="562"/>
      <c r="J315" s="89"/>
      <c r="K315" s="89"/>
      <c r="L315" s="249"/>
      <c r="M315" s="1073"/>
      <c r="N315" s="250"/>
      <c r="O315" s="251"/>
      <c r="P315" s="252"/>
      <c r="Q315" s="46"/>
    </row>
    <row r="316" spans="1:17">
      <c r="A316" s="98"/>
      <c r="B316" s="442"/>
      <c r="C316" s="540"/>
      <c r="D316" s="166"/>
      <c r="E316" s="166"/>
      <c r="F316" s="87"/>
      <c r="G316" s="87"/>
      <c r="H316" s="521"/>
      <c r="I316" s="562"/>
      <c r="J316" s="89"/>
      <c r="K316" s="89"/>
      <c r="L316" s="249"/>
      <c r="M316" s="1073"/>
      <c r="N316" s="250"/>
      <c r="O316" s="251"/>
      <c r="P316" s="252"/>
      <c r="Q316" s="46"/>
    </row>
    <row r="317" spans="1:17">
      <c r="A317" s="98"/>
      <c r="B317" s="442"/>
      <c r="C317" s="540"/>
      <c r="D317" s="166"/>
      <c r="E317" s="166"/>
      <c r="F317" s="87"/>
      <c r="G317" s="87"/>
      <c r="H317" s="521"/>
      <c r="I317" s="562"/>
      <c r="J317" s="89"/>
      <c r="K317" s="89"/>
      <c r="L317" s="249"/>
      <c r="M317" s="1073"/>
      <c r="N317" s="250"/>
      <c r="O317" s="251"/>
      <c r="P317" s="252"/>
      <c r="Q317" s="46"/>
    </row>
    <row r="318" spans="1:17">
      <c r="A318" s="98"/>
      <c r="B318" s="442"/>
      <c r="C318" s="540"/>
      <c r="D318" s="166"/>
      <c r="E318" s="166"/>
      <c r="F318" s="87"/>
      <c r="G318" s="87"/>
      <c r="H318" s="521"/>
      <c r="I318" s="562"/>
      <c r="J318" s="89"/>
      <c r="K318" s="89"/>
      <c r="L318" s="249"/>
      <c r="M318" s="1073"/>
      <c r="N318" s="250"/>
      <c r="O318" s="251"/>
      <c r="P318" s="252"/>
      <c r="Q318" s="46"/>
    </row>
    <row r="319" spans="1:17">
      <c r="A319" s="98"/>
      <c r="B319" s="442"/>
      <c r="C319" s="540"/>
      <c r="D319" s="166"/>
      <c r="E319" s="166"/>
      <c r="F319" s="87"/>
      <c r="G319" s="87"/>
      <c r="H319" s="521"/>
      <c r="I319" s="562"/>
      <c r="J319" s="89"/>
      <c r="K319" s="89"/>
      <c r="L319" s="249"/>
      <c r="M319" s="1073"/>
      <c r="N319" s="250"/>
      <c r="O319" s="251"/>
      <c r="P319" s="252"/>
      <c r="Q319" s="46"/>
    </row>
    <row r="320" spans="1:17">
      <c r="A320" s="98"/>
      <c r="B320" s="442"/>
      <c r="C320" s="540"/>
      <c r="D320" s="166"/>
      <c r="E320" s="166"/>
      <c r="F320" s="87"/>
      <c r="G320" s="87"/>
      <c r="H320" s="521"/>
      <c r="I320" s="562"/>
      <c r="J320" s="89"/>
      <c r="K320" s="89"/>
      <c r="L320" s="249"/>
      <c r="M320" s="1073"/>
      <c r="N320" s="250"/>
      <c r="O320" s="251"/>
      <c r="P320" s="252"/>
      <c r="Q320" s="46"/>
    </row>
    <row r="321" spans="1:17">
      <c r="A321" s="98"/>
      <c r="B321" s="442"/>
      <c r="C321" s="540"/>
      <c r="D321" s="166"/>
      <c r="E321" s="166"/>
      <c r="F321" s="87"/>
      <c r="G321" s="87"/>
      <c r="H321" s="521"/>
      <c r="I321" s="562"/>
      <c r="J321" s="89"/>
      <c r="K321" s="89"/>
      <c r="L321" s="249"/>
      <c r="M321" s="1073"/>
      <c r="N321" s="250"/>
      <c r="O321" s="251"/>
      <c r="P321" s="252"/>
      <c r="Q321" s="46"/>
    </row>
    <row r="322" spans="1:17">
      <c r="A322" s="98"/>
      <c r="B322" s="442"/>
      <c r="C322" s="540"/>
      <c r="D322" s="166"/>
      <c r="E322" s="166"/>
      <c r="F322" s="87"/>
      <c r="G322" s="87"/>
      <c r="H322" s="521"/>
      <c r="I322" s="562"/>
      <c r="J322" s="89"/>
      <c r="K322" s="89"/>
      <c r="L322" s="249"/>
      <c r="M322" s="1073"/>
      <c r="N322" s="250"/>
      <c r="O322" s="251"/>
      <c r="P322" s="252"/>
      <c r="Q322" s="46"/>
    </row>
    <row r="323" spans="1:17">
      <c r="A323" s="98"/>
      <c r="B323" s="442"/>
      <c r="C323" s="540"/>
      <c r="D323" s="166"/>
      <c r="E323" s="166"/>
      <c r="F323" s="87"/>
      <c r="G323" s="87"/>
      <c r="H323" s="521"/>
      <c r="I323" s="562"/>
      <c r="J323" s="89"/>
      <c r="K323" s="89"/>
      <c r="L323" s="249"/>
      <c r="M323" s="1073"/>
      <c r="N323" s="250"/>
      <c r="O323" s="251"/>
      <c r="P323" s="252"/>
      <c r="Q323" s="46"/>
    </row>
    <row r="324" spans="1:17">
      <c r="A324" s="98"/>
      <c r="B324" s="442"/>
      <c r="C324" s="540"/>
      <c r="D324" s="166"/>
      <c r="E324" s="166"/>
      <c r="F324" s="87"/>
      <c r="G324" s="87"/>
      <c r="H324" s="521"/>
      <c r="I324" s="562"/>
      <c r="J324" s="89"/>
      <c r="K324" s="89"/>
      <c r="L324" s="249"/>
      <c r="M324" s="1073"/>
      <c r="N324" s="250"/>
      <c r="O324" s="251"/>
      <c r="P324" s="252"/>
      <c r="Q324" s="46"/>
    </row>
    <row r="325" spans="1:17">
      <c r="A325" s="98"/>
      <c r="B325" s="442"/>
      <c r="C325" s="540"/>
      <c r="D325" s="166"/>
      <c r="E325" s="166"/>
      <c r="F325" s="87"/>
      <c r="G325" s="87"/>
      <c r="H325" s="521"/>
      <c r="I325" s="562"/>
      <c r="J325" s="89"/>
      <c r="K325" s="89"/>
      <c r="L325" s="249"/>
      <c r="M325" s="1073"/>
      <c r="N325" s="250"/>
      <c r="O325" s="251"/>
      <c r="P325" s="252"/>
      <c r="Q325" s="46"/>
    </row>
    <row r="326" spans="1:17">
      <c r="A326" s="98"/>
      <c r="B326" s="442"/>
      <c r="C326" s="540"/>
      <c r="D326" s="166"/>
      <c r="E326" s="166"/>
      <c r="F326" s="87"/>
      <c r="G326" s="87"/>
      <c r="H326" s="521"/>
      <c r="I326" s="562"/>
      <c r="J326" s="89"/>
      <c r="K326" s="89"/>
      <c r="L326" s="249"/>
      <c r="M326" s="1073"/>
      <c r="N326" s="250"/>
      <c r="O326" s="251"/>
      <c r="P326" s="252"/>
      <c r="Q326" s="46"/>
    </row>
    <row r="327" spans="1:17">
      <c r="A327" s="98"/>
      <c r="B327" s="442"/>
      <c r="C327" s="540"/>
      <c r="D327" s="166"/>
      <c r="E327" s="166"/>
      <c r="F327" s="87"/>
      <c r="G327" s="87"/>
      <c r="H327" s="521"/>
      <c r="I327" s="562"/>
      <c r="J327" s="89"/>
      <c r="K327" s="89"/>
      <c r="L327" s="249"/>
      <c r="M327" s="1073"/>
      <c r="N327" s="250"/>
      <c r="O327" s="251"/>
      <c r="P327" s="252"/>
      <c r="Q327" s="46"/>
    </row>
    <row r="328" spans="1:17">
      <c r="A328" s="98"/>
      <c r="B328" s="442"/>
      <c r="C328" s="540"/>
      <c r="D328" s="166"/>
      <c r="E328" s="166"/>
      <c r="F328" s="87"/>
      <c r="G328" s="87"/>
      <c r="H328" s="521"/>
      <c r="I328" s="562"/>
      <c r="J328" s="89"/>
      <c r="K328" s="89"/>
      <c r="L328" s="249"/>
      <c r="M328" s="1073"/>
      <c r="N328" s="250"/>
      <c r="O328" s="251"/>
      <c r="P328" s="252"/>
      <c r="Q328" s="46"/>
    </row>
    <row r="329" spans="1:17">
      <c r="A329" s="98"/>
      <c r="B329" s="442"/>
      <c r="C329" s="540"/>
      <c r="D329" s="166"/>
      <c r="E329" s="166"/>
      <c r="F329" s="87"/>
      <c r="G329" s="87"/>
      <c r="H329" s="521"/>
      <c r="I329" s="562"/>
      <c r="J329" s="89"/>
      <c r="K329" s="89"/>
      <c r="L329" s="249"/>
      <c r="M329" s="1073"/>
      <c r="N329" s="250"/>
      <c r="O329" s="251"/>
      <c r="P329" s="252"/>
      <c r="Q329" s="46"/>
    </row>
    <row r="330" spans="1:17">
      <c r="A330" s="98"/>
      <c r="B330" s="442"/>
      <c r="C330" s="540"/>
      <c r="D330" s="166"/>
      <c r="E330" s="166"/>
      <c r="F330" s="87"/>
      <c r="G330" s="87"/>
      <c r="H330" s="521"/>
      <c r="I330" s="562"/>
      <c r="J330" s="89"/>
      <c r="K330" s="89"/>
      <c r="L330" s="249"/>
      <c r="M330" s="1073"/>
      <c r="N330" s="250"/>
      <c r="O330" s="251"/>
      <c r="P330" s="252"/>
      <c r="Q330" s="46"/>
    </row>
    <row r="331" spans="1:17">
      <c r="A331" s="98"/>
      <c r="B331" s="442"/>
      <c r="C331" s="540"/>
      <c r="D331" s="166"/>
      <c r="E331" s="166"/>
      <c r="F331" s="87"/>
      <c r="G331" s="87"/>
      <c r="H331" s="521"/>
      <c r="I331" s="562"/>
      <c r="J331" s="89"/>
      <c r="K331" s="89"/>
      <c r="L331" s="249"/>
      <c r="M331" s="1073"/>
      <c r="N331" s="250"/>
      <c r="O331" s="251"/>
      <c r="P331" s="252"/>
      <c r="Q331" s="46"/>
    </row>
    <row r="332" spans="1:17">
      <c r="A332" s="98"/>
      <c r="B332" s="442"/>
      <c r="C332" s="540"/>
      <c r="D332" s="166"/>
      <c r="E332" s="166"/>
      <c r="F332" s="87"/>
      <c r="G332" s="87"/>
      <c r="H332" s="521"/>
      <c r="I332" s="562"/>
      <c r="J332" s="89"/>
      <c r="K332" s="89"/>
      <c r="L332" s="249"/>
      <c r="M332" s="1073"/>
      <c r="N332" s="250"/>
      <c r="O332" s="251"/>
      <c r="P332" s="252"/>
      <c r="Q332" s="46"/>
    </row>
    <row r="333" spans="1:17">
      <c r="A333" s="98"/>
      <c r="B333" s="442"/>
      <c r="C333" s="540"/>
      <c r="D333" s="166"/>
      <c r="E333" s="166"/>
      <c r="F333" s="87"/>
      <c r="G333" s="87"/>
      <c r="H333" s="521"/>
      <c r="I333" s="562"/>
      <c r="J333" s="89"/>
      <c r="K333" s="89"/>
      <c r="L333" s="249"/>
      <c r="M333" s="1073"/>
      <c r="N333" s="250"/>
      <c r="O333" s="251"/>
      <c r="P333" s="252"/>
      <c r="Q333" s="46"/>
    </row>
    <row r="334" spans="1:17">
      <c r="A334" s="98"/>
      <c r="B334" s="442"/>
      <c r="C334" s="540"/>
      <c r="D334" s="166"/>
      <c r="E334" s="166"/>
      <c r="F334" s="87"/>
      <c r="G334" s="87"/>
      <c r="H334" s="521"/>
      <c r="I334" s="562"/>
      <c r="J334" s="89"/>
      <c r="K334" s="89"/>
      <c r="L334" s="249"/>
      <c r="M334" s="1073"/>
      <c r="N334" s="250"/>
      <c r="O334" s="251"/>
      <c r="P334" s="252"/>
      <c r="Q334" s="46"/>
    </row>
    <row r="335" spans="1:17">
      <c r="A335" s="98"/>
      <c r="B335" s="442"/>
      <c r="C335" s="540"/>
      <c r="D335" s="166"/>
      <c r="E335" s="166"/>
      <c r="F335" s="87"/>
      <c r="G335" s="87"/>
      <c r="H335" s="521"/>
      <c r="I335" s="562"/>
      <c r="J335" s="89"/>
      <c r="K335" s="89"/>
      <c r="L335" s="249"/>
      <c r="M335" s="1073"/>
      <c r="N335" s="250"/>
      <c r="O335" s="251"/>
      <c r="P335" s="252"/>
      <c r="Q335" s="46"/>
    </row>
    <row r="336" spans="1:17">
      <c r="A336" s="98"/>
      <c r="B336" s="442"/>
      <c r="C336" s="540"/>
      <c r="D336" s="166"/>
      <c r="E336" s="166"/>
      <c r="F336" s="87"/>
      <c r="G336" s="87"/>
      <c r="H336" s="521"/>
      <c r="I336" s="562"/>
      <c r="J336" s="89"/>
      <c r="K336" s="89"/>
      <c r="L336" s="249"/>
      <c r="M336" s="1073"/>
      <c r="N336" s="250"/>
      <c r="O336" s="251"/>
      <c r="P336" s="252"/>
      <c r="Q336" s="46"/>
    </row>
    <row r="337" spans="1:17">
      <c r="A337" s="98"/>
      <c r="B337" s="442"/>
      <c r="C337" s="540"/>
      <c r="D337" s="166"/>
      <c r="E337" s="166"/>
      <c r="F337" s="87"/>
      <c r="G337" s="87"/>
      <c r="H337" s="521"/>
      <c r="I337" s="562"/>
      <c r="J337" s="89"/>
      <c r="K337" s="89"/>
      <c r="L337" s="249"/>
      <c r="M337" s="1073"/>
      <c r="N337" s="250"/>
      <c r="O337" s="251"/>
      <c r="P337" s="252"/>
      <c r="Q337" s="46"/>
    </row>
    <row r="338" spans="1:17">
      <c r="A338" s="98"/>
      <c r="B338" s="442"/>
      <c r="C338" s="540"/>
      <c r="D338" s="166"/>
      <c r="E338" s="166"/>
      <c r="F338" s="87"/>
      <c r="G338" s="87"/>
      <c r="H338" s="521"/>
      <c r="I338" s="562"/>
      <c r="J338" s="89"/>
      <c r="K338" s="89"/>
      <c r="L338" s="249"/>
      <c r="M338" s="1073"/>
      <c r="N338" s="250"/>
      <c r="O338" s="251"/>
      <c r="P338" s="252"/>
      <c r="Q338" s="46"/>
    </row>
    <row r="339" spans="1:17">
      <c r="A339" s="98"/>
      <c r="B339" s="442"/>
      <c r="C339" s="540"/>
      <c r="D339" s="166"/>
      <c r="E339" s="166"/>
      <c r="F339" s="87"/>
      <c r="G339" s="87"/>
      <c r="H339" s="521"/>
      <c r="I339" s="562"/>
      <c r="J339" s="89"/>
      <c r="K339" s="89"/>
      <c r="L339" s="249"/>
      <c r="M339" s="1073"/>
      <c r="N339" s="250"/>
      <c r="O339" s="251"/>
      <c r="P339" s="252"/>
      <c r="Q339" s="46"/>
    </row>
    <row r="340" spans="1:17">
      <c r="A340" s="98"/>
      <c r="B340" s="442"/>
      <c r="C340" s="540"/>
      <c r="D340" s="166"/>
      <c r="E340" s="166"/>
      <c r="F340" s="87"/>
      <c r="G340" s="87"/>
      <c r="H340" s="521"/>
      <c r="I340" s="562"/>
      <c r="J340" s="89"/>
      <c r="K340" s="89"/>
      <c r="L340" s="249"/>
      <c r="M340" s="1073"/>
      <c r="N340" s="250"/>
      <c r="O340" s="251"/>
      <c r="P340" s="252"/>
      <c r="Q340" s="46"/>
    </row>
    <row r="341" spans="1:17">
      <c r="A341" s="98"/>
      <c r="B341" s="442"/>
      <c r="C341" s="540"/>
      <c r="D341" s="166"/>
      <c r="E341" s="166"/>
      <c r="F341" s="87"/>
      <c r="G341" s="87"/>
      <c r="H341" s="521"/>
      <c r="I341" s="562"/>
      <c r="J341" s="89"/>
      <c r="K341" s="89"/>
      <c r="L341" s="249"/>
      <c r="M341" s="1073"/>
      <c r="N341" s="250"/>
      <c r="O341" s="251"/>
      <c r="P341" s="252"/>
      <c r="Q341" s="46"/>
    </row>
    <row r="342" spans="1:17">
      <c r="A342" s="98"/>
      <c r="B342" s="442"/>
      <c r="C342" s="540"/>
      <c r="D342" s="166"/>
      <c r="E342" s="166"/>
      <c r="F342" s="87"/>
      <c r="G342" s="87"/>
      <c r="H342" s="521"/>
      <c r="I342" s="562"/>
      <c r="J342" s="89"/>
      <c r="K342" s="89"/>
      <c r="L342" s="249"/>
      <c r="M342" s="1073"/>
      <c r="N342" s="250"/>
      <c r="O342" s="251"/>
      <c r="P342" s="252"/>
      <c r="Q342" s="46"/>
    </row>
    <row r="343" spans="1:17">
      <c r="A343" s="98"/>
      <c r="B343" s="442"/>
      <c r="C343" s="540"/>
      <c r="D343" s="166"/>
      <c r="E343" s="166"/>
      <c r="F343" s="87"/>
      <c r="G343" s="87"/>
      <c r="H343" s="521"/>
      <c r="I343" s="562"/>
      <c r="J343" s="89"/>
      <c r="K343" s="89"/>
      <c r="L343" s="249"/>
      <c r="M343" s="1073"/>
      <c r="N343" s="250"/>
      <c r="O343" s="251"/>
      <c r="P343" s="252"/>
      <c r="Q343" s="46"/>
    </row>
    <row r="344" spans="1:17">
      <c r="A344" s="98"/>
      <c r="B344" s="442"/>
      <c r="C344" s="540"/>
      <c r="D344" s="166"/>
      <c r="E344" s="166"/>
      <c r="F344" s="87"/>
      <c r="G344" s="87"/>
      <c r="H344" s="521"/>
      <c r="I344" s="562"/>
      <c r="J344" s="89"/>
      <c r="K344" s="89"/>
      <c r="L344" s="249"/>
      <c r="M344" s="1073"/>
      <c r="N344" s="250"/>
      <c r="O344" s="251"/>
      <c r="P344" s="252"/>
      <c r="Q344" s="46"/>
    </row>
    <row r="345" spans="1:17">
      <c r="A345" s="98"/>
      <c r="B345" s="442"/>
      <c r="C345" s="540"/>
      <c r="D345" s="166"/>
      <c r="E345" s="166"/>
      <c r="F345" s="87"/>
      <c r="G345" s="87"/>
      <c r="H345" s="521"/>
      <c r="I345" s="562"/>
      <c r="J345" s="89"/>
      <c r="K345" s="89"/>
      <c r="L345" s="249"/>
      <c r="M345" s="1073"/>
      <c r="N345" s="250"/>
      <c r="O345" s="251"/>
      <c r="P345" s="252"/>
      <c r="Q345" s="46"/>
    </row>
    <row r="346" spans="1:17">
      <c r="A346" s="98"/>
      <c r="B346" s="442"/>
      <c r="C346" s="540"/>
      <c r="D346" s="166"/>
      <c r="E346" s="166"/>
      <c r="F346" s="87"/>
      <c r="G346" s="87"/>
      <c r="H346" s="521"/>
      <c r="I346" s="562"/>
      <c r="J346" s="89"/>
      <c r="K346" s="89"/>
      <c r="L346" s="249"/>
      <c r="M346" s="1073"/>
      <c r="N346" s="250"/>
      <c r="O346" s="251"/>
      <c r="P346" s="252"/>
      <c r="Q346" s="46"/>
    </row>
    <row r="347" spans="1:17">
      <c r="A347" s="98"/>
      <c r="B347" s="442"/>
      <c r="C347" s="540"/>
      <c r="D347" s="166"/>
      <c r="E347" s="166"/>
      <c r="F347" s="87"/>
      <c r="G347" s="87"/>
      <c r="H347" s="521"/>
      <c r="I347" s="562"/>
      <c r="J347" s="89"/>
      <c r="K347" s="89"/>
      <c r="L347" s="249"/>
      <c r="M347" s="1073"/>
      <c r="N347" s="250"/>
      <c r="O347" s="251"/>
      <c r="P347" s="252"/>
      <c r="Q347" s="46"/>
    </row>
    <row r="348" spans="1:17">
      <c r="A348" s="98"/>
      <c r="B348" s="442"/>
      <c r="C348" s="540"/>
      <c r="D348" s="166"/>
      <c r="E348" s="166"/>
      <c r="F348" s="87"/>
      <c r="G348" s="87"/>
      <c r="H348" s="521"/>
      <c r="I348" s="562"/>
      <c r="J348" s="89"/>
      <c r="K348" s="89"/>
      <c r="L348" s="249"/>
      <c r="M348" s="1073"/>
      <c r="N348" s="250"/>
      <c r="O348" s="251"/>
      <c r="P348" s="252"/>
      <c r="Q348" s="46"/>
    </row>
    <row r="349" spans="1:17">
      <c r="A349" s="98"/>
      <c r="B349" s="442"/>
      <c r="C349" s="540"/>
      <c r="D349" s="166"/>
      <c r="E349" s="166"/>
      <c r="F349" s="87"/>
      <c r="G349" s="87"/>
      <c r="H349" s="521"/>
      <c r="I349" s="562"/>
      <c r="J349" s="89"/>
      <c r="K349" s="89"/>
      <c r="L349" s="249"/>
      <c r="M349" s="1073"/>
      <c r="N349" s="250"/>
      <c r="O349" s="251"/>
      <c r="P349" s="252"/>
      <c r="Q349" s="46"/>
    </row>
    <row r="350" spans="1:17">
      <c r="A350" s="98"/>
      <c r="B350" s="442"/>
      <c r="C350" s="540"/>
      <c r="D350" s="166"/>
      <c r="E350" s="166"/>
      <c r="F350" s="87"/>
      <c r="G350" s="87"/>
      <c r="H350" s="521"/>
      <c r="I350" s="562"/>
      <c r="J350" s="89"/>
      <c r="K350" s="89"/>
      <c r="L350" s="249"/>
      <c r="M350" s="1073"/>
      <c r="N350" s="250"/>
      <c r="O350" s="251"/>
      <c r="P350" s="252"/>
      <c r="Q350" s="46"/>
    </row>
    <row r="351" spans="1:17">
      <c r="A351" s="98"/>
      <c r="B351" s="442"/>
      <c r="C351" s="540"/>
      <c r="D351" s="166"/>
      <c r="E351" s="166"/>
      <c r="F351" s="87"/>
      <c r="G351" s="87"/>
      <c r="H351" s="521"/>
      <c r="I351" s="562"/>
      <c r="J351" s="89"/>
      <c r="K351" s="89"/>
      <c r="L351" s="249"/>
      <c r="M351" s="1073"/>
      <c r="N351" s="250"/>
      <c r="O351" s="251"/>
      <c r="P351" s="252"/>
      <c r="Q351" s="46"/>
    </row>
    <row r="352" spans="1:17">
      <c r="A352" s="98"/>
      <c r="B352" s="442"/>
      <c r="C352" s="540"/>
      <c r="D352" s="166"/>
      <c r="E352" s="166"/>
      <c r="F352" s="87"/>
      <c r="G352" s="87"/>
      <c r="H352" s="521"/>
      <c r="I352" s="562"/>
      <c r="J352" s="89"/>
      <c r="K352" s="89"/>
      <c r="L352" s="249"/>
      <c r="M352" s="1073"/>
      <c r="N352" s="250"/>
      <c r="O352" s="251"/>
      <c r="P352" s="252"/>
      <c r="Q352" s="46"/>
    </row>
    <row r="353" spans="1:17">
      <c r="A353" s="98"/>
      <c r="B353" s="442"/>
      <c r="C353" s="540"/>
      <c r="D353" s="166"/>
      <c r="E353" s="166"/>
      <c r="F353" s="87"/>
      <c r="G353" s="87"/>
      <c r="H353" s="521"/>
      <c r="I353" s="562"/>
      <c r="J353" s="89"/>
      <c r="K353" s="89"/>
      <c r="L353" s="249"/>
      <c r="M353" s="1073"/>
      <c r="N353" s="250"/>
      <c r="O353" s="251"/>
      <c r="P353" s="252"/>
      <c r="Q353" s="46"/>
    </row>
    <row r="354" spans="1:17">
      <c r="A354" s="98"/>
      <c r="B354" s="442"/>
      <c r="C354" s="540"/>
      <c r="D354" s="166"/>
      <c r="E354" s="166"/>
      <c r="F354" s="87"/>
      <c r="G354" s="87"/>
      <c r="H354" s="521"/>
      <c r="I354" s="562"/>
      <c r="J354" s="89"/>
      <c r="K354" s="89"/>
      <c r="L354" s="249"/>
      <c r="M354" s="1073"/>
      <c r="N354" s="250"/>
      <c r="O354" s="251"/>
      <c r="P354" s="252"/>
      <c r="Q354" s="46"/>
    </row>
    <row r="355" spans="1:17">
      <c r="A355" s="98"/>
      <c r="B355" s="442"/>
      <c r="C355" s="540"/>
      <c r="D355" s="166"/>
      <c r="E355" s="166"/>
      <c r="F355" s="87"/>
      <c r="G355" s="87"/>
      <c r="H355" s="521"/>
      <c r="I355" s="562"/>
      <c r="J355" s="89"/>
      <c r="K355" s="89"/>
      <c r="L355" s="249"/>
      <c r="M355" s="1073"/>
      <c r="N355" s="250"/>
      <c r="O355" s="251"/>
      <c r="P355" s="252"/>
      <c r="Q355" s="46"/>
    </row>
    <row r="356" spans="1:17">
      <c r="A356" s="98"/>
      <c r="B356" s="442"/>
      <c r="C356" s="540"/>
      <c r="D356" s="166"/>
      <c r="E356" s="166"/>
      <c r="F356" s="87"/>
      <c r="G356" s="87"/>
      <c r="H356" s="521"/>
      <c r="I356" s="562"/>
      <c r="J356" s="89"/>
      <c r="K356" s="89"/>
      <c r="L356" s="249"/>
      <c r="M356" s="1073"/>
      <c r="N356" s="250"/>
      <c r="O356" s="251"/>
      <c r="P356" s="252"/>
      <c r="Q356" s="46"/>
    </row>
    <row r="357" spans="1:17">
      <c r="A357" s="98"/>
      <c r="B357" s="442"/>
      <c r="C357" s="540"/>
      <c r="D357" s="166"/>
      <c r="E357" s="166"/>
      <c r="F357" s="87"/>
      <c r="G357" s="87"/>
      <c r="H357" s="521"/>
      <c r="I357" s="562"/>
      <c r="J357" s="89"/>
      <c r="K357" s="89"/>
      <c r="L357" s="249"/>
      <c r="M357" s="1073"/>
      <c r="N357" s="250"/>
      <c r="O357" s="251"/>
      <c r="P357" s="252"/>
      <c r="Q357" s="46"/>
    </row>
    <row r="358" spans="1:17">
      <c r="A358" s="98"/>
      <c r="B358" s="442"/>
      <c r="C358" s="540"/>
      <c r="D358" s="166"/>
      <c r="E358" s="166"/>
      <c r="F358" s="87"/>
      <c r="G358" s="87"/>
      <c r="H358" s="521"/>
      <c r="I358" s="562"/>
      <c r="J358" s="89"/>
      <c r="K358" s="89"/>
      <c r="L358" s="249"/>
      <c r="M358" s="1073"/>
      <c r="N358" s="250"/>
      <c r="O358" s="251"/>
      <c r="P358" s="252"/>
      <c r="Q358" s="46"/>
    </row>
    <row r="359" spans="1:17">
      <c r="A359" s="98"/>
      <c r="B359" s="442"/>
      <c r="C359" s="540"/>
      <c r="D359" s="166"/>
      <c r="E359" s="166"/>
      <c r="F359" s="87"/>
      <c r="G359" s="87"/>
      <c r="H359" s="521"/>
      <c r="I359" s="562"/>
      <c r="J359" s="89"/>
      <c r="K359" s="89"/>
      <c r="L359" s="249"/>
      <c r="M359" s="1073"/>
      <c r="N359" s="250"/>
      <c r="O359" s="251"/>
      <c r="P359" s="252"/>
      <c r="Q359" s="46"/>
    </row>
    <row r="360" spans="1:17">
      <c r="A360" s="98"/>
      <c r="B360" s="442"/>
      <c r="C360" s="540"/>
      <c r="D360" s="166"/>
      <c r="E360" s="166"/>
      <c r="F360" s="87"/>
      <c r="G360" s="87"/>
      <c r="H360" s="521"/>
      <c r="I360" s="562"/>
      <c r="J360" s="89"/>
      <c r="K360" s="89"/>
      <c r="L360" s="249"/>
      <c r="M360" s="1073"/>
      <c r="N360" s="250"/>
      <c r="O360" s="251"/>
      <c r="P360" s="252"/>
      <c r="Q360" s="46"/>
    </row>
    <row r="361" spans="1:17">
      <c r="A361" s="98"/>
      <c r="B361" s="442"/>
      <c r="C361" s="540"/>
      <c r="D361" s="166"/>
      <c r="E361" s="166"/>
      <c r="F361" s="87"/>
      <c r="G361" s="87"/>
      <c r="H361" s="521"/>
      <c r="I361" s="562"/>
      <c r="J361" s="89"/>
      <c r="K361" s="89"/>
      <c r="L361" s="249"/>
      <c r="M361" s="1073"/>
      <c r="N361" s="250"/>
      <c r="O361" s="251"/>
      <c r="P361" s="252"/>
      <c r="Q361" s="46"/>
    </row>
    <row r="362" spans="1:17">
      <c r="A362" s="98"/>
      <c r="B362" s="442"/>
      <c r="C362" s="540"/>
      <c r="D362" s="166"/>
      <c r="E362" s="166"/>
      <c r="F362" s="87"/>
      <c r="G362" s="87"/>
      <c r="H362" s="521"/>
      <c r="I362" s="562"/>
      <c r="J362" s="89"/>
      <c r="K362" s="89"/>
      <c r="L362" s="249"/>
      <c r="M362" s="1073"/>
      <c r="N362" s="250"/>
      <c r="O362" s="251"/>
      <c r="P362" s="252"/>
      <c r="Q362" s="46"/>
    </row>
    <row r="363" spans="1:17">
      <c r="A363" s="98"/>
      <c r="B363" s="442"/>
      <c r="C363" s="540"/>
      <c r="D363" s="166"/>
      <c r="E363" s="166"/>
      <c r="F363" s="87"/>
      <c r="G363" s="87"/>
      <c r="H363" s="521"/>
      <c r="I363" s="562"/>
      <c r="J363" s="89"/>
      <c r="K363" s="89"/>
      <c r="L363" s="249"/>
      <c r="M363" s="1073"/>
      <c r="N363" s="250"/>
      <c r="O363" s="251"/>
      <c r="P363" s="252"/>
      <c r="Q363" s="46"/>
    </row>
    <row r="364" spans="1:17">
      <c r="A364" s="98"/>
      <c r="B364" s="442"/>
      <c r="C364" s="540"/>
      <c r="D364" s="166"/>
      <c r="E364" s="166"/>
      <c r="F364" s="87"/>
      <c r="G364" s="87"/>
      <c r="H364" s="521"/>
      <c r="I364" s="562"/>
      <c r="J364" s="89"/>
      <c r="K364" s="89"/>
      <c r="L364" s="249"/>
      <c r="M364" s="1073"/>
      <c r="N364" s="250"/>
      <c r="O364" s="251"/>
      <c r="P364" s="252"/>
      <c r="Q364" s="46"/>
    </row>
    <row r="365" spans="1:17">
      <c r="A365" s="98"/>
      <c r="B365" s="442"/>
      <c r="C365" s="540"/>
      <c r="D365" s="166"/>
      <c r="E365" s="166"/>
      <c r="F365" s="87"/>
      <c r="G365" s="87"/>
      <c r="H365" s="521"/>
      <c r="I365" s="562"/>
      <c r="J365" s="89"/>
      <c r="K365" s="89"/>
      <c r="L365" s="249"/>
      <c r="M365" s="1073"/>
      <c r="N365" s="250"/>
      <c r="O365" s="251"/>
      <c r="P365" s="252"/>
      <c r="Q365" s="46"/>
    </row>
    <row r="366" spans="1:17">
      <c r="A366" s="98"/>
      <c r="B366" s="442"/>
      <c r="C366" s="540"/>
      <c r="D366" s="166"/>
      <c r="E366" s="166"/>
      <c r="F366" s="87"/>
      <c r="G366" s="87"/>
      <c r="H366" s="521"/>
      <c r="I366" s="562"/>
      <c r="J366" s="89"/>
      <c r="K366" s="89"/>
      <c r="L366" s="249"/>
      <c r="M366" s="1073"/>
      <c r="N366" s="250"/>
      <c r="O366" s="251"/>
      <c r="P366" s="252"/>
      <c r="Q366" s="46"/>
    </row>
    <row r="367" spans="1:17">
      <c r="A367" s="98"/>
      <c r="B367" s="442"/>
      <c r="C367" s="540"/>
      <c r="D367" s="166"/>
      <c r="E367" s="166"/>
      <c r="F367" s="87"/>
      <c r="G367" s="87"/>
      <c r="H367" s="521"/>
      <c r="I367" s="562"/>
      <c r="J367" s="89"/>
      <c r="K367" s="89"/>
      <c r="L367" s="249"/>
      <c r="M367" s="1073"/>
      <c r="N367" s="250"/>
      <c r="O367" s="251"/>
      <c r="P367" s="252"/>
      <c r="Q367" s="46"/>
    </row>
    <row r="368" spans="1:17">
      <c r="A368" s="98"/>
      <c r="B368" s="442"/>
      <c r="C368" s="540"/>
      <c r="D368" s="166"/>
      <c r="E368" s="166"/>
      <c r="F368" s="87"/>
      <c r="G368" s="87"/>
      <c r="H368" s="521"/>
      <c r="I368" s="562"/>
      <c r="J368" s="89"/>
      <c r="K368" s="89"/>
      <c r="L368" s="249"/>
      <c r="M368" s="1073"/>
      <c r="N368" s="250"/>
      <c r="O368" s="251"/>
      <c r="P368" s="252"/>
      <c r="Q368" s="46"/>
    </row>
    <row r="369" spans="1:17">
      <c r="A369" s="98"/>
      <c r="B369" s="442"/>
      <c r="C369" s="540"/>
      <c r="D369" s="166"/>
      <c r="E369" s="166"/>
      <c r="F369" s="87"/>
      <c r="G369" s="87"/>
      <c r="H369" s="521"/>
      <c r="I369" s="562"/>
      <c r="J369" s="89"/>
      <c r="K369" s="89"/>
      <c r="L369" s="249"/>
      <c r="M369" s="1073"/>
      <c r="N369" s="250"/>
      <c r="O369" s="251"/>
      <c r="P369" s="252"/>
      <c r="Q369" s="46"/>
    </row>
    <row r="370" spans="1:17">
      <c r="A370" s="98"/>
      <c r="B370" s="442"/>
      <c r="C370" s="540"/>
      <c r="D370" s="166"/>
      <c r="E370" s="166"/>
      <c r="F370" s="87"/>
      <c r="G370" s="87"/>
      <c r="H370" s="521"/>
      <c r="I370" s="562"/>
      <c r="J370" s="89"/>
      <c r="K370" s="89"/>
      <c r="L370" s="249"/>
      <c r="M370" s="1073"/>
      <c r="N370" s="250"/>
      <c r="O370" s="251"/>
      <c r="P370" s="252"/>
      <c r="Q370" s="46"/>
    </row>
    <row r="371" spans="1:17">
      <c r="A371" s="98"/>
      <c r="B371" s="442"/>
      <c r="C371" s="540"/>
      <c r="D371" s="166"/>
      <c r="E371" s="166"/>
      <c r="F371" s="87"/>
      <c r="G371" s="87"/>
      <c r="H371" s="521"/>
      <c r="I371" s="562"/>
      <c r="J371" s="89"/>
      <c r="K371" s="89"/>
      <c r="L371" s="249"/>
      <c r="M371" s="1073"/>
      <c r="N371" s="250"/>
      <c r="O371" s="251"/>
      <c r="P371" s="252"/>
      <c r="Q371" s="46"/>
    </row>
    <row r="372" spans="1:17">
      <c r="A372" s="98"/>
      <c r="B372" s="442"/>
      <c r="C372" s="540"/>
      <c r="D372" s="166"/>
      <c r="E372" s="166"/>
      <c r="F372" s="87"/>
      <c r="G372" s="87"/>
      <c r="H372" s="521"/>
      <c r="I372" s="562"/>
      <c r="J372" s="89"/>
      <c r="K372" s="89"/>
      <c r="L372" s="249"/>
      <c r="M372" s="1073"/>
      <c r="N372" s="250"/>
      <c r="O372" s="251"/>
      <c r="P372" s="252"/>
      <c r="Q372" s="46"/>
    </row>
    <row r="373" spans="1:17">
      <c r="A373" s="98"/>
      <c r="B373" s="442"/>
      <c r="C373" s="540"/>
      <c r="D373" s="166"/>
      <c r="E373" s="166"/>
      <c r="F373" s="87"/>
      <c r="G373" s="87"/>
      <c r="H373" s="521"/>
      <c r="I373" s="562"/>
      <c r="J373" s="89"/>
      <c r="K373" s="89"/>
      <c r="L373" s="249"/>
      <c r="M373" s="1073"/>
      <c r="N373" s="250"/>
      <c r="O373" s="251"/>
      <c r="P373" s="252"/>
      <c r="Q373" s="46"/>
    </row>
    <row r="374" spans="1:17">
      <c r="A374" s="98"/>
      <c r="B374" s="442"/>
      <c r="C374" s="540"/>
      <c r="D374" s="166"/>
      <c r="E374" s="166"/>
      <c r="F374" s="87"/>
      <c r="G374" s="87"/>
      <c r="H374" s="521"/>
      <c r="I374" s="562"/>
      <c r="J374" s="89"/>
      <c r="K374" s="89"/>
      <c r="L374" s="249"/>
      <c r="M374" s="1073"/>
      <c r="N374" s="250"/>
      <c r="O374" s="251"/>
      <c r="P374" s="252"/>
      <c r="Q374" s="46"/>
    </row>
    <row r="375" spans="1:17">
      <c r="A375" s="98"/>
      <c r="B375" s="442"/>
      <c r="C375" s="540"/>
      <c r="D375" s="166"/>
      <c r="E375" s="166"/>
      <c r="F375" s="87"/>
      <c r="G375" s="87"/>
      <c r="H375" s="521"/>
      <c r="I375" s="562"/>
      <c r="J375" s="89"/>
      <c r="K375" s="89"/>
      <c r="L375" s="249"/>
      <c r="M375" s="1073"/>
      <c r="N375" s="250"/>
      <c r="O375" s="251"/>
      <c r="P375" s="252"/>
      <c r="Q375" s="46"/>
    </row>
    <row r="376" spans="1:17">
      <c r="A376" s="98"/>
      <c r="B376" s="442"/>
      <c r="C376" s="540"/>
      <c r="D376" s="166"/>
      <c r="E376" s="166"/>
      <c r="F376" s="87"/>
      <c r="G376" s="87"/>
      <c r="H376" s="521"/>
      <c r="I376" s="562"/>
      <c r="J376" s="89"/>
      <c r="K376" s="89"/>
      <c r="L376" s="249"/>
      <c r="M376" s="1073"/>
      <c r="N376" s="250"/>
      <c r="O376" s="251"/>
      <c r="P376" s="252"/>
      <c r="Q376" s="46"/>
    </row>
    <row r="377" spans="1:17">
      <c r="A377" s="98"/>
      <c r="B377" s="442"/>
      <c r="C377" s="540"/>
      <c r="D377" s="166"/>
      <c r="E377" s="166"/>
      <c r="F377" s="87"/>
      <c r="G377" s="87"/>
      <c r="H377" s="521"/>
      <c r="I377" s="562"/>
      <c r="J377" s="89"/>
      <c r="K377" s="89"/>
      <c r="L377" s="249"/>
      <c r="M377" s="1073"/>
      <c r="N377" s="250"/>
      <c r="O377" s="251"/>
      <c r="P377" s="252"/>
      <c r="Q377" s="46"/>
    </row>
    <row r="378" spans="1:17">
      <c r="A378" s="98"/>
      <c r="B378" s="442"/>
      <c r="C378" s="540"/>
      <c r="D378" s="166"/>
      <c r="E378" s="166"/>
      <c r="F378" s="87"/>
      <c r="G378" s="87"/>
      <c r="H378" s="521"/>
      <c r="I378" s="562"/>
      <c r="J378" s="89"/>
      <c r="K378" s="89"/>
      <c r="L378" s="249"/>
      <c r="M378" s="1073"/>
      <c r="N378" s="250"/>
      <c r="O378" s="251"/>
      <c r="P378" s="252"/>
      <c r="Q378" s="46"/>
    </row>
    <row r="379" spans="1:17">
      <c r="A379" s="98"/>
      <c r="B379" s="442"/>
      <c r="C379" s="540"/>
      <c r="D379" s="166"/>
      <c r="E379" s="166"/>
      <c r="F379" s="87"/>
      <c r="G379" s="87"/>
      <c r="H379" s="521"/>
      <c r="I379" s="562"/>
      <c r="J379" s="89"/>
      <c r="K379" s="89"/>
      <c r="L379" s="249"/>
      <c r="M379" s="1073"/>
      <c r="N379" s="250"/>
      <c r="O379" s="251"/>
      <c r="P379" s="252"/>
      <c r="Q379" s="46"/>
    </row>
    <row r="380" spans="1:17">
      <c r="A380" s="98"/>
      <c r="B380" s="442"/>
      <c r="C380" s="540"/>
      <c r="D380" s="166"/>
      <c r="E380" s="166"/>
      <c r="F380" s="87"/>
      <c r="G380" s="87"/>
      <c r="H380" s="521"/>
      <c r="I380" s="562"/>
      <c r="J380" s="89"/>
      <c r="K380" s="89"/>
      <c r="L380" s="249"/>
      <c r="M380" s="1073"/>
      <c r="N380" s="250"/>
      <c r="O380" s="251"/>
      <c r="P380" s="252"/>
      <c r="Q380" s="46"/>
    </row>
    <row r="381" spans="1:17">
      <c r="A381" s="98"/>
      <c r="B381" s="442"/>
      <c r="C381" s="540"/>
      <c r="D381" s="166"/>
      <c r="E381" s="166"/>
      <c r="F381" s="87"/>
      <c r="G381" s="87"/>
      <c r="H381" s="521"/>
      <c r="I381" s="562"/>
      <c r="J381" s="89"/>
      <c r="K381" s="89"/>
      <c r="L381" s="249"/>
      <c r="M381" s="1073"/>
      <c r="N381" s="250"/>
      <c r="O381" s="251"/>
      <c r="P381" s="252"/>
      <c r="Q381" s="46"/>
    </row>
    <row r="382" spans="1:17">
      <c r="A382" s="98"/>
      <c r="B382" s="442"/>
      <c r="C382" s="540"/>
      <c r="D382" s="166"/>
      <c r="E382" s="166"/>
      <c r="F382" s="87"/>
      <c r="G382" s="87"/>
      <c r="H382" s="521"/>
      <c r="I382" s="562"/>
      <c r="J382" s="89"/>
      <c r="K382" s="89"/>
      <c r="L382" s="249"/>
      <c r="M382" s="1073"/>
      <c r="N382" s="250"/>
      <c r="O382" s="251"/>
      <c r="P382" s="252"/>
      <c r="Q382" s="46"/>
    </row>
    <row r="383" spans="1:17">
      <c r="A383" s="98"/>
      <c r="B383" s="442"/>
      <c r="C383" s="540"/>
      <c r="D383" s="166"/>
      <c r="E383" s="166"/>
      <c r="F383" s="87"/>
      <c r="G383" s="87"/>
      <c r="H383" s="521"/>
      <c r="I383" s="562"/>
      <c r="J383" s="89"/>
      <c r="K383" s="89"/>
      <c r="L383" s="249"/>
      <c r="M383" s="1073"/>
      <c r="N383" s="250"/>
      <c r="O383" s="251"/>
      <c r="P383" s="252"/>
      <c r="Q383" s="46"/>
    </row>
    <row r="384" spans="1:17">
      <c r="A384" s="98"/>
      <c r="B384" s="442"/>
      <c r="C384" s="540"/>
      <c r="D384" s="166"/>
      <c r="E384" s="166"/>
      <c r="F384" s="87"/>
      <c r="G384" s="87"/>
      <c r="H384" s="521"/>
      <c r="I384" s="562"/>
      <c r="J384" s="89"/>
      <c r="K384" s="89"/>
      <c r="L384" s="249"/>
      <c r="M384" s="1073"/>
      <c r="N384" s="250"/>
      <c r="O384" s="251"/>
      <c r="P384" s="252"/>
      <c r="Q384" s="46"/>
    </row>
    <row r="385" spans="1:17">
      <c r="A385" s="98"/>
      <c r="B385" s="442"/>
      <c r="C385" s="540"/>
      <c r="D385" s="166"/>
      <c r="E385" s="166"/>
      <c r="F385" s="87"/>
      <c r="G385" s="87"/>
      <c r="H385" s="521"/>
      <c r="I385" s="562"/>
      <c r="J385" s="89"/>
      <c r="K385" s="89"/>
      <c r="L385" s="249"/>
      <c r="M385" s="1073"/>
      <c r="N385" s="250"/>
      <c r="O385" s="251"/>
      <c r="P385" s="252"/>
      <c r="Q385" s="46"/>
    </row>
    <row r="386" spans="1:17">
      <c r="A386" s="98"/>
      <c r="B386" s="442"/>
      <c r="C386" s="540"/>
      <c r="D386" s="166"/>
      <c r="E386" s="166"/>
      <c r="F386" s="87"/>
      <c r="G386" s="87"/>
      <c r="H386" s="521"/>
      <c r="I386" s="562"/>
      <c r="J386" s="89"/>
      <c r="K386" s="89"/>
      <c r="L386" s="249"/>
      <c r="M386" s="1073"/>
      <c r="N386" s="250"/>
      <c r="O386" s="251"/>
      <c r="P386" s="252"/>
      <c r="Q386" s="46"/>
    </row>
    <row r="387" spans="1:17">
      <c r="A387" s="98"/>
      <c r="B387" s="442"/>
      <c r="C387" s="540"/>
      <c r="D387" s="166"/>
      <c r="E387" s="166"/>
      <c r="F387" s="87"/>
      <c r="G387" s="87"/>
      <c r="H387" s="521"/>
      <c r="I387" s="562"/>
      <c r="J387" s="89"/>
      <c r="K387" s="89"/>
      <c r="L387" s="249"/>
      <c r="M387" s="1073"/>
      <c r="N387" s="250"/>
      <c r="O387" s="251"/>
      <c r="P387" s="252"/>
      <c r="Q387" s="46"/>
    </row>
    <row r="388" spans="1:17">
      <c r="A388" s="98"/>
      <c r="B388" s="442"/>
      <c r="C388" s="540"/>
      <c r="D388" s="166"/>
      <c r="E388" s="166"/>
      <c r="F388" s="87"/>
      <c r="G388" s="87"/>
      <c r="H388" s="521"/>
      <c r="I388" s="562"/>
      <c r="J388" s="89"/>
      <c r="K388" s="89"/>
      <c r="L388" s="249"/>
      <c r="M388" s="1073"/>
      <c r="N388" s="250"/>
      <c r="O388" s="251"/>
      <c r="P388" s="252"/>
      <c r="Q388" s="46"/>
    </row>
    <row r="389" spans="1:17">
      <c r="A389" s="98"/>
      <c r="B389" s="442"/>
      <c r="C389" s="540"/>
      <c r="D389" s="166"/>
      <c r="E389" s="166"/>
      <c r="F389" s="87"/>
      <c r="G389" s="87"/>
      <c r="H389" s="521"/>
      <c r="I389" s="562"/>
      <c r="J389" s="89"/>
      <c r="K389" s="89"/>
      <c r="L389" s="249"/>
      <c r="M389" s="1073"/>
      <c r="N389" s="250"/>
      <c r="O389" s="251"/>
      <c r="P389" s="252"/>
      <c r="Q389" s="46"/>
    </row>
    <row r="390" spans="1:17">
      <c r="A390" s="98"/>
      <c r="B390" s="442"/>
      <c r="C390" s="540"/>
      <c r="D390" s="166"/>
      <c r="E390" s="166"/>
      <c r="F390" s="87"/>
      <c r="G390" s="87"/>
      <c r="H390" s="521"/>
      <c r="I390" s="562"/>
      <c r="J390" s="89"/>
      <c r="K390" s="89"/>
      <c r="L390" s="249"/>
      <c r="M390" s="1073"/>
      <c r="N390" s="250"/>
      <c r="O390" s="251"/>
      <c r="P390" s="252"/>
      <c r="Q390" s="46"/>
    </row>
    <row r="391" spans="1:17">
      <c r="A391" s="98"/>
      <c r="B391" s="442"/>
      <c r="C391" s="540"/>
      <c r="D391" s="166"/>
      <c r="E391" s="166"/>
      <c r="F391" s="87"/>
      <c r="G391" s="87"/>
      <c r="H391" s="521"/>
      <c r="I391" s="562"/>
      <c r="J391" s="89"/>
      <c r="K391" s="89"/>
      <c r="L391" s="249"/>
      <c r="M391" s="1073"/>
      <c r="N391" s="250"/>
      <c r="O391" s="251"/>
      <c r="P391" s="252"/>
      <c r="Q391" s="46"/>
    </row>
    <row r="392" spans="1:17">
      <c r="A392" s="98"/>
      <c r="B392" s="442"/>
      <c r="C392" s="540"/>
      <c r="D392" s="166"/>
      <c r="E392" s="166"/>
      <c r="F392" s="87"/>
      <c r="G392" s="87"/>
      <c r="H392" s="521"/>
      <c r="I392" s="562"/>
      <c r="J392" s="89"/>
      <c r="K392" s="89"/>
      <c r="L392" s="249"/>
      <c r="M392" s="1073"/>
      <c r="N392" s="250"/>
      <c r="O392" s="251"/>
      <c r="P392" s="252"/>
      <c r="Q392" s="46"/>
    </row>
    <row r="393" spans="1:17">
      <c r="A393" s="98"/>
      <c r="B393" s="442"/>
      <c r="C393" s="540"/>
      <c r="D393" s="166"/>
      <c r="E393" s="166"/>
      <c r="F393" s="87"/>
      <c r="G393" s="87"/>
      <c r="H393" s="521"/>
      <c r="I393" s="562"/>
      <c r="J393" s="89"/>
      <c r="K393" s="89"/>
      <c r="L393" s="249"/>
      <c r="M393" s="1073"/>
      <c r="N393" s="250"/>
      <c r="O393" s="251"/>
      <c r="P393" s="252"/>
      <c r="Q393" s="46"/>
    </row>
    <row r="394" spans="1:17">
      <c r="A394" s="98"/>
      <c r="B394" s="442"/>
      <c r="C394" s="540"/>
      <c r="D394" s="166"/>
      <c r="E394" s="166"/>
      <c r="F394" s="87"/>
      <c r="G394" s="87"/>
      <c r="H394" s="521"/>
      <c r="I394" s="562"/>
      <c r="J394" s="89"/>
      <c r="K394" s="89"/>
      <c r="L394" s="249"/>
      <c r="M394" s="1073"/>
      <c r="N394" s="250"/>
      <c r="O394" s="251"/>
      <c r="P394" s="252"/>
      <c r="Q394" s="46"/>
    </row>
    <row r="395" spans="1:17">
      <c r="A395" s="98"/>
      <c r="B395" s="442"/>
      <c r="C395" s="540"/>
      <c r="D395" s="166"/>
      <c r="E395" s="166"/>
      <c r="F395" s="87"/>
      <c r="G395" s="87"/>
      <c r="H395" s="521"/>
      <c r="I395" s="562"/>
      <c r="J395" s="89"/>
      <c r="K395" s="89"/>
      <c r="L395" s="249"/>
      <c r="M395" s="1073"/>
      <c r="N395" s="250"/>
      <c r="O395" s="251"/>
      <c r="P395" s="252"/>
      <c r="Q395" s="46"/>
    </row>
    <row r="396" spans="1:17">
      <c r="A396" s="98"/>
      <c r="B396" s="442"/>
      <c r="C396" s="540"/>
      <c r="D396" s="166"/>
      <c r="E396" s="166"/>
      <c r="F396" s="87"/>
      <c r="G396" s="87"/>
      <c r="H396" s="521"/>
      <c r="I396" s="562"/>
      <c r="J396" s="89"/>
      <c r="K396" s="89"/>
      <c r="L396" s="249"/>
      <c r="M396" s="1073"/>
      <c r="N396" s="250"/>
      <c r="O396" s="251"/>
      <c r="P396" s="252"/>
      <c r="Q396" s="46"/>
    </row>
    <row r="397" spans="1:17">
      <c r="A397" s="98"/>
      <c r="B397" s="442"/>
      <c r="C397" s="540"/>
      <c r="D397" s="166"/>
      <c r="E397" s="166"/>
      <c r="F397" s="87"/>
      <c r="G397" s="87"/>
      <c r="H397" s="521"/>
      <c r="I397" s="562"/>
      <c r="J397" s="89"/>
      <c r="K397" s="89"/>
      <c r="L397" s="249"/>
      <c r="M397" s="1073"/>
      <c r="N397" s="250"/>
      <c r="O397" s="251"/>
      <c r="P397" s="252"/>
      <c r="Q397" s="46"/>
    </row>
    <row r="398" spans="1:17">
      <c r="A398" s="98"/>
      <c r="B398" s="442"/>
      <c r="C398" s="540"/>
      <c r="D398" s="166"/>
      <c r="E398" s="166"/>
      <c r="F398" s="87"/>
      <c r="G398" s="87"/>
      <c r="H398" s="521"/>
      <c r="I398" s="562"/>
      <c r="J398" s="89"/>
      <c r="K398" s="89"/>
      <c r="L398" s="249"/>
      <c r="M398" s="1073"/>
      <c r="N398" s="250"/>
      <c r="O398" s="251"/>
      <c r="P398" s="252"/>
      <c r="Q398" s="46"/>
    </row>
    <row r="399" spans="1:17">
      <c r="A399" s="98"/>
      <c r="B399" s="442"/>
      <c r="C399" s="540"/>
      <c r="D399" s="166"/>
      <c r="E399" s="166"/>
      <c r="F399" s="87"/>
      <c r="G399" s="87"/>
      <c r="H399" s="521"/>
      <c r="I399" s="562"/>
      <c r="J399" s="89"/>
      <c r="K399" s="89"/>
      <c r="L399" s="249"/>
      <c r="M399" s="1073"/>
      <c r="N399" s="250"/>
      <c r="O399" s="251"/>
      <c r="P399" s="252"/>
      <c r="Q399" s="46"/>
    </row>
    <row r="400" spans="1:17">
      <c r="A400" s="98"/>
      <c r="B400" s="442"/>
      <c r="C400" s="540"/>
      <c r="D400" s="166"/>
      <c r="E400" s="166"/>
      <c r="F400" s="87"/>
      <c r="G400" s="87"/>
      <c r="H400" s="521"/>
      <c r="I400" s="562"/>
      <c r="J400" s="89"/>
      <c r="K400" s="89"/>
      <c r="L400" s="249"/>
      <c r="M400" s="1073"/>
      <c r="N400" s="250"/>
      <c r="O400" s="251"/>
      <c r="P400" s="252"/>
      <c r="Q400" s="46"/>
    </row>
    <row r="401" spans="1:17">
      <c r="A401" s="98"/>
      <c r="B401" s="442"/>
      <c r="C401" s="540"/>
      <c r="D401" s="166"/>
      <c r="E401" s="166"/>
      <c r="F401" s="87"/>
      <c r="G401" s="87"/>
      <c r="H401" s="521"/>
      <c r="I401" s="562"/>
      <c r="J401" s="89"/>
      <c r="K401" s="89"/>
      <c r="L401" s="249"/>
      <c r="M401" s="1073"/>
      <c r="N401" s="250"/>
      <c r="O401" s="251"/>
      <c r="P401" s="252"/>
      <c r="Q401" s="46"/>
    </row>
    <row r="402" spans="1:17">
      <c r="A402" s="98"/>
      <c r="B402" s="442"/>
      <c r="C402" s="540"/>
      <c r="D402" s="166"/>
      <c r="E402" s="166"/>
      <c r="F402" s="87"/>
      <c r="G402" s="87"/>
      <c r="H402" s="521"/>
      <c r="I402" s="562"/>
      <c r="J402" s="89"/>
      <c r="K402" s="89"/>
      <c r="L402" s="249"/>
      <c r="M402" s="1073"/>
      <c r="N402" s="250"/>
      <c r="O402" s="251"/>
      <c r="P402" s="252"/>
      <c r="Q402" s="46"/>
    </row>
    <row r="403" spans="1:17">
      <c r="A403" s="98"/>
      <c r="B403" s="442"/>
      <c r="C403" s="540"/>
      <c r="D403" s="166"/>
      <c r="E403" s="166"/>
      <c r="F403" s="87"/>
      <c r="G403" s="87"/>
      <c r="H403" s="521"/>
      <c r="I403" s="562"/>
      <c r="J403" s="89"/>
      <c r="K403" s="89"/>
      <c r="L403" s="249"/>
      <c r="M403" s="1073"/>
      <c r="N403" s="250"/>
      <c r="O403" s="251"/>
      <c r="P403" s="252"/>
      <c r="Q403" s="46"/>
    </row>
    <row r="404" spans="1:17">
      <c r="A404" s="98"/>
      <c r="B404" s="442"/>
      <c r="C404" s="540"/>
      <c r="D404" s="166"/>
      <c r="E404" s="166"/>
      <c r="F404" s="87"/>
      <c r="G404" s="87"/>
      <c r="H404" s="521"/>
      <c r="I404" s="562"/>
      <c r="J404" s="89"/>
      <c r="K404" s="89"/>
      <c r="L404" s="249"/>
      <c r="M404" s="1073"/>
      <c r="N404" s="250"/>
      <c r="O404" s="251"/>
      <c r="P404" s="252"/>
      <c r="Q404" s="46"/>
    </row>
    <row r="405" spans="1:17">
      <c r="A405" s="98"/>
      <c r="B405" s="442"/>
      <c r="C405" s="540"/>
      <c r="D405" s="166"/>
      <c r="E405" s="166"/>
      <c r="F405" s="87"/>
      <c r="G405" s="87"/>
      <c r="H405" s="521"/>
      <c r="I405" s="562"/>
      <c r="J405" s="89"/>
      <c r="K405" s="89"/>
      <c r="L405" s="249"/>
      <c r="M405" s="1073"/>
      <c r="N405" s="250"/>
      <c r="O405" s="251"/>
      <c r="P405" s="252"/>
      <c r="Q405" s="46"/>
    </row>
    <row r="406" spans="1:17">
      <c r="A406" s="98"/>
      <c r="B406" s="442"/>
      <c r="C406" s="540"/>
      <c r="D406" s="166"/>
      <c r="E406" s="166"/>
      <c r="F406" s="87"/>
      <c r="G406" s="87"/>
      <c r="H406" s="521"/>
      <c r="I406" s="562"/>
      <c r="J406" s="89"/>
      <c r="K406" s="89"/>
      <c r="L406" s="249"/>
      <c r="M406" s="1073"/>
      <c r="N406" s="250"/>
      <c r="O406" s="251"/>
      <c r="P406" s="252"/>
      <c r="Q406" s="46"/>
    </row>
    <row r="407" spans="1:17">
      <c r="A407" s="98"/>
      <c r="B407" s="442"/>
      <c r="C407" s="540"/>
      <c r="D407" s="166"/>
      <c r="E407" s="166"/>
      <c r="F407" s="87"/>
      <c r="G407" s="87"/>
      <c r="H407" s="521"/>
      <c r="I407" s="562"/>
      <c r="J407" s="89"/>
      <c r="K407" s="89"/>
      <c r="L407" s="249"/>
      <c r="M407" s="1073"/>
      <c r="N407" s="250"/>
      <c r="O407" s="251"/>
      <c r="P407" s="252"/>
      <c r="Q407" s="46"/>
    </row>
    <row r="408" spans="1:17">
      <c r="A408" s="98"/>
      <c r="B408" s="442"/>
      <c r="C408" s="540"/>
      <c r="D408" s="166"/>
      <c r="E408" s="166"/>
      <c r="F408" s="87"/>
      <c r="G408" s="87"/>
      <c r="H408" s="521"/>
      <c r="I408" s="562"/>
      <c r="J408" s="89"/>
      <c r="K408" s="89"/>
      <c r="L408" s="249"/>
      <c r="M408" s="1073"/>
      <c r="N408" s="250"/>
      <c r="O408" s="251"/>
      <c r="P408" s="252"/>
      <c r="Q408" s="46"/>
    </row>
    <row r="409" spans="1:17">
      <c r="A409" s="98"/>
      <c r="B409" s="442"/>
      <c r="C409" s="540"/>
      <c r="D409" s="166"/>
      <c r="E409" s="166"/>
      <c r="F409" s="87"/>
      <c r="G409" s="87"/>
      <c r="H409" s="521"/>
      <c r="I409" s="562"/>
      <c r="J409" s="89"/>
      <c r="K409" s="89"/>
      <c r="L409" s="249"/>
      <c r="M409" s="1073"/>
      <c r="N409" s="250"/>
      <c r="O409" s="251"/>
      <c r="P409" s="252"/>
      <c r="Q409" s="46"/>
    </row>
    <row r="410" spans="1:17">
      <c r="A410" s="98"/>
      <c r="B410" s="442"/>
      <c r="C410" s="540"/>
      <c r="D410" s="166"/>
      <c r="E410" s="166"/>
      <c r="F410" s="87"/>
      <c r="G410" s="87"/>
      <c r="H410" s="521"/>
      <c r="I410" s="562"/>
      <c r="J410" s="89"/>
      <c r="K410" s="89"/>
      <c r="L410" s="249"/>
      <c r="M410" s="1073"/>
      <c r="N410" s="250"/>
      <c r="O410" s="251"/>
      <c r="P410" s="252"/>
      <c r="Q410" s="46"/>
    </row>
    <row r="411" spans="1:17">
      <c r="A411" s="98"/>
      <c r="B411" s="442"/>
      <c r="C411" s="540"/>
      <c r="D411" s="166"/>
      <c r="E411" s="166"/>
      <c r="F411" s="87"/>
      <c r="G411" s="87"/>
      <c r="H411" s="521"/>
      <c r="I411" s="562"/>
      <c r="J411" s="89"/>
      <c r="K411" s="89"/>
      <c r="L411" s="249"/>
      <c r="M411" s="1073"/>
      <c r="N411" s="250"/>
      <c r="O411" s="251"/>
      <c r="P411" s="252"/>
      <c r="Q411" s="46"/>
    </row>
    <row r="412" spans="1:17">
      <c r="A412" s="98"/>
      <c r="B412" s="442"/>
      <c r="C412" s="540"/>
      <c r="D412" s="166"/>
      <c r="E412" s="166"/>
      <c r="F412" s="87"/>
      <c r="G412" s="87"/>
      <c r="H412" s="521"/>
      <c r="I412" s="562"/>
      <c r="J412" s="89"/>
      <c r="K412" s="89"/>
      <c r="L412" s="249"/>
      <c r="M412" s="1073"/>
      <c r="N412" s="250"/>
      <c r="O412" s="251"/>
      <c r="P412" s="252"/>
      <c r="Q412" s="46"/>
    </row>
    <row r="413" spans="1:17">
      <c r="A413" s="98"/>
      <c r="B413" s="442"/>
      <c r="C413" s="540"/>
      <c r="D413" s="166"/>
      <c r="E413" s="166"/>
      <c r="F413" s="87"/>
      <c r="G413" s="87"/>
      <c r="H413" s="521"/>
      <c r="I413" s="562"/>
      <c r="J413" s="89"/>
      <c r="K413" s="89"/>
      <c r="L413" s="249"/>
      <c r="M413" s="1073"/>
      <c r="N413" s="250"/>
      <c r="O413" s="251"/>
      <c r="P413" s="252"/>
      <c r="Q413" s="46"/>
    </row>
    <row r="414" spans="1:17">
      <c r="A414" s="98"/>
      <c r="B414" s="442"/>
      <c r="C414" s="540"/>
      <c r="D414" s="166"/>
      <c r="E414" s="166"/>
      <c r="F414" s="87"/>
      <c r="G414" s="87"/>
      <c r="H414" s="521"/>
      <c r="I414" s="562"/>
      <c r="J414" s="89"/>
      <c r="K414" s="89"/>
      <c r="L414" s="249"/>
      <c r="M414" s="1073"/>
      <c r="N414" s="250"/>
      <c r="O414" s="251"/>
      <c r="P414" s="252"/>
      <c r="Q414" s="46"/>
    </row>
    <row r="415" spans="1:17">
      <c r="A415" s="98"/>
      <c r="B415" s="442"/>
      <c r="C415" s="540"/>
      <c r="D415" s="166"/>
      <c r="E415" s="166"/>
      <c r="F415" s="87"/>
      <c r="G415" s="87"/>
      <c r="H415" s="521"/>
      <c r="I415" s="562"/>
      <c r="J415" s="89"/>
      <c r="K415" s="89"/>
      <c r="L415" s="249"/>
      <c r="M415" s="1073"/>
      <c r="N415" s="250"/>
      <c r="O415" s="251"/>
      <c r="P415" s="252"/>
      <c r="Q415" s="46"/>
    </row>
    <row r="416" spans="1:17">
      <c r="A416" s="98"/>
      <c r="B416" s="442"/>
      <c r="C416" s="540"/>
      <c r="D416" s="166"/>
      <c r="E416" s="166"/>
      <c r="F416" s="87"/>
      <c r="G416" s="87"/>
      <c r="H416" s="521"/>
      <c r="I416" s="562"/>
      <c r="J416" s="89"/>
      <c r="K416" s="89"/>
      <c r="L416" s="249"/>
      <c r="M416" s="1073"/>
      <c r="N416" s="250"/>
      <c r="O416" s="251"/>
      <c r="P416" s="252"/>
      <c r="Q416" s="46"/>
    </row>
    <row r="417" spans="1:17">
      <c r="A417" s="98"/>
      <c r="B417" s="442"/>
      <c r="C417" s="540"/>
      <c r="D417" s="166"/>
      <c r="E417" s="166"/>
      <c r="F417" s="87"/>
      <c r="G417" s="87"/>
      <c r="H417" s="521"/>
      <c r="I417" s="562"/>
      <c r="J417" s="89"/>
      <c r="K417" s="89"/>
      <c r="L417" s="249"/>
      <c r="M417" s="1073"/>
      <c r="N417" s="250"/>
      <c r="O417" s="251"/>
      <c r="P417" s="252"/>
      <c r="Q417" s="46"/>
    </row>
    <row r="418" spans="1:17">
      <c r="A418" s="98"/>
      <c r="B418" s="442"/>
      <c r="C418" s="540"/>
      <c r="D418" s="166"/>
      <c r="E418" s="166"/>
      <c r="F418" s="87"/>
      <c r="G418" s="87"/>
      <c r="H418" s="521"/>
      <c r="I418" s="562"/>
      <c r="J418" s="89"/>
      <c r="K418" s="89"/>
      <c r="L418" s="249"/>
      <c r="M418" s="1073"/>
      <c r="N418" s="250"/>
      <c r="O418" s="251"/>
      <c r="P418" s="252"/>
      <c r="Q418" s="46"/>
    </row>
    <row r="419" spans="1:17">
      <c r="A419" s="98"/>
      <c r="B419" s="442"/>
      <c r="C419" s="540"/>
      <c r="D419" s="166"/>
      <c r="E419" s="166"/>
      <c r="F419" s="87"/>
      <c r="G419" s="87"/>
      <c r="H419" s="521"/>
      <c r="I419" s="562"/>
      <c r="J419" s="89"/>
      <c r="K419" s="89"/>
      <c r="L419" s="249"/>
      <c r="M419" s="1073"/>
      <c r="N419" s="250"/>
      <c r="O419" s="251"/>
      <c r="P419" s="252"/>
      <c r="Q419" s="46"/>
    </row>
    <row r="420" spans="1:17">
      <c r="A420" s="98"/>
      <c r="B420" s="442"/>
      <c r="C420" s="540"/>
      <c r="D420" s="166"/>
      <c r="E420" s="166"/>
      <c r="F420" s="87"/>
      <c r="G420" s="87"/>
      <c r="H420" s="521"/>
      <c r="I420" s="562"/>
      <c r="J420" s="89"/>
      <c r="K420" s="89"/>
      <c r="L420" s="249"/>
      <c r="M420" s="1073"/>
      <c r="N420" s="250"/>
      <c r="O420" s="251"/>
      <c r="P420" s="252"/>
      <c r="Q420" s="46"/>
    </row>
    <row r="421" spans="1:17">
      <c r="A421" s="98"/>
      <c r="B421" s="442"/>
      <c r="C421" s="540"/>
      <c r="D421" s="166"/>
      <c r="E421" s="166"/>
      <c r="F421" s="87"/>
      <c r="G421" s="87"/>
      <c r="H421" s="521"/>
      <c r="I421" s="562"/>
      <c r="J421" s="89"/>
      <c r="K421" s="89"/>
      <c r="L421" s="249"/>
      <c r="M421" s="1073"/>
      <c r="N421" s="250"/>
      <c r="O421" s="251"/>
      <c r="P421" s="252"/>
      <c r="Q421" s="46"/>
    </row>
    <row r="422" spans="1:17">
      <c r="A422" s="98"/>
      <c r="B422" s="442"/>
      <c r="C422" s="540"/>
      <c r="D422" s="166"/>
      <c r="E422" s="166"/>
      <c r="F422" s="87"/>
      <c r="G422" s="87"/>
      <c r="H422" s="521"/>
      <c r="I422" s="562"/>
      <c r="J422" s="89"/>
      <c r="K422" s="89"/>
      <c r="L422" s="249"/>
      <c r="M422" s="1073"/>
      <c r="N422" s="250"/>
      <c r="O422" s="251"/>
      <c r="P422" s="252"/>
      <c r="Q422" s="46"/>
    </row>
    <row r="423" spans="1:17">
      <c r="A423" s="98"/>
      <c r="B423" s="442"/>
      <c r="C423" s="540"/>
      <c r="D423" s="166"/>
      <c r="E423" s="166"/>
      <c r="F423" s="87"/>
      <c r="G423" s="87"/>
      <c r="H423" s="521"/>
      <c r="I423" s="562"/>
      <c r="J423" s="89"/>
      <c r="K423" s="89"/>
      <c r="L423" s="249"/>
      <c r="M423" s="1073"/>
      <c r="N423" s="250"/>
      <c r="O423" s="251"/>
      <c r="P423" s="252"/>
      <c r="Q423" s="46"/>
    </row>
    <row r="424" spans="1:17">
      <c r="A424" s="98"/>
      <c r="B424" s="442"/>
      <c r="C424" s="540"/>
      <c r="D424" s="166"/>
      <c r="E424" s="166"/>
      <c r="F424" s="87"/>
      <c r="G424" s="87"/>
      <c r="H424" s="521"/>
      <c r="I424" s="562"/>
      <c r="J424" s="89"/>
      <c r="K424" s="89"/>
      <c r="L424" s="249"/>
      <c r="M424" s="1073"/>
      <c r="N424" s="250"/>
      <c r="O424" s="251"/>
      <c r="P424" s="252"/>
      <c r="Q424" s="46"/>
    </row>
    <row r="425" spans="1:17">
      <c r="A425" s="98"/>
      <c r="B425" s="442"/>
      <c r="C425" s="540"/>
      <c r="D425" s="166"/>
      <c r="E425" s="166"/>
      <c r="F425" s="87"/>
      <c r="G425" s="87"/>
      <c r="H425" s="521"/>
      <c r="I425" s="562"/>
      <c r="J425" s="89"/>
      <c r="K425" s="89"/>
      <c r="L425" s="249"/>
      <c r="M425" s="1073"/>
      <c r="N425" s="250"/>
      <c r="O425" s="251"/>
      <c r="P425" s="252"/>
      <c r="Q425" s="46"/>
    </row>
    <row r="426" spans="1:17">
      <c r="A426" s="98"/>
      <c r="B426" s="442"/>
      <c r="C426" s="540"/>
      <c r="D426" s="166"/>
      <c r="E426" s="166"/>
      <c r="F426" s="87"/>
      <c r="G426" s="87"/>
      <c r="H426" s="521"/>
      <c r="I426" s="562"/>
      <c r="J426" s="89"/>
      <c r="K426" s="89"/>
      <c r="L426" s="249"/>
      <c r="M426" s="1073"/>
      <c r="N426" s="250"/>
      <c r="O426" s="251"/>
      <c r="P426" s="252"/>
      <c r="Q426" s="46"/>
    </row>
    <row r="427" spans="1:17">
      <c r="A427" s="98"/>
      <c r="B427" s="442"/>
      <c r="C427" s="540"/>
      <c r="D427" s="166"/>
      <c r="E427" s="166"/>
      <c r="F427" s="87"/>
      <c r="G427" s="87"/>
      <c r="H427" s="521"/>
      <c r="I427" s="562"/>
      <c r="J427" s="89"/>
      <c r="K427" s="89"/>
      <c r="L427" s="249"/>
      <c r="M427" s="1073"/>
      <c r="N427" s="250"/>
      <c r="O427" s="251"/>
      <c r="P427" s="252"/>
      <c r="Q427" s="46"/>
    </row>
    <row r="428" spans="1:17">
      <c r="A428" s="98"/>
      <c r="B428" s="442"/>
      <c r="C428" s="540"/>
      <c r="D428" s="166"/>
      <c r="E428" s="166"/>
      <c r="F428" s="87"/>
      <c r="G428" s="87"/>
      <c r="H428" s="521"/>
      <c r="I428" s="562"/>
      <c r="J428" s="89"/>
      <c r="K428" s="89"/>
      <c r="L428" s="249"/>
      <c r="M428" s="1073"/>
      <c r="N428" s="250"/>
      <c r="O428" s="251"/>
      <c r="P428" s="252"/>
      <c r="Q428" s="46"/>
    </row>
    <row r="429" spans="1:17">
      <c r="A429" s="98"/>
      <c r="B429" s="442"/>
      <c r="C429" s="540"/>
      <c r="D429" s="166"/>
      <c r="E429" s="166"/>
      <c r="F429" s="87"/>
      <c r="G429" s="87"/>
      <c r="H429" s="521"/>
      <c r="I429" s="562"/>
      <c r="J429" s="89"/>
      <c r="K429" s="89"/>
      <c r="L429" s="249"/>
      <c r="M429" s="1073"/>
      <c r="N429" s="250"/>
      <c r="O429" s="251"/>
      <c r="P429" s="252"/>
      <c r="Q429" s="46"/>
    </row>
    <row r="430" spans="1:17">
      <c r="A430" s="98"/>
      <c r="B430" s="442"/>
      <c r="C430" s="540"/>
      <c r="D430" s="166"/>
      <c r="E430" s="166"/>
      <c r="F430" s="87"/>
      <c r="G430" s="87"/>
      <c r="H430" s="521"/>
      <c r="I430" s="562"/>
      <c r="J430" s="89"/>
      <c r="K430" s="89"/>
      <c r="L430" s="249"/>
      <c r="M430" s="1073"/>
      <c r="N430" s="250"/>
      <c r="O430" s="251"/>
      <c r="P430" s="252"/>
      <c r="Q430" s="46"/>
    </row>
    <row r="431" spans="1:17">
      <c r="A431" s="98"/>
      <c r="B431" s="442"/>
      <c r="C431" s="540"/>
      <c r="D431" s="166"/>
      <c r="E431" s="166"/>
      <c r="F431" s="87"/>
      <c r="G431" s="87"/>
      <c r="H431" s="521"/>
      <c r="I431" s="562"/>
      <c r="J431" s="89"/>
      <c r="K431" s="89"/>
      <c r="L431" s="249"/>
      <c r="M431" s="1073"/>
      <c r="N431" s="250"/>
      <c r="O431" s="251"/>
      <c r="P431" s="252"/>
      <c r="Q431" s="46"/>
    </row>
    <row r="432" spans="1:17">
      <c r="A432" s="98"/>
      <c r="B432" s="442"/>
      <c r="C432" s="540"/>
      <c r="D432" s="166"/>
      <c r="E432" s="166"/>
      <c r="F432" s="87"/>
      <c r="G432" s="87"/>
      <c r="H432" s="521"/>
      <c r="I432" s="562"/>
      <c r="J432" s="89"/>
      <c r="K432" s="89"/>
      <c r="L432" s="249"/>
      <c r="M432" s="1073"/>
      <c r="N432" s="250"/>
      <c r="O432" s="251"/>
      <c r="P432" s="252"/>
      <c r="Q432" s="46"/>
    </row>
    <row r="433" spans="1:17">
      <c r="A433" s="98"/>
      <c r="B433" s="442"/>
      <c r="C433" s="540"/>
      <c r="D433" s="166"/>
      <c r="E433" s="166"/>
      <c r="F433" s="87"/>
      <c r="G433" s="87"/>
      <c r="H433" s="521"/>
      <c r="I433" s="562"/>
      <c r="J433" s="89"/>
      <c r="K433" s="89"/>
      <c r="L433" s="249"/>
      <c r="M433" s="1073"/>
      <c r="N433" s="250"/>
      <c r="O433" s="251"/>
      <c r="P433" s="252"/>
      <c r="Q433" s="46"/>
    </row>
    <row r="434" spans="1:17">
      <c r="A434" s="98"/>
      <c r="B434" s="442"/>
      <c r="C434" s="540"/>
      <c r="D434" s="166"/>
      <c r="E434" s="166"/>
      <c r="F434" s="87"/>
      <c r="G434" s="87"/>
      <c r="H434" s="521"/>
      <c r="I434" s="562"/>
      <c r="J434" s="89"/>
      <c r="K434" s="89"/>
      <c r="L434" s="249"/>
      <c r="M434" s="1073"/>
      <c r="N434" s="250"/>
      <c r="O434" s="251"/>
      <c r="P434" s="252"/>
      <c r="Q434" s="46"/>
    </row>
    <row r="435" spans="1:17">
      <c r="A435" s="98"/>
      <c r="B435" s="442"/>
      <c r="C435" s="540"/>
      <c r="D435" s="166"/>
      <c r="E435" s="166"/>
      <c r="F435" s="87"/>
      <c r="G435" s="87"/>
      <c r="H435" s="521"/>
      <c r="I435" s="562"/>
      <c r="J435" s="89"/>
      <c r="K435" s="89"/>
      <c r="L435" s="249"/>
      <c r="M435" s="1073"/>
      <c r="N435" s="250"/>
      <c r="O435" s="251"/>
      <c r="P435" s="252"/>
      <c r="Q435" s="46"/>
    </row>
    <row r="436" spans="1:17">
      <c r="A436" s="98"/>
      <c r="B436" s="442"/>
      <c r="C436" s="540"/>
      <c r="D436" s="166"/>
      <c r="E436" s="166"/>
      <c r="F436" s="87"/>
      <c r="G436" s="87"/>
      <c r="H436" s="521"/>
      <c r="I436" s="562"/>
      <c r="J436" s="89"/>
      <c r="K436" s="89"/>
      <c r="L436" s="249"/>
      <c r="M436" s="1073"/>
      <c r="N436" s="250"/>
      <c r="O436" s="251"/>
      <c r="P436" s="252"/>
      <c r="Q436" s="46"/>
    </row>
    <row r="437" spans="1:17">
      <c r="A437" s="98"/>
      <c r="B437" s="442"/>
      <c r="C437" s="540"/>
      <c r="D437" s="166"/>
      <c r="E437" s="166"/>
      <c r="F437" s="87"/>
      <c r="G437" s="87"/>
      <c r="H437" s="521"/>
      <c r="I437" s="562"/>
      <c r="J437" s="89"/>
      <c r="K437" s="89"/>
      <c r="L437" s="249"/>
      <c r="M437" s="1073"/>
      <c r="N437" s="250"/>
      <c r="O437" s="251"/>
      <c r="P437" s="252"/>
      <c r="Q437" s="46"/>
    </row>
    <row r="438" spans="1:17">
      <c r="A438" s="98"/>
      <c r="B438" s="442"/>
      <c r="C438" s="540"/>
      <c r="D438" s="166"/>
      <c r="E438" s="166"/>
      <c r="F438" s="87"/>
      <c r="G438" s="87"/>
      <c r="H438" s="521"/>
      <c r="I438" s="562"/>
      <c r="J438" s="89"/>
      <c r="K438" s="89"/>
      <c r="L438" s="249"/>
      <c r="M438" s="1073"/>
      <c r="N438" s="250"/>
      <c r="O438" s="251"/>
      <c r="P438" s="252"/>
      <c r="Q438" s="46"/>
    </row>
    <row r="439" spans="1:17">
      <c r="A439" s="98"/>
      <c r="B439" s="442"/>
      <c r="C439" s="540"/>
      <c r="D439" s="166"/>
      <c r="E439" s="166"/>
      <c r="F439" s="87"/>
      <c r="G439" s="87"/>
      <c r="H439" s="521"/>
      <c r="I439" s="562"/>
      <c r="J439" s="89"/>
      <c r="K439" s="89"/>
      <c r="L439" s="249"/>
      <c r="M439" s="1073"/>
      <c r="N439" s="250"/>
      <c r="O439" s="251"/>
      <c r="P439" s="252"/>
      <c r="Q439" s="46"/>
    </row>
    <row r="440" spans="1:17">
      <c r="A440" s="98"/>
      <c r="B440" s="442"/>
      <c r="C440" s="540"/>
      <c r="D440" s="166"/>
      <c r="E440" s="166"/>
      <c r="F440" s="87"/>
      <c r="G440" s="87"/>
      <c r="H440" s="521"/>
      <c r="I440" s="562"/>
      <c r="J440" s="89"/>
      <c r="K440" s="89"/>
      <c r="L440" s="249"/>
      <c r="M440" s="1073"/>
      <c r="N440" s="250"/>
      <c r="O440" s="251"/>
      <c r="P440" s="252"/>
      <c r="Q440" s="46"/>
    </row>
    <row r="441" spans="1:17">
      <c r="A441" s="98"/>
      <c r="B441" s="442"/>
      <c r="C441" s="540"/>
      <c r="D441" s="166"/>
      <c r="E441" s="166"/>
      <c r="F441" s="87"/>
      <c r="G441" s="87"/>
      <c r="H441" s="521"/>
      <c r="I441" s="562"/>
      <c r="J441" s="89"/>
      <c r="K441" s="89"/>
      <c r="L441" s="249"/>
      <c r="M441" s="1073"/>
      <c r="N441" s="250"/>
      <c r="O441" s="251"/>
      <c r="P441" s="252"/>
      <c r="Q441" s="46"/>
    </row>
    <row r="442" spans="1:17">
      <c r="A442" s="98"/>
      <c r="B442" s="442"/>
      <c r="C442" s="540"/>
      <c r="D442" s="166"/>
      <c r="E442" s="166"/>
      <c r="F442" s="87"/>
      <c r="G442" s="87"/>
      <c r="H442" s="521"/>
      <c r="I442" s="562"/>
      <c r="J442" s="89"/>
      <c r="K442" s="89"/>
      <c r="L442" s="249"/>
      <c r="M442" s="1073"/>
      <c r="N442" s="250"/>
      <c r="O442" s="251"/>
      <c r="P442" s="252"/>
      <c r="Q442" s="46"/>
    </row>
    <row r="443" spans="1:17">
      <c r="A443" s="98"/>
      <c r="B443" s="442"/>
      <c r="C443" s="540"/>
      <c r="D443" s="166"/>
      <c r="E443" s="166"/>
      <c r="F443" s="87"/>
      <c r="G443" s="87"/>
      <c r="H443" s="521"/>
      <c r="I443" s="562"/>
      <c r="J443" s="89"/>
      <c r="K443" s="89"/>
      <c r="L443" s="249"/>
      <c r="M443" s="1073"/>
      <c r="N443" s="250"/>
      <c r="O443" s="251"/>
      <c r="P443" s="252"/>
      <c r="Q443" s="46"/>
    </row>
    <row r="444" spans="1:17">
      <c r="A444" s="98"/>
      <c r="B444" s="442"/>
      <c r="C444" s="540"/>
      <c r="D444" s="166"/>
      <c r="E444" s="166"/>
      <c r="F444" s="87"/>
      <c r="G444" s="87"/>
      <c r="H444" s="521"/>
      <c r="I444" s="562"/>
      <c r="J444" s="89"/>
      <c r="K444" s="89"/>
      <c r="L444" s="249"/>
      <c r="M444" s="1073"/>
      <c r="N444" s="250"/>
      <c r="O444" s="251"/>
      <c r="P444" s="252"/>
      <c r="Q444" s="46"/>
    </row>
    <row r="445" spans="1:17">
      <c r="A445" s="98"/>
      <c r="B445" s="442"/>
      <c r="C445" s="540"/>
      <c r="D445" s="166"/>
      <c r="E445" s="166"/>
      <c r="F445" s="87"/>
      <c r="G445" s="87"/>
      <c r="H445" s="521"/>
      <c r="I445" s="562"/>
      <c r="J445" s="89"/>
      <c r="K445" s="89"/>
      <c r="L445" s="249"/>
      <c r="M445" s="1073"/>
      <c r="N445" s="250"/>
      <c r="O445" s="251"/>
      <c r="P445" s="252"/>
      <c r="Q445" s="46"/>
    </row>
    <row r="446" spans="1:17">
      <c r="A446" s="98"/>
      <c r="B446" s="442"/>
      <c r="C446" s="540"/>
      <c r="D446" s="166"/>
      <c r="E446" s="166"/>
      <c r="F446" s="87"/>
      <c r="G446" s="87"/>
      <c r="H446" s="521"/>
      <c r="I446" s="562"/>
      <c r="J446" s="89"/>
      <c r="K446" s="89"/>
      <c r="L446" s="249"/>
      <c r="M446" s="1073"/>
      <c r="N446" s="250"/>
      <c r="O446" s="251"/>
      <c r="P446" s="252"/>
      <c r="Q446" s="46"/>
    </row>
    <row r="447" spans="1:17">
      <c r="A447" s="98"/>
      <c r="B447" s="442"/>
      <c r="C447" s="540"/>
      <c r="D447" s="166"/>
      <c r="E447" s="166"/>
      <c r="F447" s="87"/>
      <c r="G447" s="87"/>
      <c r="H447" s="521"/>
      <c r="I447" s="562"/>
      <c r="J447" s="89"/>
      <c r="K447" s="89"/>
      <c r="L447" s="249"/>
      <c r="M447" s="1073"/>
      <c r="N447" s="250"/>
      <c r="O447" s="251"/>
      <c r="P447" s="252"/>
      <c r="Q447" s="46"/>
    </row>
    <row r="448" spans="1:17">
      <c r="A448" s="98"/>
      <c r="B448" s="442"/>
      <c r="C448" s="540"/>
      <c r="D448" s="166"/>
      <c r="E448" s="166"/>
      <c r="F448" s="87"/>
      <c r="G448" s="87"/>
      <c r="H448" s="521"/>
      <c r="I448" s="562"/>
      <c r="J448" s="89"/>
      <c r="K448" s="89"/>
      <c r="L448" s="249"/>
      <c r="M448" s="1073"/>
      <c r="N448" s="250"/>
      <c r="O448" s="251"/>
      <c r="P448" s="252"/>
      <c r="Q448" s="46"/>
    </row>
    <row r="449" spans="1:17">
      <c r="A449" s="98"/>
      <c r="B449" s="442"/>
      <c r="C449" s="540"/>
      <c r="D449" s="166"/>
      <c r="E449" s="166"/>
      <c r="F449" s="87"/>
      <c r="G449" s="87"/>
      <c r="H449" s="521"/>
      <c r="I449" s="562"/>
      <c r="J449" s="89"/>
      <c r="K449" s="89"/>
      <c r="L449" s="249"/>
      <c r="M449" s="1073"/>
      <c r="N449" s="250"/>
      <c r="O449" s="251"/>
      <c r="P449" s="252"/>
      <c r="Q449" s="46"/>
    </row>
    <row r="450" spans="1:17">
      <c r="A450" s="98"/>
      <c r="B450" s="442"/>
      <c r="C450" s="540"/>
      <c r="D450" s="166"/>
      <c r="E450" s="166"/>
      <c r="F450" s="87"/>
      <c r="G450" s="87"/>
      <c r="H450" s="521"/>
      <c r="I450" s="562"/>
      <c r="J450" s="89"/>
      <c r="K450" s="89"/>
      <c r="L450" s="249"/>
      <c r="M450" s="1073"/>
      <c r="N450" s="250"/>
      <c r="O450" s="251"/>
      <c r="P450" s="252"/>
      <c r="Q450" s="46"/>
    </row>
    <row r="451" spans="1:17">
      <c r="A451" s="98"/>
      <c r="B451" s="442"/>
      <c r="C451" s="540"/>
      <c r="D451" s="166"/>
      <c r="E451" s="166"/>
      <c r="F451" s="87"/>
      <c r="G451" s="87"/>
      <c r="H451" s="521"/>
      <c r="I451" s="562"/>
      <c r="J451" s="89"/>
      <c r="K451" s="89"/>
      <c r="L451" s="249"/>
      <c r="M451" s="1073"/>
      <c r="N451" s="250"/>
      <c r="O451" s="251"/>
      <c r="P451" s="252"/>
      <c r="Q451" s="46"/>
    </row>
    <row r="452" spans="1:17">
      <c r="A452" s="98"/>
      <c r="B452" s="442"/>
      <c r="C452" s="540"/>
      <c r="D452" s="166"/>
      <c r="E452" s="166"/>
      <c r="F452" s="87"/>
      <c r="G452" s="87"/>
      <c r="H452" s="521"/>
      <c r="I452" s="562"/>
      <c r="J452" s="89"/>
      <c r="K452" s="89"/>
      <c r="L452" s="249"/>
      <c r="M452" s="1073"/>
      <c r="N452" s="250"/>
      <c r="O452" s="251"/>
      <c r="P452" s="252"/>
      <c r="Q452" s="46"/>
    </row>
    <row r="453" spans="1:17">
      <c r="A453" s="98"/>
      <c r="B453" s="442"/>
      <c r="C453" s="540"/>
      <c r="D453" s="166"/>
      <c r="E453" s="166"/>
      <c r="F453" s="87"/>
      <c r="G453" s="87"/>
      <c r="H453" s="521"/>
      <c r="I453" s="562"/>
      <c r="J453" s="89"/>
      <c r="K453" s="89"/>
      <c r="L453" s="249"/>
      <c r="M453" s="1073"/>
      <c r="N453" s="250"/>
      <c r="O453" s="251"/>
      <c r="P453" s="252"/>
      <c r="Q453" s="46"/>
    </row>
    <row r="454" spans="1:17">
      <c r="A454" s="98"/>
      <c r="B454" s="442"/>
      <c r="C454" s="540"/>
      <c r="D454" s="166"/>
      <c r="E454" s="166"/>
      <c r="F454" s="87"/>
      <c r="G454" s="87"/>
      <c r="H454" s="521"/>
      <c r="I454" s="562"/>
      <c r="J454" s="89"/>
      <c r="K454" s="89"/>
      <c r="L454" s="249"/>
      <c r="M454" s="1073"/>
      <c r="N454" s="250"/>
      <c r="O454" s="251"/>
      <c r="P454" s="252"/>
      <c r="Q454" s="46"/>
    </row>
    <row r="455" spans="1:17">
      <c r="A455" s="98"/>
      <c r="B455" s="442"/>
      <c r="C455" s="540"/>
      <c r="D455" s="166"/>
      <c r="E455" s="166"/>
      <c r="F455" s="87"/>
      <c r="G455" s="87"/>
      <c r="H455" s="521"/>
      <c r="I455" s="562"/>
      <c r="J455" s="89"/>
      <c r="K455" s="89"/>
      <c r="L455" s="249"/>
      <c r="M455" s="1073"/>
      <c r="N455" s="250"/>
      <c r="O455" s="251"/>
      <c r="P455" s="252"/>
      <c r="Q455" s="46"/>
    </row>
    <row r="456" spans="1:17">
      <c r="A456" s="98"/>
      <c r="B456" s="442"/>
      <c r="C456" s="540"/>
      <c r="D456" s="166"/>
      <c r="E456" s="166"/>
      <c r="F456" s="87"/>
      <c r="G456" s="87"/>
      <c r="H456" s="521"/>
      <c r="I456" s="562"/>
      <c r="J456" s="89"/>
      <c r="K456" s="89"/>
      <c r="L456" s="249"/>
      <c r="M456" s="1073"/>
      <c r="N456" s="250"/>
      <c r="O456" s="251"/>
      <c r="P456" s="252"/>
      <c r="Q456" s="46"/>
    </row>
    <row r="457" spans="1:17">
      <c r="A457" s="98"/>
      <c r="B457" s="442"/>
      <c r="C457" s="540"/>
      <c r="D457" s="166"/>
      <c r="E457" s="166"/>
      <c r="F457" s="87"/>
      <c r="G457" s="87"/>
      <c r="H457" s="521"/>
      <c r="I457" s="562"/>
      <c r="J457" s="89"/>
      <c r="K457" s="89"/>
      <c r="L457" s="249"/>
      <c r="M457" s="1073"/>
      <c r="N457" s="250"/>
      <c r="O457" s="251"/>
      <c r="P457" s="252"/>
      <c r="Q457" s="46"/>
    </row>
    <row r="458" spans="1:17">
      <c r="A458" s="98"/>
      <c r="B458" s="442"/>
      <c r="C458" s="540"/>
      <c r="D458" s="166"/>
      <c r="E458" s="166"/>
      <c r="F458" s="87"/>
      <c r="G458" s="87"/>
      <c r="H458" s="521"/>
      <c r="I458" s="562"/>
      <c r="J458" s="89"/>
      <c r="K458" s="89"/>
      <c r="L458" s="249"/>
      <c r="M458" s="1073"/>
      <c r="N458" s="250"/>
      <c r="O458" s="251"/>
      <c r="P458" s="252"/>
      <c r="Q458" s="46"/>
    </row>
    <row r="459" spans="1:17">
      <c r="A459" s="98"/>
      <c r="B459" s="442"/>
      <c r="C459" s="540"/>
      <c r="D459" s="166"/>
      <c r="E459" s="166"/>
      <c r="F459" s="87"/>
      <c r="G459" s="87"/>
      <c r="H459" s="521"/>
      <c r="I459" s="562"/>
      <c r="J459" s="89"/>
      <c r="K459" s="89"/>
      <c r="L459" s="249"/>
      <c r="M459" s="1073"/>
      <c r="N459" s="250"/>
      <c r="O459" s="251"/>
      <c r="P459" s="252"/>
      <c r="Q459" s="46"/>
    </row>
    <row r="460" spans="1:17">
      <c r="A460" s="98"/>
      <c r="B460" s="442"/>
      <c r="C460" s="540"/>
      <c r="D460" s="166"/>
      <c r="E460" s="166"/>
      <c r="F460" s="87"/>
      <c r="G460" s="87"/>
      <c r="H460" s="521"/>
      <c r="I460" s="562"/>
      <c r="J460" s="89"/>
      <c r="K460" s="89"/>
      <c r="L460" s="249"/>
      <c r="M460" s="1073"/>
      <c r="N460" s="250"/>
      <c r="O460" s="251"/>
      <c r="P460" s="252"/>
      <c r="Q460" s="46"/>
    </row>
    <row r="461" spans="1:17">
      <c r="A461" s="98"/>
      <c r="B461" s="442"/>
      <c r="C461" s="540"/>
      <c r="D461" s="166"/>
      <c r="E461" s="166"/>
      <c r="F461" s="87"/>
      <c r="G461" s="87"/>
      <c r="H461" s="521"/>
      <c r="I461" s="562"/>
      <c r="J461" s="89"/>
      <c r="K461" s="89"/>
      <c r="L461" s="249"/>
      <c r="M461" s="1073"/>
      <c r="N461" s="250"/>
      <c r="O461" s="251"/>
      <c r="P461" s="252"/>
      <c r="Q461" s="46"/>
    </row>
    <row r="462" spans="1:17">
      <c r="A462" s="98"/>
      <c r="B462" s="442"/>
      <c r="C462" s="540"/>
      <c r="D462" s="166"/>
      <c r="E462" s="166"/>
      <c r="F462" s="87"/>
      <c r="G462" s="87"/>
      <c r="H462" s="521"/>
      <c r="I462" s="562"/>
      <c r="J462" s="89"/>
      <c r="K462" s="89"/>
      <c r="L462" s="249"/>
      <c r="M462" s="1073"/>
      <c r="N462" s="250"/>
      <c r="O462" s="251"/>
      <c r="P462" s="252"/>
      <c r="Q462" s="46"/>
    </row>
    <row r="463" spans="1:17">
      <c r="A463" s="98"/>
      <c r="B463" s="442"/>
      <c r="C463" s="540"/>
      <c r="D463" s="166"/>
      <c r="E463" s="166"/>
      <c r="F463" s="87"/>
      <c r="G463" s="87"/>
      <c r="H463" s="521"/>
      <c r="I463" s="562"/>
      <c r="J463" s="89"/>
      <c r="K463" s="89"/>
      <c r="L463" s="249"/>
      <c r="M463" s="1073"/>
      <c r="N463" s="250"/>
      <c r="O463" s="251"/>
      <c r="P463" s="252"/>
      <c r="Q463" s="46"/>
    </row>
    <row r="464" spans="1:17">
      <c r="A464" s="98"/>
      <c r="B464" s="442"/>
      <c r="C464" s="540"/>
      <c r="D464" s="166"/>
      <c r="E464" s="166"/>
      <c r="F464" s="87"/>
      <c r="G464" s="87"/>
      <c r="H464" s="521"/>
      <c r="I464" s="562"/>
      <c r="J464" s="89"/>
      <c r="K464" s="89"/>
      <c r="L464" s="249"/>
      <c r="M464" s="1073"/>
      <c r="N464" s="250"/>
      <c r="O464" s="251"/>
      <c r="P464" s="252"/>
      <c r="Q464" s="46"/>
    </row>
    <row r="465" spans="1:17">
      <c r="A465" s="98"/>
      <c r="B465" s="442"/>
      <c r="C465" s="540"/>
      <c r="D465" s="166"/>
      <c r="E465" s="166"/>
      <c r="F465" s="87"/>
      <c r="G465" s="87"/>
      <c r="H465" s="521"/>
      <c r="I465" s="562"/>
      <c r="J465" s="89"/>
      <c r="K465" s="89"/>
      <c r="L465" s="249"/>
      <c r="M465" s="1073"/>
      <c r="N465" s="250"/>
      <c r="O465" s="251"/>
      <c r="P465" s="252"/>
      <c r="Q465" s="46"/>
    </row>
    <row r="466" spans="1:17">
      <c r="A466" s="98"/>
      <c r="B466" s="442"/>
      <c r="C466" s="540"/>
      <c r="D466" s="166"/>
      <c r="E466" s="166"/>
      <c r="F466" s="87"/>
      <c r="G466" s="87"/>
      <c r="H466" s="521"/>
      <c r="I466" s="562"/>
      <c r="J466" s="89"/>
      <c r="K466" s="89"/>
      <c r="L466" s="249"/>
      <c r="M466" s="1073"/>
      <c r="N466" s="250"/>
      <c r="O466" s="251"/>
      <c r="P466" s="252"/>
      <c r="Q466" s="46"/>
    </row>
    <row r="467" spans="1:17">
      <c r="A467" s="98"/>
      <c r="B467" s="442"/>
      <c r="C467" s="540"/>
      <c r="D467" s="166"/>
      <c r="E467" s="166"/>
      <c r="F467" s="87"/>
      <c r="G467" s="87"/>
      <c r="H467" s="521"/>
      <c r="I467" s="562"/>
      <c r="J467" s="89"/>
      <c r="K467" s="89"/>
      <c r="L467" s="249"/>
      <c r="M467" s="1073"/>
      <c r="N467" s="250"/>
      <c r="O467" s="251"/>
      <c r="P467" s="252"/>
      <c r="Q467" s="46"/>
    </row>
    <row r="468" spans="1:17">
      <c r="A468" s="98"/>
      <c r="B468" s="442"/>
      <c r="C468" s="540"/>
      <c r="D468" s="166"/>
      <c r="E468" s="166"/>
      <c r="F468" s="87"/>
      <c r="G468" s="87"/>
      <c r="H468" s="521"/>
      <c r="I468" s="562"/>
      <c r="J468" s="89"/>
      <c r="K468" s="89"/>
      <c r="L468" s="249"/>
      <c r="M468" s="1073"/>
      <c r="N468" s="250"/>
      <c r="O468" s="251"/>
      <c r="P468" s="252"/>
      <c r="Q468" s="46"/>
    </row>
    <row r="469" spans="1:17">
      <c r="A469" s="98"/>
      <c r="B469" s="442"/>
      <c r="C469" s="540"/>
      <c r="D469" s="166"/>
      <c r="E469" s="166"/>
      <c r="F469" s="87"/>
      <c r="G469" s="87"/>
      <c r="H469" s="521"/>
      <c r="I469" s="562"/>
      <c r="J469" s="89"/>
      <c r="K469" s="89"/>
      <c r="L469" s="249"/>
      <c r="M469" s="1073"/>
      <c r="N469" s="250"/>
      <c r="O469" s="251"/>
      <c r="P469" s="252"/>
      <c r="Q469" s="46"/>
    </row>
    <row r="470" spans="1:17">
      <c r="A470" s="98"/>
      <c r="B470" s="442"/>
      <c r="C470" s="540"/>
      <c r="D470" s="166"/>
      <c r="E470" s="166"/>
      <c r="F470" s="87"/>
      <c r="G470" s="87"/>
      <c r="H470" s="521"/>
      <c r="I470" s="562"/>
      <c r="J470" s="89"/>
      <c r="K470" s="89"/>
      <c r="L470" s="249"/>
      <c r="M470" s="1073"/>
      <c r="N470" s="250"/>
      <c r="O470" s="251"/>
      <c r="P470" s="252"/>
      <c r="Q470" s="46"/>
    </row>
    <row r="471" spans="1:17">
      <c r="A471" s="98"/>
      <c r="B471" s="442"/>
      <c r="C471" s="540"/>
      <c r="D471" s="166"/>
      <c r="E471" s="166"/>
      <c r="F471" s="87"/>
      <c r="G471" s="87"/>
      <c r="H471" s="521"/>
      <c r="I471" s="562"/>
      <c r="J471" s="89"/>
      <c r="K471" s="89"/>
      <c r="L471" s="249"/>
      <c r="M471" s="1073"/>
      <c r="N471" s="250"/>
      <c r="O471" s="251"/>
      <c r="P471" s="252"/>
      <c r="Q471" s="46"/>
    </row>
    <row r="472" spans="1:17">
      <c r="A472" s="98"/>
      <c r="B472" s="442"/>
      <c r="C472" s="540"/>
      <c r="D472" s="166"/>
      <c r="E472" s="166"/>
      <c r="F472" s="87"/>
      <c r="G472" s="87"/>
      <c r="H472" s="521"/>
      <c r="I472" s="562"/>
      <c r="J472" s="89"/>
      <c r="K472" s="89"/>
      <c r="L472" s="249"/>
      <c r="M472" s="1073"/>
      <c r="N472" s="250"/>
      <c r="O472" s="251"/>
      <c r="P472" s="252"/>
      <c r="Q472" s="46"/>
    </row>
    <row r="473" spans="1:17">
      <c r="A473" s="98"/>
      <c r="B473" s="442"/>
      <c r="C473" s="540"/>
      <c r="D473" s="166"/>
      <c r="E473" s="166"/>
      <c r="F473" s="87"/>
      <c r="G473" s="87"/>
      <c r="H473" s="521"/>
      <c r="I473" s="562"/>
      <c r="J473" s="89"/>
      <c r="K473" s="89"/>
      <c r="L473" s="249"/>
      <c r="M473" s="1073"/>
      <c r="N473" s="250"/>
      <c r="O473" s="251"/>
      <c r="P473" s="252"/>
      <c r="Q473" s="46"/>
    </row>
    <row r="474" spans="1:17">
      <c r="A474" s="98"/>
      <c r="B474" s="442"/>
      <c r="C474" s="540"/>
      <c r="D474" s="166"/>
      <c r="E474" s="166"/>
      <c r="F474" s="87"/>
      <c r="G474" s="87"/>
      <c r="H474" s="521"/>
      <c r="I474" s="562"/>
      <c r="J474" s="89"/>
      <c r="K474" s="89"/>
      <c r="L474" s="249"/>
      <c r="M474" s="1073"/>
      <c r="N474" s="250"/>
      <c r="O474" s="251"/>
      <c r="P474" s="252"/>
      <c r="Q474" s="46"/>
    </row>
    <row r="475" spans="1:17">
      <c r="A475" s="98"/>
      <c r="B475" s="442"/>
      <c r="C475" s="540"/>
      <c r="D475" s="166"/>
      <c r="E475" s="166"/>
      <c r="F475" s="87"/>
      <c r="G475" s="87"/>
      <c r="H475" s="521"/>
      <c r="I475" s="562"/>
      <c r="J475" s="89"/>
      <c r="K475" s="89"/>
      <c r="L475" s="249"/>
      <c r="M475" s="1073"/>
      <c r="N475" s="250"/>
      <c r="O475" s="251"/>
      <c r="P475" s="252"/>
      <c r="Q475" s="46"/>
    </row>
    <row r="476" spans="1:17">
      <c r="A476" s="98"/>
      <c r="B476" s="442"/>
      <c r="C476" s="540"/>
      <c r="D476" s="166"/>
      <c r="E476" s="166"/>
      <c r="F476" s="87"/>
      <c r="G476" s="87"/>
      <c r="H476" s="521"/>
      <c r="I476" s="562"/>
      <c r="J476" s="89"/>
      <c r="K476" s="89"/>
      <c r="L476" s="249"/>
      <c r="M476" s="1073"/>
      <c r="N476" s="250"/>
      <c r="O476" s="251"/>
      <c r="P476" s="252"/>
      <c r="Q476" s="46"/>
    </row>
    <row r="477" spans="1:17">
      <c r="A477" s="98"/>
      <c r="B477" s="442"/>
      <c r="C477" s="540"/>
      <c r="D477" s="166"/>
      <c r="E477" s="166"/>
      <c r="F477" s="87"/>
      <c r="G477" s="87"/>
      <c r="H477" s="521"/>
      <c r="I477" s="562"/>
      <c r="J477" s="89"/>
      <c r="K477" s="89"/>
      <c r="L477" s="249"/>
      <c r="M477" s="1073"/>
      <c r="N477" s="250"/>
      <c r="O477" s="251"/>
      <c r="P477" s="252"/>
      <c r="Q477" s="46"/>
    </row>
    <row r="478" spans="1:17">
      <c r="A478" s="98"/>
      <c r="B478" s="442"/>
      <c r="C478" s="540"/>
      <c r="D478" s="166"/>
      <c r="E478" s="166"/>
      <c r="F478" s="87"/>
      <c r="G478" s="87"/>
      <c r="H478" s="521"/>
      <c r="I478" s="562"/>
      <c r="J478" s="89"/>
      <c r="K478" s="89"/>
      <c r="L478" s="249"/>
      <c r="M478" s="1073"/>
      <c r="N478" s="250"/>
      <c r="O478" s="251"/>
      <c r="P478" s="252"/>
      <c r="Q478" s="46"/>
    </row>
    <row r="479" spans="1:17">
      <c r="A479" s="98"/>
      <c r="B479" s="442"/>
      <c r="C479" s="540"/>
      <c r="D479" s="166"/>
      <c r="E479" s="166"/>
      <c r="F479" s="87"/>
      <c r="G479" s="87"/>
      <c r="H479" s="521"/>
      <c r="I479" s="562"/>
      <c r="J479" s="89"/>
      <c r="K479" s="89"/>
      <c r="L479" s="249"/>
      <c r="M479" s="1073"/>
      <c r="N479" s="250"/>
      <c r="O479" s="251"/>
      <c r="P479" s="252"/>
      <c r="Q479" s="46"/>
    </row>
    <row r="480" spans="1:17">
      <c r="A480" s="98"/>
      <c r="B480" s="442"/>
      <c r="C480" s="540"/>
      <c r="D480" s="166"/>
      <c r="E480" s="166"/>
      <c r="F480" s="87"/>
      <c r="G480" s="87"/>
      <c r="H480" s="521"/>
      <c r="I480" s="562"/>
      <c r="J480" s="89"/>
      <c r="K480" s="89"/>
      <c r="L480" s="249"/>
      <c r="M480" s="1073"/>
      <c r="N480" s="250"/>
      <c r="O480" s="251"/>
      <c r="P480" s="252"/>
      <c r="Q480" s="46"/>
    </row>
    <row r="481" spans="1:17">
      <c r="A481" s="98"/>
      <c r="B481" s="442"/>
      <c r="C481" s="540"/>
      <c r="D481" s="166"/>
      <c r="E481" s="166"/>
      <c r="F481" s="87"/>
      <c r="G481" s="87"/>
      <c r="H481" s="521"/>
      <c r="I481" s="562"/>
      <c r="J481" s="89"/>
      <c r="K481" s="89"/>
      <c r="L481" s="249"/>
      <c r="M481" s="1073"/>
      <c r="N481" s="250"/>
      <c r="O481" s="251"/>
      <c r="P481" s="252"/>
      <c r="Q481" s="46"/>
    </row>
    <row r="482" spans="1:17">
      <c r="A482" s="98"/>
      <c r="B482" s="442"/>
      <c r="C482" s="540"/>
      <c r="D482" s="166"/>
      <c r="E482" s="166"/>
      <c r="F482" s="87"/>
      <c r="G482" s="87"/>
      <c r="H482" s="521"/>
      <c r="I482" s="562"/>
      <c r="J482" s="89"/>
      <c r="K482" s="89"/>
      <c r="L482" s="249"/>
      <c r="M482" s="1073"/>
      <c r="N482" s="250"/>
      <c r="O482" s="251"/>
      <c r="P482" s="252"/>
      <c r="Q482" s="46"/>
    </row>
    <row r="483" spans="1:17">
      <c r="A483" s="98"/>
      <c r="B483" s="442"/>
      <c r="C483" s="540"/>
      <c r="D483" s="166"/>
      <c r="E483" s="166"/>
      <c r="F483" s="87"/>
      <c r="G483" s="87"/>
      <c r="H483" s="521"/>
      <c r="I483" s="562"/>
      <c r="J483" s="89"/>
      <c r="K483" s="89"/>
      <c r="L483" s="249"/>
      <c r="M483" s="1073"/>
      <c r="N483" s="250"/>
      <c r="O483" s="251"/>
      <c r="P483" s="252"/>
      <c r="Q483" s="46"/>
    </row>
    <row r="484" spans="1:17">
      <c r="A484" s="98"/>
      <c r="B484" s="442"/>
      <c r="C484" s="540"/>
      <c r="D484" s="166"/>
      <c r="E484" s="166"/>
      <c r="F484" s="87"/>
      <c r="G484" s="87"/>
      <c r="H484" s="521"/>
      <c r="I484" s="562"/>
      <c r="J484" s="89"/>
      <c r="K484" s="89"/>
      <c r="L484" s="249"/>
      <c r="M484" s="1073"/>
      <c r="N484" s="250"/>
      <c r="O484" s="251"/>
      <c r="P484" s="252"/>
      <c r="Q484" s="46"/>
    </row>
    <row r="485" spans="1:17">
      <c r="A485" s="98"/>
      <c r="B485" s="442"/>
      <c r="C485" s="540"/>
      <c r="D485" s="166"/>
      <c r="E485" s="166"/>
      <c r="F485" s="87"/>
      <c r="G485" s="87"/>
      <c r="H485" s="521"/>
      <c r="I485" s="562"/>
      <c r="J485" s="89"/>
      <c r="K485" s="89"/>
      <c r="L485" s="249"/>
      <c r="M485" s="1073"/>
      <c r="N485" s="250"/>
      <c r="O485" s="251"/>
      <c r="P485" s="252"/>
      <c r="Q485" s="46"/>
    </row>
    <row r="486" spans="1:17">
      <c r="A486" s="98"/>
      <c r="B486" s="442"/>
      <c r="C486" s="540"/>
      <c r="D486" s="166"/>
      <c r="E486" s="166"/>
      <c r="F486" s="87"/>
      <c r="G486" s="87"/>
      <c r="H486" s="521"/>
      <c r="I486" s="562"/>
      <c r="J486" s="89"/>
      <c r="K486" s="89"/>
      <c r="L486" s="249"/>
      <c r="M486" s="1073"/>
      <c r="N486" s="250"/>
      <c r="O486" s="251"/>
      <c r="P486" s="252"/>
      <c r="Q486" s="46"/>
    </row>
    <row r="487" spans="1:17">
      <c r="A487" s="98"/>
      <c r="B487" s="442"/>
      <c r="C487" s="540"/>
      <c r="D487" s="166"/>
      <c r="E487" s="166"/>
      <c r="F487" s="87"/>
      <c r="G487" s="87"/>
      <c r="H487" s="521"/>
      <c r="I487" s="562"/>
      <c r="J487" s="89"/>
      <c r="K487" s="89"/>
      <c r="L487" s="249"/>
      <c r="M487" s="1073"/>
      <c r="N487" s="250"/>
      <c r="O487" s="251"/>
      <c r="P487" s="252"/>
      <c r="Q487" s="46"/>
    </row>
    <row r="488" spans="1:17">
      <c r="A488" s="98"/>
      <c r="B488" s="442"/>
      <c r="C488" s="540"/>
      <c r="D488" s="166"/>
      <c r="E488" s="166"/>
      <c r="F488" s="87"/>
      <c r="G488" s="87"/>
      <c r="H488" s="521"/>
      <c r="I488" s="562"/>
      <c r="J488" s="89"/>
      <c r="K488" s="89"/>
      <c r="L488" s="249"/>
      <c r="M488" s="1073"/>
      <c r="N488" s="250"/>
      <c r="O488" s="251"/>
      <c r="P488" s="252"/>
      <c r="Q488" s="46"/>
    </row>
    <row r="489" spans="1:17">
      <c r="A489" s="98"/>
      <c r="B489" s="442"/>
      <c r="C489" s="540"/>
      <c r="D489" s="166"/>
      <c r="E489" s="166"/>
      <c r="F489" s="87"/>
      <c r="G489" s="87"/>
      <c r="H489" s="521"/>
      <c r="I489" s="562"/>
      <c r="J489" s="89"/>
      <c r="K489" s="89"/>
      <c r="L489" s="249"/>
      <c r="M489" s="1073"/>
      <c r="N489" s="250"/>
      <c r="O489" s="251"/>
      <c r="P489" s="252"/>
      <c r="Q489" s="46"/>
    </row>
    <row r="490" spans="1:17">
      <c r="A490" s="98"/>
      <c r="B490" s="442"/>
      <c r="C490" s="540"/>
      <c r="D490" s="166"/>
      <c r="E490" s="166"/>
      <c r="F490" s="87"/>
      <c r="G490" s="87"/>
      <c r="H490" s="521"/>
      <c r="I490" s="562"/>
      <c r="J490" s="89"/>
      <c r="K490" s="89"/>
      <c r="L490" s="249"/>
      <c r="M490" s="1073"/>
      <c r="N490" s="250"/>
      <c r="O490" s="251"/>
      <c r="P490" s="252"/>
      <c r="Q490" s="46"/>
    </row>
    <row r="491" spans="1:17">
      <c r="A491" s="98"/>
      <c r="B491" s="442"/>
      <c r="C491" s="540"/>
      <c r="D491" s="166"/>
      <c r="E491" s="166"/>
      <c r="F491" s="87"/>
      <c r="G491" s="87"/>
      <c r="H491" s="521"/>
      <c r="I491" s="562"/>
      <c r="J491" s="89"/>
      <c r="K491" s="89"/>
      <c r="L491" s="249"/>
      <c r="M491" s="1073"/>
      <c r="N491" s="250"/>
      <c r="O491" s="251"/>
      <c r="P491" s="252"/>
      <c r="Q491" s="46"/>
    </row>
    <row r="492" spans="1:17">
      <c r="A492" s="98"/>
      <c r="B492" s="442"/>
      <c r="C492" s="540"/>
      <c r="D492" s="166"/>
      <c r="E492" s="166"/>
      <c r="F492" s="87"/>
      <c r="G492" s="87"/>
      <c r="H492" s="521"/>
      <c r="I492" s="562"/>
      <c r="J492" s="89"/>
      <c r="K492" s="89"/>
      <c r="L492" s="249"/>
      <c r="M492" s="1073"/>
      <c r="N492" s="250"/>
      <c r="O492" s="251"/>
      <c r="P492" s="252"/>
      <c r="Q492" s="46"/>
    </row>
    <row r="493" spans="1:17">
      <c r="A493" s="98"/>
      <c r="B493" s="442"/>
      <c r="C493" s="540"/>
      <c r="D493" s="166"/>
      <c r="E493" s="166"/>
      <c r="F493" s="87"/>
      <c r="G493" s="87"/>
      <c r="H493" s="521"/>
      <c r="I493" s="562"/>
      <c r="J493" s="89"/>
      <c r="K493" s="89"/>
      <c r="L493" s="249"/>
      <c r="M493" s="1073"/>
      <c r="N493" s="250"/>
      <c r="O493" s="251"/>
      <c r="P493" s="252"/>
      <c r="Q493" s="46"/>
    </row>
    <row r="494" spans="1:17">
      <c r="A494" s="98"/>
      <c r="B494" s="442"/>
      <c r="C494" s="540"/>
      <c r="D494" s="166"/>
      <c r="E494" s="166"/>
      <c r="F494" s="87"/>
      <c r="G494" s="87"/>
      <c r="H494" s="521"/>
      <c r="I494" s="562"/>
      <c r="J494" s="89"/>
      <c r="K494" s="89"/>
      <c r="L494" s="249"/>
      <c r="M494" s="1073"/>
      <c r="N494" s="250"/>
      <c r="O494" s="251"/>
      <c r="P494" s="252"/>
      <c r="Q494" s="46"/>
    </row>
    <row r="495" spans="1:17">
      <c r="A495" s="98"/>
      <c r="B495" s="442"/>
      <c r="C495" s="540"/>
      <c r="D495" s="166"/>
      <c r="E495" s="166"/>
      <c r="F495" s="87"/>
      <c r="G495" s="87"/>
      <c r="H495" s="521"/>
      <c r="I495" s="562"/>
      <c r="J495" s="89"/>
      <c r="K495" s="89"/>
      <c r="L495" s="249"/>
      <c r="M495" s="1073"/>
      <c r="N495" s="250"/>
      <c r="O495" s="251"/>
      <c r="P495" s="252"/>
      <c r="Q495" s="46"/>
    </row>
    <row r="496" spans="1:17">
      <c r="A496" s="98"/>
      <c r="B496" s="442"/>
      <c r="C496" s="540"/>
      <c r="D496" s="166"/>
      <c r="E496" s="166"/>
      <c r="F496" s="87"/>
      <c r="G496" s="87"/>
      <c r="H496" s="521"/>
      <c r="I496" s="562"/>
      <c r="J496" s="89"/>
      <c r="K496" s="89"/>
      <c r="L496" s="249"/>
      <c r="M496" s="1073"/>
      <c r="N496" s="250"/>
      <c r="O496" s="251"/>
      <c r="P496" s="252"/>
      <c r="Q496" s="46"/>
    </row>
    <row r="497" spans="1:17">
      <c r="A497" s="98"/>
      <c r="B497" s="442"/>
      <c r="C497" s="540"/>
      <c r="D497" s="166"/>
      <c r="E497" s="166"/>
      <c r="F497" s="87"/>
      <c r="G497" s="87"/>
      <c r="H497" s="521"/>
      <c r="I497" s="562"/>
      <c r="J497" s="89"/>
      <c r="K497" s="89"/>
      <c r="L497" s="249"/>
      <c r="M497" s="1073"/>
      <c r="N497" s="250"/>
      <c r="O497" s="251"/>
      <c r="P497" s="252"/>
      <c r="Q497" s="46"/>
    </row>
    <row r="498" spans="1:17">
      <c r="A498" s="98"/>
      <c r="B498" s="442"/>
      <c r="C498" s="540"/>
      <c r="D498" s="166"/>
      <c r="E498" s="166"/>
      <c r="F498" s="87"/>
      <c r="G498" s="87"/>
      <c r="H498" s="521"/>
      <c r="I498" s="562"/>
      <c r="J498" s="89"/>
      <c r="K498" s="89"/>
      <c r="L498" s="249"/>
      <c r="M498" s="1073"/>
      <c r="N498" s="250"/>
      <c r="O498" s="251"/>
      <c r="P498" s="252"/>
      <c r="Q498" s="46"/>
    </row>
    <row r="499" spans="1:17">
      <c r="A499" s="98"/>
      <c r="B499" s="442"/>
      <c r="C499" s="540"/>
      <c r="D499" s="166"/>
      <c r="E499" s="166"/>
      <c r="F499" s="87"/>
      <c r="G499" s="87"/>
      <c r="H499" s="521"/>
      <c r="I499" s="562"/>
      <c r="J499" s="89"/>
      <c r="K499" s="89"/>
      <c r="L499" s="249"/>
      <c r="M499" s="1073"/>
      <c r="N499" s="250"/>
      <c r="O499" s="251"/>
      <c r="P499" s="252"/>
      <c r="Q499" s="46"/>
    </row>
    <row r="500" spans="1:17">
      <c r="A500" s="98"/>
      <c r="B500" s="442"/>
      <c r="C500" s="540"/>
      <c r="D500" s="166"/>
      <c r="E500" s="166"/>
      <c r="F500" s="87"/>
      <c r="G500" s="87"/>
      <c r="H500" s="521"/>
      <c r="I500" s="562"/>
      <c r="J500" s="89"/>
      <c r="K500" s="89"/>
      <c r="L500" s="249"/>
      <c r="M500" s="1073"/>
      <c r="N500" s="250"/>
      <c r="O500" s="251"/>
      <c r="P500" s="252"/>
      <c r="Q500" s="46"/>
    </row>
    <row r="501" spans="1:17">
      <c r="A501" s="98"/>
      <c r="B501" s="442"/>
      <c r="C501" s="540"/>
      <c r="D501" s="166"/>
      <c r="E501" s="166"/>
      <c r="F501" s="87"/>
      <c r="G501" s="87"/>
      <c r="H501" s="521"/>
      <c r="I501" s="562"/>
      <c r="J501" s="89"/>
      <c r="K501" s="89"/>
      <c r="L501" s="249"/>
      <c r="M501" s="1073"/>
      <c r="N501" s="250"/>
      <c r="O501" s="251"/>
      <c r="P501" s="252"/>
      <c r="Q501" s="46"/>
    </row>
    <row r="502" spans="1:17">
      <c r="A502" s="98"/>
      <c r="B502" s="442"/>
      <c r="C502" s="540"/>
      <c r="D502" s="166"/>
      <c r="E502" s="166"/>
      <c r="F502" s="87"/>
      <c r="G502" s="87"/>
      <c r="H502" s="521"/>
      <c r="I502" s="562"/>
      <c r="J502" s="89"/>
      <c r="K502" s="89"/>
      <c r="L502" s="249"/>
      <c r="M502" s="1073"/>
      <c r="N502" s="250"/>
      <c r="O502" s="251"/>
      <c r="P502" s="252"/>
      <c r="Q502" s="46"/>
    </row>
    <row r="503" spans="1:17">
      <c r="A503" s="98"/>
      <c r="B503" s="442"/>
      <c r="C503" s="540"/>
      <c r="D503" s="166"/>
      <c r="E503" s="166"/>
      <c r="F503" s="87"/>
      <c r="G503" s="87"/>
      <c r="H503" s="521"/>
      <c r="I503" s="562"/>
      <c r="J503" s="89"/>
      <c r="K503" s="89"/>
      <c r="L503" s="249"/>
      <c r="M503" s="1073"/>
      <c r="N503" s="250"/>
      <c r="O503" s="251"/>
      <c r="P503" s="252"/>
      <c r="Q503" s="46"/>
    </row>
    <row r="504" spans="1:17">
      <c r="A504" s="98"/>
      <c r="B504" s="442"/>
      <c r="C504" s="540"/>
      <c r="D504" s="166"/>
      <c r="E504" s="166"/>
      <c r="F504" s="87"/>
      <c r="G504" s="87"/>
      <c r="H504" s="521"/>
      <c r="I504" s="562"/>
      <c r="J504" s="89"/>
      <c r="K504" s="89"/>
      <c r="L504" s="249"/>
      <c r="M504" s="1073"/>
      <c r="N504" s="250"/>
      <c r="O504" s="251"/>
      <c r="P504" s="252"/>
      <c r="Q504" s="46"/>
    </row>
    <row r="505" spans="1:17">
      <c r="A505" s="98"/>
      <c r="B505" s="442"/>
      <c r="C505" s="540"/>
      <c r="D505" s="166"/>
      <c r="E505" s="166"/>
      <c r="F505" s="87"/>
      <c r="G505" s="87"/>
      <c r="H505" s="521"/>
      <c r="I505" s="562"/>
      <c r="J505" s="89"/>
      <c r="K505" s="89"/>
      <c r="L505" s="249"/>
      <c r="M505" s="1073"/>
      <c r="N505" s="250"/>
      <c r="O505" s="251"/>
      <c r="P505" s="252"/>
      <c r="Q505" s="46"/>
    </row>
    <row r="506" spans="1:17">
      <c r="A506" s="98"/>
      <c r="B506" s="442"/>
      <c r="C506" s="540"/>
      <c r="D506" s="166"/>
      <c r="E506" s="166"/>
      <c r="F506" s="87"/>
      <c r="G506" s="87"/>
      <c r="H506" s="521"/>
      <c r="I506" s="562"/>
      <c r="J506" s="89"/>
      <c r="K506" s="89"/>
      <c r="L506" s="249"/>
      <c r="M506" s="1073"/>
      <c r="N506" s="250"/>
      <c r="O506" s="251"/>
      <c r="P506" s="252"/>
      <c r="Q506" s="46"/>
    </row>
    <row r="507" spans="1:17">
      <c r="A507" s="98"/>
      <c r="B507" s="442"/>
      <c r="C507" s="540"/>
      <c r="D507" s="166"/>
      <c r="E507" s="166"/>
      <c r="F507" s="87"/>
      <c r="G507" s="87"/>
      <c r="H507" s="521"/>
      <c r="I507" s="562"/>
      <c r="J507" s="89"/>
      <c r="K507" s="89"/>
      <c r="L507" s="249"/>
      <c r="M507" s="1073"/>
      <c r="N507" s="250"/>
      <c r="O507" s="251"/>
      <c r="P507" s="252"/>
      <c r="Q507" s="46"/>
    </row>
    <row r="508" spans="1:17">
      <c r="A508" s="98"/>
      <c r="B508" s="442"/>
      <c r="C508" s="540"/>
      <c r="D508" s="166"/>
      <c r="E508" s="166"/>
      <c r="F508" s="87"/>
      <c r="G508" s="87"/>
      <c r="H508" s="521"/>
      <c r="I508" s="562"/>
      <c r="J508" s="89"/>
      <c r="K508" s="89"/>
      <c r="L508" s="249"/>
      <c r="M508" s="1073"/>
      <c r="N508" s="250"/>
      <c r="O508" s="251"/>
      <c r="P508" s="252"/>
      <c r="Q508" s="46"/>
    </row>
    <row r="509" spans="1:17">
      <c r="A509" s="98"/>
      <c r="B509" s="442"/>
      <c r="C509" s="540"/>
      <c r="D509" s="166"/>
      <c r="E509" s="166"/>
      <c r="F509" s="87"/>
      <c r="G509" s="87"/>
      <c r="H509" s="521"/>
      <c r="I509" s="562"/>
      <c r="J509" s="89"/>
      <c r="K509" s="89"/>
      <c r="L509" s="249"/>
      <c r="M509" s="1073"/>
      <c r="N509" s="250"/>
      <c r="O509" s="251"/>
      <c r="P509" s="252"/>
      <c r="Q509" s="46"/>
    </row>
    <row r="510" spans="1:17">
      <c r="A510" s="98"/>
      <c r="B510" s="442"/>
      <c r="C510" s="540"/>
      <c r="D510" s="166"/>
      <c r="E510" s="166"/>
      <c r="F510" s="87"/>
      <c r="G510" s="87"/>
      <c r="H510" s="521"/>
      <c r="I510" s="562"/>
      <c r="J510" s="89"/>
      <c r="K510" s="89"/>
      <c r="L510" s="249"/>
      <c r="M510" s="1073"/>
      <c r="N510" s="250"/>
      <c r="O510" s="251"/>
      <c r="P510" s="252"/>
      <c r="Q510" s="46"/>
    </row>
    <row r="511" spans="1:17">
      <c r="A511" s="98"/>
      <c r="B511" s="442"/>
      <c r="C511" s="540"/>
      <c r="D511" s="166"/>
      <c r="E511" s="166"/>
      <c r="F511" s="87"/>
      <c r="G511" s="87"/>
      <c r="H511" s="521"/>
      <c r="I511" s="562"/>
      <c r="J511" s="89"/>
      <c r="K511" s="89"/>
      <c r="L511" s="249"/>
      <c r="M511" s="1073"/>
      <c r="N511" s="250"/>
      <c r="O511" s="251"/>
      <c r="P511" s="252"/>
      <c r="Q511" s="46"/>
    </row>
    <row r="512" spans="1:17">
      <c r="A512" s="98"/>
      <c r="B512" s="442"/>
      <c r="C512" s="540"/>
      <c r="D512" s="166"/>
      <c r="E512" s="166"/>
      <c r="F512" s="87"/>
      <c r="G512" s="87"/>
      <c r="H512" s="521"/>
      <c r="I512" s="562"/>
      <c r="J512" s="89"/>
      <c r="K512" s="89"/>
      <c r="L512" s="249"/>
      <c r="M512" s="1073"/>
      <c r="N512" s="250"/>
      <c r="O512" s="251"/>
      <c r="P512" s="252"/>
      <c r="Q512" s="46"/>
    </row>
    <row r="513" spans="1:17">
      <c r="A513" s="98"/>
      <c r="B513" s="442"/>
      <c r="C513" s="540"/>
      <c r="D513" s="166"/>
      <c r="E513" s="166"/>
      <c r="F513" s="87"/>
      <c r="G513" s="87"/>
      <c r="H513" s="521"/>
      <c r="I513" s="562"/>
      <c r="J513" s="89"/>
      <c r="K513" s="89"/>
      <c r="L513" s="249"/>
      <c r="M513" s="1073"/>
      <c r="N513" s="250"/>
      <c r="O513" s="251"/>
      <c r="P513" s="252"/>
      <c r="Q513" s="46"/>
    </row>
    <row r="514" spans="1:17">
      <c r="A514" s="98"/>
      <c r="B514" s="442"/>
      <c r="C514" s="540"/>
      <c r="D514" s="166"/>
      <c r="E514" s="166"/>
      <c r="F514" s="87"/>
      <c r="G514" s="87"/>
      <c r="H514" s="521"/>
      <c r="I514" s="562"/>
      <c r="J514" s="89"/>
      <c r="K514" s="89"/>
      <c r="L514" s="249"/>
      <c r="M514" s="1073"/>
      <c r="N514" s="250"/>
      <c r="O514" s="251"/>
      <c r="P514" s="252"/>
      <c r="Q514" s="46"/>
    </row>
    <row r="515" spans="1:17">
      <c r="A515" s="98"/>
      <c r="B515" s="442"/>
      <c r="C515" s="540"/>
      <c r="D515" s="166"/>
      <c r="E515" s="166"/>
      <c r="F515" s="87"/>
      <c r="G515" s="87"/>
      <c r="H515" s="521"/>
      <c r="I515" s="562"/>
      <c r="J515" s="89"/>
      <c r="K515" s="89"/>
      <c r="L515" s="249"/>
      <c r="M515" s="1073"/>
      <c r="N515" s="250"/>
      <c r="O515" s="251"/>
      <c r="P515" s="252"/>
      <c r="Q515" s="46"/>
    </row>
    <row r="516" spans="1:17">
      <c r="A516" s="98"/>
      <c r="B516" s="442"/>
      <c r="C516" s="540"/>
      <c r="D516" s="166"/>
      <c r="E516" s="166"/>
      <c r="F516" s="87"/>
      <c r="G516" s="87"/>
      <c r="H516" s="521"/>
      <c r="I516" s="562"/>
      <c r="J516" s="89"/>
      <c r="K516" s="89"/>
      <c r="L516" s="249"/>
      <c r="M516" s="1073"/>
      <c r="N516" s="250"/>
      <c r="O516" s="251"/>
      <c r="P516" s="252"/>
      <c r="Q516" s="46"/>
    </row>
    <row r="517" spans="1:17">
      <c r="A517" s="98"/>
      <c r="B517" s="442"/>
      <c r="C517" s="540"/>
      <c r="D517" s="166"/>
      <c r="E517" s="166"/>
      <c r="F517" s="87"/>
      <c r="G517" s="87"/>
      <c r="H517" s="521"/>
      <c r="I517" s="562"/>
      <c r="J517" s="89"/>
      <c r="K517" s="89"/>
      <c r="L517" s="249"/>
      <c r="M517" s="1073"/>
      <c r="N517" s="250"/>
      <c r="O517" s="251"/>
      <c r="P517" s="252"/>
      <c r="Q517" s="46"/>
    </row>
    <row r="518" spans="1:17">
      <c r="A518" s="98"/>
      <c r="B518" s="442"/>
      <c r="C518" s="540"/>
      <c r="D518" s="166"/>
      <c r="E518" s="166"/>
      <c r="F518" s="87"/>
      <c r="G518" s="87"/>
      <c r="H518" s="521"/>
      <c r="I518" s="562"/>
      <c r="J518" s="89"/>
      <c r="K518" s="89"/>
      <c r="L518" s="249"/>
      <c r="M518" s="1073"/>
      <c r="N518" s="250"/>
      <c r="O518" s="251"/>
      <c r="P518" s="252"/>
      <c r="Q518" s="46"/>
    </row>
    <row r="519" spans="1:17">
      <c r="A519" s="98"/>
      <c r="B519" s="442"/>
      <c r="C519" s="540"/>
      <c r="D519" s="166"/>
      <c r="E519" s="166"/>
      <c r="F519" s="87"/>
      <c r="G519" s="87"/>
      <c r="H519" s="521"/>
      <c r="I519" s="562"/>
      <c r="J519" s="89"/>
      <c r="K519" s="89"/>
      <c r="L519" s="249"/>
      <c r="M519" s="1073"/>
      <c r="N519" s="250"/>
      <c r="O519" s="251"/>
      <c r="P519" s="252"/>
      <c r="Q519" s="46"/>
    </row>
    <row r="520" spans="1:17">
      <c r="A520" s="98"/>
      <c r="B520" s="442"/>
      <c r="C520" s="540"/>
      <c r="D520" s="166"/>
      <c r="E520" s="166"/>
      <c r="F520" s="87"/>
      <c r="G520" s="87"/>
      <c r="H520" s="521"/>
      <c r="I520" s="562"/>
      <c r="J520" s="89"/>
      <c r="K520" s="89"/>
      <c r="L520" s="249"/>
      <c r="M520" s="1073"/>
      <c r="N520" s="250"/>
      <c r="O520" s="251"/>
      <c r="P520" s="252"/>
      <c r="Q520" s="46"/>
    </row>
    <row r="521" spans="1:17">
      <c r="A521" s="98"/>
      <c r="B521" s="442"/>
      <c r="C521" s="540"/>
      <c r="D521" s="166"/>
      <c r="E521" s="166"/>
      <c r="F521" s="87"/>
      <c r="G521" s="87"/>
      <c r="H521" s="521"/>
      <c r="I521" s="562"/>
      <c r="J521" s="89"/>
      <c r="K521" s="89"/>
      <c r="L521" s="249"/>
      <c r="M521" s="1073"/>
      <c r="N521" s="250"/>
      <c r="O521" s="251"/>
      <c r="P521" s="252"/>
      <c r="Q521" s="46"/>
    </row>
    <row r="522" spans="1:17">
      <c r="A522" s="98"/>
      <c r="B522" s="442"/>
      <c r="C522" s="540"/>
      <c r="D522" s="166"/>
      <c r="E522" s="166"/>
      <c r="F522" s="87"/>
      <c r="G522" s="87"/>
      <c r="H522" s="521"/>
      <c r="I522" s="562"/>
      <c r="J522" s="89"/>
      <c r="K522" s="89"/>
      <c r="L522" s="249"/>
      <c r="M522" s="1073"/>
      <c r="N522" s="250"/>
      <c r="O522" s="251"/>
      <c r="P522" s="252"/>
      <c r="Q522" s="46"/>
    </row>
    <row r="523" spans="1:17">
      <c r="A523" s="98"/>
      <c r="B523" s="442"/>
      <c r="C523" s="540"/>
      <c r="D523" s="166"/>
      <c r="E523" s="166"/>
      <c r="F523" s="87"/>
      <c r="G523" s="87"/>
      <c r="H523" s="521"/>
      <c r="I523" s="562"/>
      <c r="J523" s="89"/>
      <c r="K523" s="89"/>
      <c r="L523" s="249"/>
      <c r="M523" s="1073"/>
      <c r="N523" s="250"/>
      <c r="O523" s="251"/>
      <c r="P523" s="252"/>
      <c r="Q523" s="46"/>
    </row>
    <row r="524" spans="1:17">
      <c r="A524" s="98"/>
      <c r="B524" s="442"/>
      <c r="C524" s="540"/>
      <c r="D524" s="166"/>
      <c r="E524" s="166"/>
      <c r="F524" s="87"/>
      <c r="G524" s="87"/>
      <c r="H524" s="521"/>
      <c r="I524" s="562"/>
      <c r="J524" s="89"/>
      <c r="K524" s="89"/>
      <c r="L524" s="249"/>
      <c r="M524" s="1073"/>
      <c r="N524" s="250"/>
      <c r="O524" s="251"/>
      <c r="P524" s="252"/>
      <c r="Q524" s="46"/>
    </row>
    <row r="525" spans="1:17">
      <c r="A525" s="98"/>
      <c r="B525" s="442"/>
      <c r="C525" s="540"/>
      <c r="D525" s="166"/>
      <c r="E525" s="166"/>
      <c r="F525" s="87"/>
      <c r="G525" s="87"/>
      <c r="H525" s="521"/>
      <c r="I525" s="562"/>
      <c r="J525" s="89"/>
      <c r="K525" s="89"/>
      <c r="L525" s="249"/>
      <c r="M525" s="1073"/>
      <c r="N525" s="250"/>
      <c r="O525" s="251"/>
      <c r="P525" s="252"/>
      <c r="Q525" s="46"/>
    </row>
    <row r="526" spans="1:17">
      <c r="A526" s="98"/>
      <c r="B526" s="442"/>
      <c r="C526" s="540"/>
      <c r="D526" s="166"/>
      <c r="E526" s="166"/>
      <c r="F526" s="87"/>
      <c r="G526" s="87"/>
      <c r="H526" s="521"/>
      <c r="I526" s="562"/>
      <c r="J526" s="89"/>
      <c r="K526" s="89"/>
      <c r="L526" s="249"/>
      <c r="M526" s="1073"/>
      <c r="N526" s="250"/>
      <c r="O526" s="251"/>
      <c r="P526" s="252"/>
      <c r="Q526" s="46"/>
    </row>
    <row r="527" spans="1:17">
      <c r="A527" s="98"/>
      <c r="B527" s="442"/>
      <c r="C527" s="540"/>
      <c r="D527" s="166"/>
      <c r="E527" s="166"/>
      <c r="F527" s="87"/>
      <c r="G527" s="87"/>
      <c r="H527" s="521"/>
      <c r="I527" s="562"/>
      <c r="J527" s="89"/>
      <c r="K527" s="89"/>
      <c r="L527" s="249"/>
      <c r="M527" s="1073"/>
      <c r="N527" s="250"/>
      <c r="O527" s="251"/>
      <c r="P527" s="252"/>
      <c r="Q527" s="46"/>
    </row>
    <row r="528" spans="1:17">
      <c r="A528" s="98"/>
      <c r="B528" s="442"/>
      <c r="C528" s="540"/>
      <c r="D528" s="166"/>
      <c r="E528" s="166"/>
      <c r="F528" s="87"/>
      <c r="G528" s="87"/>
      <c r="H528" s="521"/>
      <c r="I528" s="562"/>
      <c r="J528" s="89"/>
      <c r="K528" s="89"/>
      <c r="L528" s="249"/>
      <c r="M528" s="1073"/>
      <c r="N528" s="250"/>
      <c r="O528" s="251"/>
      <c r="P528" s="252"/>
      <c r="Q528" s="46"/>
    </row>
    <row r="529" spans="1:17">
      <c r="A529" s="98"/>
      <c r="B529" s="442"/>
      <c r="C529" s="540"/>
      <c r="D529" s="166"/>
      <c r="E529" s="166"/>
      <c r="F529" s="87"/>
      <c r="G529" s="87"/>
      <c r="H529" s="521"/>
      <c r="I529" s="562"/>
      <c r="J529" s="89"/>
      <c r="K529" s="89"/>
      <c r="L529" s="249"/>
      <c r="M529" s="1073"/>
      <c r="N529" s="250"/>
      <c r="O529" s="251"/>
      <c r="P529" s="252"/>
      <c r="Q529" s="46"/>
    </row>
    <row r="530" spans="1:17">
      <c r="A530" s="98"/>
      <c r="B530" s="442"/>
      <c r="C530" s="540"/>
      <c r="D530" s="166"/>
      <c r="E530" s="166"/>
      <c r="F530" s="87"/>
      <c r="G530" s="87"/>
      <c r="H530" s="521"/>
      <c r="I530" s="562"/>
      <c r="J530" s="89"/>
      <c r="K530" s="89"/>
      <c r="L530" s="249"/>
      <c r="M530" s="1073"/>
      <c r="N530" s="250"/>
      <c r="O530" s="251"/>
      <c r="P530" s="252"/>
      <c r="Q530" s="46"/>
    </row>
    <row r="531" spans="1:17">
      <c r="A531" s="98"/>
      <c r="B531" s="442"/>
      <c r="C531" s="540"/>
      <c r="D531" s="166"/>
      <c r="E531" s="166"/>
      <c r="F531" s="87"/>
      <c r="G531" s="87"/>
      <c r="H531" s="521"/>
      <c r="I531" s="562"/>
      <c r="J531" s="89"/>
      <c r="K531" s="89"/>
      <c r="L531" s="249"/>
      <c r="M531" s="1073"/>
      <c r="N531" s="250"/>
      <c r="O531" s="251"/>
      <c r="P531" s="252"/>
      <c r="Q531" s="46"/>
    </row>
    <row r="532" spans="1:17">
      <c r="A532" s="98"/>
      <c r="B532" s="442"/>
      <c r="C532" s="540"/>
      <c r="D532" s="166"/>
      <c r="E532" s="166"/>
      <c r="F532" s="87"/>
      <c r="G532" s="87"/>
      <c r="H532" s="521"/>
      <c r="I532" s="562"/>
      <c r="J532" s="89"/>
      <c r="K532" s="89"/>
      <c r="L532" s="249"/>
      <c r="M532" s="1073"/>
      <c r="N532" s="250"/>
      <c r="O532" s="251"/>
      <c r="P532" s="252"/>
      <c r="Q532" s="46"/>
    </row>
    <row r="533" spans="1:17">
      <c r="A533" s="98"/>
      <c r="B533" s="442"/>
      <c r="C533" s="540"/>
      <c r="D533" s="166"/>
      <c r="E533" s="166"/>
      <c r="F533" s="87"/>
      <c r="G533" s="87"/>
      <c r="H533" s="521"/>
      <c r="I533" s="562"/>
      <c r="J533" s="89"/>
      <c r="K533" s="89"/>
      <c r="L533" s="249"/>
      <c r="M533" s="1073"/>
      <c r="N533" s="250"/>
      <c r="O533" s="251"/>
      <c r="P533" s="252"/>
      <c r="Q533" s="46"/>
    </row>
    <row r="534" spans="1:17">
      <c r="A534" s="98"/>
      <c r="B534" s="442"/>
      <c r="C534" s="540"/>
      <c r="D534" s="166"/>
      <c r="E534" s="166"/>
      <c r="F534" s="87"/>
      <c r="G534" s="87"/>
      <c r="H534" s="521"/>
      <c r="I534" s="562"/>
      <c r="J534" s="89"/>
      <c r="K534" s="89"/>
      <c r="L534" s="249"/>
      <c r="M534" s="1073"/>
      <c r="N534" s="250"/>
      <c r="O534" s="251"/>
      <c r="P534" s="252"/>
      <c r="Q534" s="46"/>
    </row>
    <row r="535" spans="1:17">
      <c r="A535" s="98"/>
      <c r="B535" s="442"/>
      <c r="C535" s="540"/>
      <c r="D535" s="166"/>
      <c r="E535" s="166"/>
      <c r="F535" s="87"/>
      <c r="G535" s="87"/>
      <c r="H535" s="521"/>
      <c r="I535" s="562"/>
      <c r="J535" s="89"/>
      <c r="K535" s="89"/>
      <c r="L535" s="249"/>
      <c r="M535" s="1073"/>
      <c r="N535" s="250"/>
      <c r="O535" s="251"/>
      <c r="P535" s="252"/>
      <c r="Q535" s="46"/>
    </row>
    <row r="536" spans="1:17">
      <c r="A536" s="98"/>
      <c r="B536" s="442"/>
      <c r="C536" s="540"/>
      <c r="D536" s="166"/>
      <c r="E536" s="166"/>
      <c r="F536" s="87"/>
      <c r="G536" s="87"/>
      <c r="H536" s="521"/>
      <c r="I536" s="562"/>
      <c r="J536" s="89"/>
      <c r="K536" s="89"/>
      <c r="L536" s="249"/>
      <c r="M536" s="1073"/>
      <c r="N536" s="250"/>
      <c r="O536" s="251"/>
      <c r="P536" s="252"/>
      <c r="Q536" s="46"/>
    </row>
    <row r="537" spans="1:17">
      <c r="A537" s="98"/>
      <c r="B537" s="442"/>
      <c r="C537" s="540"/>
      <c r="D537" s="166"/>
      <c r="E537" s="166"/>
      <c r="F537" s="87"/>
      <c r="G537" s="87"/>
      <c r="H537" s="521"/>
      <c r="I537" s="562"/>
      <c r="J537" s="89"/>
      <c r="K537" s="89"/>
      <c r="L537" s="249"/>
      <c r="M537" s="1073"/>
      <c r="N537" s="250"/>
      <c r="O537" s="251"/>
      <c r="P537" s="252"/>
      <c r="Q537" s="46"/>
    </row>
    <row r="538" spans="1:17">
      <c r="A538" s="98"/>
      <c r="B538" s="442"/>
      <c r="C538" s="540"/>
      <c r="D538" s="166"/>
      <c r="E538" s="166"/>
      <c r="F538" s="87"/>
      <c r="G538" s="87"/>
      <c r="H538" s="521"/>
      <c r="I538" s="562"/>
      <c r="J538" s="89"/>
      <c r="K538" s="89"/>
      <c r="L538" s="249"/>
      <c r="M538" s="1073"/>
      <c r="N538" s="250"/>
      <c r="O538" s="251"/>
      <c r="P538" s="252"/>
      <c r="Q538" s="46"/>
    </row>
    <row r="539" spans="1:17">
      <c r="A539" s="98"/>
      <c r="B539" s="442"/>
      <c r="C539" s="540"/>
      <c r="D539" s="166"/>
      <c r="E539" s="166"/>
      <c r="F539" s="87"/>
      <c r="G539" s="87"/>
      <c r="H539" s="521"/>
      <c r="I539" s="562"/>
      <c r="J539" s="89"/>
      <c r="K539" s="89"/>
      <c r="L539" s="249"/>
      <c r="M539" s="1073"/>
      <c r="N539" s="250"/>
      <c r="O539" s="251"/>
      <c r="P539" s="252"/>
      <c r="Q539" s="46"/>
    </row>
    <row r="540" spans="1:17">
      <c r="A540" s="98"/>
      <c r="B540" s="442"/>
      <c r="C540" s="540"/>
      <c r="D540" s="166"/>
      <c r="E540" s="166"/>
      <c r="F540" s="87"/>
      <c r="G540" s="87"/>
      <c r="H540" s="521"/>
      <c r="I540" s="562"/>
      <c r="J540" s="89"/>
      <c r="K540" s="89"/>
      <c r="L540" s="249"/>
      <c r="M540" s="1073"/>
      <c r="N540" s="250"/>
      <c r="O540" s="251"/>
      <c r="P540" s="252"/>
      <c r="Q540" s="46"/>
    </row>
    <row r="541" spans="1:17">
      <c r="A541" s="98"/>
      <c r="B541" s="442"/>
      <c r="C541" s="540"/>
      <c r="D541" s="166"/>
      <c r="E541" s="166"/>
      <c r="F541" s="87"/>
      <c r="G541" s="87"/>
      <c r="H541" s="521"/>
      <c r="I541" s="562"/>
      <c r="J541" s="89"/>
      <c r="K541" s="89"/>
      <c r="L541" s="249"/>
      <c r="M541" s="1073"/>
      <c r="N541" s="250"/>
      <c r="O541" s="251"/>
      <c r="P541" s="252"/>
      <c r="Q541" s="46"/>
    </row>
    <row r="542" spans="1:17">
      <c r="A542" s="98"/>
      <c r="B542" s="442"/>
      <c r="C542" s="540"/>
      <c r="D542" s="166"/>
      <c r="E542" s="166"/>
      <c r="F542" s="87"/>
      <c r="G542" s="87"/>
      <c r="H542" s="521"/>
      <c r="I542" s="562"/>
      <c r="J542" s="89"/>
      <c r="K542" s="89"/>
      <c r="L542" s="249"/>
      <c r="M542" s="1073"/>
      <c r="N542" s="250"/>
      <c r="O542" s="251"/>
      <c r="P542" s="252"/>
      <c r="Q542" s="46"/>
    </row>
    <row r="543" spans="1:17">
      <c r="A543" s="98"/>
      <c r="B543" s="442"/>
      <c r="C543" s="540"/>
      <c r="D543" s="166"/>
      <c r="E543" s="166"/>
      <c r="F543" s="87"/>
      <c r="G543" s="87"/>
      <c r="H543" s="521"/>
      <c r="I543" s="562"/>
      <c r="J543" s="89"/>
      <c r="K543" s="89"/>
      <c r="L543" s="249"/>
      <c r="M543" s="1073"/>
      <c r="N543" s="250"/>
      <c r="O543" s="251"/>
      <c r="P543" s="252"/>
      <c r="Q543" s="46"/>
    </row>
    <row r="544" spans="1:17">
      <c r="A544" s="98"/>
      <c r="B544" s="442"/>
      <c r="C544" s="540"/>
      <c r="D544" s="166"/>
      <c r="E544" s="166"/>
      <c r="F544" s="87"/>
      <c r="G544" s="87"/>
      <c r="H544" s="521"/>
      <c r="I544" s="562"/>
      <c r="J544" s="89"/>
      <c r="K544" s="89"/>
      <c r="L544" s="249"/>
      <c r="M544" s="1073"/>
      <c r="N544" s="250"/>
      <c r="O544" s="251"/>
      <c r="P544" s="252"/>
      <c r="Q544" s="46"/>
    </row>
    <row r="545" spans="1:17">
      <c r="A545" s="98"/>
      <c r="B545" s="442"/>
      <c r="C545" s="540"/>
      <c r="D545" s="166"/>
      <c r="E545" s="166"/>
      <c r="F545" s="87"/>
      <c r="G545" s="87"/>
      <c r="H545" s="521"/>
      <c r="I545" s="562"/>
      <c r="J545" s="89"/>
      <c r="K545" s="89"/>
      <c r="L545" s="249"/>
      <c r="M545" s="1073"/>
      <c r="N545" s="250"/>
      <c r="O545" s="251"/>
      <c r="P545" s="252"/>
      <c r="Q545" s="46"/>
    </row>
    <row r="546" spans="1:17">
      <c r="A546" s="98"/>
      <c r="B546" s="442"/>
      <c r="C546" s="540"/>
      <c r="D546" s="166"/>
      <c r="E546" s="166"/>
      <c r="F546" s="87"/>
      <c r="G546" s="87"/>
      <c r="H546" s="521"/>
      <c r="I546" s="562"/>
      <c r="J546" s="89"/>
      <c r="K546" s="89"/>
      <c r="L546" s="249"/>
      <c r="M546" s="1073"/>
      <c r="N546" s="250"/>
      <c r="O546" s="251"/>
      <c r="P546" s="252"/>
      <c r="Q546" s="46"/>
    </row>
    <row r="547" spans="1:17">
      <c r="A547" s="98"/>
      <c r="B547" s="442"/>
      <c r="C547" s="540"/>
      <c r="D547" s="166"/>
      <c r="E547" s="166"/>
      <c r="F547" s="87"/>
      <c r="G547" s="87"/>
      <c r="H547" s="521"/>
      <c r="I547" s="562"/>
      <c r="J547" s="89"/>
      <c r="K547" s="89"/>
      <c r="L547" s="249"/>
      <c r="M547" s="1073"/>
      <c r="N547" s="250"/>
      <c r="O547" s="251"/>
      <c r="P547" s="252"/>
      <c r="Q547" s="46"/>
    </row>
    <row r="548" spans="1:17">
      <c r="A548" s="98"/>
      <c r="B548" s="442"/>
      <c r="C548" s="540"/>
      <c r="D548" s="166"/>
      <c r="E548" s="166"/>
      <c r="F548" s="87"/>
      <c r="G548" s="87"/>
      <c r="H548" s="521"/>
      <c r="I548" s="562"/>
      <c r="J548" s="89"/>
      <c r="K548" s="89"/>
      <c r="L548" s="249"/>
      <c r="M548" s="1073"/>
      <c r="N548" s="250"/>
      <c r="O548" s="251"/>
      <c r="P548" s="252"/>
      <c r="Q548" s="46"/>
    </row>
    <row r="549" spans="1:17">
      <c r="A549" s="98"/>
      <c r="B549" s="442"/>
      <c r="C549" s="540"/>
      <c r="D549" s="166"/>
      <c r="E549" s="166"/>
      <c r="F549" s="87"/>
      <c r="G549" s="87"/>
      <c r="H549" s="521"/>
      <c r="I549" s="562"/>
      <c r="J549" s="89"/>
      <c r="K549" s="89"/>
      <c r="L549" s="249"/>
      <c r="M549" s="1073"/>
      <c r="N549" s="250"/>
      <c r="O549" s="251"/>
      <c r="P549" s="252"/>
      <c r="Q549" s="46"/>
    </row>
    <row r="550" spans="1:17">
      <c r="A550" s="98"/>
      <c r="B550" s="442"/>
      <c r="C550" s="540"/>
      <c r="D550" s="166"/>
      <c r="E550" s="166"/>
      <c r="F550" s="87"/>
      <c r="G550" s="87"/>
      <c r="H550" s="521"/>
      <c r="I550" s="562"/>
      <c r="J550" s="89"/>
      <c r="K550" s="89"/>
      <c r="L550" s="249"/>
      <c r="M550" s="1073"/>
      <c r="N550" s="250"/>
      <c r="O550" s="251"/>
      <c r="P550" s="252"/>
      <c r="Q550" s="46"/>
    </row>
    <row r="551" spans="1:17">
      <c r="A551" s="98"/>
      <c r="B551" s="442"/>
      <c r="C551" s="540"/>
      <c r="D551" s="166"/>
      <c r="E551" s="166"/>
      <c r="F551" s="87"/>
      <c r="G551" s="87"/>
      <c r="H551" s="521"/>
      <c r="I551" s="562"/>
      <c r="J551" s="89"/>
      <c r="K551" s="89"/>
      <c r="L551" s="249"/>
      <c r="M551" s="1073"/>
      <c r="N551" s="250"/>
      <c r="O551" s="251"/>
      <c r="P551" s="252"/>
      <c r="Q551" s="46"/>
    </row>
  </sheetData>
  <mergeCells count="28">
    <mergeCell ref="A149:H149"/>
    <mergeCell ref="A76:H76"/>
    <mergeCell ref="A108:H108"/>
    <mergeCell ref="A105:H105"/>
    <mergeCell ref="A89:H89"/>
    <mergeCell ref="A83:H83"/>
    <mergeCell ref="A124:H124"/>
    <mergeCell ref="A128:H128"/>
    <mergeCell ref="A134:H134"/>
    <mergeCell ref="A147:H147"/>
    <mergeCell ref="A145:H145"/>
    <mergeCell ref="A140:H140"/>
    <mergeCell ref="A132:H132"/>
    <mergeCell ref="A126:H126"/>
    <mergeCell ref="A138:H138"/>
    <mergeCell ref="A2:H2"/>
    <mergeCell ref="A5:H5"/>
    <mergeCell ref="A8:H8"/>
    <mergeCell ref="A16:H16"/>
    <mergeCell ref="A22:H22"/>
    <mergeCell ref="A33:H33"/>
    <mergeCell ref="A121:H121"/>
    <mergeCell ref="A66:H66"/>
    <mergeCell ref="A51:H51"/>
    <mergeCell ref="A44:H44"/>
    <mergeCell ref="A38:H38"/>
    <mergeCell ref="A98:H98"/>
    <mergeCell ref="A115:H115"/>
  </mergeCells>
  <phoneticPr fontId="49" type="noConversion"/>
  <hyperlinks>
    <hyperlink ref="D6" r:id="rId1" display="javascript:void(0)"/>
    <hyperlink ref="D20" r:id="rId2" display="javascript:void(0)"/>
    <hyperlink ref="D21" r:id="rId3" display="javascript:void(0)"/>
    <hyperlink ref="B36" r:id="rId4" display="javascript:void(0)"/>
    <hyperlink ref="B42" r:id="rId5" display="javascript:void(0)"/>
    <hyperlink ref="B43" r:id="rId6" display="javascript:void(0)"/>
    <hyperlink ref="B95" r:id="rId7" display="javascript:void(0)"/>
    <hyperlink ref="B96" r:id="rId8" display="javascript:void(0)"/>
    <hyperlink ref="B100" r:id="rId9" display="javascript:void(0)"/>
    <hyperlink ref="D102" r:id="rId10" display="javascript:void(0)"/>
    <hyperlink ref="B107" r:id="rId11" display="javascript:void(0)"/>
  </hyperlinks>
  <pageMargins left="0.7" right="0.7" top="0.75" bottom="0.75" header="0.3" footer="0.3"/>
  <pageSetup paperSize="9" orientation="portrait" r:id="rId12"/>
  <drawing r:id="rId13"/>
  <legacyDrawing r:id="rId14"/>
  <controls>
    <mc:AlternateContent xmlns:mc="http://schemas.openxmlformats.org/markup-compatibility/2006">
      <mc:Choice Requires="x14">
        <control shapeId="18433" r:id="rId15" name="Control 1">
          <controlPr defaultSize="0" r:id="rId16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22860</xdr:rowOff>
              </to>
            </anchor>
          </controlPr>
        </control>
      </mc:Choice>
      <mc:Fallback>
        <control shapeId="18433" r:id="rId15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9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17" sqref="K17"/>
    </sheetView>
  </sheetViews>
  <sheetFormatPr defaultColWidth="10.33203125" defaultRowHeight="13.2"/>
  <cols>
    <col min="1" max="1" width="3.88671875" style="1" customWidth="1"/>
    <col min="2" max="2" width="19.33203125" style="6" customWidth="1"/>
    <col min="3" max="3" width="34" style="4" hidden="1" customWidth="1"/>
    <col min="4" max="4" width="38" style="4" customWidth="1"/>
    <col min="5" max="5" width="19.88671875" style="4" customWidth="1"/>
    <col min="6" max="8" width="5.109375" style="6" customWidth="1"/>
    <col min="9" max="9" width="8.88671875" style="6" customWidth="1"/>
    <col min="10" max="10" width="10.88671875" style="5" customWidth="1"/>
    <col min="11" max="11" width="20.5546875" style="7" customWidth="1"/>
    <col min="12" max="12" width="14.6640625" style="5" customWidth="1"/>
    <col min="13" max="13" width="12.33203125" style="5" hidden="1" customWidth="1"/>
    <col min="14" max="14" width="11.5546875" style="6" hidden="1" customWidth="1"/>
    <col min="15" max="15" width="10" style="1" hidden="1" customWidth="1"/>
    <col min="16" max="16" width="12.44140625" style="6" hidden="1" customWidth="1"/>
    <col min="17" max="18" width="15.33203125" style="1878" hidden="1" customWidth="1"/>
    <col min="19" max="19" width="12.6640625" style="1877" hidden="1" customWidth="1"/>
    <col min="20" max="20" width="13.109375" style="1877" hidden="1" customWidth="1"/>
    <col min="21" max="21" width="13" style="1877" hidden="1" customWidth="1"/>
    <col min="22" max="22" width="11.88671875" style="1877" hidden="1" customWidth="1"/>
    <col min="23" max="23" width="15.33203125" style="1878" hidden="1" customWidth="1"/>
    <col min="24" max="24" width="13.33203125" style="1877" hidden="1" customWidth="1"/>
    <col min="25" max="25" width="16.33203125" style="1877" hidden="1" customWidth="1"/>
    <col min="26" max="26" width="34.33203125" style="1911" customWidth="1"/>
    <col min="27" max="27" width="19.44140625" style="1877" customWidth="1"/>
    <col min="28" max="28" width="18.6640625" style="1912" customWidth="1"/>
    <col min="29" max="29" width="18.5546875" style="1881" customWidth="1"/>
    <col min="30" max="30" width="18.5546875" style="1913" customWidth="1"/>
    <col min="31" max="31" width="19" style="1350" customWidth="1"/>
    <col min="32" max="195" width="10.33203125" style="1393"/>
    <col min="196" max="196" width="7" style="1393" customWidth="1"/>
    <col min="197" max="197" width="13" style="1393" customWidth="1"/>
    <col min="198" max="198" width="14.109375" style="1393" customWidth="1"/>
    <col min="199" max="199" width="17.33203125" style="1393" customWidth="1"/>
    <col min="200" max="200" width="18.88671875" style="1393" customWidth="1"/>
    <col min="201" max="201" width="14.109375" style="1393" customWidth="1"/>
    <col min="202" max="202" width="21.5546875" style="1393" customWidth="1"/>
    <col min="203" max="204" width="14.109375" style="1393" customWidth="1"/>
    <col min="205" max="205" width="15" style="1393" customWidth="1"/>
    <col min="206" max="206" width="13.33203125" style="1393" customWidth="1"/>
    <col min="207" max="207" width="17" style="1393" customWidth="1"/>
    <col min="208" max="208" width="24.88671875" style="1393" customWidth="1"/>
    <col min="209" max="209" width="14.44140625" style="1393" customWidth="1"/>
    <col min="210" max="210" width="23.109375" style="1393" customWidth="1"/>
    <col min="211" max="211" width="13.109375" style="1393" customWidth="1"/>
    <col min="212" max="215" width="0" style="1393" hidden="1" customWidth="1"/>
    <col min="216" max="451" width="10.33203125" style="1393"/>
    <col min="452" max="452" width="7" style="1393" customWidth="1"/>
    <col min="453" max="453" width="13" style="1393" customWidth="1"/>
    <col min="454" max="454" width="14.109375" style="1393" customWidth="1"/>
    <col min="455" max="455" width="17.33203125" style="1393" customWidth="1"/>
    <col min="456" max="456" width="18.88671875" style="1393" customWidth="1"/>
    <col min="457" max="457" width="14.109375" style="1393" customWidth="1"/>
    <col min="458" max="458" width="21.5546875" style="1393" customWidth="1"/>
    <col min="459" max="460" width="14.109375" style="1393" customWidth="1"/>
    <col min="461" max="461" width="15" style="1393" customWidth="1"/>
    <col min="462" max="462" width="13.33203125" style="1393" customWidth="1"/>
    <col min="463" max="463" width="17" style="1393" customWidth="1"/>
    <col min="464" max="464" width="24.88671875" style="1393" customWidth="1"/>
    <col min="465" max="465" width="14.44140625" style="1393" customWidth="1"/>
    <col min="466" max="466" width="23.109375" style="1393" customWidth="1"/>
    <col min="467" max="467" width="13.109375" style="1393" customWidth="1"/>
    <col min="468" max="471" width="0" style="1393" hidden="1" customWidth="1"/>
    <col min="472" max="707" width="10.33203125" style="1393"/>
    <col min="708" max="708" width="7" style="1393" customWidth="1"/>
    <col min="709" max="709" width="13" style="1393" customWidth="1"/>
    <col min="710" max="710" width="14.109375" style="1393" customWidth="1"/>
    <col min="711" max="711" width="17.33203125" style="1393" customWidth="1"/>
    <col min="712" max="712" width="18.88671875" style="1393" customWidth="1"/>
    <col min="713" max="713" width="14.109375" style="1393" customWidth="1"/>
    <col min="714" max="714" width="21.5546875" style="1393" customWidth="1"/>
    <col min="715" max="716" width="14.109375" style="1393" customWidth="1"/>
    <col min="717" max="717" width="15" style="1393" customWidth="1"/>
    <col min="718" max="718" width="13.33203125" style="1393" customWidth="1"/>
    <col min="719" max="719" width="17" style="1393" customWidth="1"/>
    <col min="720" max="720" width="24.88671875" style="1393" customWidth="1"/>
    <col min="721" max="721" width="14.44140625" style="1393" customWidth="1"/>
    <col min="722" max="722" width="23.109375" style="1393" customWidth="1"/>
    <col min="723" max="723" width="13.109375" style="1393" customWidth="1"/>
    <col min="724" max="727" width="0" style="1393" hidden="1" customWidth="1"/>
    <col min="728" max="963" width="10.33203125" style="1393"/>
    <col min="964" max="964" width="7" style="1393" customWidth="1"/>
    <col min="965" max="965" width="13" style="1393" customWidth="1"/>
    <col min="966" max="966" width="14.109375" style="1393" customWidth="1"/>
    <col min="967" max="967" width="17.33203125" style="1393" customWidth="1"/>
    <col min="968" max="968" width="18.88671875" style="1393" customWidth="1"/>
    <col min="969" max="969" width="14.109375" style="1393" customWidth="1"/>
    <col min="970" max="970" width="21.5546875" style="1393" customWidth="1"/>
    <col min="971" max="972" width="14.109375" style="1393" customWidth="1"/>
    <col min="973" max="973" width="15" style="1393" customWidth="1"/>
    <col min="974" max="974" width="13.33203125" style="1393" customWidth="1"/>
    <col min="975" max="975" width="17" style="1393" customWidth="1"/>
    <col min="976" max="976" width="24.88671875" style="1393" customWidth="1"/>
    <col min="977" max="977" width="14.44140625" style="1393" customWidth="1"/>
    <col min="978" max="978" width="23.109375" style="1393" customWidth="1"/>
    <col min="979" max="979" width="13.109375" style="1393" customWidth="1"/>
    <col min="980" max="983" width="0" style="1393" hidden="1" customWidth="1"/>
    <col min="984" max="1219" width="10.33203125" style="1393"/>
    <col min="1220" max="1220" width="7" style="1393" customWidth="1"/>
    <col min="1221" max="1221" width="13" style="1393" customWidth="1"/>
    <col min="1222" max="1222" width="14.109375" style="1393" customWidth="1"/>
    <col min="1223" max="1223" width="17.33203125" style="1393" customWidth="1"/>
    <col min="1224" max="1224" width="18.88671875" style="1393" customWidth="1"/>
    <col min="1225" max="1225" width="14.109375" style="1393" customWidth="1"/>
    <col min="1226" max="1226" width="21.5546875" style="1393" customWidth="1"/>
    <col min="1227" max="1228" width="14.109375" style="1393" customWidth="1"/>
    <col min="1229" max="1229" width="15" style="1393" customWidth="1"/>
    <col min="1230" max="1230" width="13.33203125" style="1393" customWidth="1"/>
    <col min="1231" max="1231" width="17" style="1393" customWidth="1"/>
    <col min="1232" max="1232" width="24.88671875" style="1393" customWidth="1"/>
    <col min="1233" max="1233" width="14.44140625" style="1393" customWidth="1"/>
    <col min="1234" max="1234" width="23.109375" style="1393" customWidth="1"/>
    <col min="1235" max="1235" width="13.109375" style="1393" customWidth="1"/>
    <col min="1236" max="1239" width="0" style="1393" hidden="1" customWidth="1"/>
    <col min="1240" max="1475" width="10.33203125" style="1393"/>
    <col min="1476" max="1476" width="7" style="1393" customWidth="1"/>
    <col min="1477" max="1477" width="13" style="1393" customWidth="1"/>
    <col min="1478" max="1478" width="14.109375" style="1393" customWidth="1"/>
    <col min="1479" max="1479" width="17.33203125" style="1393" customWidth="1"/>
    <col min="1480" max="1480" width="18.88671875" style="1393" customWidth="1"/>
    <col min="1481" max="1481" width="14.109375" style="1393" customWidth="1"/>
    <col min="1482" max="1482" width="21.5546875" style="1393" customWidth="1"/>
    <col min="1483" max="1484" width="14.109375" style="1393" customWidth="1"/>
    <col min="1485" max="1485" width="15" style="1393" customWidth="1"/>
    <col min="1486" max="1486" width="13.33203125" style="1393" customWidth="1"/>
    <col min="1487" max="1487" width="17" style="1393" customWidth="1"/>
    <col min="1488" max="1488" width="24.88671875" style="1393" customWidth="1"/>
    <col min="1489" max="1489" width="14.44140625" style="1393" customWidth="1"/>
    <col min="1490" max="1490" width="23.109375" style="1393" customWidth="1"/>
    <col min="1491" max="1491" width="13.109375" style="1393" customWidth="1"/>
    <col min="1492" max="1495" width="0" style="1393" hidden="1" customWidth="1"/>
    <col min="1496" max="1731" width="10.33203125" style="1393"/>
    <col min="1732" max="1732" width="7" style="1393" customWidth="1"/>
    <col min="1733" max="1733" width="13" style="1393" customWidth="1"/>
    <col min="1734" max="1734" width="14.109375" style="1393" customWidth="1"/>
    <col min="1735" max="1735" width="17.33203125" style="1393" customWidth="1"/>
    <col min="1736" max="1736" width="18.88671875" style="1393" customWidth="1"/>
    <col min="1737" max="1737" width="14.109375" style="1393" customWidth="1"/>
    <col min="1738" max="1738" width="21.5546875" style="1393" customWidth="1"/>
    <col min="1739" max="1740" width="14.109375" style="1393" customWidth="1"/>
    <col min="1741" max="1741" width="15" style="1393" customWidth="1"/>
    <col min="1742" max="1742" width="13.33203125" style="1393" customWidth="1"/>
    <col min="1743" max="1743" width="17" style="1393" customWidth="1"/>
    <col min="1744" max="1744" width="24.88671875" style="1393" customWidth="1"/>
    <col min="1745" max="1745" width="14.44140625" style="1393" customWidth="1"/>
    <col min="1746" max="1746" width="23.109375" style="1393" customWidth="1"/>
    <col min="1747" max="1747" width="13.109375" style="1393" customWidth="1"/>
    <col min="1748" max="1751" width="0" style="1393" hidden="1" customWidth="1"/>
    <col min="1752" max="1987" width="10.33203125" style="1393"/>
    <col min="1988" max="1988" width="7" style="1393" customWidth="1"/>
    <col min="1989" max="1989" width="13" style="1393" customWidth="1"/>
    <col min="1990" max="1990" width="14.109375" style="1393" customWidth="1"/>
    <col min="1991" max="1991" width="17.33203125" style="1393" customWidth="1"/>
    <col min="1992" max="1992" width="18.88671875" style="1393" customWidth="1"/>
    <col min="1993" max="1993" width="14.109375" style="1393" customWidth="1"/>
    <col min="1994" max="1994" width="21.5546875" style="1393" customWidth="1"/>
    <col min="1995" max="1996" width="14.109375" style="1393" customWidth="1"/>
    <col min="1997" max="1997" width="15" style="1393" customWidth="1"/>
    <col min="1998" max="1998" width="13.33203125" style="1393" customWidth="1"/>
    <col min="1999" max="1999" width="17" style="1393" customWidth="1"/>
    <col min="2000" max="2000" width="24.88671875" style="1393" customWidth="1"/>
    <col min="2001" max="2001" width="14.44140625" style="1393" customWidth="1"/>
    <col min="2002" max="2002" width="23.109375" style="1393" customWidth="1"/>
    <col min="2003" max="2003" width="13.109375" style="1393" customWidth="1"/>
    <col min="2004" max="2007" width="0" style="1393" hidden="1" customWidth="1"/>
    <col min="2008" max="2243" width="10.33203125" style="1393"/>
    <col min="2244" max="2244" width="7" style="1393" customWidth="1"/>
    <col min="2245" max="2245" width="13" style="1393" customWidth="1"/>
    <col min="2246" max="2246" width="14.109375" style="1393" customWidth="1"/>
    <col min="2247" max="2247" width="17.33203125" style="1393" customWidth="1"/>
    <col min="2248" max="2248" width="18.88671875" style="1393" customWidth="1"/>
    <col min="2249" max="2249" width="14.109375" style="1393" customWidth="1"/>
    <col min="2250" max="2250" width="21.5546875" style="1393" customWidth="1"/>
    <col min="2251" max="2252" width="14.109375" style="1393" customWidth="1"/>
    <col min="2253" max="2253" width="15" style="1393" customWidth="1"/>
    <col min="2254" max="2254" width="13.33203125" style="1393" customWidth="1"/>
    <col min="2255" max="2255" width="17" style="1393" customWidth="1"/>
    <col min="2256" max="2256" width="24.88671875" style="1393" customWidth="1"/>
    <col min="2257" max="2257" width="14.44140625" style="1393" customWidth="1"/>
    <col min="2258" max="2258" width="23.109375" style="1393" customWidth="1"/>
    <col min="2259" max="2259" width="13.109375" style="1393" customWidth="1"/>
    <col min="2260" max="2263" width="0" style="1393" hidden="1" customWidth="1"/>
    <col min="2264" max="2499" width="10.33203125" style="1393"/>
    <col min="2500" max="2500" width="7" style="1393" customWidth="1"/>
    <col min="2501" max="2501" width="13" style="1393" customWidth="1"/>
    <col min="2502" max="2502" width="14.109375" style="1393" customWidth="1"/>
    <col min="2503" max="2503" width="17.33203125" style="1393" customWidth="1"/>
    <col min="2504" max="2504" width="18.88671875" style="1393" customWidth="1"/>
    <col min="2505" max="2505" width="14.109375" style="1393" customWidth="1"/>
    <col min="2506" max="2506" width="21.5546875" style="1393" customWidth="1"/>
    <col min="2507" max="2508" width="14.109375" style="1393" customWidth="1"/>
    <col min="2509" max="2509" width="15" style="1393" customWidth="1"/>
    <col min="2510" max="2510" width="13.33203125" style="1393" customWidth="1"/>
    <col min="2511" max="2511" width="17" style="1393" customWidth="1"/>
    <col min="2512" max="2512" width="24.88671875" style="1393" customWidth="1"/>
    <col min="2513" max="2513" width="14.44140625" style="1393" customWidth="1"/>
    <col min="2514" max="2514" width="23.109375" style="1393" customWidth="1"/>
    <col min="2515" max="2515" width="13.109375" style="1393" customWidth="1"/>
    <col min="2516" max="2519" width="0" style="1393" hidden="1" customWidth="1"/>
    <col min="2520" max="2755" width="10.33203125" style="1393"/>
    <col min="2756" max="2756" width="7" style="1393" customWidth="1"/>
    <col min="2757" max="2757" width="13" style="1393" customWidth="1"/>
    <col min="2758" max="2758" width="14.109375" style="1393" customWidth="1"/>
    <col min="2759" max="2759" width="17.33203125" style="1393" customWidth="1"/>
    <col min="2760" max="2760" width="18.88671875" style="1393" customWidth="1"/>
    <col min="2761" max="2761" width="14.109375" style="1393" customWidth="1"/>
    <col min="2762" max="2762" width="21.5546875" style="1393" customWidth="1"/>
    <col min="2763" max="2764" width="14.109375" style="1393" customWidth="1"/>
    <col min="2765" max="2765" width="15" style="1393" customWidth="1"/>
    <col min="2766" max="2766" width="13.33203125" style="1393" customWidth="1"/>
    <col min="2767" max="2767" width="17" style="1393" customWidth="1"/>
    <col min="2768" max="2768" width="24.88671875" style="1393" customWidth="1"/>
    <col min="2769" max="2769" width="14.44140625" style="1393" customWidth="1"/>
    <col min="2770" max="2770" width="23.109375" style="1393" customWidth="1"/>
    <col min="2771" max="2771" width="13.109375" style="1393" customWidth="1"/>
    <col min="2772" max="2775" width="0" style="1393" hidden="1" customWidth="1"/>
    <col min="2776" max="3011" width="10.33203125" style="1393"/>
    <col min="3012" max="3012" width="7" style="1393" customWidth="1"/>
    <col min="3013" max="3013" width="13" style="1393" customWidth="1"/>
    <col min="3014" max="3014" width="14.109375" style="1393" customWidth="1"/>
    <col min="3015" max="3015" width="17.33203125" style="1393" customWidth="1"/>
    <col min="3016" max="3016" width="18.88671875" style="1393" customWidth="1"/>
    <col min="3017" max="3017" width="14.109375" style="1393" customWidth="1"/>
    <col min="3018" max="3018" width="21.5546875" style="1393" customWidth="1"/>
    <col min="3019" max="3020" width="14.109375" style="1393" customWidth="1"/>
    <col min="3021" max="3021" width="15" style="1393" customWidth="1"/>
    <col min="3022" max="3022" width="13.33203125" style="1393" customWidth="1"/>
    <col min="3023" max="3023" width="17" style="1393" customWidth="1"/>
    <col min="3024" max="3024" width="24.88671875" style="1393" customWidth="1"/>
    <col min="3025" max="3025" width="14.44140625" style="1393" customWidth="1"/>
    <col min="3026" max="3026" width="23.109375" style="1393" customWidth="1"/>
    <col min="3027" max="3027" width="13.109375" style="1393" customWidth="1"/>
    <col min="3028" max="3031" width="0" style="1393" hidden="1" customWidth="1"/>
    <col min="3032" max="3267" width="10.33203125" style="1393"/>
    <col min="3268" max="3268" width="7" style="1393" customWidth="1"/>
    <col min="3269" max="3269" width="13" style="1393" customWidth="1"/>
    <col min="3270" max="3270" width="14.109375" style="1393" customWidth="1"/>
    <col min="3271" max="3271" width="17.33203125" style="1393" customWidth="1"/>
    <col min="3272" max="3272" width="18.88671875" style="1393" customWidth="1"/>
    <col min="3273" max="3273" width="14.109375" style="1393" customWidth="1"/>
    <col min="3274" max="3274" width="21.5546875" style="1393" customWidth="1"/>
    <col min="3275" max="3276" width="14.109375" style="1393" customWidth="1"/>
    <col min="3277" max="3277" width="15" style="1393" customWidth="1"/>
    <col min="3278" max="3278" width="13.33203125" style="1393" customWidth="1"/>
    <col min="3279" max="3279" width="17" style="1393" customWidth="1"/>
    <col min="3280" max="3280" width="24.88671875" style="1393" customWidth="1"/>
    <col min="3281" max="3281" width="14.44140625" style="1393" customWidth="1"/>
    <col min="3282" max="3282" width="23.109375" style="1393" customWidth="1"/>
    <col min="3283" max="3283" width="13.109375" style="1393" customWidth="1"/>
    <col min="3284" max="3287" width="0" style="1393" hidden="1" customWidth="1"/>
    <col min="3288" max="3523" width="10.33203125" style="1393"/>
    <col min="3524" max="3524" width="7" style="1393" customWidth="1"/>
    <col min="3525" max="3525" width="13" style="1393" customWidth="1"/>
    <col min="3526" max="3526" width="14.109375" style="1393" customWidth="1"/>
    <col min="3527" max="3527" width="17.33203125" style="1393" customWidth="1"/>
    <col min="3528" max="3528" width="18.88671875" style="1393" customWidth="1"/>
    <col min="3529" max="3529" width="14.109375" style="1393" customWidth="1"/>
    <col min="3530" max="3530" width="21.5546875" style="1393" customWidth="1"/>
    <col min="3531" max="3532" width="14.109375" style="1393" customWidth="1"/>
    <col min="3533" max="3533" width="15" style="1393" customWidth="1"/>
    <col min="3534" max="3534" width="13.33203125" style="1393" customWidth="1"/>
    <col min="3535" max="3535" width="17" style="1393" customWidth="1"/>
    <col min="3536" max="3536" width="24.88671875" style="1393" customWidth="1"/>
    <col min="3537" max="3537" width="14.44140625" style="1393" customWidth="1"/>
    <col min="3538" max="3538" width="23.109375" style="1393" customWidth="1"/>
    <col min="3539" max="3539" width="13.109375" style="1393" customWidth="1"/>
    <col min="3540" max="3543" width="0" style="1393" hidden="1" customWidth="1"/>
    <col min="3544" max="3779" width="10.33203125" style="1393"/>
    <col min="3780" max="3780" width="7" style="1393" customWidth="1"/>
    <col min="3781" max="3781" width="13" style="1393" customWidth="1"/>
    <col min="3782" max="3782" width="14.109375" style="1393" customWidth="1"/>
    <col min="3783" max="3783" width="17.33203125" style="1393" customWidth="1"/>
    <col min="3784" max="3784" width="18.88671875" style="1393" customWidth="1"/>
    <col min="3785" max="3785" width="14.109375" style="1393" customWidth="1"/>
    <col min="3786" max="3786" width="21.5546875" style="1393" customWidth="1"/>
    <col min="3787" max="3788" width="14.109375" style="1393" customWidth="1"/>
    <col min="3789" max="3789" width="15" style="1393" customWidth="1"/>
    <col min="3790" max="3790" width="13.33203125" style="1393" customWidth="1"/>
    <col min="3791" max="3791" width="17" style="1393" customWidth="1"/>
    <col min="3792" max="3792" width="24.88671875" style="1393" customWidth="1"/>
    <col min="3793" max="3793" width="14.44140625" style="1393" customWidth="1"/>
    <col min="3794" max="3794" width="23.109375" style="1393" customWidth="1"/>
    <col min="3795" max="3795" width="13.109375" style="1393" customWidth="1"/>
    <col min="3796" max="3799" width="0" style="1393" hidden="1" customWidth="1"/>
    <col min="3800" max="4035" width="10.33203125" style="1393"/>
    <col min="4036" max="4036" width="7" style="1393" customWidth="1"/>
    <col min="4037" max="4037" width="13" style="1393" customWidth="1"/>
    <col min="4038" max="4038" width="14.109375" style="1393" customWidth="1"/>
    <col min="4039" max="4039" width="17.33203125" style="1393" customWidth="1"/>
    <col min="4040" max="4040" width="18.88671875" style="1393" customWidth="1"/>
    <col min="4041" max="4041" width="14.109375" style="1393" customWidth="1"/>
    <col min="4042" max="4042" width="21.5546875" style="1393" customWidth="1"/>
    <col min="4043" max="4044" width="14.109375" style="1393" customWidth="1"/>
    <col min="4045" max="4045" width="15" style="1393" customWidth="1"/>
    <col min="4046" max="4046" width="13.33203125" style="1393" customWidth="1"/>
    <col min="4047" max="4047" width="17" style="1393" customWidth="1"/>
    <col min="4048" max="4048" width="24.88671875" style="1393" customWidth="1"/>
    <col min="4049" max="4049" width="14.44140625" style="1393" customWidth="1"/>
    <col min="4050" max="4050" width="23.109375" style="1393" customWidth="1"/>
    <col min="4051" max="4051" width="13.109375" style="1393" customWidth="1"/>
    <col min="4052" max="4055" width="0" style="1393" hidden="1" customWidth="1"/>
    <col min="4056" max="4291" width="10.33203125" style="1393"/>
    <col min="4292" max="4292" width="7" style="1393" customWidth="1"/>
    <col min="4293" max="4293" width="13" style="1393" customWidth="1"/>
    <col min="4294" max="4294" width="14.109375" style="1393" customWidth="1"/>
    <col min="4295" max="4295" width="17.33203125" style="1393" customWidth="1"/>
    <col min="4296" max="4296" width="18.88671875" style="1393" customWidth="1"/>
    <col min="4297" max="4297" width="14.109375" style="1393" customWidth="1"/>
    <col min="4298" max="4298" width="21.5546875" style="1393" customWidth="1"/>
    <col min="4299" max="4300" width="14.109375" style="1393" customWidth="1"/>
    <col min="4301" max="4301" width="15" style="1393" customWidth="1"/>
    <col min="4302" max="4302" width="13.33203125" style="1393" customWidth="1"/>
    <col min="4303" max="4303" width="17" style="1393" customWidth="1"/>
    <col min="4304" max="4304" width="24.88671875" style="1393" customWidth="1"/>
    <col min="4305" max="4305" width="14.44140625" style="1393" customWidth="1"/>
    <col min="4306" max="4306" width="23.109375" style="1393" customWidth="1"/>
    <col min="4307" max="4307" width="13.109375" style="1393" customWidth="1"/>
    <col min="4308" max="4311" width="0" style="1393" hidden="1" customWidth="1"/>
    <col min="4312" max="4547" width="10.33203125" style="1393"/>
    <col min="4548" max="4548" width="7" style="1393" customWidth="1"/>
    <col min="4549" max="4549" width="13" style="1393" customWidth="1"/>
    <col min="4550" max="4550" width="14.109375" style="1393" customWidth="1"/>
    <col min="4551" max="4551" width="17.33203125" style="1393" customWidth="1"/>
    <col min="4552" max="4552" width="18.88671875" style="1393" customWidth="1"/>
    <col min="4553" max="4553" width="14.109375" style="1393" customWidth="1"/>
    <col min="4554" max="4554" width="21.5546875" style="1393" customWidth="1"/>
    <col min="4555" max="4556" width="14.109375" style="1393" customWidth="1"/>
    <col min="4557" max="4557" width="15" style="1393" customWidth="1"/>
    <col min="4558" max="4558" width="13.33203125" style="1393" customWidth="1"/>
    <col min="4559" max="4559" width="17" style="1393" customWidth="1"/>
    <col min="4560" max="4560" width="24.88671875" style="1393" customWidth="1"/>
    <col min="4561" max="4561" width="14.44140625" style="1393" customWidth="1"/>
    <col min="4562" max="4562" width="23.109375" style="1393" customWidth="1"/>
    <col min="4563" max="4563" width="13.109375" style="1393" customWidth="1"/>
    <col min="4564" max="4567" width="0" style="1393" hidden="1" customWidth="1"/>
    <col min="4568" max="4803" width="10.33203125" style="1393"/>
    <col min="4804" max="4804" width="7" style="1393" customWidth="1"/>
    <col min="4805" max="4805" width="13" style="1393" customWidth="1"/>
    <col min="4806" max="4806" width="14.109375" style="1393" customWidth="1"/>
    <col min="4807" max="4807" width="17.33203125" style="1393" customWidth="1"/>
    <col min="4808" max="4808" width="18.88671875" style="1393" customWidth="1"/>
    <col min="4809" max="4809" width="14.109375" style="1393" customWidth="1"/>
    <col min="4810" max="4810" width="21.5546875" style="1393" customWidth="1"/>
    <col min="4811" max="4812" width="14.109375" style="1393" customWidth="1"/>
    <col min="4813" max="4813" width="15" style="1393" customWidth="1"/>
    <col min="4814" max="4814" width="13.33203125" style="1393" customWidth="1"/>
    <col min="4815" max="4815" width="17" style="1393" customWidth="1"/>
    <col min="4816" max="4816" width="24.88671875" style="1393" customWidth="1"/>
    <col min="4817" max="4817" width="14.44140625" style="1393" customWidth="1"/>
    <col min="4818" max="4818" width="23.109375" style="1393" customWidth="1"/>
    <col min="4819" max="4819" width="13.109375" style="1393" customWidth="1"/>
    <col min="4820" max="4823" width="0" style="1393" hidden="1" customWidth="1"/>
    <col min="4824" max="5059" width="10.33203125" style="1393"/>
    <col min="5060" max="5060" width="7" style="1393" customWidth="1"/>
    <col min="5061" max="5061" width="13" style="1393" customWidth="1"/>
    <col min="5062" max="5062" width="14.109375" style="1393" customWidth="1"/>
    <col min="5063" max="5063" width="17.33203125" style="1393" customWidth="1"/>
    <col min="5064" max="5064" width="18.88671875" style="1393" customWidth="1"/>
    <col min="5065" max="5065" width="14.109375" style="1393" customWidth="1"/>
    <col min="5066" max="5066" width="21.5546875" style="1393" customWidth="1"/>
    <col min="5067" max="5068" width="14.109375" style="1393" customWidth="1"/>
    <col min="5069" max="5069" width="15" style="1393" customWidth="1"/>
    <col min="5070" max="5070" width="13.33203125" style="1393" customWidth="1"/>
    <col min="5071" max="5071" width="17" style="1393" customWidth="1"/>
    <col min="5072" max="5072" width="24.88671875" style="1393" customWidth="1"/>
    <col min="5073" max="5073" width="14.44140625" style="1393" customWidth="1"/>
    <col min="5074" max="5074" width="23.109375" style="1393" customWidth="1"/>
    <col min="5075" max="5075" width="13.109375" style="1393" customWidth="1"/>
    <col min="5076" max="5079" width="0" style="1393" hidden="1" customWidth="1"/>
    <col min="5080" max="5315" width="10.33203125" style="1393"/>
    <col min="5316" max="5316" width="7" style="1393" customWidth="1"/>
    <col min="5317" max="5317" width="13" style="1393" customWidth="1"/>
    <col min="5318" max="5318" width="14.109375" style="1393" customWidth="1"/>
    <col min="5319" max="5319" width="17.33203125" style="1393" customWidth="1"/>
    <col min="5320" max="5320" width="18.88671875" style="1393" customWidth="1"/>
    <col min="5321" max="5321" width="14.109375" style="1393" customWidth="1"/>
    <col min="5322" max="5322" width="21.5546875" style="1393" customWidth="1"/>
    <col min="5323" max="5324" width="14.109375" style="1393" customWidth="1"/>
    <col min="5325" max="5325" width="15" style="1393" customWidth="1"/>
    <col min="5326" max="5326" width="13.33203125" style="1393" customWidth="1"/>
    <col min="5327" max="5327" width="17" style="1393" customWidth="1"/>
    <col min="5328" max="5328" width="24.88671875" style="1393" customWidth="1"/>
    <col min="5329" max="5329" width="14.44140625" style="1393" customWidth="1"/>
    <col min="5330" max="5330" width="23.109375" style="1393" customWidth="1"/>
    <col min="5331" max="5331" width="13.109375" style="1393" customWidth="1"/>
    <col min="5332" max="5335" width="0" style="1393" hidden="1" customWidth="1"/>
    <col min="5336" max="5571" width="10.33203125" style="1393"/>
    <col min="5572" max="5572" width="7" style="1393" customWidth="1"/>
    <col min="5573" max="5573" width="13" style="1393" customWidth="1"/>
    <col min="5574" max="5574" width="14.109375" style="1393" customWidth="1"/>
    <col min="5575" max="5575" width="17.33203125" style="1393" customWidth="1"/>
    <col min="5576" max="5576" width="18.88671875" style="1393" customWidth="1"/>
    <col min="5577" max="5577" width="14.109375" style="1393" customWidth="1"/>
    <col min="5578" max="5578" width="21.5546875" style="1393" customWidth="1"/>
    <col min="5579" max="5580" width="14.109375" style="1393" customWidth="1"/>
    <col min="5581" max="5581" width="15" style="1393" customWidth="1"/>
    <col min="5582" max="5582" width="13.33203125" style="1393" customWidth="1"/>
    <col min="5583" max="5583" width="17" style="1393" customWidth="1"/>
    <col min="5584" max="5584" width="24.88671875" style="1393" customWidth="1"/>
    <col min="5585" max="5585" width="14.44140625" style="1393" customWidth="1"/>
    <col min="5586" max="5586" width="23.109375" style="1393" customWidth="1"/>
    <col min="5587" max="5587" width="13.109375" style="1393" customWidth="1"/>
    <col min="5588" max="5591" width="0" style="1393" hidden="1" customWidth="1"/>
    <col min="5592" max="5827" width="10.33203125" style="1393"/>
    <col min="5828" max="5828" width="7" style="1393" customWidth="1"/>
    <col min="5829" max="5829" width="13" style="1393" customWidth="1"/>
    <col min="5830" max="5830" width="14.109375" style="1393" customWidth="1"/>
    <col min="5831" max="5831" width="17.33203125" style="1393" customWidth="1"/>
    <col min="5832" max="5832" width="18.88671875" style="1393" customWidth="1"/>
    <col min="5833" max="5833" width="14.109375" style="1393" customWidth="1"/>
    <col min="5834" max="5834" width="21.5546875" style="1393" customWidth="1"/>
    <col min="5835" max="5836" width="14.109375" style="1393" customWidth="1"/>
    <col min="5837" max="5837" width="15" style="1393" customWidth="1"/>
    <col min="5838" max="5838" width="13.33203125" style="1393" customWidth="1"/>
    <col min="5839" max="5839" width="17" style="1393" customWidth="1"/>
    <col min="5840" max="5840" width="24.88671875" style="1393" customWidth="1"/>
    <col min="5841" max="5841" width="14.44140625" style="1393" customWidth="1"/>
    <col min="5842" max="5842" width="23.109375" style="1393" customWidth="1"/>
    <col min="5843" max="5843" width="13.109375" style="1393" customWidth="1"/>
    <col min="5844" max="5847" width="0" style="1393" hidden="1" customWidth="1"/>
    <col min="5848" max="6083" width="10.33203125" style="1393"/>
    <col min="6084" max="6084" width="7" style="1393" customWidth="1"/>
    <col min="6085" max="6085" width="13" style="1393" customWidth="1"/>
    <col min="6086" max="6086" width="14.109375" style="1393" customWidth="1"/>
    <col min="6087" max="6087" width="17.33203125" style="1393" customWidth="1"/>
    <col min="6088" max="6088" width="18.88671875" style="1393" customWidth="1"/>
    <col min="6089" max="6089" width="14.109375" style="1393" customWidth="1"/>
    <col min="6090" max="6090" width="21.5546875" style="1393" customWidth="1"/>
    <col min="6091" max="6092" width="14.109375" style="1393" customWidth="1"/>
    <col min="6093" max="6093" width="15" style="1393" customWidth="1"/>
    <col min="6094" max="6094" width="13.33203125" style="1393" customWidth="1"/>
    <col min="6095" max="6095" width="17" style="1393" customWidth="1"/>
    <col min="6096" max="6096" width="24.88671875" style="1393" customWidth="1"/>
    <col min="6097" max="6097" width="14.44140625" style="1393" customWidth="1"/>
    <col min="6098" max="6098" width="23.109375" style="1393" customWidth="1"/>
    <col min="6099" max="6099" width="13.109375" style="1393" customWidth="1"/>
    <col min="6100" max="6103" width="0" style="1393" hidden="1" customWidth="1"/>
    <col min="6104" max="6339" width="10.33203125" style="1393"/>
    <col min="6340" max="6340" width="7" style="1393" customWidth="1"/>
    <col min="6341" max="6341" width="13" style="1393" customWidth="1"/>
    <col min="6342" max="6342" width="14.109375" style="1393" customWidth="1"/>
    <col min="6343" max="6343" width="17.33203125" style="1393" customWidth="1"/>
    <col min="6344" max="6344" width="18.88671875" style="1393" customWidth="1"/>
    <col min="6345" max="6345" width="14.109375" style="1393" customWidth="1"/>
    <col min="6346" max="6346" width="21.5546875" style="1393" customWidth="1"/>
    <col min="6347" max="6348" width="14.109375" style="1393" customWidth="1"/>
    <col min="6349" max="6349" width="15" style="1393" customWidth="1"/>
    <col min="6350" max="6350" width="13.33203125" style="1393" customWidth="1"/>
    <col min="6351" max="6351" width="17" style="1393" customWidth="1"/>
    <col min="6352" max="6352" width="24.88671875" style="1393" customWidth="1"/>
    <col min="6353" max="6353" width="14.44140625" style="1393" customWidth="1"/>
    <col min="6354" max="6354" width="23.109375" style="1393" customWidth="1"/>
    <col min="6355" max="6355" width="13.109375" style="1393" customWidth="1"/>
    <col min="6356" max="6359" width="0" style="1393" hidden="1" customWidth="1"/>
    <col min="6360" max="6595" width="10.33203125" style="1393"/>
    <col min="6596" max="6596" width="7" style="1393" customWidth="1"/>
    <col min="6597" max="6597" width="13" style="1393" customWidth="1"/>
    <col min="6598" max="6598" width="14.109375" style="1393" customWidth="1"/>
    <col min="6599" max="6599" width="17.33203125" style="1393" customWidth="1"/>
    <col min="6600" max="6600" width="18.88671875" style="1393" customWidth="1"/>
    <col min="6601" max="6601" width="14.109375" style="1393" customWidth="1"/>
    <col min="6602" max="6602" width="21.5546875" style="1393" customWidth="1"/>
    <col min="6603" max="6604" width="14.109375" style="1393" customWidth="1"/>
    <col min="6605" max="6605" width="15" style="1393" customWidth="1"/>
    <col min="6606" max="6606" width="13.33203125" style="1393" customWidth="1"/>
    <col min="6607" max="6607" width="17" style="1393" customWidth="1"/>
    <col min="6608" max="6608" width="24.88671875" style="1393" customWidth="1"/>
    <col min="6609" max="6609" width="14.44140625" style="1393" customWidth="1"/>
    <col min="6610" max="6610" width="23.109375" style="1393" customWidth="1"/>
    <col min="6611" max="6611" width="13.109375" style="1393" customWidth="1"/>
    <col min="6612" max="6615" width="0" style="1393" hidden="1" customWidth="1"/>
    <col min="6616" max="6851" width="10.33203125" style="1393"/>
    <col min="6852" max="6852" width="7" style="1393" customWidth="1"/>
    <col min="6853" max="6853" width="13" style="1393" customWidth="1"/>
    <col min="6854" max="6854" width="14.109375" style="1393" customWidth="1"/>
    <col min="6855" max="6855" width="17.33203125" style="1393" customWidth="1"/>
    <col min="6856" max="6856" width="18.88671875" style="1393" customWidth="1"/>
    <col min="6857" max="6857" width="14.109375" style="1393" customWidth="1"/>
    <col min="6858" max="6858" width="21.5546875" style="1393" customWidth="1"/>
    <col min="6859" max="6860" width="14.109375" style="1393" customWidth="1"/>
    <col min="6861" max="6861" width="15" style="1393" customWidth="1"/>
    <col min="6862" max="6862" width="13.33203125" style="1393" customWidth="1"/>
    <col min="6863" max="6863" width="17" style="1393" customWidth="1"/>
    <col min="6864" max="6864" width="24.88671875" style="1393" customWidth="1"/>
    <col min="6865" max="6865" width="14.44140625" style="1393" customWidth="1"/>
    <col min="6866" max="6866" width="23.109375" style="1393" customWidth="1"/>
    <col min="6867" max="6867" width="13.109375" style="1393" customWidth="1"/>
    <col min="6868" max="6871" width="0" style="1393" hidden="1" customWidth="1"/>
    <col min="6872" max="7107" width="10.33203125" style="1393"/>
    <col min="7108" max="7108" width="7" style="1393" customWidth="1"/>
    <col min="7109" max="7109" width="13" style="1393" customWidth="1"/>
    <col min="7110" max="7110" width="14.109375" style="1393" customWidth="1"/>
    <col min="7111" max="7111" width="17.33203125" style="1393" customWidth="1"/>
    <col min="7112" max="7112" width="18.88671875" style="1393" customWidth="1"/>
    <col min="7113" max="7113" width="14.109375" style="1393" customWidth="1"/>
    <col min="7114" max="7114" width="21.5546875" style="1393" customWidth="1"/>
    <col min="7115" max="7116" width="14.109375" style="1393" customWidth="1"/>
    <col min="7117" max="7117" width="15" style="1393" customWidth="1"/>
    <col min="7118" max="7118" width="13.33203125" style="1393" customWidth="1"/>
    <col min="7119" max="7119" width="17" style="1393" customWidth="1"/>
    <col min="7120" max="7120" width="24.88671875" style="1393" customWidth="1"/>
    <col min="7121" max="7121" width="14.44140625" style="1393" customWidth="1"/>
    <col min="7122" max="7122" width="23.109375" style="1393" customWidth="1"/>
    <col min="7123" max="7123" width="13.109375" style="1393" customWidth="1"/>
    <col min="7124" max="7127" width="0" style="1393" hidden="1" customWidth="1"/>
    <col min="7128" max="7363" width="10.33203125" style="1393"/>
    <col min="7364" max="7364" width="7" style="1393" customWidth="1"/>
    <col min="7365" max="7365" width="13" style="1393" customWidth="1"/>
    <col min="7366" max="7366" width="14.109375" style="1393" customWidth="1"/>
    <col min="7367" max="7367" width="17.33203125" style="1393" customWidth="1"/>
    <col min="7368" max="7368" width="18.88671875" style="1393" customWidth="1"/>
    <col min="7369" max="7369" width="14.109375" style="1393" customWidth="1"/>
    <col min="7370" max="7370" width="21.5546875" style="1393" customWidth="1"/>
    <col min="7371" max="7372" width="14.109375" style="1393" customWidth="1"/>
    <col min="7373" max="7373" width="15" style="1393" customWidth="1"/>
    <col min="7374" max="7374" width="13.33203125" style="1393" customWidth="1"/>
    <col min="7375" max="7375" width="17" style="1393" customWidth="1"/>
    <col min="7376" max="7376" width="24.88671875" style="1393" customWidth="1"/>
    <col min="7377" max="7377" width="14.44140625" style="1393" customWidth="1"/>
    <col min="7378" max="7378" width="23.109375" style="1393" customWidth="1"/>
    <col min="7379" max="7379" width="13.109375" style="1393" customWidth="1"/>
    <col min="7380" max="7383" width="0" style="1393" hidden="1" customWidth="1"/>
    <col min="7384" max="7619" width="10.33203125" style="1393"/>
    <col min="7620" max="7620" width="7" style="1393" customWidth="1"/>
    <col min="7621" max="7621" width="13" style="1393" customWidth="1"/>
    <col min="7622" max="7622" width="14.109375" style="1393" customWidth="1"/>
    <col min="7623" max="7623" width="17.33203125" style="1393" customWidth="1"/>
    <col min="7624" max="7624" width="18.88671875" style="1393" customWidth="1"/>
    <col min="7625" max="7625" width="14.109375" style="1393" customWidth="1"/>
    <col min="7626" max="7626" width="21.5546875" style="1393" customWidth="1"/>
    <col min="7627" max="7628" width="14.109375" style="1393" customWidth="1"/>
    <col min="7629" max="7629" width="15" style="1393" customWidth="1"/>
    <col min="7630" max="7630" width="13.33203125" style="1393" customWidth="1"/>
    <col min="7631" max="7631" width="17" style="1393" customWidth="1"/>
    <col min="7632" max="7632" width="24.88671875" style="1393" customWidth="1"/>
    <col min="7633" max="7633" width="14.44140625" style="1393" customWidth="1"/>
    <col min="7634" max="7634" width="23.109375" style="1393" customWidth="1"/>
    <col min="7635" max="7635" width="13.109375" style="1393" customWidth="1"/>
    <col min="7636" max="7639" width="0" style="1393" hidden="1" customWidth="1"/>
    <col min="7640" max="7875" width="10.33203125" style="1393"/>
    <col min="7876" max="7876" width="7" style="1393" customWidth="1"/>
    <col min="7877" max="7877" width="13" style="1393" customWidth="1"/>
    <col min="7878" max="7878" width="14.109375" style="1393" customWidth="1"/>
    <col min="7879" max="7879" width="17.33203125" style="1393" customWidth="1"/>
    <col min="7880" max="7880" width="18.88671875" style="1393" customWidth="1"/>
    <col min="7881" max="7881" width="14.109375" style="1393" customWidth="1"/>
    <col min="7882" max="7882" width="21.5546875" style="1393" customWidth="1"/>
    <col min="7883" max="7884" width="14.109375" style="1393" customWidth="1"/>
    <col min="7885" max="7885" width="15" style="1393" customWidth="1"/>
    <col min="7886" max="7886" width="13.33203125" style="1393" customWidth="1"/>
    <col min="7887" max="7887" width="17" style="1393" customWidth="1"/>
    <col min="7888" max="7888" width="24.88671875" style="1393" customWidth="1"/>
    <col min="7889" max="7889" width="14.44140625" style="1393" customWidth="1"/>
    <col min="7890" max="7890" width="23.109375" style="1393" customWidth="1"/>
    <col min="7891" max="7891" width="13.109375" style="1393" customWidth="1"/>
    <col min="7892" max="7895" width="0" style="1393" hidden="1" customWidth="1"/>
    <col min="7896" max="8131" width="10.33203125" style="1393"/>
    <col min="8132" max="8132" width="7" style="1393" customWidth="1"/>
    <col min="8133" max="8133" width="13" style="1393" customWidth="1"/>
    <col min="8134" max="8134" width="14.109375" style="1393" customWidth="1"/>
    <col min="8135" max="8135" width="17.33203125" style="1393" customWidth="1"/>
    <col min="8136" max="8136" width="18.88671875" style="1393" customWidth="1"/>
    <col min="8137" max="8137" width="14.109375" style="1393" customWidth="1"/>
    <col min="8138" max="8138" width="21.5546875" style="1393" customWidth="1"/>
    <col min="8139" max="8140" width="14.109375" style="1393" customWidth="1"/>
    <col min="8141" max="8141" width="15" style="1393" customWidth="1"/>
    <col min="8142" max="8142" width="13.33203125" style="1393" customWidth="1"/>
    <col min="8143" max="8143" width="17" style="1393" customWidth="1"/>
    <col min="8144" max="8144" width="24.88671875" style="1393" customWidth="1"/>
    <col min="8145" max="8145" width="14.44140625" style="1393" customWidth="1"/>
    <col min="8146" max="8146" width="23.109375" style="1393" customWidth="1"/>
    <col min="8147" max="8147" width="13.109375" style="1393" customWidth="1"/>
    <col min="8148" max="8151" width="0" style="1393" hidden="1" customWidth="1"/>
    <col min="8152" max="8387" width="10.33203125" style="1393"/>
    <col min="8388" max="8388" width="7" style="1393" customWidth="1"/>
    <col min="8389" max="8389" width="13" style="1393" customWidth="1"/>
    <col min="8390" max="8390" width="14.109375" style="1393" customWidth="1"/>
    <col min="8391" max="8391" width="17.33203125" style="1393" customWidth="1"/>
    <col min="8392" max="8392" width="18.88671875" style="1393" customWidth="1"/>
    <col min="8393" max="8393" width="14.109375" style="1393" customWidth="1"/>
    <col min="8394" max="8394" width="21.5546875" style="1393" customWidth="1"/>
    <col min="8395" max="8396" width="14.109375" style="1393" customWidth="1"/>
    <col min="8397" max="8397" width="15" style="1393" customWidth="1"/>
    <col min="8398" max="8398" width="13.33203125" style="1393" customWidth="1"/>
    <col min="8399" max="8399" width="17" style="1393" customWidth="1"/>
    <col min="8400" max="8400" width="24.88671875" style="1393" customWidth="1"/>
    <col min="8401" max="8401" width="14.44140625" style="1393" customWidth="1"/>
    <col min="8402" max="8402" width="23.109375" style="1393" customWidth="1"/>
    <col min="8403" max="8403" width="13.109375" style="1393" customWidth="1"/>
    <col min="8404" max="8407" width="0" style="1393" hidden="1" customWidth="1"/>
    <col min="8408" max="8643" width="10.33203125" style="1393"/>
    <col min="8644" max="8644" width="7" style="1393" customWidth="1"/>
    <col min="8645" max="8645" width="13" style="1393" customWidth="1"/>
    <col min="8646" max="8646" width="14.109375" style="1393" customWidth="1"/>
    <col min="8647" max="8647" width="17.33203125" style="1393" customWidth="1"/>
    <col min="8648" max="8648" width="18.88671875" style="1393" customWidth="1"/>
    <col min="8649" max="8649" width="14.109375" style="1393" customWidth="1"/>
    <col min="8650" max="8650" width="21.5546875" style="1393" customWidth="1"/>
    <col min="8651" max="8652" width="14.109375" style="1393" customWidth="1"/>
    <col min="8653" max="8653" width="15" style="1393" customWidth="1"/>
    <col min="8654" max="8654" width="13.33203125" style="1393" customWidth="1"/>
    <col min="8655" max="8655" width="17" style="1393" customWidth="1"/>
    <col min="8656" max="8656" width="24.88671875" style="1393" customWidth="1"/>
    <col min="8657" max="8657" width="14.44140625" style="1393" customWidth="1"/>
    <col min="8658" max="8658" width="23.109375" style="1393" customWidth="1"/>
    <col min="8659" max="8659" width="13.109375" style="1393" customWidth="1"/>
    <col min="8660" max="8663" width="0" style="1393" hidden="1" customWidth="1"/>
    <col min="8664" max="8899" width="10.33203125" style="1393"/>
    <col min="8900" max="8900" width="7" style="1393" customWidth="1"/>
    <col min="8901" max="8901" width="13" style="1393" customWidth="1"/>
    <col min="8902" max="8902" width="14.109375" style="1393" customWidth="1"/>
    <col min="8903" max="8903" width="17.33203125" style="1393" customWidth="1"/>
    <col min="8904" max="8904" width="18.88671875" style="1393" customWidth="1"/>
    <col min="8905" max="8905" width="14.109375" style="1393" customWidth="1"/>
    <col min="8906" max="8906" width="21.5546875" style="1393" customWidth="1"/>
    <col min="8907" max="8908" width="14.109375" style="1393" customWidth="1"/>
    <col min="8909" max="8909" width="15" style="1393" customWidth="1"/>
    <col min="8910" max="8910" width="13.33203125" style="1393" customWidth="1"/>
    <col min="8911" max="8911" width="17" style="1393" customWidth="1"/>
    <col min="8912" max="8912" width="24.88671875" style="1393" customWidth="1"/>
    <col min="8913" max="8913" width="14.44140625" style="1393" customWidth="1"/>
    <col min="8914" max="8914" width="23.109375" style="1393" customWidth="1"/>
    <col min="8915" max="8915" width="13.109375" style="1393" customWidth="1"/>
    <col min="8916" max="8919" width="0" style="1393" hidden="1" customWidth="1"/>
    <col min="8920" max="9155" width="10.33203125" style="1393"/>
    <col min="9156" max="9156" width="7" style="1393" customWidth="1"/>
    <col min="9157" max="9157" width="13" style="1393" customWidth="1"/>
    <col min="9158" max="9158" width="14.109375" style="1393" customWidth="1"/>
    <col min="9159" max="9159" width="17.33203125" style="1393" customWidth="1"/>
    <col min="9160" max="9160" width="18.88671875" style="1393" customWidth="1"/>
    <col min="9161" max="9161" width="14.109375" style="1393" customWidth="1"/>
    <col min="9162" max="9162" width="21.5546875" style="1393" customWidth="1"/>
    <col min="9163" max="9164" width="14.109375" style="1393" customWidth="1"/>
    <col min="9165" max="9165" width="15" style="1393" customWidth="1"/>
    <col min="9166" max="9166" width="13.33203125" style="1393" customWidth="1"/>
    <col min="9167" max="9167" width="17" style="1393" customWidth="1"/>
    <col min="9168" max="9168" width="24.88671875" style="1393" customWidth="1"/>
    <col min="9169" max="9169" width="14.44140625" style="1393" customWidth="1"/>
    <col min="9170" max="9170" width="23.109375" style="1393" customWidth="1"/>
    <col min="9171" max="9171" width="13.109375" style="1393" customWidth="1"/>
    <col min="9172" max="9175" width="0" style="1393" hidden="1" customWidth="1"/>
    <col min="9176" max="9411" width="10.33203125" style="1393"/>
    <col min="9412" max="9412" width="7" style="1393" customWidth="1"/>
    <col min="9413" max="9413" width="13" style="1393" customWidth="1"/>
    <col min="9414" max="9414" width="14.109375" style="1393" customWidth="1"/>
    <col min="9415" max="9415" width="17.33203125" style="1393" customWidth="1"/>
    <col min="9416" max="9416" width="18.88671875" style="1393" customWidth="1"/>
    <col min="9417" max="9417" width="14.109375" style="1393" customWidth="1"/>
    <col min="9418" max="9418" width="21.5546875" style="1393" customWidth="1"/>
    <col min="9419" max="9420" width="14.109375" style="1393" customWidth="1"/>
    <col min="9421" max="9421" width="15" style="1393" customWidth="1"/>
    <col min="9422" max="9422" width="13.33203125" style="1393" customWidth="1"/>
    <col min="9423" max="9423" width="17" style="1393" customWidth="1"/>
    <col min="9424" max="9424" width="24.88671875" style="1393" customWidth="1"/>
    <col min="9425" max="9425" width="14.44140625" style="1393" customWidth="1"/>
    <col min="9426" max="9426" width="23.109375" style="1393" customWidth="1"/>
    <col min="9427" max="9427" width="13.109375" style="1393" customWidth="1"/>
    <col min="9428" max="9431" width="0" style="1393" hidden="1" customWidth="1"/>
    <col min="9432" max="9667" width="10.33203125" style="1393"/>
    <col min="9668" max="9668" width="7" style="1393" customWidth="1"/>
    <col min="9669" max="9669" width="13" style="1393" customWidth="1"/>
    <col min="9670" max="9670" width="14.109375" style="1393" customWidth="1"/>
    <col min="9671" max="9671" width="17.33203125" style="1393" customWidth="1"/>
    <col min="9672" max="9672" width="18.88671875" style="1393" customWidth="1"/>
    <col min="9673" max="9673" width="14.109375" style="1393" customWidth="1"/>
    <col min="9674" max="9674" width="21.5546875" style="1393" customWidth="1"/>
    <col min="9675" max="9676" width="14.109375" style="1393" customWidth="1"/>
    <col min="9677" max="9677" width="15" style="1393" customWidth="1"/>
    <col min="9678" max="9678" width="13.33203125" style="1393" customWidth="1"/>
    <col min="9679" max="9679" width="17" style="1393" customWidth="1"/>
    <col min="9680" max="9680" width="24.88671875" style="1393" customWidth="1"/>
    <col min="9681" max="9681" width="14.44140625" style="1393" customWidth="1"/>
    <col min="9682" max="9682" width="23.109375" style="1393" customWidth="1"/>
    <col min="9683" max="9683" width="13.109375" style="1393" customWidth="1"/>
    <col min="9684" max="9687" width="0" style="1393" hidden="1" customWidth="1"/>
    <col min="9688" max="9923" width="10.33203125" style="1393"/>
    <col min="9924" max="9924" width="7" style="1393" customWidth="1"/>
    <col min="9925" max="9925" width="13" style="1393" customWidth="1"/>
    <col min="9926" max="9926" width="14.109375" style="1393" customWidth="1"/>
    <col min="9927" max="9927" width="17.33203125" style="1393" customWidth="1"/>
    <col min="9928" max="9928" width="18.88671875" style="1393" customWidth="1"/>
    <col min="9929" max="9929" width="14.109375" style="1393" customWidth="1"/>
    <col min="9930" max="9930" width="21.5546875" style="1393" customWidth="1"/>
    <col min="9931" max="9932" width="14.109375" style="1393" customWidth="1"/>
    <col min="9933" max="9933" width="15" style="1393" customWidth="1"/>
    <col min="9934" max="9934" width="13.33203125" style="1393" customWidth="1"/>
    <col min="9935" max="9935" width="17" style="1393" customWidth="1"/>
    <col min="9936" max="9936" width="24.88671875" style="1393" customWidth="1"/>
    <col min="9937" max="9937" width="14.44140625" style="1393" customWidth="1"/>
    <col min="9938" max="9938" width="23.109375" style="1393" customWidth="1"/>
    <col min="9939" max="9939" width="13.109375" style="1393" customWidth="1"/>
    <col min="9940" max="9943" width="0" style="1393" hidden="1" customWidth="1"/>
    <col min="9944" max="10179" width="10.33203125" style="1393"/>
    <col min="10180" max="10180" width="7" style="1393" customWidth="1"/>
    <col min="10181" max="10181" width="13" style="1393" customWidth="1"/>
    <col min="10182" max="10182" width="14.109375" style="1393" customWidth="1"/>
    <col min="10183" max="10183" width="17.33203125" style="1393" customWidth="1"/>
    <col min="10184" max="10184" width="18.88671875" style="1393" customWidth="1"/>
    <col min="10185" max="10185" width="14.109375" style="1393" customWidth="1"/>
    <col min="10186" max="10186" width="21.5546875" style="1393" customWidth="1"/>
    <col min="10187" max="10188" width="14.109375" style="1393" customWidth="1"/>
    <col min="10189" max="10189" width="15" style="1393" customWidth="1"/>
    <col min="10190" max="10190" width="13.33203125" style="1393" customWidth="1"/>
    <col min="10191" max="10191" width="17" style="1393" customWidth="1"/>
    <col min="10192" max="10192" width="24.88671875" style="1393" customWidth="1"/>
    <col min="10193" max="10193" width="14.44140625" style="1393" customWidth="1"/>
    <col min="10194" max="10194" width="23.109375" style="1393" customWidth="1"/>
    <col min="10195" max="10195" width="13.109375" style="1393" customWidth="1"/>
    <col min="10196" max="10199" width="0" style="1393" hidden="1" customWidth="1"/>
    <col min="10200" max="10435" width="10.33203125" style="1393"/>
    <col min="10436" max="10436" width="7" style="1393" customWidth="1"/>
    <col min="10437" max="10437" width="13" style="1393" customWidth="1"/>
    <col min="10438" max="10438" width="14.109375" style="1393" customWidth="1"/>
    <col min="10439" max="10439" width="17.33203125" style="1393" customWidth="1"/>
    <col min="10440" max="10440" width="18.88671875" style="1393" customWidth="1"/>
    <col min="10441" max="10441" width="14.109375" style="1393" customWidth="1"/>
    <col min="10442" max="10442" width="21.5546875" style="1393" customWidth="1"/>
    <col min="10443" max="10444" width="14.109375" style="1393" customWidth="1"/>
    <col min="10445" max="10445" width="15" style="1393" customWidth="1"/>
    <col min="10446" max="10446" width="13.33203125" style="1393" customWidth="1"/>
    <col min="10447" max="10447" width="17" style="1393" customWidth="1"/>
    <col min="10448" max="10448" width="24.88671875" style="1393" customWidth="1"/>
    <col min="10449" max="10449" width="14.44140625" style="1393" customWidth="1"/>
    <col min="10450" max="10450" width="23.109375" style="1393" customWidth="1"/>
    <col min="10451" max="10451" width="13.109375" style="1393" customWidth="1"/>
    <col min="10452" max="10455" width="0" style="1393" hidden="1" customWidth="1"/>
    <col min="10456" max="10691" width="10.33203125" style="1393"/>
    <col min="10692" max="10692" width="7" style="1393" customWidth="1"/>
    <col min="10693" max="10693" width="13" style="1393" customWidth="1"/>
    <col min="10694" max="10694" width="14.109375" style="1393" customWidth="1"/>
    <col min="10695" max="10695" width="17.33203125" style="1393" customWidth="1"/>
    <col min="10696" max="10696" width="18.88671875" style="1393" customWidth="1"/>
    <col min="10697" max="10697" width="14.109375" style="1393" customWidth="1"/>
    <col min="10698" max="10698" width="21.5546875" style="1393" customWidth="1"/>
    <col min="10699" max="10700" width="14.109375" style="1393" customWidth="1"/>
    <col min="10701" max="10701" width="15" style="1393" customWidth="1"/>
    <col min="10702" max="10702" width="13.33203125" style="1393" customWidth="1"/>
    <col min="10703" max="10703" width="17" style="1393" customWidth="1"/>
    <col min="10704" max="10704" width="24.88671875" style="1393" customWidth="1"/>
    <col min="10705" max="10705" width="14.44140625" style="1393" customWidth="1"/>
    <col min="10706" max="10706" width="23.109375" style="1393" customWidth="1"/>
    <col min="10707" max="10707" width="13.109375" style="1393" customWidth="1"/>
    <col min="10708" max="10711" width="0" style="1393" hidden="1" customWidth="1"/>
    <col min="10712" max="10947" width="10.33203125" style="1393"/>
    <col min="10948" max="10948" width="7" style="1393" customWidth="1"/>
    <col min="10949" max="10949" width="13" style="1393" customWidth="1"/>
    <col min="10950" max="10950" width="14.109375" style="1393" customWidth="1"/>
    <col min="10951" max="10951" width="17.33203125" style="1393" customWidth="1"/>
    <col min="10952" max="10952" width="18.88671875" style="1393" customWidth="1"/>
    <col min="10953" max="10953" width="14.109375" style="1393" customWidth="1"/>
    <col min="10954" max="10954" width="21.5546875" style="1393" customWidth="1"/>
    <col min="10955" max="10956" width="14.109375" style="1393" customWidth="1"/>
    <col min="10957" max="10957" width="15" style="1393" customWidth="1"/>
    <col min="10958" max="10958" width="13.33203125" style="1393" customWidth="1"/>
    <col min="10959" max="10959" width="17" style="1393" customWidth="1"/>
    <col min="10960" max="10960" width="24.88671875" style="1393" customWidth="1"/>
    <col min="10961" max="10961" width="14.44140625" style="1393" customWidth="1"/>
    <col min="10962" max="10962" width="23.109375" style="1393" customWidth="1"/>
    <col min="10963" max="10963" width="13.109375" style="1393" customWidth="1"/>
    <col min="10964" max="10967" width="0" style="1393" hidden="1" customWidth="1"/>
    <col min="10968" max="11203" width="10.33203125" style="1393"/>
    <col min="11204" max="11204" width="7" style="1393" customWidth="1"/>
    <col min="11205" max="11205" width="13" style="1393" customWidth="1"/>
    <col min="11206" max="11206" width="14.109375" style="1393" customWidth="1"/>
    <col min="11207" max="11207" width="17.33203125" style="1393" customWidth="1"/>
    <col min="11208" max="11208" width="18.88671875" style="1393" customWidth="1"/>
    <col min="11209" max="11209" width="14.109375" style="1393" customWidth="1"/>
    <col min="11210" max="11210" width="21.5546875" style="1393" customWidth="1"/>
    <col min="11211" max="11212" width="14.109375" style="1393" customWidth="1"/>
    <col min="11213" max="11213" width="15" style="1393" customWidth="1"/>
    <col min="11214" max="11214" width="13.33203125" style="1393" customWidth="1"/>
    <col min="11215" max="11215" width="17" style="1393" customWidth="1"/>
    <col min="11216" max="11216" width="24.88671875" style="1393" customWidth="1"/>
    <col min="11217" max="11217" width="14.44140625" style="1393" customWidth="1"/>
    <col min="11218" max="11218" width="23.109375" style="1393" customWidth="1"/>
    <col min="11219" max="11219" width="13.109375" style="1393" customWidth="1"/>
    <col min="11220" max="11223" width="0" style="1393" hidden="1" customWidth="1"/>
    <col min="11224" max="11459" width="10.33203125" style="1393"/>
    <col min="11460" max="11460" width="7" style="1393" customWidth="1"/>
    <col min="11461" max="11461" width="13" style="1393" customWidth="1"/>
    <col min="11462" max="11462" width="14.109375" style="1393" customWidth="1"/>
    <col min="11463" max="11463" width="17.33203125" style="1393" customWidth="1"/>
    <col min="11464" max="11464" width="18.88671875" style="1393" customWidth="1"/>
    <col min="11465" max="11465" width="14.109375" style="1393" customWidth="1"/>
    <col min="11466" max="11466" width="21.5546875" style="1393" customWidth="1"/>
    <col min="11467" max="11468" width="14.109375" style="1393" customWidth="1"/>
    <col min="11469" max="11469" width="15" style="1393" customWidth="1"/>
    <col min="11470" max="11470" width="13.33203125" style="1393" customWidth="1"/>
    <col min="11471" max="11471" width="17" style="1393" customWidth="1"/>
    <col min="11472" max="11472" width="24.88671875" style="1393" customWidth="1"/>
    <col min="11473" max="11473" width="14.44140625" style="1393" customWidth="1"/>
    <col min="11474" max="11474" width="23.109375" style="1393" customWidth="1"/>
    <col min="11475" max="11475" width="13.109375" style="1393" customWidth="1"/>
    <col min="11476" max="11479" width="0" style="1393" hidden="1" customWidth="1"/>
    <col min="11480" max="11715" width="10.33203125" style="1393"/>
    <col min="11716" max="11716" width="7" style="1393" customWidth="1"/>
    <col min="11717" max="11717" width="13" style="1393" customWidth="1"/>
    <col min="11718" max="11718" width="14.109375" style="1393" customWidth="1"/>
    <col min="11719" max="11719" width="17.33203125" style="1393" customWidth="1"/>
    <col min="11720" max="11720" width="18.88671875" style="1393" customWidth="1"/>
    <col min="11721" max="11721" width="14.109375" style="1393" customWidth="1"/>
    <col min="11722" max="11722" width="21.5546875" style="1393" customWidth="1"/>
    <col min="11723" max="11724" width="14.109375" style="1393" customWidth="1"/>
    <col min="11725" max="11725" width="15" style="1393" customWidth="1"/>
    <col min="11726" max="11726" width="13.33203125" style="1393" customWidth="1"/>
    <col min="11727" max="11727" width="17" style="1393" customWidth="1"/>
    <col min="11728" max="11728" width="24.88671875" style="1393" customWidth="1"/>
    <col min="11729" max="11729" width="14.44140625" style="1393" customWidth="1"/>
    <col min="11730" max="11730" width="23.109375" style="1393" customWidth="1"/>
    <col min="11731" max="11731" width="13.109375" style="1393" customWidth="1"/>
    <col min="11732" max="11735" width="0" style="1393" hidden="1" customWidth="1"/>
    <col min="11736" max="11971" width="10.33203125" style="1393"/>
    <col min="11972" max="11972" width="7" style="1393" customWidth="1"/>
    <col min="11973" max="11973" width="13" style="1393" customWidth="1"/>
    <col min="11974" max="11974" width="14.109375" style="1393" customWidth="1"/>
    <col min="11975" max="11975" width="17.33203125" style="1393" customWidth="1"/>
    <col min="11976" max="11976" width="18.88671875" style="1393" customWidth="1"/>
    <col min="11977" max="11977" width="14.109375" style="1393" customWidth="1"/>
    <col min="11978" max="11978" width="21.5546875" style="1393" customWidth="1"/>
    <col min="11979" max="11980" width="14.109375" style="1393" customWidth="1"/>
    <col min="11981" max="11981" width="15" style="1393" customWidth="1"/>
    <col min="11982" max="11982" width="13.33203125" style="1393" customWidth="1"/>
    <col min="11983" max="11983" width="17" style="1393" customWidth="1"/>
    <col min="11984" max="11984" width="24.88671875" style="1393" customWidth="1"/>
    <col min="11985" max="11985" width="14.44140625" style="1393" customWidth="1"/>
    <col min="11986" max="11986" width="23.109375" style="1393" customWidth="1"/>
    <col min="11987" max="11987" width="13.109375" style="1393" customWidth="1"/>
    <col min="11988" max="11991" width="0" style="1393" hidden="1" customWidth="1"/>
    <col min="11992" max="12227" width="10.33203125" style="1393"/>
    <col min="12228" max="12228" width="7" style="1393" customWidth="1"/>
    <col min="12229" max="12229" width="13" style="1393" customWidth="1"/>
    <col min="12230" max="12230" width="14.109375" style="1393" customWidth="1"/>
    <col min="12231" max="12231" width="17.33203125" style="1393" customWidth="1"/>
    <col min="12232" max="12232" width="18.88671875" style="1393" customWidth="1"/>
    <col min="12233" max="12233" width="14.109375" style="1393" customWidth="1"/>
    <col min="12234" max="12234" width="21.5546875" style="1393" customWidth="1"/>
    <col min="12235" max="12236" width="14.109375" style="1393" customWidth="1"/>
    <col min="12237" max="12237" width="15" style="1393" customWidth="1"/>
    <col min="12238" max="12238" width="13.33203125" style="1393" customWidth="1"/>
    <col min="12239" max="12239" width="17" style="1393" customWidth="1"/>
    <col min="12240" max="12240" width="24.88671875" style="1393" customWidth="1"/>
    <col min="12241" max="12241" width="14.44140625" style="1393" customWidth="1"/>
    <col min="12242" max="12242" width="23.109375" style="1393" customWidth="1"/>
    <col min="12243" max="12243" width="13.109375" style="1393" customWidth="1"/>
    <col min="12244" max="12247" width="0" style="1393" hidden="1" customWidth="1"/>
    <col min="12248" max="12483" width="10.33203125" style="1393"/>
    <col min="12484" max="12484" width="7" style="1393" customWidth="1"/>
    <col min="12485" max="12485" width="13" style="1393" customWidth="1"/>
    <col min="12486" max="12486" width="14.109375" style="1393" customWidth="1"/>
    <col min="12487" max="12487" width="17.33203125" style="1393" customWidth="1"/>
    <col min="12488" max="12488" width="18.88671875" style="1393" customWidth="1"/>
    <col min="12489" max="12489" width="14.109375" style="1393" customWidth="1"/>
    <col min="12490" max="12490" width="21.5546875" style="1393" customWidth="1"/>
    <col min="12491" max="12492" width="14.109375" style="1393" customWidth="1"/>
    <col min="12493" max="12493" width="15" style="1393" customWidth="1"/>
    <col min="12494" max="12494" width="13.33203125" style="1393" customWidth="1"/>
    <col min="12495" max="12495" width="17" style="1393" customWidth="1"/>
    <col min="12496" max="12496" width="24.88671875" style="1393" customWidth="1"/>
    <col min="12497" max="12497" width="14.44140625" style="1393" customWidth="1"/>
    <col min="12498" max="12498" width="23.109375" style="1393" customWidth="1"/>
    <col min="12499" max="12499" width="13.109375" style="1393" customWidth="1"/>
    <col min="12500" max="12503" width="0" style="1393" hidden="1" customWidth="1"/>
    <col min="12504" max="12739" width="10.33203125" style="1393"/>
    <col min="12740" max="12740" width="7" style="1393" customWidth="1"/>
    <col min="12741" max="12741" width="13" style="1393" customWidth="1"/>
    <col min="12742" max="12742" width="14.109375" style="1393" customWidth="1"/>
    <col min="12743" max="12743" width="17.33203125" style="1393" customWidth="1"/>
    <col min="12744" max="12744" width="18.88671875" style="1393" customWidth="1"/>
    <col min="12745" max="12745" width="14.109375" style="1393" customWidth="1"/>
    <col min="12746" max="12746" width="21.5546875" style="1393" customWidth="1"/>
    <col min="12747" max="12748" width="14.109375" style="1393" customWidth="1"/>
    <col min="12749" max="12749" width="15" style="1393" customWidth="1"/>
    <col min="12750" max="12750" width="13.33203125" style="1393" customWidth="1"/>
    <col min="12751" max="12751" width="17" style="1393" customWidth="1"/>
    <col min="12752" max="12752" width="24.88671875" style="1393" customWidth="1"/>
    <col min="12753" max="12753" width="14.44140625" style="1393" customWidth="1"/>
    <col min="12754" max="12754" width="23.109375" style="1393" customWidth="1"/>
    <col min="12755" max="12755" width="13.109375" style="1393" customWidth="1"/>
    <col min="12756" max="12759" width="0" style="1393" hidden="1" customWidth="1"/>
    <col min="12760" max="12995" width="10.33203125" style="1393"/>
    <col min="12996" max="12996" width="7" style="1393" customWidth="1"/>
    <col min="12997" max="12997" width="13" style="1393" customWidth="1"/>
    <col min="12998" max="12998" width="14.109375" style="1393" customWidth="1"/>
    <col min="12999" max="12999" width="17.33203125" style="1393" customWidth="1"/>
    <col min="13000" max="13000" width="18.88671875" style="1393" customWidth="1"/>
    <col min="13001" max="13001" width="14.109375" style="1393" customWidth="1"/>
    <col min="13002" max="13002" width="21.5546875" style="1393" customWidth="1"/>
    <col min="13003" max="13004" width="14.109375" style="1393" customWidth="1"/>
    <col min="13005" max="13005" width="15" style="1393" customWidth="1"/>
    <col min="13006" max="13006" width="13.33203125" style="1393" customWidth="1"/>
    <col min="13007" max="13007" width="17" style="1393" customWidth="1"/>
    <col min="13008" max="13008" width="24.88671875" style="1393" customWidth="1"/>
    <col min="13009" max="13009" width="14.44140625" style="1393" customWidth="1"/>
    <col min="13010" max="13010" width="23.109375" style="1393" customWidth="1"/>
    <col min="13011" max="13011" width="13.109375" style="1393" customWidth="1"/>
    <col min="13012" max="13015" width="0" style="1393" hidden="1" customWidth="1"/>
    <col min="13016" max="13251" width="10.33203125" style="1393"/>
    <col min="13252" max="13252" width="7" style="1393" customWidth="1"/>
    <col min="13253" max="13253" width="13" style="1393" customWidth="1"/>
    <col min="13254" max="13254" width="14.109375" style="1393" customWidth="1"/>
    <col min="13255" max="13255" width="17.33203125" style="1393" customWidth="1"/>
    <col min="13256" max="13256" width="18.88671875" style="1393" customWidth="1"/>
    <col min="13257" max="13257" width="14.109375" style="1393" customWidth="1"/>
    <col min="13258" max="13258" width="21.5546875" style="1393" customWidth="1"/>
    <col min="13259" max="13260" width="14.109375" style="1393" customWidth="1"/>
    <col min="13261" max="13261" width="15" style="1393" customWidth="1"/>
    <col min="13262" max="13262" width="13.33203125" style="1393" customWidth="1"/>
    <col min="13263" max="13263" width="17" style="1393" customWidth="1"/>
    <col min="13264" max="13264" width="24.88671875" style="1393" customWidth="1"/>
    <col min="13265" max="13265" width="14.44140625" style="1393" customWidth="1"/>
    <col min="13266" max="13266" width="23.109375" style="1393" customWidth="1"/>
    <col min="13267" max="13267" width="13.109375" style="1393" customWidth="1"/>
    <col min="13268" max="13271" width="0" style="1393" hidden="1" customWidth="1"/>
    <col min="13272" max="13507" width="10.33203125" style="1393"/>
    <col min="13508" max="13508" width="7" style="1393" customWidth="1"/>
    <col min="13509" max="13509" width="13" style="1393" customWidth="1"/>
    <col min="13510" max="13510" width="14.109375" style="1393" customWidth="1"/>
    <col min="13511" max="13511" width="17.33203125" style="1393" customWidth="1"/>
    <col min="13512" max="13512" width="18.88671875" style="1393" customWidth="1"/>
    <col min="13513" max="13513" width="14.109375" style="1393" customWidth="1"/>
    <col min="13514" max="13514" width="21.5546875" style="1393" customWidth="1"/>
    <col min="13515" max="13516" width="14.109375" style="1393" customWidth="1"/>
    <col min="13517" max="13517" width="15" style="1393" customWidth="1"/>
    <col min="13518" max="13518" width="13.33203125" style="1393" customWidth="1"/>
    <col min="13519" max="13519" width="17" style="1393" customWidth="1"/>
    <col min="13520" max="13520" width="24.88671875" style="1393" customWidth="1"/>
    <col min="13521" max="13521" width="14.44140625" style="1393" customWidth="1"/>
    <col min="13522" max="13522" width="23.109375" style="1393" customWidth="1"/>
    <col min="13523" max="13523" width="13.109375" style="1393" customWidth="1"/>
    <col min="13524" max="13527" width="0" style="1393" hidden="1" customWidth="1"/>
    <col min="13528" max="13763" width="10.33203125" style="1393"/>
    <col min="13764" max="13764" width="7" style="1393" customWidth="1"/>
    <col min="13765" max="13765" width="13" style="1393" customWidth="1"/>
    <col min="13766" max="13766" width="14.109375" style="1393" customWidth="1"/>
    <col min="13767" max="13767" width="17.33203125" style="1393" customWidth="1"/>
    <col min="13768" max="13768" width="18.88671875" style="1393" customWidth="1"/>
    <col min="13769" max="13769" width="14.109375" style="1393" customWidth="1"/>
    <col min="13770" max="13770" width="21.5546875" style="1393" customWidth="1"/>
    <col min="13771" max="13772" width="14.109375" style="1393" customWidth="1"/>
    <col min="13773" max="13773" width="15" style="1393" customWidth="1"/>
    <col min="13774" max="13774" width="13.33203125" style="1393" customWidth="1"/>
    <col min="13775" max="13775" width="17" style="1393" customWidth="1"/>
    <col min="13776" max="13776" width="24.88671875" style="1393" customWidth="1"/>
    <col min="13777" max="13777" width="14.44140625" style="1393" customWidth="1"/>
    <col min="13778" max="13778" width="23.109375" style="1393" customWidth="1"/>
    <col min="13779" max="13779" width="13.109375" style="1393" customWidth="1"/>
    <col min="13780" max="13783" width="0" style="1393" hidden="1" customWidth="1"/>
    <col min="13784" max="14019" width="10.33203125" style="1393"/>
    <col min="14020" max="14020" width="7" style="1393" customWidth="1"/>
    <col min="14021" max="14021" width="13" style="1393" customWidth="1"/>
    <col min="14022" max="14022" width="14.109375" style="1393" customWidth="1"/>
    <col min="14023" max="14023" width="17.33203125" style="1393" customWidth="1"/>
    <col min="14024" max="14024" width="18.88671875" style="1393" customWidth="1"/>
    <col min="14025" max="14025" width="14.109375" style="1393" customWidth="1"/>
    <col min="14026" max="14026" width="21.5546875" style="1393" customWidth="1"/>
    <col min="14027" max="14028" width="14.109375" style="1393" customWidth="1"/>
    <col min="14029" max="14029" width="15" style="1393" customWidth="1"/>
    <col min="14030" max="14030" width="13.33203125" style="1393" customWidth="1"/>
    <col min="14031" max="14031" width="17" style="1393" customWidth="1"/>
    <col min="14032" max="14032" width="24.88671875" style="1393" customWidth="1"/>
    <col min="14033" max="14033" width="14.44140625" style="1393" customWidth="1"/>
    <col min="14034" max="14034" width="23.109375" style="1393" customWidth="1"/>
    <col min="14035" max="14035" width="13.109375" style="1393" customWidth="1"/>
    <col min="14036" max="14039" width="0" style="1393" hidden="1" customWidth="1"/>
    <col min="14040" max="14275" width="10.33203125" style="1393"/>
    <col min="14276" max="14276" width="7" style="1393" customWidth="1"/>
    <col min="14277" max="14277" width="13" style="1393" customWidth="1"/>
    <col min="14278" max="14278" width="14.109375" style="1393" customWidth="1"/>
    <col min="14279" max="14279" width="17.33203125" style="1393" customWidth="1"/>
    <col min="14280" max="14280" width="18.88671875" style="1393" customWidth="1"/>
    <col min="14281" max="14281" width="14.109375" style="1393" customWidth="1"/>
    <col min="14282" max="14282" width="21.5546875" style="1393" customWidth="1"/>
    <col min="14283" max="14284" width="14.109375" style="1393" customWidth="1"/>
    <col min="14285" max="14285" width="15" style="1393" customWidth="1"/>
    <col min="14286" max="14286" width="13.33203125" style="1393" customWidth="1"/>
    <col min="14287" max="14287" width="17" style="1393" customWidth="1"/>
    <col min="14288" max="14288" width="24.88671875" style="1393" customWidth="1"/>
    <col min="14289" max="14289" width="14.44140625" style="1393" customWidth="1"/>
    <col min="14290" max="14290" width="23.109375" style="1393" customWidth="1"/>
    <col min="14291" max="14291" width="13.109375" style="1393" customWidth="1"/>
    <col min="14292" max="14295" width="0" style="1393" hidden="1" customWidth="1"/>
    <col min="14296" max="14531" width="10.33203125" style="1393"/>
    <col min="14532" max="14532" width="7" style="1393" customWidth="1"/>
    <col min="14533" max="14533" width="13" style="1393" customWidth="1"/>
    <col min="14534" max="14534" width="14.109375" style="1393" customWidth="1"/>
    <col min="14535" max="14535" width="17.33203125" style="1393" customWidth="1"/>
    <col min="14536" max="14536" width="18.88671875" style="1393" customWidth="1"/>
    <col min="14537" max="14537" width="14.109375" style="1393" customWidth="1"/>
    <col min="14538" max="14538" width="21.5546875" style="1393" customWidth="1"/>
    <col min="14539" max="14540" width="14.109375" style="1393" customWidth="1"/>
    <col min="14541" max="14541" width="15" style="1393" customWidth="1"/>
    <col min="14542" max="14542" width="13.33203125" style="1393" customWidth="1"/>
    <col min="14543" max="14543" width="17" style="1393" customWidth="1"/>
    <col min="14544" max="14544" width="24.88671875" style="1393" customWidth="1"/>
    <col min="14545" max="14545" width="14.44140625" style="1393" customWidth="1"/>
    <col min="14546" max="14546" width="23.109375" style="1393" customWidth="1"/>
    <col min="14547" max="14547" width="13.109375" style="1393" customWidth="1"/>
    <col min="14548" max="14551" width="0" style="1393" hidden="1" customWidth="1"/>
    <col min="14552" max="14787" width="10.33203125" style="1393"/>
    <col min="14788" max="14788" width="7" style="1393" customWidth="1"/>
    <col min="14789" max="14789" width="13" style="1393" customWidth="1"/>
    <col min="14790" max="14790" width="14.109375" style="1393" customWidth="1"/>
    <col min="14791" max="14791" width="17.33203125" style="1393" customWidth="1"/>
    <col min="14792" max="14792" width="18.88671875" style="1393" customWidth="1"/>
    <col min="14793" max="14793" width="14.109375" style="1393" customWidth="1"/>
    <col min="14794" max="14794" width="21.5546875" style="1393" customWidth="1"/>
    <col min="14795" max="14796" width="14.109375" style="1393" customWidth="1"/>
    <col min="14797" max="14797" width="15" style="1393" customWidth="1"/>
    <col min="14798" max="14798" width="13.33203125" style="1393" customWidth="1"/>
    <col min="14799" max="14799" width="17" style="1393" customWidth="1"/>
    <col min="14800" max="14800" width="24.88671875" style="1393" customWidth="1"/>
    <col min="14801" max="14801" width="14.44140625" style="1393" customWidth="1"/>
    <col min="14802" max="14802" width="23.109375" style="1393" customWidth="1"/>
    <col min="14803" max="14803" width="13.109375" style="1393" customWidth="1"/>
    <col min="14804" max="14807" width="0" style="1393" hidden="1" customWidth="1"/>
    <col min="14808" max="15043" width="10.33203125" style="1393"/>
    <col min="15044" max="15044" width="7" style="1393" customWidth="1"/>
    <col min="15045" max="15045" width="13" style="1393" customWidth="1"/>
    <col min="15046" max="15046" width="14.109375" style="1393" customWidth="1"/>
    <col min="15047" max="15047" width="17.33203125" style="1393" customWidth="1"/>
    <col min="15048" max="15048" width="18.88671875" style="1393" customWidth="1"/>
    <col min="15049" max="15049" width="14.109375" style="1393" customWidth="1"/>
    <col min="15050" max="15050" width="21.5546875" style="1393" customWidth="1"/>
    <col min="15051" max="15052" width="14.109375" style="1393" customWidth="1"/>
    <col min="15053" max="15053" width="15" style="1393" customWidth="1"/>
    <col min="15054" max="15054" width="13.33203125" style="1393" customWidth="1"/>
    <col min="15055" max="15055" width="17" style="1393" customWidth="1"/>
    <col min="15056" max="15056" width="24.88671875" style="1393" customWidth="1"/>
    <col min="15057" max="15057" width="14.44140625" style="1393" customWidth="1"/>
    <col min="15058" max="15058" width="23.109375" style="1393" customWidth="1"/>
    <col min="15059" max="15059" width="13.109375" style="1393" customWidth="1"/>
    <col min="15060" max="15063" width="0" style="1393" hidden="1" customWidth="1"/>
    <col min="15064" max="15299" width="10.33203125" style="1393"/>
    <col min="15300" max="15300" width="7" style="1393" customWidth="1"/>
    <col min="15301" max="15301" width="13" style="1393" customWidth="1"/>
    <col min="15302" max="15302" width="14.109375" style="1393" customWidth="1"/>
    <col min="15303" max="15303" width="17.33203125" style="1393" customWidth="1"/>
    <col min="15304" max="15304" width="18.88671875" style="1393" customWidth="1"/>
    <col min="15305" max="15305" width="14.109375" style="1393" customWidth="1"/>
    <col min="15306" max="15306" width="21.5546875" style="1393" customWidth="1"/>
    <col min="15307" max="15308" width="14.109375" style="1393" customWidth="1"/>
    <col min="15309" max="15309" width="15" style="1393" customWidth="1"/>
    <col min="15310" max="15310" width="13.33203125" style="1393" customWidth="1"/>
    <col min="15311" max="15311" width="17" style="1393" customWidth="1"/>
    <col min="15312" max="15312" width="24.88671875" style="1393" customWidth="1"/>
    <col min="15313" max="15313" width="14.44140625" style="1393" customWidth="1"/>
    <col min="15314" max="15314" width="23.109375" style="1393" customWidth="1"/>
    <col min="15315" max="15315" width="13.109375" style="1393" customWidth="1"/>
    <col min="15316" max="15319" width="0" style="1393" hidden="1" customWidth="1"/>
    <col min="15320" max="15555" width="10.33203125" style="1393"/>
    <col min="15556" max="15556" width="7" style="1393" customWidth="1"/>
    <col min="15557" max="15557" width="13" style="1393" customWidth="1"/>
    <col min="15558" max="15558" width="14.109375" style="1393" customWidth="1"/>
    <col min="15559" max="15559" width="17.33203125" style="1393" customWidth="1"/>
    <col min="15560" max="15560" width="18.88671875" style="1393" customWidth="1"/>
    <col min="15561" max="15561" width="14.109375" style="1393" customWidth="1"/>
    <col min="15562" max="15562" width="21.5546875" style="1393" customWidth="1"/>
    <col min="15563" max="15564" width="14.109375" style="1393" customWidth="1"/>
    <col min="15565" max="15565" width="15" style="1393" customWidth="1"/>
    <col min="15566" max="15566" width="13.33203125" style="1393" customWidth="1"/>
    <col min="15567" max="15567" width="17" style="1393" customWidth="1"/>
    <col min="15568" max="15568" width="24.88671875" style="1393" customWidth="1"/>
    <col min="15569" max="15569" width="14.44140625" style="1393" customWidth="1"/>
    <col min="15570" max="15570" width="23.109375" style="1393" customWidth="1"/>
    <col min="15571" max="15571" width="13.109375" style="1393" customWidth="1"/>
    <col min="15572" max="15575" width="0" style="1393" hidden="1" customWidth="1"/>
    <col min="15576" max="15811" width="10.33203125" style="1393"/>
    <col min="15812" max="15812" width="7" style="1393" customWidth="1"/>
    <col min="15813" max="15813" width="13" style="1393" customWidth="1"/>
    <col min="15814" max="15814" width="14.109375" style="1393" customWidth="1"/>
    <col min="15815" max="15815" width="17.33203125" style="1393" customWidth="1"/>
    <col min="15816" max="15816" width="18.88671875" style="1393" customWidth="1"/>
    <col min="15817" max="15817" width="14.109375" style="1393" customWidth="1"/>
    <col min="15818" max="15818" width="21.5546875" style="1393" customWidth="1"/>
    <col min="15819" max="15820" width="14.109375" style="1393" customWidth="1"/>
    <col min="15821" max="15821" width="15" style="1393" customWidth="1"/>
    <col min="15822" max="15822" width="13.33203125" style="1393" customWidth="1"/>
    <col min="15823" max="15823" width="17" style="1393" customWidth="1"/>
    <col min="15824" max="15824" width="24.88671875" style="1393" customWidth="1"/>
    <col min="15825" max="15825" width="14.44140625" style="1393" customWidth="1"/>
    <col min="15826" max="15826" width="23.109375" style="1393" customWidth="1"/>
    <col min="15827" max="15827" width="13.109375" style="1393" customWidth="1"/>
    <col min="15828" max="15831" width="0" style="1393" hidden="1" customWidth="1"/>
    <col min="15832" max="16067" width="10.33203125" style="1393"/>
    <col min="16068" max="16068" width="7" style="1393" customWidth="1"/>
    <col min="16069" max="16069" width="13" style="1393" customWidth="1"/>
    <col min="16070" max="16070" width="14.109375" style="1393" customWidth="1"/>
    <col min="16071" max="16071" width="17.33203125" style="1393" customWidth="1"/>
    <col min="16072" max="16072" width="18.88671875" style="1393" customWidth="1"/>
    <col min="16073" max="16073" width="14.109375" style="1393" customWidth="1"/>
    <col min="16074" max="16074" width="21.5546875" style="1393" customWidth="1"/>
    <col min="16075" max="16076" width="14.109375" style="1393" customWidth="1"/>
    <col min="16077" max="16077" width="15" style="1393" customWidth="1"/>
    <col min="16078" max="16078" width="13.33203125" style="1393" customWidth="1"/>
    <col min="16079" max="16079" width="17" style="1393" customWidth="1"/>
    <col min="16080" max="16080" width="24.88671875" style="1393" customWidth="1"/>
    <col min="16081" max="16081" width="14.44140625" style="1393" customWidth="1"/>
    <col min="16082" max="16082" width="23.109375" style="1393" customWidth="1"/>
    <col min="16083" max="16083" width="13.109375" style="1393" customWidth="1"/>
    <col min="16084" max="16087" width="0" style="1393" hidden="1" customWidth="1"/>
    <col min="16088" max="16384" width="10.33203125" style="1393"/>
  </cols>
  <sheetData>
    <row r="1" spans="1:33" ht="15" customHeight="1">
      <c r="B1" s="1867"/>
      <c r="Q1" s="2761"/>
      <c r="R1" s="2761"/>
      <c r="S1" s="2762"/>
      <c r="T1" s="2762"/>
      <c r="U1" s="2762"/>
      <c r="V1" s="2762"/>
      <c r="W1" s="2761"/>
      <c r="X1" s="2761"/>
      <c r="Y1" s="2761"/>
      <c r="Z1" s="2763"/>
      <c r="AA1" s="2761"/>
      <c r="AB1" s="2761"/>
      <c r="AC1" s="2761"/>
      <c r="AD1" s="2764"/>
    </row>
    <row r="2" spans="1:33" s="1874" customFormat="1" ht="20.25" customHeight="1">
      <c r="A2" s="3708" t="s">
        <v>6226</v>
      </c>
      <c r="B2" s="3709"/>
      <c r="C2" s="3709"/>
      <c r="D2" s="3709"/>
      <c r="E2" s="3709"/>
      <c r="F2" s="3709"/>
      <c r="G2" s="3709"/>
      <c r="H2" s="3709"/>
      <c r="I2" s="3709"/>
      <c r="J2" s="3709"/>
      <c r="K2" s="3709"/>
      <c r="L2" s="3709"/>
      <c r="M2" s="2830"/>
      <c r="N2" s="1873"/>
      <c r="O2" s="2830"/>
      <c r="P2" s="1873"/>
      <c r="Q2" s="1873"/>
      <c r="R2" s="1873"/>
      <c r="S2" s="1873"/>
      <c r="T2" s="1873"/>
      <c r="U2" s="1873"/>
      <c r="V2" s="1873"/>
      <c r="W2" s="1873"/>
      <c r="X2" s="1873"/>
      <c r="Y2" s="1873"/>
      <c r="Z2" s="1873"/>
      <c r="AA2" s="1873"/>
      <c r="AB2" s="1873"/>
      <c r="AC2" s="1873"/>
      <c r="AD2" s="1873"/>
    </row>
    <row r="3" spans="1:33">
      <c r="B3" s="2839" t="s">
        <v>6126</v>
      </c>
      <c r="C3" s="654"/>
      <c r="D3" s="4063"/>
      <c r="E3" s="4063"/>
      <c r="F3" s="4063"/>
      <c r="G3" s="4063"/>
      <c r="H3" s="4063"/>
      <c r="I3" s="2842"/>
      <c r="J3" s="1876"/>
      <c r="K3" s="1306"/>
      <c r="L3" s="1836"/>
      <c r="M3" s="1876"/>
      <c r="Z3" s="1879"/>
      <c r="AD3" s="1882"/>
    </row>
    <row r="4" spans="1:33" s="1915" customFormat="1" ht="39.6">
      <c r="A4" s="33" t="s">
        <v>2</v>
      </c>
      <c r="B4" s="1336" t="s">
        <v>6227</v>
      </c>
      <c r="C4" s="2765" t="s">
        <v>6228</v>
      </c>
      <c r="D4" s="2765" t="s">
        <v>6229</v>
      </c>
      <c r="E4" s="2766" t="s">
        <v>4399</v>
      </c>
      <c r="F4" s="33" t="s">
        <v>8</v>
      </c>
      <c r="G4" s="33" t="s">
        <v>9</v>
      </c>
      <c r="H4" s="33" t="s">
        <v>102</v>
      </c>
      <c r="I4" s="35" t="s">
        <v>17</v>
      </c>
      <c r="J4" s="323" t="s">
        <v>6232</v>
      </c>
      <c r="K4" s="323" t="s">
        <v>6230</v>
      </c>
      <c r="L4" s="323" t="s">
        <v>6231</v>
      </c>
      <c r="M4" s="2852"/>
      <c r="N4" s="2853"/>
      <c r="O4" s="2767"/>
      <c r="P4" s="2768" t="s">
        <v>4665</v>
      </c>
      <c r="Q4" s="2768" t="s">
        <v>4664</v>
      </c>
      <c r="R4" s="2768" t="s">
        <v>4678</v>
      </c>
      <c r="S4" s="2769" t="s">
        <v>1291</v>
      </c>
      <c r="T4" s="2769" t="s">
        <v>190</v>
      </c>
      <c r="U4" s="2769" t="s">
        <v>191</v>
      </c>
      <c r="V4" s="2768" t="s">
        <v>192</v>
      </c>
      <c r="W4" s="2768" t="s">
        <v>1313</v>
      </c>
      <c r="X4" s="2770" t="s">
        <v>194</v>
      </c>
      <c r="Y4" s="2770" t="s">
        <v>4652</v>
      </c>
      <c r="Z4" s="2771" t="s">
        <v>197</v>
      </c>
      <c r="AA4" s="2770" t="s">
        <v>195</v>
      </c>
      <c r="AB4" s="2768" t="s">
        <v>198</v>
      </c>
      <c r="AC4" s="2770" t="s">
        <v>199</v>
      </c>
      <c r="AD4" s="2772" t="s">
        <v>200</v>
      </c>
      <c r="AE4" s="2276"/>
    </row>
    <row r="5" spans="1:33" ht="15.75" customHeight="1">
      <c r="A5" s="4097" t="s">
        <v>6100</v>
      </c>
      <c r="B5" s="4098"/>
      <c r="C5" s="4098"/>
      <c r="D5" s="4098"/>
      <c r="E5" s="4098"/>
      <c r="F5" s="4098"/>
      <c r="G5" s="4098"/>
      <c r="H5" s="4098"/>
      <c r="I5" s="4098"/>
      <c r="J5" s="4098"/>
      <c r="K5" s="4098"/>
      <c r="L5" s="4098"/>
      <c r="M5" s="4098"/>
      <c r="N5" s="4098"/>
      <c r="O5" s="4098"/>
      <c r="P5" s="4098"/>
      <c r="Q5" s="4098"/>
      <c r="R5" s="4098"/>
      <c r="S5" s="4098"/>
      <c r="T5" s="4098"/>
      <c r="U5" s="4098"/>
      <c r="V5" s="4098"/>
      <c r="W5" s="4098"/>
      <c r="X5" s="4098"/>
      <c r="Y5" s="4098"/>
      <c r="Z5" s="4099"/>
      <c r="AA5" s="2868"/>
      <c r="AB5" s="2868"/>
      <c r="AC5" s="2868"/>
      <c r="AD5" s="2868"/>
      <c r="AE5" s="2364"/>
      <c r="AF5" s="1354"/>
      <c r="AG5" s="1350"/>
    </row>
    <row r="6" spans="1:33" s="2205" customFormat="1" ht="28.5" customHeight="1">
      <c r="A6" s="2523">
        <v>1</v>
      </c>
      <c r="B6" s="671" t="s">
        <v>6192</v>
      </c>
      <c r="C6" s="2854" t="s">
        <v>6236</v>
      </c>
      <c r="D6" s="2523" t="s">
        <v>6233</v>
      </c>
      <c r="E6" s="2987" t="s">
        <v>6458</v>
      </c>
      <c r="F6" s="2527"/>
      <c r="G6" s="1423">
        <v>2</v>
      </c>
      <c r="H6" s="1423"/>
      <c r="I6" s="1423">
        <v>1034</v>
      </c>
      <c r="J6" s="1423">
        <v>34000</v>
      </c>
      <c r="K6" s="2865" t="s">
        <v>6234</v>
      </c>
      <c r="L6" s="2866" t="s">
        <v>6235</v>
      </c>
      <c r="M6" s="2523"/>
      <c r="N6" s="2855"/>
      <c r="O6" s="2856"/>
      <c r="P6" s="2855"/>
      <c r="Q6" s="2857"/>
      <c r="R6" s="2857"/>
      <c r="S6" s="2858"/>
      <c r="T6" s="2859"/>
      <c r="U6" s="2855"/>
      <c r="V6" s="2855"/>
      <c r="W6" s="2857"/>
      <c r="X6" s="2855"/>
      <c r="Y6" s="2860"/>
      <c r="Z6" s="2861"/>
      <c r="AA6" s="1416"/>
      <c r="AB6" s="676">
        <f>4500000*G6</f>
        <v>9000000</v>
      </c>
      <c r="AC6" s="677">
        <f>+AB6*1.08</f>
        <v>9720000</v>
      </c>
      <c r="AD6" s="2862"/>
      <c r="AE6" s="2210"/>
      <c r="AF6" s="2210"/>
      <c r="AG6" s="1697"/>
    </row>
    <row r="7" spans="1:33" s="1697" customFormat="1" ht="19.5" customHeight="1">
      <c r="A7" s="1738">
        <f>+A6+1</f>
        <v>2</v>
      </c>
      <c r="B7" s="2199" t="s">
        <v>6324</v>
      </c>
      <c r="C7" s="2794"/>
      <c r="D7" s="1738" t="s">
        <v>6328</v>
      </c>
      <c r="E7" s="2987" t="s">
        <v>6457</v>
      </c>
      <c r="F7" s="2197"/>
      <c r="G7" s="2203">
        <v>1</v>
      </c>
      <c r="H7" s="2203"/>
      <c r="I7" s="2203"/>
      <c r="J7" s="2203"/>
      <c r="K7" s="2773" t="s">
        <v>6346</v>
      </c>
      <c r="L7" s="2917" t="s">
        <v>6347</v>
      </c>
      <c r="M7" s="2217"/>
      <c r="N7" s="2218"/>
      <c r="O7" s="2199"/>
      <c r="P7" s="2200"/>
      <c r="Q7" s="2200"/>
      <c r="R7" s="2200"/>
      <c r="S7" s="2202"/>
      <c r="T7" s="2202"/>
      <c r="U7" s="2201"/>
      <c r="V7" s="2201"/>
      <c r="W7" s="2202"/>
      <c r="X7" s="2201"/>
      <c r="Y7" s="2201"/>
      <c r="Z7" s="2203"/>
      <c r="AA7" s="1416"/>
      <c r="AB7" s="2374">
        <v>6500000</v>
      </c>
      <c r="AC7" s="677">
        <f t="shared" ref="AC7:AC14" si="0">+AB7*1.08</f>
        <v>7020000</v>
      </c>
      <c r="AD7" s="2251"/>
      <c r="AF7" s="2205"/>
    </row>
    <row r="8" spans="1:33" s="1697" customFormat="1" ht="15" customHeight="1">
      <c r="A8" s="1738">
        <f t="shared" ref="A8:A71" si="1">+A7+1</f>
        <v>3</v>
      </c>
      <c r="B8" s="2199" t="s">
        <v>6373</v>
      </c>
      <c r="C8" s="2203"/>
      <c r="D8" s="1738" t="s">
        <v>6372</v>
      </c>
      <c r="E8" s="2250" t="s">
        <v>6459</v>
      </c>
      <c r="F8" s="2197"/>
      <c r="G8" s="2203">
        <v>1</v>
      </c>
      <c r="H8" s="2203"/>
      <c r="I8" s="2203"/>
      <c r="J8" s="2203"/>
      <c r="K8" s="2773" t="s">
        <v>6384</v>
      </c>
      <c r="L8" s="2866" t="s">
        <v>6385</v>
      </c>
      <c r="M8" s="2217"/>
      <c r="N8" s="2218"/>
      <c r="O8" s="2199"/>
      <c r="P8" s="2200"/>
      <c r="Q8" s="2200"/>
      <c r="R8" s="2200"/>
      <c r="S8" s="2201"/>
      <c r="T8" s="2202"/>
      <c r="U8" s="2201"/>
      <c r="V8" s="2202"/>
      <c r="W8" s="2202"/>
      <c r="X8" s="2201"/>
      <c r="Y8" s="2201"/>
      <c r="Z8" s="2263"/>
      <c r="AA8" s="1416"/>
      <c r="AB8" s="2374">
        <v>7000000</v>
      </c>
      <c r="AC8" s="677">
        <f t="shared" si="0"/>
        <v>7560000.0000000009</v>
      </c>
      <c r="AD8" s="2251"/>
      <c r="AF8" s="2205"/>
    </row>
    <row r="9" spans="1:33" ht="15.75" customHeight="1">
      <c r="A9" s="4097" t="s">
        <v>6485</v>
      </c>
      <c r="B9" s="4098"/>
      <c r="C9" s="4098"/>
      <c r="D9" s="4098"/>
      <c r="E9" s="4098"/>
      <c r="F9" s="4098"/>
      <c r="G9" s="4098"/>
      <c r="H9" s="4098"/>
      <c r="I9" s="4098"/>
      <c r="J9" s="4098"/>
      <c r="K9" s="4098"/>
      <c r="L9" s="4098"/>
      <c r="M9" s="4098"/>
      <c r="N9" s="4098"/>
      <c r="O9" s="4098"/>
      <c r="P9" s="4098"/>
      <c r="Q9" s="4098"/>
      <c r="R9" s="4098"/>
      <c r="S9" s="4098"/>
      <c r="T9" s="4098"/>
      <c r="U9" s="4098"/>
      <c r="V9" s="4098"/>
      <c r="W9" s="4098"/>
      <c r="X9" s="4098"/>
      <c r="Y9" s="4098"/>
      <c r="Z9" s="4099"/>
      <c r="AA9" s="2868"/>
      <c r="AB9" s="2868"/>
      <c r="AC9" s="2868"/>
      <c r="AD9" s="2868"/>
      <c r="AE9" s="2364"/>
      <c r="AF9" s="1354"/>
      <c r="AG9" s="1350"/>
    </row>
    <row r="10" spans="1:33" s="1697" customFormat="1" ht="15" customHeight="1">
      <c r="A10" s="1738">
        <v>1</v>
      </c>
      <c r="B10" s="2203"/>
      <c r="C10" s="2203"/>
      <c r="D10" s="2203"/>
      <c r="E10" s="2203"/>
      <c r="F10" s="2197"/>
      <c r="G10" s="2203"/>
      <c r="H10" s="2203"/>
      <c r="I10" s="2203"/>
      <c r="J10" s="2203"/>
      <c r="K10" s="2773"/>
      <c r="L10" s="2866"/>
      <c r="M10" s="2217"/>
      <c r="N10" s="2218"/>
      <c r="O10" s="2199"/>
      <c r="P10" s="2200"/>
      <c r="Q10" s="2200"/>
      <c r="R10" s="2200"/>
      <c r="S10" s="2201"/>
      <c r="T10" s="2201"/>
      <c r="U10" s="2201"/>
      <c r="V10" s="2201"/>
      <c r="W10" s="2202"/>
      <c r="X10" s="2201"/>
      <c r="Y10" s="2453"/>
      <c r="Z10" s="2453"/>
      <c r="AA10" s="1416"/>
      <c r="AB10" s="2374"/>
      <c r="AC10" s="677">
        <f t="shared" si="0"/>
        <v>0</v>
      </c>
      <c r="AD10" s="2407"/>
      <c r="AE10" s="2407"/>
      <c r="AF10" s="2407"/>
      <c r="AG10" s="2407"/>
    </row>
    <row r="11" spans="1:33" s="1697" customFormat="1" ht="15" customHeight="1">
      <c r="A11" s="1738">
        <f t="shared" si="1"/>
        <v>2</v>
      </c>
      <c r="B11" s="2203"/>
      <c r="C11" s="2203"/>
      <c r="D11" s="2203"/>
      <c r="E11" s="2203"/>
      <c r="F11" s="2197"/>
      <c r="G11" s="2203"/>
      <c r="H11" s="2203"/>
      <c r="I11" s="2203"/>
      <c r="J11" s="2203"/>
      <c r="K11" s="2773"/>
      <c r="L11" s="2866"/>
      <c r="M11" s="2217"/>
      <c r="N11" s="2218"/>
      <c r="O11" s="2199"/>
      <c r="P11" s="2200"/>
      <c r="Q11" s="2200"/>
      <c r="R11" s="2200"/>
      <c r="S11" s="2201"/>
      <c r="T11" s="2201"/>
      <c r="U11" s="2201"/>
      <c r="V11" s="2201"/>
      <c r="W11" s="2202"/>
      <c r="X11" s="2201"/>
      <c r="Y11" s="2400"/>
      <c r="Z11" s="2402"/>
      <c r="AA11" s="1416"/>
      <c r="AB11" s="2374"/>
      <c r="AC11" s="677">
        <f t="shared" si="0"/>
        <v>0</v>
      </c>
      <c r="AD11" s="2404"/>
      <c r="AE11" s="2405"/>
      <c r="AF11" s="2406"/>
      <c r="AG11" s="2405"/>
    </row>
    <row r="12" spans="1:33" s="1697" customFormat="1" ht="15" customHeight="1">
      <c r="A12" s="1738">
        <f t="shared" si="1"/>
        <v>3</v>
      </c>
      <c r="B12" s="2203"/>
      <c r="C12" s="2203"/>
      <c r="D12" s="2203"/>
      <c r="E12" s="2203"/>
      <c r="F12" s="2197"/>
      <c r="G12" s="2203"/>
      <c r="H12" s="2203"/>
      <c r="I12" s="2203"/>
      <c r="J12" s="2203"/>
      <c r="K12" s="2773"/>
      <c r="L12" s="2866"/>
      <c r="M12" s="2217"/>
      <c r="N12" s="2218"/>
      <c r="O12" s="2199"/>
      <c r="P12" s="2200"/>
      <c r="Q12" s="2200"/>
      <c r="R12" s="2200"/>
      <c r="S12" s="2201"/>
      <c r="T12" s="2201"/>
      <c r="U12" s="2201"/>
      <c r="V12" s="2201"/>
      <c r="W12" s="2202"/>
      <c r="X12" s="2201"/>
      <c r="Y12" s="2407"/>
      <c r="Z12" s="2407"/>
      <c r="AA12" s="1416"/>
      <c r="AB12" s="2374"/>
      <c r="AC12" s="677">
        <f t="shared" si="0"/>
        <v>0</v>
      </c>
      <c r="AD12" s="2407"/>
      <c r="AE12" s="2407"/>
      <c r="AF12" s="2407"/>
      <c r="AG12" s="2407"/>
    </row>
    <row r="13" spans="1:33" s="1697" customFormat="1" ht="15" customHeight="1">
      <c r="A13" s="1738">
        <f t="shared" si="1"/>
        <v>4</v>
      </c>
      <c r="B13" s="2203"/>
      <c r="C13" s="2203"/>
      <c r="D13" s="2203"/>
      <c r="E13" s="2203"/>
      <c r="F13" s="2197"/>
      <c r="G13" s="2203"/>
      <c r="H13" s="2203"/>
      <c r="I13" s="2203"/>
      <c r="J13" s="2203"/>
      <c r="K13" s="2773"/>
      <c r="L13" s="2866"/>
      <c r="M13" s="2217"/>
      <c r="N13" s="2218"/>
      <c r="O13" s="2199"/>
      <c r="P13" s="2200"/>
      <c r="Q13" s="2200"/>
      <c r="R13" s="2200"/>
      <c r="S13" s="2201"/>
      <c r="T13" s="2201"/>
      <c r="U13" s="2201"/>
      <c r="V13" s="2201"/>
      <c r="W13" s="2202"/>
      <c r="X13" s="2201"/>
      <c r="Y13" s="2201"/>
      <c r="Z13" s="2203"/>
      <c r="AA13" s="1416"/>
      <c r="AB13" s="2374"/>
      <c r="AC13" s="677">
        <f t="shared" si="0"/>
        <v>0</v>
      </c>
      <c r="AD13" s="2251"/>
      <c r="AF13" s="2205"/>
    </row>
    <row r="14" spans="1:33" s="1697" customFormat="1" ht="15" customHeight="1">
      <c r="A14" s="1738">
        <f t="shared" si="1"/>
        <v>5</v>
      </c>
      <c r="B14" s="2203"/>
      <c r="C14" s="2203"/>
      <c r="D14" s="2203"/>
      <c r="E14" s="2203"/>
      <c r="F14" s="2197"/>
      <c r="G14" s="2203"/>
      <c r="H14" s="2203"/>
      <c r="I14" s="2203"/>
      <c r="J14" s="2203"/>
      <c r="K14" s="2773"/>
      <c r="L14" s="2866"/>
      <c r="M14" s="2217"/>
      <c r="N14" s="2218"/>
      <c r="O14" s="2199"/>
      <c r="P14" s="2200"/>
      <c r="Q14" s="2200"/>
      <c r="R14" s="2200"/>
      <c r="S14" s="2201"/>
      <c r="T14" s="2201"/>
      <c r="U14" s="2201"/>
      <c r="V14" s="2201"/>
      <c r="W14" s="2202"/>
      <c r="X14" s="2201"/>
      <c r="Y14" s="2201"/>
      <c r="Z14" s="2203"/>
      <c r="AA14" s="1416"/>
      <c r="AB14" s="2374"/>
      <c r="AC14" s="677">
        <f t="shared" si="0"/>
        <v>0</v>
      </c>
      <c r="AD14" s="2251"/>
      <c r="AF14" s="2205"/>
    </row>
    <row r="15" spans="1:33" s="1697" customFormat="1" ht="15" customHeight="1">
      <c r="A15" s="1738">
        <f t="shared" si="1"/>
        <v>6</v>
      </c>
      <c r="B15" s="2203"/>
      <c r="C15" s="2203"/>
      <c r="D15" s="2203"/>
      <c r="E15" s="2203"/>
      <c r="F15" s="2197"/>
      <c r="G15" s="2203"/>
      <c r="H15" s="2203"/>
      <c r="I15" s="2203"/>
      <c r="J15" s="2203"/>
      <c r="K15" s="2773"/>
      <c r="L15" s="2217"/>
      <c r="M15" s="2217"/>
      <c r="N15" s="2218"/>
      <c r="O15" s="2199"/>
      <c r="P15" s="2200"/>
      <c r="Q15" s="2200"/>
      <c r="R15" s="2200"/>
      <c r="S15" s="2201"/>
      <c r="T15" s="2201"/>
      <c r="U15" s="2201"/>
      <c r="V15" s="2201"/>
      <c r="W15" s="2202"/>
      <c r="X15" s="2201"/>
      <c r="Y15" s="2201"/>
      <c r="Z15" s="2203"/>
      <c r="AA15" s="2201"/>
      <c r="AB15" s="2200"/>
      <c r="AC15" s="2204"/>
      <c r="AD15" s="2251"/>
      <c r="AF15" s="2205"/>
    </row>
    <row r="16" spans="1:33" s="1697" customFormat="1" ht="15" customHeight="1">
      <c r="A16" s="1738">
        <f t="shared" si="1"/>
        <v>7</v>
      </c>
      <c r="B16" s="2203"/>
      <c r="C16" s="2203"/>
      <c r="D16" s="2203"/>
      <c r="E16" s="2203"/>
      <c r="F16" s="2197"/>
      <c r="G16" s="2203"/>
      <c r="H16" s="2203"/>
      <c r="I16" s="2203"/>
      <c r="J16" s="2203"/>
      <c r="K16" s="2773"/>
      <c r="L16" s="2217"/>
      <c r="M16" s="2217"/>
      <c r="N16" s="2218"/>
      <c r="O16" s="2199"/>
      <c r="P16" s="2200"/>
      <c r="Q16" s="2200"/>
      <c r="R16" s="2200"/>
      <c r="S16" s="2201"/>
      <c r="T16" s="2201"/>
      <c r="U16" s="2201"/>
      <c r="V16" s="2201"/>
      <c r="W16" s="2202"/>
      <c r="X16" s="2201"/>
      <c r="Y16" s="2201"/>
      <c r="Z16" s="2203"/>
      <c r="AA16" s="2201"/>
      <c r="AB16" s="2200"/>
      <c r="AC16" s="2204"/>
      <c r="AD16" s="2251"/>
      <c r="AF16" s="2205"/>
    </row>
    <row r="17" spans="1:33" s="2205" customFormat="1" ht="15" customHeight="1">
      <c r="A17" s="1738">
        <f t="shared" si="1"/>
        <v>8</v>
      </c>
      <c r="B17" s="2203"/>
      <c r="C17" s="2203"/>
      <c r="D17" s="2203"/>
      <c r="E17" s="2203"/>
      <c r="F17" s="2197"/>
      <c r="G17" s="2203"/>
      <c r="H17" s="2203"/>
      <c r="I17" s="2203"/>
      <c r="J17" s="2203"/>
      <c r="K17" s="2773"/>
      <c r="L17" s="2217"/>
      <c r="M17" s="2217"/>
      <c r="N17" s="2218"/>
      <c r="O17" s="2199"/>
      <c r="P17" s="2200"/>
      <c r="Q17" s="2200"/>
      <c r="R17" s="2200"/>
      <c r="S17" s="2201"/>
      <c r="T17" s="2201"/>
      <c r="U17" s="2201"/>
      <c r="V17" s="2201"/>
      <c r="W17" s="2202"/>
      <c r="X17" s="2201"/>
      <c r="Y17" s="2201"/>
      <c r="Z17" s="2250"/>
      <c r="AA17" s="2201"/>
      <c r="AB17" s="2200"/>
      <c r="AC17" s="2204"/>
      <c r="AD17" s="2251"/>
      <c r="AE17" s="1697"/>
    </row>
    <row r="18" spans="1:33" s="2205" customFormat="1" ht="15" customHeight="1">
      <c r="A18" s="1738">
        <f t="shared" si="1"/>
        <v>9</v>
      </c>
      <c r="B18" s="2203"/>
      <c r="C18" s="2203"/>
      <c r="D18" s="2203"/>
      <c r="E18" s="2203"/>
      <c r="F18" s="2197"/>
      <c r="G18" s="2203"/>
      <c r="H18" s="2203"/>
      <c r="I18" s="2203"/>
      <c r="J18" s="2203"/>
      <c r="K18" s="2773"/>
      <c r="N18" s="2256"/>
      <c r="O18" s="2257"/>
      <c r="P18" s="2256"/>
      <c r="Q18" s="2258"/>
      <c r="R18" s="2258"/>
      <c r="S18" s="2259"/>
      <c r="T18" s="2201"/>
      <c r="U18" s="2201"/>
      <c r="V18" s="2201"/>
      <c r="W18" s="2202"/>
      <c r="X18" s="2201"/>
      <c r="Y18" s="2260"/>
      <c r="Z18" s="2261"/>
      <c r="AA18" s="2260"/>
      <c r="AB18" s="2262"/>
      <c r="AC18" s="2262"/>
      <c r="AD18" s="2262"/>
      <c r="AE18" s="2210"/>
      <c r="AF18" s="2210"/>
      <c r="AG18" s="1697"/>
    </row>
    <row r="19" spans="1:33" s="1697" customFormat="1" ht="15" customHeight="1">
      <c r="A19" s="1738">
        <f t="shared" si="1"/>
        <v>10</v>
      </c>
      <c r="B19" s="2203"/>
      <c r="C19" s="2203"/>
      <c r="D19" s="2203"/>
      <c r="E19" s="2203"/>
      <c r="F19" s="2197"/>
      <c r="G19" s="2203"/>
      <c r="H19" s="2203"/>
      <c r="I19" s="2203"/>
      <c r="J19" s="2203"/>
      <c r="K19" s="2773"/>
      <c r="L19" s="2295"/>
      <c r="M19" s="2295"/>
      <c r="N19" s="2295"/>
      <c r="O19" s="2295"/>
      <c r="P19" s="2295"/>
      <c r="Q19" s="2200"/>
      <c r="R19" s="2200"/>
      <c r="S19" s="2201"/>
      <c r="T19" s="2201"/>
      <c r="U19" s="2201"/>
      <c r="V19" s="2201"/>
      <c r="W19" s="2202"/>
      <c r="X19" s="2201"/>
      <c r="Y19" s="2201"/>
      <c r="Z19" s="2203"/>
      <c r="AA19" s="2201"/>
      <c r="AB19" s="2200"/>
      <c r="AC19" s="2204"/>
      <c r="AD19" s="2251"/>
      <c r="AF19" s="2205"/>
    </row>
    <row r="20" spans="1:33" s="1697" customFormat="1" ht="15" customHeight="1">
      <c r="A20" s="1738">
        <f t="shared" si="1"/>
        <v>11</v>
      </c>
      <c r="B20" s="2203"/>
      <c r="C20" s="2203"/>
      <c r="D20" s="2203"/>
      <c r="E20" s="2203"/>
      <c r="F20" s="2197"/>
      <c r="G20" s="2203"/>
      <c r="H20" s="2203"/>
      <c r="I20" s="2203"/>
      <c r="J20" s="2203"/>
      <c r="K20" s="2773"/>
      <c r="L20" s="2254"/>
      <c r="M20" s="2254"/>
      <c r="N20" s="2199"/>
      <c r="O20" s="2199"/>
      <c r="P20" s="2200"/>
      <c r="Q20" s="2200"/>
      <c r="R20" s="2200"/>
      <c r="S20" s="2201"/>
      <c r="T20" s="2201"/>
      <c r="U20" s="2201"/>
      <c r="W20" s="2226"/>
      <c r="X20" s="2201"/>
      <c r="Y20" s="2201"/>
      <c r="Z20" s="2203"/>
      <c r="AA20" s="2201"/>
      <c r="AB20" s="2200"/>
      <c r="AC20" s="2204"/>
      <c r="AD20" s="2251"/>
      <c r="AF20" s="2205"/>
    </row>
    <row r="21" spans="1:33" s="1697" customFormat="1" ht="12.75" customHeight="1">
      <c r="A21" s="1738">
        <f t="shared" si="1"/>
        <v>12</v>
      </c>
      <c r="B21" s="2203"/>
      <c r="C21" s="2203"/>
      <c r="D21" s="2203"/>
      <c r="E21" s="2203"/>
      <c r="F21" s="2197"/>
      <c r="G21" s="2203"/>
      <c r="H21" s="2203"/>
      <c r="I21" s="2203"/>
      <c r="J21" s="2203"/>
      <c r="K21" s="2773"/>
      <c r="L21" s="2249"/>
      <c r="M21" s="2249"/>
      <c r="N21" s="2199"/>
      <c r="O21" s="2214"/>
      <c r="P21" s="2200"/>
      <c r="Q21" s="2200"/>
      <c r="R21" s="2200"/>
      <c r="S21" s="2201"/>
      <c r="T21" s="2201"/>
      <c r="U21" s="2201"/>
      <c r="V21" s="2227"/>
      <c r="W21" s="2202"/>
      <c r="X21" s="2201"/>
      <c r="Y21" s="2201"/>
      <c r="Z21" s="2253"/>
      <c r="AA21" s="2201"/>
      <c r="AB21" s="2200"/>
      <c r="AC21" s="2204"/>
      <c r="AD21" s="2251"/>
      <c r="AF21" s="2205"/>
    </row>
    <row r="22" spans="1:33" s="1697" customFormat="1" ht="12.75" customHeight="1">
      <c r="A22" s="1738">
        <f t="shared" si="1"/>
        <v>13</v>
      </c>
      <c r="B22" s="2203"/>
      <c r="C22" s="2203"/>
      <c r="D22" s="2203"/>
      <c r="E22" s="2203"/>
      <c r="F22" s="2197"/>
      <c r="G22" s="2203"/>
      <c r="H22" s="2203"/>
      <c r="I22" s="2203"/>
      <c r="J22" s="2203"/>
      <c r="K22" s="2773"/>
      <c r="L22" s="2179"/>
      <c r="M22" s="2179"/>
      <c r="N22" s="2199"/>
      <c r="O22" s="2199"/>
      <c r="P22" s="2200"/>
      <c r="Q22" s="2200"/>
      <c r="R22" s="2200"/>
      <c r="S22" s="2201"/>
      <c r="T22" s="2202"/>
      <c r="U22" s="2201"/>
      <c r="V22" s="2226"/>
      <c r="W22" s="2202"/>
      <c r="X22" s="2201"/>
      <c r="Y22" s="2201"/>
      <c r="Z22" s="2203"/>
      <c r="AA22" s="2201"/>
      <c r="AB22" s="2200"/>
      <c r="AC22" s="2204"/>
      <c r="AD22" s="2251"/>
      <c r="AF22" s="2205"/>
    </row>
    <row r="23" spans="1:33" s="1697" customFormat="1" ht="12.75" customHeight="1">
      <c r="A23" s="1738">
        <f t="shared" si="1"/>
        <v>14</v>
      </c>
      <c r="B23" s="2203"/>
      <c r="C23" s="2203"/>
      <c r="D23" s="2203"/>
      <c r="E23" s="2203"/>
      <c r="F23" s="2197"/>
      <c r="G23" s="2203"/>
      <c r="H23" s="2203"/>
      <c r="I23" s="2203"/>
      <c r="J23" s="2203"/>
      <c r="K23" s="2773"/>
      <c r="L23" s="2179"/>
      <c r="M23" s="2179"/>
      <c r="N23" s="2199"/>
      <c r="O23" s="2214"/>
      <c r="P23" s="2200"/>
      <c r="Q23" s="2200"/>
      <c r="R23" s="2200"/>
      <c r="S23" s="2201"/>
      <c r="T23" s="2201"/>
      <c r="U23" s="2201"/>
      <c r="V23" s="2201"/>
      <c r="W23" s="2202"/>
      <c r="X23" s="2201"/>
      <c r="Y23" s="2201"/>
      <c r="Z23" s="2203"/>
      <c r="AA23" s="2201"/>
      <c r="AB23" s="2200"/>
      <c r="AC23" s="2204"/>
      <c r="AD23" s="2251"/>
      <c r="AF23" s="2205"/>
    </row>
    <row r="24" spans="1:33" s="1697" customFormat="1" ht="15.6">
      <c r="A24" s="1738">
        <f t="shared" si="1"/>
        <v>15</v>
      </c>
      <c r="B24" s="2203"/>
      <c r="C24" s="2203"/>
      <c r="D24" s="2203"/>
      <c r="E24" s="2203"/>
      <c r="F24" s="2197"/>
      <c r="G24" s="2203"/>
      <c r="H24" s="2203"/>
      <c r="I24" s="2203"/>
      <c r="J24" s="2203"/>
      <c r="K24" s="2773"/>
      <c r="L24" s="2179"/>
      <c r="M24" s="2179"/>
      <c r="N24" s="2218"/>
      <c r="O24" s="2214"/>
      <c r="P24" s="2200"/>
      <c r="Q24" s="2200"/>
      <c r="R24" s="2200"/>
      <c r="S24" s="2202"/>
      <c r="T24" s="2201"/>
      <c r="U24" s="2201"/>
      <c r="V24" s="2201"/>
      <c r="W24" s="2202"/>
      <c r="X24" s="2201"/>
      <c r="Y24" s="2201"/>
      <c r="Z24" s="2203"/>
      <c r="AA24" s="2201"/>
      <c r="AB24" s="2200"/>
      <c r="AC24" s="2204"/>
      <c r="AD24" s="2251"/>
      <c r="AF24" s="2205"/>
    </row>
    <row r="25" spans="1:33" s="1697" customFormat="1" ht="16.5" customHeight="1">
      <c r="A25" s="1738">
        <f t="shared" si="1"/>
        <v>16</v>
      </c>
      <c r="B25" s="2203"/>
      <c r="C25" s="2203"/>
      <c r="D25" s="2203"/>
      <c r="E25" s="2203"/>
      <c r="F25" s="2197"/>
      <c r="G25" s="2203"/>
      <c r="H25" s="2203"/>
      <c r="I25" s="2203"/>
      <c r="J25" s="2203"/>
      <c r="K25" s="2773"/>
      <c r="L25" s="2179"/>
      <c r="M25" s="2179"/>
      <c r="N25" s="2199"/>
      <c r="O25" s="2214"/>
      <c r="P25" s="2200"/>
      <c r="Q25" s="2200"/>
      <c r="R25" s="2200"/>
      <c r="S25" s="2201"/>
      <c r="T25" s="2201"/>
      <c r="U25" s="2201"/>
      <c r="V25" s="2201"/>
      <c r="W25" s="2202"/>
      <c r="X25" s="2201"/>
      <c r="Y25" s="2201"/>
      <c r="Z25" s="2203"/>
      <c r="AA25" s="2201"/>
      <c r="AB25" s="2200"/>
      <c r="AC25" s="2204"/>
      <c r="AD25" s="2251"/>
      <c r="AF25" s="2205"/>
    </row>
    <row r="26" spans="1:33" s="1697" customFormat="1" ht="15.6">
      <c r="A26" s="1738">
        <f t="shared" si="1"/>
        <v>17</v>
      </c>
      <c r="B26" s="2203"/>
      <c r="C26" s="2203"/>
      <c r="D26" s="2203"/>
      <c r="E26" s="2203"/>
      <c r="F26" s="2197"/>
      <c r="G26" s="2203"/>
      <c r="H26" s="2203"/>
      <c r="I26" s="2203"/>
      <c r="J26" s="2203"/>
      <c r="K26" s="2773"/>
      <c r="L26" s="2179"/>
      <c r="M26" s="2179"/>
      <c r="N26" s="2199"/>
      <c r="O26" s="2214"/>
      <c r="P26" s="2200"/>
      <c r="Q26" s="2200"/>
      <c r="R26" s="2200"/>
      <c r="S26" s="2201"/>
      <c r="T26" s="2201"/>
      <c r="U26" s="2201"/>
      <c r="V26" s="2201"/>
      <c r="W26" s="2202"/>
      <c r="X26" s="2201"/>
      <c r="Y26" s="2201"/>
      <c r="Z26" s="2203"/>
      <c r="AA26" s="2201"/>
      <c r="AB26" s="2200"/>
      <c r="AC26" s="2204"/>
      <c r="AD26" s="2251"/>
      <c r="AF26" s="2205"/>
    </row>
    <row r="27" spans="1:33" s="1697" customFormat="1" ht="15.6">
      <c r="A27" s="1738">
        <f t="shared" si="1"/>
        <v>18</v>
      </c>
      <c r="B27" s="2203"/>
      <c r="C27" s="2203"/>
      <c r="D27" s="2203"/>
      <c r="E27" s="2203"/>
      <c r="F27" s="2197"/>
      <c r="G27" s="2203"/>
      <c r="H27" s="2203"/>
      <c r="I27" s="2203"/>
      <c r="J27" s="2203"/>
      <c r="K27" s="2773"/>
      <c r="L27" s="2179"/>
      <c r="M27" s="2179"/>
      <c r="N27" s="2199"/>
      <c r="O27" s="2214"/>
      <c r="P27" s="2200"/>
      <c r="Q27" s="2200"/>
      <c r="R27" s="2200"/>
      <c r="S27" s="2201"/>
      <c r="T27" s="2201"/>
      <c r="U27" s="2201"/>
      <c r="V27" s="2201"/>
      <c r="W27" s="2202"/>
      <c r="X27" s="2201"/>
      <c r="Y27" s="2201"/>
      <c r="Z27" s="2203"/>
      <c r="AA27" s="2201"/>
      <c r="AB27" s="2200"/>
      <c r="AC27" s="2204"/>
      <c r="AD27" s="2251"/>
      <c r="AF27" s="2205"/>
    </row>
    <row r="28" spans="1:33" s="1697" customFormat="1" ht="15.6">
      <c r="A28" s="1738">
        <f t="shared" si="1"/>
        <v>19</v>
      </c>
      <c r="B28" s="2203"/>
      <c r="C28" s="2203"/>
      <c r="D28" s="2203"/>
      <c r="E28" s="2203"/>
      <c r="F28" s="2197"/>
      <c r="G28" s="2203"/>
      <c r="H28" s="2203"/>
      <c r="I28" s="2203"/>
      <c r="J28" s="2203"/>
      <c r="K28" s="2773"/>
      <c r="L28" s="2179"/>
      <c r="M28" s="2179"/>
      <c r="N28" s="2199"/>
      <c r="O28" s="2214"/>
      <c r="P28" s="2200"/>
      <c r="Q28" s="2200"/>
      <c r="R28" s="2200"/>
      <c r="S28" s="2201"/>
      <c r="T28" s="2201"/>
      <c r="U28" s="2201"/>
      <c r="V28" s="2201"/>
      <c r="W28" s="2202"/>
      <c r="X28" s="2201"/>
      <c r="Y28" s="2201"/>
      <c r="Z28" s="2203"/>
      <c r="AA28" s="2201"/>
      <c r="AB28" s="2200"/>
      <c r="AC28" s="2204"/>
      <c r="AD28" s="2251"/>
      <c r="AF28" s="2205"/>
    </row>
    <row r="29" spans="1:33" s="1697" customFormat="1" ht="15.6">
      <c r="A29" s="1738">
        <f t="shared" si="1"/>
        <v>20</v>
      </c>
      <c r="B29" s="2203"/>
      <c r="C29" s="2203"/>
      <c r="D29" s="2203"/>
      <c r="E29" s="2203"/>
      <c r="F29" s="2197"/>
      <c r="G29" s="2203"/>
      <c r="H29" s="2203"/>
      <c r="I29" s="2203"/>
      <c r="J29" s="2203"/>
      <c r="K29" s="2773"/>
      <c r="L29" s="2179"/>
      <c r="M29" s="2179"/>
      <c r="N29" s="2229"/>
      <c r="O29" s="2199"/>
      <c r="P29" s="2218"/>
      <c r="Q29" s="2202"/>
      <c r="R29" s="2202"/>
      <c r="S29" s="2201"/>
      <c r="T29" s="2201"/>
      <c r="U29" s="2201"/>
      <c r="V29" s="2226"/>
      <c r="W29" s="2202"/>
      <c r="X29" s="2201"/>
      <c r="Y29" s="2201"/>
      <c r="Z29" s="2203"/>
      <c r="AA29" s="2201"/>
      <c r="AB29" s="2200"/>
      <c r="AC29" s="2204"/>
      <c r="AD29" s="2251"/>
      <c r="AF29" s="2205"/>
    </row>
    <row r="30" spans="1:33" s="2205" customFormat="1" ht="15.6">
      <c r="A30" s="1738">
        <f t="shared" si="1"/>
        <v>21</v>
      </c>
      <c r="B30" s="2203"/>
      <c r="C30" s="2203"/>
      <c r="D30" s="2203"/>
      <c r="E30" s="2203"/>
      <c r="F30" s="2197"/>
      <c r="G30" s="2203"/>
      <c r="H30" s="2203"/>
      <c r="I30" s="2203"/>
      <c r="J30" s="2203"/>
      <c r="K30" s="2773"/>
      <c r="N30" s="2256"/>
      <c r="O30" s="2257"/>
      <c r="P30" s="2256"/>
      <c r="Q30" s="2258"/>
      <c r="R30" s="2258"/>
      <c r="S30" s="2259"/>
      <c r="T30" s="2256"/>
      <c r="U30" s="2256"/>
      <c r="V30" s="2256"/>
      <c r="W30" s="2258"/>
      <c r="X30" s="2256"/>
      <c r="Y30" s="2260"/>
      <c r="Z30" s="2261"/>
      <c r="AA30" s="2260"/>
      <c r="AB30" s="2262"/>
      <c r="AC30" s="2262"/>
      <c r="AD30" s="2262"/>
      <c r="AE30" s="2210"/>
      <c r="AF30" s="2210"/>
      <c r="AG30" s="1697"/>
    </row>
    <row r="31" spans="1:33" s="1697" customFormat="1" ht="15.6">
      <c r="A31" s="1738">
        <f t="shared" si="1"/>
        <v>22</v>
      </c>
      <c r="B31" s="2203"/>
      <c r="C31" s="2203"/>
      <c r="D31" s="2203"/>
      <c r="E31" s="2203"/>
      <c r="F31" s="2197"/>
      <c r="G31" s="2203"/>
      <c r="H31" s="2203"/>
      <c r="I31" s="2203"/>
      <c r="J31" s="2203"/>
      <c r="K31" s="2773"/>
      <c r="L31" s="2179"/>
      <c r="M31" s="2179"/>
      <c r="N31" s="2229"/>
      <c r="O31" s="2214"/>
      <c r="P31" s="2200"/>
      <c r="Q31" s="2200"/>
      <c r="R31" s="2200"/>
      <c r="S31" s="2201"/>
      <c r="T31" s="2201"/>
      <c r="U31" s="2201"/>
      <c r="V31" s="2201"/>
      <c r="W31" s="2202"/>
      <c r="X31" s="2201"/>
      <c r="Y31" s="2201"/>
      <c r="Z31" s="2203"/>
      <c r="AA31" s="2201"/>
      <c r="AB31" s="2200"/>
      <c r="AC31" s="2204"/>
      <c r="AD31" s="2251"/>
      <c r="AF31" s="2205"/>
    </row>
    <row r="32" spans="1:33" s="1697" customFormat="1" ht="15.6">
      <c r="A32" s="1738">
        <f t="shared" si="1"/>
        <v>23</v>
      </c>
      <c r="B32" s="2203"/>
      <c r="C32" s="2203"/>
      <c r="D32" s="2203"/>
      <c r="E32" s="2203"/>
      <c r="F32" s="2197"/>
      <c r="G32" s="2203"/>
      <c r="H32" s="2203"/>
      <c r="I32" s="2203"/>
      <c r="J32" s="2203"/>
      <c r="K32" s="2773"/>
      <c r="L32" s="2179"/>
      <c r="M32" s="2179"/>
      <c r="N32" s="2229"/>
      <c r="O32" s="2214"/>
      <c r="P32" s="2200"/>
      <c r="Q32" s="2200"/>
      <c r="R32" s="2200"/>
      <c r="S32" s="2201"/>
      <c r="T32" s="2201"/>
      <c r="U32" s="2201"/>
      <c r="V32" s="2201"/>
      <c r="W32" s="2202"/>
      <c r="X32" s="2201"/>
      <c r="Y32" s="2201"/>
      <c r="Z32" s="2203"/>
      <c r="AA32" s="2201"/>
      <c r="AB32" s="2200"/>
      <c r="AC32" s="2204"/>
      <c r="AD32" s="2251"/>
      <c r="AF32" s="2205"/>
    </row>
    <row r="33" spans="1:33" s="1697" customFormat="1" ht="15.6">
      <c r="A33" s="1738">
        <f t="shared" si="1"/>
        <v>24</v>
      </c>
      <c r="B33" s="2203"/>
      <c r="C33" s="2203"/>
      <c r="D33" s="2203"/>
      <c r="E33" s="2203"/>
      <c r="F33" s="2197"/>
      <c r="G33" s="2203"/>
      <c r="H33" s="2203"/>
      <c r="I33" s="2203"/>
      <c r="J33" s="2203"/>
      <c r="K33" s="2773"/>
      <c r="L33" s="2179"/>
      <c r="M33" s="2179"/>
      <c r="N33" s="2218"/>
      <c r="O33" s="2199"/>
      <c r="P33" s="2200"/>
      <c r="Q33" s="2200"/>
      <c r="R33" s="2200"/>
      <c r="S33" s="2201"/>
      <c r="T33" s="2201"/>
      <c r="U33" s="2201"/>
      <c r="V33" s="2201"/>
      <c r="W33" s="2202"/>
      <c r="X33" s="2201"/>
      <c r="Y33" s="2201"/>
      <c r="Z33" s="2203"/>
      <c r="AA33" s="2201"/>
      <c r="AB33" s="2200"/>
      <c r="AC33" s="2204"/>
      <c r="AD33" s="2251"/>
      <c r="AF33" s="2205"/>
    </row>
    <row r="34" spans="1:33" s="1697" customFormat="1" ht="15.6">
      <c r="A34" s="1738">
        <f t="shared" si="1"/>
        <v>25</v>
      </c>
      <c r="B34" s="2203"/>
      <c r="C34" s="2203"/>
      <c r="D34" s="2203"/>
      <c r="E34" s="2203"/>
      <c r="F34" s="2197"/>
      <c r="G34" s="2203"/>
      <c r="H34" s="2203"/>
      <c r="I34" s="2203"/>
      <c r="J34" s="2203"/>
      <c r="K34" s="2773"/>
      <c r="L34" s="2179"/>
      <c r="M34" s="2179"/>
      <c r="N34" s="2218"/>
      <c r="O34" s="2199"/>
      <c r="P34" s="2200"/>
      <c r="Q34" s="2200"/>
      <c r="R34" s="2200"/>
      <c r="S34" s="2201"/>
      <c r="T34" s="2201"/>
      <c r="U34" s="2201"/>
      <c r="V34" s="2201"/>
      <c r="W34" s="2202"/>
      <c r="X34" s="2201"/>
      <c r="Y34" s="2201"/>
      <c r="Z34" s="2203"/>
      <c r="AA34" s="2201"/>
      <c r="AB34" s="2200"/>
      <c r="AC34" s="2204"/>
      <c r="AD34" s="2251"/>
      <c r="AF34" s="2205"/>
    </row>
    <row r="35" spans="1:33" s="1697" customFormat="1" ht="15.6">
      <c r="A35" s="1738">
        <f t="shared" si="1"/>
        <v>26</v>
      </c>
      <c r="B35" s="2203"/>
      <c r="C35" s="2203"/>
      <c r="D35" s="2203"/>
      <c r="E35" s="2203"/>
      <c r="F35" s="2197"/>
      <c r="G35" s="2203"/>
      <c r="H35" s="2203"/>
      <c r="I35" s="2203"/>
      <c r="J35" s="2203"/>
      <c r="K35" s="2773"/>
      <c r="L35" s="2254"/>
      <c r="M35" s="2254"/>
      <c r="N35" s="2218"/>
      <c r="O35" s="2199"/>
      <c r="P35" s="2200"/>
      <c r="Q35" s="2200"/>
      <c r="R35" s="2200"/>
      <c r="S35" s="2201"/>
      <c r="T35" s="2201"/>
      <c r="U35" s="2201"/>
      <c r="V35" s="2201"/>
      <c r="W35" s="2202"/>
      <c r="X35" s="2201"/>
      <c r="Y35" s="2201"/>
      <c r="Z35" s="2203"/>
      <c r="AA35" s="2201"/>
      <c r="AB35" s="2200"/>
      <c r="AC35" s="2204"/>
      <c r="AD35" s="2251"/>
      <c r="AF35" s="2205"/>
    </row>
    <row r="36" spans="1:33" s="1697" customFormat="1" ht="15.6">
      <c r="A36" s="1738">
        <f t="shared" si="1"/>
        <v>27</v>
      </c>
      <c r="B36" s="2203"/>
      <c r="C36" s="2203"/>
      <c r="D36" s="2203"/>
      <c r="E36" s="2203"/>
      <c r="F36" s="2197"/>
      <c r="G36" s="2203"/>
      <c r="H36" s="2203"/>
      <c r="I36" s="2203"/>
      <c r="J36" s="2203"/>
      <c r="K36" s="2773"/>
      <c r="L36" s="2195"/>
      <c r="M36" s="2195"/>
      <c r="N36" s="2218"/>
      <c r="O36" s="2199"/>
      <c r="P36" s="2218"/>
      <c r="Q36" s="2200"/>
      <c r="R36" s="2200"/>
      <c r="S36" s="2201"/>
      <c r="T36" s="2201"/>
      <c r="U36" s="2201"/>
      <c r="V36" s="2226"/>
      <c r="W36" s="2202"/>
      <c r="X36" s="2201"/>
      <c r="Y36" s="2201"/>
      <c r="Z36" s="2203"/>
      <c r="AA36" s="2201"/>
      <c r="AB36" s="2200"/>
      <c r="AC36" s="2204"/>
      <c r="AD36" s="2251"/>
      <c r="AF36" s="2205"/>
    </row>
    <row r="37" spans="1:33" s="1697" customFormat="1" ht="15.6">
      <c r="A37" s="1738">
        <f t="shared" si="1"/>
        <v>28</v>
      </c>
      <c r="B37" s="2203"/>
      <c r="C37" s="2203"/>
      <c r="D37" s="2203"/>
      <c r="E37" s="2203"/>
      <c r="F37" s="2197"/>
      <c r="G37" s="2203"/>
      <c r="H37" s="2203"/>
      <c r="I37" s="2203"/>
      <c r="J37" s="2203"/>
      <c r="K37" s="2773"/>
      <c r="L37" s="2179"/>
      <c r="M37" s="2179"/>
      <c r="N37" s="2218"/>
      <c r="O37" s="2199"/>
      <c r="P37" s="2200"/>
      <c r="Q37" s="2200"/>
      <c r="R37" s="2200"/>
      <c r="S37" s="2201"/>
      <c r="T37" s="2201"/>
      <c r="U37" s="2201"/>
      <c r="V37" s="2201"/>
      <c r="W37" s="2202"/>
      <c r="X37" s="2201"/>
      <c r="Y37" s="2201"/>
      <c r="Z37" s="2203"/>
      <c r="AA37" s="2201"/>
      <c r="AB37" s="2200"/>
      <c r="AC37" s="2204"/>
      <c r="AD37" s="2251"/>
      <c r="AF37" s="2205"/>
    </row>
    <row r="38" spans="1:33" s="1697" customFormat="1" ht="15.6">
      <c r="A38" s="1738">
        <f t="shared" si="1"/>
        <v>29</v>
      </c>
      <c r="B38" s="2203"/>
      <c r="C38" s="2203"/>
      <c r="D38" s="2203"/>
      <c r="E38" s="2203"/>
      <c r="F38" s="2197"/>
      <c r="G38" s="2203"/>
      <c r="H38" s="2203"/>
      <c r="I38" s="2203"/>
      <c r="J38" s="2203"/>
      <c r="K38" s="2773"/>
      <c r="L38" s="2179"/>
      <c r="M38" s="2179"/>
      <c r="N38" s="2218"/>
      <c r="O38" s="2199"/>
      <c r="P38" s="2200"/>
      <c r="Q38" s="2200"/>
      <c r="R38" s="2200"/>
      <c r="S38" s="2201"/>
      <c r="T38" s="2201"/>
      <c r="U38" s="2201"/>
      <c r="V38" s="2201"/>
      <c r="W38" s="2202"/>
      <c r="X38" s="2201"/>
      <c r="Y38" s="2201"/>
      <c r="Z38" s="2203"/>
      <c r="AA38" s="2201"/>
      <c r="AB38" s="2200"/>
      <c r="AC38" s="2204"/>
      <c r="AD38" s="2251"/>
      <c r="AF38" s="2205"/>
    </row>
    <row r="39" spans="1:33" s="2205" customFormat="1" ht="15.6">
      <c r="A39" s="1738">
        <f t="shared" si="1"/>
        <v>30</v>
      </c>
      <c r="B39" s="2203"/>
      <c r="C39" s="2203"/>
      <c r="D39" s="2203"/>
      <c r="E39" s="2203"/>
      <c r="F39" s="2197"/>
      <c r="G39" s="2203"/>
      <c r="H39" s="2203"/>
      <c r="I39" s="2203"/>
      <c r="J39" s="2203"/>
      <c r="K39" s="2773"/>
      <c r="N39" s="2256"/>
      <c r="O39" s="2257"/>
      <c r="P39" s="2256"/>
      <c r="Q39" s="2258"/>
      <c r="R39" s="2258"/>
      <c r="S39" s="2259"/>
      <c r="T39" s="2256"/>
      <c r="U39" s="2256"/>
      <c r="V39" s="2256"/>
      <c r="W39" s="2258"/>
      <c r="X39" s="2256"/>
      <c r="Y39" s="2260"/>
      <c r="Z39" s="2261"/>
      <c r="AA39" s="2260"/>
      <c r="AB39" s="2262"/>
      <c r="AC39" s="2262"/>
      <c r="AD39" s="2262"/>
      <c r="AE39" s="2210"/>
      <c r="AF39" s="2210"/>
      <c r="AG39" s="1697"/>
    </row>
    <row r="40" spans="1:33" s="1697" customFormat="1">
      <c r="A40" s="1738">
        <f t="shared" si="1"/>
        <v>31</v>
      </c>
      <c r="B40" s="2203"/>
      <c r="C40" s="2203"/>
      <c r="D40" s="2203"/>
      <c r="E40" s="2203"/>
      <c r="F40" s="2197"/>
      <c r="G40" s="2203"/>
      <c r="H40" s="2203"/>
      <c r="I40" s="2203"/>
      <c r="J40" s="2203"/>
      <c r="K40" s="2773"/>
      <c r="L40" s="2179"/>
      <c r="M40" s="2179"/>
      <c r="N40" s="2218"/>
      <c r="O40" s="2199"/>
      <c r="P40" s="2218"/>
      <c r="Q40" s="2202"/>
      <c r="R40" s="2202"/>
      <c r="S40" s="2201"/>
      <c r="T40" s="2201"/>
      <c r="U40" s="2201"/>
      <c r="V40" s="2201"/>
      <c r="W40" s="2202"/>
      <c r="X40" s="2201"/>
      <c r="Y40" s="2201"/>
      <c r="Z40" s="2203"/>
      <c r="AA40" s="2201"/>
      <c r="AB40" s="2200"/>
      <c r="AC40" s="2266"/>
      <c r="AD40" s="2251"/>
      <c r="AF40" s="2205"/>
    </row>
    <row r="41" spans="1:33" s="1697" customFormat="1">
      <c r="A41" s="1738">
        <f t="shared" si="1"/>
        <v>32</v>
      </c>
      <c r="B41" s="2203"/>
      <c r="C41" s="2203"/>
      <c r="D41" s="2203"/>
      <c r="E41" s="2203"/>
      <c r="F41" s="2197"/>
      <c r="G41" s="2203"/>
      <c r="H41" s="2203"/>
      <c r="I41" s="2203"/>
      <c r="J41" s="2203"/>
      <c r="K41" s="2773"/>
      <c r="L41" s="2179"/>
      <c r="M41" s="2179"/>
      <c r="N41" s="2218"/>
      <c r="O41" s="2199"/>
      <c r="P41" s="2218"/>
      <c r="Q41" s="2202"/>
      <c r="R41" s="2202"/>
      <c r="S41" s="2201"/>
      <c r="T41" s="2201"/>
      <c r="U41" s="2201"/>
      <c r="V41" s="2201"/>
      <c r="W41" s="2202"/>
      <c r="X41" s="2201"/>
      <c r="Y41" s="2201"/>
      <c r="Z41" s="2203"/>
      <c r="AA41" s="2201"/>
      <c r="AB41" s="2200"/>
      <c r="AC41" s="2266"/>
      <c r="AD41" s="2251"/>
      <c r="AF41" s="2205"/>
    </row>
    <row r="42" spans="1:33" s="1697" customFormat="1">
      <c r="A42" s="1738">
        <f t="shared" si="1"/>
        <v>33</v>
      </c>
      <c r="B42" s="2203"/>
      <c r="C42" s="2203"/>
      <c r="D42" s="2203"/>
      <c r="E42" s="2203"/>
      <c r="F42" s="2197"/>
      <c r="G42" s="2203"/>
      <c r="H42" s="2203"/>
      <c r="I42" s="2203"/>
      <c r="J42" s="2203"/>
      <c r="K42" s="2773"/>
      <c r="L42" s="2179"/>
      <c r="M42" s="2179"/>
      <c r="N42" s="2218"/>
      <c r="O42" s="2199"/>
      <c r="P42" s="2218"/>
      <c r="Q42" s="2202"/>
      <c r="R42" s="2202"/>
      <c r="S42" s="2201"/>
      <c r="T42" s="2201"/>
      <c r="U42" s="2201"/>
      <c r="V42" s="2201"/>
      <c r="W42" s="2202"/>
      <c r="X42" s="2201"/>
      <c r="Y42" s="2201"/>
      <c r="Z42" s="2203"/>
      <c r="AA42" s="2201"/>
      <c r="AB42" s="2200"/>
      <c r="AC42" s="2266"/>
      <c r="AD42" s="2251"/>
      <c r="AF42" s="2205"/>
    </row>
    <row r="43" spans="1:33" s="1697" customFormat="1">
      <c r="A43" s="1738">
        <f t="shared" si="1"/>
        <v>34</v>
      </c>
      <c r="B43" s="2203"/>
      <c r="C43" s="2203"/>
      <c r="D43" s="2203"/>
      <c r="E43" s="2203"/>
      <c r="F43" s="2197"/>
      <c r="G43" s="2203"/>
      <c r="H43" s="2203"/>
      <c r="I43" s="2203"/>
      <c r="J43" s="2203"/>
      <c r="K43" s="2773"/>
      <c r="L43" s="2179"/>
      <c r="M43" s="2179"/>
      <c r="N43" s="2218"/>
      <c r="O43" s="2199"/>
      <c r="P43" s="2218"/>
      <c r="Q43" s="2202"/>
      <c r="R43" s="2202"/>
      <c r="S43" s="2201"/>
      <c r="T43" s="2201"/>
      <c r="U43" s="2201"/>
      <c r="V43" s="2201"/>
      <c r="W43" s="2202"/>
      <c r="X43" s="2201"/>
      <c r="Y43" s="2201"/>
      <c r="Z43" s="2203"/>
      <c r="AA43" s="2201"/>
      <c r="AB43" s="2200"/>
      <c r="AC43" s="2266"/>
      <c r="AD43" s="2251"/>
      <c r="AF43" s="2205"/>
    </row>
    <row r="44" spans="1:33" s="1697" customFormat="1">
      <c r="A44" s="1738">
        <f t="shared" si="1"/>
        <v>35</v>
      </c>
      <c r="B44" s="2203"/>
      <c r="C44" s="2203"/>
      <c r="D44" s="2203"/>
      <c r="E44" s="2203"/>
      <c r="F44" s="2197"/>
      <c r="G44" s="2203"/>
      <c r="H44" s="2203"/>
      <c r="I44" s="2203"/>
      <c r="J44" s="2203"/>
      <c r="K44" s="2773"/>
      <c r="L44" s="2179"/>
      <c r="M44" s="2179"/>
      <c r="N44" s="2218"/>
      <c r="O44" s="2199"/>
      <c r="P44" s="2218"/>
      <c r="Q44" s="2202"/>
      <c r="R44" s="2202"/>
      <c r="S44" s="2201"/>
      <c r="T44" s="2201"/>
      <c r="U44" s="2201"/>
      <c r="V44" s="2201"/>
      <c r="W44" s="2202"/>
      <c r="X44" s="2201"/>
      <c r="Y44" s="2201"/>
      <c r="Z44" s="2203"/>
      <c r="AA44" s="2201"/>
      <c r="AB44" s="2200"/>
      <c r="AC44" s="2266"/>
      <c r="AD44" s="2251"/>
      <c r="AF44" s="2205"/>
    </row>
    <row r="45" spans="1:33" s="1697" customFormat="1">
      <c r="A45" s="1738">
        <f t="shared" si="1"/>
        <v>36</v>
      </c>
      <c r="B45" s="2203"/>
      <c r="C45" s="2203"/>
      <c r="D45" s="2203"/>
      <c r="E45" s="2203"/>
      <c r="F45" s="2197"/>
      <c r="G45" s="2203"/>
      <c r="H45" s="2203"/>
      <c r="I45" s="2203"/>
      <c r="J45" s="2203"/>
      <c r="K45" s="2773"/>
      <c r="L45" s="2179"/>
      <c r="M45" s="2179"/>
      <c r="N45" s="2218"/>
      <c r="O45" s="2199"/>
      <c r="P45" s="2218"/>
      <c r="Q45" s="2202"/>
      <c r="R45" s="2202"/>
      <c r="S45" s="2201"/>
      <c r="T45" s="2201"/>
      <c r="U45" s="2201"/>
      <c r="V45" s="2201"/>
      <c r="W45" s="2202"/>
      <c r="X45" s="2201"/>
      <c r="Y45" s="2201"/>
      <c r="Z45" s="2203"/>
      <c r="AA45" s="2201"/>
      <c r="AB45" s="2200"/>
      <c r="AC45" s="2266"/>
      <c r="AD45" s="2251"/>
      <c r="AF45" s="2205"/>
    </row>
    <row r="46" spans="1:33" s="1697" customFormat="1">
      <c r="A46" s="1738">
        <f t="shared" si="1"/>
        <v>37</v>
      </c>
      <c r="B46" s="2203"/>
      <c r="C46" s="2203"/>
      <c r="D46" s="2203"/>
      <c r="E46" s="2203"/>
      <c r="F46" s="2197"/>
      <c r="G46" s="2203"/>
      <c r="H46" s="2203"/>
      <c r="I46" s="2203"/>
      <c r="J46" s="2203"/>
      <c r="K46" s="2773"/>
      <c r="L46" s="2179"/>
      <c r="M46" s="2179"/>
      <c r="N46" s="2218"/>
      <c r="O46" s="2199"/>
      <c r="P46" s="2218"/>
      <c r="Q46" s="2202"/>
      <c r="R46" s="2202"/>
      <c r="S46" s="2201"/>
      <c r="T46" s="2201"/>
      <c r="U46" s="2201"/>
      <c r="V46" s="2201"/>
      <c r="W46" s="2202"/>
      <c r="X46" s="2201"/>
      <c r="Y46" s="2201"/>
      <c r="Z46" s="2203"/>
      <c r="AA46" s="2201"/>
      <c r="AB46" s="2200"/>
      <c r="AC46" s="2266"/>
      <c r="AD46" s="2251"/>
      <c r="AF46" s="2205"/>
    </row>
    <row r="47" spans="1:33" s="1697" customFormat="1">
      <c r="A47" s="1738">
        <f t="shared" si="1"/>
        <v>38</v>
      </c>
      <c r="B47" s="2203"/>
      <c r="C47" s="2203"/>
      <c r="D47" s="2203"/>
      <c r="E47" s="2203"/>
      <c r="F47" s="2197"/>
      <c r="G47" s="2203"/>
      <c r="H47" s="2203"/>
      <c r="I47" s="2203"/>
      <c r="J47" s="2203"/>
      <c r="K47" s="2773"/>
      <c r="L47" s="2179"/>
      <c r="M47" s="2179"/>
      <c r="N47" s="2218"/>
      <c r="O47" s="2199"/>
      <c r="P47" s="2218"/>
      <c r="Q47" s="2202"/>
      <c r="R47" s="2202"/>
      <c r="S47" s="2201"/>
      <c r="T47" s="2201"/>
      <c r="U47" s="2201"/>
      <c r="V47" s="2201"/>
      <c r="W47" s="2202"/>
      <c r="X47" s="2201"/>
      <c r="Y47" s="2201"/>
      <c r="Z47" s="2203"/>
      <c r="AA47" s="2201"/>
      <c r="AB47" s="2200"/>
      <c r="AC47" s="2266"/>
      <c r="AD47" s="2251"/>
      <c r="AF47" s="2205"/>
    </row>
    <row r="48" spans="1:33" s="1697" customFormat="1">
      <c r="A48" s="1738">
        <f t="shared" si="1"/>
        <v>39</v>
      </c>
      <c r="B48" s="2203"/>
      <c r="C48" s="2203"/>
      <c r="D48" s="2203"/>
      <c r="E48" s="2203"/>
      <c r="F48" s="2197"/>
      <c r="G48" s="2203"/>
      <c r="H48" s="2203"/>
      <c r="I48" s="2203"/>
      <c r="J48" s="2203"/>
      <c r="K48" s="2773"/>
      <c r="L48" s="2179"/>
      <c r="M48" s="2179"/>
      <c r="N48" s="2218"/>
      <c r="O48" s="2199"/>
      <c r="P48" s="2218"/>
      <c r="Q48" s="2202"/>
      <c r="R48" s="2202"/>
      <c r="S48" s="2201"/>
      <c r="T48" s="2201"/>
      <c r="U48" s="2201"/>
      <c r="V48" s="2201"/>
      <c r="W48" s="2202"/>
      <c r="X48" s="2201"/>
      <c r="Y48" s="2201"/>
      <c r="Z48" s="2203"/>
      <c r="AA48" s="2201"/>
      <c r="AB48" s="2200"/>
      <c r="AC48" s="2266"/>
      <c r="AD48" s="2251"/>
      <c r="AF48" s="2205"/>
    </row>
    <row r="49" spans="1:32" s="1350" customFormat="1">
      <c r="A49" s="1738">
        <f t="shared" si="1"/>
        <v>40</v>
      </c>
      <c r="B49" s="2203"/>
      <c r="C49" s="2203"/>
      <c r="D49" s="2203"/>
      <c r="E49" s="2203"/>
      <c r="F49" s="2197"/>
      <c r="G49" s="2203"/>
      <c r="H49" s="2203"/>
      <c r="I49" s="2203"/>
      <c r="J49" s="2203"/>
      <c r="K49" s="2773"/>
      <c r="L49" s="2181"/>
      <c r="M49" s="2181"/>
      <c r="N49" s="2182"/>
      <c r="O49" s="671"/>
      <c r="P49" s="2182"/>
      <c r="Q49" s="1692"/>
      <c r="R49" s="1692"/>
      <c r="S49" s="1415"/>
      <c r="T49" s="1415"/>
      <c r="U49" s="1415"/>
      <c r="V49" s="1415"/>
      <c r="W49" s="1692"/>
      <c r="X49" s="1415"/>
      <c r="Y49" s="1415"/>
      <c r="Z49" s="1423"/>
      <c r="AA49" s="1415"/>
      <c r="AB49" s="2183"/>
      <c r="AC49" s="2269"/>
      <c r="AD49" s="2270"/>
      <c r="AF49" s="1393"/>
    </row>
    <row r="50" spans="1:32" s="1350" customFormat="1">
      <c r="A50" s="1738">
        <f t="shared" si="1"/>
        <v>41</v>
      </c>
      <c r="B50" s="2203"/>
      <c r="C50" s="2203"/>
      <c r="D50" s="2203"/>
      <c r="E50" s="2203"/>
      <c r="F50" s="2197"/>
      <c r="G50" s="2203"/>
      <c r="H50" s="2203"/>
      <c r="I50" s="2203"/>
      <c r="J50" s="2203"/>
      <c r="K50" s="2773"/>
      <c r="L50" s="2181"/>
      <c r="M50" s="2181"/>
      <c r="N50" s="2218"/>
      <c r="O50" s="2199"/>
      <c r="P50" s="2218"/>
      <c r="Q50" s="2202"/>
      <c r="R50" s="2202"/>
      <c r="S50" s="2201"/>
      <c r="T50" s="2201"/>
      <c r="U50" s="2201"/>
      <c r="V50" s="2201"/>
      <c r="W50" s="2202"/>
      <c r="X50" s="2201"/>
      <c r="Y50" s="2201"/>
      <c r="Z50" s="2203"/>
      <c r="AA50" s="2201"/>
      <c r="AB50" s="2200"/>
      <c r="AC50" s="2266"/>
      <c r="AD50" s="2251"/>
      <c r="AF50" s="1393"/>
    </row>
    <row r="51" spans="1:32" s="1350" customFormat="1">
      <c r="A51" s="1738">
        <f t="shared" si="1"/>
        <v>42</v>
      </c>
      <c r="B51" s="2203"/>
      <c r="C51" s="2203"/>
      <c r="D51" s="2203"/>
      <c r="E51" s="2203"/>
      <c r="F51" s="2197"/>
      <c r="G51" s="2203"/>
      <c r="H51" s="2203"/>
      <c r="I51" s="2203"/>
      <c r="J51" s="2203"/>
      <c r="K51" s="2773"/>
      <c r="L51" s="2181"/>
      <c r="M51" s="2181"/>
      <c r="N51" s="2218"/>
      <c r="O51" s="2199"/>
      <c r="P51" s="2218"/>
      <c r="Q51" s="2202"/>
      <c r="R51" s="2202"/>
      <c r="S51" s="2201"/>
      <c r="T51" s="2201"/>
      <c r="U51" s="2201"/>
      <c r="V51" s="2201"/>
      <c r="W51" s="2202"/>
      <c r="X51" s="2201"/>
      <c r="Y51" s="2201"/>
      <c r="Z51" s="2203"/>
      <c r="AA51" s="2201"/>
      <c r="AB51" s="2200"/>
      <c r="AC51" s="2266"/>
      <c r="AD51" s="2251"/>
      <c r="AF51" s="1393"/>
    </row>
    <row r="52" spans="1:32" s="1350" customFormat="1">
      <c r="A52" s="1738">
        <f t="shared" si="1"/>
        <v>43</v>
      </c>
      <c r="B52" s="2203"/>
      <c r="C52" s="2203"/>
      <c r="D52" s="2203"/>
      <c r="E52" s="2203"/>
      <c r="F52" s="2197"/>
      <c r="G52" s="2203"/>
      <c r="H52" s="2203"/>
      <c r="I52" s="2203"/>
      <c r="J52" s="2203"/>
      <c r="K52" s="2773"/>
      <c r="L52" s="2181"/>
      <c r="M52" s="2181"/>
      <c r="N52" s="2218"/>
      <c r="O52" s="2199"/>
      <c r="P52" s="2218"/>
      <c r="Q52" s="2202"/>
      <c r="R52" s="2202"/>
      <c r="S52" s="2201"/>
      <c r="T52" s="2201"/>
      <c r="U52" s="2201"/>
      <c r="V52" s="2201"/>
      <c r="W52" s="2202"/>
      <c r="X52" s="2201"/>
      <c r="Y52" s="2201"/>
      <c r="Z52" s="2203"/>
      <c r="AA52" s="2201"/>
      <c r="AB52" s="2200"/>
      <c r="AC52" s="2266"/>
      <c r="AD52" s="2251"/>
      <c r="AF52" s="1393"/>
    </row>
    <row r="53" spans="1:32" s="1350" customFormat="1">
      <c r="A53" s="1738">
        <f t="shared" si="1"/>
        <v>44</v>
      </c>
      <c r="B53" s="2203"/>
      <c r="C53" s="2203"/>
      <c r="D53" s="2203"/>
      <c r="E53" s="2203"/>
      <c r="F53" s="2197"/>
      <c r="G53" s="2203"/>
      <c r="H53" s="2203"/>
      <c r="I53" s="2203"/>
      <c r="J53" s="2203"/>
      <c r="K53" s="2773"/>
      <c r="L53" s="2181"/>
      <c r="M53" s="2181"/>
      <c r="N53" s="2218"/>
      <c r="O53" s="2199"/>
      <c r="P53" s="2218"/>
      <c r="Q53" s="2202"/>
      <c r="R53" s="2202"/>
      <c r="S53" s="2201"/>
      <c r="T53" s="2201"/>
      <c r="U53" s="2201"/>
      <c r="V53" s="2201"/>
      <c r="W53" s="2202"/>
      <c r="X53" s="2201"/>
      <c r="Y53" s="2201"/>
      <c r="Z53" s="2203"/>
      <c r="AA53" s="2201"/>
      <c r="AB53" s="2200"/>
      <c r="AC53" s="2266"/>
      <c r="AD53" s="2251"/>
      <c r="AF53" s="1393"/>
    </row>
    <row r="54" spans="1:32" s="1350" customFormat="1">
      <c r="A54" s="1738">
        <f t="shared" si="1"/>
        <v>45</v>
      </c>
      <c r="B54" s="2203"/>
      <c r="C54" s="2203"/>
      <c r="D54" s="2203"/>
      <c r="E54" s="2203"/>
      <c r="F54" s="2197"/>
      <c r="G54" s="2203"/>
      <c r="H54" s="2203"/>
      <c r="I54" s="2203"/>
      <c r="J54" s="2203"/>
      <c r="K54" s="2773"/>
      <c r="L54" s="2181"/>
      <c r="M54" s="2181"/>
      <c r="N54" s="2218"/>
      <c r="O54" s="2199"/>
      <c r="P54" s="2218"/>
      <c r="Q54" s="2202"/>
      <c r="R54" s="2202"/>
      <c r="S54" s="2201"/>
      <c r="T54" s="2201"/>
      <c r="U54" s="2201"/>
      <c r="V54" s="2201"/>
      <c r="W54" s="2202"/>
      <c r="X54" s="2201"/>
      <c r="Y54" s="2201"/>
      <c r="Z54" s="2203"/>
      <c r="AA54" s="2201"/>
      <c r="AB54" s="2200"/>
      <c r="AC54" s="2266"/>
      <c r="AD54" s="2251"/>
      <c r="AF54" s="1393"/>
    </row>
    <row r="55" spans="1:32" s="1350" customFormat="1">
      <c r="A55" s="1738">
        <f t="shared" si="1"/>
        <v>46</v>
      </c>
      <c r="B55" s="2203"/>
      <c r="C55" s="2203"/>
      <c r="D55" s="2203"/>
      <c r="E55" s="2203"/>
      <c r="F55" s="2197"/>
      <c r="G55" s="2203"/>
      <c r="H55" s="2203"/>
      <c r="I55" s="2203"/>
      <c r="J55" s="2203"/>
      <c r="K55" s="2773"/>
      <c r="L55" s="2181"/>
      <c r="M55" s="2181"/>
      <c r="N55" s="2218"/>
      <c r="O55" s="2199"/>
      <c r="P55" s="2218"/>
      <c r="Q55" s="2202"/>
      <c r="R55" s="2202"/>
      <c r="S55" s="2201"/>
      <c r="T55" s="2201"/>
      <c r="U55" s="2201"/>
      <c r="V55" s="2201"/>
      <c r="W55" s="2202"/>
      <c r="X55" s="2201"/>
      <c r="Y55" s="2201"/>
      <c r="Z55" s="2203"/>
      <c r="AA55" s="2201"/>
      <c r="AB55" s="2200"/>
      <c r="AC55" s="2266"/>
      <c r="AD55" s="2251"/>
      <c r="AF55" s="1393"/>
    </row>
    <row r="56" spans="1:32" s="1350" customFormat="1">
      <c r="A56" s="1738">
        <f t="shared" si="1"/>
        <v>47</v>
      </c>
      <c r="B56" s="2203"/>
      <c r="C56" s="2203"/>
      <c r="D56" s="2203"/>
      <c r="E56" s="2203"/>
      <c r="F56" s="2197"/>
      <c r="G56" s="2203"/>
      <c r="H56" s="2203"/>
      <c r="I56" s="2203"/>
      <c r="J56" s="2203"/>
      <c r="K56" s="2773"/>
      <c r="L56" s="2181"/>
      <c r="M56" s="2181"/>
      <c r="N56" s="2218"/>
      <c r="O56" s="2199"/>
      <c r="P56" s="2218"/>
      <c r="Q56" s="2202"/>
      <c r="R56" s="2202"/>
      <c r="S56" s="2201"/>
      <c r="T56" s="2201"/>
      <c r="U56" s="2201"/>
      <c r="V56" s="2201"/>
      <c r="W56" s="2202"/>
      <c r="X56" s="2201"/>
      <c r="Y56" s="2201"/>
      <c r="Z56" s="2203"/>
      <c r="AA56" s="2201"/>
      <c r="AB56" s="2200"/>
      <c r="AC56" s="2266"/>
      <c r="AD56" s="2251"/>
      <c r="AF56" s="1393"/>
    </row>
    <row r="57" spans="1:32" s="1350" customFormat="1">
      <c r="A57" s="1738">
        <f t="shared" si="1"/>
        <v>48</v>
      </c>
      <c r="B57" s="2203"/>
      <c r="C57" s="2203"/>
      <c r="D57" s="2203"/>
      <c r="E57" s="2203"/>
      <c r="F57" s="2197"/>
      <c r="G57" s="2203"/>
      <c r="H57" s="2203"/>
      <c r="I57" s="2203"/>
      <c r="J57" s="2203"/>
      <c r="K57" s="2773"/>
      <c r="L57" s="2181"/>
      <c r="M57" s="2181"/>
      <c r="N57" s="2218"/>
      <c r="O57" s="2199"/>
      <c r="P57" s="2218"/>
      <c r="Q57" s="2202"/>
      <c r="R57" s="2202"/>
      <c r="S57" s="2201"/>
      <c r="T57" s="2201"/>
      <c r="U57" s="2201"/>
      <c r="V57" s="2201"/>
      <c r="W57" s="2202"/>
      <c r="X57" s="2201"/>
      <c r="Y57" s="2201"/>
      <c r="Z57" s="2203"/>
      <c r="AA57" s="2201"/>
      <c r="AB57" s="2200"/>
      <c r="AC57" s="2266"/>
      <c r="AD57" s="2251"/>
      <c r="AF57" s="1393"/>
    </row>
    <row r="58" spans="1:32" s="1350" customFormat="1">
      <c r="A58" s="1738">
        <f t="shared" si="1"/>
        <v>49</v>
      </c>
      <c r="B58" s="2203"/>
      <c r="C58" s="2203"/>
      <c r="D58" s="2203"/>
      <c r="E58" s="2203"/>
      <c r="F58" s="2197"/>
      <c r="G58" s="2203"/>
      <c r="H58" s="2203"/>
      <c r="I58" s="2203"/>
      <c r="J58" s="2203"/>
      <c r="K58" s="2773"/>
      <c r="L58" s="2181"/>
      <c r="M58" s="2181"/>
      <c r="N58" s="2218"/>
      <c r="O58" s="2199"/>
      <c r="P58" s="2218"/>
      <c r="Q58" s="2202"/>
      <c r="R58" s="2202"/>
      <c r="S58" s="2201"/>
      <c r="T58" s="2201"/>
      <c r="U58" s="2201"/>
      <c r="V58" s="2201"/>
      <c r="W58" s="2202"/>
      <c r="X58" s="2201"/>
      <c r="Y58" s="2201"/>
      <c r="Z58" s="2203"/>
      <c r="AA58" s="2201"/>
      <c r="AB58" s="2200"/>
      <c r="AC58" s="2266"/>
      <c r="AD58" s="2251"/>
      <c r="AF58" s="1393"/>
    </row>
    <row r="59" spans="1:32" s="1350" customFormat="1">
      <c r="A59" s="1738">
        <f t="shared" si="1"/>
        <v>50</v>
      </c>
      <c r="B59" s="2203"/>
      <c r="C59" s="2203"/>
      <c r="D59" s="2203"/>
      <c r="E59" s="2203"/>
      <c r="F59" s="2197"/>
      <c r="G59" s="2203"/>
      <c r="H59" s="2203"/>
      <c r="I59" s="2203"/>
      <c r="J59" s="2203"/>
      <c r="K59" s="2773"/>
      <c r="L59" s="2181"/>
      <c r="M59" s="2181"/>
      <c r="N59" s="2218"/>
      <c r="O59" s="2199"/>
      <c r="P59" s="2218"/>
      <c r="Q59" s="2202"/>
      <c r="R59" s="2202"/>
      <c r="S59" s="2201"/>
      <c r="T59" s="2201"/>
      <c r="U59" s="2201"/>
      <c r="V59" s="2201"/>
      <c r="W59" s="2202"/>
      <c r="X59" s="2201"/>
      <c r="Y59" s="2201"/>
      <c r="Z59" s="2203"/>
      <c r="AA59" s="2201"/>
      <c r="AB59" s="2200"/>
      <c r="AC59" s="2266"/>
      <c r="AD59" s="2251"/>
      <c r="AF59" s="1393"/>
    </row>
    <row r="60" spans="1:32" s="1350" customFormat="1">
      <c r="A60" s="1738">
        <f t="shared" si="1"/>
        <v>51</v>
      </c>
      <c r="B60" s="2203"/>
      <c r="C60" s="2203"/>
      <c r="D60" s="2203"/>
      <c r="E60" s="2203"/>
      <c r="F60" s="2197"/>
      <c r="G60" s="2203"/>
      <c r="H60" s="2203"/>
      <c r="I60" s="2203"/>
      <c r="J60" s="2203"/>
      <c r="K60" s="2773"/>
      <c r="L60" s="2181"/>
      <c r="M60" s="2181"/>
      <c r="N60" s="2218"/>
      <c r="O60" s="2199"/>
      <c r="P60" s="2218"/>
      <c r="Q60" s="2202"/>
      <c r="R60" s="2202"/>
      <c r="S60" s="2201"/>
      <c r="T60" s="2201"/>
      <c r="U60" s="2201"/>
      <c r="V60" s="2201"/>
      <c r="W60" s="2202"/>
      <c r="X60" s="2201"/>
      <c r="Y60" s="2201"/>
      <c r="Z60" s="2203"/>
      <c r="AA60" s="2201"/>
      <c r="AB60" s="2200"/>
      <c r="AC60" s="2266"/>
      <c r="AD60" s="2251"/>
      <c r="AF60" s="1393"/>
    </row>
    <row r="61" spans="1:32" s="1350" customFormat="1">
      <c r="A61" s="1738">
        <f t="shared" si="1"/>
        <v>52</v>
      </c>
      <c r="B61" s="2203"/>
      <c r="C61" s="2203"/>
      <c r="D61" s="2203"/>
      <c r="E61" s="2203"/>
      <c r="F61" s="2197"/>
      <c r="G61" s="2203"/>
      <c r="H61" s="2203"/>
      <c r="I61" s="2203"/>
      <c r="J61" s="2203"/>
      <c r="K61" s="2773"/>
      <c r="L61" s="2181"/>
      <c r="M61" s="2181"/>
      <c r="N61" s="2218"/>
      <c r="O61" s="2199"/>
      <c r="P61" s="2218"/>
      <c r="Q61" s="2202"/>
      <c r="R61" s="2202"/>
      <c r="S61" s="2201"/>
      <c r="T61" s="2201"/>
      <c r="U61" s="2201"/>
      <c r="V61" s="2201"/>
      <c r="W61" s="2202"/>
      <c r="X61" s="2201"/>
      <c r="Y61" s="2201"/>
      <c r="Z61" s="2203"/>
      <c r="AA61" s="2201"/>
      <c r="AB61" s="2200"/>
      <c r="AC61" s="2266"/>
      <c r="AD61" s="2251"/>
      <c r="AF61" s="1393"/>
    </row>
    <row r="62" spans="1:32" s="1350" customFormat="1">
      <c r="A62" s="1738">
        <f t="shared" si="1"/>
        <v>53</v>
      </c>
      <c r="B62" s="2203"/>
      <c r="C62" s="2203"/>
      <c r="D62" s="2203"/>
      <c r="E62" s="2203"/>
      <c r="F62" s="2197"/>
      <c r="G62" s="2203"/>
      <c r="H62" s="2203"/>
      <c r="I62" s="2203"/>
      <c r="J62" s="2203"/>
      <c r="K62" s="2773"/>
      <c r="L62" s="2181"/>
      <c r="M62" s="2181"/>
      <c r="N62" s="2218"/>
      <c r="O62" s="2199"/>
      <c r="P62" s="2218"/>
      <c r="Q62" s="2202"/>
      <c r="R62" s="2202"/>
      <c r="S62" s="2201"/>
      <c r="T62" s="2201"/>
      <c r="U62" s="2201"/>
      <c r="V62" s="2201"/>
      <c r="W62" s="2202"/>
      <c r="X62" s="2201"/>
      <c r="Y62" s="2201"/>
      <c r="Z62" s="2203"/>
      <c r="AA62" s="2201"/>
      <c r="AB62" s="2200"/>
      <c r="AC62" s="2266"/>
      <c r="AD62" s="2251"/>
      <c r="AF62" s="1393"/>
    </row>
    <row r="63" spans="1:32" s="1350" customFormat="1">
      <c r="A63" s="1738">
        <f t="shared" si="1"/>
        <v>54</v>
      </c>
      <c r="B63" s="1539"/>
      <c r="C63" s="2196"/>
      <c r="D63" s="2206"/>
      <c r="E63" s="2073"/>
      <c r="F63" s="2177"/>
      <c r="G63" s="2177"/>
      <c r="H63" s="2177"/>
      <c r="I63" s="2863"/>
      <c r="J63" s="1570"/>
      <c r="K63" s="2224"/>
      <c r="L63" s="2181"/>
      <c r="M63" s="2181"/>
      <c r="N63" s="2218"/>
      <c r="O63" s="2199"/>
      <c r="P63" s="2218"/>
      <c r="Q63" s="2202"/>
      <c r="R63" s="2202"/>
      <c r="S63" s="2201"/>
      <c r="T63" s="2201"/>
      <c r="U63" s="2201"/>
      <c r="V63" s="2201"/>
      <c r="W63" s="2202"/>
      <c r="X63" s="2201"/>
      <c r="Y63" s="2201"/>
      <c r="Z63" s="2203"/>
      <c r="AA63" s="2201"/>
      <c r="AB63" s="2200"/>
      <c r="AC63" s="2266"/>
      <c r="AD63" s="2251"/>
      <c r="AF63" s="1393"/>
    </row>
    <row r="64" spans="1:32" s="1350" customFormat="1">
      <c r="A64" s="1738">
        <f t="shared" si="1"/>
        <v>55</v>
      </c>
      <c r="B64" s="1539"/>
      <c r="C64" s="2196"/>
      <c r="D64" s="2206"/>
      <c r="E64" s="2073"/>
      <c r="F64" s="2177"/>
      <c r="G64" s="2177"/>
      <c r="H64" s="2177"/>
      <c r="I64" s="2863"/>
      <c r="J64" s="1570"/>
      <c r="K64" s="2224"/>
      <c r="L64" s="2181"/>
      <c r="M64" s="2181"/>
      <c r="N64" s="2218"/>
      <c r="O64" s="2199"/>
      <c r="P64" s="2218"/>
      <c r="Q64" s="2202"/>
      <c r="R64" s="2202"/>
      <c r="S64" s="2201"/>
      <c r="T64" s="2201"/>
      <c r="U64" s="2201"/>
      <c r="V64" s="2201"/>
      <c r="W64" s="2202"/>
      <c r="X64" s="2201"/>
      <c r="Y64" s="2201"/>
      <c r="Z64" s="2203"/>
      <c r="AA64" s="2201"/>
      <c r="AB64" s="2200"/>
      <c r="AC64" s="2266"/>
      <c r="AD64" s="2251"/>
      <c r="AF64" s="1393"/>
    </row>
    <row r="65" spans="1:32" s="1350" customFormat="1">
      <c r="A65" s="1738">
        <f t="shared" si="1"/>
        <v>56</v>
      </c>
      <c r="B65" s="1539"/>
      <c r="C65" s="2196"/>
      <c r="D65" s="2206"/>
      <c r="E65" s="2073"/>
      <c r="F65" s="2177"/>
      <c r="G65" s="2177"/>
      <c r="H65" s="2177"/>
      <c r="I65" s="2863"/>
      <c r="J65" s="1570"/>
      <c r="K65" s="2224"/>
      <c r="L65" s="2181"/>
      <c r="M65" s="2181"/>
      <c r="N65" s="2218"/>
      <c r="O65" s="2199"/>
      <c r="P65" s="2218"/>
      <c r="Q65" s="2202"/>
      <c r="R65" s="2202"/>
      <c r="S65" s="2201"/>
      <c r="T65" s="2201"/>
      <c r="U65" s="2201"/>
      <c r="V65" s="2201"/>
      <c r="W65" s="2202"/>
      <c r="X65" s="2201"/>
      <c r="Y65" s="2201"/>
      <c r="Z65" s="2203"/>
      <c r="AA65" s="2201"/>
      <c r="AB65" s="2200"/>
      <c r="AC65" s="2266"/>
      <c r="AD65" s="2251"/>
      <c r="AF65" s="1393"/>
    </row>
    <row r="66" spans="1:32" s="1350" customFormat="1">
      <c r="A66" s="1738">
        <f t="shared" si="1"/>
        <v>57</v>
      </c>
      <c r="B66" s="1539"/>
      <c r="C66" s="2196"/>
      <c r="D66" s="2206"/>
      <c r="E66" s="2073"/>
      <c r="F66" s="2177"/>
      <c r="G66" s="2177"/>
      <c r="H66" s="2177"/>
      <c r="I66" s="2863"/>
      <c r="J66" s="1570"/>
      <c r="K66" s="2224"/>
      <c r="L66" s="2181"/>
      <c r="M66" s="2181"/>
      <c r="N66" s="2218"/>
      <c r="O66" s="2199"/>
      <c r="P66" s="2218"/>
      <c r="Q66" s="2202"/>
      <c r="R66" s="2202"/>
      <c r="S66" s="2201"/>
      <c r="T66" s="2201"/>
      <c r="U66" s="2201"/>
      <c r="V66" s="2201"/>
      <c r="W66" s="2202"/>
      <c r="X66" s="2201"/>
      <c r="Y66" s="2201"/>
      <c r="Z66" s="2203"/>
      <c r="AA66" s="2201"/>
      <c r="AB66" s="2200"/>
      <c r="AC66" s="2266"/>
      <c r="AD66" s="2251"/>
      <c r="AF66" s="1393"/>
    </row>
    <row r="67" spans="1:32" s="1350" customFormat="1">
      <c r="A67" s="1738">
        <f t="shared" si="1"/>
        <v>58</v>
      </c>
      <c r="B67" s="2191"/>
      <c r="C67" s="2196"/>
      <c r="D67" s="2206"/>
      <c r="E67" s="2073"/>
      <c r="F67" s="2177"/>
      <c r="G67" s="2177"/>
      <c r="H67" s="2177"/>
      <c r="I67" s="2863"/>
      <c r="J67" s="1570"/>
      <c r="K67" s="2224"/>
      <c r="L67" s="2181"/>
      <c r="M67" s="2181"/>
      <c r="N67" s="2218"/>
      <c r="O67" s="2199"/>
      <c r="P67" s="2218"/>
      <c r="Q67" s="2202"/>
      <c r="R67" s="2202"/>
      <c r="S67" s="2201"/>
      <c r="T67" s="2201"/>
      <c r="U67" s="2201"/>
      <c r="V67" s="2201"/>
      <c r="W67" s="2202"/>
      <c r="X67" s="2201"/>
      <c r="Y67" s="2201"/>
      <c r="Z67" s="2203"/>
      <c r="AA67" s="2201"/>
      <c r="AB67" s="2200"/>
      <c r="AC67" s="2266"/>
      <c r="AD67" s="2251"/>
      <c r="AF67" s="1393"/>
    </row>
    <row r="68" spans="1:32" s="1350" customFormat="1">
      <c r="A68" s="1738">
        <f t="shared" si="1"/>
        <v>59</v>
      </c>
      <c r="B68" s="2191"/>
      <c r="C68" s="2196"/>
      <c r="D68" s="2206"/>
      <c r="E68" s="2073"/>
      <c r="F68" s="2177"/>
      <c r="G68" s="2177"/>
      <c r="H68" s="2177"/>
      <c r="I68" s="2863"/>
      <c r="J68" s="1570"/>
      <c r="K68" s="2224"/>
      <c r="L68" s="2181"/>
      <c r="M68" s="2181"/>
      <c r="N68" s="2218"/>
      <c r="O68" s="2199"/>
      <c r="P68" s="2218"/>
      <c r="Q68" s="2202"/>
      <c r="R68" s="2202"/>
      <c r="S68" s="2201"/>
      <c r="T68" s="2201"/>
      <c r="U68" s="2201"/>
      <c r="V68" s="2201"/>
      <c r="W68" s="2202"/>
      <c r="X68" s="2201"/>
      <c r="Y68" s="2201"/>
      <c r="Z68" s="2203"/>
      <c r="AA68" s="2201"/>
      <c r="AB68" s="2200"/>
      <c r="AC68" s="2266"/>
      <c r="AD68" s="2251"/>
      <c r="AF68" s="1393"/>
    </row>
    <row r="69" spans="1:32" s="1350" customFormat="1">
      <c r="A69" s="1738">
        <f t="shared" si="1"/>
        <v>60</v>
      </c>
      <c r="B69" s="2191"/>
      <c r="C69" s="2196"/>
      <c r="D69" s="2206"/>
      <c r="E69" s="2073"/>
      <c r="F69" s="2177"/>
      <c r="G69" s="2177"/>
      <c r="H69" s="2177"/>
      <c r="I69" s="2863"/>
      <c r="J69" s="1570"/>
      <c r="K69" s="2224"/>
      <c r="L69" s="2181"/>
      <c r="M69" s="2181"/>
      <c r="N69" s="2218"/>
      <c r="O69" s="2199"/>
      <c r="P69" s="2218"/>
      <c r="Q69" s="2202"/>
      <c r="R69" s="2202"/>
      <c r="S69" s="2201"/>
      <c r="T69" s="2201"/>
      <c r="U69" s="2201"/>
      <c r="V69" s="2201"/>
      <c r="W69" s="2202"/>
      <c r="X69" s="2201"/>
      <c r="Y69" s="2201"/>
      <c r="Z69" s="2203"/>
      <c r="AA69" s="2201"/>
      <c r="AB69" s="2200"/>
      <c r="AC69" s="2266"/>
      <c r="AD69" s="2251"/>
      <c r="AF69" s="1393"/>
    </row>
    <row r="70" spans="1:32" s="1350" customFormat="1">
      <c r="A70" s="1738">
        <f t="shared" si="1"/>
        <v>61</v>
      </c>
      <c r="B70" s="2191"/>
      <c r="C70" s="2196"/>
      <c r="D70" s="2206"/>
      <c r="E70" s="2073"/>
      <c r="F70" s="2177"/>
      <c r="G70" s="2177"/>
      <c r="H70" s="2177"/>
      <c r="I70" s="2863"/>
      <c r="J70" s="1570"/>
      <c r="K70" s="2224"/>
      <c r="L70" s="2181"/>
      <c r="M70" s="2181"/>
      <c r="N70" s="2218"/>
      <c r="O70" s="2199"/>
      <c r="P70" s="2218"/>
      <c r="Q70" s="2202"/>
      <c r="R70" s="2202"/>
      <c r="S70" s="2201"/>
      <c r="T70" s="2201"/>
      <c r="U70" s="2201"/>
      <c r="V70" s="2201"/>
      <c r="W70" s="2202"/>
      <c r="X70" s="2201"/>
      <c r="Y70" s="2201"/>
      <c r="Z70" s="2203"/>
      <c r="AA70" s="2201"/>
      <c r="AB70" s="2200"/>
      <c r="AC70" s="2266"/>
      <c r="AD70" s="2251"/>
      <c r="AF70" s="1393"/>
    </row>
    <row r="71" spans="1:32" s="1350" customFormat="1">
      <c r="A71" s="1738">
        <f t="shared" si="1"/>
        <v>62</v>
      </c>
      <c r="B71" s="2191"/>
      <c r="C71" s="2196"/>
      <c r="D71" s="2206"/>
      <c r="E71" s="2073"/>
      <c r="F71" s="2177"/>
      <c r="G71" s="2177"/>
      <c r="H71" s="2177"/>
      <c r="I71" s="2863"/>
      <c r="J71" s="1570"/>
      <c r="K71" s="2224"/>
      <c r="L71" s="2181"/>
      <c r="M71" s="2181"/>
      <c r="N71" s="2218"/>
      <c r="O71" s="2199"/>
      <c r="P71" s="2218"/>
      <c r="Q71" s="2202"/>
      <c r="R71" s="2202"/>
      <c r="S71" s="2201"/>
      <c r="T71" s="2201"/>
      <c r="U71" s="2201"/>
      <c r="V71" s="2201"/>
      <c r="W71" s="2202"/>
      <c r="X71" s="2201"/>
      <c r="Y71" s="2201"/>
      <c r="Z71" s="2203"/>
      <c r="AA71" s="2201"/>
      <c r="AB71" s="2200"/>
      <c r="AC71" s="2266"/>
      <c r="AD71" s="2251"/>
      <c r="AF71" s="1393"/>
    </row>
    <row r="72" spans="1:32" s="1350" customFormat="1">
      <c r="A72" s="1738">
        <f t="shared" ref="A72:A118" si="2">+A71+1</f>
        <v>63</v>
      </c>
      <c r="B72" s="2191"/>
      <c r="C72" s="2196"/>
      <c r="D72" s="2206"/>
      <c r="E72" s="2073"/>
      <c r="F72" s="2177"/>
      <c r="G72" s="2177"/>
      <c r="H72" s="2177"/>
      <c r="I72" s="2863"/>
      <c r="J72" s="1570"/>
      <c r="K72" s="2224"/>
      <c r="L72" s="2181"/>
      <c r="M72" s="2181"/>
      <c r="N72" s="2218"/>
      <c r="O72" s="2199"/>
      <c r="P72" s="2218"/>
      <c r="Q72" s="2202"/>
      <c r="R72" s="2202"/>
      <c r="S72" s="2201"/>
      <c r="T72" s="2201"/>
      <c r="U72" s="2201"/>
      <c r="V72" s="2201"/>
      <c r="W72" s="2202"/>
      <c r="X72" s="2201"/>
      <c r="Y72" s="2201"/>
      <c r="Z72" s="2203"/>
      <c r="AA72" s="2201"/>
      <c r="AB72" s="2200"/>
      <c r="AC72" s="2266"/>
      <c r="AD72" s="2251"/>
      <c r="AF72" s="1393"/>
    </row>
    <row r="73" spans="1:32" s="1350" customFormat="1">
      <c r="A73" s="1738">
        <f t="shared" si="2"/>
        <v>64</v>
      </c>
      <c r="B73" s="2191"/>
      <c r="C73" s="2196"/>
      <c r="D73" s="2206"/>
      <c r="E73" s="2073"/>
      <c r="F73" s="2177"/>
      <c r="G73" s="2177"/>
      <c r="H73" s="2177"/>
      <c r="I73" s="2863"/>
      <c r="J73" s="1570"/>
      <c r="K73" s="2224"/>
      <c r="L73" s="2181"/>
      <c r="M73" s="2181"/>
      <c r="N73" s="2218"/>
      <c r="O73" s="2199"/>
      <c r="P73" s="2218"/>
      <c r="Q73" s="2202"/>
      <c r="R73" s="2202"/>
      <c r="S73" s="2201"/>
      <c r="T73" s="2201"/>
      <c r="U73" s="2201"/>
      <c r="V73" s="2201"/>
      <c r="W73" s="2202"/>
      <c r="X73" s="2201"/>
      <c r="Y73" s="2201"/>
      <c r="Z73" s="2203"/>
      <c r="AA73" s="2201"/>
      <c r="AB73" s="2200"/>
      <c r="AC73" s="2266"/>
      <c r="AD73" s="2251"/>
      <c r="AF73" s="1393"/>
    </row>
    <row r="74" spans="1:32" s="1350" customFormat="1">
      <c r="A74" s="1738">
        <f t="shared" si="2"/>
        <v>65</v>
      </c>
      <c r="B74" s="295"/>
      <c r="C74" s="2039"/>
      <c r="D74" s="2173"/>
      <c r="E74" s="2386"/>
      <c r="F74" s="167"/>
      <c r="G74" s="167"/>
      <c r="H74" s="167"/>
      <c r="I74" s="1298"/>
      <c r="J74" s="707"/>
      <c r="K74" s="2038"/>
      <c r="L74" s="577"/>
      <c r="M74" s="577"/>
      <c r="N74" s="1613"/>
      <c r="O74" s="2674"/>
      <c r="P74" s="1613"/>
      <c r="Q74" s="2774"/>
      <c r="R74" s="2774"/>
      <c r="S74" s="2775"/>
      <c r="T74" s="2775"/>
      <c r="U74" s="2775"/>
      <c r="V74" s="2775"/>
      <c r="W74" s="2774"/>
      <c r="X74" s="2775"/>
      <c r="Y74" s="2775"/>
      <c r="Z74" s="2776"/>
      <c r="AA74" s="2775"/>
      <c r="AB74" s="2777"/>
      <c r="AC74" s="2778"/>
      <c r="AD74" s="2779"/>
      <c r="AF74" s="1393"/>
    </row>
    <row r="75" spans="1:32" s="1350" customFormat="1">
      <c r="A75" s="1738">
        <f t="shared" si="2"/>
        <v>66</v>
      </c>
      <c r="B75" s="295"/>
      <c r="C75" s="2039"/>
      <c r="D75" s="2173"/>
      <c r="E75" s="2386"/>
      <c r="F75" s="167"/>
      <c r="G75" s="167"/>
      <c r="H75" s="167"/>
      <c r="I75" s="1298"/>
      <c r="J75" s="707"/>
      <c r="K75" s="2038"/>
      <c r="L75" s="577"/>
      <c r="M75" s="577"/>
      <c r="N75" s="1613"/>
      <c r="O75" s="2674"/>
      <c r="P75" s="1613"/>
      <c r="Q75" s="2774"/>
      <c r="R75" s="2774"/>
      <c r="S75" s="2775"/>
      <c r="T75" s="2775"/>
      <c r="U75" s="2775"/>
      <c r="V75" s="2775"/>
      <c r="W75" s="2774"/>
      <c r="X75" s="2775"/>
      <c r="Y75" s="2775"/>
      <c r="Z75" s="2776"/>
      <c r="AA75" s="2775"/>
      <c r="AB75" s="2777"/>
      <c r="AC75" s="2778"/>
      <c r="AD75" s="2779"/>
      <c r="AF75" s="1393"/>
    </row>
    <row r="76" spans="1:32" s="1350" customFormat="1">
      <c r="A76" s="1738">
        <f t="shared" si="2"/>
        <v>67</v>
      </c>
      <c r="B76" s="295"/>
      <c r="C76" s="2039"/>
      <c r="D76" s="2173"/>
      <c r="E76" s="2386"/>
      <c r="F76" s="167"/>
      <c r="G76" s="167"/>
      <c r="H76" s="167"/>
      <c r="I76" s="1298"/>
      <c r="J76" s="707"/>
      <c r="K76" s="2038"/>
      <c r="L76" s="577"/>
      <c r="M76" s="577"/>
      <c r="N76" s="1613"/>
      <c r="O76" s="2674"/>
      <c r="P76" s="1613"/>
      <c r="Q76" s="2774"/>
      <c r="R76" s="2774"/>
      <c r="S76" s="2775"/>
      <c r="T76" s="2775"/>
      <c r="U76" s="2775"/>
      <c r="V76" s="2775"/>
      <c r="W76" s="2774"/>
      <c r="X76" s="2775"/>
      <c r="Y76" s="2775"/>
      <c r="Z76" s="2776"/>
      <c r="AA76" s="2775"/>
      <c r="AB76" s="2777"/>
      <c r="AC76" s="2778"/>
      <c r="AD76" s="2779"/>
      <c r="AF76" s="1393"/>
    </row>
    <row r="77" spans="1:32" s="1350" customFormat="1">
      <c r="A77" s="1738">
        <f t="shared" si="2"/>
        <v>68</v>
      </c>
      <c r="B77" s="295"/>
      <c r="C77" s="2039"/>
      <c r="D77" s="2173"/>
      <c r="E77" s="2386"/>
      <c r="F77" s="167"/>
      <c r="G77" s="167"/>
      <c r="H77" s="167"/>
      <c r="I77" s="1298"/>
      <c r="J77" s="707"/>
      <c r="K77" s="2038"/>
      <c r="L77" s="577"/>
      <c r="M77" s="577"/>
      <c r="N77" s="1613"/>
      <c r="O77" s="2674"/>
      <c r="P77" s="1613"/>
      <c r="Q77" s="2774"/>
      <c r="R77" s="2774"/>
      <c r="S77" s="2775"/>
      <c r="T77" s="2775"/>
      <c r="U77" s="2775"/>
      <c r="V77" s="2775"/>
      <c r="W77" s="2774"/>
      <c r="X77" s="2775"/>
      <c r="Y77" s="2775"/>
      <c r="Z77" s="2776"/>
      <c r="AA77" s="2775"/>
      <c r="AB77" s="2777"/>
      <c r="AC77" s="2778"/>
      <c r="AD77" s="2779"/>
      <c r="AF77" s="1393"/>
    </row>
    <row r="78" spans="1:32" s="1350" customFormat="1">
      <c r="A78" s="1738">
        <f t="shared" si="2"/>
        <v>69</v>
      </c>
      <c r="B78" s="295"/>
      <c r="C78" s="2039"/>
      <c r="D78" s="2173"/>
      <c r="E78" s="2386"/>
      <c r="F78" s="167"/>
      <c r="G78" s="167"/>
      <c r="H78" s="167"/>
      <c r="I78" s="1298"/>
      <c r="J78" s="707"/>
      <c r="K78" s="2038"/>
      <c r="L78" s="577"/>
      <c r="M78" s="577"/>
      <c r="N78" s="1613"/>
      <c r="O78" s="2674"/>
      <c r="P78" s="1613"/>
      <c r="Q78" s="2774"/>
      <c r="R78" s="2774"/>
      <c r="S78" s="2775"/>
      <c r="T78" s="2775"/>
      <c r="U78" s="2775"/>
      <c r="V78" s="2775"/>
      <c r="W78" s="2774"/>
      <c r="X78" s="2775"/>
      <c r="Y78" s="2775"/>
      <c r="Z78" s="2776"/>
      <c r="AA78" s="2775"/>
      <c r="AB78" s="2777"/>
      <c r="AC78" s="2778"/>
      <c r="AD78" s="2779"/>
      <c r="AF78" s="1393"/>
    </row>
    <row r="79" spans="1:32" s="1350" customFormat="1">
      <c r="A79" s="1738">
        <f t="shared" si="2"/>
        <v>70</v>
      </c>
      <c r="B79" s="295"/>
      <c r="C79" s="2039"/>
      <c r="D79" s="2173"/>
      <c r="E79" s="2386"/>
      <c r="F79" s="167"/>
      <c r="G79" s="167"/>
      <c r="H79" s="167"/>
      <c r="I79" s="1298"/>
      <c r="J79" s="707"/>
      <c r="K79" s="2038"/>
      <c r="L79" s="577"/>
      <c r="M79" s="577"/>
      <c r="N79" s="1613"/>
      <c r="O79" s="2674"/>
      <c r="P79" s="1613"/>
      <c r="Q79" s="2774"/>
      <c r="R79" s="2774"/>
      <c r="S79" s="2775"/>
      <c r="T79" s="2775"/>
      <c r="U79" s="2775"/>
      <c r="V79" s="2775"/>
      <c r="W79" s="2774"/>
      <c r="X79" s="2775"/>
      <c r="Y79" s="2775"/>
      <c r="Z79" s="2776"/>
      <c r="AA79" s="2775"/>
      <c r="AB79" s="2777"/>
      <c r="AC79" s="2778"/>
      <c r="AD79" s="2779"/>
      <c r="AF79" s="1393"/>
    </row>
    <row r="80" spans="1:32" s="1350" customFormat="1">
      <c r="A80" s="1738">
        <f t="shared" si="2"/>
        <v>71</v>
      </c>
      <c r="B80" s="295"/>
      <c r="C80" s="2039"/>
      <c r="D80" s="2173"/>
      <c r="E80" s="2386"/>
      <c r="F80" s="167"/>
      <c r="G80" s="167"/>
      <c r="H80" s="167"/>
      <c r="I80" s="1298"/>
      <c r="J80" s="707"/>
      <c r="K80" s="2038"/>
      <c r="L80" s="577"/>
      <c r="M80" s="577"/>
      <c r="N80" s="1613"/>
      <c r="O80" s="2674"/>
      <c r="P80" s="1613"/>
      <c r="Q80" s="2774"/>
      <c r="R80" s="2774"/>
      <c r="S80" s="2775"/>
      <c r="T80" s="2775"/>
      <c r="U80" s="2775"/>
      <c r="V80" s="2775"/>
      <c r="W80" s="2774"/>
      <c r="X80" s="2775"/>
      <c r="Y80" s="2775"/>
      <c r="Z80" s="2776"/>
      <c r="AA80" s="2775"/>
      <c r="AB80" s="2777"/>
      <c r="AC80" s="2778"/>
      <c r="AD80" s="2779"/>
      <c r="AF80" s="1393"/>
    </row>
    <row r="81" spans="1:32" s="1350" customFormat="1">
      <c r="A81" s="1738">
        <f t="shared" si="2"/>
        <v>72</v>
      </c>
      <c r="B81" s="295"/>
      <c r="C81" s="2039"/>
      <c r="D81" s="2173"/>
      <c r="E81" s="2386"/>
      <c r="F81" s="167"/>
      <c r="G81" s="167"/>
      <c r="H81" s="167"/>
      <c r="I81" s="1298"/>
      <c r="J81" s="707"/>
      <c r="K81" s="2038"/>
      <c r="L81" s="577"/>
      <c r="M81" s="577"/>
      <c r="N81" s="1613"/>
      <c r="O81" s="2674"/>
      <c r="P81" s="1613"/>
      <c r="Q81" s="2774"/>
      <c r="R81" s="2774"/>
      <c r="S81" s="2775"/>
      <c r="T81" s="2775"/>
      <c r="U81" s="2775"/>
      <c r="V81" s="2775"/>
      <c r="W81" s="2774"/>
      <c r="X81" s="2775"/>
      <c r="Y81" s="2775"/>
      <c r="Z81" s="2776"/>
      <c r="AA81" s="2775"/>
      <c r="AB81" s="2777"/>
      <c r="AC81" s="2778"/>
      <c r="AD81" s="2779"/>
      <c r="AF81" s="1393"/>
    </row>
    <row r="82" spans="1:32" s="1350" customFormat="1">
      <c r="A82" s="1738">
        <f t="shared" si="2"/>
        <v>73</v>
      </c>
      <c r="B82" s="295"/>
      <c r="C82" s="2039"/>
      <c r="D82" s="2173"/>
      <c r="E82" s="2386"/>
      <c r="F82" s="167"/>
      <c r="G82" s="167"/>
      <c r="H82" s="167"/>
      <c r="I82" s="1298"/>
      <c r="J82" s="707"/>
      <c r="K82" s="2038"/>
      <c r="L82" s="577"/>
      <c r="M82" s="577"/>
      <c r="N82" s="1613"/>
      <c r="O82" s="2674"/>
      <c r="P82" s="1613"/>
      <c r="Q82" s="2774"/>
      <c r="R82" s="2774"/>
      <c r="S82" s="2775"/>
      <c r="T82" s="2775"/>
      <c r="U82" s="2775"/>
      <c r="V82" s="2775"/>
      <c r="W82" s="2774"/>
      <c r="X82" s="2775"/>
      <c r="Y82" s="2775"/>
      <c r="Z82" s="2776"/>
      <c r="AA82" s="2775"/>
      <c r="AB82" s="2777"/>
      <c r="AC82" s="2778"/>
      <c r="AD82" s="2779"/>
      <c r="AF82" s="1393"/>
    </row>
    <row r="83" spans="1:32" s="1350" customFormat="1">
      <c r="A83" s="1738">
        <f t="shared" si="2"/>
        <v>74</v>
      </c>
      <c r="B83" s="295"/>
      <c r="C83" s="2039"/>
      <c r="D83" s="2173"/>
      <c r="E83" s="2386"/>
      <c r="F83" s="167"/>
      <c r="G83" s="167"/>
      <c r="H83" s="167"/>
      <c r="I83" s="1298"/>
      <c r="J83" s="707"/>
      <c r="K83" s="2038"/>
      <c r="L83" s="577"/>
      <c r="M83" s="577"/>
      <c r="N83" s="1613"/>
      <c r="O83" s="2674"/>
      <c r="P83" s="1613"/>
      <c r="Q83" s="2774"/>
      <c r="R83" s="2774"/>
      <c r="S83" s="2775"/>
      <c r="T83" s="2775"/>
      <c r="U83" s="2775"/>
      <c r="V83" s="2775"/>
      <c r="W83" s="2774"/>
      <c r="X83" s="2775"/>
      <c r="Y83" s="2775"/>
      <c r="Z83" s="2776"/>
      <c r="AA83" s="2775"/>
      <c r="AB83" s="2777"/>
      <c r="AC83" s="2778"/>
      <c r="AD83" s="2779"/>
      <c r="AF83" s="1393"/>
    </row>
    <row r="84" spans="1:32" s="1350" customFormat="1">
      <c r="A84" s="1738">
        <f t="shared" si="2"/>
        <v>75</v>
      </c>
      <c r="B84" s="295"/>
      <c r="C84" s="2039"/>
      <c r="D84" s="2173"/>
      <c r="E84" s="2386"/>
      <c r="F84" s="167"/>
      <c r="G84" s="167"/>
      <c r="H84" s="167"/>
      <c r="I84" s="1298"/>
      <c r="J84" s="707"/>
      <c r="K84" s="2038"/>
      <c r="L84" s="577"/>
      <c r="M84" s="577"/>
      <c r="N84" s="1613"/>
      <c r="O84" s="2674"/>
      <c r="P84" s="1613"/>
      <c r="Q84" s="2774"/>
      <c r="R84" s="2774"/>
      <c r="S84" s="2775"/>
      <c r="T84" s="2775"/>
      <c r="U84" s="2775"/>
      <c r="V84" s="2775"/>
      <c r="W84" s="2774"/>
      <c r="X84" s="2775"/>
      <c r="Y84" s="2775"/>
      <c r="Z84" s="2776"/>
      <c r="AA84" s="2775"/>
      <c r="AB84" s="2777"/>
      <c r="AC84" s="2778"/>
      <c r="AD84" s="2779"/>
      <c r="AF84" s="1393"/>
    </row>
    <row r="85" spans="1:32" s="1350" customFormat="1">
      <c r="A85" s="1738">
        <f t="shared" si="2"/>
        <v>76</v>
      </c>
      <c r="B85" s="295"/>
      <c r="C85" s="2039"/>
      <c r="D85" s="2173"/>
      <c r="E85" s="2386"/>
      <c r="F85" s="167"/>
      <c r="G85" s="167"/>
      <c r="H85" s="167"/>
      <c r="I85" s="1298"/>
      <c r="J85" s="707"/>
      <c r="K85" s="2038"/>
      <c r="L85" s="577"/>
      <c r="M85" s="577"/>
      <c r="N85" s="1613"/>
      <c r="O85" s="2674"/>
      <c r="P85" s="1613"/>
      <c r="Q85" s="2774"/>
      <c r="R85" s="2774"/>
      <c r="S85" s="2775"/>
      <c r="T85" s="2775"/>
      <c r="U85" s="2775"/>
      <c r="V85" s="2775"/>
      <c r="W85" s="2774"/>
      <c r="X85" s="2775"/>
      <c r="Y85" s="2775"/>
      <c r="Z85" s="2776"/>
      <c r="AA85" s="2775"/>
      <c r="AB85" s="2777"/>
      <c r="AC85" s="2778"/>
      <c r="AD85" s="2779"/>
      <c r="AF85" s="1393"/>
    </row>
    <row r="86" spans="1:32" s="1350" customFormat="1">
      <c r="A86" s="1738">
        <f t="shared" si="2"/>
        <v>77</v>
      </c>
      <c r="B86" s="295"/>
      <c r="C86" s="2039"/>
      <c r="D86" s="2173"/>
      <c r="E86" s="2386"/>
      <c r="F86" s="167"/>
      <c r="G86" s="167"/>
      <c r="H86" s="167"/>
      <c r="I86" s="1298"/>
      <c r="J86" s="707"/>
      <c r="K86" s="2038"/>
      <c r="L86" s="577"/>
      <c r="M86" s="577"/>
      <c r="N86" s="1613"/>
      <c r="O86" s="2674"/>
      <c r="P86" s="1613"/>
      <c r="Q86" s="2774"/>
      <c r="R86" s="2774"/>
      <c r="S86" s="2775"/>
      <c r="T86" s="2775"/>
      <c r="U86" s="2775"/>
      <c r="V86" s="2775"/>
      <c r="W86" s="2774"/>
      <c r="X86" s="2775"/>
      <c r="Y86" s="2775"/>
      <c r="Z86" s="2776"/>
      <c r="AA86" s="2775"/>
      <c r="AB86" s="2777"/>
      <c r="AC86" s="2778"/>
      <c r="AD86" s="2779"/>
      <c r="AF86" s="1393"/>
    </row>
    <row r="87" spans="1:32" s="1350" customFormat="1">
      <c r="A87" s="1738">
        <f t="shared" si="2"/>
        <v>78</v>
      </c>
      <c r="B87" s="295"/>
      <c r="C87" s="2039"/>
      <c r="D87" s="2173"/>
      <c r="E87" s="2386"/>
      <c r="F87" s="167"/>
      <c r="G87" s="167"/>
      <c r="H87" s="167"/>
      <c r="I87" s="1298"/>
      <c r="J87" s="707"/>
      <c r="K87" s="2038"/>
      <c r="L87" s="577"/>
      <c r="M87" s="577"/>
      <c r="N87" s="1613"/>
      <c r="O87" s="2674"/>
      <c r="P87" s="1613"/>
      <c r="Q87" s="2774"/>
      <c r="R87" s="2774"/>
      <c r="S87" s="2775"/>
      <c r="T87" s="2775"/>
      <c r="U87" s="2775"/>
      <c r="V87" s="2775"/>
      <c r="W87" s="2774"/>
      <c r="X87" s="2775"/>
      <c r="Y87" s="2775"/>
      <c r="Z87" s="2776"/>
      <c r="AA87" s="2775"/>
      <c r="AB87" s="2777"/>
      <c r="AC87" s="2778"/>
      <c r="AD87" s="2779"/>
      <c r="AF87" s="1393"/>
    </row>
    <row r="88" spans="1:32" s="1350" customFormat="1">
      <c r="A88" s="1738">
        <f t="shared" si="2"/>
        <v>79</v>
      </c>
      <c r="B88" s="295"/>
      <c r="C88" s="2039"/>
      <c r="D88" s="2173"/>
      <c r="E88" s="2386"/>
      <c r="F88" s="167"/>
      <c r="G88" s="167"/>
      <c r="H88" s="167"/>
      <c r="I88" s="1298"/>
      <c r="J88" s="707"/>
      <c r="K88" s="2038"/>
      <c r="L88" s="577"/>
      <c r="M88" s="577"/>
      <c r="N88" s="1613"/>
      <c r="O88" s="2674"/>
      <c r="P88" s="1613"/>
      <c r="Q88" s="2774"/>
      <c r="R88" s="2774"/>
      <c r="S88" s="2775"/>
      <c r="T88" s="2775"/>
      <c r="U88" s="2775"/>
      <c r="V88" s="2775"/>
      <c r="W88" s="2774"/>
      <c r="X88" s="2775"/>
      <c r="Y88" s="2775"/>
      <c r="Z88" s="2776"/>
      <c r="AA88" s="2775"/>
      <c r="AB88" s="2777"/>
      <c r="AC88" s="2778"/>
      <c r="AD88" s="2779"/>
      <c r="AF88" s="1393"/>
    </row>
    <row r="89" spans="1:32" s="1350" customFormat="1">
      <c r="A89" s="1738">
        <f t="shared" si="2"/>
        <v>80</v>
      </c>
      <c r="B89" s="295"/>
      <c r="C89" s="2039"/>
      <c r="D89" s="2173"/>
      <c r="E89" s="2386"/>
      <c r="F89" s="167"/>
      <c r="G89" s="167"/>
      <c r="H89" s="167"/>
      <c r="I89" s="1298"/>
      <c r="J89" s="707"/>
      <c r="K89" s="2038"/>
      <c r="L89" s="577"/>
      <c r="M89" s="577"/>
      <c r="N89" s="1613"/>
      <c r="O89" s="2674"/>
      <c r="P89" s="1613"/>
      <c r="Q89" s="2774"/>
      <c r="R89" s="2774"/>
      <c r="S89" s="2775"/>
      <c r="T89" s="2775"/>
      <c r="U89" s="2775"/>
      <c r="V89" s="2775"/>
      <c r="W89" s="2774"/>
      <c r="X89" s="2775"/>
      <c r="Y89" s="2775"/>
      <c r="Z89" s="2776"/>
      <c r="AA89" s="2775"/>
      <c r="AB89" s="2777"/>
      <c r="AC89" s="2778"/>
      <c r="AD89" s="2779"/>
      <c r="AF89" s="1393"/>
    </row>
    <row r="90" spans="1:32" s="1350" customFormat="1">
      <c r="A90" s="1738">
        <f t="shared" si="2"/>
        <v>81</v>
      </c>
      <c r="B90" s="295"/>
      <c r="C90" s="2039"/>
      <c r="D90" s="2173"/>
      <c r="E90" s="2386"/>
      <c r="F90" s="167"/>
      <c r="G90" s="167"/>
      <c r="H90" s="167"/>
      <c r="I90" s="1298"/>
      <c r="J90" s="707"/>
      <c r="K90" s="2038"/>
      <c r="L90" s="577"/>
      <c r="M90" s="577"/>
      <c r="N90" s="1613"/>
      <c r="O90" s="2674"/>
      <c r="P90" s="1613"/>
      <c r="Q90" s="2774"/>
      <c r="R90" s="2774"/>
      <c r="S90" s="2775"/>
      <c r="T90" s="2775"/>
      <c r="U90" s="2775"/>
      <c r="V90" s="2775"/>
      <c r="W90" s="2774"/>
      <c r="X90" s="2775"/>
      <c r="Y90" s="2775"/>
      <c r="Z90" s="2776"/>
      <c r="AA90" s="2775"/>
      <c r="AB90" s="2777"/>
      <c r="AC90" s="2778"/>
      <c r="AD90" s="2779"/>
      <c r="AF90" s="1393"/>
    </row>
    <row r="91" spans="1:32" s="1350" customFormat="1">
      <c r="A91" s="1738">
        <f t="shared" si="2"/>
        <v>82</v>
      </c>
      <c r="B91" s="295"/>
      <c r="C91" s="2039"/>
      <c r="D91" s="2173"/>
      <c r="E91" s="2386"/>
      <c r="F91" s="167"/>
      <c r="G91" s="167"/>
      <c r="H91" s="167"/>
      <c r="I91" s="1298"/>
      <c r="J91" s="707"/>
      <c r="K91" s="2038"/>
      <c r="L91" s="577"/>
      <c r="M91" s="577"/>
      <c r="N91" s="1613"/>
      <c r="O91" s="2674"/>
      <c r="P91" s="1613"/>
      <c r="Q91" s="2774"/>
      <c r="R91" s="2774"/>
      <c r="S91" s="2775"/>
      <c r="T91" s="2775"/>
      <c r="U91" s="2775"/>
      <c r="V91" s="2775"/>
      <c r="W91" s="2774"/>
      <c r="X91" s="2775"/>
      <c r="Y91" s="2775"/>
      <c r="Z91" s="2776"/>
      <c r="AA91" s="2775"/>
      <c r="AB91" s="2777"/>
      <c r="AC91" s="2778"/>
      <c r="AD91" s="2779"/>
      <c r="AF91" s="1393"/>
    </row>
    <row r="92" spans="1:32" s="1350" customFormat="1">
      <c r="A92" s="1738">
        <f t="shared" si="2"/>
        <v>83</v>
      </c>
      <c r="B92" s="295"/>
      <c r="C92" s="2039"/>
      <c r="D92" s="2173"/>
      <c r="E92" s="2386"/>
      <c r="F92" s="167"/>
      <c r="G92" s="167"/>
      <c r="H92" s="167"/>
      <c r="I92" s="1298"/>
      <c r="J92" s="707"/>
      <c r="K92" s="2038"/>
      <c r="L92" s="577"/>
      <c r="M92" s="577"/>
      <c r="N92" s="1613"/>
      <c r="O92" s="2674"/>
      <c r="P92" s="1613"/>
      <c r="Q92" s="2774"/>
      <c r="R92" s="2774"/>
      <c r="S92" s="2775"/>
      <c r="T92" s="2775"/>
      <c r="U92" s="2775"/>
      <c r="V92" s="2775"/>
      <c r="W92" s="2774"/>
      <c r="X92" s="2775"/>
      <c r="Y92" s="2775"/>
      <c r="Z92" s="2776"/>
      <c r="AA92" s="2775"/>
      <c r="AB92" s="2777"/>
      <c r="AC92" s="2778"/>
      <c r="AD92" s="2779"/>
      <c r="AF92" s="1393"/>
    </row>
    <row r="93" spans="1:32" s="1350" customFormat="1">
      <c r="A93" s="1738">
        <f t="shared" si="2"/>
        <v>84</v>
      </c>
      <c r="B93" s="295"/>
      <c r="C93" s="2039"/>
      <c r="D93" s="2173"/>
      <c r="E93" s="2386"/>
      <c r="F93" s="167"/>
      <c r="G93" s="167"/>
      <c r="H93" s="167"/>
      <c r="I93" s="1298"/>
      <c r="J93" s="707"/>
      <c r="K93" s="2038"/>
      <c r="L93" s="577"/>
      <c r="M93" s="577"/>
      <c r="N93" s="1613"/>
      <c r="O93" s="2674"/>
      <c r="P93" s="1613"/>
      <c r="Q93" s="2774"/>
      <c r="R93" s="2774"/>
      <c r="S93" s="2775"/>
      <c r="T93" s="2775"/>
      <c r="U93" s="2775"/>
      <c r="V93" s="2775"/>
      <c r="W93" s="2774"/>
      <c r="X93" s="2775"/>
      <c r="Y93" s="2775"/>
      <c r="Z93" s="2776"/>
      <c r="AA93" s="2775"/>
      <c r="AB93" s="2777"/>
      <c r="AC93" s="2778"/>
      <c r="AD93" s="2779"/>
      <c r="AF93" s="1393"/>
    </row>
    <row r="94" spans="1:32" s="1350" customFormat="1">
      <c r="A94" s="1738">
        <f t="shared" si="2"/>
        <v>85</v>
      </c>
      <c r="B94" s="295"/>
      <c r="C94" s="2039"/>
      <c r="D94" s="2173"/>
      <c r="E94" s="2386"/>
      <c r="F94" s="167"/>
      <c r="G94" s="167"/>
      <c r="H94" s="167"/>
      <c r="I94" s="1298"/>
      <c r="J94" s="707"/>
      <c r="K94" s="2038"/>
      <c r="L94" s="577"/>
      <c r="M94" s="577"/>
      <c r="N94" s="1613"/>
      <c r="O94" s="2674"/>
      <c r="P94" s="1613"/>
      <c r="Q94" s="2774"/>
      <c r="R94" s="2774"/>
      <c r="S94" s="2775"/>
      <c r="T94" s="2775"/>
      <c r="U94" s="2775"/>
      <c r="V94" s="2775"/>
      <c r="W94" s="2774"/>
      <c r="X94" s="2775"/>
      <c r="Y94" s="2775"/>
      <c r="Z94" s="2776"/>
      <c r="AA94" s="2775"/>
      <c r="AB94" s="2777"/>
      <c r="AC94" s="2778"/>
      <c r="AD94" s="2779"/>
      <c r="AF94" s="1393"/>
    </row>
    <row r="95" spans="1:32" s="1350" customFormat="1">
      <c r="A95" s="1738">
        <f t="shared" si="2"/>
        <v>86</v>
      </c>
      <c r="B95" s="295"/>
      <c r="C95" s="2039"/>
      <c r="D95" s="2173"/>
      <c r="E95" s="2386"/>
      <c r="F95" s="167"/>
      <c r="G95" s="167"/>
      <c r="H95" s="167"/>
      <c r="I95" s="1298"/>
      <c r="J95" s="707"/>
      <c r="K95" s="2038"/>
      <c r="L95" s="577"/>
      <c r="M95" s="577"/>
      <c r="N95" s="1613"/>
      <c r="O95" s="2674"/>
      <c r="P95" s="1613"/>
      <c r="Q95" s="2774"/>
      <c r="R95" s="2774"/>
      <c r="S95" s="2775"/>
      <c r="T95" s="2775"/>
      <c r="U95" s="2775"/>
      <c r="V95" s="2775"/>
      <c r="W95" s="2774"/>
      <c r="X95" s="2775"/>
      <c r="Y95" s="2775"/>
      <c r="Z95" s="2776"/>
      <c r="AA95" s="2775"/>
      <c r="AB95" s="2777"/>
      <c r="AC95" s="2778"/>
      <c r="AD95" s="2779"/>
      <c r="AF95" s="1393"/>
    </row>
    <row r="96" spans="1:32" s="1350" customFormat="1">
      <c r="A96" s="1738">
        <f t="shared" si="2"/>
        <v>87</v>
      </c>
      <c r="B96" s="295"/>
      <c r="C96" s="2039"/>
      <c r="D96" s="2173"/>
      <c r="E96" s="2386"/>
      <c r="F96" s="167"/>
      <c r="G96" s="167"/>
      <c r="H96" s="167"/>
      <c r="I96" s="1298"/>
      <c r="J96" s="707"/>
      <c r="K96" s="2038"/>
      <c r="L96" s="577"/>
      <c r="M96" s="577"/>
      <c r="N96" s="1613"/>
      <c r="O96" s="2674"/>
      <c r="P96" s="1613"/>
      <c r="Q96" s="2774"/>
      <c r="R96" s="2774"/>
      <c r="S96" s="2775"/>
      <c r="T96" s="2775"/>
      <c r="U96" s="2775"/>
      <c r="V96" s="2775"/>
      <c r="W96" s="2774"/>
      <c r="X96" s="2775"/>
      <c r="Y96" s="2775"/>
      <c r="Z96" s="2776"/>
      <c r="AA96" s="2775"/>
      <c r="AB96" s="2777"/>
      <c r="AC96" s="2778"/>
      <c r="AD96" s="2779"/>
      <c r="AF96" s="1393"/>
    </row>
    <row r="97" spans="1:32" s="1350" customFormat="1">
      <c r="A97" s="1738">
        <f t="shared" si="2"/>
        <v>88</v>
      </c>
      <c r="B97" s="295"/>
      <c r="C97" s="2039"/>
      <c r="D97" s="2173"/>
      <c r="E97" s="2386"/>
      <c r="F97" s="167"/>
      <c r="G97" s="167"/>
      <c r="H97" s="167"/>
      <c r="I97" s="1298"/>
      <c r="J97" s="707"/>
      <c r="K97" s="2038"/>
      <c r="L97" s="577"/>
      <c r="M97" s="577"/>
      <c r="N97" s="1613"/>
      <c r="O97" s="2674"/>
      <c r="P97" s="1613"/>
      <c r="Q97" s="2774"/>
      <c r="R97" s="2774"/>
      <c r="S97" s="2775"/>
      <c r="T97" s="2775"/>
      <c r="U97" s="2775"/>
      <c r="V97" s="2775"/>
      <c r="W97" s="2774"/>
      <c r="X97" s="2775"/>
      <c r="Y97" s="2775"/>
      <c r="Z97" s="2776"/>
      <c r="AA97" s="2775"/>
      <c r="AB97" s="2777"/>
      <c r="AC97" s="2778"/>
      <c r="AD97" s="2779"/>
      <c r="AF97" s="1393"/>
    </row>
    <row r="98" spans="1:32" s="1350" customFormat="1">
      <c r="A98" s="1738">
        <f t="shared" si="2"/>
        <v>89</v>
      </c>
      <c r="B98" s="295"/>
      <c r="C98" s="2039"/>
      <c r="D98" s="2173"/>
      <c r="E98" s="2386"/>
      <c r="F98" s="167"/>
      <c r="G98" s="167"/>
      <c r="H98" s="167"/>
      <c r="I98" s="1298"/>
      <c r="J98" s="707"/>
      <c r="K98" s="2038"/>
      <c r="L98" s="577"/>
      <c r="M98" s="577"/>
      <c r="N98" s="1613"/>
      <c r="O98" s="2674"/>
      <c r="P98" s="1613"/>
      <c r="Q98" s="2774"/>
      <c r="R98" s="2774"/>
      <c r="S98" s="2775"/>
      <c r="T98" s="2775"/>
      <c r="U98" s="2775"/>
      <c r="V98" s="2775"/>
      <c r="W98" s="2774"/>
      <c r="X98" s="2775"/>
      <c r="Y98" s="2775"/>
      <c r="Z98" s="2776"/>
      <c r="AA98" s="2775"/>
      <c r="AB98" s="2777"/>
      <c r="AC98" s="2778"/>
      <c r="AD98" s="2779"/>
      <c r="AF98" s="1393"/>
    </row>
    <row r="99" spans="1:32" s="1350" customFormat="1">
      <c r="A99" s="1738">
        <f t="shared" si="2"/>
        <v>90</v>
      </c>
      <c r="B99" s="295"/>
      <c r="C99" s="2039"/>
      <c r="D99" s="2173"/>
      <c r="E99" s="2386"/>
      <c r="F99" s="167"/>
      <c r="G99" s="167"/>
      <c r="H99" s="167"/>
      <c r="I99" s="1298"/>
      <c r="J99" s="707"/>
      <c r="K99" s="2038"/>
      <c r="L99" s="577"/>
      <c r="M99" s="577"/>
      <c r="N99" s="1613"/>
      <c r="O99" s="2674"/>
      <c r="P99" s="1613"/>
      <c r="Q99" s="2774"/>
      <c r="R99" s="2774"/>
      <c r="S99" s="2775"/>
      <c r="T99" s="2775"/>
      <c r="U99" s="2775"/>
      <c r="V99" s="2775"/>
      <c r="W99" s="2774"/>
      <c r="X99" s="2775"/>
      <c r="Y99" s="2775"/>
      <c r="Z99" s="2776"/>
      <c r="AA99" s="2775"/>
      <c r="AB99" s="2777"/>
      <c r="AC99" s="2778"/>
      <c r="AD99" s="2779"/>
      <c r="AF99" s="1393"/>
    </row>
    <row r="100" spans="1:32" s="1350" customFormat="1">
      <c r="A100" s="1738">
        <f t="shared" si="2"/>
        <v>91</v>
      </c>
      <c r="B100" s="295"/>
      <c r="C100" s="2039"/>
      <c r="D100" s="2173"/>
      <c r="E100" s="2386"/>
      <c r="F100" s="167"/>
      <c r="G100" s="167"/>
      <c r="H100" s="167"/>
      <c r="I100" s="1298"/>
      <c r="J100" s="707"/>
      <c r="K100" s="2038"/>
      <c r="L100" s="577"/>
      <c r="M100" s="577"/>
      <c r="N100" s="1613"/>
      <c r="O100" s="2674"/>
      <c r="P100" s="1613"/>
      <c r="Q100" s="2774"/>
      <c r="R100" s="2774"/>
      <c r="S100" s="2775"/>
      <c r="T100" s="2775"/>
      <c r="U100" s="2775"/>
      <c r="V100" s="2775"/>
      <c r="W100" s="2774"/>
      <c r="X100" s="2775"/>
      <c r="Y100" s="2775"/>
      <c r="Z100" s="2776"/>
      <c r="AA100" s="2775"/>
      <c r="AB100" s="2777"/>
      <c r="AC100" s="2778"/>
      <c r="AD100" s="2779"/>
      <c r="AF100" s="1393"/>
    </row>
    <row r="101" spans="1:32" s="1350" customFormat="1">
      <c r="A101" s="1738">
        <f t="shared" si="2"/>
        <v>92</v>
      </c>
      <c r="B101" s="295"/>
      <c r="C101" s="2039"/>
      <c r="D101" s="2173"/>
      <c r="E101" s="2386"/>
      <c r="F101" s="167"/>
      <c r="G101" s="167"/>
      <c r="H101" s="167"/>
      <c r="I101" s="1298"/>
      <c r="J101" s="707"/>
      <c r="K101" s="2038"/>
      <c r="L101" s="577"/>
      <c r="M101" s="577"/>
      <c r="N101" s="1613"/>
      <c r="O101" s="2674"/>
      <c r="P101" s="1613"/>
      <c r="Q101" s="2774"/>
      <c r="R101" s="2774"/>
      <c r="S101" s="2775"/>
      <c r="T101" s="2775"/>
      <c r="U101" s="2775"/>
      <c r="V101" s="2775"/>
      <c r="W101" s="2774"/>
      <c r="X101" s="2775"/>
      <c r="Y101" s="2775"/>
      <c r="Z101" s="2776"/>
      <c r="AA101" s="2775"/>
      <c r="AB101" s="2777"/>
      <c r="AC101" s="2778"/>
      <c r="AD101" s="2779"/>
      <c r="AF101" s="1393"/>
    </row>
    <row r="102" spans="1:32" s="1350" customFormat="1">
      <c r="A102" s="1738">
        <f t="shared" si="2"/>
        <v>93</v>
      </c>
      <c r="B102" s="295"/>
      <c r="C102" s="2039"/>
      <c r="D102" s="2173"/>
      <c r="E102" s="2386"/>
      <c r="F102" s="167"/>
      <c r="G102" s="167"/>
      <c r="H102" s="167"/>
      <c r="I102" s="1298"/>
      <c r="J102" s="707"/>
      <c r="K102" s="2038"/>
      <c r="L102" s="577"/>
      <c r="M102" s="577"/>
      <c r="N102" s="1613"/>
      <c r="O102" s="2674"/>
      <c r="P102" s="1613"/>
      <c r="Q102" s="2774"/>
      <c r="R102" s="2774"/>
      <c r="S102" s="2775"/>
      <c r="T102" s="2775"/>
      <c r="U102" s="2775"/>
      <c r="V102" s="2775"/>
      <c r="W102" s="2774"/>
      <c r="X102" s="2775"/>
      <c r="Y102" s="2775"/>
      <c r="Z102" s="2776"/>
      <c r="AA102" s="2775"/>
      <c r="AB102" s="2777"/>
      <c r="AC102" s="2778"/>
      <c r="AD102" s="2779"/>
      <c r="AF102" s="1393"/>
    </row>
    <row r="103" spans="1:32" s="1350" customFormat="1">
      <c r="A103" s="1738">
        <f t="shared" si="2"/>
        <v>94</v>
      </c>
      <c r="B103" s="295"/>
      <c r="C103" s="2039"/>
      <c r="D103" s="2173"/>
      <c r="E103" s="2386"/>
      <c r="F103" s="167"/>
      <c r="G103" s="167"/>
      <c r="H103" s="167"/>
      <c r="I103" s="1298"/>
      <c r="J103" s="707"/>
      <c r="K103" s="2038"/>
      <c r="L103" s="577"/>
      <c r="M103" s="577"/>
      <c r="N103" s="1613"/>
      <c r="O103" s="2674"/>
      <c r="P103" s="1613"/>
      <c r="Q103" s="2774"/>
      <c r="R103" s="2774"/>
      <c r="S103" s="2775"/>
      <c r="T103" s="2775"/>
      <c r="U103" s="2775"/>
      <c r="V103" s="2775"/>
      <c r="W103" s="2774"/>
      <c r="X103" s="2775"/>
      <c r="Y103" s="2775"/>
      <c r="Z103" s="2776"/>
      <c r="AA103" s="2775"/>
      <c r="AB103" s="2777"/>
      <c r="AC103" s="2778"/>
      <c r="AD103" s="2779"/>
      <c r="AF103" s="1393"/>
    </row>
    <row r="104" spans="1:32" s="1350" customFormat="1">
      <c r="A104" s="1738">
        <f t="shared" si="2"/>
        <v>95</v>
      </c>
      <c r="B104" s="295"/>
      <c r="C104" s="2039"/>
      <c r="D104" s="2173"/>
      <c r="E104" s="2386"/>
      <c r="F104" s="167"/>
      <c r="G104" s="167"/>
      <c r="H104" s="167"/>
      <c r="I104" s="1298"/>
      <c r="J104" s="707"/>
      <c r="K104" s="2038"/>
      <c r="L104" s="577"/>
      <c r="M104" s="577"/>
      <c r="N104" s="1613"/>
      <c r="O104" s="2674"/>
      <c r="P104" s="1613"/>
      <c r="Q104" s="2774"/>
      <c r="R104" s="2774"/>
      <c r="S104" s="2775"/>
      <c r="T104" s="2775"/>
      <c r="U104" s="2775"/>
      <c r="V104" s="2775"/>
      <c r="W104" s="2774"/>
      <c r="X104" s="2775"/>
      <c r="Y104" s="2775"/>
      <c r="Z104" s="2776"/>
      <c r="AA104" s="2775"/>
      <c r="AB104" s="2777"/>
      <c r="AC104" s="2778"/>
      <c r="AD104" s="2779"/>
      <c r="AF104" s="1393"/>
    </row>
    <row r="105" spans="1:32" s="1350" customFormat="1">
      <c r="A105" s="1738">
        <f t="shared" si="2"/>
        <v>96</v>
      </c>
      <c r="B105" s="295"/>
      <c r="C105" s="2039"/>
      <c r="D105" s="2173"/>
      <c r="E105" s="2386"/>
      <c r="F105" s="167"/>
      <c r="G105" s="167"/>
      <c r="H105" s="167"/>
      <c r="I105" s="1298"/>
      <c r="J105" s="707"/>
      <c r="K105" s="2038"/>
      <c r="L105" s="577"/>
      <c r="M105" s="577"/>
      <c r="N105" s="1613"/>
      <c r="O105" s="2674"/>
      <c r="P105" s="1613"/>
      <c r="Q105" s="2774"/>
      <c r="R105" s="2774"/>
      <c r="S105" s="2775"/>
      <c r="T105" s="2775"/>
      <c r="U105" s="2775"/>
      <c r="V105" s="2775"/>
      <c r="W105" s="2774"/>
      <c r="X105" s="2775"/>
      <c r="Y105" s="2775"/>
      <c r="Z105" s="2776"/>
      <c r="AA105" s="2775"/>
      <c r="AB105" s="2777"/>
      <c r="AC105" s="2778"/>
      <c r="AD105" s="2779"/>
      <c r="AF105" s="1393"/>
    </row>
    <row r="106" spans="1:32" s="1350" customFormat="1">
      <c r="A106" s="1738">
        <f t="shared" si="2"/>
        <v>97</v>
      </c>
      <c r="B106" s="295"/>
      <c r="C106" s="2039"/>
      <c r="D106" s="2173"/>
      <c r="E106" s="2386"/>
      <c r="F106" s="167"/>
      <c r="G106" s="167"/>
      <c r="H106" s="167"/>
      <c r="I106" s="1298"/>
      <c r="J106" s="707"/>
      <c r="K106" s="2038"/>
      <c r="L106" s="577"/>
      <c r="M106" s="577"/>
      <c r="N106" s="1613"/>
      <c r="O106" s="2674"/>
      <c r="P106" s="1613"/>
      <c r="Q106" s="2774"/>
      <c r="R106" s="2774"/>
      <c r="S106" s="2775"/>
      <c r="T106" s="2775"/>
      <c r="U106" s="2775"/>
      <c r="V106" s="2775"/>
      <c r="W106" s="2774"/>
      <c r="X106" s="2775"/>
      <c r="Y106" s="2775"/>
      <c r="Z106" s="2776"/>
      <c r="AA106" s="2775"/>
      <c r="AB106" s="2777"/>
      <c r="AC106" s="2778"/>
      <c r="AD106" s="2779"/>
      <c r="AF106" s="1393"/>
    </row>
    <row r="107" spans="1:32" s="1350" customFormat="1">
      <c r="A107" s="1738">
        <f t="shared" si="2"/>
        <v>98</v>
      </c>
      <c r="B107" s="295"/>
      <c r="C107" s="2039"/>
      <c r="D107" s="2173"/>
      <c r="E107" s="2386"/>
      <c r="F107" s="167"/>
      <c r="G107" s="167"/>
      <c r="H107" s="167"/>
      <c r="I107" s="1298"/>
      <c r="J107" s="707"/>
      <c r="K107" s="2038"/>
      <c r="L107" s="577"/>
      <c r="M107" s="577"/>
      <c r="N107" s="1613"/>
      <c r="O107" s="2674"/>
      <c r="P107" s="1613"/>
      <c r="Q107" s="2774"/>
      <c r="R107" s="2774"/>
      <c r="S107" s="2775"/>
      <c r="T107" s="2775"/>
      <c r="U107" s="2775"/>
      <c r="V107" s="2775"/>
      <c r="W107" s="2774"/>
      <c r="X107" s="2775"/>
      <c r="Y107" s="2775"/>
      <c r="Z107" s="2776"/>
      <c r="AA107" s="2775"/>
      <c r="AB107" s="2777"/>
      <c r="AC107" s="2778"/>
      <c r="AD107" s="2779"/>
      <c r="AF107" s="1393"/>
    </row>
    <row r="108" spans="1:32" s="1350" customFormat="1">
      <c r="A108" s="1738">
        <f t="shared" si="2"/>
        <v>99</v>
      </c>
      <c r="B108" s="295"/>
      <c r="C108" s="2039"/>
      <c r="D108" s="2173"/>
      <c r="E108" s="2386"/>
      <c r="F108" s="167"/>
      <c r="G108" s="167"/>
      <c r="H108" s="167"/>
      <c r="I108" s="1298"/>
      <c r="J108" s="707"/>
      <c r="K108" s="2038"/>
      <c r="L108" s="577"/>
      <c r="M108" s="577"/>
      <c r="N108" s="1613"/>
      <c r="O108" s="2674"/>
      <c r="P108" s="1613"/>
      <c r="Q108" s="2774"/>
      <c r="R108" s="2774"/>
      <c r="S108" s="2775"/>
      <c r="T108" s="2775"/>
      <c r="U108" s="2775"/>
      <c r="V108" s="2775"/>
      <c r="W108" s="2774"/>
      <c r="X108" s="2775"/>
      <c r="Y108" s="2775"/>
      <c r="Z108" s="2776"/>
      <c r="AA108" s="2775"/>
      <c r="AB108" s="2777"/>
      <c r="AC108" s="2778"/>
      <c r="AD108" s="2779"/>
      <c r="AF108" s="1393"/>
    </row>
    <row r="109" spans="1:32" s="1350" customFormat="1">
      <c r="A109" s="1738">
        <f t="shared" si="2"/>
        <v>100</v>
      </c>
      <c r="B109" s="295"/>
      <c r="C109" s="2039"/>
      <c r="D109" s="2173"/>
      <c r="E109" s="2386"/>
      <c r="F109" s="167"/>
      <c r="G109" s="167"/>
      <c r="H109" s="167"/>
      <c r="I109" s="1298"/>
      <c r="J109" s="707"/>
      <c r="K109" s="2038"/>
      <c r="L109" s="577"/>
      <c r="M109" s="577"/>
      <c r="N109" s="1613"/>
      <c r="O109" s="2674"/>
      <c r="P109" s="1613"/>
      <c r="Q109" s="2774"/>
      <c r="R109" s="2774"/>
      <c r="S109" s="2775"/>
      <c r="T109" s="2775"/>
      <c r="U109" s="2775"/>
      <c r="V109" s="2775"/>
      <c r="W109" s="2774"/>
      <c r="X109" s="2775"/>
      <c r="Y109" s="2775"/>
      <c r="Z109" s="2776"/>
      <c r="AA109" s="2775"/>
      <c r="AB109" s="2777"/>
      <c r="AC109" s="2778"/>
      <c r="AD109" s="2779"/>
      <c r="AF109" s="1393"/>
    </row>
    <row r="110" spans="1:32" s="1350" customFormat="1">
      <c r="A110" s="1738">
        <f t="shared" si="2"/>
        <v>101</v>
      </c>
      <c r="B110" s="295"/>
      <c r="C110" s="2039"/>
      <c r="D110" s="2173"/>
      <c r="E110" s="2386"/>
      <c r="F110" s="167"/>
      <c r="G110" s="167"/>
      <c r="H110" s="167"/>
      <c r="I110" s="1298"/>
      <c r="J110" s="707"/>
      <c r="K110" s="2038"/>
      <c r="L110" s="577"/>
      <c r="M110" s="577"/>
      <c r="N110" s="1613"/>
      <c r="O110" s="2674"/>
      <c r="P110" s="1613"/>
      <c r="Q110" s="2774"/>
      <c r="R110" s="2774"/>
      <c r="S110" s="2775"/>
      <c r="T110" s="2775"/>
      <c r="U110" s="2775"/>
      <c r="V110" s="2775"/>
      <c r="W110" s="2774"/>
      <c r="X110" s="2775"/>
      <c r="Y110" s="2775"/>
      <c r="Z110" s="2776"/>
      <c r="AA110" s="2775"/>
      <c r="AB110" s="2777"/>
      <c r="AC110" s="2778"/>
      <c r="AD110" s="2779"/>
      <c r="AF110" s="1393"/>
    </row>
    <row r="111" spans="1:32" s="1350" customFormat="1">
      <c r="A111" s="1738">
        <f t="shared" si="2"/>
        <v>102</v>
      </c>
      <c r="B111" s="295"/>
      <c r="C111" s="2039"/>
      <c r="D111" s="2173"/>
      <c r="E111" s="2386"/>
      <c r="F111" s="167"/>
      <c r="G111" s="167"/>
      <c r="H111" s="167"/>
      <c r="I111" s="1298"/>
      <c r="J111" s="707"/>
      <c r="K111" s="2038"/>
      <c r="L111" s="577"/>
      <c r="M111" s="577"/>
      <c r="N111" s="1613"/>
      <c r="O111" s="2674"/>
      <c r="P111" s="1613"/>
      <c r="Q111" s="2774"/>
      <c r="R111" s="2774"/>
      <c r="S111" s="2775"/>
      <c r="T111" s="2775"/>
      <c r="U111" s="2775"/>
      <c r="V111" s="2775"/>
      <c r="W111" s="2774"/>
      <c r="X111" s="2775"/>
      <c r="Y111" s="2775"/>
      <c r="Z111" s="2776"/>
      <c r="AA111" s="2775"/>
      <c r="AB111" s="2777"/>
      <c r="AC111" s="2778"/>
      <c r="AD111" s="2779"/>
      <c r="AF111" s="1393"/>
    </row>
    <row r="112" spans="1:32" s="1350" customFormat="1">
      <c r="A112" s="1738">
        <f t="shared" si="2"/>
        <v>103</v>
      </c>
      <c r="B112" s="295"/>
      <c r="C112" s="2039"/>
      <c r="D112" s="2173"/>
      <c r="E112" s="2386"/>
      <c r="F112" s="167"/>
      <c r="G112" s="167"/>
      <c r="H112" s="167"/>
      <c r="I112" s="1298"/>
      <c r="J112" s="707"/>
      <c r="K112" s="2038"/>
      <c r="L112" s="577"/>
      <c r="M112" s="577"/>
      <c r="N112" s="1613"/>
      <c r="O112" s="2674"/>
      <c r="P112" s="1613"/>
      <c r="Q112" s="2774"/>
      <c r="R112" s="2774"/>
      <c r="S112" s="2775"/>
      <c r="T112" s="2775"/>
      <c r="U112" s="2775"/>
      <c r="V112" s="2775"/>
      <c r="W112" s="2774"/>
      <c r="X112" s="2775"/>
      <c r="Y112" s="2775"/>
      <c r="Z112" s="2776"/>
      <c r="AA112" s="2775"/>
      <c r="AB112" s="2777"/>
      <c r="AC112" s="2778"/>
      <c r="AD112" s="2779"/>
      <c r="AF112" s="1393"/>
    </row>
    <row r="113" spans="1:32" s="1350" customFormat="1">
      <c r="A113" s="1738">
        <f t="shared" si="2"/>
        <v>104</v>
      </c>
      <c r="B113" s="295"/>
      <c r="C113" s="2039"/>
      <c r="D113" s="2173"/>
      <c r="E113" s="2386"/>
      <c r="F113" s="167"/>
      <c r="G113" s="167"/>
      <c r="H113" s="167"/>
      <c r="I113" s="1298"/>
      <c r="J113" s="707"/>
      <c r="K113" s="2038"/>
      <c r="L113" s="577"/>
      <c r="M113" s="577"/>
      <c r="N113" s="1613"/>
      <c r="O113" s="2674"/>
      <c r="P113" s="1613"/>
      <c r="Q113" s="2774"/>
      <c r="R113" s="2774"/>
      <c r="S113" s="2775"/>
      <c r="T113" s="2775"/>
      <c r="U113" s="2775"/>
      <c r="V113" s="2775"/>
      <c r="W113" s="2774"/>
      <c r="X113" s="2775"/>
      <c r="Y113" s="2775"/>
      <c r="Z113" s="2776"/>
      <c r="AA113" s="2775"/>
      <c r="AB113" s="2777"/>
      <c r="AC113" s="2778"/>
      <c r="AD113" s="2779"/>
      <c r="AF113" s="1393"/>
    </row>
    <row r="114" spans="1:32" s="1350" customFormat="1">
      <c r="A114" s="1738">
        <f t="shared" si="2"/>
        <v>105</v>
      </c>
      <c r="B114" s="295"/>
      <c r="C114" s="2039"/>
      <c r="D114" s="2173"/>
      <c r="E114" s="2386"/>
      <c r="F114" s="167"/>
      <c r="G114" s="167"/>
      <c r="H114" s="167"/>
      <c r="I114" s="1298"/>
      <c r="J114" s="707"/>
      <c r="K114" s="2038"/>
      <c r="L114" s="577"/>
      <c r="M114" s="577"/>
      <c r="N114" s="1613"/>
      <c r="O114" s="2674"/>
      <c r="P114" s="1613"/>
      <c r="Q114" s="2774"/>
      <c r="R114" s="2774"/>
      <c r="S114" s="2775"/>
      <c r="T114" s="2775"/>
      <c r="U114" s="2775"/>
      <c r="V114" s="2775"/>
      <c r="W114" s="2774"/>
      <c r="X114" s="2775"/>
      <c r="Y114" s="2775"/>
      <c r="Z114" s="2776"/>
      <c r="AA114" s="2775"/>
      <c r="AB114" s="2777"/>
      <c r="AC114" s="2778"/>
      <c r="AD114" s="2779"/>
      <c r="AF114" s="1393"/>
    </row>
    <row r="115" spans="1:32" s="1350" customFormat="1">
      <c r="A115" s="1738">
        <f t="shared" si="2"/>
        <v>106</v>
      </c>
      <c r="B115" s="295"/>
      <c r="C115" s="2039"/>
      <c r="D115" s="2173"/>
      <c r="E115" s="2386"/>
      <c r="F115" s="167"/>
      <c r="G115" s="167"/>
      <c r="H115" s="167"/>
      <c r="I115" s="1298"/>
      <c r="J115" s="707"/>
      <c r="K115" s="2038"/>
      <c r="L115" s="577"/>
      <c r="M115" s="577"/>
      <c r="N115" s="1613"/>
      <c r="O115" s="2674"/>
      <c r="P115" s="1613"/>
      <c r="Q115" s="2774"/>
      <c r="R115" s="2774"/>
      <c r="S115" s="2775"/>
      <c r="T115" s="2775"/>
      <c r="U115" s="2775"/>
      <c r="V115" s="2775"/>
      <c r="W115" s="2774"/>
      <c r="X115" s="2775"/>
      <c r="Y115" s="2775"/>
      <c r="Z115" s="2776"/>
      <c r="AA115" s="2775"/>
      <c r="AB115" s="2777"/>
      <c r="AC115" s="2778"/>
      <c r="AD115" s="2779"/>
      <c r="AF115" s="1393"/>
    </row>
    <row r="116" spans="1:32" s="1350" customFormat="1">
      <c r="A116" s="1738">
        <f t="shared" si="2"/>
        <v>107</v>
      </c>
      <c r="B116" s="295"/>
      <c r="C116" s="2039"/>
      <c r="D116" s="2173"/>
      <c r="E116" s="2386"/>
      <c r="F116" s="167"/>
      <c r="G116" s="167"/>
      <c r="H116" s="167"/>
      <c r="I116" s="1298"/>
      <c r="J116" s="707"/>
      <c r="K116" s="2038"/>
      <c r="L116" s="577"/>
      <c r="M116" s="577"/>
      <c r="N116" s="1613"/>
      <c r="O116" s="2674"/>
      <c r="P116" s="1613"/>
      <c r="Q116" s="2774"/>
      <c r="R116" s="2774"/>
      <c r="S116" s="2775"/>
      <c r="T116" s="2775"/>
      <c r="U116" s="2775"/>
      <c r="V116" s="2775"/>
      <c r="W116" s="2774"/>
      <c r="X116" s="2775"/>
      <c r="Y116" s="2775"/>
      <c r="Z116" s="2776"/>
      <c r="AA116" s="2775"/>
      <c r="AB116" s="2777"/>
      <c r="AC116" s="2778"/>
      <c r="AD116" s="2779"/>
      <c r="AF116" s="1393"/>
    </row>
    <row r="117" spans="1:32" s="1350" customFormat="1">
      <c r="A117" s="1738">
        <f t="shared" si="2"/>
        <v>108</v>
      </c>
      <c r="B117" s="295"/>
      <c r="C117" s="2039"/>
      <c r="D117" s="2173"/>
      <c r="E117" s="2386"/>
      <c r="F117" s="167"/>
      <c r="G117" s="167"/>
      <c r="H117" s="167"/>
      <c r="I117" s="1298"/>
      <c r="J117" s="707"/>
      <c r="K117" s="2038"/>
      <c r="L117" s="577"/>
      <c r="M117" s="577"/>
      <c r="N117" s="1613"/>
      <c r="O117" s="2674"/>
      <c r="P117" s="1613"/>
      <c r="Q117" s="2774"/>
      <c r="R117" s="2774"/>
      <c r="S117" s="2775"/>
      <c r="T117" s="2775"/>
      <c r="U117" s="2775"/>
      <c r="V117" s="2775"/>
      <c r="W117" s="2774"/>
      <c r="X117" s="2775"/>
      <c r="Y117" s="2775"/>
      <c r="Z117" s="2776"/>
      <c r="AA117" s="2775"/>
      <c r="AB117" s="2777"/>
      <c r="AC117" s="2778"/>
      <c r="AD117" s="2779"/>
      <c r="AF117" s="1393"/>
    </row>
    <row r="118" spans="1:32" s="1350" customFormat="1">
      <c r="A118" s="1738">
        <f t="shared" si="2"/>
        <v>109</v>
      </c>
      <c r="B118" s="2035"/>
      <c r="C118" s="2039"/>
      <c r="D118" s="2173"/>
      <c r="E118" s="2386"/>
      <c r="F118" s="1745"/>
      <c r="G118" s="1745"/>
      <c r="H118" s="1745"/>
      <c r="I118" s="2864"/>
      <c r="J118" s="707"/>
      <c r="K118" s="2038"/>
      <c r="L118" s="577"/>
      <c r="M118" s="577"/>
      <c r="N118" s="1613"/>
      <c r="O118" s="2674"/>
      <c r="P118" s="1613"/>
      <c r="Q118" s="2774"/>
      <c r="R118" s="2774"/>
      <c r="S118" s="2775"/>
      <c r="T118" s="2775"/>
      <c r="U118" s="2775"/>
      <c r="V118" s="2775"/>
      <c r="W118" s="2774"/>
      <c r="X118" s="2775"/>
      <c r="Y118" s="2775"/>
      <c r="Z118" s="2776"/>
      <c r="AA118" s="2775"/>
      <c r="AB118" s="2777"/>
      <c r="AC118" s="2778"/>
      <c r="AD118" s="2779"/>
      <c r="AF118" s="1393"/>
    </row>
    <row r="119" spans="1:32" s="1350" customFormat="1">
      <c r="A119" s="1"/>
      <c r="B119" s="6"/>
      <c r="C119" s="4"/>
      <c r="D119" s="4"/>
      <c r="E119" s="4"/>
      <c r="F119" s="6"/>
      <c r="G119" s="6"/>
      <c r="H119" s="6"/>
      <c r="I119" s="6"/>
      <c r="J119" s="5"/>
      <c r="K119" s="7"/>
      <c r="L119" s="5"/>
      <c r="M119" s="5"/>
      <c r="N119" s="6"/>
      <c r="O119" s="1"/>
      <c r="P119" s="6"/>
      <c r="Q119" s="1878"/>
      <c r="R119" s="1878"/>
      <c r="S119" s="1877"/>
      <c r="T119" s="1877"/>
      <c r="U119" s="1877"/>
      <c r="V119" s="1877"/>
      <c r="W119" s="1878"/>
      <c r="X119" s="1877"/>
      <c r="Y119" s="1877"/>
      <c r="Z119" s="1911"/>
      <c r="AA119" s="1877"/>
      <c r="AB119" s="1912"/>
      <c r="AC119" s="1881"/>
      <c r="AD119" s="1913"/>
      <c r="AF119" s="1393"/>
    </row>
    <row r="120" spans="1:32" s="1350" customFormat="1">
      <c r="A120" s="1"/>
      <c r="B120" s="6"/>
      <c r="C120" s="4"/>
      <c r="D120" s="4"/>
      <c r="E120" s="4"/>
      <c r="F120" s="6"/>
      <c r="G120" s="6"/>
      <c r="H120" s="6"/>
      <c r="I120" s="6"/>
      <c r="J120" s="5"/>
      <c r="K120" s="7"/>
      <c r="L120" s="5"/>
      <c r="M120" s="5"/>
      <c r="N120" s="6"/>
      <c r="O120" s="1"/>
      <c r="P120" s="6"/>
      <c r="Q120" s="1878"/>
      <c r="R120" s="1878"/>
      <c r="S120" s="1877"/>
      <c r="T120" s="1877"/>
      <c r="U120" s="1877"/>
      <c r="V120" s="1877"/>
      <c r="W120" s="1878"/>
      <c r="X120" s="1877"/>
      <c r="Y120" s="1877"/>
      <c r="Z120" s="1911"/>
      <c r="AA120" s="1877"/>
      <c r="AB120" s="1912"/>
      <c r="AC120" s="1881"/>
      <c r="AD120" s="1913"/>
      <c r="AF120" s="1393"/>
    </row>
    <row r="121" spans="1:32" s="1350" customFormat="1">
      <c r="A121" s="1"/>
      <c r="B121" s="6"/>
      <c r="C121" s="4"/>
      <c r="D121" s="4"/>
      <c r="E121" s="4"/>
      <c r="F121" s="6"/>
      <c r="G121" s="6"/>
      <c r="H121" s="6"/>
      <c r="I121" s="6"/>
      <c r="J121" s="5"/>
      <c r="K121" s="7"/>
      <c r="L121" s="5"/>
      <c r="M121" s="5"/>
      <c r="N121" s="6"/>
      <c r="O121" s="1"/>
      <c r="P121" s="6"/>
      <c r="Q121" s="1878"/>
      <c r="R121" s="1878"/>
      <c r="S121" s="1877"/>
      <c r="T121" s="1877"/>
      <c r="U121" s="1877"/>
      <c r="V121" s="1877"/>
      <c r="W121" s="1878"/>
      <c r="X121" s="1877"/>
      <c r="Y121" s="1877"/>
      <c r="Z121" s="1911"/>
      <c r="AA121" s="1877"/>
      <c r="AB121" s="1912"/>
      <c r="AC121" s="1881"/>
      <c r="AD121" s="1913"/>
      <c r="AF121" s="1393"/>
    </row>
    <row r="122" spans="1:32" s="1350" customFormat="1">
      <c r="A122" s="1"/>
      <c r="B122" s="6"/>
      <c r="C122" s="4"/>
      <c r="D122" s="4"/>
      <c r="E122" s="4"/>
      <c r="F122" s="6"/>
      <c r="G122" s="6"/>
      <c r="H122" s="6"/>
      <c r="I122" s="6"/>
      <c r="J122" s="5"/>
      <c r="K122" s="7"/>
      <c r="L122" s="5"/>
      <c r="M122" s="5"/>
      <c r="N122" s="6"/>
      <c r="O122" s="1"/>
      <c r="P122" s="6"/>
      <c r="Q122" s="1878"/>
      <c r="R122" s="1878"/>
      <c r="S122" s="1877"/>
      <c r="T122" s="1877"/>
      <c r="U122" s="1877"/>
      <c r="V122" s="1877"/>
      <c r="W122" s="1878"/>
      <c r="X122" s="1877"/>
      <c r="Y122" s="1877"/>
      <c r="Z122" s="1911"/>
      <c r="AA122" s="1877"/>
      <c r="AB122" s="1912"/>
      <c r="AC122" s="1881"/>
      <c r="AD122" s="1913"/>
      <c r="AF122" s="1393"/>
    </row>
    <row r="123" spans="1:32" s="1350" customFormat="1">
      <c r="A123" s="1"/>
      <c r="B123" s="6"/>
      <c r="C123" s="4"/>
      <c r="D123" s="4"/>
      <c r="E123" s="4"/>
      <c r="F123" s="6"/>
      <c r="G123" s="6"/>
      <c r="H123" s="6"/>
      <c r="I123" s="6"/>
      <c r="J123" s="5"/>
      <c r="K123" s="7"/>
      <c r="L123" s="5"/>
      <c r="M123" s="5"/>
      <c r="N123" s="6"/>
      <c r="O123" s="1"/>
      <c r="P123" s="6"/>
      <c r="Q123" s="1878"/>
      <c r="R123" s="1878"/>
      <c r="S123" s="1877"/>
      <c r="T123" s="1877"/>
      <c r="U123" s="1877"/>
      <c r="V123" s="1877"/>
      <c r="W123" s="1878"/>
      <c r="X123" s="1877"/>
      <c r="Y123" s="1877"/>
      <c r="Z123" s="1911"/>
      <c r="AA123" s="1877"/>
      <c r="AB123" s="1912"/>
      <c r="AC123" s="1881"/>
      <c r="AD123" s="1913"/>
      <c r="AF123" s="1393"/>
    </row>
    <row r="124" spans="1:32" s="1350" customFormat="1">
      <c r="A124" s="1"/>
      <c r="B124" s="6"/>
      <c r="C124" s="4"/>
      <c r="D124" s="4"/>
      <c r="E124" s="4"/>
      <c r="F124" s="6"/>
      <c r="G124" s="6"/>
      <c r="H124" s="6"/>
      <c r="I124" s="6"/>
      <c r="J124" s="5"/>
      <c r="K124" s="7"/>
      <c r="L124" s="5"/>
      <c r="M124" s="5"/>
      <c r="N124" s="6"/>
      <c r="O124" s="1"/>
      <c r="P124" s="6"/>
      <c r="Q124" s="1878"/>
      <c r="R124" s="1878"/>
      <c r="S124" s="1877"/>
      <c r="T124" s="1877"/>
      <c r="U124" s="1877"/>
      <c r="V124" s="1877"/>
      <c r="W124" s="1878"/>
      <c r="X124" s="1877"/>
      <c r="Y124" s="1877"/>
      <c r="Z124" s="1911"/>
      <c r="AA124" s="1877"/>
      <c r="AB124" s="1912"/>
      <c r="AC124" s="1881"/>
      <c r="AD124" s="1913"/>
      <c r="AF124" s="1393"/>
    </row>
    <row r="125" spans="1:32" s="1350" customFormat="1">
      <c r="A125" s="1"/>
      <c r="B125" s="6"/>
      <c r="C125" s="4"/>
      <c r="D125" s="4"/>
      <c r="E125" s="4"/>
      <c r="F125" s="6"/>
      <c r="G125" s="6"/>
      <c r="H125" s="6"/>
      <c r="I125" s="6"/>
      <c r="J125" s="5"/>
      <c r="K125" s="7"/>
      <c r="L125" s="5"/>
      <c r="M125" s="5"/>
      <c r="N125" s="6"/>
      <c r="O125" s="1"/>
      <c r="P125" s="6"/>
      <c r="Q125" s="1878"/>
      <c r="R125" s="1878"/>
      <c r="S125" s="1877"/>
      <c r="T125" s="1877"/>
      <c r="U125" s="1877"/>
      <c r="V125" s="1877"/>
      <c r="W125" s="1878"/>
      <c r="X125" s="1877"/>
      <c r="Y125" s="1877"/>
      <c r="Z125" s="1911"/>
      <c r="AA125" s="1877"/>
      <c r="AB125" s="1912"/>
      <c r="AC125" s="1881"/>
      <c r="AD125" s="1913"/>
      <c r="AF125" s="1393"/>
    </row>
    <row r="126" spans="1:32" s="1350" customFormat="1">
      <c r="A126" s="1"/>
      <c r="B126" s="6"/>
      <c r="C126" s="4"/>
      <c r="D126" s="4"/>
      <c r="E126" s="4"/>
      <c r="F126" s="6"/>
      <c r="G126" s="6"/>
      <c r="H126" s="6"/>
      <c r="I126" s="6"/>
      <c r="J126" s="5"/>
      <c r="K126" s="7"/>
      <c r="L126" s="5"/>
      <c r="M126" s="5"/>
      <c r="N126" s="6"/>
      <c r="O126" s="1"/>
      <c r="P126" s="6"/>
      <c r="Q126" s="1878"/>
      <c r="R126" s="1878"/>
      <c r="S126" s="1877"/>
      <c r="T126" s="1877"/>
      <c r="U126" s="1877"/>
      <c r="V126" s="1877"/>
      <c r="W126" s="1878"/>
      <c r="X126" s="1877"/>
      <c r="Y126" s="1877"/>
      <c r="Z126" s="1911"/>
      <c r="AA126" s="1877"/>
      <c r="AB126" s="1912"/>
      <c r="AC126" s="1881"/>
      <c r="AD126" s="1913"/>
      <c r="AF126" s="1393"/>
    </row>
    <row r="127" spans="1:32" s="1350" customFormat="1">
      <c r="A127" s="1"/>
      <c r="B127" s="6"/>
      <c r="C127" s="4"/>
      <c r="D127" s="4"/>
      <c r="E127" s="4"/>
      <c r="F127" s="6"/>
      <c r="G127" s="6"/>
      <c r="H127" s="6"/>
      <c r="I127" s="6"/>
      <c r="J127" s="5"/>
      <c r="K127" s="7"/>
      <c r="L127" s="5"/>
      <c r="M127" s="5"/>
      <c r="N127" s="6"/>
      <c r="O127" s="1"/>
      <c r="P127" s="6"/>
      <c r="Q127" s="1878"/>
      <c r="R127" s="1878"/>
      <c r="S127" s="1877"/>
      <c r="T127" s="1877"/>
      <c r="U127" s="1877"/>
      <c r="V127" s="1877"/>
      <c r="W127" s="1878"/>
      <c r="X127" s="1877"/>
      <c r="Y127" s="1877"/>
      <c r="Z127" s="1911"/>
      <c r="AA127" s="1877"/>
      <c r="AB127" s="1912"/>
      <c r="AC127" s="1881"/>
      <c r="AD127" s="1913"/>
      <c r="AF127" s="1393"/>
    </row>
    <row r="128" spans="1:32" s="1350" customFormat="1">
      <c r="A128" s="1"/>
      <c r="B128" s="6"/>
      <c r="C128" s="4"/>
      <c r="D128" s="4"/>
      <c r="E128" s="4"/>
      <c r="F128" s="6"/>
      <c r="G128" s="6"/>
      <c r="H128" s="6"/>
      <c r="I128" s="6"/>
      <c r="J128" s="5"/>
      <c r="K128" s="7"/>
      <c r="L128" s="5"/>
      <c r="M128" s="5"/>
      <c r="N128" s="6"/>
      <c r="O128" s="1"/>
      <c r="P128" s="6"/>
      <c r="Q128" s="1878"/>
      <c r="R128" s="1878"/>
      <c r="S128" s="1877"/>
      <c r="T128" s="1877"/>
      <c r="U128" s="1877"/>
      <c r="V128" s="1877"/>
      <c r="W128" s="1878"/>
      <c r="X128" s="1877"/>
      <c r="Y128" s="1877"/>
      <c r="Z128" s="1911"/>
      <c r="AA128" s="1877"/>
      <c r="AB128" s="1912"/>
      <c r="AC128" s="1881"/>
      <c r="AD128" s="1913"/>
      <c r="AF128" s="1393"/>
    </row>
    <row r="129" spans="1:32" s="1350" customFormat="1">
      <c r="A129" s="1"/>
      <c r="B129" s="6"/>
      <c r="C129" s="4"/>
      <c r="D129" s="4"/>
      <c r="E129" s="4"/>
      <c r="F129" s="6"/>
      <c r="G129" s="6"/>
      <c r="H129" s="6"/>
      <c r="I129" s="6"/>
      <c r="J129" s="5"/>
      <c r="K129" s="7"/>
      <c r="L129" s="5"/>
      <c r="M129" s="5"/>
      <c r="N129" s="6"/>
      <c r="O129" s="1"/>
      <c r="P129" s="6"/>
      <c r="Q129" s="1878"/>
      <c r="R129" s="1878"/>
      <c r="S129" s="1877"/>
      <c r="T129" s="1877"/>
      <c r="U129" s="1877"/>
      <c r="V129" s="1877"/>
      <c r="W129" s="1878"/>
      <c r="X129" s="1877"/>
      <c r="Y129" s="1877"/>
      <c r="Z129" s="1911"/>
      <c r="AA129" s="1877"/>
      <c r="AB129" s="1912"/>
      <c r="AC129" s="1881"/>
      <c r="AD129" s="1913"/>
      <c r="AF129" s="1393"/>
    </row>
    <row r="130" spans="1:32" s="1350" customFormat="1">
      <c r="A130" s="1"/>
      <c r="B130" s="6"/>
      <c r="C130" s="4"/>
      <c r="D130" s="4"/>
      <c r="E130" s="4"/>
      <c r="F130" s="6"/>
      <c r="G130" s="6"/>
      <c r="H130" s="6"/>
      <c r="I130" s="6"/>
      <c r="J130" s="5"/>
      <c r="K130" s="7"/>
      <c r="L130" s="5"/>
      <c r="M130" s="5"/>
      <c r="N130" s="6"/>
      <c r="O130" s="1"/>
      <c r="P130" s="6"/>
      <c r="Q130" s="1878"/>
      <c r="R130" s="1878"/>
      <c r="S130" s="1877"/>
      <c r="T130" s="1877"/>
      <c r="U130" s="1877"/>
      <c r="V130" s="1877"/>
      <c r="W130" s="1878"/>
      <c r="X130" s="1877"/>
      <c r="Y130" s="1877"/>
      <c r="Z130" s="1911"/>
      <c r="AA130" s="1877"/>
      <c r="AB130" s="1912"/>
      <c r="AC130" s="1881"/>
      <c r="AD130" s="1913"/>
      <c r="AF130" s="1393"/>
    </row>
    <row r="131" spans="1:32" s="1350" customFormat="1">
      <c r="A131" s="1"/>
      <c r="B131" s="6"/>
      <c r="C131" s="4"/>
      <c r="D131" s="4"/>
      <c r="E131" s="4"/>
      <c r="F131" s="6"/>
      <c r="G131" s="6"/>
      <c r="H131" s="6"/>
      <c r="I131" s="6"/>
      <c r="J131" s="5"/>
      <c r="K131" s="7"/>
      <c r="L131" s="5"/>
      <c r="M131" s="5"/>
      <c r="N131" s="6"/>
      <c r="O131" s="1"/>
      <c r="P131" s="6"/>
      <c r="Q131" s="1878"/>
      <c r="R131" s="1878"/>
      <c r="S131" s="1877"/>
      <c r="T131" s="1877"/>
      <c r="U131" s="1877"/>
      <c r="V131" s="1877"/>
      <c r="W131" s="1878"/>
      <c r="X131" s="1877"/>
      <c r="Y131" s="1877"/>
      <c r="Z131" s="1911"/>
      <c r="AA131" s="1877"/>
      <c r="AB131" s="1912"/>
      <c r="AC131" s="1881"/>
      <c r="AD131" s="1913"/>
      <c r="AF131" s="1393"/>
    </row>
    <row r="132" spans="1:32" s="1350" customFormat="1">
      <c r="A132" s="1"/>
      <c r="B132" s="6"/>
      <c r="C132" s="4"/>
      <c r="D132" s="4"/>
      <c r="E132" s="4"/>
      <c r="F132" s="6"/>
      <c r="G132" s="6"/>
      <c r="H132" s="6"/>
      <c r="I132" s="6"/>
      <c r="J132" s="5"/>
      <c r="K132" s="7"/>
      <c r="L132" s="5"/>
      <c r="M132" s="5"/>
      <c r="N132" s="6"/>
      <c r="O132" s="1"/>
      <c r="P132" s="6"/>
      <c r="Q132" s="1878"/>
      <c r="R132" s="1878"/>
      <c r="S132" s="1877"/>
      <c r="T132" s="1877"/>
      <c r="U132" s="1877"/>
      <c r="V132" s="1877"/>
      <c r="W132" s="1878"/>
      <c r="X132" s="1877"/>
      <c r="Y132" s="1877"/>
      <c r="Z132" s="1911"/>
      <c r="AA132" s="1877"/>
      <c r="AB132" s="1912"/>
      <c r="AC132" s="1881"/>
      <c r="AD132" s="1913"/>
      <c r="AF132" s="1393"/>
    </row>
    <row r="133" spans="1:32" s="1350" customFormat="1">
      <c r="A133" s="1"/>
      <c r="B133" s="6"/>
      <c r="C133" s="4"/>
      <c r="D133" s="4"/>
      <c r="E133" s="4"/>
      <c r="F133" s="6"/>
      <c r="G133" s="6"/>
      <c r="H133" s="6"/>
      <c r="I133" s="6"/>
      <c r="J133" s="5"/>
      <c r="K133" s="7"/>
      <c r="L133" s="5"/>
      <c r="M133" s="5"/>
      <c r="N133" s="6"/>
      <c r="O133" s="1"/>
      <c r="P133" s="6"/>
      <c r="Q133" s="1878"/>
      <c r="R133" s="1878"/>
      <c r="S133" s="1877"/>
      <c r="T133" s="1877"/>
      <c r="U133" s="1877"/>
      <c r="V133" s="1877"/>
      <c r="W133" s="1878"/>
      <c r="X133" s="1877"/>
      <c r="Y133" s="1877"/>
      <c r="Z133" s="1911"/>
      <c r="AA133" s="1877"/>
      <c r="AB133" s="1912"/>
      <c r="AC133" s="1881"/>
      <c r="AD133" s="1913"/>
      <c r="AF133" s="1393"/>
    </row>
    <row r="134" spans="1:32" s="1350" customFormat="1">
      <c r="A134" s="1"/>
      <c r="B134" s="6"/>
      <c r="C134" s="4"/>
      <c r="D134" s="4"/>
      <c r="E134" s="4"/>
      <c r="F134" s="6"/>
      <c r="G134" s="6"/>
      <c r="H134" s="6"/>
      <c r="I134" s="6"/>
      <c r="J134" s="5"/>
      <c r="K134" s="7"/>
      <c r="L134" s="5"/>
      <c r="M134" s="5"/>
      <c r="N134" s="6"/>
      <c r="O134" s="1"/>
      <c r="P134" s="6"/>
      <c r="Q134" s="1878"/>
      <c r="R134" s="1878"/>
      <c r="S134" s="1877"/>
      <c r="T134" s="1877"/>
      <c r="U134" s="1877"/>
      <c r="V134" s="1877"/>
      <c r="W134" s="1878"/>
      <c r="X134" s="1877"/>
      <c r="Y134" s="1877"/>
      <c r="Z134" s="1911"/>
      <c r="AA134" s="1877"/>
      <c r="AB134" s="1912"/>
      <c r="AC134" s="1881"/>
      <c r="AD134" s="1913"/>
      <c r="AF134" s="1393"/>
    </row>
    <row r="135" spans="1:32" s="1350" customFormat="1">
      <c r="A135" s="1"/>
      <c r="B135" s="6"/>
      <c r="C135" s="4"/>
      <c r="D135" s="4"/>
      <c r="E135" s="4"/>
      <c r="F135" s="6"/>
      <c r="G135" s="6"/>
      <c r="H135" s="6"/>
      <c r="I135" s="6"/>
      <c r="J135" s="5"/>
      <c r="K135" s="7"/>
      <c r="L135" s="5"/>
      <c r="M135" s="5"/>
      <c r="N135" s="6"/>
      <c r="O135" s="1"/>
      <c r="P135" s="6"/>
      <c r="Q135" s="1878"/>
      <c r="R135" s="1878"/>
      <c r="S135" s="1877"/>
      <c r="T135" s="1877"/>
      <c r="U135" s="1877"/>
      <c r="V135" s="1877"/>
      <c r="W135" s="1878"/>
      <c r="X135" s="1877"/>
      <c r="Y135" s="1877"/>
      <c r="Z135" s="1911"/>
      <c r="AA135" s="1877"/>
      <c r="AB135" s="1912"/>
      <c r="AC135" s="1881"/>
      <c r="AD135" s="1913"/>
      <c r="AF135" s="1393"/>
    </row>
    <row r="136" spans="1:32" s="1350" customFormat="1">
      <c r="A136" s="1"/>
      <c r="B136" s="6"/>
      <c r="C136" s="4"/>
      <c r="D136" s="4"/>
      <c r="E136" s="4"/>
      <c r="F136" s="6"/>
      <c r="G136" s="6"/>
      <c r="H136" s="6"/>
      <c r="I136" s="6"/>
      <c r="J136" s="5"/>
      <c r="K136" s="7"/>
      <c r="L136" s="5"/>
      <c r="M136" s="5"/>
      <c r="N136" s="6"/>
      <c r="O136" s="1"/>
      <c r="P136" s="6"/>
      <c r="Q136" s="1878"/>
      <c r="R136" s="1878"/>
      <c r="S136" s="1877"/>
      <c r="T136" s="1877"/>
      <c r="U136" s="1877"/>
      <c r="V136" s="1877"/>
      <c r="W136" s="1878"/>
      <c r="X136" s="1877"/>
      <c r="Y136" s="1877"/>
      <c r="Z136" s="1911"/>
      <c r="AA136" s="1877"/>
      <c r="AB136" s="1912"/>
      <c r="AC136" s="1881"/>
      <c r="AD136" s="1913"/>
      <c r="AF136" s="1393"/>
    </row>
    <row r="137" spans="1:32" s="1350" customFormat="1">
      <c r="A137" s="1"/>
      <c r="B137" s="6"/>
      <c r="C137" s="4"/>
      <c r="D137" s="4"/>
      <c r="E137" s="4"/>
      <c r="F137" s="6"/>
      <c r="G137" s="6"/>
      <c r="H137" s="6"/>
      <c r="I137" s="6"/>
      <c r="J137" s="5"/>
      <c r="K137" s="7"/>
      <c r="L137" s="5"/>
      <c r="M137" s="5"/>
      <c r="N137" s="6"/>
      <c r="O137" s="1"/>
      <c r="P137" s="6"/>
      <c r="Q137" s="1878"/>
      <c r="R137" s="1878"/>
      <c r="S137" s="1877"/>
      <c r="T137" s="1877"/>
      <c r="U137" s="1877"/>
      <c r="V137" s="1877"/>
      <c r="W137" s="1878"/>
      <c r="X137" s="1877"/>
      <c r="Y137" s="1877"/>
      <c r="Z137" s="1911"/>
      <c r="AA137" s="1877"/>
      <c r="AB137" s="1912"/>
      <c r="AC137" s="1881"/>
      <c r="AD137" s="1913"/>
      <c r="AF137" s="1393"/>
    </row>
    <row r="138" spans="1:32" s="1350" customFormat="1">
      <c r="A138" s="1"/>
      <c r="B138" s="6"/>
      <c r="C138" s="4"/>
      <c r="D138" s="4"/>
      <c r="E138" s="4"/>
      <c r="F138" s="6"/>
      <c r="G138" s="6"/>
      <c r="H138" s="6"/>
      <c r="I138" s="6"/>
      <c r="J138" s="5"/>
      <c r="K138" s="7"/>
      <c r="L138" s="5"/>
      <c r="M138" s="5"/>
      <c r="N138" s="6"/>
      <c r="O138" s="1"/>
      <c r="P138" s="6"/>
      <c r="Q138" s="1878"/>
      <c r="R138" s="1878"/>
      <c r="S138" s="1877"/>
      <c r="T138" s="1877"/>
      <c r="U138" s="1877"/>
      <c r="V138" s="1877"/>
      <c r="W138" s="1878"/>
      <c r="X138" s="1877"/>
      <c r="Y138" s="1877"/>
      <c r="Z138" s="1911"/>
      <c r="AA138" s="1877"/>
      <c r="AB138" s="1912"/>
      <c r="AC138" s="1881"/>
      <c r="AD138" s="1913"/>
      <c r="AF138" s="1393"/>
    </row>
    <row r="139" spans="1:32" s="1350" customFormat="1">
      <c r="A139" s="1"/>
      <c r="B139" s="6"/>
      <c r="C139" s="4"/>
      <c r="D139" s="4"/>
      <c r="E139" s="4"/>
      <c r="F139" s="6"/>
      <c r="G139" s="6"/>
      <c r="H139" s="6"/>
      <c r="I139" s="6"/>
      <c r="J139" s="5"/>
      <c r="K139" s="7"/>
      <c r="L139" s="5"/>
      <c r="M139" s="5"/>
      <c r="N139" s="6"/>
      <c r="O139" s="1"/>
      <c r="P139" s="6"/>
      <c r="Q139" s="1878"/>
      <c r="R139" s="1878"/>
      <c r="S139" s="1877"/>
      <c r="T139" s="1877"/>
      <c r="U139" s="1877"/>
      <c r="V139" s="1877"/>
      <c r="W139" s="1878"/>
      <c r="X139" s="1877"/>
      <c r="Y139" s="1877"/>
      <c r="Z139" s="1911"/>
      <c r="AA139" s="1877"/>
      <c r="AB139" s="1912"/>
      <c r="AC139" s="1881"/>
      <c r="AD139" s="1913"/>
      <c r="AF139" s="1393"/>
    </row>
    <row r="140" spans="1:32" s="1350" customFormat="1">
      <c r="A140" s="1"/>
      <c r="B140" s="6"/>
      <c r="C140" s="4"/>
      <c r="D140" s="4"/>
      <c r="E140" s="4"/>
      <c r="F140" s="6"/>
      <c r="G140" s="6"/>
      <c r="H140" s="6"/>
      <c r="I140" s="6"/>
      <c r="J140" s="5"/>
      <c r="K140" s="7"/>
      <c r="L140" s="5"/>
      <c r="M140" s="5"/>
      <c r="N140" s="6"/>
      <c r="O140" s="1"/>
      <c r="P140" s="6"/>
      <c r="Q140" s="1878"/>
      <c r="R140" s="1878"/>
      <c r="S140" s="1877"/>
      <c r="T140" s="1877"/>
      <c r="U140" s="1877"/>
      <c r="V140" s="1877"/>
      <c r="W140" s="1878"/>
      <c r="X140" s="1877"/>
      <c r="Y140" s="1877"/>
      <c r="Z140" s="1911"/>
      <c r="AA140" s="1877"/>
      <c r="AB140" s="1912"/>
      <c r="AC140" s="1881"/>
      <c r="AD140" s="1913"/>
      <c r="AF140" s="1393"/>
    </row>
    <row r="141" spans="1:32" s="1350" customFormat="1">
      <c r="A141" s="1"/>
      <c r="B141" s="6"/>
      <c r="C141" s="4"/>
      <c r="D141" s="4"/>
      <c r="E141" s="4"/>
      <c r="F141" s="6"/>
      <c r="G141" s="6"/>
      <c r="H141" s="6"/>
      <c r="I141" s="6"/>
      <c r="J141" s="5"/>
      <c r="K141" s="7"/>
      <c r="L141" s="5"/>
      <c r="M141" s="5"/>
      <c r="N141" s="6"/>
      <c r="O141" s="1"/>
      <c r="P141" s="6"/>
      <c r="Q141" s="1878"/>
      <c r="R141" s="1878"/>
      <c r="S141" s="1877"/>
      <c r="T141" s="1877"/>
      <c r="U141" s="1877"/>
      <c r="V141" s="1877"/>
      <c r="W141" s="1878"/>
      <c r="X141" s="1877"/>
      <c r="Y141" s="1877"/>
      <c r="Z141" s="1911"/>
      <c r="AA141" s="1877"/>
      <c r="AB141" s="1912"/>
      <c r="AC141" s="1881"/>
      <c r="AD141" s="1913"/>
      <c r="AF141" s="1393"/>
    </row>
    <row r="142" spans="1:32" s="1350" customFormat="1">
      <c r="A142" s="1"/>
      <c r="B142" s="6"/>
      <c r="C142" s="4"/>
      <c r="D142" s="4"/>
      <c r="E142" s="4"/>
      <c r="F142" s="6"/>
      <c r="G142" s="6"/>
      <c r="H142" s="6"/>
      <c r="I142" s="6"/>
      <c r="J142" s="5"/>
      <c r="K142" s="7"/>
      <c r="L142" s="5"/>
      <c r="M142" s="5"/>
      <c r="N142" s="6"/>
      <c r="O142" s="1"/>
      <c r="P142" s="6"/>
      <c r="Q142" s="1878"/>
      <c r="R142" s="1878"/>
      <c r="S142" s="1877"/>
      <c r="T142" s="1877"/>
      <c r="U142" s="1877"/>
      <c r="V142" s="1877"/>
      <c r="W142" s="1878"/>
      <c r="X142" s="1877"/>
      <c r="Y142" s="1877"/>
      <c r="Z142" s="1911"/>
      <c r="AA142" s="1877"/>
      <c r="AB142" s="1912"/>
      <c r="AC142" s="1881"/>
      <c r="AD142" s="1913"/>
      <c r="AF142" s="1393"/>
    </row>
    <row r="143" spans="1:32" s="1350" customFormat="1">
      <c r="A143" s="1"/>
      <c r="B143" s="6"/>
      <c r="C143" s="4"/>
      <c r="D143" s="4"/>
      <c r="E143" s="4"/>
      <c r="F143" s="6"/>
      <c r="G143" s="6"/>
      <c r="H143" s="6"/>
      <c r="I143" s="6"/>
      <c r="J143" s="5"/>
      <c r="K143" s="7"/>
      <c r="L143" s="5"/>
      <c r="M143" s="5"/>
      <c r="N143" s="6"/>
      <c r="O143" s="1"/>
      <c r="P143" s="6"/>
      <c r="Q143" s="1878"/>
      <c r="R143" s="1878"/>
      <c r="S143" s="1877"/>
      <c r="T143" s="1877"/>
      <c r="U143" s="1877"/>
      <c r="V143" s="1877"/>
      <c r="W143" s="1878"/>
      <c r="X143" s="1877"/>
      <c r="Y143" s="1877"/>
      <c r="Z143" s="1911"/>
      <c r="AA143" s="1877"/>
      <c r="AB143" s="1912"/>
      <c r="AC143" s="1881"/>
      <c r="AD143" s="1913"/>
      <c r="AF143" s="1393"/>
    </row>
    <row r="144" spans="1:32" s="1350" customFormat="1">
      <c r="A144" s="1"/>
      <c r="B144" s="6"/>
      <c r="C144" s="4"/>
      <c r="D144" s="4"/>
      <c r="E144" s="4"/>
      <c r="F144" s="6"/>
      <c r="G144" s="6"/>
      <c r="H144" s="6"/>
      <c r="I144" s="6"/>
      <c r="J144" s="5"/>
      <c r="K144" s="7"/>
      <c r="L144" s="5"/>
      <c r="M144" s="5"/>
      <c r="N144" s="6"/>
      <c r="O144" s="1"/>
      <c r="P144" s="6"/>
      <c r="Q144" s="1878"/>
      <c r="R144" s="1878"/>
      <c r="S144" s="1877"/>
      <c r="T144" s="1877"/>
      <c r="U144" s="1877"/>
      <c r="V144" s="1877"/>
      <c r="W144" s="1878"/>
      <c r="X144" s="1877"/>
      <c r="Y144" s="1877"/>
      <c r="Z144" s="1911"/>
      <c r="AA144" s="1877"/>
      <c r="AB144" s="1912"/>
      <c r="AC144" s="1881"/>
      <c r="AD144" s="1913"/>
      <c r="AF144" s="1393"/>
    </row>
    <row r="145" spans="1:32" s="1350" customFormat="1">
      <c r="A145" s="1"/>
      <c r="B145" s="6"/>
      <c r="C145" s="4"/>
      <c r="D145" s="4"/>
      <c r="E145" s="4"/>
      <c r="F145" s="6"/>
      <c r="G145" s="6"/>
      <c r="H145" s="6"/>
      <c r="I145" s="6"/>
      <c r="J145" s="5"/>
      <c r="K145" s="7"/>
      <c r="L145" s="5"/>
      <c r="M145" s="5"/>
      <c r="N145" s="6"/>
      <c r="O145" s="1"/>
      <c r="P145" s="6"/>
      <c r="Q145" s="1878"/>
      <c r="R145" s="1878"/>
      <c r="S145" s="1877"/>
      <c r="T145" s="1877"/>
      <c r="U145" s="1877"/>
      <c r="V145" s="1877"/>
      <c r="W145" s="1878"/>
      <c r="X145" s="1877"/>
      <c r="Y145" s="1877"/>
      <c r="Z145" s="1911"/>
      <c r="AA145" s="1877"/>
      <c r="AB145" s="1912"/>
      <c r="AC145" s="1881"/>
      <c r="AD145" s="1913"/>
      <c r="AF145" s="1393"/>
    </row>
    <row r="146" spans="1:32" s="1350" customFormat="1">
      <c r="A146" s="1"/>
      <c r="B146" s="6"/>
      <c r="C146" s="4"/>
      <c r="D146" s="4"/>
      <c r="E146" s="4"/>
      <c r="F146" s="6"/>
      <c r="G146" s="6"/>
      <c r="H146" s="6"/>
      <c r="I146" s="6"/>
      <c r="J146" s="5"/>
      <c r="K146" s="7"/>
      <c r="L146" s="5"/>
      <c r="M146" s="5"/>
      <c r="N146" s="6"/>
      <c r="O146" s="1"/>
      <c r="P146" s="6"/>
      <c r="Q146" s="1878"/>
      <c r="R146" s="1878"/>
      <c r="S146" s="1877"/>
      <c r="T146" s="1877"/>
      <c r="U146" s="1877"/>
      <c r="V146" s="1877"/>
      <c r="W146" s="1878"/>
      <c r="X146" s="1877"/>
      <c r="Y146" s="1877"/>
      <c r="Z146" s="1911"/>
      <c r="AA146" s="1877"/>
      <c r="AB146" s="1912"/>
      <c r="AC146" s="1881"/>
      <c r="AD146" s="1913"/>
      <c r="AF146" s="1393"/>
    </row>
    <row r="147" spans="1:32" s="1350" customFormat="1">
      <c r="A147" s="1"/>
      <c r="B147" s="6"/>
      <c r="C147" s="4"/>
      <c r="D147" s="4"/>
      <c r="E147" s="4"/>
      <c r="F147" s="6"/>
      <c r="G147" s="6"/>
      <c r="H147" s="6"/>
      <c r="I147" s="6"/>
      <c r="J147" s="5"/>
      <c r="K147" s="7"/>
      <c r="L147" s="5"/>
      <c r="M147" s="5"/>
      <c r="N147" s="6"/>
      <c r="O147" s="1"/>
      <c r="P147" s="6"/>
      <c r="Q147" s="1878"/>
      <c r="R147" s="1878"/>
      <c r="S147" s="1877"/>
      <c r="T147" s="1877"/>
      <c r="U147" s="1877"/>
      <c r="V147" s="1877"/>
      <c r="W147" s="1878"/>
      <c r="X147" s="1877"/>
      <c r="Y147" s="1877"/>
      <c r="Z147" s="1911"/>
      <c r="AA147" s="1877"/>
      <c r="AB147" s="1912"/>
      <c r="AC147" s="1881"/>
      <c r="AD147" s="1913"/>
      <c r="AF147" s="1393"/>
    </row>
    <row r="148" spans="1:32" s="1350" customFormat="1">
      <c r="A148" s="1"/>
      <c r="B148" s="6"/>
      <c r="C148" s="4"/>
      <c r="D148" s="4"/>
      <c r="E148" s="4"/>
      <c r="F148" s="6"/>
      <c r="G148" s="6"/>
      <c r="H148" s="6"/>
      <c r="I148" s="6"/>
      <c r="J148" s="5"/>
      <c r="K148" s="7"/>
      <c r="L148" s="5"/>
      <c r="M148" s="5"/>
      <c r="N148" s="6"/>
      <c r="O148" s="1"/>
      <c r="P148" s="6"/>
      <c r="Q148" s="1878"/>
      <c r="R148" s="1878"/>
      <c r="S148" s="1877"/>
      <c r="T148" s="1877"/>
      <c r="U148" s="1877"/>
      <c r="V148" s="1877"/>
      <c r="W148" s="1878"/>
      <c r="X148" s="1877"/>
      <c r="Y148" s="1877"/>
      <c r="Z148" s="1911"/>
      <c r="AA148" s="1877"/>
      <c r="AB148" s="1912"/>
      <c r="AC148" s="1881"/>
      <c r="AD148" s="1913"/>
      <c r="AF148" s="1393"/>
    </row>
    <row r="149" spans="1:32" s="1350" customFormat="1">
      <c r="A149" s="1"/>
      <c r="B149" s="6"/>
      <c r="C149" s="4"/>
      <c r="D149" s="4"/>
      <c r="E149" s="4"/>
      <c r="F149" s="6"/>
      <c r="G149" s="6"/>
      <c r="H149" s="6"/>
      <c r="I149" s="6"/>
      <c r="J149" s="5"/>
      <c r="K149" s="7"/>
      <c r="L149" s="5"/>
      <c r="M149" s="5"/>
      <c r="N149" s="6"/>
      <c r="O149" s="1"/>
      <c r="P149" s="6"/>
      <c r="Q149" s="1878"/>
      <c r="R149" s="1878"/>
      <c r="S149" s="1877"/>
      <c r="T149" s="1877"/>
      <c r="U149" s="1877"/>
      <c r="V149" s="1877"/>
      <c r="W149" s="1878"/>
      <c r="X149" s="1877"/>
      <c r="Y149" s="1877"/>
      <c r="Z149" s="1911"/>
      <c r="AA149" s="1877"/>
      <c r="AB149" s="1912"/>
      <c r="AC149" s="1881"/>
      <c r="AD149" s="1913"/>
      <c r="AF149" s="1393"/>
    </row>
    <row r="150" spans="1:32" s="1350" customFormat="1">
      <c r="A150" s="1"/>
      <c r="B150" s="6"/>
      <c r="C150" s="4"/>
      <c r="D150" s="4"/>
      <c r="E150" s="4"/>
      <c r="F150" s="6"/>
      <c r="G150" s="6"/>
      <c r="H150" s="6"/>
      <c r="I150" s="6"/>
      <c r="J150" s="5"/>
      <c r="K150" s="7"/>
      <c r="L150" s="5"/>
      <c r="M150" s="5"/>
      <c r="N150" s="6"/>
      <c r="O150" s="1"/>
      <c r="P150" s="6"/>
      <c r="Q150" s="1878"/>
      <c r="R150" s="1878"/>
      <c r="S150" s="1877"/>
      <c r="T150" s="1877"/>
      <c r="U150" s="1877"/>
      <c r="V150" s="1877"/>
      <c r="W150" s="1878"/>
      <c r="X150" s="1877"/>
      <c r="Y150" s="1877"/>
      <c r="Z150" s="1911"/>
      <c r="AA150" s="1877"/>
      <c r="AB150" s="1912"/>
      <c r="AC150" s="1881"/>
      <c r="AD150" s="1913"/>
      <c r="AF150" s="1393"/>
    </row>
    <row r="151" spans="1:32" s="1350" customFormat="1">
      <c r="A151" s="1"/>
      <c r="B151" s="6"/>
      <c r="C151" s="4"/>
      <c r="D151" s="4"/>
      <c r="E151" s="4"/>
      <c r="F151" s="6"/>
      <c r="G151" s="6"/>
      <c r="H151" s="6"/>
      <c r="I151" s="6"/>
      <c r="J151" s="5"/>
      <c r="K151" s="7"/>
      <c r="L151" s="5"/>
      <c r="M151" s="5"/>
      <c r="N151" s="6"/>
      <c r="O151" s="1"/>
      <c r="P151" s="6"/>
      <c r="Q151" s="1878"/>
      <c r="R151" s="1878"/>
      <c r="S151" s="1877"/>
      <c r="T151" s="1877"/>
      <c r="U151" s="1877"/>
      <c r="V151" s="1877"/>
      <c r="W151" s="1878"/>
      <c r="X151" s="1877"/>
      <c r="Y151" s="1877"/>
      <c r="Z151" s="1911"/>
      <c r="AA151" s="1877"/>
      <c r="AB151" s="1912"/>
      <c r="AC151" s="1881"/>
      <c r="AD151" s="1913"/>
      <c r="AF151" s="1393"/>
    </row>
    <row r="152" spans="1:32" s="1350" customFormat="1">
      <c r="A152" s="1"/>
      <c r="B152" s="6"/>
      <c r="C152" s="4"/>
      <c r="D152" s="4"/>
      <c r="E152" s="4"/>
      <c r="F152" s="6"/>
      <c r="G152" s="6"/>
      <c r="H152" s="6"/>
      <c r="I152" s="6"/>
      <c r="J152" s="5"/>
      <c r="K152" s="7"/>
      <c r="L152" s="5"/>
      <c r="M152" s="5"/>
      <c r="N152" s="6"/>
      <c r="O152" s="1"/>
      <c r="P152" s="6"/>
      <c r="Q152" s="1878"/>
      <c r="R152" s="1878"/>
      <c r="S152" s="1877"/>
      <c r="T152" s="1877"/>
      <c r="U152" s="1877"/>
      <c r="V152" s="1877"/>
      <c r="W152" s="1878"/>
      <c r="X152" s="1877"/>
      <c r="Y152" s="1877"/>
      <c r="Z152" s="1911"/>
      <c r="AA152" s="1877"/>
      <c r="AB152" s="1912"/>
      <c r="AC152" s="1881"/>
      <c r="AD152" s="1913"/>
      <c r="AF152" s="1393"/>
    </row>
    <row r="153" spans="1:32" s="1350" customFormat="1">
      <c r="A153" s="1"/>
      <c r="B153" s="6"/>
      <c r="C153" s="4"/>
      <c r="D153" s="4"/>
      <c r="E153" s="4"/>
      <c r="F153" s="6"/>
      <c r="G153" s="6"/>
      <c r="H153" s="6"/>
      <c r="I153" s="6"/>
      <c r="J153" s="5"/>
      <c r="K153" s="7"/>
      <c r="L153" s="5"/>
      <c r="M153" s="5"/>
      <c r="N153" s="6"/>
      <c r="O153" s="1"/>
      <c r="P153" s="6"/>
      <c r="Q153" s="1878"/>
      <c r="R153" s="1878"/>
      <c r="S153" s="1877"/>
      <c r="T153" s="1877"/>
      <c r="U153" s="1877"/>
      <c r="V153" s="1877"/>
      <c r="W153" s="1878"/>
      <c r="X153" s="1877"/>
      <c r="Y153" s="1877"/>
      <c r="Z153" s="1911"/>
      <c r="AA153" s="1877"/>
      <c r="AB153" s="1912"/>
      <c r="AC153" s="1881"/>
      <c r="AD153" s="1913"/>
      <c r="AF153" s="1393"/>
    </row>
    <row r="154" spans="1:32" s="1350" customFormat="1">
      <c r="A154" s="1"/>
      <c r="B154" s="6"/>
      <c r="C154" s="4"/>
      <c r="D154" s="4"/>
      <c r="E154" s="4"/>
      <c r="F154" s="6"/>
      <c r="G154" s="6"/>
      <c r="H154" s="6"/>
      <c r="I154" s="6"/>
      <c r="J154" s="5"/>
      <c r="K154" s="7"/>
      <c r="L154" s="5"/>
      <c r="M154" s="5"/>
      <c r="N154" s="6"/>
      <c r="O154" s="1"/>
      <c r="P154" s="6"/>
      <c r="Q154" s="1878"/>
      <c r="R154" s="1878"/>
      <c r="S154" s="1877"/>
      <c r="T154" s="1877"/>
      <c r="U154" s="1877"/>
      <c r="V154" s="1877"/>
      <c r="W154" s="1878"/>
      <c r="X154" s="1877"/>
      <c r="Y154" s="1877"/>
      <c r="Z154" s="1911"/>
      <c r="AA154" s="1877"/>
      <c r="AB154" s="1912"/>
      <c r="AC154" s="1881"/>
      <c r="AD154" s="1913"/>
      <c r="AF154" s="1393"/>
    </row>
    <row r="155" spans="1:32" s="1350" customFormat="1">
      <c r="A155" s="1"/>
      <c r="B155" s="6"/>
      <c r="C155" s="4"/>
      <c r="D155" s="4"/>
      <c r="E155" s="4"/>
      <c r="F155" s="6"/>
      <c r="G155" s="6"/>
      <c r="H155" s="6"/>
      <c r="I155" s="6"/>
      <c r="J155" s="5"/>
      <c r="K155" s="7"/>
      <c r="L155" s="5"/>
      <c r="M155" s="5"/>
      <c r="N155" s="6"/>
      <c r="O155" s="1"/>
      <c r="P155" s="6"/>
      <c r="Q155" s="1878"/>
      <c r="R155" s="1878"/>
      <c r="S155" s="1877"/>
      <c r="T155" s="1877"/>
      <c r="U155" s="1877"/>
      <c r="V155" s="1877"/>
      <c r="W155" s="1878"/>
      <c r="X155" s="1877"/>
      <c r="Y155" s="1877"/>
      <c r="Z155" s="1911"/>
      <c r="AA155" s="1877"/>
      <c r="AB155" s="1912"/>
      <c r="AC155" s="1881"/>
      <c r="AD155" s="1913"/>
      <c r="AF155" s="1393"/>
    </row>
    <row r="156" spans="1:32" s="1350" customFormat="1">
      <c r="A156" s="1"/>
      <c r="B156" s="6"/>
      <c r="C156" s="4"/>
      <c r="D156" s="4"/>
      <c r="E156" s="4"/>
      <c r="F156" s="6"/>
      <c r="G156" s="6"/>
      <c r="H156" s="6"/>
      <c r="I156" s="6"/>
      <c r="J156" s="5"/>
      <c r="K156" s="7"/>
      <c r="L156" s="5"/>
      <c r="M156" s="5"/>
      <c r="N156" s="6"/>
      <c r="O156" s="1"/>
      <c r="P156" s="6"/>
      <c r="Q156" s="1878"/>
      <c r="R156" s="1878"/>
      <c r="S156" s="1877"/>
      <c r="T156" s="1877"/>
      <c r="U156" s="1877"/>
      <c r="V156" s="1877"/>
      <c r="W156" s="1878"/>
      <c r="X156" s="1877"/>
      <c r="Y156" s="1877"/>
      <c r="Z156" s="1911"/>
      <c r="AA156" s="1877"/>
      <c r="AB156" s="1912"/>
      <c r="AC156" s="1881"/>
      <c r="AD156" s="1913"/>
      <c r="AF156" s="1393"/>
    </row>
    <row r="157" spans="1:32" s="1350" customFormat="1">
      <c r="A157" s="1"/>
      <c r="B157" s="6"/>
      <c r="C157" s="4"/>
      <c r="D157" s="4"/>
      <c r="E157" s="4"/>
      <c r="F157" s="6"/>
      <c r="G157" s="6"/>
      <c r="H157" s="6"/>
      <c r="I157" s="6"/>
      <c r="J157" s="5"/>
      <c r="K157" s="7"/>
      <c r="L157" s="5"/>
      <c r="M157" s="5"/>
      <c r="N157" s="6"/>
      <c r="O157" s="1"/>
      <c r="P157" s="6"/>
      <c r="Q157" s="1878"/>
      <c r="R157" s="1878"/>
      <c r="S157" s="1877"/>
      <c r="T157" s="1877"/>
      <c r="U157" s="1877"/>
      <c r="V157" s="1877"/>
      <c r="W157" s="1878"/>
      <c r="X157" s="1877"/>
      <c r="Y157" s="1877"/>
      <c r="Z157" s="1911"/>
      <c r="AA157" s="1877"/>
      <c r="AB157" s="1912"/>
      <c r="AC157" s="1881"/>
      <c r="AD157" s="1913"/>
      <c r="AF157" s="1393"/>
    </row>
    <row r="158" spans="1:32" s="1350" customFormat="1">
      <c r="A158" s="1"/>
      <c r="B158" s="6"/>
      <c r="C158" s="4"/>
      <c r="D158" s="4"/>
      <c r="E158" s="4"/>
      <c r="F158" s="6"/>
      <c r="G158" s="6"/>
      <c r="H158" s="6"/>
      <c r="I158" s="6"/>
      <c r="J158" s="5"/>
      <c r="K158" s="7"/>
      <c r="L158" s="5"/>
      <c r="M158" s="5"/>
      <c r="N158" s="6"/>
      <c r="O158" s="1"/>
      <c r="P158" s="6"/>
      <c r="Q158" s="1878"/>
      <c r="R158" s="1878"/>
      <c r="S158" s="1877"/>
      <c r="T158" s="1877"/>
      <c r="U158" s="1877"/>
      <c r="V158" s="1877"/>
      <c r="W158" s="1878"/>
      <c r="X158" s="1877"/>
      <c r="Y158" s="1877"/>
      <c r="Z158" s="1911"/>
      <c r="AA158" s="1877"/>
      <c r="AB158" s="1912"/>
      <c r="AC158" s="1881"/>
      <c r="AD158" s="1913"/>
      <c r="AF158" s="1393"/>
    </row>
    <row r="159" spans="1:32" s="1350" customFormat="1">
      <c r="A159" s="1"/>
      <c r="B159" s="6"/>
      <c r="C159" s="4"/>
      <c r="D159" s="4"/>
      <c r="E159" s="4"/>
      <c r="F159" s="6"/>
      <c r="G159" s="6"/>
      <c r="H159" s="6"/>
      <c r="I159" s="6"/>
      <c r="J159" s="5"/>
      <c r="K159" s="7"/>
      <c r="L159" s="5"/>
      <c r="M159" s="5"/>
      <c r="N159" s="6"/>
      <c r="O159" s="1"/>
      <c r="P159" s="6"/>
      <c r="Q159" s="1878"/>
      <c r="R159" s="1878"/>
      <c r="S159" s="1877"/>
      <c r="T159" s="1877"/>
      <c r="U159" s="1877"/>
      <c r="V159" s="1877"/>
      <c r="W159" s="1878"/>
      <c r="X159" s="1877"/>
      <c r="Y159" s="1877"/>
      <c r="Z159" s="1911"/>
      <c r="AA159" s="1877"/>
      <c r="AB159" s="1912"/>
      <c r="AC159" s="1881"/>
      <c r="AD159" s="1913"/>
      <c r="AF159" s="1393"/>
    </row>
    <row r="160" spans="1:32" s="1350" customFormat="1">
      <c r="A160" s="1"/>
      <c r="B160" s="6"/>
      <c r="C160" s="4"/>
      <c r="D160" s="4"/>
      <c r="E160" s="4"/>
      <c r="F160" s="6"/>
      <c r="G160" s="6"/>
      <c r="H160" s="6"/>
      <c r="I160" s="6"/>
      <c r="J160" s="5"/>
      <c r="K160" s="7"/>
      <c r="L160" s="5"/>
      <c r="M160" s="5"/>
      <c r="N160" s="6"/>
      <c r="O160" s="1"/>
      <c r="P160" s="6"/>
      <c r="Q160" s="1878"/>
      <c r="R160" s="1878"/>
      <c r="S160" s="1877"/>
      <c r="T160" s="1877"/>
      <c r="U160" s="1877"/>
      <c r="V160" s="1877"/>
      <c r="W160" s="1878"/>
      <c r="X160" s="1877"/>
      <c r="Y160" s="1877"/>
      <c r="Z160" s="1911"/>
      <c r="AA160" s="1877"/>
      <c r="AB160" s="1912"/>
      <c r="AC160" s="1881"/>
      <c r="AD160" s="1913"/>
      <c r="AF160" s="1393"/>
    </row>
    <row r="161" spans="1:32" s="1350" customFormat="1">
      <c r="A161" s="1"/>
      <c r="B161" s="6"/>
      <c r="C161" s="4"/>
      <c r="D161" s="4"/>
      <c r="E161" s="4"/>
      <c r="F161" s="6"/>
      <c r="G161" s="6"/>
      <c r="H161" s="6"/>
      <c r="I161" s="6"/>
      <c r="J161" s="5"/>
      <c r="K161" s="7"/>
      <c r="L161" s="5"/>
      <c r="M161" s="5"/>
      <c r="N161" s="6"/>
      <c r="O161" s="1"/>
      <c r="P161" s="6"/>
      <c r="Q161" s="1878"/>
      <c r="R161" s="1878"/>
      <c r="S161" s="1877"/>
      <c r="T161" s="1877"/>
      <c r="U161" s="1877"/>
      <c r="V161" s="1877"/>
      <c r="W161" s="1878"/>
      <c r="X161" s="1877"/>
      <c r="Y161" s="1877"/>
      <c r="Z161" s="1911"/>
      <c r="AA161" s="1877"/>
      <c r="AB161" s="1912"/>
      <c r="AC161" s="1881"/>
      <c r="AD161" s="1913"/>
      <c r="AF161" s="1393"/>
    </row>
    <row r="162" spans="1:32" s="1350" customFormat="1">
      <c r="A162" s="1"/>
      <c r="B162" s="6"/>
      <c r="C162" s="4"/>
      <c r="D162" s="4"/>
      <c r="E162" s="4"/>
      <c r="F162" s="6"/>
      <c r="G162" s="6"/>
      <c r="H162" s="6"/>
      <c r="I162" s="6"/>
      <c r="J162" s="5"/>
      <c r="K162" s="7"/>
      <c r="L162" s="5"/>
      <c r="M162" s="5"/>
      <c r="N162" s="6"/>
      <c r="O162" s="1"/>
      <c r="P162" s="6"/>
      <c r="Q162" s="1878"/>
      <c r="R162" s="1878"/>
      <c r="S162" s="1877"/>
      <c r="T162" s="1877"/>
      <c r="U162" s="1877"/>
      <c r="V162" s="1877"/>
      <c r="W162" s="1878"/>
      <c r="X162" s="1877"/>
      <c r="Y162" s="1877"/>
      <c r="Z162" s="1911"/>
      <c r="AA162" s="1877"/>
      <c r="AB162" s="1912"/>
      <c r="AC162" s="1881"/>
      <c r="AD162" s="1913"/>
      <c r="AF162" s="1393"/>
    </row>
    <row r="163" spans="1:32" s="1350" customFormat="1">
      <c r="A163" s="1"/>
      <c r="B163" s="6"/>
      <c r="C163" s="4"/>
      <c r="D163" s="4"/>
      <c r="E163" s="4"/>
      <c r="F163" s="6"/>
      <c r="G163" s="6"/>
      <c r="H163" s="6"/>
      <c r="I163" s="6"/>
      <c r="J163" s="5"/>
      <c r="K163" s="7"/>
      <c r="L163" s="5"/>
      <c r="M163" s="5"/>
      <c r="N163" s="6"/>
      <c r="O163" s="1"/>
      <c r="P163" s="6"/>
      <c r="Q163" s="1878"/>
      <c r="R163" s="1878"/>
      <c r="S163" s="1877"/>
      <c r="T163" s="1877"/>
      <c r="U163" s="1877"/>
      <c r="V163" s="1877"/>
      <c r="W163" s="1878"/>
      <c r="X163" s="1877"/>
      <c r="Y163" s="1877"/>
      <c r="Z163" s="1911"/>
      <c r="AA163" s="1877"/>
      <c r="AB163" s="1912"/>
      <c r="AC163" s="1881"/>
      <c r="AD163" s="1913"/>
      <c r="AF163" s="1393"/>
    </row>
    <row r="164" spans="1:32" s="1350" customFormat="1">
      <c r="A164" s="1"/>
      <c r="B164" s="6"/>
      <c r="C164" s="4"/>
      <c r="D164" s="4"/>
      <c r="E164" s="4"/>
      <c r="F164" s="6"/>
      <c r="G164" s="6"/>
      <c r="H164" s="6"/>
      <c r="I164" s="6"/>
      <c r="J164" s="5"/>
      <c r="K164" s="7"/>
      <c r="L164" s="5"/>
      <c r="M164" s="5"/>
      <c r="N164" s="6"/>
      <c r="O164" s="1"/>
      <c r="P164" s="6"/>
      <c r="Q164" s="1878"/>
      <c r="R164" s="1878"/>
      <c r="S164" s="1877"/>
      <c r="T164" s="1877"/>
      <c r="U164" s="1877"/>
      <c r="V164" s="1877"/>
      <c r="W164" s="1878"/>
      <c r="X164" s="1877"/>
      <c r="Y164" s="1877"/>
      <c r="Z164" s="1911"/>
      <c r="AA164" s="1877"/>
      <c r="AB164" s="1912"/>
      <c r="AC164" s="1881"/>
      <c r="AD164" s="1913"/>
      <c r="AF164" s="1393"/>
    </row>
    <row r="165" spans="1:32" s="1350" customFormat="1">
      <c r="A165" s="1"/>
      <c r="B165" s="6"/>
      <c r="C165" s="4"/>
      <c r="D165" s="4"/>
      <c r="E165" s="4"/>
      <c r="F165" s="6"/>
      <c r="G165" s="6"/>
      <c r="H165" s="6"/>
      <c r="I165" s="6"/>
      <c r="J165" s="5"/>
      <c r="K165" s="7"/>
      <c r="L165" s="5"/>
      <c r="M165" s="5"/>
      <c r="N165" s="6"/>
      <c r="O165" s="1"/>
      <c r="P165" s="6"/>
      <c r="Q165" s="1878"/>
      <c r="R165" s="1878"/>
      <c r="S165" s="1877"/>
      <c r="T165" s="1877"/>
      <c r="U165" s="1877"/>
      <c r="V165" s="1877"/>
      <c r="W165" s="1878"/>
      <c r="X165" s="1877"/>
      <c r="Y165" s="1877"/>
      <c r="Z165" s="1911"/>
      <c r="AA165" s="1877"/>
      <c r="AB165" s="1912"/>
      <c r="AC165" s="1881"/>
      <c r="AD165" s="1913"/>
      <c r="AF165" s="1393"/>
    </row>
    <row r="166" spans="1:32" s="1350" customFormat="1">
      <c r="A166" s="1"/>
      <c r="B166" s="6"/>
      <c r="C166" s="4"/>
      <c r="D166" s="4"/>
      <c r="E166" s="4"/>
      <c r="F166" s="6"/>
      <c r="G166" s="6"/>
      <c r="H166" s="6"/>
      <c r="I166" s="6"/>
      <c r="J166" s="5"/>
      <c r="K166" s="7"/>
      <c r="L166" s="5"/>
      <c r="M166" s="5"/>
      <c r="N166" s="6"/>
      <c r="O166" s="1"/>
      <c r="P166" s="6"/>
      <c r="Q166" s="1878"/>
      <c r="R166" s="1878"/>
      <c r="S166" s="1877"/>
      <c r="T166" s="1877"/>
      <c r="U166" s="1877"/>
      <c r="V166" s="1877"/>
      <c r="W166" s="1878"/>
      <c r="X166" s="1877"/>
      <c r="Y166" s="1877"/>
      <c r="Z166" s="1911"/>
      <c r="AA166" s="1877"/>
      <c r="AB166" s="1912"/>
      <c r="AC166" s="1881"/>
      <c r="AD166" s="1913"/>
      <c r="AF166" s="1393"/>
    </row>
    <row r="167" spans="1:32" s="1350" customFormat="1">
      <c r="A167" s="1"/>
      <c r="B167" s="6"/>
      <c r="C167" s="4"/>
      <c r="D167" s="4"/>
      <c r="E167" s="4"/>
      <c r="F167" s="6"/>
      <c r="G167" s="6"/>
      <c r="H167" s="6"/>
      <c r="I167" s="6"/>
      <c r="J167" s="5"/>
      <c r="K167" s="7"/>
      <c r="L167" s="5"/>
      <c r="M167" s="5"/>
      <c r="N167" s="6"/>
      <c r="O167" s="1"/>
      <c r="P167" s="6"/>
      <c r="Q167" s="1878"/>
      <c r="R167" s="1878"/>
      <c r="S167" s="1877"/>
      <c r="T167" s="1877"/>
      <c r="U167" s="1877"/>
      <c r="V167" s="1877"/>
      <c r="W167" s="1878"/>
      <c r="X167" s="1877"/>
      <c r="Y167" s="1877"/>
      <c r="Z167" s="1911"/>
      <c r="AA167" s="1877"/>
      <c r="AB167" s="1912"/>
      <c r="AC167" s="1881"/>
      <c r="AD167" s="1913"/>
      <c r="AF167" s="1393"/>
    </row>
    <row r="168" spans="1:32" s="1350" customFormat="1">
      <c r="A168" s="1"/>
      <c r="B168" s="6"/>
      <c r="C168" s="4"/>
      <c r="D168" s="4"/>
      <c r="E168" s="4"/>
      <c r="F168" s="6"/>
      <c r="G168" s="6"/>
      <c r="H168" s="6"/>
      <c r="I168" s="6"/>
      <c r="J168" s="5"/>
      <c r="K168" s="7"/>
      <c r="L168" s="5"/>
      <c r="M168" s="5"/>
      <c r="N168" s="6"/>
      <c r="O168" s="1"/>
      <c r="P168" s="6"/>
      <c r="Q168" s="1878"/>
      <c r="R168" s="1878"/>
      <c r="S168" s="1877"/>
      <c r="T168" s="1877"/>
      <c r="U168" s="1877"/>
      <c r="V168" s="1877"/>
      <c r="W168" s="1878"/>
      <c r="X168" s="1877"/>
      <c r="Y168" s="1877"/>
      <c r="Z168" s="1911"/>
      <c r="AA168" s="1877"/>
      <c r="AB168" s="1912"/>
      <c r="AC168" s="1881"/>
      <c r="AD168" s="1913"/>
      <c r="AF168" s="1393"/>
    </row>
    <row r="169" spans="1:32" s="1350" customFormat="1">
      <c r="A169" s="1"/>
      <c r="B169" s="6"/>
      <c r="C169" s="4"/>
      <c r="D169" s="4"/>
      <c r="E169" s="4"/>
      <c r="F169" s="6"/>
      <c r="G169" s="6"/>
      <c r="H169" s="6"/>
      <c r="I169" s="6"/>
      <c r="J169" s="5"/>
      <c r="K169" s="7"/>
      <c r="L169" s="5"/>
      <c r="M169" s="5"/>
      <c r="N169" s="6"/>
      <c r="O169" s="1"/>
      <c r="P169" s="6"/>
      <c r="Q169" s="1878"/>
      <c r="R169" s="1878"/>
      <c r="S169" s="1877"/>
      <c r="T169" s="1877"/>
      <c r="U169" s="1877"/>
      <c r="V169" s="1877"/>
      <c r="W169" s="1878"/>
      <c r="X169" s="1877"/>
      <c r="Y169" s="1877"/>
      <c r="Z169" s="1911"/>
      <c r="AA169" s="1877"/>
      <c r="AB169" s="1912"/>
      <c r="AC169" s="1881"/>
      <c r="AD169" s="1913"/>
      <c r="AF169" s="1393"/>
    </row>
    <row r="170" spans="1:32" s="1350" customFormat="1">
      <c r="A170" s="1"/>
      <c r="B170" s="6"/>
      <c r="C170" s="4"/>
      <c r="D170" s="4"/>
      <c r="E170" s="4"/>
      <c r="F170" s="6"/>
      <c r="G170" s="6"/>
      <c r="H170" s="6"/>
      <c r="I170" s="6"/>
      <c r="J170" s="5"/>
      <c r="K170" s="7"/>
      <c r="L170" s="5"/>
      <c r="M170" s="5"/>
      <c r="N170" s="6"/>
      <c r="O170" s="1"/>
      <c r="P170" s="6"/>
      <c r="Q170" s="1878"/>
      <c r="R170" s="1878"/>
      <c r="S170" s="1877"/>
      <c r="T170" s="1877"/>
      <c r="U170" s="1877"/>
      <c r="V170" s="1877"/>
      <c r="W170" s="1878"/>
      <c r="X170" s="1877"/>
      <c r="Y170" s="1877"/>
      <c r="Z170" s="1911"/>
      <c r="AA170" s="1877"/>
      <c r="AB170" s="1912"/>
      <c r="AC170" s="1881"/>
      <c r="AD170" s="1913"/>
      <c r="AF170" s="1393"/>
    </row>
    <row r="171" spans="1:32" s="1350" customFormat="1">
      <c r="A171" s="1"/>
      <c r="B171" s="6"/>
      <c r="C171" s="4"/>
      <c r="D171" s="4"/>
      <c r="E171" s="4"/>
      <c r="F171" s="6"/>
      <c r="G171" s="6"/>
      <c r="H171" s="6"/>
      <c r="I171" s="6"/>
      <c r="J171" s="5"/>
      <c r="K171" s="7"/>
      <c r="L171" s="5"/>
      <c r="M171" s="5"/>
      <c r="N171" s="6"/>
      <c r="O171" s="1"/>
      <c r="P171" s="6"/>
      <c r="Q171" s="1878"/>
      <c r="R171" s="1878"/>
      <c r="S171" s="1877"/>
      <c r="T171" s="1877"/>
      <c r="U171" s="1877"/>
      <c r="V171" s="1877"/>
      <c r="W171" s="1878"/>
      <c r="X171" s="1877"/>
      <c r="Y171" s="1877"/>
      <c r="Z171" s="1911"/>
      <c r="AA171" s="1877"/>
      <c r="AB171" s="1912"/>
      <c r="AC171" s="1881"/>
      <c r="AD171" s="1913"/>
      <c r="AF171" s="1393"/>
    </row>
    <row r="172" spans="1:32" s="1350" customFormat="1">
      <c r="A172" s="1"/>
      <c r="B172" s="6"/>
      <c r="C172" s="4"/>
      <c r="D172" s="4"/>
      <c r="E172" s="4"/>
      <c r="F172" s="6"/>
      <c r="G172" s="6"/>
      <c r="H172" s="6"/>
      <c r="I172" s="6"/>
      <c r="J172" s="5"/>
      <c r="K172" s="7"/>
      <c r="L172" s="5"/>
      <c r="M172" s="5"/>
      <c r="N172" s="6"/>
      <c r="O172" s="1"/>
      <c r="P172" s="6"/>
      <c r="Q172" s="1878"/>
      <c r="R172" s="1878"/>
      <c r="S172" s="1877"/>
      <c r="T172" s="1877"/>
      <c r="U172" s="1877"/>
      <c r="V172" s="1877"/>
      <c r="W172" s="1878"/>
      <c r="X172" s="1877"/>
      <c r="Y172" s="1877"/>
      <c r="Z172" s="1911"/>
      <c r="AA172" s="1877"/>
      <c r="AB172" s="1912"/>
      <c r="AC172" s="1881"/>
      <c r="AD172" s="1913"/>
      <c r="AF172" s="1393"/>
    </row>
    <row r="173" spans="1:32" s="1350" customFormat="1">
      <c r="A173" s="1"/>
      <c r="B173" s="6"/>
      <c r="C173" s="4"/>
      <c r="D173" s="4"/>
      <c r="E173" s="4"/>
      <c r="F173" s="6"/>
      <c r="G173" s="6"/>
      <c r="H173" s="6"/>
      <c r="I173" s="6"/>
      <c r="J173" s="5"/>
      <c r="K173" s="7"/>
      <c r="L173" s="5"/>
      <c r="M173" s="5"/>
      <c r="N173" s="6"/>
      <c r="O173" s="1"/>
      <c r="P173" s="6"/>
      <c r="Q173" s="1878"/>
      <c r="R173" s="1878"/>
      <c r="S173" s="1877"/>
      <c r="T173" s="1877"/>
      <c r="U173" s="1877"/>
      <c r="V173" s="1877"/>
      <c r="W173" s="1878"/>
      <c r="X173" s="1877"/>
      <c r="Y173" s="1877"/>
      <c r="Z173" s="1911"/>
      <c r="AA173" s="1877"/>
      <c r="AB173" s="1912"/>
      <c r="AC173" s="1881"/>
      <c r="AD173" s="1913"/>
      <c r="AF173" s="1393"/>
    </row>
    <row r="174" spans="1:32" s="1350" customFormat="1">
      <c r="A174" s="1"/>
      <c r="B174" s="6"/>
      <c r="C174" s="4"/>
      <c r="D174" s="4"/>
      <c r="E174" s="4"/>
      <c r="F174" s="6"/>
      <c r="G174" s="6"/>
      <c r="H174" s="6"/>
      <c r="I174" s="6"/>
      <c r="J174" s="5"/>
      <c r="K174" s="7"/>
      <c r="L174" s="5"/>
      <c r="M174" s="5"/>
      <c r="N174" s="6"/>
      <c r="O174" s="1"/>
      <c r="P174" s="6"/>
      <c r="Q174" s="1878"/>
      <c r="R174" s="1878"/>
      <c r="S174" s="1877"/>
      <c r="T174" s="1877"/>
      <c r="U174" s="1877"/>
      <c r="V174" s="1877"/>
      <c r="W174" s="1878"/>
      <c r="X174" s="1877"/>
      <c r="Y174" s="1877"/>
      <c r="Z174" s="1911"/>
      <c r="AA174" s="1877"/>
      <c r="AB174" s="1912"/>
      <c r="AC174" s="1881"/>
      <c r="AD174" s="1913"/>
      <c r="AF174" s="1393"/>
    </row>
    <row r="175" spans="1:32" s="1350" customFormat="1">
      <c r="A175" s="1"/>
      <c r="B175" s="6"/>
      <c r="C175" s="4"/>
      <c r="D175" s="4"/>
      <c r="E175" s="4"/>
      <c r="F175" s="6"/>
      <c r="G175" s="6"/>
      <c r="H175" s="6"/>
      <c r="I175" s="6"/>
      <c r="J175" s="5"/>
      <c r="K175" s="7"/>
      <c r="L175" s="5"/>
      <c r="M175" s="5"/>
      <c r="N175" s="6"/>
      <c r="O175" s="1"/>
      <c r="P175" s="6"/>
      <c r="Q175" s="1878"/>
      <c r="R175" s="1878"/>
      <c r="S175" s="1877"/>
      <c r="T175" s="1877"/>
      <c r="U175" s="1877"/>
      <c r="V175" s="1877"/>
      <c r="W175" s="1878"/>
      <c r="X175" s="1877"/>
      <c r="Y175" s="1877"/>
      <c r="Z175" s="1911"/>
      <c r="AA175" s="1877"/>
      <c r="AB175" s="1912"/>
      <c r="AC175" s="1881"/>
      <c r="AD175" s="1913"/>
      <c r="AF175" s="1393"/>
    </row>
    <row r="176" spans="1:32" s="1350" customFormat="1">
      <c r="A176" s="1"/>
      <c r="B176" s="6"/>
      <c r="C176" s="4"/>
      <c r="D176" s="4"/>
      <c r="E176" s="4"/>
      <c r="F176" s="6"/>
      <c r="G176" s="6"/>
      <c r="H176" s="6"/>
      <c r="I176" s="6"/>
      <c r="J176" s="5"/>
      <c r="K176" s="7"/>
      <c r="L176" s="5"/>
      <c r="M176" s="5"/>
      <c r="N176" s="6"/>
      <c r="O176" s="1"/>
      <c r="P176" s="6"/>
      <c r="Q176" s="1878"/>
      <c r="R176" s="1878"/>
      <c r="S176" s="1877"/>
      <c r="T176" s="1877"/>
      <c r="U176" s="1877"/>
      <c r="V176" s="1877"/>
      <c r="W176" s="1878"/>
      <c r="X176" s="1877"/>
      <c r="Y176" s="1877"/>
      <c r="Z176" s="1911"/>
      <c r="AA176" s="1877"/>
      <c r="AB176" s="1912"/>
      <c r="AC176" s="1881"/>
      <c r="AD176" s="1913"/>
      <c r="AF176" s="1393"/>
    </row>
    <row r="177" spans="1:32" s="1350" customFormat="1">
      <c r="A177" s="1"/>
      <c r="B177" s="6"/>
      <c r="C177" s="4"/>
      <c r="D177" s="4"/>
      <c r="E177" s="4"/>
      <c r="F177" s="6"/>
      <c r="G177" s="6"/>
      <c r="H177" s="6"/>
      <c r="I177" s="6"/>
      <c r="J177" s="5"/>
      <c r="K177" s="7"/>
      <c r="L177" s="5"/>
      <c r="M177" s="5"/>
      <c r="N177" s="6"/>
      <c r="O177" s="1"/>
      <c r="P177" s="6"/>
      <c r="Q177" s="1878"/>
      <c r="R177" s="1878"/>
      <c r="S177" s="1877"/>
      <c r="T177" s="1877"/>
      <c r="U177" s="1877"/>
      <c r="V177" s="1877"/>
      <c r="W177" s="1878"/>
      <c r="X177" s="1877"/>
      <c r="Y177" s="1877"/>
      <c r="Z177" s="1911"/>
      <c r="AA177" s="1877"/>
      <c r="AB177" s="1912"/>
      <c r="AC177" s="1881"/>
      <c r="AD177" s="1913"/>
      <c r="AF177" s="1393"/>
    </row>
    <row r="178" spans="1:32" s="1350" customFormat="1">
      <c r="A178" s="1"/>
      <c r="B178" s="6"/>
      <c r="C178" s="4"/>
      <c r="D178" s="4"/>
      <c r="E178" s="4"/>
      <c r="F178" s="6"/>
      <c r="G178" s="6"/>
      <c r="H178" s="6"/>
      <c r="I178" s="6"/>
      <c r="J178" s="5"/>
      <c r="K178" s="7"/>
      <c r="L178" s="5"/>
      <c r="M178" s="5"/>
      <c r="N178" s="6"/>
      <c r="O178" s="1"/>
      <c r="P178" s="6"/>
      <c r="Q178" s="1878"/>
      <c r="R178" s="1878"/>
      <c r="S178" s="1877"/>
      <c r="T178" s="1877"/>
      <c r="U178" s="1877"/>
      <c r="V178" s="1877"/>
      <c r="W178" s="1878"/>
      <c r="X178" s="1877"/>
      <c r="Y178" s="1877"/>
      <c r="Z178" s="1911"/>
      <c r="AA178" s="1877"/>
      <c r="AB178" s="1912"/>
      <c r="AC178" s="1881"/>
      <c r="AD178" s="1913"/>
      <c r="AF178" s="1393"/>
    </row>
    <row r="179" spans="1:32" s="1350" customFormat="1">
      <c r="A179" s="1"/>
      <c r="B179" s="6"/>
      <c r="C179" s="4"/>
      <c r="D179" s="4"/>
      <c r="E179" s="4"/>
      <c r="F179" s="6"/>
      <c r="G179" s="6"/>
      <c r="H179" s="6"/>
      <c r="I179" s="6"/>
      <c r="J179" s="5"/>
      <c r="K179" s="7"/>
      <c r="L179" s="5"/>
      <c r="M179" s="5"/>
      <c r="N179" s="6"/>
      <c r="O179" s="1"/>
      <c r="P179" s="6"/>
      <c r="Q179" s="1878"/>
      <c r="R179" s="1878"/>
      <c r="S179" s="1877"/>
      <c r="T179" s="1877"/>
      <c r="U179" s="1877"/>
      <c r="V179" s="1877"/>
      <c r="W179" s="1878"/>
      <c r="X179" s="1877"/>
      <c r="Y179" s="1877"/>
      <c r="Z179" s="1911"/>
      <c r="AA179" s="1877"/>
      <c r="AB179" s="1912"/>
      <c r="AC179" s="1881"/>
      <c r="AD179" s="1913"/>
      <c r="AF179" s="1393"/>
    </row>
    <row r="180" spans="1:32" s="1350" customFormat="1">
      <c r="A180" s="1"/>
      <c r="B180" s="6"/>
      <c r="C180" s="4"/>
      <c r="D180" s="4"/>
      <c r="E180" s="4"/>
      <c r="F180" s="6"/>
      <c r="G180" s="6"/>
      <c r="H180" s="6"/>
      <c r="I180" s="6"/>
      <c r="J180" s="5"/>
      <c r="K180" s="7"/>
      <c r="L180" s="5"/>
      <c r="M180" s="5"/>
      <c r="N180" s="6"/>
      <c r="O180" s="1"/>
      <c r="P180" s="6"/>
      <c r="Q180" s="1878"/>
      <c r="R180" s="1878"/>
      <c r="S180" s="1877"/>
      <c r="T180" s="1877"/>
      <c r="U180" s="1877"/>
      <c r="V180" s="1877"/>
      <c r="W180" s="1878"/>
      <c r="X180" s="1877"/>
      <c r="Y180" s="1877"/>
      <c r="Z180" s="1911"/>
      <c r="AA180" s="1877"/>
      <c r="AB180" s="1912"/>
      <c r="AC180" s="1881"/>
      <c r="AD180" s="1913"/>
      <c r="AF180" s="1393"/>
    </row>
    <row r="181" spans="1:32" s="1350" customFormat="1">
      <c r="A181" s="1"/>
      <c r="B181" s="6"/>
      <c r="C181" s="4"/>
      <c r="D181" s="4"/>
      <c r="E181" s="4"/>
      <c r="F181" s="6"/>
      <c r="G181" s="6"/>
      <c r="H181" s="6"/>
      <c r="I181" s="6"/>
      <c r="J181" s="5"/>
      <c r="K181" s="7"/>
      <c r="L181" s="5"/>
      <c r="M181" s="5"/>
      <c r="N181" s="6"/>
      <c r="O181" s="1"/>
      <c r="P181" s="6"/>
      <c r="Q181" s="1878"/>
      <c r="R181" s="1878"/>
      <c r="S181" s="1877"/>
      <c r="T181" s="1877"/>
      <c r="U181" s="1877"/>
      <c r="V181" s="1877"/>
      <c r="W181" s="1878"/>
      <c r="X181" s="1877"/>
      <c r="Y181" s="1877"/>
      <c r="Z181" s="1911"/>
      <c r="AA181" s="1877"/>
      <c r="AB181" s="1912"/>
      <c r="AC181" s="1881"/>
      <c r="AD181" s="1913"/>
      <c r="AF181" s="1393"/>
    </row>
    <row r="182" spans="1:32" s="1350" customFormat="1">
      <c r="A182" s="1"/>
      <c r="B182" s="6"/>
      <c r="C182" s="4"/>
      <c r="D182" s="4"/>
      <c r="E182" s="4"/>
      <c r="F182" s="6"/>
      <c r="G182" s="6"/>
      <c r="H182" s="6"/>
      <c r="I182" s="6"/>
      <c r="J182" s="5"/>
      <c r="K182" s="7"/>
      <c r="L182" s="5"/>
      <c r="M182" s="5"/>
      <c r="N182" s="6"/>
      <c r="O182" s="1"/>
      <c r="P182" s="6"/>
      <c r="Q182" s="1878"/>
      <c r="R182" s="1878"/>
      <c r="S182" s="1877"/>
      <c r="T182" s="1877"/>
      <c r="U182" s="1877"/>
      <c r="V182" s="1877"/>
      <c r="W182" s="1878"/>
      <c r="X182" s="1877"/>
      <c r="Y182" s="1877"/>
      <c r="Z182" s="1911"/>
      <c r="AA182" s="1877"/>
      <c r="AB182" s="1912"/>
      <c r="AC182" s="1881"/>
      <c r="AD182" s="1913"/>
      <c r="AF182" s="1393"/>
    </row>
    <row r="183" spans="1:32" s="1350" customFormat="1">
      <c r="A183" s="1"/>
      <c r="B183" s="6"/>
      <c r="C183" s="4"/>
      <c r="D183" s="4"/>
      <c r="E183" s="4"/>
      <c r="F183" s="6"/>
      <c r="G183" s="6"/>
      <c r="H183" s="6"/>
      <c r="I183" s="6"/>
      <c r="J183" s="5"/>
      <c r="K183" s="7"/>
      <c r="L183" s="5"/>
      <c r="M183" s="5"/>
      <c r="N183" s="6"/>
      <c r="O183" s="1"/>
      <c r="P183" s="6"/>
      <c r="Q183" s="1878"/>
      <c r="R183" s="1878"/>
      <c r="S183" s="1877"/>
      <c r="T183" s="1877"/>
      <c r="U183" s="1877"/>
      <c r="V183" s="1877"/>
      <c r="W183" s="1878"/>
      <c r="X183" s="1877"/>
      <c r="Y183" s="1877"/>
      <c r="Z183" s="1911"/>
      <c r="AA183" s="1877"/>
      <c r="AB183" s="1912"/>
      <c r="AC183" s="1881"/>
      <c r="AD183" s="1913"/>
      <c r="AF183" s="1393"/>
    </row>
    <row r="184" spans="1:32" s="1350" customFormat="1">
      <c r="A184" s="1"/>
      <c r="B184" s="6"/>
      <c r="C184" s="4"/>
      <c r="D184" s="4"/>
      <c r="E184" s="4"/>
      <c r="F184" s="6"/>
      <c r="G184" s="6"/>
      <c r="H184" s="6"/>
      <c r="I184" s="6"/>
      <c r="J184" s="5"/>
      <c r="K184" s="7"/>
      <c r="L184" s="5"/>
      <c r="M184" s="5"/>
      <c r="N184" s="6"/>
      <c r="O184" s="1"/>
      <c r="P184" s="6"/>
      <c r="Q184" s="1878"/>
      <c r="R184" s="1878"/>
      <c r="S184" s="1877"/>
      <c r="T184" s="1877"/>
      <c r="U184" s="1877"/>
      <c r="V184" s="1877"/>
      <c r="W184" s="1878"/>
      <c r="X184" s="1877"/>
      <c r="Y184" s="1877"/>
      <c r="Z184" s="1911"/>
      <c r="AA184" s="1877"/>
      <c r="AB184" s="1912"/>
      <c r="AC184" s="1881"/>
      <c r="AD184" s="1913"/>
      <c r="AF184" s="1393"/>
    </row>
    <row r="185" spans="1:32" s="1350" customFormat="1">
      <c r="A185" s="1"/>
      <c r="B185" s="6"/>
      <c r="C185" s="4"/>
      <c r="D185" s="4"/>
      <c r="E185" s="4"/>
      <c r="F185" s="6"/>
      <c r="G185" s="6"/>
      <c r="H185" s="6"/>
      <c r="I185" s="6"/>
      <c r="J185" s="5"/>
      <c r="K185" s="7"/>
      <c r="L185" s="5"/>
      <c r="M185" s="5"/>
      <c r="N185" s="6"/>
      <c r="O185" s="1"/>
      <c r="P185" s="6"/>
      <c r="Q185" s="1878"/>
      <c r="R185" s="1878"/>
      <c r="S185" s="1877"/>
      <c r="T185" s="1877"/>
      <c r="U185" s="1877"/>
      <c r="V185" s="1877"/>
      <c r="W185" s="1878"/>
      <c r="X185" s="1877"/>
      <c r="Y185" s="1877"/>
      <c r="Z185" s="1911"/>
      <c r="AA185" s="1877"/>
      <c r="AB185" s="1912"/>
      <c r="AC185" s="1881"/>
      <c r="AD185" s="1913"/>
      <c r="AF185" s="1393"/>
    </row>
    <row r="186" spans="1:32" s="1350" customFormat="1">
      <c r="A186" s="1"/>
      <c r="B186" s="6"/>
      <c r="C186" s="4"/>
      <c r="D186" s="4"/>
      <c r="E186" s="4"/>
      <c r="F186" s="6"/>
      <c r="G186" s="6"/>
      <c r="H186" s="6"/>
      <c r="I186" s="6"/>
      <c r="J186" s="5"/>
      <c r="K186" s="7"/>
      <c r="L186" s="5"/>
      <c r="M186" s="5"/>
      <c r="N186" s="6"/>
      <c r="O186" s="1"/>
      <c r="P186" s="6"/>
      <c r="Q186" s="1878"/>
      <c r="R186" s="1878"/>
      <c r="S186" s="1877"/>
      <c r="T186" s="1877"/>
      <c r="U186" s="1877"/>
      <c r="V186" s="1877"/>
      <c r="W186" s="1878"/>
      <c r="X186" s="1877"/>
      <c r="Y186" s="1877"/>
      <c r="Z186" s="1911"/>
      <c r="AA186" s="1877"/>
      <c r="AB186" s="1912"/>
      <c r="AC186" s="1881"/>
      <c r="AD186" s="1913"/>
      <c r="AF186" s="1393"/>
    </row>
    <row r="187" spans="1:32" s="1350" customFormat="1">
      <c r="A187" s="1"/>
      <c r="B187" s="6"/>
      <c r="C187" s="4"/>
      <c r="D187" s="4"/>
      <c r="E187" s="4"/>
      <c r="F187" s="6"/>
      <c r="G187" s="6"/>
      <c r="H187" s="6"/>
      <c r="I187" s="6"/>
      <c r="J187" s="5"/>
      <c r="K187" s="7"/>
      <c r="L187" s="5"/>
      <c r="M187" s="5"/>
      <c r="N187" s="6"/>
      <c r="O187" s="1"/>
      <c r="P187" s="6"/>
      <c r="Q187" s="1878"/>
      <c r="R187" s="1878"/>
      <c r="S187" s="1877"/>
      <c r="T187" s="1877"/>
      <c r="U187" s="1877"/>
      <c r="V187" s="1877"/>
      <c r="W187" s="1878"/>
      <c r="X187" s="1877"/>
      <c r="Y187" s="1877"/>
      <c r="Z187" s="1911"/>
      <c r="AA187" s="1877"/>
      <c r="AB187" s="1912"/>
      <c r="AC187" s="1881"/>
      <c r="AD187" s="1913"/>
      <c r="AF187" s="1393"/>
    </row>
    <row r="188" spans="1:32" s="1350" customFormat="1">
      <c r="A188" s="1"/>
      <c r="B188" s="6"/>
      <c r="C188" s="4"/>
      <c r="D188" s="4"/>
      <c r="E188" s="4"/>
      <c r="F188" s="6"/>
      <c r="G188" s="6"/>
      <c r="H188" s="6"/>
      <c r="I188" s="6"/>
      <c r="J188" s="5"/>
      <c r="K188" s="7"/>
      <c r="L188" s="5"/>
      <c r="M188" s="5"/>
      <c r="N188" s="6"/>
      <c r="O188" s="1"/>
      <c r="P188" s="6"/>
      <c r="Q188" s="1878"/>
      <c r="R188" s="1878"/>
      <c r="S188" s="1877"/>
      <c r="T188" s="1877"/>
      <c r="U188" s="1877"/>
      <c r="V188" s="1877"/>
      <c r="W188" s="1878"/>
      <c r="X188" s="1877"/>
      <c r="Y188" s="1877"/>
      <c r="Z188" s="1911"/>
      <c r="AA188" s="1877"/>
      <c r="AB188" s="1912"/>
      <c r="AC188" s="1881"/>
      <c r="AD188" s="1913"/>
      <c r="AF188" s="1393"/>
    </row>
    <row r="189" spans="1:32" s="1350" customFormat="1">
      <c r="A189" s="1"/>
      <c r="B189" s="6"/>
      <c r="C189" s="4"/>
      <c r="D189" s="4"/>
      <c r="E189" s="4"/>
      <c r="F189" s="6"/>
      <c r="G189" s="6"/>
      <c r="H189" s="6"/>
      <c r="I189" s="6"/>
      <c r="J189" s="5"/>
      <c r="K189" s="7"/>
      <c r="L189" s="5"/>
      <c r="M189" s="5"/>
      <c r="N189" s="6"/>
      <c r="O189" s="1"/>
      <c r="P189" s="6"/>
      <c r="Q189" s="1878"/>
      <c r="R189" s="1878"/>
      <c r="S189" s="1877"/>
      <c r="T189" s="1877"/>
      <c r="U189" s="1877"/>
      <c r="V189" s="1877"/>
      <c r="W189" s="1878"/>
      <c r="X189" s="1877"/>
      <c r="Y189" s="1877"/>
      <c r="Z189" s="1911"/>
      <c r="AA189" s="1877"/>
      <c r="AB189" s="1912"/>
      <c r="AC189" s="1881"/>
      <c r="AD189" s="1913"/>
      <c r="AF189" s="1393"/>
    </row>
    <row r="190" spans="1:32" s="1350" customFormat="1">
      <c r="A190" s="1"/>
      <c r="B190" s="6"/>
      <c r="C190" s="4"/>
      <c r="D190" s="4"/>
      <c r="E190" s="4"/>
      <c r="F190" s="6"/>
      <c r="G190" s="6"/>
      <c r="H190" s="6"/>
      <c r="I190" s="6"/>
      <c r="J190" s="5"/>
      <c r="K190" s="7"/>
      <c r="L190" s="5"/>
      <c r="M190" s="5"/>
      <c r="N190" s="6"/>
      <c r="O190" s="1"/>
      <c r="P190" s="6"/>
      <c r="Q190" s="1878"/>
      <c r="R190" s="1878"/>
      <c r="S190" s="1877"/>
      <c r="T190" s="1877"/>
      <c r="U190" s="1877"/>
      <c r="V190" s="1877"/>
      <c r="W190" s="1878"/>
      <c r="X190" s="1877"/>
      <c r="Y190" s="1877"/>
      <c r="Z190" s="1911"/>
      <c r="AA190" s="1877"/>
      <c r="AB190" s="1912"/>
      <c r="AC190" s="1881"/>
      <c r="AD190" s="1913"/>
      <c r="AF190" s="1393"/>
    </row>
    <row r="191" spans="1:32" s="1350" customFormat="1">
      <c r="A191" s="1"/>
      <c r="B191" s="6"/>
      <c r="C191" s="4"/>
      <c r="D191" s="4"/>
      <c r="E191" s="4"/>
      <c r="F191" s="6"/>
      <c r="G191" s="6"/>
      <c r="H191" s="6"/>
      <c r="I191" s="6"/>
      <c r="J191" s="5"/>
      <c r="K191" s="7"/>
      <c r="L191" s="5"/>
      <c r="M191" s="5"/>
      <c r="N191" s="6"/>
      <c r="O191" s="1"/>
      <c r="P191" s="6"/>
      <c r="Q191" s="1878"/>
      <c r="R191" s="1878"/>
      <c r="S191" s="1877"/>
      <c r="T191" s="1877"/>
      <c r="U191" s="1877"/>
      <c r="V191" s="1877"/>
      <c r="W191" s="1878"/>
      <c r="X191" s="1877"/>
      <c r="Y191" s="1877"/>
      <c r="Z191" s="1911"/>
      <c r="AA191" s="1877"/>
      <c r="AB191" s="1912"/>
      <c r="AC191" s="1881"/>
      <c r="AD191" s="1913"/>
      <c r="AF191" s="1393"/>
    </row>
    <row r="192" spans="1:32" s="1350" customFormat="1">
      <c r="A192" s="1"/>
      <c r="B192" s="6"/>
      <c r="C192" s="4"/>
      <c r="D192" s="4"/>
      <c r="E192" s="4"/>
      <c r="F192" s="6"/>
      <c r="G192" s="6"/>
      <c r="H192" s="6"/>
      <c r="I192" s="6"/>
      <c r="J192" s="5"/>
      <c r="K192" s="7"/>
      <c r="L192" s="5"/>
      <c r="M192" s="5"/>
      <c r="N192" s="6"/>
      <c r="O192" s="1"/>
      <c r="P192" s="6"/>
      <c r="Q192" s="1878"/>
      <c r="R192" s="1878"/>
      <c r="S192" s="1877"/>
      <c r="T192" s="1877"/>
      <c r="U192" s="1877"/>
      <c r="V192" s="1877"/>
      <c r="W192" s="1878"/>
      <c r="X192" s="1877"/>
      <c r="Y192" s="1877"/>
      <c r="Z192" s="1911"/>
      <c r="AA192" s="1877"/>
      <c r="AB192" s="1912"/>
      <c r="AC192" s="1881"/>
      <c r="AD192" s="1913"/>
      <c r="AF192" s="1393"/>
    </row>
    <row r="193" spans="1:32" s="1350" customFormat="1">
      <c r="A193" s="1"/>
      <c r="B193" s="6"/>
      <c r="C193" s="4"/>
      <c r="D193" s="4"/>
      <c r="E193" s="4"/>
      <c r="F193" s="6"/>
      <c r="G193" s="6"/>
      <c r="H193" s="6"/>
      <c r="I193" s="6"/>
      <c r="J193" s="5"/>
      <c r="K193" s="7"/>
      <c r="L193" s="5"/>
      <c r="M193" s="5"/>
      <c r="N193" s="6"/>
      <c r="O193" s="1"/>
      <c r="P193" s="6"/>
      <c r="Q193" s="1878"/>
      <c r="R193" s="1878"/>
      <c r="S193" s="1877"/>
      <c r="T193" s="1877"/>
      <c r="U193" s="1877"/>
      <c r="V193" s="1877"/>
      <c r="W193" s="1878"/>
      <c r="X193" s="1877"/>
      <c r="Y193" s="1877"/>
      <c r="Z193" s="1911"/>
      <c r="AA193" s="1877"/>
      <c r="AB193" s="1912"/>
      <c r="AC193" s="1881"/>
      <c r="AD193" s="1913"/>
      <c r="AF193" s="1393"/>
    </row>
    <row r="194" spans="1:32" s="1350" customFormat="1">
      <c r="A194" s="1"/>
      <c r="B194" s="6"/>
      <c r="C194" s="4"/>
      <c r="D194" s="4"/>
      <c r="E194" s="4"/>
      <c r="F194" s="6"/>
      <c r="G194" s="6"/>
      <c r="H194" s="6"/>
      <c r="I194" s="6"/>
      <c r="J194" s="5"/>
      <c r="K194" s="7"/>
      <c r="L194" s="5"/>
      <c r="M194" s="5"/>
      <c r="N194" s="6"/>
      <c r="O194" s="1"/>
      <c r="P194" s="6"/>
      <c r="Q194" s="1878"/>
      <c r="R194" s="1878"/>
      <c r="S194" s="1877"/>
      <c r="T194" s="1877"/>
      <c r="U194" s="1877"/>
      <c r="V194" s="1877"/>
      <c r="W194" s="1878"/>
      <c r="X194" s="1877"/>
      <c r="Y194" s="1877"/>
      <c r="Z194" s="1911"/>
      <c r="AA194" s="1877"/>
      <c r="AB194" s="1912"/>
      <c r="AC194" s="1881"/>
      <c r="AD194" s="1913"/>
      <c r="AF194" s="1393"/>
    </row>
    <row r="195" spans="1:32" s="1350" customFormat="1">
      <c r="A195" s="1"/>
      <c r="B195" s="6"/>
      <c r="C195" s="4"/>
      <c r="D195" s="4"/>
      <c r="E195" s="4"/>
      <c r="F195" s="6"/>
      <c r="G195" s="6"/>
      <c r="H195" s="6"/>
      <c r="I195" s="6"/>
      <c r="J195" s="5"/>
      <c r="K195" s="7"/>
      <c r="L195" s="5"/>
      <c r="M195" s="5"/>
      <c r="N195" s="6"/>
      <c r="O195" s="1"/>
      <c r="P195" s="6"/>
      <c r="Q195" s="1878"/>
      <c r="R195" s="1878"/>
      <c r="S195" s="1877"/>
      <c r="T195" s="1877"/>
      <c r="U195" s="1877"/>
      <c r="V195" s="1877"/>
      <c r="W195" s="1878"/>
      <c r="X195" s="1877"/>
      <c r="Y195" s="1877"/>
      <c r="Z195" s="1911"/>
      <c r="AA195" s="1877"/>
      <c r="AB195" s="1912"/>
      <c r="AC195" s="1881"/>
      <c r="AD195" s="1913"/>
      <c r="AF195" s="1393"/>
    </row>
    <row r="196" spans="1:32" s="1350" customFormat="1">
      <c r="A196" s="1"/>
      <c r="B196" s="6"/>
      <c r="C196" s="4"/>
      <c r="D196" s="4"/>
      <c r="E196" s="4"/>
      <c r="F196" s="6"/>
      <c r="G196" s="6"/>
      <c r="H196" s="6"/>
      <c r="I196" s="6"/>
      <c r="J196" s="5"/>
      <c r="K196" s="7"/>
      <c r="L196" s="5"/>
      <c r="M196" s="5"/>
      <c r="N196" s="6"/>
      <c r="O196" s="1"/>
      <c r="P196" s="6"/>
      <c r="Q196" s="1878"/>
      <c r="R196" s="1878"/>
      <c r="S196" s="1877"/>
      <c r="T196" s="1877"/>
      <c r="U196" s="1877"/>
      <c r="V196" s="1877"/>
      <c r="W196" s="1878"/>
      <c r="X196" s="1877"/>
      <c r="Y196" s="1877"/>
      <c r="Z196" s="1911"/>
      <c r="AA196" s="1877"/>
      <c r="AB196" s="1912"/>
      <c r="AC196" s="1881"/>
      <c r="AD196" s="1913"/>
      <c r="AF196" s="1393"/>
    </row>
    <row r="197" spans="1:32" s="1350" customFormat="1">
      <c r="A197" s="1"/>
      <c r="B197" s="6"/>
      <c r="C197" s="4"/>
      <c r="D197" s="4"/>
      <c r="E197" s="4"/>
      <c r="F197" s="6"/>
      <c r="G197" s="6"/>
      <c r="H197" s="6"/>
      <c r="I197" s="6"/>
      <c r="J197" s="5"/>
      <c r="K197" s="7"/>
      <c r="L197" s="5"/>
      <c r="M197" s="5"/>
      <c r="N197" s="6"/>
      <c r="O197" s="1"/>
      <c r="P197" s="6"/>
      <c r="Q197" s="1878"/>
      <c r="R197" s="1878"/>
      <c r="S197" s="1877"/>
      <c r="T197" s="1877"/>
      <c r="U197" s="1877"/>
      <c r="V197" s="1877"/>
      <c r="W197" s="1878"/>
      <c r="X197" s="1877"/>
      <c r="Y197" s="1877"/>
      <c r="Z197" s="1911"/>
      <c r="AA197" s="1877"/>
      <c r="AB197" s="1912"/>
      <c r="AC197" s="1881"/>
      <c r="AD197" s="1913"/>
      <c r="AF197" s="1393"/>
    </row>
    <row r="198" spans="1:32" s="1350" customFormat="1">
      <c r="A198" s="1"/>
      <c r="B198" s="6"/>
      <c r="C198" s="4"/>
      <c r="D198" s="4"/>
      <c r="E198" s="4"/>
      <c r="F198" s="6"/>
      <c r="G198" s="6"/>
      <c r="H198" s="6"/>
      <c r="I198" s="6"/>
      <c r="J198" s="5"/>
      <c r="K198" s="7"/>
      <c r="L198" s="5"/>
      <c r="M198" s="5"/>
      <c r="N198" s="6"/>
      <c r="O198" s="1"/>
      <c r="P198" s="6"/>
      <c r="Q198" s="1878"/>
      <c r="R198" s="1878"/>
      <c r="S198" s="1877"/>
      <c r="T198" s="1877"/>
      <c r="U198" s="1877"/>
      <c r="V198" s="1877"/>
      <c r="W198" s="1878"/>
      <c r="X198" s="1877"/>
      <c r="Y198" s="1877"/>
      <c r="Z198" s="1911"/>
      <c r="AA198" s="1877"/>
      <c r="AB198" s="1912"/>
      <c r="AC198" s="1881"/>
      <c r="AD198" s="1913"/>
      <c r="AF198" s="1393"/>
    </row>
    <row r="199" spans="1:32" s="1350" customFormat="1">
      <c r="A199" s="1"/>
      <c r="B199" s="6"/>
      <c r="C199" s="4"/>
      <c r="D199" s="4"/>
      <c r="E199" s="4"/>
      <c r="F199" s="6"/>
      <c r="G199" s="6"/>
      <c r="H199" s="6"/>
      <c r="I199" s="6"/>
      <c r="J199" s="5"/>
      <c r="K199" s="7"/>
      <c r="L199" s="5"/>
      <c r="M199" s="5"/>
      <c r="N199" s="6"/>
      <c r="O199" s="1"/>
      <c r="P199" s="6"/>
      <c r="Q199" s="1878"/>
      <c r="R199" s="1878"/>
      <c r="S199" s="1877"/>
      <c r="T199" s="1877"/>
      <c r="U199" s="1877"/>
      <c r="V199" s="1877"/>
      <c r="W199" s="1878"/>
      <c r="X199" s="1877"/>
      <c r="Y199" s="1877"/>
      <c r="Z199" s="1911"/>
      <c r="AA199" s="1877"/>
      <c r="AB199" s="1912"/>
      <c r="AC199" s="1881"/>
      <c r="AD199" s="1913"/>
      <c r="AF199" s="1393"/>
    </row>
    <row r="200" spans="1:32" s="1350" customFormat="1">
      <c r="A200" s="1"/>
      <c r="B200" s="6"/>
      <c r="C200" s="4"/>
      <c r="D200" s="4"/>
      <c r="E200" s="4"/>
      <c r="F200" s="6"/>
      <c r="G200" s="6"/>
      <c r="H200" s="6"/>
      <c r="I200" s="6"/>
      <c r="J200" s="5"/>
      <c r="K200" s="7"/>
      <c r="L200" s="5"/>
      <c r="M200" s="5"/>
      <c r="N200" s="6"/>
      <c r="O200" s="1"/>
      <c r="P200" s="6"/>
      <c r="Q200" s="1878"/>
      <c r="R200" s="1878"/>
      <c r="S200" s="1877"/>
      <c r="T200" s="1877"/>
      <c r="U200" s="1877"/>
      <c r="V200" s="1877"/>
      <c r="W200" s="1878"/>
      <c r="X200" s="1877"/>
      <c r="Y200" s="1877"/>
      <c r="Z200" s="1911"/>
      <c r="AA200" s="1877"/>
      <c r="AB200" s="1912"/>
      <c r="AC200" s="1881"/>
      <c r="AD200" s="1913"/>
      <c r="AF200" s="1393"/>
    </row>
    <row r="201" spans="1:32" s="1350" customFormat="1">
      <c r="A201" s="1"/>
      <c r="B201" s="6"/>
      <c r="C201" s="4"/>
      <c r="D201" s="4"/>
      <c r="E201" s="4"/>
      <c r="F201" s="6"/>
      <c r="G201" s="6"/>
      <c r="H201" s="6"/>
      <c r="I201" s="6"/>
      <c r="J201" s="5"/>
      <c r="K201" s="7"/>
      <c r="L201" s="5"/>
      <c r="M201" s="5"/>
      <c r="N201" s="6"/>
      <c r="O201" s="1"/>
      <c r="P201" s="6"/>
      <c r="Q201" s="1878"/>
      <c r="R201" s="1878"/>
      <c r="S201" s="1877"/>
      <c r="T201" s="1877"/>
      <c r="U201" s="1877"/>
      <c r="V201" s="1877"/>
      <c r="W201" s="1878"/>
      <c r="X201" s="1877"/>
      <c r="Y201" s="1877"/>
      <c r="Z201" s="1911"/>
      <c r="AA201" s="1877"/>
      <c r="AB201" s="1912"/>
      <c r="AC201" s="1881"/>
      <c r="AD201" s="1913"/>
      <c r="AF201" s="1393"/>
    </row>
    <row r="202" spans="1:32" s="1350" customFormat="1">
      <c r="A202" s="1"/>
      <c r="B202" s="6"/>
      <c r="C202" s="4"/>
      <c r="D202" s="4"/>
      <c r="E202" s="4"/>
      <c r="F202" s="6"/>
      <c r="G202" s="6"/>
      <c r="H202" s="6"/>
      <c r="I202" s="6"/>
      <c r="J202" s="5"/>
      <c r="K202" s="7"/>
      <c r="L202" s="5"/>
      <c r="M202" s="5"/>
      <c r="N202" s="6"/>
      <c r="O202" s="1"/>
      <c r="P202" s="6"/>
      <c r="Q202" s="1878"/>
      <c r="R202" s="1878"/>
      <c r="S202" s="1877"/>
      <c r="T202" s="1877"/>
      <c r="U202" s="1877"/>
      <c r="V202" s="1877"/>
      <c r="W202" s="1878"/>
      <c r="X202" s="1877"/>
      <c r="Y202" s="1877"/>
      <c r="Z202" s="1911"/>
      <c r="AA202" s="1877"/>
      <c r="AB202" s="1912"/>
      <c r="AC202" s="1881"/>
      <c r="AD202" s="1913"/>
      <c r="AF202" s="1393"/>
    </row>
    <row r="203" spans="1:32" s="1350" customFormat="1">
      <c r="A203" s="1"/>
      <c r="B203" s="6"/>
      <c r="C203" s="4"/>
      <c r="D203" s="4"/>
      <c r="E203" s="4"/>
      <c r="F203" s="6"/>
      <c r="G203" s="6"/>
      <c r="H203" s="6"/>
      <c r="I203" s="6"/>
      <c r="J203" s="5"/>
      <c r="K203" s="7"/>
      <c r="L203" s="5"/>
      <c r="M203" s="5"/>
      <c r="N203" s="6"/>
      <c r="O203" s="1"/>
      <c r="P203" s="6"/>
      <c r="Q203" s="1878"/>
      <c r="R203" s="1878"/>
      <c r="S203" s="1877"/>
      <c r="T203" s="1877"/>
      <c r="U203" s="1877"/>
      <c r="V203" s="1877"/>
      <c r="W203" s="1878"/>
      <c r="X203" s="1877"/>
      <c r="Y203" s="1877"/>
      <c r="Z203" s="1911"/>
      <c r="AA203" s="1877"/>
      <c r="AB203" s="1912"/>
      <c r="AC203" s="1881"/>
      <c r="AD203" s="1913"/>
      <c r="AF203" s="1393"/>
    </row>
    <row r="204" spans="1:32" s="1350" customFormat="1">
      <c r="A204" s="1"/>
      <c r="B204" s="6"/>
      <c r="C204" s="4"/>
      <c r="D204" s="4"/>
      <c r="E204" s="4"/>
      <c r="F204" s="6"/>
      <c r="G204" s="6"/>
      <c r="H204" s="6"/>
      <c r="I204" s="6"/>
      <c r="J204" s="5"/>
      <c r="K204" s="7"/>
      <c r="L204" s="5"/>
      <c r="M204" s="5"/>
      <c r="N204" s="6"/>
      <c r="O204" s="1"/>
      <c r="P204" s="6"/>
      <c r="Q204" s="1878"/>
      <c r="R204" s="1878"/>
      <c r="S204" s="1877"/>
      <c r="T204" s="1877"/>
      <c r="U204" s="1877"/>
      <c r="V204" s="1877"/>
      <c r="W204" s="1878"/>
      <c r="X204" s="1877"/>
      <c r="Y204" s="1877"/>
      <c r="Z204" s="1911"/>
      <c r="AA204" s="1877"/>
      <c r="AB204" s="1912"/>
      <c r="AC204" s="1881"/>
      <c r="AD204" s="1913"/>
      <c r="AF204" s="1393"/>
    </row>
    <row r="205" spans="1:32" s="1350" customFormat="1">
      <c r="A205" s="1"/>
      <c r="B205" s="6"/>
      <c r="C205" s="4"/>
      <c r="D205" s="4"/>
      <c r="E205" s="4"/>
      <c r="F205" s="6"/>
      <c r="G205" s="6"/>
      <c r="H205" s="6"/>
      <c r="I205" s="6"/>
      <c r="J205" s="5"/>
      <c r="K205" s="7"/>
      <c r="L205" s="5"/>
      <c r="M205" s="5"/>
      <c r="N205" s="6"/>
      <c r="O205" s="1"/>
      <c r="P205" s="6"/>
      <c r="Q205" s="1878"/>
      <c r="R205" s="1878"/>
      <c r="S205" s="1877"/>
      <c r="T205" s="1877"/>
      <c r="U205" s="1877"/>
      <c r="V205" s="1877"/>
      <c r="W205" s="1878"/>
      <c r="X205" s="1877"/>
      <c r="Y205" s="1877"/>
      <c r="Z205" s="1911"/>
      <c r="AA205" s="1877"/>
      <c r="AB205" s="1912"/>
      <c r="AC205" s="1881"/>
      <c r="AD205" s="1913"/>
      <c r="AF205" s="1393"/>
    </row>
    <row r="206" spans="1:32" s="1350" customFormat="1">
      <c r="A206" s="1"/>
      <c r="B206" s="6"/>
      <c r="C206" s="4"/>
      <c r="D206" s="4"/>
      <c r="E206" s="4"/>
      <c r="F206" s="6"/>
      <c r="G206" s="6"/>
      <c r="H206" s="6"/>
      <c r="I206" s="6"/>
      <c r="J206" s="5"/>
      <c r="K206" s="7"/>
      <c r="L206" s="5"/>
      <c r="M206" s="5"/>
      <c r="N206" s="6"/>
      <c r="O206" s="1"/>
      <c r="P206" s="6"/>
      <c r="Q206" s="1878"/>
      <c r="R206" s="1878"/>
      <c r="S206" s="1877"/>
      <c r="T206" s="1877"/>
      <c r="U206" s="1877"/>
      <c r="V206" s="1877"/>
      <c r="W206" s="1878"/>
      <c r="X206" s="1877"/>
      <c r="Y206" s="1877"/>
      <c r="Z206" s="1911"/>
      <c r="AA206" s="1877"/>
      <c r="AB206" s="1912"/>
      <c r="AC206" s="1881"/>
      <c r="AD206" s="1913"/>
      <c r="AF206" s="1393"/>
    </row>
    <row r="207" spans="1:32" s="1350" customFormat="1">
      <c r="A207" s="1"/>
      <c r="B207" s="6"/>
      <c r="C207" s="4"/>
      <c r="D207" s="4"/>
      <c r="E207" s="4"/>
      <c r="F207" s="6"/>
      <c r="G207" s="6"/>
      <c r="H207" s="6"/>
      <c r="I207" s="6"/>
      <c r="J207" s="5"/>
      <c r="K207" s="7"/>
      <c r="L207" s="5"/>
      <c r="M207" s="5"/>
      <c r="N207" s="6"/>
      <c r="O207" s="1"/>
      <c r="P207" s="6"/>
      <c r="Q207" s="1878"/>
      <c r="R207" s="1878"/>
      <c r="S207" s="1877"/>
      <c r="T207" s="1877"/>
      <c r="U207" s="1877"/>
      <c r="V207" s="1877"/>
      <c r="W207" s="1878"/>
      <c r="X207" s="1877"/>
      <c r="Y207" s="1877"/>
      <c r="Z207" s="1911"/>
      <c r="AA207" s="1877"/>
      <c r="AB207" s="1912"/>
      <c r="AC207" s="1881"/>
      <c r="AD207" s="1913"/>
      <c r="AF207" s="1393"/>
    </row>
    <row r="208" spans="1:32" s="1350" customFormat="1">
      <c r="A208" s="1"/>
      <c r="B208" s="6"/>
      <c r="C208" s="4"/>
      <c r="D208" s="4"/>
      <c r="E208" s="4"/>
      <c r="F208" s="6"/>
      <c r="G208" s="6"/>
      <c r="H208" s="6"/>
      <c r="I208" s="6"/>
      <c r="J208" s="5"/>
      <c r="K208" s="7"/>
      <c r="L208" s="5"/>
      <c r="M208" s="5"/>
      <c r="N208" s="6"/>
      <c r="O208" s="1"/>
      <c r="P208" s="6"/>
      <c r="Q208" s="1878"/>
      <c r="R208" s="1878"/>
      <c r="S208" s="1877"/>
      <c r="T208" s="1877"/>
      <c r="U208" s="1877"/>
      <c r="V208" s="1877"/>
      <c r="W208" s="1878"/>
      <c r="X208" s="1877"/>
      <c r="Y208" s="1877"/>
      <c r="Z208" s="1911"/>
      <c r="AA208" s="1877"/>
      <c r="AB208" s="1912"/>
      <c r="AC208" s="1881"/>
      <c r="AD208" s="1913"/>
      <c r="AF208" s="1393"/>
    </row>
    <row r="209" spans="1:32" s="1350" customFormat="1">
      <c r="A209" s="1"/>
      <c r="B209" s="6"/>
      <c r="C209" s="4"/>
      <c r="D209" s="4"/>
      <c r="E209" s="4"/>
      <c r="F209" s="6"/>
      <c r="G209" s="6"/>
      <c r="H209" s="6"/>
      <c r="I209" s="6"/>
      <c r="J209" s="5"/>
      <c r="K209" s="7"/>
      <c r="L209" s="5"/>
      <c r="M209" s="5"/>
      <c r="N209" s="6"/>
      <c r="O209" s="1"/>
      <c r="P209" s="6"/>
      <c r="Q209" s="1878"/>
      <c r="R209" s="1878"/>
      <c r="S209" s="1877"/>
      <c r="T209" s="1877"/>
      <c r="U209" s="1877"/>
      <c r="V209" s="1877"/>
      <c r="W209" s="1878"/>
      <c r="X209" s="1877"/>
      <c r="Y209" s="1877"/>
      <c r="Z209" s="1911"/>
      <c r="AA209" s="1877"/>
      <c r="AB209" s="1912"/>
      <c r="AC209" s="1881"/>
      <c r="AD209" s="1913"/>
      <c r="AF209" s="1393"/>
    </row>
    <row r="210" spans="1:32" s="1350" customFormat="1">
      <c r="A210" s="1"/>
      <c r="B210" s="6"/>
      <c r="C210" s="4"/>
      <c r="D210" s="4"/>
      <c r="E210" s="4"/>
      <c r="F210" s="6"/>
      <c r="G210" s="6"/>
      <c r="H210" s="6"/>
      <c r="I210" s="6"/>
      <c r="J210" s="5"/>
      <c r="K210" s="7"/>
      <c r="L210" s="5"/>
      <c r="M210" s="5"/>
      <c r="N210" s="6"/>
      <c r="O210" s="1"/>
      <c r="P210" s="6"/>
      <c r="Q210" s="1878"/>
      <c r="R210" s="1878"/>
      <c r="S210" s="1877"/>
      <c r="T210" s="1877"/>
      <c r="U210" s="1877"/>
      <c r="V210" s="1877"/>
      <c r="W210" s="1878"/>
      <c r="X210" s="1877"/>
      <c r="Y210" s="1877"/>
      <c r="Z210" s="1911"/>
      <c r="AA210" s="1877"/>
      <c r="AB210" s="1912"/>
      <c r="AC210" s="1881"/>
      <c r="AD210" s="1913"/>
      <c r="AF210" s="1393"/>
    </row>
    <row r="211" spans="1:32" s="1350" customFormat="1">
      <c r="A211" s="1"/>
      <c r="B211" s="6"/>
      <c r="C211" s="4"/>
      <c r="D211" s="4"/>
      <c r="E211" s="4"/>
      <c r="F211" s="6"/>
      <c r="G211" s="6"/>
      <c r="H211" s="6"/>
      <c r="I211" s="6"/>
      <c r="J211" s="5"/>
      <c r="K211" s="7"/>
      <c r="L211" s="5"/>
      <c r="M211" s="5"/>
      <c r="N211" s="6"/>
      <c r="O211" s="1"/>
      <c r="P211" s="6"/>
      <c r="Q211" s="1878"/>
      <c r="R211" s="1878"/>
      <c r="S211" s="1877"/>
      <c r="T211" s="1877"/>
      <c r="U211" s="1877"/>
      <c r="V211" s="1877"/>
      <c r="W211" s="1878"/>
      <c r="X211" s="1877"/>
      <c r="Y211" s="1877"/>
      <c r="Z211" s="1911"/>
      <c r="AA211" s="1877"/>
      <c r="AB211" s="1912"/>
      <c r="AC211" s="1881"/>
      <c r="AD211" s="1913"/>
      <c r="AF211" s="1393"/>
    </row>
    <row r="212" spans="1:32" s="1350" customFormat="1">
      <c r="A212" s="1"/>
      <c r="B212" s="6"/>
      <c r="C212" s="4"/>
      <c r="D212" s="4"/>
      <c r="E212" s="4"/>
      <c r="F212" s="6"/>
      <c r="G212" s="6"/>
      <c r="H212" s="6"/>
      <c r="I212" s="6"/>
      <c r="J212" s="5"/>
      <c r="K212" s="7"/>
      <c r="L212" s="5"/>
      <c r="M212" s="5"/>
      <c r="N212" s="6"/>
      <c r="O212" s="1"/>
      <c r="P212" s="6"/>
      <c r="Q212" s="1878"/>
      <c r="R212" s="1878"/>
      <c r="S212" s="1877"/>
      <c r="T212" s="1877"/>
      <c r="U212" s="1877"/>
      <c r="V212" s="1877"/>
      <c r="W212" s="1878"/>
      <c r="X212" s="1877"/>
      <c r="Y212" s="1877"/>
      <c r="Z212" s="1911"/>
      <c r="AA212" s="1877"/>
      <c r="AB212" s="1912"/>
      <c r="AC212" s="1881"/>
      <c r="AD212" s="1913"/>
      <c r="AF212" s="1393"/>
    </row>
    <row r="213" spans="1:32" s="1350" customFormat="1">
      <c r="A213" s="1"/>
      <c r="B213" s="6"/>
      <c r="C213" s="4"/>
      <c r="D213" s="4"/>
      <c r="E213" s="4"/>
      <c r="F213" s="6"/>
      <c r="G213" s="6"/>
      <c r="H213" s="6"/>
      <c r="I213" s="6"/>
      <c r="J213" s="5"/>
      <c r="K213" s="7"/>
      <c r="L213" s="5"/>
      <c r="M213" s="5"/>
      <c r="N213" s="6"/>
      <c r="O213" s="1"/>
      <c r="P213" s="6"/>
      <c r="Q213" s="1878"/>
      <c r="R213" s="1878"/>
      <c r="S213" s="1877"/>
      <c r="T213" s="1877"/>
      <c r="U213" s="1877"/>
      <c r="V213" s="1877"/>
      <c r="W213" s="1878"/>
      <c r="X213" s="1877"/>
      <c r="Y213" s="1877"/>
      <c r="Z213" s="1911"/>
      <c r="AA213" s="1877"/>
      <c r="AB213" s="1912"/>
      <c r="AC213" s="1881"/>
      <c r="AD213" s="1913"/>
      <c r="AF213" s="1393"/>
    </row>
    <row r="214" spans="1:32" s="1350" customFormat="1">
      <c r="A214" s="1"/>
      <c r="B214" s="6"/>
      <c r="C214" s="4"/>
      <c r="D214" s="4"/>
      <c r="E214" s="4"/>
      <c r="F214" s="6"/>
      <c r="G214" s="6"/>
      <c r="H214" s="6"/>
      <c r="I214" s="6"/>
      <c r="J214" s="5"/>
      <c r="K214" s="7"/>
      <c r="L214" s="5"/>
      <c r="M214" s="5"/>
      <c r="N214" s="6"/>
      <c r="O214" s="1"/>
      <c r="P214" s="6"/>
      <c r="Q214" s="1878"/>
      <c r="R214" s="1878"/>
      <c r="S214" s="1877"/>
      <c r="T214" s="1877"/>
      <c r="U214" s="1877"/>
      <c r="V214" s="1877"/>
      <c r="W214" s="1878"/>
      <c r="X214" s="1877"/>
      <c r="Y214" s="1877"/>
      <c r="Z214" s="1911"/>
      <c r="AA214" s="1877"/>
      <c r="AB214" s="1912"/>
      <c r="AC214" s="1881"/>
      <c r="AD214" s="1913"/>
      <c r="AF214" s="1393"/>
    </row>
    <row r="215" spans="1:32" s="1350" customFormat="1">
      <c r="A215" s="1"/>
      <c r="B215" s="6"/>
      <c r="C215" s="4"/>
      <c r="D215" s="4"/>
      <c r="E215" s="4"/>
      <c r="F215" s="6"/>
      <c r="G215" s="6"/>
      <c r="H215" s="6"/>
      <c r="I215" s="6"/>
      <c r="J215" s="5"/>
      <c r="K215" s="7"/>
      <c r="L215" s="5"/>
      <c r="M215" s="5"/>
      <c r="N215" s="6"/>
      <c r="O215" s="1"/>
      <c r="P215" s="6"/>
      <c r="Q215" s="1878"/>
      <c r="R215" s="1878"/>
      <c r="S215" s="1877"/>
      <c r="T215" s="1877"/>
      <c r="U215" s="1877"/>
      <c r="V215" s="1877"/>
      <c r="W215" s="1878"/>
      <c r="X215" s="1877"/>
      <c r="Y215" s="1877"/>
      <c r="Z215" s="1911"/>
      <c r="AA215" s="1877"/>
      <c r="AB215" s="1912"/>
      <c r="AC215" s="1881"/>
      <c r="AD215" s="1913"/>
      <c r="AF215" s="1393"/>
    </row>
    <row r="216" spans="1:32" s="1350" customFormat="1">
      <c r="A216" s="1"/>
      <c r="B216" s="6"/>
      <c r="C216" s="4"/>
      <c r="D216" s="4"/>
      <c r="E216" s="4"/>
      <c r="F216" s="6"/>
      <c r="G216" s="6"/>
      <c r="H216" s="6"/>
      <c r="I216" s="6"/>
      <c r="J216" s="5"/>
      <c r="K216" s="7"/>
      <c r="L216" s="5"/>
      <c r="M216" s="5"/>
      <c r="N216" s="6"/>
      <c r="O216" s="1"/>
      <c r="P216" s="6"/>
      <c r="Q216" s="1878"/>
      <c r="R216" s="1878"/>
      <c r="S216" s="1877"/>
      <c r="T216" s="1877"/>
      <c r="U216" s="1877"/>
      <c r="V216" s="1877"/>
      <c r="W216" s="1878"/>
      <c r="X216" s="1877"/>
      <c r="Y216" s="1877"/>
      <c r="Z216" s="1911"/>
      <c r="AA216" s="1877"/>
      <c r="AB216" s="1912"/>
      <c r="AC216" s="1881"/>
      <c r="AD216" s="1913"/>
      <c r="AF216" s="1393"/>
    </row>
    <row r="217" spans="1:32" s="1350" customFormat="1">
      <c r="A217" s="1"/>
      <c r="B217" s="6"/>
      <c r="C217" s="4"/>
      <c r="D217" s="4"/>
      <c r="E217" s="4"/>
      <c r="F217" s="6"/>
      <c r="G217" s="6"/>
      <c r="H217" s="6"/>
      <c r="I217" s="6"/>
      <c r="J217" s="5"/>
      <c r="K217" s="7"/>
      <c r="L217" s="5"/>
      <c r="M217" s="5"/>
      <c r="N217" s="6"/>
      <c r="O217" s="1"/>
      <c r="P217" s="6"/>
      <c r="Q217" s="1878"/>
      <c r="R217" s="1878"/>
      <c r="S217" s="1877"/>
      <c r="T217" s="1877"/>
      <c r="U217" s="1877"/>
      <c r="V217" s="1877"/>
      <c r="W217" s="1878"/>
      <c r="X217" s="1877"/>
      <c r="Y217" s="1877"/>
      <c r="Z217" s="1911"/>
      <c r="AA217" s="1877"/>
      <c r="AB217" s="1912"/>
      <c r="AC217" s="1881"/>
      <c r="AD217" s="1913"/>
      <c r="AF217" s="1393"/>
    </row>
    <row r="218" spans="1:32" s="1350" customFormat="1">
      <c r="A218" s="1"/>
      <c r="B218" s="6"/>
      <c r="C218" s="4"/>
      <c r="D218" s="4"/>
      <c r="E218" s="4"/>
      <c r="F218" s="6"/>
      <c r="G218" s="6"/>
      <c r="H218" s="6"/>
      <c r="I218" s="6"/>
      <c r="J218" s="5"/>
      <c r="K218" s="7"/>
      <c r="L218" s="5"/>
      <c r="M218" s="5"/>
      <c r="N218" s="6"/>
      <c r="O218" s="1"/>
      <c r="P218" s="6"/>
      <c r="Q218" s="1878"/>
      <c r="R218" s="1878"/>
      <c r="S218" s="1877"/>
      <c r="T218" s="1877"/>
      <c r="U218" s="1877"/>
      <c r="V218" s="1877"/>
      <c r="W218" s="1878"/>
      <c r="X218" s="1877"/>
      <c r="Y218" s="1877"/>
      <c r="Z218" s="1911"/>
      <c r="AA218" s="1877"/>
      <c r="AB218" s="1912"/>
      <c r="AC218" s="1881"/>
      <c r="AD218" s="1913"/>
      <c r="AF218" s="1393"/>
    </row>
    <row r="219" spans="1:32" s="1350" customFormat="1">
      <c r="A219" s="1"/>
      <c r="B219" s="6"/>
      <c r="C219" s="4"/>
      <c r="D219" s="4"/>
      <c r="E219" s="4"/>
      <c r="F219" s="6"/>
      <c r="G219" s="6"/>
      <c r="H219" s="6"/>
      <c r="I219" s="6"/>
      <c r="J219" s="5"/>
      <c r="K219" s="7"/>
      <c r="L219" s="5"/>
      <c r="M219" s="5"/>
      <c r="N219" s="6"/>
      <c r="O219" s="1"/>
      <c r="P219" s="6"/>
      <c r="Q219" s="1878"/>
      <c r="R219" s="1878"/>
      <c r="S219" s="1877"/>
      <c r="T219" s="1877"/>
      <c r="U219" s="1877"/>
      <c r="V219" s="1877"/>
      <c r="W219" s="1878"/>
      <c r="X219" s="1877"/>
      <c r="Y219" s="1877"/>
      <c r="Z219" s="1911"/>
      <c r="AA219" s="1877"/>
      <c r="AB219" s="1912"/>
      <c r="AC219" s="1881"/>
      <c r="AD219" s="1913"/>
      <c r="AF219" s="1393"/>
    </row>
    <row r="220" spans="1:32" s="1350" customFormat="1">
      <c r="A220" s="1"/>
      <c r="B220" s="6"/>
      <c r="C220" s="4"/>
      <c r="D220" s="4"/>
      <c r="E220" s="4"/>
      <c r="F220" s="6"/>
      <c r="G220" s="6"/>
      <c r="H220" s="6"/>
      <c r="I220" s="6"/>
      <c r="J220" s="5"/>
      <c r="K220" s="7"/>
      <c r="L220" s="5"/>
      <c r="M220" s="5"/>
      <c r="N220" s="6"/>
      <c r="O220" s="1"/>
      <c r="P220" s="6"/>
      <c r="Q220" s="1878"/>
      <c r="R220" s="1878"/>
      <c r="S220" s="1877"/>
      <c r="T220" s="1877"/>
      <c r="U220" s="1877"/>
      <c r="V220" s="1877"/>
      <c r="W220" s="1878"/>
      <c r="X220" s="1877"/>
      <c r="Y220" s="1877"/>
      <c r="Z220" s="1911"/>
      <c r="AA220" s="1877"/>
      <c r="AB220" s="1912"/>
      <c r="AC220" s="1881"/>
      <c r="AD220" s="1913"/>
      <c r="AF220" s="1393"/>
    </row>
    <row r="221" spans="1:32" s="1350" customFormat="1">
      <c r="A221" s="1"/>
      <c r="B221" s="6"/>
      <c r="C221" s="4"/>
      <c r="D221" s="4"/>
      <c r="E221" s="4"/>
      <c r="F221" s="6"/>
      <c r="G221" s="6"/>
      <c r="H221" s="6"/>
      <c r="I221" s="6"/>
      <c r="J221" s="5"/>
      <c r="K221" s="7"/>
      <c r="L221" s="5"/>
      <c r="M221" s="5"/>
      <c r="N221" s="6"/>
      <c r="O221" s="1"/>
      <c r="P221" s="6"/>
      <c r="Q221" s="1878"/>
      <c r="R221" s="1878"/>
      <c r="S221" s="1877"/>
      <c r="T221" s="1877"/>
      <c r="U221" s="1877"/>
      <c r="V221" s="1877"/>
      <c r="W221" s="1878"/>
      <c r="X221" s="1877"/>
      <c r="Y221" s="1877"/>
      <c r="Z221" s="1911"/>
      <c r="AA221" s="1877"/>
      <c r="AB221" s="1912"/>
      <c r="AC221" s="1881"/>
      <c r="AD221" s="1913"/>
      <c r="AF221" s="1393"/>
    </row>
    <row r="222" spans="1:32" s="1350" customFormat="1">
      <c r="A222" s="1"/>
      <c r="B222" s="6"/>
      <c r="C222" s="4"/>
      <c r="D222" s="4"/>
      <c r="E222" s="4"/>
      <c r="F222" s="6"/>
      <c r="G222" s="6"/>
      <c r="H222" s="6"/>
      <c r="I222" s="6"/>
      <c r="J222" s="5"/>
      <c r="K222" s="7"/>
      <c r="L222" s="5"/>
      <c r="M222" s="5"/>
      <c r="N222" s="6"/>
      <c r="O222" s="1"/>
      <c r="P222" s="6"/>
      <c r="Q222" s="1878"/>
      <c r="R222" s="1878"/>
      <c r="S222" s="1877"/>
      <c r="T222" s="1877"/>
      <c r="U222" s="1877"/>
      <c r="V222" s="1877"/>
      <c r="W222" s="1878"/>
      <c r="X222" s="1877"/>
      <c r="Y222" s="1877"/>
      <c r="Z222" s="1911"/>
      <c r="AA222" s="1877"/>
      <c r="AB222" s="1912"/>
      <c r="AC222" s="1881"/>
      <c r="AD222" s="1913"/>
      <c r="AF222" s="1393"/>
    </row>
    <row r="223" spans="1:32" s="1350" customFormat="1">
      <c r="A223" s="1"/>
      <c r="B223" s="6"/>
      <c r="C223" s="4"/>
      <c r="D223" s="4"/>
      <c r="E223" s="4"/>
      <c r="F223" s="6"/>
      <c r="G223" s="6"/>
      <c r="H223" s="6"/>
      <c r="I223" s="6"/>
      <c r="J223" s="5"/>
      <c r="K223" s="7"/>
      <c r="L223" s="5"/>
      <c r="M223" s="5"/>
      <c r="N223" s="6"/>
      <c r="O223" s="1"/>
      <c r="P223" s="6"/>
      <c r="Q223" s="1878"/>
      <c r="R223" s="1878"/>
      <c r="S223" s="1877"/>
      <c r="T223" s="1877"/>
      <c r="U223" s="1877"/>
      <c r="V223" s="1877"/>
      <c r="W223" s="1878"/>
      <c r="X223" s="1877"/>
      <c r="Y223" s="1877"/>
      <c r="Z223" s="1911"/>
      <c r="AA223" s="1877"/>
      <c r="AB223" s="1912"/>
      <c r="AC223" s="1881"/>
      <c r="AD223" s="1913"/>
      <c r="AF223" s="1393"/>
    </row>
    <row r="224" spans="1:32" s="1350" customFormat="1">
      <c r="A224" s="1"/>
      <c r="B224" s="6"/>
      <c r="C224" s="4"/>
      <c r="D224" s="4"/>
      <c r="E224" s="4"/>
      <c r="F224" s="6"/>
      <c r="G224" s="6"/>
      <c r="H224" s="6"/>
      <c r="I224" s="6"/>
      <c r="J224" s="5"/>
      <c r="K224" s="7"/>
      <c r="L224" s="5"/>
      <c r="M224" s="5"/>
      <c r="N224" s="6"/>
      <c r="O224" s="1"/>
      <c r="P224" s="6"/>
      <c r="Q224" s="1878"/>
      <c r="R224" s="1878"/>
      <c r="S224" s="1877"/>
      <c r="T224" s="1877"/>
      <c r="U224" s="1877"/>
      <c r="V224" s="1877"/>
      <c r="W224" s="1878"/>
      <c r="X224" s="1877"/>
      <c r="Y224" s="1877"/>
      <c r="Z224" s="1911"/>
      <c r="AA224" s="1877"/>
      <c r="AB224" s="1912"/>
      <c r="AC224" s="1881"/>
      <c r="AD224" s="1913"/>
      <c r="AF224" s="1393"/>
    </row>
    <row r="225" spans="1:32" s="1350" customFormat="1">
      <c r="A225" s="1"/>
      <c r="B225" s="6"/>
      <c r="C225" s="4"/>
      <c r="D225" s="4"/>
      <c r="E225" s="4"/>
      <c r="F225" s="6"/>
      <c r="G225" s="6"/>
      <c r="H225" s="6"/>
      <c r="I225" s="6"/>
      <c r="J225" s="5"/>
      <c r="K225" s="7"/>
      <c r="L225" s="5"/>
      <c r="M225" s="5"/>
      <c r="N225" s="6"/>
      <c r="O225" s="1"/>
      <c r="P225" s="6"/>
      <c r="Q225" s="1878"/>
      <c r="R225" s="1878"/>
      <c r="S225" s="1877"/>
      <c r="T225" s="1877"/>
      <c r="U225" s="1877"/>
      <c r="V225" s="1877"/>
      <c r="W225" s="1878"/>
      <c r="X225" s="1877"/>
      <c r="Y225" s="1877"/>
      <c r="Z225" s="1911"/>
      <c r="AA225" s="1877"/>
      <c r="AB225" s="1912"/>
      <c r="AC225" s="1881"/>
      <c r="AD225" s="1913"/>
      <c r="AF225" s="1393"/>
    </row>
    <row r="226" spans="1:32" s="1350" customFormat="1">
      <c r="A226" s="1"/>
      <c r="B226" s="6"/>
      <c r="C226" s="4"/>
      <c r="D226" s="4"/>
      <c r="E226" s="4"/>
      <c r="F226" s="6"/>
      <c r="G226" s="6"/>
      <c r="H226" s="6"/>
      <c r="I226" s="6"/>
      <c r="J226" s="5"/>
      <c r="K226" s="7"/>
      <c r="L226" s="5"/>
      <c r="M226" s="5"/>
      <c r="N226" s="6"/>
      <c r="O226" s="1"/>
      <c r="P226" s="6"/>
      <c r="Q226" s="1878"/>
      <c r="R226" s="1878"/>
      <c r="S226" s="1877"/>
      <c r="T226" s="1877"/>
      <c r="U226" s="1877"/>
      <c r="V226" s="1877"/>
      <c r="W226" s="1878"/>
      <c r="X226" s="1877"/>
      <c r="Y226" s="1877"/>
      <c r="Z226" s="1911"/>
      <c r="AA226" s="1877"/>
      <c r="AB226" s="1912"/>
      <c r="AC226" s="1881"/>
      <c r="AD226" s="1913"/>
      <c r="AF226" s="1393"/>
    </row>
    <row r="227" spans="1:32" s="1350" customFormat="1">
      <c r="A227" s="1"/>
      <c r="B227" s="6"/>
      <c r="C227" s="4"/>
      <c r="D227" s="4"/>
      <c r="E227" s="4"/>
      <c r="F227" s="6"/>
      <c r="G227" s="6"/>
      <c r="H227" s="6"/>
      <c r="I227" s="6"/>
      <c r="J227" s="5"/>
      <c r="K227" s="7"/>
      <c r="L227" s="5"/>
      <c r="M227" s="5"/>
      <c r="N227" s="6"/>
      <c r="O227" s="1"/>
      <c r="P227" s="6"/>
      <c r="Q227" s="1878"/>
      <c r="R227" s="1878"/>
      <c r="S227" s="1877"/>
      <c r="T227" s="1877"/>
      <c r="U227" s="1877"/>
      <c r="V227" s="1877"/>
      <c r="W227" s="1878"/>
      <c r="X227" s="1877"/>
      <c r="Y227" s="1877"/>
      <c r="Z227" s="1911"/>
      <c r="AA227" s="1877"/>
      <c r="AB227" s="1912"/>
      <c r="AC227" s="1881"/>
      <c r="AD227" s="1913"/>
      <c r="AF227" s="1393"/>
    </row>
    <row r="228" spans="1:32" s="1350" customFormat="1">
      <c r="A228" s="1"/>
      <c r="B228" s="6"/>
      <c r="C228" s="4"/>
      <c r="D228" s="4"/>
      <c r="E228" s="4"/>
      <c r="F228" s="6"/>
      <c r="G228" s="6"/>
      <c r="H228" s="6"/>
      <c r="I228" s="6"/>
      <c r="J228" s="5"/>
      <c r="K228" s="7"/>
      <c r="L228" s="5"/>
      <c r="M228" s="5"/>
      <c r="N228" s="6"/>
      <c r="O228" s="1"/>
      <c r="P228" s="6"/>
      <c r="Q228" s="1878"/>
      <c r="R228" s="1878"/>
      <c r="S228" s="1877"/>
      <c r="T228" s="1877"/>
      <c r="U228" s="1877"/>
      <c r="V228" s="1877"/>
      <c r="W228" s="1878"/>
      <c r="X228" s="1877"/>
      <c r="Y228" s="1877"/>
      <c r="Z228" s="1911"/>
      <c r="AA228" s="1877"/>
      <c r="AB228" s="1912"/>
      <c r="AC228" s="1881"/>
      <c r="AD228" s="1913"/>
      <c r="AF228" s="1393"/>
    </row>
    <row r="229" spans="1:32" s="1350" customFormat="1">
      <c r="A229" s="1"/>
      <c r="B229" s="6"/>
      <c r="C229" s="4"/>
      <c r="D229" s="4"/>
      <c r="E229" s="4"/>
      <c r="F229" s="6"/>
      <c r="G229" s="6"/>
      <c r="H229" s="6"/>
      <c r="I229" s="6"/>
      <c r="J229" s="5"/>
      <c r="K229" s="7"/>
      <c r="L229" s="5"/>
      <c r="M229" s="5"/>
      <c r="N229" s="6"/>
      <c r="O229" s="1"/>
      <c r="P229" s="6"/>
      <c r="Q229" s="1878"/>
      <c r="R229" s="1878"/>
      <c r="S229" s="1877"/>
      <c r="T229" s="1877"/>
      <c r="U229" s="1877"/>
      <c r="V229" s="1877"/>
      <c r="W229" s="1878"/>
      <c r="X229" s="1877"/>
      <c r="Y229" s="1877"/>
      <c r="Z229" s="1911"/>
      <c r="AA229" s="1877"/>
      <c r="AB229" s="1912"/>
      <c r="AC229" s="1881"/>
      <c r="AD229" s="1913"/>
      <c r="AF229" s="1393"/>
    </row>
    <row r="230" spans="1:32" s="1350" customFormat="1">
      <c r="A230" s="1"/>
      <c r="B230" s="6"/>
      <c r="C230" s="4"/>
      <c r="D230" s="4"/>
      <c r="E230" s="4"/>
      <c r="F230" s="6"/>
      <c r="G230" s="6"/>
      <c r="H230" s="6"/>
      <c r="I230" s="6"/>
      <c r="J230" s="5"/>
      <c r="K230" s="7"/>
      <c r="L230" s="5"/>
      <c r="M230" s="5"/>
      <c r="N230" s="6"/>
      <c r="O230" s="1"/>
      <c r="P230" s="6"/>
      <c r="Q230" s="1878"/>
      <c r="R230" s="1878"/>
      <c r="S230" s="1877"/>
      <c r="T230" s="1877"/>
      <c r="U230" s="1877"/>
      <c r="V230" s="1877"/>
      <c r="W230" s="1878"/>
      <c r="X230" s="1877"/>
      <c r="Y230" s="1877"/>
      <c r="Z230" s="1911"/>
      <c r="AA230" s="1877"/>
      <c r="AB230" s="1912"/>
      <c r="AC230" s="1881"/>
      <c r="AD230" s="1913"/>
      <c r="AF230" s="1393"/>
    </row>
    <row r="231" spans="1:32" s="1350" customFormat="1">
      <c r="A231" s="1"/>
      <c r="B231" s="6"/>
      <c r="C231" s="4"/>
      <c r="D231" s="4"/>
      <c r="E231" s="4"/>
      <c r="F231" s="6"/>
      <c r="G231" s="6"/>
      <c r="H231" s="6"/>
      <c r="I231" s="6"/>
      <c r="J231" s="5"/>
      <c r="K231" s="7"/>
      <c r="L231" s="5"/>
      <c r="M231" s="5"/>
      <c r="N231" s="6"/>
      <c r="O231" s="1"/>
      <c r="P231" s="6"/>
      <c r="Q231" s="1878"/>
      <c r="R231" s="1878"/>
      <c r="S231" s="1877"/>
      <c r="T231" s="1877"/>
      <c r="U231" s="1877"/>
      <c r="V231" s="1877"/>
      <c r="W231" s="1878"/>
      <c r="X231" s="1877"/>
      <c r="Y231" s="1877"/>
      <c r="Z231" s="1911"/>
      <c r="AA231" s="1877"/>
      <c r="AB231" s="1912"/>
      <c r="AC231" s="1881"/>
      <c r="AD231" s="1913"/>
      <c r="AF231" s="1393"/>
    </row>
    <row r="232" spans="1:32" s="1350" customFormat="1">
      <c r="A232" s="1"/>
      <c r="B232" s="6"/>
      <c r="C232" s="4"/>
      <c r="D232" s="4"/>
      <c r="E232" s="4"/>
      <c r="F232" s="6"/>
      <c r="G232" s="6"/>
      <c r="H232" s="6"/>
      <c r="I232" s="6"/>
      <c r="J232" s="5"/>
      <c r="K232" s="7"/>
      <c r="L232" s="5"/>
      <c r="M232" s="5"/>
      <c r="N232" s="6"/>
      <c r="O232" s="1"/>
      <c r="P232" s="6"/>
      <c r="Q232" s="1878"/>
      <c r="R232" s="1878"/>
      <c r="S232" s="1877"/>
      <c r="T232" s="1877"/>
      <c r="U232" s="1877"/>
      <c r="V232" s="1877"/>
      <c r="W232" s="1878"/>
      <c r="X232" s="1877"/>
      <c r="Y232" s="1877"/>
      <c r="Z232" s="1911"/>
      <c r="AA232" s="1877"/>
      <c r="AB232" s="1912"/>
      <c r="AC232" s="1881"/>
      <c r="AD232" s="1913"/>
      <c r="AF232" s="1393"/>
    </row>
    <row r="233" spans="1:32" s="1350" customFormat="1">
      <c r="A233" s="1"/>
      <c r="B233" s="6"/>
      <c r="C233" s="4"/>
      <c r="D233" s="4"/>
      <c r="E233" s="4"/>
      <c r="F233" s="6"/>
      <c r="G233" s="6"/>
      <c r="H233" s="6"/>
      <c r="I233" s="6"/>
      <c r="J233" s="5"/>
      <c r="K233" s="7"/>
      <c r="L233" s="5"/>
      <c r="M233" s="5"/>
      <c r="N233" s="6"/>
      <c r="O233" s="1"/>
      <c r="P233" s="6"/>
      <c r="Q233" s="1878"/>
      <c r="R233" s="1878"/>
      <c r="S233" s="1877"/>
      <c r="T233" s="1877"/>
      <c r="U233" s="1877"/>
      <c r="V233" s="1877"/>
      <c r="W233" s="1878"/>
      <c r="X233" s="1877"/>
      <c r="Y233" s="1877"/>
      <c r="Z233" s="1911"/>
      <c r="AA233" s="1877"/>
      <c r="AB233" s="1912"/>
      <c r="AC233" s="1881"/>
      <c r="AD233" s="1913"/>
      <c r="AF233" s="1393"/>
    </row>
    <row r="234" spans="1:32" s="1350" customFormat="1">
      <c r="A234" s="1"/>
      <c r="B234" s="6"/>
      <c r="C234" s="4"/>
      <c r="D234" s="4"/>
      <c r="E234" s="4"/>
      <c r="F234" s="6"/>
      <c r="G234" s="6"/>
      <c r="H234" s="6"/>
      <c r="I234" s="6"/>
      <c r="J234" s="5"/>
      <c r="K234" s="7"/>
      <c r="L234" s="5"/>
      <c r="M234" s="5"/>
      <c r="N234" s="6"/>
      <c r="O234" s="1"/>
      <c r="P234" s="6"/>
      <c r="Q234" s="1878"/>
      <c r="R234" s="1878"/>
      <c r="S234" s="1877"/>
      <c r="T234" s="1877"/>
      <c r="U234" s="1877"/>
      <c r="V234" s="1877"/>
      <c r="W234" s="1878"/>
      <c r="X234" s="1877"/>
      <c r="Y234" s="1877"/>
      <c r="Z234" s="1911"/>
      <c r="AA234" s="1877"/>
      <c r="AB234" s="1912"/>
      <c r="AC234" s="1881"/>
      <c r="AD234" s="1913"/>
      <c r="AF234" s="1393"/>
    </row>
    <row r="235" spans="1:32" s="1350" customFormat="1">
      <c r="A235" s="1"/>
      <c r="B235" s="6"/>
      <c r="C235" s="4"/>
      <c r="D235" s="4"/>
      <c r="E235" s="4"/>
      <c r="F235" s="6"/>
      <c r="G235" s="6"/>
      <c r="H235" s="6"/>
      <c r="I235" s="6"/>
      <c r="J235" s="5"/>
      <c r="K235" s="7"/>
      <c r="L235" s="5"/>
      <c r="M235" s="5"/>
      <c r="N235" s="6"/>
      <c r="O235" s="1"/>
      <c r="P235" s="6"/>
      <c r="Q235" s="1878"/>
      <c r="R235" s="1878"/>
      <c r="S235" s="1877"/>
      <c r="T235" s="1877"/>
      <c r="U235" s="1877"/>
      <c r="V235" s="1877"/>
      <c r="W235" s="1878"/>
      <c r="X235" s="1877"/>
      <c r="Y235" s="1877"/>
      <c r="Z235" s="1911"/>
      <c r="AA235" s="1877"/>
      <c r="AB235" s="1912"/>
      <c r="AC235" s="1881"/>
      <c r="AD235" s="1913"/>
      <c r="AF235" s="1393"/>
    </row>
    <row r="236" spans="1:32" s="1350" customFormat="1">
      <c r="A236" s="1"/>
      <c r="B236" s="6"/>
      <c r="C236" s="4"/>
      <c r="D236" s="4"/>
      <c r="E236" s="4"/>
      <c r="F236" s="6"/>
      <c r="G236" s="6"/>
      <c r="H236" s="6"/>
      <c r="I236" s="6"/>
      <c r="J236" s="5"/>
      <c r="K236" s="7"/>
      <c r="L236" s="5"/>
      <c r="M236" s="5"/>
      <c r="N236" s="6"/>
      <c r="O236" s="1"/>
      <c r="P236" s="6"/>
      <c r="Q236" s="1878"/>
      <c r="R236" s="1878"/>
      <c r="S236" s="1877"/>
      <c r="T236" s="1877"/>
      <c r="U236" s="1877"/>
      <c r="V236" s="1877"/>
      <c r="W236" s="1878"/>
      <c r="X236" s="1877"/>
      <c r="Y236" s="1877"/>
      <c r="Z236" s="1911"/>
      <c r="AA236" s="1877"/>
      <c r="AB236" s="1912"/>
      <c r="AC236" s="1881"/>
      <c r="AD236" s="1913"/>
      <c r="AF236" s="1393"/>
    </row>
    <row r="237" spans="1:32" s="1350" customFormat="1">
      <c r="A237" s="1"/>
      <c r="B237" s="6"/>
      <c r="C237" s="4"/>
      <c r="D237" s="4"/>
      <c r="E237" s="4"/>
      <c r="F237" s="6"/>
      <c r="G237" s="6"/>
      <c r="H237" s="6"/>
      <c r="I237" s="6"/>
      <c r="J237" s="5"/>
      <c r="K237" s="7"/>
      <c r="L237" s="5"/>
      <c r="M237" s="5"/>
      <c r="N237" s="6"/>
      <c r="O237" s="1"/>
      <c r="P237" s="6"/>
      <c r="Q237" s="1878"/>
      <c r="R237" s="1878"/>
      <c r="S237" s="1877"/>
      <c r="T237" s="1877"/>
      <c r="U237" s="1877"/>
      <c r="V237" s="1877"/>
      <c r="W237" s="1878"/>
      <c r="X237" s="1877"/>
      <c r="Y237" s="1877"/>
      <c r="Z237" s="1911"/>
      <c r="AA237" s="1877"/>
      <c r="AB237" s="1912"/>
      <c r="AC237" s="1881"/>
      <c r="AD237" s="1913"/>
      <c r="AF237" s="1393"/>
    </row>
    <row r="238" spans="1:32" s="1350" customFormat="1">
      <c r="A238" s="1"/>
      <c r="B238" s="6"/>
      <c r="C238" s="4"/>
      <c r="D238" s="4"/>
      <c r="E238" s="4"/>
      <c r="F238" s="6"/>
      <c r="G238" s="6"/>
      <c r="H238" s="6"/>
      <c r="I238" s="6"/>
      <c r="J238" s="5"/>
      <c r="K238" s="7"/>
      <c r="L238" s="5"/>
      <c r="M238" s="5"/>
      <c r="N238" s="6"/>
      <c r="O238" s="1"/>
      <c r="P238" s="6"/>
      <c r="Q238" s="1878"/>
      <c r="R238" s="1878"/>
      <c r="S238" s="1877"/>
      <c r="T238" s="1877"/>
      <c r="U238" s="1877"/>
      <c r="V238" s="1877"/>
      <c r="W238" s="1878"/>
      <c r="X238" s="1877"/>
      <c r="Y238" s="1877"/>
      <c r="Z238" s="1911"/>
      <c r="AA238" s="1877"/>
      <c r="AB238" s="1912"/>
      <c r="AC238" s="1881"/>
      <c r="AD238" s="1913"/>
      <c r="AF238" s="1393"/>
    </row>
    <row r="239" spans="1:32" s="1350" customFormat="1">
      <c r="A239" s="1"/>
      <c r="B239" s="6"/>
      <c r="C239" s="4"/>
      <c r="D239" s="4"/>
      <c r="E239" s="4"/>
      <c r="F239" s="6"/>
      <c r="G239" s="6"/>
      <c r="H239" s="6"/>
      <c r="I239" s="6"/>
      <c r="J239" s="5"/>
      <c r="K239" s="7"/>
      <c r="L239" s="5"/>
      <c r="M239" s="5"/>
      <c r="N239" s="6"/>
      <c r="O239" s="1"/>
      <c r="P239" s="6"/>
      <c r="Q239" s="1878"/>
      <c r="R239" s="1878"/>
      <c r="S239" s="1877"/>
      <c r="T239" s="1877"/>
      <c r="U239" s="1877"/>
      <c r="V239" s="1877"/>
      <c r="W239" s="1878"/>
      <c r="X239" s="1877"/>
      <c r="Y239" s="1877"/>
      <c r="Z239" s="1911"/>
      <c r="AA239" s="1877"/>
      <c r="AB239" s="1912"/>
      <c r="AC239" s="1881"/>
      <c r="AD239" s="1913"/>
      <c r="AF239" s="1393"/>
    </row>
    <row r="240" spans="1:32" s="1350" customFormat="1">
      <c r="A240" s="1"/>
      <c r="B240" s="6"/>
      <c r="C240" s="4"/>
      <c r="D240" s="4"/>
      <c r="E240" s="4"/>
      <c r="F240" s="6"/>
      <c r="G240" s="6"/>
      <c r="H240" s="6"/>
      <c r="I240" s="6"/>
      <c r="J240" s="5"/>
      <c r="K240" s="7"/>
      <c r="L240" s="5"/>
      <c r="M240" s="5"/>
      <c r="N240" s="6"/>
      <c r="O240" s="1"/>
      <c r="P240" s="6"/>
      <c r="Q240" s="1878"/>
      <c r="R240" s="1878"/>
      <c r="S240" s="1877"/>
      <c r="T240" s="1877"/>
      <c r="U240" s="1877"/>
      <c r="V240" s="1877"/>
      <c r="W240" s="1878"/>
      <c r="X240" s="1877"/>
      <c r="Y240" s="1877"/>
      <c r="Z240" s="1911"/>
      <c r="AA240" s="1877"/>
      <c r="AB240" s="1912"/>
      <c r="AC240" s="1881"/>
      <c r="AD240" s="1913"/>
      <c r="AF240" s="1393"/>
    </row>
    <row r="241" spans="1:32" s="1350" customFormat="1">
      <c r="A241" s="1"/>
      <c r="B241" s="6"/>
      <c r="C241" s="4"/>
      <c r="D241" s="4"/>
      <c r="E241" s="4"/>
      <c r="F241" s="6"/>
      <c r="G241" s="6"/>
      <c r="H241" s="6"/>
      <c r="I241" s="6"/>
      <c r="J241" s="5"/>
      <c r="K241" s="7"/>
      <c r="L241" s="5"/>
      <c r="M241" s="5"/>
      <c r="N241" s="6"/>
      <c r="O241" s="1"/>
      <c r="P241" s="6"/>
      <c r="Q241" s="1878"/>
      <c r="R241" s="1878"/>
      <c r="S241" s="1877"/>
      <c r="T241" s="1877"/>
      <c r="U241" s="1877"/>
      <c r="V241" s="1877"/>
      <c r="W241" s="1878"/>
      <c r="X241" s="1877"/>
      <c r="Y241" s="1877"/>
      <c r="Z241" s="1911"/>
      <c r="AA241" s="1877"/>
      <c r="AB241" s="1912"/>
      <c r="AC241" s="1881"/>
      <c r="AD241" s="1913"/>
      <c r="AF241" s="1393"/>
    </row>
    <row r="242" spans="1:32" s="1350" customFormat="1">
      <c r="A242" s="1"/>
      <c r="B242" s="6"/>
      <c r="C242" s="4"/>
      <c r="D242" s="4"/>
      <c r="E242" s="4"/>
      <c r="F242" s="6"/>
      <c r="G242" s="6"/>
      <c r="H242" s="6"/>
      <c r="I242" s="6"/>
      <c r="J242" s="5"/>
      <c r="K242" s="7"/>
      <c r="L242" s="5"/>
      <c r="M242" s="5"/>
      <c r="N242" s="6"/>
      <c r="O242" s="1"/>
      <c r="P242" s="6"/>
      <c r="Q242" s="1878"/>
      <c r="R242" s="1878"/>
      <c r="S242" s="1877"/>
      <c r="T242" s="1877"/>
      <c r="U242" s="1877"/>
      <c r="V242" s="1877"/>
      <c r="W242" s="1878"/>
      <c r="X242" s="1877"/>
      <c r="Y242" s="1877"/>
      <c r="Z242" s="1911"/>
      <c r="AA242" s="1877"/>
      <c r="AB242" s="1912"/>
      <c r="AC242" s="1881"/>
      <c r="AD242" s="1913"/>
      <c r="AF242" s="1393"/>
    </row>
    <row r="243" spans="1:32" s="1350" customFormat="1">
      <c r="A243" s="1"/>
      <c r="B243" s="6"/>
      <c r="C243" s="4"/>
      <c r="D243" s="4"/>
      <c r="E243" s="4"/>
      <c r="F243" s="6"/>
      <c r="G243" s="6"/>
      <c r="H243" s="6"/>
      <c r="I243" s="6"/>
      <c r="J243" s="5"/>
      <c r="K243" s="7"/>
      <c r="L243" s="5"/>
      <c r="M243" s="5"/>
      <c r="N243" s="6"/>
      <c r="O243" s="1"/>
      <c r="P243" s="6"/>
      <c r="Q243" s="1878"/>
      <c r="R243" s="1878"/>
      <c r="S243" s="1877"/>
      <c r="T243" s="1877"/>
      <c r="U243" s="1877"/>
      <c r="V243" s="1877"/>
      <c r="W243" s="1878"/>
      <c r="X243" s="1877"/>
      <c r="Y243" s="1877"/>
      <c r="Z243" s="1911"/>
      <c r="AA243" s="1877"/>
      <c r="AB243" s="1912"/>
      <c r="AC243" s="1881"/>
      <c r="AD243" s="1913"/>
      <c r="AF243" s="1393"/>
    </row>
    <row r="244" spans="1:32" s="1350" customFormat="1">
      <c r="A244" s="1"/>
      <c r="B244" s="6"/>
      <c r="C244" s="4"/>
      <c r="D244" s="4"/>
      <c r="E244" s="4"/>
      <c r="F244" s="6"/>
      <c r="G244" s="6"/>
      <c r="H244" s="6"/>
      <c r="I244" s="6"/>
      <c r="J244" s="5"/>
      <c r="K244" s="7"/>
      <c r="L244" s="5"/>
      <c r="M244" s="5"/>
      <c r="N244" s="6"/>
      <c r="O244" s="1"/>
      <c r="P244" s="6"/>
      <c r="Q244" s="1878"/>
      <c r="R244" s="1878"/>
      <c r="S244" s="1877"/>
      <c r="T244" s="1877"/>
      <c r="U244" s="1877"/>
      <c r="V244" s="1877"/>
      <c r="W244" s="1878"/>
      <c r="X244" s="1877"/>
      <c r="Y244" s="1877"/>
      <c r="Z244" s="1911"/>
      <c r="AA244" s="1877"/>
      <c r="AB244" s="1912"/>
      <c r="AC244" s="1881"/>
      <c r="AD244" s="1913"/>
      <c r="AF244" s="1393"/>
    </row>
    <row r="245" spans="1:32" s="1350" customFormat="1">
      <c r="A245" s="1"/>
      <c r="B245" s="6"/>
      <c r="C245" s="4"/>
      <c r="D245" s="4"/>
      <c r="E245" s="4"/>
      <c r="F245" s="6"/>
      <c r="G245" s="6"/>
      <c r="H245" s="6"/>
      <c r="I245" s="6"/>
      <c r="J245" s="5"/>
      <c r="K245" s="7"/>
      <c r="L245" s="5"/>
      <c r="M245" s="5"/>
      <c r="N245" s="6"/>
      <c r="O245" s="1"/>
      <c r="P245" s="6"/>
      <c r="Q245" s="1878"/>
      <c r="R245" s="1878"/>
      <c r="S245" s="1877"/>
      <c r="T245" s="1877"/>
      <c r="U245" s="1877"/>
      <c r="V245" s="1877"/>
      <c r="W245" s="1878"/>
      <c r="X245" s="1877"/>
      <c r="Y245" s="1877"/>
      <c r="Z245" s="1911"/>
      <c r="AA245" s="1877"/>
      <c r="AB245" s="1912"/>
      <c r="AC245" s="1881"/>
      <c r="AD245" s="1913"/>
      <c r="AF245" s="1393"/>
    </row>
    <row r="246" spans="1:32" s="1350" customFormat="1">
      <c r="A246" s="1"/>
      <c r="B246" s="6"/>
      <c r="C246" s="4"/>
      <c r="D246" s="4"/>
      <c r="E246" s="4"/>
      <c r="F246" s="6"/>
      <c r="G246" s="6"/>
      <c r="H246" s="6"/>
      <c r="I246" s="6"/>
      <c r="J246" s="5"/>
      <c r="K246" s="7"/>
      <c r="L246" s="5"/>
      <c r="M246" s="5"/>
      <c r="N246" s="6"/>
      <c r="O246" s="1"/>
      <c r="P246" s="6"/>
      <c r="Q246" s="1878"/>
      <c r="R246" s="1878"/>
      <c r="S246" s="1877"/>
      <c r="T246" s="1877"/>
      <c r="U246" s="1877"/>
      <c r="V246" s="1877"/>
      <c r="W246" s="1878"/>
      <c r="X246" s="1877"/>
      <c r="Y246" s="1877"/>
      <c r="Z246" s="1911"/>
      <c r="AA246" s="1877"/>
      <c r="AB246" s="1912"/>
      <c r="AC246" s="1881"/>
      <c r="AD246" s="1913"/>
      <c r="AF246" s="1393"/>
    </row>
    <row r="247" spans="1:32" s="1350" customFormat="1">
      <c r="A247" s="1"/>
      <c r="B247" s="6"/>
      <c r="C247" s="4"/>
      <c r="D247" s="4"/>
      <c r="E247" s="4"/>
      <c r="F247" s="6"/>
      <c r="G247" s="6"/>
      <c r="H247" s="6"/>
      <c r="I247" s="6"/>
      <c r="J247" s="5"/>
      <c r="K247" s="7"/>
      <c r="L247" s="5"/>
      <c r="M247" s="5"/>
      <c r="N247" s="6"/>
      <c r="O247" s="1"/>
      <c r="P247" s="6"/>
      <c r="Q247" s="1878"/>
      <c r="R247" s="1878"/>
      <c r="S247" s="1877"/>
      <c r="T247" s="1877"/>
      <c r="U247" s="1877"/>
      <c r="V247" s="1877"/>
      <c r="W247" s="1878"/>
      <c r="X247" s="1877"/>
      <c r="Y247" s="1877"/>
      <c r="Z247" s="1911"/>
      <c r="AA247" s="1877"/>
      <c r="AB247" s="1912"/>
      <c r="AC247" s="1881"/>
      <c r="AD247" s="1913"/>
      <c r="AF247" s="1393"/>
    </row>
    <row r="248" spans="1:32" s="1350" customFormat="1">
      <c r="A248" s="1"/>
      <c r="B248" s="6"/>
      <c r="C248" s="4"/>
      <c r="D248" s="4"/>
      <c r="E248" s="4"/>
      <c r="F248" s="6"/>
      <c r="G248" s="6"/>
      <c r="H248" s="6"/>
      <c r="I248" s="6"/>
      <c r="J248" s="5"/>
      <c r="K248" s="7"/>
      <c r="L248" s="5"/>
      <c r="M248" s="5"/>
      <c r="N248" s="6"/>
      <c r="O248" s="1"/>
      <c r="P248" s="6"/>
      <c r="Q248" s="1878"/>
      <c r="R248" s="1878"/>
      <c r="S248" s="1877"/>
      <c r="T248" s="1877"/>
      <c r="U248" s="1877"/>
      <c r="V248" s="1877"/>
      <c r="W248" s="1878"/>
      <c r="X248" s="1877"/>
      <c r="Y248" s="1877"/>
      <c r="Z248" s="1911"/>
      <c r="AA248" s="1877"/>
      <c r="AB248" s="1912"/>
      <c r="AC248" s="1881"/>
      <c r="AD248" s="1913"/>
      <c r="AF248" s="1393"/>
    </row>
    <row r="249" spans="1:32" s="1350" customFormat="1">
      <c r="A249" s="1"/>
      <c r="B249" s="6"/>
      <c r="C249" s="4"/>
      <c r="D249" s="4"/>
      <c r="E249" s="4"/>
      <c r="F249" s="6"/>
      <c r="G249" s="6"/>
      <c r="H249" s="6"/>
      <c r="I249" s="6"/>
      <c r="J249" s="5"/>
      <c r="K249" s="7"/>
      <c r="L249" s="5"/>
      <c r="M249" s="5"/>
      <c r="N249" s="6"/>
      <c r="O249" s="1"/>
      <c r="P249" s="6"/>
      <c r="Q249" s="1878"/>
      <c r="R249" s="1878"/>
      <c r="S249" s="1877"/>
      <c r="T249" s="1877"/>
      <c r="U249" s="1877"/>
      <c r="V249" s="1877"/>
      <c r="W249" s="1878"/>
      <c r="X249" s="1877"/>
      <c r="Y249" s="1877"/>
      <c r="Z249" s="1911"/>
      <c r="AA249" s="1877"/>
      <c r="AB249" s="1912"/>
      <c r="AC249" s="1881"/>
      <c r="AD249" s="1913"/>
      <c r="AF249" s="1393"/>
    </row>
    <row r="250" spans="1:32" s="1350" customFormat="1">
      <c r="A250" s="1"/>
      <c r="B250" s="6"/>
      <c r="C250" s="4"/>
      <c r="D250" s="4"/>
      <c r="E250" s="4"/>
      <c r="F250" s="6"/>
      <c r="G250" s="6"/>
      <c r="H250" s="6"/>
      <c r="I250" s="6"/>
      <c r="J250" s="5"/>
      <c r="K250" s="7"/>
      <c r="L250" s="5"/>
      <c r="M250" s="5"/>
      <c r="N250" s="6"/>
      <c r="O250" s="1"/>
      <c r="P250" s="6"/>
      <c r="Q250" s="1878"/>
      <c r="R250" s="1878"/>
      <c r="S250" s="1877"/>
      <c r="T250" s="1877"/>
      <c r="U250" s="1877"/>
      <c r="V250" s="1877"/>
      <c r="W250" s="1878"/>
      <c r="X250" s="1877"/>
      <c r="Y250" s="1877"/>
      <c r="Z250" s="1911"/>
      <c r="AA250" s="1877"/>
      <c r="AB250" s="1912"/>
      <c r="AC250" s="1881"/>
      <c r="AD250" s="1913"/>
      <c r="AF250" s="1393"/>
    </row>
    <row r="251" spans="1:32" s="1350" customFormat="1">
      <c r="A251" s="1"/>
      <c r="B251" s="6"/>
      <c r="C251" s="4"/>
      <c r="D251" s="4"/>
      <c r="E251" s="4"/>
      <c r="F251" s="6"/>
      <c r="G251" s="6"/>
      <c r="H251" s="6"/>
      <c r="I251" s="6"/>
      <c r="J251" s="5"/>
      <c r="K251" s="7"/>
      <c r="L251" s="5"/>
      <c r="M251" s="5"/>
      <c r="N251" s="6"/>
      <c r="O251" s="1"/>
      <c r="P251" s="6"/>
      <c r="Q251" s="1878"/>
      <c r="R251" s="1878"/>
      <c r="S251" s="1877"/>
      <c r="T251" s="1877"/>
      <c r="U251" s="1877"/>
      <c r="V251" s="1877"/>
      <c r="W251" s="1878"/>
      <c r="X251" s="1877"/>
      <c r="Y251" s="1877"/>
      <c r="Z251" s="1911"/>
      <c r="AA251" s="1877"/>
      <c r="AB251" s="1912"/>
      <c r="AC251" s="1881"/>
      <c r="AD251" s="1913"/>
      <c r="AF251" s="1393"/>
    </row>
    <row r="252" spans="1:32" s="1350" customFormat="1">
      <c r="A252" s="1"/>
      <c r="B252" s="6"/>
      <c r="C252" s="4"/>
      <c r="D252" s="4"/>
      <c r="E252" s="4"/>
      <c r="F252" s="6"/>
      <c r="G252" s="6"/>
      <c r="H252" s="6"/>
      <c r="I252" s="6"/>
      <c r="J252" s="5"/>
      <c r="K252" s="7"/>
      <c r="L252" s="5"/>
      <c r="M252" s="5"/>
      <c r="N252" s="6"/>
      <c r="O252" s="1"/>
      <c r="P252" s="6"/>
      <c r="Q252" s="1878"/>
      <c r="R252" s="1878"/>
      <c r="S252" s="1877"/>
      <c r="T252" s="1877"/>
      <c r="U252" s="1877"/>
      <c r="V252" s="1877"/>
      <c r="W252" s="1878"/>
      <c r="X252" s="1877"/>
      <c r="Y252" s="1877"/>
      <c r="Z252" s="1911"/>
      <c r="AA252" s="1877"/>
      <c r="AB252" s="1912"/>
      <c r="AC252" s="1881"/>
      <c r="AD252" s="1913"/>
      <c r="AF252" s="1393"/>
    </row>
    <row r="253" spans="1:32" s="1350" customFormat="1">
      <c r="A253" s="1"/>
      <c r="B253" s="6"/>
      <c r="C253" s="4"/>
      <c r="D253" s="4"/>
      <c r="E253" s="4"/>
      <c r="F253" s="6"/>
      <c r="G253" s="6"/>
      <c r="H253" s="6"/>
      <c r="I253" s="6"/>
      <c r="J253" s="5"/>
      <c r="K253" s="7"/>
      <c r="L253" s="5"/>
      <c r="M253" s="5"/>
      <c r="N253" s="6"/>
      <c r="O253" s="1"/>
      <c r="P253" s="6"/>
      <c r="Q253" s="1878"/>
      <c r="R253" s="1878"/>
      <c r="S253" s="1877"/>
      <c r="T253" s="1877"/>
      <c r="U253" s="1877"/>
      <c r="V253" s="1877"/>
      <c r="W253" s="1878"/>
      <c r="X253" s="1877"/>
      <c r="Y253" s="1877"/>
      <c r="Z253" s="1911"/>
      <c r="AA253" s="1877"/>
      <c r="AB253" s="1912"/>
      <c r="AC253" s="1881"/>
      <c r="AD253" s="1913"/>
      <c r="AF253" s="1393"/>
    </row>
    <row r="254" spans="1:32" s="1350" customFormat="1">
      <c r="A254" s="1"/>
      <c r="B254" s="6"/>
      <c r="C254" s="4"/>
      <c r="D254" s="4"/>
      <c r="E254" s="4"/>
      <c r="F254" s="6"/>
      <c r="G254" s="6"/>
      <c r="H254" s="6"/>
      <c r="I254" s="6"/>
      <c r="J254" s="5"/>
      <c r="K254" s="7"/>
      <c r="L254" s="5"/>
      <c r="M254" s="5"/>
      <c r="N254" s="6"/>
      <c r="O254" s="1"/>
      <c r="P254" s="6"/>
      <c r="Q254" s="1878"/>
      <c r="R254" s="1878"/>
      <c r="S254" s="1877"/>
      <c r="T254" s="1877"/>
      <c r="U254" s="1877"/>
      <c r="V254" s="1877"/>
      <c r="W254" s="1878"/>
      <c r="X254" s="1877"/>
      <c r="Y254" s="1877"/>
      <c r="Z254" s="1911"/>
      <c r="AA254" s="1877"/>
      <c r="AB254" s="1912"/>
      <c r="AC254" s="1881"/>
      <c r="AD254" s="1913"/>
      <c r="AF254" s="1393"/>
    </row>
    <row r="255" spans="1:32" s="1350" customFormat="1">
      <c r="A255" s="1"/>
      <c r="B255" s="6"/>
      <c r="C255" s="4"/>
      <c r="D255" s="4"/>
      <c r="E255" s="4"/>
      <c r="F255" s="6"/>
      <c r="G255" s="6"/>
      <c r="H255" s="6"/>
      <c r="I255" s="6"/>
      <c r="J255" s="5"/>
      <c r="K255" s="7"/>
      <c r="L255" s="5"/>
      <c r="M255" s="5"/>
      <c r="N255" s="6"/>
      <c r="O255" s="1"/>
      <c r="P255" s="6"/>
      <c r="Q255" s="1878"/>
      <c r="R255" s="1878"/>
      <c r="S255" s="1877"/>
      <c r="T255" s="1877"/>
      <c r="U255" s="1877"/>
      <c r="V255" s="1877"/>
      <c r="W255" s="1878"/>
      <c r="X255" s="1877"/>
      <c r="Y255" s="1877"/>
      <c r="Z255" s="1911"/>
      <c r="AA255" s="1877"/>
      <c r="AB255" s="1912"/>
      <c r="AC255" s="1881"/>
      <c r="AD255" s="1913"/>
      <c r="AF255" s="1393"/>
    </row>
    <row r="256" spans="1:32" s="1350" customFormat="1">
      <c r="A256" s="1"/>
      <c r="B256" s="6"/>
      <c r="C256" s="4"/>
      <c r="D256" s="4"/>
      <c r="E256" s="4"/>
      <c r="F256" s="6"/>
      <c r="G256" s="6"/>
      <c r="H256" s="6"/>
      <c r="I256" s="6"/>
      <c r="J256" s="5"/>
      <c r="K256" s="7"/>
      <c r="L256" s="5"/>
      <c r="M256" s="5"/>
      <c r="N256" s="6"/>
      <c r="O256" s="1"/>
      <c r="P256" s="6"/>
      <c r="Q256" s="1878"/>
      <c r="R256" s="1878"/>
      <c r="S256" s="1877"/>
      <c r="T256" s="1877"/>
      <c r="U256" s="1877"/>
      <c r="V256" s="1877"/>
      <c r="W256" s="1878"/>
      <c r="X256" s="1877"/>
      <c r="Y256" s="1877"/>
      <c r="Z256" s="1911"/>
      <c r="AA256" s="1877"/>
      <c r="AB256" s="1912"/>
      <c r="AC256" s="1881"/>
      <c r="AD256" s="1913"/>
      <c r="AF256" s="1393"/>
    </row>
    <row r="257" spans="1:32" s="1350" customFormat="1">
      <c r="A257" s="1"/>
      <c r="B257" s="6"/>
      <c r="C257" s="4"/>
      <c r="D257" s="4"/>
      <c r="E257" s="4"/>
      <c r="F257" s="6"/>
      <c r="G257" s="6"/>
      <c r="H257" s="6"/>
      <c r="I257" s="6"/>
      <c r="J257" s="5"/>
      <c r="K257" s="7"/>
      <c r="L257" s="5"/>
      <c r="M257" s="5"/>
      <c r="N257" s="6"/>
      <c r="O257" s="1"/>
      <c r="P257" s="6"/>
      <c r="Q257" s="1878"/>
      <c r="R257" s="1878"/>
      <c r="S257" s="1877"/>
      <c r="T257" s="1877"/>
      <c r="U257" s="1877"/>
      <c r="V257" s="1877"/>
      <c r="W257" s="1878"/>
      <c r="X257" s="1877"/>
      <c r="Y257" s="1877"/>
      <c r="Z257" s="1911"/>
      <c r="AA257" s="1877"/>
      <c r="AB257" s="1912"/>
      <c r="AC257" s="1881"/>
      <c r="AD257" s="1913"/>
      <c r="AF257" s="1393"/>
    </row>
    <row r="258" spans="1:32" s="1350" customFormat="1">
      <c r="A258" s="1"/>
      <c r="B258" s="6"/>
      <c r="C258" s="4"/>
      <c r="D258" s="4"/>
      <c r="E258" s="4"/>
      <c r="F258" s="6"/>
      <c r="G258" s="6"/>
      <c r="H258" s="6"/>
      <c r="I258" s="6"/>
      <c r="J258" s="5"/>
      <c r="K258" s="7"/>
      <c r="L258" s="5"/>
      <c r="M258" s="5"/>
      <c r="N258" s="6"/>
      <c r="O258" s="1"/>
      <c r="P258" s="6"/>
      <c r="Q258" s="1878"/>
      <c r="R258" s="1878"/>
      <c r="S258" s="1877"/>
      <c r="T258" s="1877"/>
      <c r="U258" s="1877"/>
      <c r="V258" s="1877"/>
      <c r="W258" s="1878"/>
      <c r="X258" s="1877"/>
      <c r="Y258" s="1877"/>
      <c r="Z258" s="1911"/>
      <c r="AA258" s="1877"/>
      <c r="AB258" s="1912"/>
      <c r="AC258" s="1881"/>
      <c r="AD258" s="1913"/>
      <c r="AF258" s="1393"/>
    </row>
    <row r="259" spans="1:32" s="1350" customFormat="1">
      <c r="A259" s="1"/>
      <c r="B259" s="6"/>
      <c r="C259" s="4"/>
      <c r="D259" s="4"/>
      <c r="E259" s="4"/>
      <c r="F259" s="6"/>
      <c r="G259" s="6"/>
      <c r="H259" s="6"/>
      <c r="I259" s="6"/>
      <c r="J259" s="5"/>
      <c r="K259" s="7"/>
      <c r="L259" s="5"/>
      <c r="M259" s="5"/>
      <c r="N259" s="6"/>
      <c r="O259" s="1"/>
      <c r="P259" s="6"/>
      <c r="Q259" s="1878"/>
      <c r="R259" s="1878"/>
      <c r="S259" s="1877"/>
      <c r="T259" s="1877"/>
      <c r="U259" s="1877"/>
      <c r="V259" s="1877"/>
      <c r="W259" s="1878"/>
      <c r="X259" s="1877"/>
      <c r="Y259" s="1877"/>
      <c r="Z259" s="1911"/>
      <c r="AA259" s="1877"/>
      <c r="AB259" s="1912"/>
      <c r="AC259" s="1881"/>
      <c r="AD259" s="1913"/>
      <c r="AF259" s="1393"/>
    </row>
    <row r="260" spans="1:32" s="1350" customFormat="1">
      <c r="A260" s="1"/>
      <c r="B260" s="6"/>
      <c r="C260" s="4"/>
      <c r="D260" s="4"/>
      <c r="E260" s="4"/>
      <c r="F260" s="6"/>
      <c r="G260" s="6"/>
      <c r="H260" s="6"/>
      <c r="I260" s="6"/>
      <c r="J260" s="5"/>
      <c r="K260" s="7"/>
      <c r="L260" s="5"/>
      <c r="M260" s="5"/>
      <c r="N260" s="6"/>
      <c r="O260" s="1"/>
      <c r="P260" s="6"/>
      <c r="Q260" s="1878"/>
      <c r="R260" s="1878"/>
      <c r="S260" s="1877"/>
      <c r="T260" s="1877"/>
      <c r="U260" s="1877"/>
      <c r="V260" s="1877"/>
      <c r="W260" s="1878"/>
      <c r="X260" s="1877"/>
      <c r="Y260" s="1877"/>
      <c r="Z260" s="1911"/>
      <c r="AA260" s="1877"/>
      <c r="AB260" s="1912"/>
      <c r="AC260" s="1881"/>
      <c r="AD260" s="1913"/>
      <c r="AF260" s="1393"/>
    </row>
    <row r="261" spans="1:32" s="1350" customFormat="1">
      <c r="A261" s="1"/>
      <c r="B261" s="6"/>
      <c r="C261" s="4"/>
      <c r="D261" s="4"/>
      <c r="E261" s="4"/>
      <c r="F261" s="6"/>
      <c r="G261" s="6"/>
      <c r="H261" s="6"/>
      <c r="I261" s="6"/>
      <c r="J261" s="5"/>
      <c r="K261" s="7"/>
      <c r="L261" s="5"/>
      <c r="M261" s="5"/>
      <c r="N261" s="6"/>
      <c r="O261" s="1"/>
      <c r="P261" s="6"/>
      <c r="Q261" s="1878"/>
      <c r="R261" s="1878"/>
      <c r="S261" s="1877"/>
      <c r="T261" s="1877"/>
      <c r="U261" s="1877"/>
      <c r="V261" s="1877"/>
      <c r="W261" s="1878"/>
      <c r="X261" s="1877"/>
      <c r="Y261" s="1877"/>
      <c r="Z261" s="1911"/>
      <c r="AA261" s="1877"/>
      <c r="AB261" s="1912"/>
      <c r="AC261" s="1881"/>
      <c r="AD261" s="1913"/>
      <c r="AF261" s="1393"/>
    </row>
    <row r="262" spans="1:32" s="1350" customFormat="1">
      <c r="A262" s="1"/>
      <c r="B262" s="6"/>
      <c r="C262" s="4"/>
      <c r="D262" s="4"/>
      <c r="E262" s="4"/>
      <c r="F262" s="6"/>
      <c r="G262" s="6"/>
      <c r="H262" s="6"/>
      <c r="I262" s="6"/>
      <c r="J262" s="5"/>
      <c r="K262" s="7"/>
      <c r="L262" s="5"/>
      <c r="M262" s="5"/>
      <c r="N262" s="6"/>
      <c r="O262" s="1"/>
      <c r="P262" s="6"/>
      <c r="Q262" s="1878"/>
      <c r="R262" s="1878"/>
      <c r="S262" s="1877"/>
      <c r="T262" s="1877"/>
      <c r="U262" s="1877"/>
      <c r="V262" s="1877"/>
      <c r="W262" s="1878"/>
      <c r="X262" s="1877"/>
      <c r="Y262" s="1877"/>
      <c r="Z262" s="1911"/>
      <c r="AA262" s="1877"/>
      <c r="AB262" s="1912"/>
      <c r="AC262" s="1881"/>
      <c r="AD262" s="1913"/>
      <c r="AF262" s="1393"/>
    </row>
    <row r="263" spans="1:32" s="1350" customFormat="1">
      <c r="A263" s="1"/>
      <c r="B263" s="6"/>
      <c r="C263" s="4"/>
      <c r="D263" s="4"/>
      <c r="E263" s="4"/>
      <c r="F263" s="6"/>
      <c r="G263" s="6"/>
      <c r="H263" s="6"/>
      <c r="I263" s="6"/>
      <c r="J263" s="5"/>
      <c r="K263" s="7"/>
      <c r="L263" s="5"/>
      <c r="M263" s="5"/>
      <c r="N263" s="6"/>
      <c r="O263" s="1"/>
      <c r="P263" s="6"/>
      <c r="Q263" s="1878"/>
      <c r="R263" s="1878"/>
      <c r="S263" s="1877"/>
      <c r="T263" s="1877"/>
      <c r="U263" s="1877"/>
      <c r="V263" s="1877"/>
      <c r="W263" s="1878"/>
      <c r="X263" s="1877"/>
      <c r="Y263" s="1877"/>
      <c r="Z263" s="1911"/>
      <c r="AA263" s="1877"/>
      <c r="AB263" s="1912"/>
      <c r="AC263" s="1881"/>
      <c r="AD263" s="1913"/>
      <c r="AF263" s="1393"/>
    </row>
    <row r="264" spans="1:32" s="1350" customFormat="1">
      <c r="A264" s="1"/>
      <c r="B264" s="6"/>
      <c r="C264" s="4"/>
      <c r="D264" s="4"/>
      <c r="E264" s="4"/>
      <c r="F264" s="6"/>
      <c r="G264" s="6"/>
      <c r="H264" s="6"/>
      <c r="I264" s="6"/>
      <c r="J264" s="5"/>
      <c r="K264" s="7"/>
      <c r="L264" s="5"/>
      <c r="M264" s="5"/>
      <c r="N264" s="6"/>
      <c r="O264" s="1"/>
      <c r="P264" s="6"/>
      <c r="Q264" s="1878"/>
      <c r="R264" s="1878"/>
      <c r="S264" s="1877"/>
      <c r="T264" s="1877"/>
      <c r="U264" s="1877"/>
      <c r="V264" s="1877"/>
      <c r="W264" s="1878"/>
      <c r="X264" s="1877"/>
      <c r="Y264" s="1877"/>
      <c r="Z264" s="1911"/>
      <c r="AA264" s="1877"/>
      <c r="AB264" s="1912"/>
      <c r="AC264" s="1881"/>
      <c r="AD264" s="1913"/>
      <c r="AF264" s="1393"/>
    </row>
    <row r="265" spans="1:32" s="1350" customFormat="1">
      <c r="A265" s="1"/>
      <c r="B265" s="6"/>
      <c r="C265" s="4"/>
      <c r="D265" s="4"/>
      <c r="E265" s="4"/>
      <c r="F265" s="6"/>
      <c r="G265" s="6"/>
      <c r="H265" s="6"/>
      <c r="I265" s="6"/>
      <c r="J265" s="5"/>
      <c r="K265" s="7"/>
      <c r="L265" s="5"/>
      <c r="M265" s="5"/>
      <c r="N265" s="6"/>
      <c r="O265" s="1"/>
      <c r="P265" s="6"/>
      <c r="Q265" s="1878"/>
      <c r="R265" s="1878"/>
      <c r="S265" s="1877"/>
      <c r="T265" s="1877"/>
      <c r="U265" s="1877"/>
      <c r="V265" s="1877"/>
      <c r="W265" s="1878"/>
      <c r="X265" s="1877"/>
      <c r="Y265" s="1877"/>
      <c r="Z265" s="1911"/>
      <c r="AA265" s="1877"/>
      <c r="AB265" s="1912"/>
      <c r="AC265" s="1881"/>
      <c r="AD265" s="1913"/>
      <c r="AF265" s="1393"/>
    </row>
    <row r="266" spans="1:32" s="1350" customFormat="1">
      <c r="A266" s="1"/>
      <c r="B266" s="6"/>
      <c r="C266" s="4"/>
      <c r="D266" s="4"/>
      <c r="E266" s="4"/>
      <c r="F266" s="6"/>
      <c r="G266" s="6"/>
      <c r="H266" s="6"/>
      <c r="I266" s="6"/>
      <c r="J266" s="5"/>
      <c r="K266" s="7"/>
      <c r="L266" s="5"/>
      <c r="M266" s="5"/>
      <c r="N266" s="6"/>
      <c r="O266" s="1"/>
      <c r="P266" s="6"/>
      <c r="Q266" s="1878"/>
      <c r="R266" s="1878"/>
      <c r="S266" s="1877"/>
      <c r="T266" s="1877"/>
      <c r="U266" s="1877"/>
      <c r="V266" s="1877"/>
      <c r="W266" s="1878"/>
      <c r="X266" s="1877"/>
      <c r="Y266" s="1877"/>
      <c r="Z266" s="1911"/>
      <c r="AA266" s="1877"/>
      <c r="AB266" s="1912"/>
      <c r="AC266" s="1881"/>
      <c r="AD266" s="1913"/>
      <c r="AF266" s="1393"/>
    </row>
    <row r="267" spans="1:32" s="1350" customFormat="1">
      <c r="A267" s="1"/>
      <c r="B267" s="6"/>
      <c r="C267" s="4"/>
      <c r="D267" s="4"/>
      <c r="E267" s="4"/>
      <c r="F267" s="6"/>
      <c r="G267" s="6"/>
      <c r="H267" s="6"/>
      <c r="I267" s="6"/>
      <c r="J267" s="5"/>
      <c r="K267" s="7"/>
      <c r="L267" s="5"/>
      <c r="M267" s="5"/>
      <c r="N267" s="6"/>
      <c r="O267" s="1"/>
      <c r="P267" s="6"/>
      <c r="Q267" s="1878"/>
      <c r="R267" s="1878"/>
      <c r="S267" s="1877"/>
      <c r="T267" s="1877"/>
      <c r="U267" s="1877"/>
      <c r="V267" s="1877"/>
      <c r="W267" s="1878"/>
      <c r="X267" s="1877"/>
      <c r="Y267" s="1877"/>
      <c r="Z267" s="1911"/>
      <c r="AA267" s="1877"/>
      <c r="AB267" s="1912"/>
      <c r="AC267" s="1881"/>
      <c r="AD267" s="1913"/>
      <c r="AF267" s="1393"/>
    </row>
    <row r="268" spans="1:32" s="1350" customFormat="1">
      <c r="A268" s="1"/>
      <c r="B268" s="6"/>
      <c r="C268" s="4"/>
      <c r="D268" s="4"/>
      <c r="E268" s="4"/>
      <c r="F268" s="6"/>
      <c r="G268" s="6"/>
      <c r="H268" s="6"/>
      <c r="I268" s="6"/>
      <c r="J268" s="5"/>
      <c r="K268" s="7"/>
      <c r="L268" s="5"/>
      <c r="M268" s="5"/>
      <c r="N268" s="6"/>
      <c r="O268" s="1"/>
      <c r="P268" s="6"/>
      <c r="Q268" s="1878"/>
      <c r="R268" s="1878"/>
      <c r="S268" s="1877"/>
      <c r="T268" s="1877"/>
      <c r="U268" s="1877"/>
      <c r="V268" s="1877"/>
      <c r="W268" s="1878"/>
      <c r="X268" s="1877"/>
      <c r="Y268" s="1877"/>
      <c r="Z268" s="1911"/>
      <c r="AA268" s="1877"/>
      <c r="AB268" s="1912"/>
      <c r="AC268" s="1881"/>
      <c r="AD268" s="1913"/>
      <c r="AF268" s="1393"/>
    </row>
    <row r="269" spans="1:32" s="1350" customFormat="1">
      <c r="A269" s="1"/>
      <c r="B269" s="6"/>
      <c r="C269" s="4"/>
      <c r="D269" s="4"/>
      <c r="E269" s="4"/>
      <c r="F269" s="6"/>
      <c r="G269" s="6"/>
      <c r="H269" s="6"/>
      <c r="I269" s="6"/>
      <c r="J269" s="5"/>
      <c r="K269" s="7"/>
      <c r="L269" s="5"/>
      <c r="M269" s="5"/>
      <c r="N269" s="6"/>
      <c r="O269" s="1"/>
      <c r="P269" s="6"/>
      <c r="Q269" s="1878"/>
      <c r="R269" s="1878"/>
      <c r="S269" s="1877"/>
      <c r="T269" s="1877"/>
      <c r="U269" s="1877"/>
      <c r="V269" s="1877"/>
      <c r="W269" s="1878"/>
      <c r="X269" s="1877"/>
      <c r="Y269" s="1877"/>
      <c r="Z269" s="1911"/>
      <c r="AA269" s="1877"/>
      <c r="AB269" s="1912"/>
      <c r="AC269" s="1881"/>
      <c r="AD269" s="1913"/>
      <c r="AF269" s="1393"/>
    </row>
    <row r="270" spans="1:32" s="1350" customFormat="1">
      <c r="A270" s="1"/>
      <c r="B270" s="6"/>
      <c r="C270" s="4"/>
      <c r="D270" s="4"/>
      <c r="E270" s="4"/>
      <c r="F270" s="6"/>
      <c r="G270" s="6"/>
      <c r="H270" s="6"/>
      <c r="I270" s="6"/>
      <c r="J270" s="5"/>
      <c r="K270" s="7"/>
      <c r="L270" s="5"/>
      <c r="M270" s="5"/>
      <c r="N270" s="6"/>
      <c r="O270" s="1"/>
      <c r="P270" s="6"/>
      <c r="Q270" s="1878"/>
      <c r="R270" s="1878"/>
      <c r="S270" s="1877"/>
      <c r="T270" s="1877"/>
      <c r="U270" s="1877"/>
      <c r="V270" s="1877"/>
      <c r="W270" s="1878"/>
      <c r="X270" s="1877"/>
      <c r="Y270" s="1877"/>
      <c r="Z270" s="1911"/>
      <c r="AA270" s="1877"/>
      <c r="AB270" s="1912"/>
      <c r="AC270" s="1881"/>
      <c r="AD270" s="1913"/>
      <c r="AF270" s="1393"/>
    </row>
    <row r="271" spans="1:32" s="1350" customFormat="1">
      <c r="A271" s="1"/>
      <c r="B271" s="6"/>
      <c r="C271" s="4"/>
      <c r="D271" s="4"/>
      <c r="E271" s="4"/>
      <c r="F271" s="6"/>
      <c r="G271" s="6"/>
      <c r="H271" s="6"/>
      <c r="I271" s="6"/>
      <c r="J271" s="5"/>
      <c r="K271" s="7"/>
      <c r="L271" s="5"/>
      <c r="M271" s="5"/>
      <c r="N271" s="6"/>
      <c r="O271" s="1"/>
      <c r="P271" s="6"/>
      <c r="Q271" s="1878"/>
      <c r="R271" s="1878"/>
      <c r="S271" s="1877"/>
      <c r="T271" s="1877"/>
      <c r="U271" s="1877"/>
      <c r="V271" s="1877"/>
      <c r="W271" s="1878"/>
      <c r="X271" s="1877"/>
      <c r="Y271" s="1877"/>
      <c r="Z271" s="1911"/>
      <c r="AA271" s="1877"/>
      <c r="AB271" s="1912"/>
      <c r="AC271" s="1881"/>
      <c r="AD271" s="1913"/>
      <c r="AF271" s="1393"/>
    </row>
    <row r="272" spans="1:32" s="1350" customFormat="1">
      <c r="A272" s="1"/>
      <c r="B272" s="6"/>
      <c r="C272" s="4"/>
      <c r="D272" s="4"/>
      <c r="E272" s="4"/>
      <c r="F272" s="6"/>
      <c r="G272" s="6"/>
      <c r="H272" s="6"/>
      <c r="I272" s="6"/>
      <c r="J272" s="5"/>
      <c r="K272" s="7"/>
      <c r="L272" s="5"/>
      <c r="M272" s="5"/>
      <c r="N272" s="6"/>
      <c r="O272" s="1"/>
      <c r="P272" s="6"/>
      <c r="Q272" s="1878"/>
      <c r="R272" s="1878"/>
      <c r="S272" s="1877"/>
      <c r="T272" s="1877"/>
      <c r="U272" s="1877"/>
      <c r="V272" s="1877"/>
      <c r="W272" s="1878"/>
      <c r="X272" s="1877"/>
      <c r="Y272" s="1877"/>
      <c r="Z272" s="1911"/>
      <c r="AA272" s="1877"/>
      <c r="AB272" s="1912"/>
      <c r="AC272" s="1881"/>
      <c r="AD272" s="1913"/>
      <c r="AF272" s="1393"/>
    </row>
    <row r="273" spans="1:32" s="1350" customFormat="1">
      <c r="A273" s="1"/>
      <c r="B273" s="6"/>
      <c r="C273" s="4"/>
      <c r="D273" s="4"/>
      <c r="E273" s="4"/>
      <c r="F273" s="6"/>
      <c r="G273" s="6"/>
      <c r="H273" s="6"/>
      <c r="I273" s="6"/>
      <c r="J273" s="5"/>
      <c r="K273" s="7"/>
      <c r="L273" s="5"/>
      <c r="M273" s="5"/>
      <c r="N273" s="6"/>
      <c r="O273" s="1"/>
      <c r="P273" s="6"/>
      <c r="Q273" s="1878"/>
      <c r="R273" s="1878"/>
      <c r="S273" s="1877"/>
      <c r="T273" s="1877"/>
      <c r="U273" s="1877"/>
      <c r="V273" s="1877"/>
      <c r="W273" s="1878"/>
      <c r="X273" s="1877"/>
      <c r="Y273" s="1877"/>
      <c r="Z273" s="1911"/>
      <c r="AA273" s="1877"/>
      <c r="AB273" s="1912"/>
      <c r="AC273" s="1881"/>
      <c r="AD273" s="1913"/>
      <c r="AF273" s="1393"/>
    </row>
    <row r="274" spans="1:32" s="1350" customFormat="1">
      <c r="A274" s="1"/>
      <c r="B274" s="6"/>
      <c r="C274" s="4"/>
      <c r="D274" s="4"/>
      <c r="E274" s="4"/>
      <c r="F274" s="6"/>
      <c r="G274" s="6"/>
      <c r="H274" s="6"/>
      <c r="I274" s="6"/>
      <c r="J274" s="5"/>
      <c r="K274" s="7"/>
      <c r="L274" s="5"/>
      <c r="M274" s="5"/>
      <c r="N274" s="6"/>
      <c r="O274" s="1"/>
      <c r="P274" s="6"/>
      <c r="Q274" s="1878"/>
      <c r="R274" s="1878"/>
      <c r="S274" s="1877"/>
      <c r="T274" s="1877"/>
      <c r="U274" s="1877"/>
      <c r="V274" s="1877"/>
      <c r="W274" s="1878"/>
      <c r="X274" s="1877"/>
      <c r="Y274" s="1877"/>
      <c r="Z274" s="1911"/>
      <c r="AA274" s="1877"/>
      <c r="AB274" s="1912"/>
      <c r="AC274" s="1881"/>
      <c r="AD274" s="1913"/>
      <c r="AF274" s="1393"/>
    </row>
    <row r="275" spans="1:32" s="1350" customFormat="1">
      <c r="A275" s="1"/>
      <c r="B275" s="6"/>
      <c r="C275" s="4"/>
      <c r="D275" s="4"/>
      <c r="E275" s="4"/>
      <c r="F275" s="6"/>
      <c r="G275" s="6"/>
      <c r="H275" s="6"/>
      <c r="I275" s="6"/>
      <c r="J275" s="5"/>
      <c r="K275" s="7"/>
      <c r="L275" s="5"/>
      <c r="M275" s="5"/>
      <c r="N275" s="6"/>
      <c r="O275" s="1"/>
      <c r="P275" s="6"/>
      <c r="Q275" s="1878"/>
      <c r="R275" s="1878"/>
      <c r="S275" s="1877"/>
      <c r="T275" s="1877"/>
      <c r="U275" s="1877"/>
      <c r="V275" s="1877"/>
      <c r="W275" s="1878"/>
      <c r="X275" s="1877"/>
      <c r="Y275" s="1877"/>
      <c r="Z275" s="1911"/>
      <c r="AA275" s="1877"/>
      <c r="AB275" s="1912"/>
      <c r="AC275" s="1881"/>
      <c r="AD275" s="1913"/>
      <c r="AF275" s="1393"/>
    </row>
    <row r="276" spans="1:32" s="1350" customFormat="1">
      <c r="A276" s="1"/>
      <c r="B276" s="6"/>
      <c r="C276" s="4"/>
      <c r="D276" s="4"/>
      <c r="E276" s="4"/>
      <c r="F276" s="6"/>
      <c r="G276" s="6"/>
      <c r="H276" s="6"/>
      <c r="I276" s="6"/>
      <c r="J276" s="5"/>
      <c r="K276" s="7"/>
      <c r="L276" s="5"/>
      <c r="M276" s="5"/>
      <c r="N276" s="6"/>
      <c r="O276" s="1"/>
      <c r="P276" s="6"/>
      <c r="Q276" s="1878"/>
      <c r="R276" s="1878"/>
      <c r="S276" s="1877"/>
      <c r="T276" s="1877"/>
      <c r="U276" s="1877"/>
      <c r="V276" s="1877"/>
      <c r="W276" s="1878"/>
      <c r="X276" s="1877"/>
      <c r="Y276" s="1877"/>
      <c r="Z276" s="1911"/>
      <c r="AA276" s="1877"/>
      <c r="AB276" s="1912"/>
      <c r="AC276" s="1881"/>
      <c r="AD276" s="1913"/>
      <c r="AF276" s="1393"/>
    </row>
    <row r="277" spans="1:32" s="1350" customFormat="1">
      <c r="A277" s="1"/>
      <c r="B277" s="6"/>
      <c r="C277" s="4"/>
      <c r="D277" s="4"/>
      <c r="E277" s="4"/>
      <c r="F277" s="6"/>
      <c r="G277" s="6"/>
      <c r="H277" s="6"/>
      <c r="I277" s="6"/>
      <c r="J277" s="5"/>
      <c r="K277" s="7"/>
      <c r="L277" s="5"/>
      <c r="M277" s="5"/>
      <c r="N277" s="6"/>
      <c r="O277" s="1"/>
      <c r="P277" s="6"/>
      <c r="Q277" s="1878"/>
      <c r="R277" s="1878"/>
      <c r="S277" s="1877"/>
      <c r="T277" s="1877"/>
      <c r="U277" s="1877"/>
      <c r="V277" s="1877"/>
      <c r="W277" s="1878"/>
      <c r="X277" s="1877"/>
      <c r="Y277" s="1877"/>
      <c r="Z277" s="1911"/>
      <c r="AA277" s="1877"/>
      <c r="AB277" s="1912"/>
      <c r="AC277" s="1881"/>
      <c r="AD277" s="1913"/>
      <c r="AF277" s="1393"/>
    </row>
    <row r="278" spans="1:32" s="1350" customFormat="1">
      <c r="A278" s="1"/>
      <c r="B278" s="6"/>
      <c r="C278" s="4"/>
      <c r="D278" s="4"/>
      <c r="E278" s="4"/>
      <c r="F278" s="6"/>
      <c r="G278" s="6"/>
      <c r="H278" s="6"/>
      <c r="I278" s="6"/>
      <c r="J278" s="5"/>
      <c r="K278" s="7"/>
      <c r="L278" s="5"/>
      <c r="M278" s="5"/>
      <c r="N278" s="6"/>
      <c r="O278" s="1"/>
      <c r="P278" s="6"/>
      <c r="Q278" s="1878"/>
      <c r="R278" s="1878"/>
      <c r="S278" s="1877"/>
      <c r="T278" s="1877"/>
      <c r="U278" s="1877"/>
      <c r="V278" s="1877"/>
      <c r="W278" s="1878"/>
      <c r="X278" s="1877"/>
      <c r="Y278" s="1877"/>
      <c r="Z278" s="1911"/>
      <c r="AA278" s="1877"/>
      <c r="AB278" s="1912"/>
      <c r="AC278" s="1881"/>
      <c r="AD278" s="1913"/>
      <c r="AF278" s="1393"/>
    </row>
    <row r="279" spans="1:32" s="1350" customFormat="1">
      <c r="A279" s="1"/>
      <c r="B279" s="6"/>
      <c r="C279" s="4"/>
      <c r="D279" s="4"/>
      <c r="E279" s="4"/>
      <c r="F279" s="6"/>
      <c r="G279" s="6"/>
      <c r="H279" s="6"/>
      <c r="I279" s="6"/>
      <c r="J279" s="5"/>
      <c r="K279" s="7"/>
      <c r="L279" s="5"/>
      <c r="M279" s="5"/>
      <c r="N279" s="6"/>
      <c r="O279" s="1"/>
      <c r="P279" s="6"/>
      <c r="Q279" s="1878"/>
      <c r="R279" s="1878"/>
      <c r="S279" s="1877"/>
      <c r="T279" s="1877"/>
      <c r="U279" s="1877"/>
      <c r="V279" s="1877"/>
      <c r="W279" s="1878"/>
      <c r="X279" s="1877"/>
      <c r="Y279" s="1877"/>
      <c r="Z279" s="1911"/>
      <c r="AA279" s="1877"/>
      <c r="AB279" s="1912"/>
      <c r="AC279" s="1881"/>
      <c r="AD279" s="1913"/>
      <c r="AF279" s="1393"/>
    </row>
    <row r="280" spans="1:32" s="1350" customFormat="1">
      <c r="A280" s="1"/>
      <c r="B280" s="6"/>
      <c r="C280" s="4"/>
      <c r="D280" s="4"/>
      <c r="E280" s="4"/>
      <c r="F280" s="6"/>
      <c r="G280" s="6"/>
      <c r="H280" s="6"/>
      <c r="I280" s="6"/>
      <c r="J280" s="5"/>
      <c r="K280" s="7"/>
      <c r="L280" s="5"/>
      <c r="M280" s="5"/>
      <c r="N280" s="6"/>
      <c r="O280" s="1"/>
      <c r="P280" s="6"/>
      <c r="Q280" s="1878"/>
      <c r="R280" s="1878"/>
      <c r="S280" s="1877"/>
      <c r="T280" s="1877"/>
      <c r="U280" s="1877"/>
      <c r="V280" s="1877"/>
      <c r="W280" s="1878"/>
      <c r="X280" s="1877"/>
      <c r="Y280" s="1877"/>
      <c r="Z280" s="1911"/>
      <c r="AA280" s="1877"/>
      <c r="AB280" s="1912"/>
      <c r="AC280" s="1881"/>
      <c r="AD280" s="1913"/>
      <c r="AF280" s="1393"/>
    </row>
    <row r="281" spans="1:32" s="1350" customFormat="1">
      <c r="A281" s="1"/>
      <c r="B281" s="6"/>
      <c r="C281" s="4"/>
      <c r="D281" s="4"/>
      <c r="E281" s="4"/>
      <c r="F281" s="6"/>
      <c r="G281" s="6"/>
      <c r="H281" s="6"/>
      <c r="I281" s="6"/>
      <c r="J281" s="5"/>
      <c r="K281" s="7"/>
      <c r="L281" s="5"/>
      <c r="M281" s="5"/>
      <c r="N281" s="6"/>
      <c r="O281" s="1"/>
      <c r="P281" s="6"/>
      <c r="Q281" s="1878"/>
      <c r="R281" s="1878"/>
      <c r="S281" s="1877"/>
      <c r="T281" s="1877"/>
      <c r="U281" s="1877"/>
      <c r="V281" s="1877"/>
      <c r="W281" s="1878"/>
      <c r="X281" s="1877"/>
      <c r="Y281" s="1877"/>
      <c r="Z281" s="1911"/>
      <c r="AA281" s="1877"/>
      <c r="AB281" s="1912"/>
      <c r="AC281" s="1881"/>
      <c r="AD281" s="1913"/>
      <c r="AF281" s="1393"/>
    </row>
    <row r="282" spans="1:32" s="1350" customFormat="1">
      <c r="A282" s="1"/>
      <c r="B282" s="6"/>
      <c r="C282" s="4"/>
      <c r="D282" s="4"/>
      <c r="E282" s="4"/>
      <c r="F282" s="6"/>
      <c r="G282" s="6"/>
      <c r="H282" s="6"/>
      <c r="I282" s="6"/>
      <c r="J282" s="5"/>
      <c r="K282" s="7"/>
      <c r="L282" s="5"/>
      <c r="M282" s="5"/>
      <c r="N282" s="6"/>
      <c r="O282" s="1"/>
      <c r="P282" s="6"/>
      <c r="Q282" s="1878"/>
      <c r="R282" s="1878"/>
      <c r="S282" s="1877"/>
      <c r="T282" s="1877"/>
      <c r="U282" s="1877"/>
      <c r="V282" s="1877"/>
      <c r="W282" s="1878"/>
      <c r="X282" s="1877"/>
      <c r="Y282" s="1877"/>
      <c r="Z282" s="1911"/>
      <c r="AA282" s="1877"/>
      <c r="AB282" s="1912"/>
      <c r="AC282" s="1881"/>
      <c r="AD282" s="1913"/>
      <c r="AF282" s="1393"/>
    </row>
    <row r="283" spans="1:32" s="1350" customFormat="1">
      <c r="A283" s="1"/>
      <c r="B283" s="6"/>
      <c r="C283" s="4"/>
      <c r="D283" s="4"/>
      <c r="E283" s="4"/>
      <c r="F283" s="6"/>
      <c r="G283" s="6"/>
      <c r="H283" s="6"/>
      <c r="I283" s="6"/>
      <c r="J283" s="5"/>
      <c r="K283" s="7"/>
      <c r="L283" s="5"/>
      <c r="M283" s="5"/>
      <c r="N283" s="6"/>
      <c r="O283" s="1"/>
      <c r="P283" s="6"/>
      <c r="Q283" s="1878"/>
      <c r="R283" s="1878"/>
      <c r="S283" s="1877"/>
      <c r="T283" s="1877"/>
      <c r="U283" s="1877"/>
      <c r="V283" s="1877"/>
      <c r="W283" s="1878"/>
      <c r="X283" s="1877"/>
      <c r="Y283" s="1877"/>
      <c r="Z283" s="1911"/>
      <c r="AA283" s="1877"/>
      <c r="AB283" s="1912"/>
      <c r="AC283" s="1881"/>
      <c r="AD283" s="1913"/>
      <c r="AF283" s="1393"/>
    </row>
    <row r="284" spans="1:32" s="1350" customFormat="1">
      <c r="A284" s="1"/>
      <c r="B284" s="6"/>
      <c r="C284" s="4"/>
      <c r="D284" s="4"/>
      <c r="E284" s="4"/>
      <c r="F284" s="6"/>
      <c r="G284" s="6"/>
      <c r="H284" s="6"/>
      <c r="I284" s="6"/>
      <c r="J284" s="5"/>
      <c r="K284" s="7"/>
      <c r="L284" s="5"/>
      <c r="M284" s="5"/>
      <c r="N284" s="6"/>
      <c r="O284" s="1"/>
      <c r="P284" s="6"/>
      <c r="Q284" s="1878"/>
      <c r="R284" s="1878"/>
      <c r="S284" s="1877"/>
      <c r="T284" s="1877"/>
      <c r="U284" s="1877"/>
      <c r="V284" s="1877"/>
      <c r="W284" s="1878"/>
      <c r="X284" s="1877"/>
      <c r="Y284" s="1877"/>
      <c r="Z284" s="1911"/>
      <c r="AA284" s="1877"/>
      <c r="AB284" s="1912"/>
      <c r="AC284" s="1881"/>
      <c r="AD284" s="1913"/>
      <c r="AF284" s="1393"/>
    </row>
    <row r="285" spans="1:32" s="1350" customFormat="1">
      <c r="A285" s="1"/>
      <c r="B285" s="6"/>
      <c r="C285" s="4"/>
      <c r="D285" s="4"/>
      <c r="E285" s="4"/>
      <c r="F285" s="6"/>
      <c r="G285" s="6"/>
      <c r="H285" s="6"/>
      <c r="I285" s="6"/>
      <c r="J285" s="5"/>
      <c r="K285" s="7"/>
      <c r="L285" s="5"/>
      <c r="M285" s="5"/>
      <c r="N285" s="6"/>
      <c r="O285" s="1"/>
      <c r="P285" s="6"/>
      <c r="Q285" s="1878"/>
      <c r="R285" s="1878"/>
      <c r="S285" s="1877"/>
      <c r="T285" s="1877"/>
      <c r="U285" s="1877"/>
      <c r="V285" s="1877"/>
      <c r="W285" s="1878"/>
      <c r="X285" s="1877"/>
      <c r="Y285" s="1877"/>
      <c r="Z285" s="1911"/>
      <c r="AA285" s="1877"/>
      <c r="AB285" s="1912"/>
      <c r="AC285" s="1881"/>
      <c r="AD285" s="1913"/>
      <c r="AF285" s="1393"/>
    </row>
    <row r="286" spans="1:32" s="1350" customFormat="1">
      <c r="A286" s="1"/>
      <c r="B286" s="6"/>
      <c r="C286" s="4"/>
      <c r="D286" s="4"/>
      <c r="E286" s="4"/>
      <c r="F286" s="6"/>
      <c r="G286" s="6"/>
      <c r="H286" s="6"/>
      <c r="I286" s="6"/>
      <c r="J286" s="5"/>
      <c r="K286" s="7"/>
      <c r="L286" s="5"/>
      <c r="M286" s="5"/>
      <c r="N286" s="6"/>
      <c r="O286" s="1"/>
      <c r="P286" s="6"/>
      <c r="Q286" s="1878"/>
      <c r="R286" s="1878"/>
      <c r="S286" s="1877"/>
      <c r="T286" s="1877"/>
      <c r="U286" s="1877"/>
      <c r="V286" s="1877"/>
      <c r="W286" s="1878"/>
      <c r="X286" s="1877"/>
      <c r="Y286" s="1877"/>
      <c r="Z286" s="1911"/>
      <c r="AA286" s="1877"/>
      <c r="AB286" s="1912"/>
      <c r="AC286" s="1881"/>
      <c r="AD286" s="1913"/>
      <c r="AF286" s="1393"/>
    </row>
    <row r="287" spans="1:32" s="1350" customFormat="1">
      <c r="A287" s="1"/>
      <c r="B287" s="6"/>
      <c r="C287" s="4"/>
      <c r="D287" s="4"/>
      <c r="E287" s="4"/>
      <c r="F287" s="6"/>
      <c r="G287" s="6"/>
      <c r="H287" s="6"/>
      <c r="I287" s="6"/>
      <c r="J287" s="5"/>
      <c r="K287" s="7"/>
      <c r="L287" s="5"/>
      <c r="M287" s="5"/>
      <c r="N287" s="6"/>
      <c r="O287" s="1"/>
      <c r="P287" s="6"/>
      <c r="Q287" s="1878"/>
      <c r="R287" s="1878"/>
      <c r="S287" s="1877"/>
      <c r="T287" s="1877"/>
      <c r="U287" s="1877"/>
      <c r="V287" s="1877"/>
      <c r="W287" s="1878"/>
      <c r="X287" s="1877"/>
      <c r="Y287" s="1877"/>
      <c r="Z287" s="1911"/>
      <c r="AA287" s="1877"/>
      <c r="AB287" s="1912"/>
      <c r="AC287" s="1881"/>
      <c r="AD287" s="1913"/>
      <c r="AF287" s="1393"/>
    </row>
    <row r="288" spans="1:32" s="1350" customFormat="1">
      <c r="A288" s="1"/>
      <c r="B288" s="6"/>
      <c r="C288" s="4"/>
      <c r="D288" s="4"/>
      <c r="E288" s="4"/>
      <c r="F288" s="6"/>
      <c r="G288" s="6"/>
      <c r="H288" s="6"/>
      <c r="I288" s="6"/>
      <c r="J288" s="5"/>
      <c r="K288" s="7"/>
      <c r="L288" s="5"/>
      <c r="M288" s="5"/>
      <c r="N288" s="6"/>
      <c r="O288" s="1"/>
      <c r="P288" s="6"/>
      <c r="Q288" s="1878"/>
      <c r="R288" s="1878"/>
      <c r="S288" s="1877"/>
      <c r="T288" s="1877"/>
      <c r="U288" s="1877"/>
      <c r="V288" s="1877"/>
      <c r="W288" s="1878"/>
      <c r="X288" s="1877"/>
      <c r="Y288" s="1877"/>
      <c r="Z288" s="1911"/>
      <c r="AA288" s="1877"/>
      <c r="AB288" s="1912"/>
      <c r="AC288" s="1881"/>
      <c r="AD288" s="1913"/>
      <c r="AF288" s="1393"/>
    </row>
    <row r="289" spans="1:32" s="1350" customFormat="1">
      <c r="A289" s="1"/>
      <c r="B289" s="6"/>
      <c r="C289" s="4"/>
      <c r="D289" s="4"/>
      <c r="E289" s="4"/>
      <c r="F289" s="6"/>
      <c r="G289" s="6"/>
      <c r="H289" s="6"/>
      <c r="I289" s="6"/>
      <c r="J289" s="5"/>
      <c r="K289" s="7"/>
      <c r="L289" s="5"/>
      <c r="M289" s="5"/>
      <c r="N289" s="6"/>
      <c r="O289" s="1"/>
      <c r="P289" s="6"/>
      <c r="Q289" s="1878"/>
      <c r="R289" s="1878"/>
      <c r="S289" s="1877"/>
      <c r="T289" s="1877"/>
      <c r="U289" s="1877"/>
      <c r="V289" s="1877"/>
      <c r="W289" s="1878"/>
      <c r="X289" s="1877"/>
      <c r="Y289" s="1877"/>
      <c r="Z289" s="1911"/>
      <c r="AA289" s="1877"/>
      <c r="AB289" s="1912"/>
      <c r="AC289" s="1881"/>
      <c r="AD289" s="1913"/>
      <c r="AF289" s="1393"/>
    </row>
    <row r="290" spans="1:32" s="1350" customFormat="1">
      <c r="A290" s="1"/>
      <c r="B290" s="6"/>
      <c r="C290" s="4"/>
      <c r="D290" s="4"/>
      <c r="E290" s="4"/>
      <c r="F290" s="6"/>
      <c r="G290" s="6"/>
      <c r="H290" s="6"/>
      <c r="I290" s="6"/>
      <c r="J290" s="5"/>
      <c r="K290" s="7"/>
      <c r="L290" s="5"/>
      <c r="M290" s="5"/>
      <c r="N290" s="6"/>
      <c r="O290" s="1"/>
      <c r="P290" s="6"/>
      <c r="Q290" s="1878"/>
      <c r="R290" s="1878"/>
      <c r="S290" s="1877"/>
      <c r="T290" s="1877"/>
      <c r="U290" s="1877"/>
      <c r="V290" s="1877"/>
      <c r="W290" s="1878"/>
      <c r="X290" s="1877"/>
      <c r="Y290" s="1877"/>
      <c r="Z290" s="1911"/>
      <c r="AA290" s="1877"/>
      <c r="AB290" s="1912"/>
      <c r="AC290" s="1881"/>
      <c r="AD290" s="1913"/>
      <c r="AF290" s="1393"/>
    </row>
    <row r="291" spans="1:32" s="1350" customFormat="1">
      <c r="A291" s="1"/>
      <c r="B291" s="6"/>
      <c r="C291" s="4"/>
      <c r="D291" s="4"/>
      <c r="E291" s="4"/>
      <c r="F291" s="6"/>
      <c r="G291" s="6"/>
      <c r="H291" s="6"/>
      <c r="I291" s="6"/>
      <c r="J291" s="5"/>
      <c r="K291" s="7"/>
      <c r="L291" s="5"/>
      <c r="M291" s="5"/>
      <c r="N291" s="6"/>
      <c r="O291" s="1"/>
      <c r="P291" s="6"/>
      <c r="Q291" s="1878"/>
      <c r="R291" s="1878"/>
      <c r="S291" s="1877"/>
      <c r="T291" s="1877"/>
      <c r="U291" s="1877"/>
      <c r="V291" s="1877"/>
      <c r="W291" s="1878"/>
      <c r="X291" s="1877"/>
      <c r="Y291" s="1877"/>
      <c r="Z291" s="1911"/>
      <c r="AA291" s="1877"/>
      <c r="AB291" s="1912"/>
      <c r="AC291" s="1881"/>
      <c r="AD291" s="1913"/>
      <c r="AF291" s="1393"/>
    </row>
    <row r="292" spans="1:32" s="1350" customFormat="1">
      <c r="A292" s="1"/>
      <c r="B292" s="6"/>
      <c r="C292" s="4"/>
      <c r="D292" s="4"/>
      <c r="E292" s="4"/>
      <c r="F292" s="6"/>
      <c r="G292" s="6"/>
      <c r="H292" s="6"/>
      <c r="I292" s="6"/>
      <c r="J292" s="5"/>
      <c r="K292" s="7"/>
      <c r="L292" s="5"/>
      <c r="M292" s="5"/>
      <c r="N292" s="6"/>
      <c r="O292" s="1"/>
      <c r="P292" s="6"/>
      <c r="Q292" s="1878"/>
      <c r="R292" s="1878"/>
      <c r="S292" s="1877"/>
      <c r="T292" s="1877"/>
      <c r="U292" s="1877"/>
      <c r="V292" s="1877"/>
      <c r="W292" s="1878"/>
      <c r="X292" s="1877"/>
      <c r="Y292" s="1877"/>
      <c r="Z292" s="1911"/>
      <c r="AA292" s="1877"/>
      <c r="AB292" s="1912"/>
      <c r="AC292" s="1881"/>
      <c r="AD292" s="1913"/>
      <c r="AF292" s="1393"/>
    </row>
    <row r="293" spans="1:32" s="1350" customFormat="1">
      <c r="A293" s="1"/>
      <c r="B293" s="6"/>
      <c r="C293" s="4"/>
      <c r="D293" s="4"/>
      <c r="E293" s="4"/>
      <c r="F293" s="6"/>
      <c r="G293" s="6"/>
      <c r="H293" s="6"/>
      <c r="I293" s="6"/>
      <c r="J293" s="5"/>
      <c r="K293" s="7"/>
      <c r="L293" s="5"/>
      <c r="M293" s="5"/>
      <c r="N293" s="6"/>
      <c r="O293" s="1"/>
      <c r="P293" s="6"/>
      <c r="Q293" s="1878"/>
      <c r="R293" s="1878"/>
      <c r="S293" s="1877"/>
      <c r="T293" s="1877"/>
      <c r="U293" s="1877"/>
      <c r="V293" s="1877"/>
      <c r="W293" s="1878"/>
      <c r="X293" s="1877"/>
      <c r="Y293" s="1877"/>
      <c r="Z293" s="1911"/>
      <c r="AA293" s="1877"/>
      <c r="AB293" s="1912"/>
      <c r="AC293" s="1881"/>
      <c r="AD293" s="1913"/>
      <c r="AF293" s="1393"/>
    </row>
    <row r="294" spans="1:32" s="1350" customFormat="1">
      <c r="A294" s="1"/>
      <c r="B294" s="6"/>
      <c r="C294" s="4"/>
      <c r="D294" s="4"/>
      <c r="E294" s="4"/>
      <c r="F294" s="6"/>
      <c r="G294" s="6"/>
      <c r="H294" s="6"/>
      <c r="I294" s="6"/>
      <c r="J294" s="5"/>
      <c r="K294" s="7"/>
      <c r="L294" s="5"/>
      <c r="M294" s="5"/>
      <c r="N294" s="6"/>
      <c r="O294" s="1"/>
      <c r="P294" s="6"/>
      <c r="Q294" s="1878"/>
      <c r="R294" s="1878"/>
      <c r="S294" s="1877"/>
      <c r="T294" s="1877"/>
      <c r="U294" s="1877"/>
      <c r="V294" s="1877"/>
      <c r="W294" s="1878"/>
      <c r="X294" s="1877"/>
      <c r="Y294" s="1877"/>
      <c r="Z294" s="1911"/>
      <c r="AA294" s="1877"/>
      <c r="AB294" s="1912"/>
      <c r="AC294" s="1881"/>
      <c r="AD294" s="1913"/>
      <c r="AF294" s="1393"/>
    </row>
    <row r="295" spans="1:32" s="1350" customFormat="1">
      <c r="A295" s="1"/>
      <c r="B295" s="6"/>
      <c r="C295" s="4"/>
      <c r="D295" s="4"/>
      <c r="E295" s="4"/>
      <c r="F295" s="6"/>
      <c r="G295" s="6"/>
      <c r="H295" s="6"/>
      <c r="I295" s="6"/>
      <c r="J295" s="5"/>
      <c r="K295" s="7"/>
      <c r="L295" s="5"/>
      <c r="M295" s="5"/>
      <c r="N295" s="6"/>
      <c r="O295" s="1"/>
      <c r="P295" s="6"/>
      <c r="Q295" s="1878"/>
      <c r="R295" s="1878"/>
      <c r="S295" s="1877"/>
      <c r="T295" s="1877"/>
      <c r="U295" s="1877"/>
      <c r="V295" s="1877"/>
      <c r="W295" s="1878"/>
      <c r="X295" s="1877"/>
      <c r="Y295" s="1877"/>
      <c r="Z295" s="1911"/>
      <c r="AA295" s="1877"/>
      <c r="AB295" s="1912"/>
      <c r="AC295" s="1881"/>
      <c r="AD295" s="1913"/>
      <c r="AF295" s="1393"/>
    </row>
    <row r="296" spans="1:32" s="1350" customFormat="1">
      <c r="A296" s="1"/>
      <c r="B296" s="6"/>
      <c r="C296" s="4"/>
      <c r="D296" s="4"/>
      <c r="E296" s="4"/>
      <c r="F296" s="6"/>
      <c r="G296" s="6"/>
      <c r="H296" s="6"/>
      <c r="I296" s="6"/>
      <c r="J296" s="5"/>
      <c r="K296" s="7"/>
      <c r="L296" s="5"/>
      <c r="M296" s="5"/>
      <c r="N296" s="6"/>
      <c r="O296" s="1"/>
      <c r="P296" s="6"/>
      <c r="Q296" s="1878"/>
      <c r="R296" s="1878"/>
      <c r="S296" s="1877"/>
      <c r="T296" s="1877"/>
      <c r="U296" s="1877"/>
      <c r="V296" s="1877"/>
      <c r="W296" s="1878"/>
      <c r="X296" s="1877"/>
      <c r="Y296" s="1877"/>
      <c r="Z296" s="1911"/>
      <c r="AA296" s="1877"/>
      <c r="AB296" s="1912"/>
      <c r="AC296" s="1881"/>
      <c r="AD296" s="1913"/>
      <c r="AF296" s="1393"/>
    </row>
    <row r="297" spans="1:32" s="1350" customFormat="1">
      <c r="A297" s="1"/>
      <c r="B297" s="6"/>
      <c r="C297" s="4"/>
      <c r="D297" s="4"/>
      <c r="E297" s="4"/>
      <c r="F297" s="6"/>
      <c r="G297" s="6"/>
      <c r="H297" s="6"/>
      <c r="I297" s="6"/>
      <c r="J297" s="5"/>
      <c r="K297" s="7"/>
      <c r="L297" s="5"/>
      <c r="M297" s="5"/>
      <c r="N297" s="6"/>
      <c r="O297" s="1"/>
      <c r="P297" s="6"/>
      <c r="Q297" s="1878"/>
      <c r="R297" s="1878"/>
      <c r="S297" s="1877"/>
      <c r="T297" s="1877"/>
      <c r="U297" s="1877"/>
      <c r="V297" s="1877"/>
      <c r="W297" s="1878"/>
      <c r="X297" s="1877"/>
      <c r="Y297" s="1877"/>
      <c r="Z297" s="1911"/>
      <c r="AA297" s="1877"/>
      <c r="AB297" s="1912"/>
      <c r="AC297" s="1881"/>
      <c r="AD297" s="1913"/>
      <c r="AF297" s="1393"/>
    </row>
    <row r="298" spans="1:32" s="1350" customFormat="1">
      <c r="A298" s="1"/>
      <c r="B298" s="6"/>
      <c r="C298" s="4"/>
      <c r="D298" s="4"/>
      <c r="E298" s="4"/>
      <c r="F298" s="6"/>
      <c r="G298" s="6"/>
      <c r="H298" s="6"/>
      <c r="I298" s="6"/>
      <c r="J298" s="5"/>
      <c r="K298" s="7"/>
      <c r="L298" s="5"/>
      <c r="M298" s="5"/>
      <c r="N298" s="6"/>
      <c r="O298" s="1"/>
      <c r="P298" s="6"/>
      <c r="Q298" s="1878"/>
      <c r="R298" s="1878"/>
      <c r="S298" s="1877"/>
      <c r="T298" s="1877"/>
      <c r="U298" s="1877"/>
      <c r="V298" s="1877"/>
      <c r="W298" s="1878"/>
      <c r="X298" s="1877"/>
      <c r="Y298" s="1877"/>
      <c r="Z298" s="1911"/>
      <c r="AA298" s="1877"/>
      <c r="AB298" s="1912"/>
      <c r="AC298" s="1881"/>
      <c r="AD298" s="1913"/>
      <c r="AF298" s="1393"/>
    </row>
    <row r="299" spans="1:32" s="1350" customFormat="1">
      <c r="A299" s="1"/>
      <c r="B299" s="6"/>
      <c r="C299" s="4"/>
      <c r="D299" s="4"/>
      <c r="E299" s="4"/>
      <c r="F299" s="6"/>
      <c r="G299" s="6"/>
      <c r="H299" s="6"/>
      <c r="I299" s="6"/>
      <c r="J299" s="5"/>
      <c r="K299" s="7"/>
      <c r="L299" s="5"/>
      <c r="M299" s="5"/>
      <c r="N299" s="6"/>
      <c r="O299" s="1"/>
      <c r="P299" s="6"/>
      <c r="Q299" s="1878"/>
      <c r="R299" s="1878"/>
      <c r="S299" s="1877"/>
      <c r="T299" s="1877"/>
      <c r="U299" s="1877"/>
      <c r="V299" s="1877"/>
      <c r="W299" s="1878"/>
      <c r="X299" s="1877"/>
      <c r="Y299" s="1877"/>
      <c r="Z299" s="1911"/>
      <c r="AA299" s="1877"/>
      <c r="AB299" s="1912"/>
      <c r="AC299" s="1881"/>
      <c r="AD299" s="1913"/>
      <c r="AF299" s="1393"/>
    </row>
    <row r="300" spans="1:32" s="1350" customFormat="1">
      <c r="A300" s="1"/>
      <c r="B300" s="6"/>
      <c r="C300" s="4"/>
      <c r="D300" s="4"/>
      <c r="E300" s="4"/>
      <c r="F300" s="6"/>
      <c r="G300" s="6"/>
      <c r="H300" s="6"/>
      <c r="I300" s="6"/>
      <c r="J300" s="5"/>
      <c r="K300" s="7"/>
      <c r="L300" s="5"/>
      <c r="M300" s="5"/>
      <c r="N300" s="6"/>
      <c r="O300" s="1"/>
      <c r="P300" s="6"/>
      <c r="Q300" s="1878"/>
      <c r="R300" s="1878"/>
      <c r="S300" s="1877"/>
      <c r="T300" s="1877"/>
      <c r="U300" s="1877"/>
      <c r="V300" s="1877"/>
      <c r="W300" s="1878"/>
      <c r="X300" s="1877"/>
      <c r="Y300" s="1877"/>
      <c r="Z300" s="1911"/>
      <c r="AA300" s="1877"/>
      <c r="AB300" s="1912"/>
      <c r="AC300" s="1881"/>
      <c r="AD300" s="1913"/>
      <c r="AF300" s="1393"/>
    </row>
    <row r="301" spans="1:32" s="1350" customFormat="1">
      <c r="A301" s="1"/>
      <c r="B301" s="6"/>
      <c r="C301" s="4"/>
      <c r="D301" s="4"/>
      <c r="E301" s="4"/>
      <c r="F301" s="6"/>
      <c r="G301" s="6"/>
      <c r="H301" s="6"/>
      <c r="I301" s="6"/>
      <c r="J301" s="5"/>
      <c r="K301" s="7"/>
      <c r="L301" s="5"/>
      <c r="M301" s="5"/>
      <c r="N301" s="6"/>
      <c r="O301" s="1"/>
      <c r="P301" s="6"/>
      <c r="Q301" s="1878"/>
      <c r="R301" s="1878"/>
      <c r="S301" s="1877"/>
      <c r="T301" s="1877"/>
      <c r="U301" s="1877"/>
      <c r="V301" s="1877"/>
      <c r="W301" s="1878"/>
      <c r="X301" s="1877"/>
      <c r="Y301" s="1877"/>
      <c r="Z301" s="1911"/>
      <c r="AA301" s="1877"/>
      <c r="AB301" s="1912"/>
      <c r="AC301" s="1881"/>
      <c r="AD301" s="1913"/>
      <c r="AF301" s="1393"/>
    </row>
    <row r="302" spans="1:32" s="1350" customFormat="1">
      <c r="A302" s="1"/>
      <c r="B302" s="6"/>
      <c r="C302" s="4"/>
      <c r="D302" s="4"/>
      <c r="E302" s="4"/>
      <c r="F302" s="6"/>
      <c r="G302" s="6"/>
      <c r="H302" s="6"/>
      <c r="I302" s="6"/>
      <c r="J302" s="5"/>
      <c r="K302" s="7"/>
      <c r="L302" s="5"/>
      <c r="M302" s="5"/>
      <c r="N302" s="6"/>
      <c r="O302" s="1"/>
      <c r="P302" s="6"/>
      <c r="Q302" s="1878"/>
      <c r="R302" s="1878"/>
      <c r="S302" s="1877"/>
      <c r="T302" s="1877"/>
      <c r="U302" s="1877"/>
      <c r="V302" s="1877"/>
      <c r="W302" s="1878"/>
      <c r="X302" s="1877"/>
      <c r="Y302" s="1877"/>
      <c r="Z302" s="1911"/>
      <c r="AA302" s="1877"/>
      <c r="AB302" s="1912"/>
      <c r="AC302" s="1881"/>
      <c r="AD302" s="1913"/>
      <c r="AF302" s="1393"/>
    </row>
    <row r="303" spans="1:32" s="1350" customFormat="1">
      <c r="A303" s="1"/>
      <c r="B303" s="6"/>
      <c r="C303" s="4"/>
      <c r="D303" s="4"/>
      <c r="E303" s="4"/>
      <c r="F303" s="6"/>
      <c r="G303" s="6"/>
      <c r="H303" s="6"/>
      <c r="I303" s="6"/>
      <c r="J303" s="5"/>
      <c r="K303" s="7"/>
      <c r="L303" s="5"/>
      <c r="M303" s="5"/>
      <c r="N303" s="6"/>
      <c r="O303" s="1"/>
      <c r="P303" s="6"/>
      <c r="Q303" s="1878"/>
      <c r="R303" s="1878"/>
      <c r="S303" s="1877"/>
      <c r="T303" s="1877"/>
      <c r="U303" s="1877"/>
      <c r="V303" s="1877"/>
      <c r="W303" s="1878"/>
      <c r="X303" s="1877"/>
      <c r="Y303" s="1877"/>
      <c r="Z303" s="1911"/>
      <c r="AA303" s="1877"/>
      <c r="AB303" s="1912"/>
      <c r="AC303" s="1881"/>
      <c r="AD303" s="1913"/>
      <c r="AF303" s="1393"/>
    </row>
    <row r="304" spans="1:32" s="1350" customFormat="1">
      <c r="A304" s="1"/>
      <c r="B304" s="6"/>
      <c r="C304" s="4"/>
      <c r="D304" s="4"/>
      <c r="E304" s="4"/>
      <c r="F304" s="6"/>
      <c r="G304" s="6"/>
      <c r="H304" s="6"/>
      <c r="I304" s="6"/>
      <c r="J304" s="5"/>
      <c r="K304" s="7"/>
      <c r="L304" s="5"/>
      <c r="M304" s="5"/>
      <c r="N304" s="6"/>
      <c r="O304" s="1"/>
      <c r="P304" s="6"/>
      <c r="Q304" s="1878"/>
      <c r="R304" s="1878"/>
      <c r="S304" s="1877"/>
      <c r="T304" s="1877"/>
      <c r="U304" s="1877"/>
      <c r="V304" s="1877"/>
      <c r="W304" s="1878"/>
      <c r="X304" s="1877"/>
      <c r="Y304" s="1877"/>
      <c r="Z304" s="1911"/>
      <c r="AA304" s="1877"/>
      <c r="AB304" s="1912"/>
      <c r="AC304" s="1881"/>
      <c r="AD304" s="1913"/>
      <c r="AF304" s="1393"/>
    </row>
    <row r="305" spans="1:32" s="1350" customFormat="1">
      <c r="A305" s="1"/>
      <c r="B305" s="6"/>
      <c r="C305" s="4"/>
      <c r="D305" s="4"/>
      <c r="E305" s="4"/>
      <c r="F305" s="6"/>
      <c r="G305" s="6"/>
      <c r="H305" s="6"/>
      <c r="I305" s="6"/>
      <c r="J305" s="5"/>
      <c r="K305" s="7"/>
      <c r="L305" s="5"/>
      <c r="M305" s="5"/>
      <c r="N305" s="6"/>
      <c r="O305" s="1"/>
      <c r="P305" s="6"/>
      <c r="Q305" s="1878"/>
      <c r="R305" s="1878"/>
      <c r="S305" s="1877"/>
      <c r="T305" s="1877"/>
      <c r="U305" s="1877"/>
      <c r="V305" s="1877"/>
      <c r="W305" s="1878"/>
      <c r="X305" s="1877"/>
      <c r="Y305" s="1877"/>
      <c r="Z305" s="1911"/>
      <c r="AA305" s="1877"/>
      <c r="AB305" s="1912"/>
      <c r="AC305" s="1881"/>
      <c r="AD305" s="1913"/>
      <c r="AF305" s="1393"/>
    </row>
    <row r="306" spans="1:32" s="1350" customFormat="1">
      <c r="A306" s="1"/>
      <c r="B306" s="6"/>
      <c r="C306" s="4"/>
      <c r="D306" s="4"/>
      <c r="E306" s="4"/>
      <c r="F306" s="6"/>
      <c r="G306" s="6"/>
      <c r="H306" s="6"/>
      <c r="I306" s="6"/>
      <c r="J306" s="5"/>
      <c r="K306" s="7"/>
      <c r="L306" s="5"/>
      <c r="M306" s="5"/>
      <c r="N306" s="6"/>
      <c r="O306" s="1"/>
      <c r="P306" s="6"/>
      <c r="Q306" s="1878"/>
      <c r="R306" s="1878"/>
      <c r="S306" s="1877"/>
      <c r="T306" s="1877"/>
      <c r="U306" s="1877"/>
      <c r="V306" s="1877"/>
      <c r="W306" s="1878"/>
      <c r="X306" s="1877"/>
      <c r="Y306" s="1877"/>
      <c r="Z306" s="1911"/>
      <c r="AA306" s="1877"/>
      <c r="AB306" s="1912"/>
      <c r="AC306" s="1881"/>
      <c r="AD306" s="1913"/>
      <c r="AF306" s="1393"/>
    </row>
    <row r="307" spans="1:32" s="1350" customFormat="1">
      <c r="A307" s="1"/>
      <c r="B307" s="6"/>
      <c r="C307" s="4"/>
      <c r="D307" s="4"/>
      <c r="E307" s="4"/>
      <c r="F307" s="6"/>
      <c r="G307" s="6"/>
      <c r="H307" s="6"/>
      <c r="I307" s="6"/>
      <c r="J307" s="5"/>
      <c r="K307" s="7"/>
      <c r="L307" s="5"/>
      <c r="M307" s="5"/>
      <c r="N307" s="6"/>
      <c r="O307" s="1"/>
      <c r="P307" s="6"/>
      <c r="Q307" s="1878"/>
      <c r="R307" s="1878"/>
      <c r="S307" s="1877"/>
      <c r="T307" s="1877"/>
      <c r="U307" s="1877"/>
      <c r="V307" s="1877"/>
      <c r="W307" s="1878"/>
      <c r="X307" s="1877"/>
      <c r="Y307" s="1877"/>
      <c r="Z307" s="1911"/>
      <c r="AA307" s="1877"/>
      <c r="AB307" s="1912"/>
      <c r="AC307" s="1881"/>
      <c r="AD307" s="1913"/>
      <c r="AF307" s="1393"/>
    </row>
    <row r="308" spans="1:32" s="1350" customFormat="1">
      <c r="A308" s="1"/>
      <c r="B308" s="6"/>
      <c r="C308" s="4"/>
      <c r="D308" s="4"/>
      <c r="E308" s="4"/>
      <c r="F308" s="6"/>
      <c r="G308" s="6"/>
      <c r="H308" s="6"/>
      <c r="I308" s="6"/>
      <c r="J308" s="5"/>
      <c r="K308" s="7"/>
      <c r="L308" s="5"/>
      <c r="M308" s="5"/>
      <c r="N308" s="6"/>
      <c r="O308" s="1"/>
      <c r="P308" s="6"/>
      <c r="Q308" s="1878"/>
      <c r="R308" s="1878"/>
      <c r="S308" s="1877"/>
      <c r="T308" s="1877"/>
      <c r="U308" s="1877"/>
      <c r="V308" s="1877"/>
      <c r="W308" s="1878"/>
      <c r="X308" s="1877"/>
      <c r="Y308" s="1877"/>
      <c r="Z308" s="1911"/>
      <c r="AA308" s="1877"/>
      <c r="AB308" s="1912"/>
      <c r="AC308" s="1881"/>
      <c r="AD308" s="1913"/>
      <c r="AF308" s="1393"/>
    </row>
    <row r="309" spans="1:32" s="1350" customFormat="1">
      <c r="A309" s="1"/>
      <c r="B309" s="6"/>
      <c r="C309" s="4"/>
      <c r="D309" s="4"/>
      <c r="E309" s="4"/>
      <c r="F309" s="6"/>
      <c r="G309" s="6"/>
      <c r="H309" s="6"/>
      <c r="I309" s="6"/>
      <c r="J309" s="5"/>
      <c r="K309" s="7"/>
      <c r="L309" s="5"/>
      <c r="M309" s="5"/>
      <c r="N309" s="6"/>
      <c r="O309" s="1"/>
      <c r="P309" s="6"/>
      <c r="Q309" s="1878"/>
      <c r="R309" s="1878"/>
      <c r="S309" s="1877"/>
      <c r="T309" s="1877"/>
      <c r="U309" s="1877"/>
      <c r="V309" s="1877"/>
      <c r="W309" s="1878"/>
      <c r="X309" s="1877"/>
      <c r="Y309" s="1877"/>
      <c r="Z309" s="1911"/>
      <c r="AA309" s="1877"/>
      <c r="AB309" s="1912"/>
      <c r="AC309" s="1881"/>
      <c r="AD309" s="1913"/>
      <c r="AF309" s="1393"/>
    </row>
  </sheetData>
  <mergeCells count="4">
    <mergeCell ref="A2:L2"/>
    <mergeCell ref="D3:H3"/>
    <mergeCell ref="A5:Z5"/>
    <mergeCell ref="A9:Z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24"/>
  <sheetViews>
    <sheetView workbookViewId="0">
      <selection activeCell="I24" sqref="I24"/>
    </sheetView>
  </sheetViews>
  <sheetFormatPr defaultColWidth="10.33203125" defaultRowHeight="13.2"/>
  <cols>
    <col min="1" max="1" width="7" style="1" customWidth="1"/>
    <col min="2" max="2" width="15.5546875" style="6" customWidth="1"/>
    <col min="3" max="3" width="19.109375" style="732" customWidth="1"/>
    <col min="4" max="4" width="14.109375" style="3" customWidth="1"/>
    <col min="5" max="5" width="14.88671875" style="4" customWidth="1"/>
    <col min="6" max="6" width="11.109375" style="4" customWidth="1"/>
    <col min="7" max="8" width="5.109375" style="6" hidden="1" customWidth="1"/>
    <col min="9" max="9" width="45.109375" style="5" customWidth="1"/>
    <col min="10" max="10" width="19" style="5" customWidth="1"/>
    <col min="11" max="11" width="14.44140625" style="7" customWidth="1"/>
    <col min="12" max="12" width="19" style="5" customWidth="1"/>
    <col min="13" max="13" width="9.6640625" style="11" customWidth="1"/>
    <col min="14" max="14" width="19.109375" style="6" hidden="1" customWidth="1"/>
    <col min="15" max="15" width="17.33203125" style="6" hidden="1" customWidth="1"/>
    <col min="16" max="16" width="11.88671875" style="743" hidden="1" customWidth="1"/>
    <col min="17" max="17" width="13.109375" style="743" hidden="1" customWidth="1"/>
    <col min="18" max="18" width="13" style="743" hidden="1" customWidth="1"/>
    <col min="19" max="19" width="11.88671875" style="743" hidden="1" customWidth="1"/>
    <col min="20" max="20" width="15.33203125" style="744" hidden="1" customWidth="1"/>
    <col min="21" max="21" width="11.88671875" style="743" hidden="1" customWidth="1"/>
    <col min="22" max="22" width="19.44140625" style="743" customWidth="1"/>
    <col min="23" max="23" width="15.5546875" style="745" customWidth="1"/>
    <col min="24" max="24" width="34.33203125" style="746" hidden="1" customWidth="1"/>
    <col min="25" max="25" width="18.6640625" style="747" customWidth="1"/>
    <col min="26" max="26" width="16.6640625" style="748" customWidth="1"/>
    <col min="27" max="27" width="18.5546875" style="749" customWidth="1"/>
    <col min="28" max="28" width="37.109375" style="5" customWidth="1"/>
    <col min="29" max="192" width="10.33203125" style="13"/>
    <col min="193" max="193" width="7" style="13" customWidth="1"/>
    <col min="194" max="194" width="13" style="13" customWidth="1"/>
    <col min="195" max="195" width="14.109375" style="13" customWidth="1"/>
    <col min="196" max="196" width="17.33203125" style="13" customWidth="1"/>
    <col min="197" max="197" width="18.88671875" style="13" customWidth="1"/>
    <col min="198" max="198" width="14.109375" style="13" customWidth="1"/>
    <col min="199" max="199" width="21.5546875" style="13" customWidth="1"/>
    <col min="200" max="201" width="14.109375" style="13" customWidth="1"/>
    <col min="202" max="202" width="15" style="13" customWidth="1"/>
    <col min="203" max="203" width="13.33203125" style="13" customWidth="1"/>
    <col min="204" max="204" width="17" style="13" customWidth="1"/>
    <col min="205" max="205" width="24.88671875" style="13" customWidth="1"/>
    <col min="206" max="206" width="14.44140625" style="13" customWidth="1"/>
    <col min="207" max="207" width="23.109375" style="13" customWidth="1"/>
    <col min="208" max="208" width="13.109375" style="13" customWidth="1"/>
    <col min="209" max="212" width="0" style="13" hidden="1" customWidth="1"/>
    <col min="213" max="448" width="10.33203125" style="13"/>
    <col min="449" max="449" width="7" style="13" customWidth="1"/>
    <col min="450" max="450" width="13" style="13" customWidth="1"/>
    <col min="451" max="451" width="14.109375" style="13" customWidth="1"/>
    <col min="452" max="452" width="17.33203125" style="13" customWidth="1"/>
    <col min="453" max="453" width="18.88671875" style="13" customWidth="1"/>
    <col min="454" max="454" width="14.109375" style="13" customWidth="1"/>
    <col min="455" max="455" width="21.5546875" style="13" customWidth="1"/>
    <col min="456" max="457" width="14.109375" style="13" customWidth="1"/>
    <col min="458" max="458" width="15" style="13" customWidth="1"/>
    <col min="459" max="459" width="13.33203125" style="13" customWidth="1"/>
    <col min="460" max="460" width="17" style="13" customWidth="1"/>
    <col min="461" max="461" width="24.88671875" style="13" customWidth="1"/>
    <col min="462" max="462" width="14.44140625" style="13" customWidth="1"/>
    <col min="463" max="463" width="23.109375" style="13" customWidth="1"/>
    <col min="464" max="464" width="13.109375" style="13" customWidth="1"/>
    <col min="465" max="468" width="0" style="13" hidden="1" customWidth="1"/>
    <col min="469" max="704" width="10.33203125" style="13"/>
    <col min="705" max="705" width="7" style="13" customWidth="1"/>
    <col min="706" max="706" width="13" style="13" customWidth="1"/>
    <col min="707" max="707" width="14.109375" style="13" customWidth="1"/>
    <col min="708" max="708" width="17.33203125" style="13" customWidth="1"/>
    <col min="709" max="709" width="18.88671875" style="13" customWidth="1"/>
    <col min="710" max="710" width="14.109375" style="13" customWidth="1"/>
    <col min="711" max="711" width="21.5546875" style="13" customWidth="1"/>
    <col min="712" max="713" width="14.109375" style="13" customWidth="1"/>
    <col min="714" max="714" width="15" style="13" customWidth="1"/>
    <col min="715" max="715" width="13.33203125" style="13" customWidth="1"/>
    <col min="716" max="716" width="17" style="13" customWidth="1"/>
    <col min="717" max="717" width="24.88671875" style="13" customWidth="1"/>
    <col min="718" max="718" width="14.44140625" style="13" customWidth="1"/>
    <col min="719" max="719" width="23.109375" style="13" customWidth="1"/>
    <col min="720" max="720" width="13.109375" style="13" customWidth="1"/>
    <col min="721" max="724" width="0" style="13" hidden="1" customWidth="1"/>
    <col min="725" max="960" width="10.33203125" style="13"/>
    <col min="961" max="961" width="7" style="13" customWidth="1"/>
    <col min="962" max="962" width="13" style="13" customWidth="1"/>
    <col min="963" max="963" width="14.109375" style="13" customWidth="1"/>
    <col min="964" max="964" width="17.33203125" style="13" customWidth="1"/>
    <col min="965" max="965" width="18.88671875" style="13" customWidth="1"/>
    <col min="966" max="966" width="14.109375" style="13" customWidth="1"/>
    <col min="967" max="967" width="21.5546875" style="13" customWidth="1"/>
    <col min="968" max="969" width="14.109375" style="13" customWidth="1"/>
    <col min="970" max="970" width="15" style="13" customWidth="1"/>
    <col min="971" max="971" width="13.33203125" style="13" customWidth="1"/>
    <col min="972" max="972" width="17" style="13" customWidth="1"/>
    <col min="973" max="973" width="24.88671875" style="13" customWidth="1"/>
    <col min="974" max="974" width="14.44140625" style="13" customWidth="1"/>
    <col min="975" max="975" width="23.109375" style="13" customWidth="1"/>
    <col min="976" max="976" width="13.109375" style="13" customWidth="1"/>
    <col min="977" max="980" width="0" style="13" hidden="1" customWidth="1"/>
    <col min="981" max="1216" width="10.33203125" style="13"/>
    <col min="1217" max="1217" width="7" style="13" customWidth="1"/>
    <col min="1218" max="1218" width="13" style="13" customWidth="1"/>
    <col min="1219" max="1219" width="14.109375" style="13" customWidth="1"/>
    <col min="1220" max="1220" width="17.33203125" style="13" customWidth="1"/>
    <col min="1221" max="1221" width="18.88671875" style="13" customWidth="1"/>
    <col min="1222" max="1222" width="14.109375" style="13" customWidth="1"/>
    <col min="1223" max="1223" width="21.5546875" style="13" customWidth="1"/>
    <col min="1224" max="1225" width="14.109375" style="13" customWidth="1"/>
    <col min="1226" max="1226" width="15" style="13" customWidth="1"/>
    <col min="1227" max="1227" width="13.33203125" style="13" customWidth="1"/>
    <col min="1228" max="1228" width="17" style="13" customWidth="1"/>
    <col min="1229" max="1229" width="24.88671875" style="13" customWidth="1"/>
    <col min="1230" max="1230" width="14.44140625" style="13" customWidth="1"/>
    <col min="1231" max="1231" width="23.109375" style="13" customWidth="1"/>
    <col min="1232" max="1232" width="13.109375" style="13" customWidth="1"/>
    <col min="1233" max="1236" width="0" style="13" hidden="1" customWidth="1"/>
    <col min="1237" max="1472" width="10.33203125" style="13"/>
    <col min="1473" max="1473" width="7" style="13" customWidth="1"/>
    <col min="1474" max="1474" width="13" style="13" customWidth="1"/>
    <col min="1475" max="1475" width="14.109375" style="13" customWidth="1"/>
    <col min="1476" max="1476" width="17.33203125" style="13" customWidth="1"/>
    <col min="1477" max="1477" width="18.88671875" style="13" customWidth="1"/>
    <col min="1478" max="1478" width="14.109375" style="13" customWidth="1"/>
    <col min="1479" max="1479" width="21.5546875" style="13" customWidth="1"/>
    <col min="1480" max="1481" width="14.109375" style="13" customWidth="1"/>
    <col min="1482" max="1482" width="15" style="13" customWidth="1"/>
    <col min="1483" max="1483" width="13.33203125" style="13" customWidth="1"/>
    <col min="1484" max="1484" width="17" style="13" customWidth="1"/>
    <col min="1485" max="1485" width="24.88671875" style="13" customWidth="1"/>
    <col min="1486" max="1486" width="14.44140625" style="13" customWidth="1"/>
    <col min="1487" max="1487" width="23.109375" style="13" customWidth="1"/>
    <col min="1488" max="1488" width="13.109375" style="13" customWidth="1"/>
    <col min="1489" max="1492" width="0" style="13" hidden="1" customWidth="1"/>
    <col min="1493" max="1728" width="10.33203125" style="13"/>
    <col min="1729" max="1729" width="7" style="13" customWidth="1"/>
    <col min="1730" max="1730" width="13" style="13" customWidth="1"/>
    <col min="1731" max="1731" width="14.109375" style="13" customWidth="1"/>
    <col min="1732" max="1732" width="17.33203125" style="13" customWidth="1"/>
    <col min="1733" max="1733" width="18.88671875" style="13" customWidth="1"/>
    <col min="1734" max="1734" width="14.109375" style="13" customWidth="1"/>
    <col min="1735" max="1735" width="21.5546875" style="13" customWidth="1"/>
    <col min="1736" max="1737" width="14.109375" style="13" customWidth="1"/>
    <col min="1738" max="1738" width="15" style="13" customWidth="1"/>
    <col min="1739" max="1739" width="13.33203125" style="13" customWidth="1"/>
    <col min="1740" max="1740" width="17" style="13" customWidth="1"/>
    <col min="1741" max="1741" width="24.88671875" style="13" customWidth="1"/>
    <col min="1742" max="1742" width="14.44140625" style="13" customWidth="1"/>
    <col min="1743" max="1743" width="23.109375" style="13" customWidth="1"/>
    <col min="1744" max="1744" width="13.109375" style="13" customWidth="1"/>
    <col min="1745" max="1748" width="0" style="13" hidden="1" customWidth="1"/>
    <col min="1749" max="1984" width="10.33203125" style="13"/>
    <col min="1985" max="1985" width="7" style="13" customWidth="1"/>
    <col min="1986" max="1986" width="13" style="13" customWidth="1"/>
    <col min="1987" max="1987" width="14.109375" style="13" customWidth="1"/>
    <col min="1988" max="1988" width="17.33203125" style="13" customWidth="1"/>
    <col min="1989" max="1989" width="18.88671875" style="13" customWidth="1"/>
    <col min="1990" max="1990" width="14.109375" style="13" customWidth="1"/>
    <col min="1991" max="1991" width="21.5546875" style="13" customWidth="1"/>
    <col min="1992" max="1993" width="14.109375" style="13" customWidth="1"/>
    <col min="1994" max="1994" width="15" style="13" customWidth="1"/>
    <col min="1995" max="1995" width="13.33203125" style="13" customWidth="1"/>
    <col min="1996" max="1996" width="17" style="13" customWidth="1"/>
    <col min="1997" max="1997" width="24.88671875" style="13" customWidth="1"/>
    <col min="1998" max="1998" width="14.44140625" style="13" customWidth="1"/>
    <col min="1999" max="1999" width="23.109375" style="13" customWidth="1"/>
    <col min="2000" max="2000" width="13.109375" style="13" customWidth="1"/>
    <col min="2001" max="2004" width="0" style="13" hidden="1" customWidth="1"/>
    <col min="2005" max="2240" width="10.33203125" style="13"/>
    <col min="2241" max="2241" width="7" style="13" customWidth="1"/>
    <col min="2242" max="2242" width="13" style="13" customWidth="1"/>
    <col min="2243" max="2243" width="14.109375" style="13" customWidth="1"/>
    <col min="2244" max="2244" width="17.33203125" style="13" customWidth="1"/>
    <col min="2245" max="2245" width="18.88671875" style="13" customWidth="1"/>
    <col min="2246" max="2246" width="14.109375" style="13" customWidth="1"/>
    <col min="2247" max="2247" width="21.5546875" style="13" customWidth="1"/>
    <col min="2248" max="2249" width="14.109375" style="13" customWidth="1"/>
    <col min="2250" max="2250" width="15" style="13" customWidth="1"/>
    <col min="2251" max="2251" width="13.33203125" style="13" customWidth="1"/>
    <col min="2252" max="2252" width="17" style="13" customWidth="1"/>
    <col min="2253" max="2253" width="24.88671875" style="13" customWidth="1"/>
    <col min="2254" max="2254" width="14.44140625" style="13" customWidth="1"/>
    <col min="2255" max="2255" width="23.109375" style="13" customWidth="1"/>
    <col min="2256" max="2256" width="13.109375" style="13" customWidth="1"/>
    <col min="2257" max="2260" width="0" style="13" hidden="1" customWidth="1"/>
    <col min="2261" max="2496" width="10.33203125" style="13"/>
    <col min="2497" max="2497" width="7" style="13" customWidth="1"/>
    <col min="2498" max="2498" width="13" style="13" customWidth="1"/>
    <col min="2499" max="2499" width="14.109375" style="13" customWidth="1"/>
    <col min="2500" max="2500" width="17.33203125" style="13" customWidth="1"/>
    <col min="2501" max="2501" width="18.88671875" style="13" customWidth="1"/>
    <col min="2502" max="2502" width="14.109375" style="13" customWidth="1"/>
    <col min="2503" max="2503" width="21.5546875" style="13" customWidth="1"/>
    <col min="2504" max="2505" width="14.109375" style="13" customWidth="1"/>
    <col min="2506" max="2506" width="15" style="13" customWidth="1"/>
    <col min="2507" max="2507" width="13.33203125" style="13" customWidth="1"/>
    <col min="2508" max="2508" width="17" style="13" customWidth="1"/>
    <col min="2509" max="2509" width="24.88671875" style="13" customWidth="1"/>
    <col min="2510" max="2510" width="14.44140625" style="13" customWidth="1"/>
    <col min="2511" max="2511" width="23.109375" style="13" customWidth="1"/>
    <col min="2512" max="2512" width="13.109375" style="13" customWidth="1"/>
    <col min="2513" max="2516" width="0" style="13" hidden="1" customWidth="1"/>
    <col min="2517" max="2752" width="10.33203125" style="13"/>
    <col min="2753" max="2753" width="7" style="13" customWidth="1"/>
    <col min="2754" max="2754" width="13" style="13" customWidth="1"/>
    <col min="2755" max="2755" width="14.109375" style="13" customWidth="1"/>
    <col min="2756" max="2756" width="17.33203125" style="13" customWidth="1"/>
    <col min="2757" max="2757" width="18.88671875" style="13" customWidth="1"/>
    <col min="2758" max="2758" width="14.109375" style="13" customWidth="1"/>
    <col min="2759" max="2759" width="21.5546875" style="13" customWidth="1"/>
    <col min="2760" max="2761" width="14.109375" style="13" customWidth="1"/>
    <col min="2762" max="2762" width="15" style="13" customWidth="1"/>
    <col min="2763" max="2763" width="13.33203125" style="13" customWidth="1"/>
    <col min="2764" max="2764" width="17" style="13" customWidth="1"/>
    <col min="2765" max="2765" width="24.88671875" style="13" customWidth="1"/>
    <col min="2766" max="2766" width="14.44140625" style="13" customWidth="1"/>
    <col min="2767" max="2767" width="23.109375" style="13" customWidth="1"/>
    <col min="2768" max="2768" width="13.109375" style="13" customWidth="1"/>
    <col min="2769" max="2772" width="0" style="13" hidden="1" customWidth="1"/>
    <col min="2773" max="3008" width="10.33203125" style="13"/>
    <col min="3009" max="3009" width="7" style="13" customWidth="1"/>
    <col min="3010" max="3010" width="13" style="13" customWidth="1"/>
    <col min="3011" max="3011" width="14.109375" style="13" customWidth="1"/>
    <col min="3012" max="3012" width="17.33203125" style="13" customWidth="1"/>
    <col min="3013" max="3013" width="18.88671875" style="13" customWidth="1"/>
    <col min="3014" max="3014" width="14.109375" style="13" customWidth="1"/>
    <col min="3015" max="3015" width="21.5546875" style="13" customWidth="1"/>
    <col min="3016" max="3017" width="14.109375" style="13" customWidth="1"/>
    <col min="3018" max="3018" width="15" style="13" customWidth="1"/>
    <col min="3019" max="3019" width="13.33203125" style="13" customWidth="1"/>
    <col min="3020" max="3020" width="17" style="13" customWidth="1"/>
    <col min="3021" max="3021" width="24.88671875" style="13" customWidth="1"/>
    <col min="3022" max="3022" width="14.44140625" style="13" customWidth="1"/>
    <col min="3023" max="3023" width="23.109375" style="13" customWidth="1"/>
    <col min="3024" max="3024" width="13.109375" style="13" customWidth="1"/>
    <col min="3025" max="3028" width="0" style="13" hidden="1" customWidth="1"/>
    <col min="3029" max="3264" width="10.33203125" style="13"/>
    <col min="3265" max="3265" width="7" style="13" customWidth="1"/>
    <col min="3266" max="3266" width="13" style="13" customWidth="1"/>
    <col min="3267" max="3267" width="14.109375" style="13" customWidth="1"/>
    <col min="3268" max="3268" width="17.33203125" style="13" customWidth="1"/>
    <col min="3269" max="3269" width="18.88671875" style="13" customWidth="1"/>
    <col min="3270" max="3270" width="14.109375" style="13" customWidth="1"/>
    <col min="3271" max="3271" width="21.5546875" style="13" customWidth="1"/>
    <col min="3272" max="3273" width="14.109375" style="13" customWidth="1"/>
    <col min="3274" max="3274" width="15" style="13" customWidth="1"/>
    <col min="3275" max="3275" width="13.33203125" style="13" customWidth="1"/>
    <col min="3276" max="3276" width="17" style="13" customWidth="1"/>
    <col min="3277" max="3277" width="24.88671875" style="13" customWidth="1"/>
    <col min="3278" max="3278" width="14.44140625" style="13" customWidth="1"/>
    <col min="3279" max="3279" width="23.109375" style="13" customWidth="1"/>
    <col min="3280" max="3280" width="13.109375" style="13" customWidth="1"/>
    <col min="3281" max="3284" width="0" style="13" hidden="1" customWidth="1"/>
    <col min="3285" max="3520" width="10.33203125" style="13"/>
    <col min="3521" max="3521" width="7" style="13" customWidth="1"/>
    <col min="3522" max="3522" width="13" style="13" customWidth="1"/>
    <col min="3523" max="3523" width="14.109375" style="13" customWidth="1"/>
    <col min="3524" max="3524" width="17.33203125" style="13" customWidth="1"/>
    <col min="3525" max="3525" width="18.88671875" style="13" customWidth="1"/>
    <col min="3526" max="3526" width="14.109375" style="13" customWidth="1"/>
    <col min="3527" max="3527" width="21.5546875" style="13" customWidth="1"/>
    <col min="3528" max="3529" width="14.109375" style="13" customWidth="1"/>
    <col min="3530" max="3530" width="15" style="13" customWidth="1"/>
    <col min="3531" max="3531" width="13.33203125" style="13" customWidth="1"/>
    <col min="3532" max="3532" width="17" style="13" customWidth="1"/>
    <col min="3533" max="3533" width="24.88671875" style="13" customWidth="1"/>
    <col min="3534" max="3534" width="14.44140625" style="13" customWidth="1"/>
    <col min="3535" max="3535" width="23.109375" style="13" customWidth="1"/>
    <col min="3536" max="3536" width="13.109375" style="13" customWidth="1"/>
    <col min="3537" max="3540" width="0" style="13" hidden="1" customWidth="1"/>
    <col min="3541" max="3776" width="10.33203125" style="13"/>
    <col min="3777" max="3777" width="7" style="13" customWidth="1"/>
    <col min="3778" max="3778" width="13" style="13" customWidth="1"/>
    <col min="3779" max="3779" width="14.109375" style="13" customWidth="1"/>
    <col min="3780" max="3780" width="17.33203125" style="13" customWidth="1"/>
    <col min="3781" max="3781" width="18.88671875" style="13" customWidth="1"/>
    <col min="3782" max="3782" width="14.109375" style="13" customWidth="1"/>
    <col min="3783" max="3783" width="21.5546875" style="13" customWidth="1"/>
    <col min="3784" max="3785" width="14.109375" style="13" customWidth="1"/>
    <col min="3786" max="3786" width="15" style="13" customWidth="1"/>
    <col min="3787" max="3787" width="13.33203125" style="13" customWidth="1"/>
    <col min="3788" max="3788" width="17" style="13" customWidth="1"/>
    <col min="3789" max="3789" width="24.88671875" style="13" customWidth="1"/>
    <col min="3790" max="3790" width="14.44140625" style="13" customWidth="1"/>
    <col min="3791" max="3791" width="23.109375" style="13" customWidth="1"/>
    <col min="3792" max="3792" width="13.109375" style="13" customWidth="1"/>
    <col min="3793" max="3796" width="0" style="13" hidden="1" customWidth="1"/>
    <col min="3797" max="4032" width="10.33203125" style="13"/>
    <col min="4033" max="4033" width="7" style="13" customWidth="1"/>
    <col min="4034" max="4034" width="13" style="13" customWidth="1"/>
    <col min="4035" max="4035" width="14.109375" style="13" customWidth="1"/>
    <col min="4036" max="4036" width="17.33203125" style="13" customWidth="1"/>
    <col min="4037" max="4037" width="18.88671875" style="13" customWidth="1"/>
    <col min="4038" max="4038" width="14.109375" style="13" customWidth="1"/>
    <col min="4039" max="4039" width="21.5546875" style="13" customWidth="1"/>
    <col min="4040" max="4041" width="14.109375" style="13" customWidth="1"/>
    <col min="4042" max="4042" width="15" style="13" customWidth="1"/>
    <col min="4043" max="4043" width="13.33203125" style="13" customWidth="1"/>
    <col min="4044" max="4044" width="17" style="13" customWidth="1"/>
    <col min="4045" max="4045" width="24.88671875" style="13" customWidth="1"/>
    <col min="4046" max="4046" width="14.44140625" style="13" customWidth="1"/>
    <col min="4047" max="4047" width="23.109375" style="13" customWidth="1"/>
    <col min="4048" max="4048" width="13.109375" style="13" customWidth="1"/>
    <col min="4049" max="4052" width="0" style="13" hidden="1" customWidth="1"/>
    <col min="4053" max="4288" width="10.33203125" style="13"/>
    <col min="4289" max="4289" width="7" style="13" customWidth="1"/>
    <col min="4290" max="4290" width="13" style="13" customWidth="1"/>
    <col min="4291" max="4291" width="14.109375" style="13" customWidth="1"/>
    <col min="4292" max="4292" width="17.33203125" style="13" customWidth="1"/>
    <col min="4293" max="4293" width="18.88671875" style="13" customWidth="1"/>
    <col min="4294" max="4294" width="14.109375" style="13" customWidth="1"/>
    <col min="4295" max="4295" width="21.5546875" style="13" customWidth="1"/>
    <col min="4296" max="4297" width="14.109375" style="13" customWidth="1"/>
    <col min="4298" max="4298" width="15" style="13" customWidth="1"/>
    <col min="4299" max="4299" width="13.33203125" style="13" customWidth="1"/>
    <col min="4300" max="4300" width="17" style="13" customWidth="1"/>
    <col min="4301" max="4301" width="24.88671875" style="13" customWidth="1"/>
    <col min="4302" max="4302" width="14.44140625" style="13" customWidth="1"/>
    <col min="4303" max="4303" width="23.109375" style="13" customWidth="1"/>
    <col min="4304" max="4304" width="13.109375" style="13" customWidth="1"/>
    <col min="4305" max="4308" width="0" style="13" hidden="1" customWidth="1"/>
    <col min="4309" max="4544" width="10.33203125" style="13"/>
    <col min="4545" max="4545" width="7" style="13" customWidth="1"/>
    <col min="4546" max="4546" width="13" style="13" customWidth="1"/>
    <col min="4547" max="4547" width="14.109375" style="13" customWidth="1"/>
    <col min="4548" max="4548" width="17.33203125" style="13" customWidth="1"/>
    <col min="4549" max="4549" width="18.88671875" style="13" customWidth="1"/>
    <col min="4550" max="4550" width="14.109375" style="13" customWidth="1"/>
    <col min="4551" max="4551" width="21.5546875" style="13" customWidth="1"/>
    <col min="4552" max="4553" width="14.109375" style="13" customWidth="1"/>
    <col min="4554" max="4554" width="15" style="13" customWidth="1"/>
    <col min="4555" max="4555" width="13.33203125" style="13" customWidth="1"/>
    <col min="4556" max="4556" width="17" style="13" customWidth="1"/>
    <col min="4557" max="4557" width="24.88671875" style="13" customWidth="1"/>
    <col min="4558" max="4558" width="14.44140625" style="13" customWidth="1"/>
    <col min="4559" max="4559" width="23.109375" style="13" customWidth="1"/>
    <col min="4560" max="4560" width="13.109375" style="13" customWidth="1"/>
    <col min="4561" max="4564" width="0" style="13" hidden="1" customWidth="1"/>
    <col min="4565" max="4800" width="10.33203125" style="13"/>
    <col min="4801" max="4801" width="7" style="13" customWidth="1"/>
    <col min="4802" max="4802" width="13" style="13" customWidth="1"/>
    <col min="4803" max="4803" width="14.109375" style="13" customWidth="1"/>
    <col min="4804" max="4804" width="17.33203125" style="13" customWidth="1"/>
    <col min="4805" max="4805" width="18.88671875" style="13" customWidth="1"/>
    <col min="4806" max="4806" width="14.109375" style="13" customWidth="1"/>
    <col min="4807" max="4807" width="21.5546875" style="13" customWidth="1"/>
    <col min="4808" max="4809" width="14.109375" style="13" customWidth="1"/>
    <col min="4810" max="4810" width="15" style="13" customWidth="1"/>
    <col min="4811" max="4811" width="13.33203125" style="13" customWidth="1"/>
    <col min="4812" max="4812" width="17" style="13" customWidth="1"/>
    <col min="4813" max="4813" width="24.88671875" style="13" customWidth="1"/>
    <col min="4814" max="4814" width="14.44140625" style="13" customWidth="1"/>
    <col min="4815" max="4815" width="23.109375" style="13" customWidth="1"/>
    <col min="4816" max="4816" width="13.109375" style="13" customWidth="1"/>
    <col min="4817" max="4820" width="0" style="13" hidden="1" customWidth="1"/>
    <col min="4821" max="5056" width="10.33203125" style="13"/>
    <col min="5057" max="5057" width="7" style="13" customWidth="1"/>
    <col min="5058" max="5058" width="13" style="13" customWidth="1"/>
    <col min="5059" max="5059" width="14.109375" style="13" customWidth="1"/>
    <col min="5060" max="5060" width="17.33203125" style="13" customWidth="1"/>
    <col min="5061" max="5061" width="18.88671875" style="13" customWidth="1"/>
    <col min="5062" max="5062" width="14.109375" style="13" customWidth="1"/>
    <col min="5063" max="5063" width="21.5546875" style="13" customWidth="1"/>
    <col min="5064" max="5065" width="14.109375" style="13" customWidth="1"/>
    <col min="5066" max="5066" width="15" style="13" customWidth="1"/>
    <col min="5067" max="5067" width="13.33203125" style="13" customWidth="1"/>
    <col min="5068" max="5068" width="17" style="13" customWidth="1"/>
    <col min="5069" max="5069" width="24.88671875" style="13" customWidth="1"/>
    <col min="5070" max="5070" width="14.44140625" style="13" customWidth="1"/>
    <col min="5071" max="5071" width="23.109375" style="13" customWidth="1"/>
    <col min="5072" max="5072" width="13.109375" style="13" customWidth="1"/>
    <col min="5073" max="5076" width="0" style="13" hidden="1" customWidth="1"/>
    <col min="5077" max="5312" width="10.33203125" style="13"/>
    <col min="5313" max="5313" width="7" style="13" customWidth="1"/>
    <col min="5314" max="5314" width="13" style="13" customWidth="1"/>
    <col min="5315" max="5315" width="14.109375" style="13" customWidth="1"/>
    <col min="5316" max="5316" width="17.33203125" style="13" customWidth="1"/>
    <col min="5317" max="5317" width="18.88671875" style="13" customWidth="1"/>
    <col min="5318" max="5318" width="14.109375" style="13" customWidth="1"/>
    <col min="5319" max="5319" width="21.5546875" style="13" customWidth="1"/>
    <col min="5320" max="5321" width="14.109375" style="13" customWidth="1"/>
    <col min="5322" max="5322" width="15" style="13" customWidth="1"/>
    <col min="5323" max="5323" width="13.33203125" style="13" customWidth="1"/>
    <col min="5324" max="5324" width="17" style="13" customWidth="1"/>
    <col min="5325" max="5325" width="24.88671875" style="13" customWidth="1"/>
    <col min="5326" max="5326" width="14.44140625" style="13" customWidth="1"/>
    <col min="5327" max="5327" width="23.109375" style="13" customWidth="1"/>
    <col min="5328" max="5328" width="13.109375" style="13" customWidth="1"/>
    <col min="5329" max="5332" width="0" style="13" hidden="1" customWidth="1"/>
    <col min="5333" max="5568" width="10.33203125" style="13"/>
    <col min="5569" max="5569" width="7" style="13" customWidth="1"/>
    <col min="5570" max="5570" width="13" style="13" customWidth="1"/>
    <col min="5571" max="5571" width="14.109375" style="13" customWidth="1"/>
    <col min="5572" max="5572" width="17.33203125" style="13" customWidth="1"/>
    <col min="5573" max="5573" width="18.88671875" style="13" customWidth="1"/>
    <col min="5574" max="5574" width="14.109375" style="13" customWidth="1"/>
    <col min="5575" max="5575" width="21.5546875" style="13" customWidth="1"/>
    <col min="5576" max="5577" width="14.109375" style="13" customWidth="1"/>
    <col min="5578" max="5578" width="15" style="13" customWidth="1"/>
    <col min="5579" max="5579" width="13.33203125" style="13" customWidth="1"/>
    <col min="5580" max="5580" width="17" style="13" customWidth="1"/>
    <col min="5581" max="5581" width="24.88671875" style="13" customWidth="1"/>
    <col min="5582" max="5582" width="14.44140625" style="13" customWidth="1"/>
    <col min="5583" max="5583" width="23.109375" style="13" customWidth="1"/>
    <col min="5584" max="5584" width="13.109375" style="13" customWidth="1"/>
    <col min="5585" max="5588" width="0" style="13" hidden="1" customWidth="1"/>
    <col min="5589" max="5824" width="10.33203125" style="13"/>
    <col min="5825" max="5825" width="7" style="13" customWidth="1"/>
    <col min="5826" max="5826" width="13" style="13" customWidth="1"/>
    <col min="5827" max="5827" width="14.109375" style="13" customWidth="1"/>
    <col min="5828" max="5828" width="17.33203125" style="13" customWidth="1"/>
    <col min="5829" max="5829" width="18.88671875" style="13" customWidth="1"/>
    <col min="5830" max="5830" width="14.109375" style="13" customWidth="1"/>
    <col min="5831" max="5831" width="21.5546875" style="13" customWidth="1"/>
    <col min="5832" max="5833" width="14.109375" style="13" customWidth="1"/>
    <col min="5834" max="5834" width="15" style="13" customWidth="1"/>
    <col min="5835" max="5835" width="13.33203125" style="13" customWidth="1"/>
    <col min="5836" max="5836" width="17" style="13" customWidth="1"/>
    <col min="5837" max="5837" width="24.88671875" style="13" customWidth="1"/>
    <col min="5838" max="5838" width="14.44140625" style="13" customWidth="1"/>
    <col min="5839" max="5839" width="23.109375" style="13" customWidth="1"/>
    <col min="5840" max="5840" width="13.109375" style="13" customWidth="1"/>
    <col min="5841" max="5844" width="0" style="13" hidden="1" customWidth="1"/>
    <col min="5845" max="6080" width="10.33203125" style="13"/>
    <col min="6081" max="6081" width="7" style="13" customWidth="1"/>
    <col min="6082" max="6082" width="13" style="13" customWidth="1"/>
    <col min="6083" max="6083" width="14.109375" style="13" customWidth="1"/>
    <col min="6084" max="6084" width="17.33203125" style="13" customWidth="1"/>
    <col min="6085" max="6085" width="18.88671875" style="13" customWidth="1"/>
    <col min="6086" max="6086" width="14.109375" style="13" customWidth="1"/>
    <col min="6087" max="6087" width="21.5546875" style="13" customWidth="1"/>
    <col min="6088" max="6089" width="14.109375" style="13" customWidth="1"/>
    <col min="6090" max="6090" width="15" style="13" customWidth="1"/>
    <col min="6091" max="6091" width="13.33203125" style="13" customWidth="1"/>
    <col min="6092" max="6092" width="17" style="13" customWidth="1"/>
    <col min="6093" max="6093" width="24.88671875" style="13" customWidth="1"/>
    <col min="6094" max="6094" width="14.44140625" style="13" customWidth="1"/>
    <col min="6095" max="6095" width="23.109375" style="13" customWidth="1"/>
    <col min="6096" max="6096" width="13.109375" style="13" customWidth="1"/>
    <col min="6097" max="6100" width="0" style="13" hidden="1" customWidth="1"/>
    <col min="6101" max="6336" width="10.33203125" style="13"/>
    <col min="6337" max="6337" width="7" style="13" customWidth="1"/>
    <col min="6338" max="6338" width="13" style="13" customWidth="1"/>
    <col min="6339" max="6339" width="14.109375" style="13" customWidth="1"/>
    <col min="6340" max="6340" width="17.33203125" style="13" customWidth="1"/>
    <col min="6341" max="6341" width="18.88671875" style="13" customWidth="1"/>
    <col min="6342" max="6342" width="14.109375" style="13" customWidth="1"/>
    <col min="6343" max="6343" width="21.5546875" style="13" customWidth="1"/>
    <col min="6344" max="6345" width="14.109375" style="13" customWidth="1"/>
    <col min="6346" max="6346" width="15" style="13" customWidth="1"/>
    <col min="6347" max="6347" width="13.33203125" style="13" customWidth="1"/>
    <col min="6348" max="6348" width="17" style="13" customWidth="1"/>
    <col min="6349" max="6349" width="24.88671875" style="13" customWidth="1"/>
    <col min="6350" max="6350" width="14.44140625" style="13" customWidth="1"/>
    <col min="6351" max="6351" width="23.109375" style="13" customWidth="1"/>
    <col min="6352" max="6352" width="13.109375" style="13" customWidth="1"/>
    <col min="6353" max="6356" width="0" style="13" hidden="1" customWidth="1"/>
    <col min="6357" max="6592" width="10.33203125" style="13"/>
    <col min="6593" max="6593" width="7" style="13" customWidth="1"/>
    <col min="6594" max="6594" width="13" style="13" customWidth="1"/>
    <col min="6595" max="6595" width="14.109375" style="13" customWidth="1"/>
    <col min="6596" max="6596" width="17.33203125" style="13" customWidth="1"/>
    <col min="6597" max="6597" width="18.88671875" style="13" customWidth="1"/>
    <col min="6598" max="6598" width="14.109375" style="13" customWidth="1"/>
    <col min="6599" max="6599" width="21.5546875" style="13" customWidth="1"/>
    <col min="6600" max="6601" width="14.109375" style="13" customWidth="1"/>
    <col min="6602" max="6602" width="15" style="13" customWidth="1"/>
    <col min="6603" max="6603" width="13.33203125" style="13" customWidth="1"/>
    <col min="6604" max="6604" width="17" style="13" customWidth="1"/>
    <col min="6605" max="6605" width="24.88671875" style="13" customWidth="1"/>
    <col min="6606" max="6606" width="14.44140625" style="13" customWidth="1"/>
    <col min="6607" max="6607" width="23.109375" style="13" customWidth="1"/>
    <col min="6608" max="6608" width="13.109375" style="13" customWidth="1"/>
    <col min="6609" max="6612" width="0" style="13" hidden="1" customWidth="1"/>
    <col min="6613" max="6848" width="10.33203125" style="13"/>
    <col min="6849" max="6849" width="7" style="13" customWidth="1"/>
    <col min="6850" max="6850" width="13" style="13" customWidth="1"/>
    <col min="6851" max="6851" width="14.109375" style="13" customWidth="1"/>
    <col min="6852" max="6852" width="17.33203125" style="13" customWidth="1"/>
    <col min="6853" max="6853" width="18.88671875" style="13" customWidth="1"/>
    <col min="6854" max="6854" width="14.109375" style="13" customWidth="1"/>
    <col min="6855" max="6855" width="21.5546875" style="13" customWidth="1"/>
    <col min="6856" max="6857" width="14.109375" style="13" customWidth="1"/>
    <col min="6858" max="6858" width="15" style="13" customWidth="1"/>
    <col min="6859" max="6859" width="13.33203125" style="13" customWidth="1"/>
    <col min="6860" max="6860" width="17" style="13" customWidth="1"/>
    <col min="6861" max="6861" width="24.88671875" style="13" customWidth="1"/>
    <col min="6862" max="6862" width="14.44140625" style="13" customWidth="1"/>
    <col min="6863" max="6863" width="23.109375" style="13" customWidth="1"/>
    <col min="6864" max="6864" width="13.109375" style="13" customWidth="1"/>
    <col min="6865" max="6868" width="0" style="13" hidden="1" customWidth="1"/>
    <col min="6869" max="7104" width="10.33203125" style="13"/>
    <col min="7105" max="7105" width="7" style="13" customWidth="1"/>
    <col min="7106" max="7106" width="13" style="13" customWidth="1"/>
    <col min="7107" max="7107" width="14.109375" style="13" customWidth="1"/>
    <col min="7108" max="7108" width="17.33203125" style="13" customWidth="1"/>
    <col min="7109" max="7109" width="18.88671875" style="13" customWidth="1"/>
    <col min="7110" max="7110" width="14.109375" style="13" customWidth="1"/>
    <col min="7111" max="7111" width="21.5546875" style="13" customWidth="1"/>
    <col min="7112" max="7113" width="14.109375" style="13" customWidth="1"/>
    <col min="7114" max="7114" width="15" style="13" customWidth="1"/>
    <col min="7115" max="7115" width="13.33203125" style="13" customWidth="1"/>
    <col min="7116" max="7116" width="17" style="13" customWidth="1"/>
    <col min="7117" max="7117" width="24.88671875" style="13" customWidth="1"/>
    <col min="7118" max="7118" width="14.44140625" style="13" customWidth="1"/>
    <col min="7119" max="7119" width="23.109375" style="13" customWidth="1"/>
    <col min="7120" max="7120" width="13.109375" style="13" customWidth="1"/>
    <col min="7121" max="7124" width="0" style="13" hidden="1" customWidth="1"/>
    <col min="7125" max="7360" width="10.33203125" style="13"/>
    <col min="7361" max="7361" width="7" style="13" customWidth="1"/>
    <col min="7362" max="7362" width="13" style="13" customWidth="1"/>
    <col min="7363" max="7363" width="14.109375" style="13" customWidth="1"/>
    <col min="7364" max="7364" width="17.33203125" style="13" customWidth="1"/>
    <col min="7365" max="7365" width="18.88671875" style="13" customWidth="1"/>
    <col min="7366" max="7366" width="14.109375" style="13" customWidth="1"/>
    <col min="7367" max="7367" width="21.5546875" style="13" customWidth="1"/>
    <col min="7368" max="7369" width="14.109375" style="13" customWidth="1"/>
    <col min="7370" max="7370" width="15" style="13" customWidth="1"/>
    <col min="7371" max="7371" width="13.33203125" style="13" customWidth="1"/>
    <col min="7372" max="7372" width="17" style="13" customWidth="1"/>
    <col min="7373" max="7373" width="24.88671875" style="13" customWidth="1"/>
    <col min="7374" max="7374" width="14.44140625" style="13" customWidth="1"/>
    <col min="7375" max="7375" width="23.109375" style="13" customWidth="1"/>
    <col min="7376" max="7376" width="13.109375" style="13" customWidth="1"/>
    <col min="7377" max="7380" width="0" style="13" hidden="1" customWidth="1"/>
    <col min="7381" max="7616" width="10.33203125" style="13"/>
    <col min="7617" max="7617" width="7" style="13" customWidth="1"/>
    <col min="7618" max="7618" width="13" style="13" customWidth="1"/>
    <col min="7619" max="7619" width="14.109375" style="13" customWidth="1"/>
    <col min="7620" max="7620" width="17.33203125" style="13" customWidth="1"/>
    <col min="7621" max="7621" width="18.88671875" style="13" customWidth="1"/>
    <col min="7622" max="7622" width="14.109375" style="13" customWidth="1"/>
    <col min="7623" max="7623" width="21.5546875" style="13" customWidth="1"/>
    <col min="7624" max="7625" width="14.109375" style="13" customWidth="1"/>
    <col min="7626" max="7626" width="15" style="13" customWidth="1"/>
    <col min="7627" max="7627" width="13.33203125" style="13" customWidth="1"/>
    <col min="7628" max="7628" width="17" style="13" customWidth="1"/>
    <col min="7629" max="7629" width="24.88671875" style="13" customWidth="1"/>
    <col min="7630" max="7630" width="14.44140625" style="13" customWidth="1"/>
    <col min="7631" max="7631" width="23.109375" style="13" customWidth="1"/>
    <col min="7632" max="7632" width="13.109375" style="13" customWidth="1"/>
    <col min="7633" max="7636" width="0" style="13" hidden="1" customWidth="1"/>
    <col min="7637" max="7872" width="10.33203125" style="13"/>
    <col min="7873" max="7873" width="7" style="13" customWidth="1"/>
    <col min="7874" max="7874" width="13" style="13" customWidth="1"/>
    <col min="7875" max="7875" width="14.109375" style="13" customWidth="1"/>
    <col min="7876" max="7876" width="17.33203125" style="13" customWidth="1"/>
    <col min="7877" max="7877" width="18.88671875" style="13" customWidth="1"/>
    <col min="7878" max="7878" width="14.109375" style="13" customWidth="1"/>
    <col min="7879" max="7879" width="21.5546875" style="13" customWidth="1"/>
    <col min="7880" max="7881" width="14.109375" style="13" customWidth="1"/>
    <col min="7882" max="7882" width="15" style="13" customWidth="1"/>
    <col min="7883" max="7883" width="13.33203125" style="13" customWidth="1"/>
    <col min="7884" max="7884" width="17" style="13" customWidth="1"/>
    <col min="7885" max="7885" width="24.88671875" style="13" customWidth="1"/>
    <col min="7886" max="7886" width="14.44140625" style="13" customWidth="1"/>
    <col min="7887" max="7887" width="23.109375" style="13" customWidth="1"/>
    <col min="7888" max="7888" width="13.109375" style="13" customWidth="1"/>
    <col min="7889" max="7892" width="0" style="13" hidden="1" customWidth="1"/>
    <col min="7893" max="8128" width="10.33203125" style="13"/>
    <col min="8129" max="8129" width="7" style="13" customWidth="1"/>
    <col min="8130" max="8130" width="13" style="13" customWidth="1"/>
    <col min="8131" max="8131" width="14.109375" style="13" customWidth="1"/>
    <col min="8132" max="8132" width="17.33203125" style="13" customWidth="1"/>
    <col min="8133" max="8133" width="18.88671875" style="13" customWidth="1"/>
    <col min="8134" max="8134" width="14.109375" style="13" customWidth="1"/>
    <col min="8135" max="8135" width="21.5546875" style="13" customWidth="1"/>
    <col min="8136" max="8137" width="14.109375" style="13" customWidth="1"/>
    <col min="8138" max="8138" width="15" style="13" customWidth="1"/>
    <col min="8139" max="8139" width="13.33203125" style="13" customWidth="1"/>
    <col min="8140" max="8140" width="17" style="13" customWidth="1"/>
    <col min="8141" max="8141" width="24.88671875" style="13" customWidth="1"/>
    <col min="8142" max="8142" width="14.44140625" style="13" customWidth="1"/>
    <col min="8143" max="8143" width="23.109375" style="13" customWidth="1"/>
    <col min="8144" max="8144" width="13.109375" style="13" customWidth="1"/>
    <col min="8145" max="8148" width="0" style="13" hidden="1" customWidth="1"/>
    <col min="8149" max="8384" width="10.33203125" style="13"/>
    <col min="8385" max="8385" width="7" style="13" customWidth="1"/>
    <col min="8386" max="8386" width="13" style="13" customWidth="1"/>
    <col min="8387" max="8387" width="14.109375" style="13" customWidth="1"/>
    <col min="8388" max="8388" width="17.33203125" style="13" customWidth="1"/>
    <col min="8389" max="8389" width="18.88671875" style="13" customWidth="1"/>
    <col min="8390" max="8390" width="14.109375" style="13" customWidth="1"/>
    <col min="8391" max="8391" width="21.5546875" style="13" customWidth="1"/>
    <col min="8392" max="8393" width="14.109375" style="13" customWidth="1"/>
    <col min="8394" max="8394" width="15" style="13" customWidth="1"/>
    <col min="8395" max="8395" width="13.33203125" style="13" customWidth="1"/>
    <col min="8396" max="8396" width="17" style="13" customWidth="1"/>
    <col min="8397" max="8397" width="24.88671875" style="13" customWidth="1"/>
    <col min="8398" max="8398" width="14.44140625" style="13" customWidth="1"/>
    <col min="8399" max="8399" width="23.109375" style="13" customWidth="1"/>
    <col min="8400" max="8400" width="13.109375" style="13" customWidth="1"/>
    <col min="8401" max="8404" width="0" style="13" hidden="1" customWidth="1"/>
    <col min="8405" max="8640" width="10.33203125" style="13"/>
    <col min="8641" max="8641" width="7" style="13" customWidth="1"/>
    <col min="8642" max="8642" width="13" style="13" customWidth="1"/>
    <col min="8643" max="8643" width="14.109375" style="13" customWidth="1"/>
    <col min="8644" max="8644" width="17.33203125" style="13" customWidth="1"/>
    <col min="8645" max="8645" width="18.88671875" style="13" customWidth="1"/>
    <col min="8646" max="8646" width="14.109375" style="13" customWidth="1"/>
    <col min="8647" max="8647" width="21.5546875" style="13" customWidth="1"/>
    <col min="8648" max="8649" width="14.109375" style="13" customWidth="1"/>
    <col min="8650" max="8650" width="15" style="13" customWidth="1"/>
    <col min="8651" max="8651" width="13.33203125" style="13" customWidth="1"/>
    <col min="8652" max="8652" width="17" style="13" customWidth="1"/>
    <col min="8653" max="8653" width="24.88671875" style="13" customWidth="1"/>
    <col min="8654" max="8654" width="14.44140625" style="13" customWidth="1"/>
    <col min="8655" max="8655" width="23.109375" style="13" customWidth="1"/>
    <col min="8656" max="8656" width="13.109375" style="13" customWidth="1"/>
    <col min="8657" max="8660" width="0" style="13" hidden="1" customWidth="1"/>
    <col min="8661" max="8896" width="10.33203125" style="13"/>
    <col min="8897" max="8897" width="7" style="13" customWidth="1"/>
    <col min="8898" max="8898" width="13" style="13" customWidth="1"/>
    <col min="8899" max="8899" width="14.109375" style="13" customWidth="1"/>
    <col min="8900" max="8900" width="17.33203125" style="13" customWidth="1"/>
    <col min="8901" max="8901" width="18.88671875" style="13" customWidth="1"/>
    <col min="8902" max="8902" width="14.109375" style="13" customWidth="1"/>
    <col min="8903" max="8903" width="21.5546875" style="13" customWidth="1"/>
    <col min="8904" max="8905" width="14.109375" style="13" customWidth="1"/>
    <col min="8906" max="8906" width="15" style="13" customWidth="1"/>
    <col min="8907" max="8907" width="13.33203125" style="13" customWidth="1"/>
    <col min="8908" max="8908" width="17" style="13" customWidth="1"/>
    <col min="8909" max="8909" width="24.88671875" style="13" customWidth="1"/>
    <col min="8910" max="8910" width="14.44140625" style="13" customWidth="1"/>
    <col min="8911" max="8911" width="23.109375" style="13" customWidth="1"/>
    <col min="8912" max="8912" width="13.109375" style="13" customWidth="1"/>
    <col min="8913" max="8916" width="0" style="13" hidden="1" customWidth="1"/>
    <col min="8917" max="9152" width="10.33203125" style="13"/>
    <col min="9153" max="9153" width="7" style="13" customWidth="1"/>
    <col min="9154" max="9154" width="13" style="13" customWidth="1"/>
    <col min="9155" max="9155" width="14.109375" style="13" customWidth="1"/>
    <col min="9156" max="9156" width="17.33203125" style="13" customWidth="1"/>
    <col min="9157" max="9157" width="18.88671875" style="13" customWidth="1"/>
    <col min="9158" max="9158" width="14.109375" style="13" customWidth="1"/>
    <col min="9159" max="9159" width="21.5546875" style="13" customWidth="1"/>
    <col min="9160" max="9161" width="14.109375" style="13" customWidth="1"/>
    <col min="9162" max="9162" width="15" style="13" customWidth="1"/>
    <col min="9163" max="9163" width="13.33203125" style="13" customWidth="1"/>
    <col min="9164" max="9164" width="17" style="13" customWidth="1"/>
    <col min="9165" max="9165" width="24.88671875" style="13" customWidth="1"/>
    <col min="9166" max="9166" width="14.44140625" style="13" customWidth="1"/>
    <col min="9167" max="9167" width="23.109375" style="13" customWidth="1"/>
    <col min="9168" max="9168" width="13.109375" style="13" customWidth="1"/>
    <col min="9169" max="9172" width="0" style="13" hidden="1" customWidth="1"/>
    <col min="9173" max="9408" width="10.33203125" style="13"/>
    <col min="9409" max="9409" width="7" style="13" customWidth="1"/>
    <col min="9410" max="9410" width="13" style="13" customWidth="1"/>
    <col min="9411" max="9411" width="14.109375" style="13" customWidth="1"/>
    <col min="9412" max="9412" width="17.33203125" style="13" customWidth="1"/>
    <col min="9413" max="9413" width="18.88671875" style="13" customWidth="1"/>
    <col min="9414" max="9414" width="14.109375" style="13" customWidth="1"/>
    <col min="9415" max="9415" width="21.5546875" style="13" customWidth="1"/>
    <col min="9416" max="9417" width="14.109375" style="13" customWidth="1"/>
    <col min="9418" max="9418" width="15" style="13" customWidth="1"/>
    <col min="9419" max="9419" width="13.33203125" style="13" customWidth="1"/>
    <col min="9420" max="9420" width="17" style="13" customWidth="1"/>
    <col min="9421" max="9421" width="24.88671875" style="13" customWidth="1"/>
    <col min="9422" max="9422" width="14.44140625" style="13" customWidth="1"/>
    <col min="9423" max="9423" width="23.109375" style="13" customWidth="1"/>
    <col min="9424" max="9424" width="13.109375" style="13" customWidth="1"/>
    <col min="9425" max="9428" width="0" style="13" hidden="1" customWidth="1"/>
    <col min="9429" max="9664" width="10.33203125" style="13"/>
    <col min="9665" max="9665" width="7" style="13" customWidth="1"/>
    <col min="9666" max="9666" width="13" style="13" customWidth="1"/>
    <col min="9667" max="9667" width="14.109375" style="13" customWidth="1"/>
    <col min="9668" max="9668" width="17.33203125" style="13" customWidth="1"/>
    <col min="9669" max="9669" width="18.88671875" style="13" customWidth="1"/>
    <col min="9670" max="9670" width="14.109375" style="13" customWidth="1"/>
    <col min="9671" max="9671" width="21.5546875" style="13" customWidth="1"/>
    <col min="9672" max="9673" width="14.109375" style="13" customWidth="1"/>
    <col min="9674" max="9674" width="15" style="13" customWidth="1"/>
    <col min="9675" max="9675" width="13.33203125" style="13" customWidth="1"/>
    <col min="9676" max="9676" width="17" style="13" customWidth="1"/>
    <col min="9677" max="9677" width="24.88671875" style="13" customWidth="1"/>
    <col min="9678" max="9678" width="14.44140625" style="13" customWidth="1"/>
    <col min="9679" max="9679" width="23.109375" style="13" customWidth="1"/>
    <col min="9680" max="9680" width="13.109375" style="13" customWidth="1"/>
    <col min="9681" max="9684" width="0" style="13" hidden="1" customWidth="1"/>
    <col min="9685" max="9920" width="10.33203125" style="13"/>
    <col min="9921" max="9921" width="7" style="13" customWidth="1"/>
    <col min="9922" max="9922" width="13" style="13" customWidth="1"/>
    <col min="9923" max="9923" width="14.109375" style="13" customWidth="1"/>
    <col min="9924" max="9924" width="17.33203125" style="13" customWidth="1"/>
    <col min="9925" max="9925" width="18.88671875" style="13" customWidth="1"/>
    <col min="9926" max="9926" width="14.109375" style="13" customWidth="1"/>
    <col min="9927" max="9927" width="21.5546875" style="13" customWidth="1"/>
    <col min="9928" max="9929" width="14.109375" style="13" customWidth="1"/>
    <col min="9930" max="9930" width="15" style="13" customWidth="1"/>
    <col min="9931" max="9931" width="13.33203125" style="13" customWidth="1"/>
    <col min="9932" max="9932" width="17" style="13" customWidth="1"/>
    <col min="9933" max="9933" width="24.88671875" style="13" customWidth="1"/>
    <col min="9934" max="9934" width="14.44140625" style="13" customWidth="1"/>
    <col min="9935" max="9935" width="23.109375" style="13" customWidth="1"/>
    <col min="9936" max="9936" width="13.109375" style="13" customWidth="1"/>
    <col min="9937" max="9940" width="0" style="13" hidden="1" customWidth="1"/>
    <col min="9941" max="10176" width="10.33203125" style="13"/>
    <col min="10177" max="10177" width="7" style="13" customWidth="1"/>
    <col min="10178" max="10178" width="13" style="13" customWidth="1"/>
    <col min="10179" max="10179" width="14.109375" style="13" customWidth="1"/>
    <col min="10180" max="10180" width="17.33203125" style="13" customWidth="1"/>
    <col min="10181" max="10181" width="18.88671875" style="13" customWidth="1"/>
    <col min="10182" max="10182" width="14.109375" style="13" customWidth="1"/>
    <col min="10183" max="10183" width="21.5546875" style="13" customWidth="1"/>
    <col min="10184" max="10185" width="14.109375" style="13" customWidth="1"/>
    <col min="10186" max="10186" width="15" style="13" customWidth="1"/>
    <col min="10187" max="10187" width="13.33203125" style="13" customWidth="1"/>
    <col min="10188" max="10188" width="17" style="13" customWidth="1"/>
    <col min="10189" max="10189" width="24.88671875" style="13" customWidth="1"/>
    <col min="10190" max="10190" width="14.44140625" style="13" customWidth="1"/>
    <col min="10191" max="10191" width="23.109375" style="13" customWidth="1"/>
    <col min="10192" max="10192" width="13.109375" style="13" customWidth="1"/>
    <col min="10193" max="10196" width="0" style="13" hidden="1" customWidth="1"/>
    <col min="10197" max="10432" width="10.33203125" style="13"/>
    <col min="10433" max="10433" width="7" style="13" customWidth="1"/>
    <col min="10434" max="10434" width="13" style="13" customWidth="1"/>
    <col min="10435" max="10435" width="14.109375" style="13" customWidth="1"/>
    <col min="10436" max="10436" width="17.33203125" style="13" customWidth="1"/>
    <col min="10437" max="10437" width="18.88671875" style="13" customWidth="1"/>
    <col min="10438" max="10438" width="14.109375" style="13" customWidth="1"/>
    <col min="10439" max="10439" width="21.5546875" style="13" customWidth="1"/>
    <col min="10440" max="10441" width="14.109375" style="13" customWidth="1"/>
    <col min="10442" max="10442" width="15" style="13" customWidth="1"/>
    <col min="10443" max="10443" width="13.33203125" style="13" customWidth="1"/>
    <col min="10444" max="10444" width="17" style="13" customWidth="1"/>
    <col min="10445" max="10445" width="24.88671875" style="13" customWidth="1"/>
    <col min="10446" max="10446" width="14.44140625" style="13" customWidth="1"/>
    <col min="10447" max="10447" width="23.109375" style="13" customWidth="1"/>
    <col min="10448" max="10448" width="13.109375" style="13" customWidth="1"/>
    <col min="10449" max="10452" width="0" style="13" hidden="1" customWidth="1"/>
    <col min="10453" max="10688" width="10.33203125" style="13"/>
    <col min="10689" max="10689" width="7" style="13" customWidth="1"/>
    <col min="10690" max="10690" width="13" style="13" customWidth="1"/>
    <col min="10691" max="10691" width="14.109375" style="13" customWidth="1"/>
    <col min="10692" max="10692" width="17.33203125" style="13" customWidth="1"/>
    <col min="10693" max="10693" width="18.88671875" style="13" customWidth="1"/>
    <col min="10694" max="10694" width="14.109375" style="13" customWidth="1"/>
    <col min="10695" max="10695" width="21.5546875" style="13" customWidth="1"/>
    <col min="10696" max="10697" width="14.109375" style="13" customWidth="1"/>
    <col min="10698" max="10698" width="15" style="13" customWidth="1"/>
    <col min="10699" max="10699" width="13.33203125" style="13" customWidth="1"/>
    <col min="10700" max="10700" width="17" style="13" customWidth="1"/>
    <col min="10701" max="10701" width="24.88671875" style="13" customWidth="1"/>
    <col min="10702" max="10702" width="14.44140625" style="13" customWidth="1"/>
    <col min="10703" max="10703" width="23.109375" style="13" customWidth="1"/>
    <col min="10704" max="10704" width="13.109375" style="13" customWidth="1"/>
    <col min="10705" max="10708" width="0" style="13" hidden="1" customWidth="1"/>
    <col min="10709" max="10944" width="10.33203125" style="13"/>
    <col min="10945" max="10945" width="7" style="13" customWidth="1"/>
    <col min="10946" max="10946" width="13" style="13" customWidth="1"/>
    <col min="10947" max="10947" width="14.109375" style="13" customWidth="1"/>
    <col min="10948" max="10948" width="17.33203125" style="13" customWidth="1"/>
    <col min="10949" max="10949" width="18.88671875" style="13" customWidth="1"/>
    <col min="10950" max="10950" width="14.109375" style="13" customWidth="1"/>
    <col min="10951" max="10951" width="21.5546875" style="13" customWidth="1"/>
    <col min="10952" max="10953" width="14.109375" style="13" customWidth="1"/>
    <col min="10954" max="10954" width="15" style="13" customWidth="1"/>
    <col min="10955" max="10955" width="13.33203125" style="13" customWidth="1"/>
    <col min="10956" max="10956" width="17" style="13" customWidth="1"/>
    <col min="10957" max="10957" width="24.88671875" style="13" customWidth="1"/>
    <col min="10958" max="10958" width="14.44140625" style="13" customWidth="1"/>
    <col min="10959" max="10959" width="23.109375" style="13" customWidth="1"/>
    <col min="10960" max="10960" width="13.109375" style="13" customWidth="1"/>
    <col min="10961" max="10964" width="0" style="13" hidden="1" customWidth="1"/>
    <col min="10965" max="11200" width="10.33203125" style="13"/>
    <col min="11201" max="11201" width="7" style="13" customWidth="1"/>
    <col min="11202" max="11202" width="13" style="13" customWidth="1"/>
    <col min="11203" max="11203" width="14.109375" style="13" customWidth="1"/>
    <col min="11204" max="11204" width="17.33203125" style="13" customWidth="1"/>
    <col min="11205" max="11205" width="18.88671875" style="13" customWidth="1"/>
    <col min="11206" max="11206" width="14.109375" style="13" customWidth="1"/>
    <col min="11207" max="11207" width="21.5546875" style="13" customWidth="1"/>
    <col min="11208" max="11209" width="14.109375" style="13" customWidth="1"/>
    <col min="11210" max="11210" width="15" style="13" customWidth="1"/>
    <col min="11211" max="11211" width="13.33203125" style="13" customWidth="1"/>
    <col min="11212" max="11212" width="17" style="13" customWidth="1"/>
    <col min="11213" max="11213" width="24.88671875" style="13" customWidth="1"/>
    <col min="11214" max="11214" width="14.44140625" style="13" customWidth="1"/>
    <col min="11215" max="11215" width="23.109375" style="13" customWidth="1"/>
    <col min="11216" max="11216" width="13.109375" style="13" customWidth="1"/>
    <col min="11217" max="11220" width="0" style="13" hidden="1" customWidth="1"/>
    <col min="11221" max="11456" width="10.33203125" style="13"/>
    <col min="11457" max="11457" width="7" style="13" customWidth="1"/>
    <col min="11458" max="11458" width="13" style="13" customWidth="1"/>
    <col min="11459" max="11459" width="14.109375" style="13" customWidth="1"/>
    <col min="11460" max="11460" width="17.33203125" style="13" customWidth="1"/>
    <col min="11461" max="11461" width="18.88671875" style="13" customWidth="1"/>
    <col min="11462" max="11462" width="14.109375" style="13" customWidth="1"/>
    <col min="11463" max="11463" width="21.5546875" style="13" customWidth="1"/>
    <col min="11464" max="11465" width="14.109375" style="13" customWidth="1"/>
    <col min="11466" max="11466" width="15" style="13" customWidth="1"/>
    <col min="11467" max="11467" width="13.33203125" style="13" customWidth="1"/>
    <col min="11468" max="11468" width="17" style="13" customWidth="1"/>
    <col min="11469" max="11469" width="24.88671875" style="13" customWidth="1"/>
    <col min="11470" max="11470" width="14.44140625" style="13" customWidth="1"/>
    <col min="11471" max="11471" width="23.109375" style="13" customWidth="1"/>
    <col min="11472" max="11472" width="13.109375" style="13" customWidth="1"/>
    <col min="11473" max="11476" width="0" style="13" hidden="1" customWidth="1"/>
    <col min="11477" max="11712" width="10.33203125" style="13"/>
    <col min="11713" max="11713" width="7" style="13" customWidth="1"/>
    <col min="11714" max="11714" width="13" style="13" customWidth="1"/>
    <col min="11715" max="11715" width="14.109375" style="13" customWidth="1"/>
    <col min="11716" max="11716" width="17.33203125" style="13" customWidth="1"/>
    <col min="11717" max="11717" width="18.88671875" style="13" customWidth="1"/>
    <col min="11718" max="11718" width="14.109375" style="13" customWidth="1"/>
    <col min="11719" max="11719" width="21.5546875" style="13" customWidth="1"/>
    <col min="11720" max="11721" width="14.109375" style="13" customWidth="1"/>
    <col min="11722" max="11722" width="15" style="13" customWidth="1"/>
    <col min="11723" max="11723" width="13.33203125" style="13" customWidth="1"/>
    <col min="11724" max="11724" width="17" style="13" customWidth="1"/>
    <col min="11725" max="11725" width="24.88671875" style="13" customWidth="1"/>
    <col min="11726" max="11726" width="14.44140625" style="13" customWidth="1"/>
    <col min="11727" max="11727" width="23.109375" style="13" customWidth="1"/>
    <col min="11728" max="11728" width="13.109375" style="13" customWidth="1"/>
    <col min="11729" max="11732" width="0" style="13" hidden="1" customWidth="1"/>
    <col min="11733" max="11968" width="10.33203125" style="13"/>
    <col min="11969" max="11969" width="7" style="13" customWidth="1"/>
    <col min="11970" max="11970" width="13" style="13" customWidth="1"/>
    <col min="11971" max="11971" width="14.109375" style="13" customWidth="1"/>
    <col min="11972" max="11972" width="17.33203125" style="13" customWidth="1"/>
    <col min="11973" max="11973" width="18.88671875" style="13" customWidth="1"/>
    <col min="11974" max="11974" width="14.109375" style="13" customWidth="1"/>
    <col min="11975" max="11975" width="21.5546875" style="13" customWidth="1"/>
    <col min="11976" max="11977" width="14.109375" style="13" customWidth="1"/>
    <col min="11978" max="11978" width="15" style="13" customWidth="1"/>
    <col min="11979" max="11979" width="13.33203125" style="13" customWidth="1"/>
    <col min="11980" max="11980" width="17" style="13" customWidth="1"/>
    <col min="11981" max="11981" width="24.88671875" style="13" customWidth="1"/>
    <col min="11982" max="11982" width="14.44140625" style="13" customWidth="1"/>
    <col min="11983" max="11983" width="23.109375" style="13" customWidth="1"/>
    <col min="11984" max="11984" width="13.109375" style="13" customWidth="1"/>
    <col min="11985" max="11988" width="0" style="13" hidden="1" customWidth="1"/>
    <col min="11989" max="12224" width="10.33203125" style="13"/>
    <col min="12225" max="12225" width="7" style="13" customWidth="1"/>
    <col min="12226" max="12226" width="13" style="13" customWidth="1"/>
    <col min="12227" max="12227" width="14.109375" style="13" customWidth="1"/>
    <col min="12228" max="12228" width="17.33203125" style="13" customWidth="1"/>
    <col min="12229" max="12229" width="18.88671875" style="13" customWidth="1"/>
    <col min="12230" max="12230" width="14.109375" style="13" customWidth="1"/>
    <col min="12231" max="12231" width="21.5546875" style="13" customWidth="1"/>
    <col min="12232" max="12233" width="14.109375" style="13" customWidth="1"/>
    <col min="12234" max="12234" width="15" style="13" customWidth="1"/>
    <col min="12235" max="12235" width="13.33203125" style="13" customWidth="1"/>
    <col min="12236" max="12236" width="17" style="13" customWidth="1"/>
    <col min="12237" max="12237" width="24.88671875" style="13" customWidth="1"/>
    <col min="12238" max="12238" width="14.44140625" style="13" customWidth="1"/>
    <col min="12239" max="12239" width="23.109375" style="13" customWidth="1"/>
    <col min="12240" max="12240" width="13.109375" style="13" customWidth="1"/>
    <col min="12241" max="12244" width="0" style="13" hidden="1" customWidth="1"/>
    <col min="12245" max="12480" width="10.33203125" style="13"/>
    <col min="12481" max="12481" width="7" style="13" customWidth="1"/>
    <col min="12482" max="12482" width="13" style="13" customWidth="1"/>
    <col min="12483" max="12483" width="14.109375" style="13" customWidth="1"/>
    <col min="12484" max="12484" width="17.33203125" style="13" customWidth="1"/>
    <col min="12485" max="12485" width="18.88671875" style="13" customWidth="1"/>
    <col min="12486" max="12486" width="14.109375" style="13" customWidth="1"/>
    <col min="12487" max="12487" width="21.5546875" style="13" customWidth="1"/>
    <col min="12488" max="12489" width="14.109375" style="13" customWidth="1"/>
    <col min="12490" max="12490" width="15" style="13" customWidth="1"/>
    <col min="12491" max="12491" width="13.33203125" style="13" customWidth="1"/>
    <col min="12492" max="12492" width="17" style="13" customWidth="1"/>
    <col min="12493" max="12493" width="24.88671875" style="13" customWidth="1"/>
    <col min="12494" max="12494" width="14.44140625" style="13" customWidth="1"/>
    <col min="12495" max="12495" width="23.109375" style="13" customWidth="1"/>
    <col min="12496" max="12496" width="13.109375" style="13" customWidth="1"/>
    <col min="12497" max="12500" width="0" style="13" hidden="1" customWidth="1"/>
    <col min="12501" max="12736" width="10.33203125" style="13"/>
    <col min="12737" max="12737" width="7" style="13" customWidth="1"/>
    <col min="12738" max="12738" width="13" style="13" customWidth="1"/>
    <col min="12739" max="12739" width="14.109375" style="13" customWidth="1"/>
    <col min="12740" max="12740" width="17.33203125" style="13" customWidth="1"/>
    <col min="12741" max="12741" width="18.88671875" style="13" customWidth="1"/>
    <col min="12742" max="12742" width="14.109375" style="13" customWidth="1"/>
    <col min="12743" max="12743" width="21.5546875" style="13" customWidth="1"/>
    <col min="12744" max="12745" width="14.109375" style="13" customWidth="1"/>
    <col min="12746" max="12746" width="15" style="13" customWidth="1"/>
    <col min="12747" max="12747" width="13.33203125" style="13" customWidth="1"/>
    <col min="12748" max="12748" width="17" style="13" customWidth="1"/>
    <col min="12749" max="12749" width="24.88671875" style="13" customWidth="1"/>
    <col min="12750" max="12750" width="14.44140625" style="13" customWidth="1"/>
    <col min="12751" max="12751" width="23.109375" style="13" customWidth="1"/>
    <col min="12752" max="12752" width="13.109375" style="13" customWidth="1"/>
    <col min="12753" max="12756" width="0" style="13" hidden="1" customWidth="1"/>
    <col min="12757" max="12992" width="10.33203125" style="13"/>
    <col min="12993" max="12993" width="7" style="13" customWidth="1"/>
    <col min="12994" max="12994" width="13" style="13" customWidth="1"/>
    <col min="12995" max="12995" width="14.109375" style="13" customWidth="1"/>
    <col min="12996" max="12996" width="17.33203125" style="13" customWidth="1"/>
    <col min="12997" max="12997" width="18.88671875" style="13" customWidth="1"/>
    <col min="12998" max="12998" width="14.109375" style="13" customWidth="1"/>
    <col min="12999" max="12999" width="21.5546875" style="13" customWidth="1"/>
    <col min="13000" max="13001" width="14.109375" style="13" customWidth="1"/>
    <col min="13002" max="13002" width="15" style="13" customWidth="1"/>
    <col min="13003" max="13003" width="13.33203125" style="13" customWidth="1"/>
    <col min="13004" max="13004" width="17" style="13" customWidth="1"/>
    <col min="13005" max="13005" width="24.88671875" style="13" customWidth="1"/>
    <col min="13006" max="13006" width="14.44140625" style="13" customWidth="1"/>
    <col min="13007" max="13007" width="23.109375" style="13" customWidth="1"/>
    <col min="13008" max="13008" width="13.109375" style="13" customWidth="1"/>
    <col min="13009" max="13012" width="0" style="13" hidden="1" customWidth="1"/>
    <col min="13013" max="13248" width="10.33203125" style="13"/>
    <col min="13249" max="13249" width="7" style="13" customWidth="1"/>
    <col min="13250" max="13250" width="13" style="13" customWidth="1"/>
    <col min="13251" max="13251" width="14.109375" style="13" customWidth="1"/>
    <col min="13252" max="13252" width="17.33203125" style="13" customWidth="1"/>
    <col min="13253" max="13253" width="18.88671875" style="13" customWidth="1"/>
    <col min="13254" max="13254" width="14.109375" style="13" customWidth="1"/>
    <col min="13255" max="13255" width="21.5546875" style="13" customWidth="1"/>
    <col min="13256" max="13257" width="14.109375" style="13" customWidth="1"/>
    <col min="13258" max="13258" width="15" style="13" customWidth="1"/>
    <col min="13259" max="13259" width="13.33203125" style="13" customWidth="1"/>
    <col min="13260" max="13260" width="17" style="13" customWidth="1"/>
    <col min="13261" max="13261" width="24.88671875" style="13" customWidth="1"/>
    <col min="13262" max="13262" width="14.44140625" style="13" customWidth="1"/>
    <col min="13263" max="13263" width="23.109375" style="13" customWidth="1"/>
    <col min="13264" max="13264" width="13.109375" style="13" customWidth="1"/>
    <col min="13265" max="13268" width="0" style="13" hidden="1" customWidth="1"/>
    <col min="13269" max="13504" width="10.33203125" style="13"/>
    <col min="13505" max="13505" width="7" style="13" customWidth="1"/>
    <col min="13506" max="13506" width="13" style="13" customWidth="1"/>
    <col min="13507" max="13507" width="14.109375" style="13" customWidth="1"/>
    <col min="13508" max="13508" width="17.33203125" style="13" customWidth="1"/>
    <col min="13509" max="13509" width="18.88671875" style="13" customWidth="1"/>
    <col min="13510" max="13510" width="14.109375" style="13" customWidth="1"/>
    <col min="13511" max="13511" width="21.5546875" style="13" customWidth="1"/>
    <col min="13512" max="13513" width="14.109375" style="13" customWidth="1"/>
    <col min="13514" max="13514" width="15" style="13" customWidth="1"/>
    <col min="13515" max="13515" width="13.33203125" style="13" customWidth="1"/>
    <col min="13516" max="13516" width="17" style="13" customWidth="1"/>
    <col min="13517" max="13517" width="24.88671875" style="13" customWidth="1"/>
    <col min="13518" max="13518" width="14.44140625" style="13" customWidth="1"/>
    <col min="13519" max="13519" width="23.109375" style="13" customWidth="1"/>
    <col min="13520" max="13520" width="13.109375" style="13" customWidth="1"/>
    <col min="13521" max="13524" width="0" style="13" hidden="1" customWidth="1"/>
    <col min="13525" max="13760" width="10.33203125" style="13"/>
    <col min="13761" max="13761" width="7" style="13" customWidth="1"/>
    <col min="13762" max="13762" width="13" style="13" customWidth="1"/>
    <col min="13763" max="13763" width="14.109375" style="13" customWidth="1"/>
    <col min="13764" max="13764" width="17.33203125" style="13" customWidth="1"/>
    <col min="13765" max="13765" width="18.88671875" style="13" customWidth="1"/>
    <col min="13766" max="13766" width="14.109375" style="13" customWidth="1"/>
    <col min="13767" max="13767" width="21.5546875" style="13" customWidth="1"/>
    <col min="13768" max="13769" width="14.109375" style="13" customWidth="1"/>
    <col min="13770" max="13770" width="15" style="13" customWidth="1"/>
    <col min="13771" max="13771" width="13.33203125" style="13" customWidth="1"/>
    <col min="13772" max="13772" width="17" style="13" customWidth="1"/>
    <col min="13773" max="13773" width="24.88671875" style="13" customWidth="1"/>
    <col min="13774" max="13774" width="14.44140625" style="13" customWidth="1"/>
    <col min="13775" max="13775" width="23.109375" style="13" customWidth="1"/>
    <col min="13776" max="13776" width="13.109375" style="13" customWidth="1"/>
    <col min="13777" max="13780" width="0" style="13" hidden="1" customWidth="1"/>
    <col min="13781" max="14016" width="10.33203125" style="13"/>
    <col min="14017" max="14017" width="7" style="13" customWidth="1"/>
    <col min="14018" max="14018" width="13" style="13" customWidth="1"/>
    <col min="14019" max="14019" width="14.109375" style="13" customWidth="1"/>
    <col min="14020" max="14020" width="17.33203125" style="13" customWidth="1"/>
    <col min="14021" max="14021" width="18.88671875" style="13" customWidth="1"/>
    <col min="14022" max="14022" width="14.109375" style="13" customWidth="1"/>
    <col min="14023" max="14023" width="21.5546875" style="13" customWidth="1"/>
    <col min="14024" max="14025" width="14.109375" style="13" customWidth="1"/>
    <col min="14026" max="14026" width="15" style="13" customWidth="1"/>
    <col min="14027" max="14027" width="13.33203125" style="13" customWidth="1"/>
    <col min="14028" max="14028" width="17" style="13" customWidth="1"/>
    <col min="14029" max="14029" width="24.88671875" style="13" customWidth="1"/>
    <col min="14030" max="14030" width="14.44140625" style="13" customWidth="1"/>
    <col min="14031" max="14031" width="23.109375" style="13" customWidth="1"/>
    <col min="14032" max="14032" width="13.109375" style="13" customWidth="1"/>
    <col min="14033" max="14036" width="0" style="13" hidden="1" customWidth="1"/>
    <col min="14037" max="14272" width="10.33203125" style="13"/>
    <col min="14273" max="14273" width="7" style="13" customWidth="1"/>
    <col min="14274" max="14274" width="13" style="13" customWidth="1"/>
    <col min="14275" max="14275" width="14.109375" style="13" customWidth="1"/>
    <col min="14276" max="14276" width="17.33203125" style="13" customWidth="1"/>
    <col min="14277" max="14277" width="18.88671875" style="13" customWidth="1"/>
    <col min="14278" max="14278" width="14.109375" style="13" customWidth="1"/>
    <col min="14279" max="14279" width="21.5546875" style="13" customWidth="1"/>
    <col min="14280" max="14281" width="14.109375" style="13" customWidth="1"/>
    <col min="14282" max="14282" width="15" style="13" customWidth="1"/>
    <col min="14283" max="14283" width="13.33203125" style="13" customWidth="1"/>
    <col min="14284" max="14284" width="17" style="13" customWidth="1"/>
    <col min="14285" max="14285" width="24.88671875" style="13" customWidth="1"/>
    <col min="14286" max="14286" width="14.44140625" style="13" customWidth="1"/>
    <col min="14287" max="14287" width="23.109375" style="13" customWidth="1"/>
    <col min="14288" max="14288" width="13.109375" style="13" customWidth="1"/>
    <col min="14289" max="14292" width="0" style="13" hidden="1" customWidth="1"/>
    <col min="14293" max="14528" width="10.33203125" style="13"/>
    <col min="14529" max="14529" width="7" style="13" customWidth="1"/>
    <col min="14530" max="14530" width="13" style="13" customWidth="1"/>
    <col min="14531" max="14531" width="14.109375" style="13" customWidth="1"/>
    <col min="14532" max="14532" width="17.33203125" style="13" customWidth="1"/>
    <col min="14533" max="14533" width="18.88671875" style="13" customWidth="1"/>
    <col min="14534" max="14534" width="14.109375" style="13" customWidth="1"/>
    <col min="14535" max="14535" width="21.5546875" style="13" customWidth="1"/>
    <col min="14536" max="14537" width="14.109375" style="13" customWidth="1"/>
    <col min="14538" max="14538" width="15" style="13" customWidth="1"/>
    <col min="14539" max="14539" width="13.33203125" style="13" customWidth="1"/>
    <col min="14540" max="14540" width="17" style="13" customWidth="1"/>
    <col min="14541" max="14541" width="24.88671875" style="13" customWidth="1"/>
    <col min="14542" max="14542" width="14.44140625" style="13" customWidth="1"/>
    <col min="14543" max="14543" width="23.109375" style="13" customWidth="1"/>
    <col min="14544" max="14544" width="13.109375" style="13" customWidth="1"/>
    <col min="14545" max="14548" width="0" style="13" hidden="1" customWidth="1"/>
    <col min="14549" max="14784" width="10.33203125" style="13"/>
    <col min="14785" max="14785" width="7" style="13" customWidth="1"/>
    <col min="14786" max="14786" width="13" style="13" customWidth="1"/>
    <col min="14787" max="14787" width="14.109375" style="13" customWidth="1"/>
    <col min="14788" max="14788" width="17.33203125" style="13" customWidth="1"/>
    <col min="14789" max="14789" width="18.88671875" style="13" customWidth="1"/>
    <col min="14790" max="14790" width="14.109375" style="13" customWidth="1"/>
    <col min="14791" max="14791" width="21.5546875" style="13" customWidth="1"/>
    <col min="14792" max="14793" width="14.109375" style="13" customWidth="1"/>
    <col min="14794" max="14794" width="15" style="13" customWidth="1"/>
    <col min="14795" max="14795" width="13.33203125" style="13" customWidth="1"/>
    <col min="14796" max="14796" width="17" style="13" customWidth="1"/>
    <col min="14797" max="14797" width="24.88671875" style="13" customWidth="1"/>
    <col min="14798" max="14798" width="14.44140625" style="13" customWidth="1"/>
    <col min="14799" max="14799" width="23.109375" style="13" customWidth="1"/>
    <col min="14800" max="14800" width="13.109375" style="13" customWidth="1"/>
    <col min="14801" max="14804" width="0" style="13" hidden="1" customWidth="1"/>
    <col min="14805" max="15040" width="10.33203125" style="13"/>
    <col min="15041" max="15041" width="7" style="13" customWidth="1"/>
    <col min="15042" max="15042" width="13" style="13" customWidth="1"/>
    <col min="15043" max="15043" width="14.109375" style="13" customWidth="1"/>
    <col min="15044" max="15044" width="17.33203125" style="13" customWidth="1"/>
    <col min="15045" max="15045" width="18.88671875" style="13" customWidth="1"/>
    <col min="15046" max="15046" width="14.109375" style="13" customWidth="1"/>
    <col min="15047" max="15047" width="21.5546875" style="13" customWidth="1"/>
    <col min="15048" max="15049" width="14.109375" style="13" customWidth="1"/>
    <col min="15050" max="15050" width="15" style="13" customWidth="1"/>
    <col min="15051" max="15051" width="13.33203125" style="13" customWidth="1"/>
    <col min="15052" max="15052" width="17" style="13" customWidth="1"/>
    <col min="15053" max="15053" width="24.88671875" style="13" customWidth="1"/>
    <col min="15054" max="15054" width="14.44140625" style="13" customWidth="1"/>
    <col min="15055" max="15055" width="23.109375" style="13" customWidth="1"/>
    <col min="15056" max="15056" width="13.109375" style="13" customWidth="1"/>
    <col min="15057" max="15060" width="0" style="13" hidden="1" customWidth="1"/>
    <col min="15061" max="15296" width="10.33203125" style="13"/>
    <col min="15297" max="15297" width="7" style="13" customWidth="1"/>
    <col min="15298" max="15298" width="13" style="13" customWidth="1"/>
    <col min="15299" max="15299" width="14.109375" style="13" customWidth="1"/>
    <col min="15300" max="15300" width="17.33203125" style="13" customWidth="1"/>
    <col min="15301" max="15301" width="18.88671875" style="13" customWidth="1"/>
    <col min="15302" max="15302" width="14.109375" style="13" customWidth="1"/>
    <col min="15303" max="15303" width="21.5546875" style="13" customWidth="1"/>
    <col min="15304" max="15305" width="14.109375" style="13" customWidth="1"/>
    <col min="15306" max="15306" width="15" style="13" customWidth="1"/>
    <col min="15307" max="15307" width="13.33203125" style="13" customWidth="1"/>
    <col min="15308" max="15308" width="17" style="13" customWidth="1"/>
    <col min="15309" max="15309" width="24.88671875" style="13" customWidth="1"/>
    <col min="15310" max="15310" width="14.44140625" style="13" customWidth="1"/>
    <col min="15311" max="15311" width="23.109375" style="13" customWidth="1"/>
    <col min="15312" max="15312" width="13.109375" style="13" customWidth="1"/>
    <col min="15313" max="15316" width="0" style="13" hidden="1" customWidth="1"/>
    <col min="15317" max="15552" width="10.33203125" style="13"/>
    <col min="15553" max="15553" width="7" style="13" customWidth="1"/>
    <col min="15554" max="15554" width="13" style="13" customWidth="1"/>
    <col min="15555" max="15555" width="14.109375" style="13" customWidth="1"/>
    <col min="15556" max="15556" width="17.33203125" style="13" customWidth="1"/>
    <col min="15557" max="15557" width="18.88671875" style="13" customWidth="1"/>
    <col min="15558" max="15558" width="14.109375" style="13" customWidth="1"/>
    <col min="15559" max="15559" width="21.5546875" style="13" customWidth="1"/>
    <col min="15560" max="15561" width="14.109375" style="13" customWidth="1"/>
    <col min="15562" max="15562" width="15" style="13" customWidth="1"/>
    <col min="15563" max="15563" width="13.33203125" style="13" customWidth="1"/>
    <col min="15564" max="15564" width="17" style="13" customWidth="1"/>
    <col min="15565" max="15565" width="24.88671875" style="13" customWidth="1"/>
    <col min="15566" max="15566" width="14.44140625" style="13" customWidth="1"/>
    <col min="15567" max="15567" width="23.109375" style="13" customWidth="1"/>
    <col min="15568" max="15568" width="13.109375" style="13" customWidth="1"/>
    <col min="15569" max="15572" width="0" style="13" hidden="1" customWidth="1"/>
    <col min="15573" max="15808" width="10.33203125" style="13"/>
    <col min="15809" max="15809" width="7" style="13" customWidth="1"/>
    <col min="15810" max="15810" width="13" style="13" customWidth="1"/>
    <col min="15811" max="15811" width="14.109375" style="13" customWidth="1"/>
    <col min="15812" max="15812" width="17.33203125" style="13" customWidth="1"/>
    <col min="15813" max="15813" width="18.88671875" style="13" customWidth="1"/>
    <col min="15814" max="15814" width="14.109375" style="13" customWidth="1"/>
    <col min="15815" max="15815" width="21.5546875" style="13" customWidth="1"/>
    <col min="15816" max="15817" width="14.109375" style="13" customWidth="1"/>
    <col min="15818" max="15818" width="15" style="13" customWidth="1"/>
    <col min="15819" max="15819" width="13.33203125" style="13" customWidth="1"/>
    <col min="15820" max="15820" width="17" style="13" customWidth="1"/>
    <col min="15821" max="15821" width="24.88671875" style="13" customWidth="1"/>
    <col min="15822" max="15822" width="14.44140625" style="13" customWidth="1"/>
    <col min="15823" max="15823" width="23.109375" style="13" customWidth="1"/>
    <col min="15824" max="15824" width="13.109375" style="13" customWidth="1"/>
    <col min="15825" max="15828" width="0" style="13" hidden="1" customWidth="1"/>
    <col min="15829" max="16064" width="10.33203125" style="13"/>
    <col min="16065" max="16065" width="7" style="13" customWidth="1"/>
    <col min="16066" max="16066" width="13" style="13" customWidth="1"/>
    <col min="16067" max="16067" width="14.109375" style="13" customWidth="1"/>
    <col min="16068" max="16068" width="17.33203125" style="13" customWidth="1"/>
    <col min="16069" max="16069" width="18.88671875" style="13" customWidth="1"/>
    <col min="16070" max="16070" width="14.109375" style="13" customWidth="1"/>
    <col min="16071" max="16071" width="21.5546875" style="13" customWidth="1"/>
    <col min="16072" max="16073" width="14.109375" style="13" customWidth="1"/>
    <col min="16074" max="16074" width="15" style="13" customWidth="1"/>
    <col min="16075" max="16075" width="13.33203125" style="13" customWidth="1"/>
    <col min="16076" max="16076" width="17" style="13" customWidth="1"/>
    <col min="16077" max="16077" width="24.88671875" style="13" customWidth="1"/>
    <col min="16078" max="16078" width="14.44140625" style="13" customWidth="1"/>
    <col min="16079" max="16079" width="23.109375" style="13" customWidth="1"/>
    <col min="16080" max="16080" width="13.109375" style="13" customWidth="1"/>
    <col min="16081" max="16084" width="0" style="13" hidden="1" customWidth="1"/>
    <col min="16085" max="16384" width="10.33203125" style="13"/>
  </cols>
  <sheetData>
    <row r="1" spans="1:29" ht="15" customHeight="1">
      <c r="B1" s="125"/>
      <c r="N1" s="125"/>
      <c r="P1" s="738"/>
      <c r="Q1" s="738"/>
      <c r="R1" s="738"/>
      <c r="S1" s="738"/>
      <c r="T1" s="739"/>
      <c r="U1" s="739"/>
      <c r="V1" s="739"/>
      <c r="W1" s="739"/>
      <c r="X1" s="740"/>
      <c r="Y1" s="739"/>
      <c r="Z1" s="739"/>
      <c r="AA1" s="741"/>
    </row>
    <row r="2" spans="1:29" ht="20.25" customHeight="1">
      <c r="A2" s="4168" t="s">
        <v>3025</v>
      </c>
      <c r="B2" s="4169"/>
      <c r="C2" s="4169"/>
      <c r="D2" s="4169"/>
      <c r="E2" s="4169"/>
      <c r="F2" s="4169"/>
      <c r="G2" s="4169"/>
      <c r="H2" s="4169"/>
      <c r="I2" s="4169"/>
      <c r="J2" s="4169"/>
      <c r="K2" s="4169"/>
      <c r="L2" s="742"/>
      <c r="N2" s="742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13"/>
    </row>
    <row r="3" spans="1:29">
      <c r="B3" s="478"/>
      <c r="C3" s="665" t="s">
        <v>3026</v>
      </c>
      <c r="I3" s="478"/>
      <c r="J3" s="478"/>
      <c r="L3" s="478"/>
      <c r="N3" s="478"/>
    </row>
    <row r="4" spans="1:29" ht="39.6">
      <c r="A4" s="29" t="s">
        <v>2</v>
      </c>
      <c r="B4" s="483" t="s">
        <v>2773</v>
      </c>
      <c r="C4" s="1184" t="s">
        <v>3</v>
      </c>
      <c r="D4" s="1185" t="s">
        <v>4</v>
      </c>
      <c r="E4" s="1184" t="s">
        <v>5</v>
      </c>
      <c r="F4" s="1184" t="s">
        <v>401</v>
      </c>
      <c r="G4" s="33" t="s">
        <v>8</v>
      </c>
      <c r="H4" s="33" t="s">
        <v>9</v>
      </c>
      <c r="I4" s="323" t="s">
        <v>3024</v>
      </c>
      <c r="J4" s="323" t="s">
        <v>2884</v>
      </c>
      <c r="K4" s="323" t="s">
        <v>2791</v>
      </c>
      <c r="L4" s="323" t="s">
        <v>2883</v>
      </c>
      <c r="M4" s="323" t="s">
        <v>63</v>
      </c>
      <c r="N4" s="33" t="s">
        <v>1583</v>
      </c>
      <c r="O4" s="29" t="s">
        <v>15</v>
      </c>
      <c r="P4" s="1186" t="s">
        <v>1291</v>
      </c>
      <c r="Q4" s="1186" t="s">
        <v>190</v>
      </c>
      <c r="R4" s="1186" t="s">
        <v>191</v>
      </c>
      <c r="S4" s="1187" t="s">
        <v>192</v>
      </c>
      <c r="T4" s="1187" t="s">
        <v>193</v>
      </c>
      <c r="U4" s="1188" t="s">
        <v>194</v>
      </c>
      <c r="V4" s="1188" t="s">
        <v>195</v>
      </c>
      <c r="W4" s="1189" t="s">
        <v>196</v>
      </c>
      <c r="X4" s="1190" t="s">
        <v>197</v>
      </c>
      <c r="Y4" s="1187" t="s">
        <v>198</v>
      </c>
      <c r="Z4" s="1188" t="s">
        <v>199</v>
      </c>
      <c r="AA4" s="1191" t="s">
        <v>200</v>
      </c>
      <c r="AB4" s="36" t="s">
        <v>204</v>
      </c>
    </row>
    <row r="5" spans="1:29" s="1119" customFormat="1">
      <c r="A5" s="4167" t="s">
        <v>2941</v>
      </c>
      <c r="B5" s="4167"/>
      <c r="C5" s="4167"/>
      <c r="D5" s="4167"/>
      <c r="E5" s="4167"/>
      <c r="F5" s="4167"/>
      <c r="G5" s="4167"/>
      <c r="H5" s="4167"/>
      <c r="I5" s="4167"/>
      <c r="J5" s="4167"/>
      <c r="K5" s="4167"/>
      <c r="L5" s="4167"/>
      <c r="M5" s="4167"/>
      <c r="N5" s="1153"/>
      <c r="O5" s="1165"/>
      <c r="P5" s="1177"/>
      <c r="Q5" s="1177"/>
      <c r="R5" s="1177"/>
      <c r="S5" s="1177"/>
      <c r="T5" s="1178"/>
      <c r="U5" s="1177"/>
      <c r="V5" s="1179"/>
      <c r="W5" s="1180"/>
      <c r="X5" s="1164"/>
      <c r="Y5" s="1181"/>
      <c r="Z5" s="1182"/>
      <c r="AA5" s="1183"/>
      <c r="AB5" s="1108"/>
    </row>
    <row r="6" spans="1:29">
      <c r="A6" s="670">
        <v>1</v>
      </c>
      <c r="B6" s="1037" t="s">
        <v>3045</v>
      </c>
      <c r="C6" s="928">
        <v>106474210140</v>
      </c>
      <c r="D6" s="1192" t="s">
        <v>3044</v>
      </c>
      <c r="E6" s="931" t="s">
        <v>3072</v>
      </c>
      <c r="F6" s="932" t="s">
        <v>1300</v>
      </c>
      <c r="G6" s="445"/>
      <c r="H6" s="445"/>
      <c r="I6" s="522" t="s">
        <v>3020</v>
      </c>
      <c r="J6" s="1193" t="s">
        <v>3021</v>
      </c>
      <c r="K6" s="1194" t="s">
        <v>3022</v>
      </c>
      <c r="L6" s="1195" t="s">
        <v>3023</v>
      </c>
      <c r="M6" s="1195"/>
      <c r="N6" s="1195"/>
      <c r="O6" s="1195"/>
      <c r="P6" s="1195"/>
      <c r="Q6" s="1195"/>
      <c r="R6" s="1195"/>
      <c r="S6" s="1195"/>
      <c r="T6" s="1195"/>
      <c r="U6" s="1195"/>
      <c r="V6" s="1195"/>
      <c r="W6" s="751"/>
      <c r="X6" s="751"/>
      <c r="Y6" s="751"/>
      <c r="Z6" s="751"/>
      <c r="AA6" s="751"/>
      <c r="AB6" s="751"/>
      <c r="AC6" s="751"/>
    </row>
    <row r="7" spans="1:29" s="1119" customFormat="1">
      <c r="A7" s="4167" t="s">
        <v>3330</v>
      </c>
      <c r="B7" s="4167"/>
      <c r="C7" s="4167"/>
      <c r="D7" s="4167"/>
      <c r="E7" s="4167"/>
      <c r="F7" s="4167"/>
      <c r="G7" s="4167"/>
      <c r="H7" s="4167"/>
      <c r="I7" s="4167"/>
      <c r="J7" s="4167"/>
      <c r="K7" s="4167"/>
      <c r="L7" s="4167"/>
      <c r="M7" s="4167"/>
      <c r="N7" s="1153"/>
      <c r="O7" s="1165"/>
      <c r="P7" s="1177"/>
      <c r="Q7" s="1177"/>
      <c r="R7" s="1177"/>
      <c r="S7" s="1177"/>
      <c r="T7" s="1178"/>
      <c r="U7" s="1177"/>
      <c r="V7" s="1179"/>
      <c r="W7" s="1180"/>
      <c r="X7" s="1164"/>
      <c r="Y7" s="1181"/>
      <c r="Z7" s="1182"/>
      <c r="AA7" s="1183"/>
      <c r="AB7" s="1108"/>
    </row>
    <row r="8" spans="1:29">
      <c r="A8" s="670">
        <v>1</v>
      </c>
      <c r="B8" s="1138" t="s">
        <v>3566</v>
      </c>
      <c r="C8" s="928">
        <v>106664043250</v>
      </c>
      <c r="D8" s="930" t="s">
        <v>3542</v>
      </c>
      <c r="E8" s="931" t="s">
        <v>3910</v>
      </c>
      <c r="F8" s="932" t="s">
        <v>1300</v>
      </c>
      <c r="G8" s="445"/>
      <c r="H8" s="445"/>
      <c r="I8" s="522" t="s">
        <v>3020</v>
      </c>
      <c r="J8" s="658" t="s">
        <v>3897</v>
      </c>
      <c r="K8" s="1196" t="s">
        <v>3567</v>
      </c>
      <c r="L8" s="1195" t="s">
        <v>3568</v>
      </c>
      <c r="M8" s="955"/>
      <c r="N8" s="934"/>
      <c r="O8" s="935"/>
      <c r="P8" s="1197"/>
      <c r="Q8" s="1197"/>
      <c r="R8" s="1197"/>
      <c r="S8" s="1197"/>
      <c r="T8" s="1198"/>
      <c r="U8" s="1197"/>
      <c r="V8" s="1197"/>
      <c r="W8" s="1199"/>
      <c r="X8" s="1200"/>
      <c r="Y8" s="1201"/>
      <c r="Z8" s="1202"/>
      <c r="AA8" s="1203"/>
    </row>
    <row r="9" spans="1:29" s="1119" customFormat="1">
      <c r="A9" s="4167" t="s">
        <v>3560</v>
      </c>
      <c r="B9" s="4167"/>
      <c r="C9" s="4167"/>
      <c r="D9" s="4167"/>
      <c r="E9" s="4167"/>
      <c r="F9" s="4167"/>
      <c r="G9" s="4167"/>
      <c r="H9" s="4167"/>
      <c r="I9" s="4167"/>
      <c r="J9" s="4167"/>
      <c r="K9" s="4167"/>
      <c r="L9" s="4167"/>
      <c r="M9" s="4167"/>
      <c r="N9" s="1153"/>
      <c r="O9" s="1165"/>
      <c r="P9" s="1177"/>
      <c r="Q9" s="1177"/>
      <c r="R9" s="1177"/>
      <c r="S9" s="1177"/>
      <c r="T9" s="1178"/>
      <c r="U9" s="1177"/>
      <c r="V9" s="1179"/>
      <c r="W9" s="1180"/>
      <c r="X9" s="1164"/>
      <c r="Y9" s="1181"/>
      <c r="Z9" s="1182"/>
      <c r="AA9" s="1183"/>
      <c r="AB9" s="1108"/>
    </row>
    <row r="10" spans="1:29">
      <c r="A10" s="670">
        <v>1</v>
      </c>
      <c r="B10" s="1138"/>
      <c r="C10" s="796"/>
      <c r="D10" s="1163"/>
      <c r="E10" s="672"/>
      <c r="F10" s="673"/>
      <c r="G10" s="445"/>
      <c r="H10" s="445"/>
      <c r="I10" s="577"/>
      <c r="J10" s="707"/>
      <c r="K10" s="580"/>
      <c r="L10" s="760"/>
      <c r="M10" s="953"/>
      <c r="N10" s="806"/>
      <c r="O10" s="807"/>
      <c r="P10" s="1170"/>
      <c r="Q10" s="1170"/>
      <c r="R10" s="1170"/>
      <c r="S10" s="1170"/>
      <c r="T10" s="1171"/>
      <c r="U10" s="1170"/>
      <c r="V10" s="1170"/>
      <c r="W10" s="1172"/>
      <c r="X10" s="1173"/>
      <c r="Y10" s="1174"/>
      <c r="Z10" s="1175"/>
      <c r="AA10" s="1176"/>
    </row>
    <row r="11" spans="1:29" ht="14.4">
      <c r="A11" s="326">
        <f t="shared" ref="A11:A57" si="0">+A10+1</f>
        <v>2</v>
      </c>
      <c r="B11" s="729"/>
      <c r="C11" s="1162"/>
      <c r="D11" s="46"/>
      <c r="E11"/>
      <c r="F11" s="126"/>
      <c r="G11" s="167"/>
      <c r="H11" s="167"/>
      <c r="I11" s="154"/>
      <c r="J11" s="707"/>
      <c r="K11" s="151"/>
      <c r="L11" s="705"/>
      <c r="M11" s="79"/>
      <c r="N11" s="158"/>
      <c r="O11" s="150"/>
      <c r="P11" s="752"/>
      <c r="Q11" s="752"/>
      <c r="R11" s="752"/>
      <c r="S11" s="752"/>
      <c r="T11" s="753"/>
      <c r="U11" s="752"/>
      <c r="V11" s="752"/>
      <c r="W11" s="754"/>
      <c r="X11" s="755"/>
      <c r="Y11" s="756"/>
      <c r="Z11" s="757"/>
      <c r="AA11" s="750"/>
    </row>
    <row r="12" spans="1:29">
      <c r="A12" s="326">
        <f t="shared" si="0"/>
        <v>3</v>
      </c>
      <c r="B12" s="729"/>
      <c r="C12" s="1162"/>
      <c r="D12" s="46"/>
      <c r="E12" s="47"/>
      <c r="F12" s="126"/>
      <c r="G12" s="167"/>
      <c r="H12" s="167"/>
      <c r="I12" s="154"/>
      <c r="J12" s="707"/>
      <c r="K12" s="151"/>
      <c r="L12" s="705"/>
      <c r="M12" s="79"/>
      <c r="N12" s="158"/>
      <c r="O12" s="150"/>
      <c r="P12" s="752"/>
      <c r="Q12" s="752"/>
      <c r="R12" s="752"/>
      <c r="S12" s="752"/>
      <c r="T12" s="753"/>
      <c r="U12" s="752"/>
      <c r="V12" s="752"/>
      <c r="W12" s="754"/>
      <c r="X12" s="755"/>
      <c r="Y12" s="756"/>
      <c r="Z12" s="757"/>
      <c r="AA12" s="750"/>
    </row>
    <row r="13" spans="1:29">
      <c r="A13" s="326">
        <f t="shared" si="0"/>
        <v>4</v>
      </c>
      <c r="B13" s="729"/>
      <c r="C13" s="45"/>
      <c r="D13" s="46"/>
      <c r="E13" s="47"/>
      <c r="F13" s="126"/>
      <c r="G13" s="167"/>
      <c r="H13" s="167"/>
      <c r="I13" s="659"/>
      <c r="J13" s="707"/>
      <c r="K13" s="151"/>
      <c r="L13" s="705"/>
      <c r="M13" s="79"/>
      <c r="N13" s="158"/>
      <c r="O13" s="150"/>
      <c r="P13" s="752"/>
      <c r="Q13" s="752"/>
      <c r="R13" s="752"/>
      <c r="S13" s="752"/>
      <c r="T13" s="753"/>
      <c r="U13" s="752"/>
      <c r="V13" s="752"/>
      <c r="W13" s="754"/>
      <c r="X13" s="755"/>
      <c r="Y13" s="756"/>
      <c r="Z13" s="757"/>
      <c r="AA13" s="750"/>
    </row>
    <row r="14" spans="1:29">
      <c r="A14" s="326">
        <f t="shared" si="0"/>
        <v>5</v>
      </c>
      <c r="B14" s="729"/>
      <c r="C14" s="45"/>
      <c r="D14" s="46"/>
      <c r="E14" s="47"/>
      <c r="F14" s="126"/>
      <c r="G14" s="167"/>
      <c r="H14" s="167"/>
      <c r="I14" s="154"/>
      <c r="J14" s="707"/>
      <c r="K14" s="151"/>
      <c r="L14" s="705"/>
      <c r="M14" s="79"/>
      <c r="N14" s="158"/>
      <c r="O14" s="150"/>
      <c r="P14" s="752"/>
      <c r="Q14" s="752"/>
      <c r="R14" s="752"/>
      <c r="S14" s="752"/>
      <c r="T14" s="753"/>
      <c r="U14" s="752"/>
      <c r="V14" s="752"/>
      <c r="W14" s="754"/>
      <c r="X14" s="755"/>
      <c r="Y14" s="756"/>
      <c r="Z14" s="757"/>
      <c r="AA14" s="750"/>
    </row>
    <row r="15" spans="1:29">
      <c r="A15" s="326">
        <f t="shared" si="0"/>
        <v>6</v>
      </c>
      <c r="B15" s="729"/>
      <c r="C15" s="45"/>
      <c r="D15" s="46"/>
      <c r="E15" s="47"/>
      <c r="F15" s="126"/>
      <c r="G15" s="167"/>
      <c r="H15" s="167"/>
      <c r="I15" s="154"/>
      <c r="J15" s="707"/>
      <c r="K15" s="151"/>
      <c r="L15" s="705"/>
      <c r="M15" s="79"/>
      <c r="N15" s="158"/>
      <c r="O15" s="150"/>
      <c r="P15" s="752"/>
      <c r="Q15" s="752"/>
      <c r="R15" s="752"/>
      <c r="S15" s="752"/>
      <c r="T15" s="753"/>
      <c r="U15" s="752"/>
      <c r="V15" s="752"/>
      <c r="W15" s="754"/>
      <c r="X15" s="755"/>
      <c r="Y15" s="756"/>
      <c r="Z15" s="757"/>
      <c r="AA15" s="750"/>
    </row>
    <row r="16" spans="1:29" ht="15.6">
      <c r="A16" s="326">
        <f t="shared" si="0"/>
        <v>7</v>
      </c>
      <c r="B16" s="729"/>
      <c r="C16" s="45"/>
      <c r="D16" s="46"/>
      <c r="E16" s="47"/>
      <c r="F16" s="126"/>
      <c r="G16" s="167"/>
      <c r="H16" s="167"/>
      <c r="I16" s="1099"/>
      <c r="J16" s="1100"/>
      <c r="K16" s="1100"/>
      <c r="L16" s="705"/>
      <c r="M16" s="79"/>
      <c r="N16" s="158"/>
      <c r="O16" s="150"/>
      <c r="P16" s="752"/>
      <c r="Q16" s="752"/>
      <c r="R16" s="752"/>
      <c r="S16" s="752"/>
      <c r="T16" s="753"/>
      <c r="U16" s="752"/>
      <c r="V16" s="752"/>
      <c r="W16" s="754"/>
      <c r="X16" s="755"/>
      <c r="Y16" s="756"/>
      <c r="Z16" s="757"/>
      <c r="AA16" s="750"/>
    </row>
    <row r="17" spans="1:27">
      <c r="A17" s="326">
        <f t="shared" si="0"/>
        <v>8</v>
      </c>
      <c r="B17" s="729"/>
      <c r="C17" s="45"/>
      <c r="D17" s="46"/>
      <c r="E17" s="47"/>
      <c r="F17" s="126"/>
      <c r="G17" s="167"/>
      <c r="H17" s="167"/>
      <c r="I17" s="577"/>
      <c r="J17" s="707"/>
      <c r="K17" s="580"/>
      <c r="L17" s="705"/>
      <c r="M17" s="79"/>
      <c r="N17" s="158"/>
      <c r="O17" s="150"/>
      <c r="P17" s="752"/>
      <c r="Q17" s="752"/>
      <c r="R17" s="752"/>
      <c r="S17" s="752"/>
      <c r="T17" s="753"/>
      <c r="U17" s="752"/>
      <c r="V17" s="752"/>
      <c r="W17" s="754"/>
      <c r="X17" s="755"/>
      <c r="Y17" s="756"/>
      <c r="Z17" s="757"/>
      <c r="AA17" s="750"/>
    </row>
    <row r="18" spans="1:27">
      <c r="A18" s="326">
        <f t="shared" si="0"/>
        <v>9</v>
      </c>
      <c r="B18" s="729"/>
      <c r="C18" s="45"/>
      <c r="D18" s="46"/>
      <c r="E18" s="47"/>
      <c r="F18" s="126"/>
      <c r="G18" s="167"/>
      <c r="H18" s="167"/>
      <c r="I18" s="154"/>
      <c r="J18" s="707"/>
      <c r="K18" s="151"/>
      <c r="L18" s="705"/>
      <c r="M18" s="79"/>
      <c r="N18" s="158"/>
      <c r="O18" s="150"/>
      <c r="P18" s="752"/>
      <c r="Q18" s="752"/>
      <c r="R18" s="752"/>
      <c r="S18" s="752"/>
      <c r="T18" s="753"/>
      <c r="U18" s="752"/>
      <c r="V18" s="752"/>
      <c r="W18" s="754"/>
      <c r="X18" s="755"/>
      <c r="Y18" s="756"/>
      <c r="Z18" s="757"/>
      <c r="AA18" s="750"/>
    </row>
    <row r="19" spans="1:27">
      <c r="A19" s="326">
        <f t="shared" si="0"/>
        <v>10</v>
      </c>
      <c r="B19" s="729"/>
      <c r="C19" s="45"/>
      <c r="D19" s="46"/>
      <c r="E19" s="47"/>
      <c r="F19" s="126"/>
      <c r="G19" s="167"/>
      <c r="H19" s="167"/>
      <c r="I19" s="154"/>
      <c r="J19" s="707"/>
      <c r="K19" s="151"/>
      <c r="L19" s="705"/>
      <c r="M19" s="79"/>
      <c r="N19" s="158"/>
      <c r="O19" s="150"/>
      <c r="P19" s="752"/>
      <c r="Q19" s="752"/>
      <c r="R19" s="752"/>
      <c r="S19" s="752"/>
      <c r="T19" s="753"/>
      <c r="U19" s="752"/>
      <c r="V19" s="752"/>
      <c r="W19" s="754"/>
      <c r="X19" s="755"/>
      <c r="Y19" s="756"/>
      <c r="Z19" s="757"/>
      <c r="AA19" s="750"/>
    </row>
    <row r="20" spans="1:27">
      <c r="A20" s="326">
        <f t="shared" si="0"/>
        <v>11</v>
      </c>
      <c r="B20" s="729"/>
      <c r="C20" s="45"/>
      <c r="D20" s="46"/>
      <c r="E20" s="47"/>
      <c r="F20" s="126"/>
      <c r="G20" s="167"/>
      <c r="H20" s="167"/>
      <c r="I20" s="154"/>
      <c r="J20" s="707"/>
      <c r="K20" s="151"/>
      <c r="L20" s="705"/>
      <c r="M20" s="79"/>
      <c r="N20" s="158"/>
      <c r="O20" s="150"/>
      <c r="P20" s="752"/>
      <c r="Q20" s="752"/>
      <c r="R20" s="752"/>
      <c r="S20" s="752"/>
      <c r="T20" s="753"/>
      <c r="U20" s="752"/>
      <c r="V20" s="752"/>
      <c r="W20" s="754"/>
      <c r="X20" s="755"/>
      <c r="Y20" s="756"/>
      <c r="Z20" s="757"/>
      <c r="AA20" s="750"/>
    </row>
    <row r="21" spans="1:27">
      <c r="A21" s="326">
        <f t="shared" si="0"/>
        <v>12</v>
      </c>
      <c r="B21" s="729"/>
      <c r="C21" s="45"/>
      <c r="D21" s="46"/>
      <c r="E21" s="47"/>
      <c r="F21" s="126"/>
      <c r="G21" s="167"/>
      <c r="H21" s="167"/>
      <c r="I21" s="154"/>
      <c r="J21" s="707"/>
      <c r="K21" s="151"/>
      <c r="L21" s="705"/>
      <c r="M21" s="79"/>
      <c r="N21" s="158"/>
      <c r="O21" s="150"/>
      <c r="P21" s="752"/>
      <c r="Q21" s="752"/>
      <c r="R21" s="752"/>
      <c r="S21" s="752"/>
      <c r="T21" s="753"/>
      <c r="U21" s="752"/>
      <c r="V21" s="752"/>
      <c r="W21" s="754"/>
      <c r="X21" s="755"/>
      <c r="Y21" s="756"/>
      <c r="Z21" s="757"/>
      <c r="AA21" s="750"/>
    </row>
    <row r="22" spans="1:27">
      <c r="A22" s="326">
        <f t="shared" si="0"/>
        <v>13</v>
      </c>
      <c r="B22" s="1166"/>
      <c r="C22" s="1167"/>
      <c r="D22" s="1102"/>
      <c r="E22" s="1077"/>
      <c r="F22" s="1146"/>
      <c r="G22" s="167"/>
      <c r="H22" s="167"/>
      <c r="I22" s="127"/>
      <c r="J22" s="658"/>
      <c r="K22" s="1168"/>
      <c r="L22" s="1169"/>
      <c r="M22" s="1149"/>
      <c r="N22" s="158"/>
      <c r="O22" s="150"/>
      <c r="P22" s="752"/>
      <c r="Q22" s="752"/>
      <c r="R22" s="752"/>
      <c r="S22" s="752"/>
      <c r="T22" s="753"/>
      <c r="U22" s="752"/>
      <c r="V22" s="752"/>
      <c r="W22" s="754"/>
      <c r="X22" s="755"/>
      <c r="Y22" s="756"/>
      <c r="Z22" s="757"/>
      <c r="AA22" s="750"/>
    </row>
    <row r="23" spans="1:27" ht="15.75" customHeight="1">
      <c r="A23" s="4164" t="s">
        <v>4025</v>
      </c>
      <c r="B23" s="4165"/>
      <c r="C23" s="4165"/>
      <c r="D23" s="4165"/>
      <c r="E23" s="4165"/>
      <c r="F23" s="4165"/>
      <c r="G23" s="4165"/>
      <c r="H23" s="4165"/>
      <c r="I23" s="4165"/>
      <c r="J23" s="4165"/>
      <c r="K23" s="4165"/>
      <c r="L23" s="4165"/>
      <c r="M23" s="4166"/>
      <c r="N23" s="158"/>
      <c r="O23" s="150"/>
      <c r="P23" s="752"/>
      <c r="Q23" s="752"/>
      <c r="R23" s="752"/>
      <c r="S23" s="752"/>
      <c r="T23" s="753"/>
      <c r="U23" s="752"/>
      <c r="V23" s="752"/>
      <c r="W23" s="754"/>
      <c r="X23" s="755"/>
      <c r="Y23" s="756"/>
      <c r="Z23" s="757"/>
      <c r="AA23" s="750"/>
    </row>
    <row r="24" spans="1:27">
      <c r="A24" s="326">
        <v>1</v>
      </c>
      <c r="B24" s="1138"/>
      <c r="C24" s="796"/>
      <c r="D24" s="1163"/>
      <c r="E24" s="672"/>
      <c r="F24" s="673"/>
      <c r="G24" s="445"/>
      <c r="H24" s="445"/>
      <c r="I24" s="577"/>
      <c r="J24" s="707"/>
      <c r="K24" s="580"/>
      <c r="L24" s="760"/>
      <c r="M24" s="953"/>
      <c r="N24" s="158"/>
      <c r="O24" s="150"/>
      <c r="P24" s="752"/>
      <c r="Q24" s="752"/>
      <c r="R24" s="752"/>
      <c r="S24" s="752"/>
      <c r="T24" s="753"/>
      <c r="U24" s="752"/>
      <c r="V24" s="752"/>
      <c r="W24" s="754"/>
      <c r="X24" s="755"/>
      <c r="Y24" s="756"/>
      <c r="Z24" s="757"/>
      <c r="AA24" s="750"/>
    </row>
    <row r="25" spans="1:27">
      <c r="A25" s="326">
        <f t="shared" si="0"/>
        <v>2</v>
      </c>
      <c r="B25" s="729"/>
      <c r="C25" s="45"/>
      <c r="D25" s="46"/>
      <c r="E25" s="47"/>
      <c r="F25" s="126"/>
      <c r="G25" s="167"/>
      <c r="H25" s="167"/>
      <c r="I25" s="154"/>
      <c r="J25" s="707"/>
      <c r="K25" s="151"/>
      <c r="L25" s="705"/>
      <c r="M25" s="79"/>
      <c r="N25" s="158"/>
      <c r="O25" s="150"/>
      <c r="P25" s="752"/>
      <c r="Q25" s="752"/>
      <c r="R25" s="752"/>
      <c r="S25" s="752"/>
      <c r="T25" s="753"/>
      <c r="U25" s="752"/>
      <c r="V25" s="752"/>
      <c r="W25" s="754"/>
      <c r="X25" s="755"/>
      <c r="Y25" s="756"/>
      <c r="Z25" s="757"/>
      <c r="AA25" s="750"/>
    </row>
    <row r="26" spans="1:27">
      <c r="A26" s="326">
        <f t="shared" si="0"/>
        <v>3</v>
      </c>
      <c r="B26" s="729"/>
      <c r="C26" s="45"/>
      <c r="D26" s="46"/>
      <c r="E26" s="47"/>
      <c r="F26" s="126"/>
      <c r="G26" s="167"/>
      <c r="H26" s="167"/>
      <c r="I26" s="154"/>
      <c r="J26" s="707"/>
      <c r="K26" s="151"/>
      <c r="L26" s="705"/>
      <c r="M26" s="79"/>
      <c r="N26" s="158"/>
      <c r="O26" s="150"/>
      <c r="P26" s="752"/>
      <c r="Q26" s="752"/>
      <c r="R26" s="752"/>
      <c r="S26" s="752"/>
      <c r="T26" s="753"/>
      <c r="U26" s="752"/>
      <c r="V26" s="752"/>
      <c r="W26" s="754"/>
      <c r="X26" s="755"/>
      <c r="Y26" s="756"/>
      <c r="Z26" s="757"/>
      <c r="AA26" s="750"/>
    </row>
    <row r="27" spans="1:27">
      <c r="A27" s="326">
        <f t="shared" si="0"/>
        <v>4</v>
      </c>
      <c r="B27" s="729"/>
      <c r="C27" s="45"/>
      <c r="D27" s="46"/>
      <c r="E27" s="47"/>
      <c r="F27" s="126"/>
      <c r="G27" s="167"/>
      <c r="H27" s="167"/>
      <c r="I27" s="154"/>
      <c r="J27" s="707"/>
      <c r="K27" s="151"/>
      <c r="L27" s="705"/>
      <c r="M27" s="79"/>
      <c r="N27" s="158"/>
      <c r="O27" s="150"/>
      <c r="P27" s="752"/>
      <c r="Q27" s="752"/>
      <c r="R27" s="752"/>
      <c r="S27" s="752"/>
      <c r="T27" s="753"/>
      <c r="U27" s="752"/>
      <c r="V27" s="752"/>
      <c r="W27" s="754"/>
      <c r="X27" s="755"/>
      <c r="Y27" s="756"/>
      <c r="Z27" s="757"/>
      <c r="AA27" s="750"/>
    </row>
    <row r="28" spans="1:27">
      <c r="A28" s="326">
        <f t="shared" si="0"/>
        <v>5</v>
      </c>
      <c r="B28" s="729"/>
      <c r="C28" s="45"/>
      <c r="D28" s="46"/>
      <c r="E28" s="47"/>
      <c r="F28" s="126"/>
      <c r="G28" s="167"/>
      <c r="H28" s="167"/>
      <c r="I28" s="154"/>
      <c r="J28" s="707"/>
      <c r="K28" s="151"/>
      <c r="L28" s="705"/>
      <c r="M28" s="79"/>
      <c r="N28" s="158"/>
      <c r="O28" s="150"/>
      <c r="P28" s="752"/>
      <c r="Q28" s="752"/>
      <c r="R28" s="752"/>
      <c r="S28" s="752"/>
      <c r="T28" s="753"/>
      <c r="U28" s="752"/>
      <c r="V28" s="752"/>
      <c r="W28" s="754"/>
      <c r="X28" s="755"/>
      <c r="Y28" s="756"/>
      <c r="Z28" s="757"/>
      <c r="AA28" s="750"/>
    </row>
    <row r="29" spans="1:27">
      <c r="A29" s="326">
        <f t="shared" si="0"/>
        <v>6</v>
      </c>
      <c r="B29" s="729"/>
      <c r="C29" s="45"/>
      <c r="D29" s="46"/>
      <c r="E29" s="47"/>
      <c r="F29" s="126"/>
      <c r="G29" s="167"/>
      <c r="H29" s="167"/>
      <c r="I29" s="154"/>
      <c r="J29" s="707"/>
      <c r="K29" s="151"/>
      <c r="L29" s="705"/>
      <c r="M29" s="79"/>
      <c r="N29" s="158"/>
      <c r="O29" s="150"/>
      <c r="P29" s="752"/>
      <c r="Q29" s="752"/>
      <c r="R29" s="752"/>
      <c r="S29" s="752"/>
      <c r="T29" s="753"/>
      <c r="U29" s="752"/>
      <c r="V29" s="752"/>
      <c r="W29" s="754"/>
      <c r="X29" s="755"/>
      <c r="Y29" s="756"/>
      <c r="Z29" s="757"/>
      <c r="AA29" s="750"/>
    </row>
    <row r="30" spans="1:27">
      <c r="A30" s="326">
        <f t="shared" si="0"/>
        <v>7</v>
      </c>
      <c r="B30" s="729"/>
      <c r="C30" s="45"/>
      <c r="D30" s="46"/>
      <c r="E30" s="47"/>
      <c r="F30" s="126"/>
      <c r="G30" s="167"/>
      <c r="H30" s="167"/>
      <c r="I30" s="154"/>
      <c r="J30" s="707"/>
      <c r="K30" s="151"/>
      <c r="L30" s="705"/>
      <c r="M30" s="79"/>
      <c r="N30" s="158"/>
      <c r="O30" s="150"/>
      <c r="P30" s="752"/>
      <c r="Q30" s="752"/>
      <c r="R30" s="752"/>
      <c r="S30" s="752"/>
      <c r="T30" s="753"/>
      <c r="U30" s="752"/>
      <c r="V30" s="752"/>
      <c r="W30" s="754"/>
      <c r="X30" s="755"/>
      <c r="Y30" s="756"/>
      <c r="Z30" s="757"/>
      <c r="AA30" s="750"/>
    </row>
    <row r="31" spans="1:27">
      <c r="A31" s="326">
        <f t="shared" si="0"/>
        <v>8</v>
      </c>
      <c r="B31" s="729"/>
      <c r="C31" s="45"/>
      <c r="D31" s="46"/>
      <c r="E31" s="47"/>
      <c r="F31" s="126"/>
      <c r="G31" s="167"/>
      <c r="H31" s="167"/>
      <c r="I31" s="154"/>
      <c r="J31" s="707"/>
      <c r="K31" s="151"/>
      <c r="L31" s="705"/>
      <c r="M31" s="79"/>
      <c r="N31" s="158"/>
      <c r="O31" s="150"/>
      <c r="P31" s="752"/>
      <c r="Q31" s="752"/>
      <c r="R31" s="752"/>
      <c r="S31" s="752"/>
      <c r="T31" s="753"/>
      <c r="U31" s="752"/>
      <c r="V31" s="752"/>
      <c r="W31" s="754"/>
      <c r="X31" s="755"/>
      <c r="Y31" s="756"/>
      <c r="Z31" s="757"/>
      <c r="AA31" s="750"/>
    </row>
    <row r="32" spans="1:27">
      <c r="A32" s="326">
        <f t="shared" si="0"/>
        <v>9</v>
      </c>
      <c r="B32" s="729"/>
      <c r="C32" s="45"/>
      <c r="D32" s="46"/>
      <c r="E32" s="47"/>
      <c r="F32" s="126"/>
      <c r="G32" s="167"/>
      <c r="H32" s="167"/>
      <c r="I32" s="154"/>
      <c r="J32" s="707"/>
      <c r="K32" s="151"/>
      <c r="L32" s="705"/>
      <c r="M32" s="79"/>
      <c r="N32" s="158"/>
      <c r="O32" s="150"/>
      <c r="P32" s="752"/>
      <c r="Q32" s="752"/>
      <c r="R32" s="752"/>
      <c r="S32" s="752"/>
      <c r="T32" s="753"/>
      <c r="U32" s="752"/>
      <c r="V32" s="752"/>
      <c r="W32" s="754"/>
      <c r="X32" s="755"/>
      <c r="Y32" s="756"/>
      <c r="Z32" s="757"/>
      <c r="AA32" s="750"/>
    </row>
    <row r="33" spans="1:27">
      <c r="A33" s="326">
        <f t="shared" si="0"/>
        <v>10</v>
      </c>
      <c r="B33" s="729"/>
      <c r="C33" s="45"/>
      <c r="D33" s="46"/>
      <c r="E33" s="47"/>
      <c r="F33" s="126"/>
      <c r="G33" s="167"/>
      <c r="H33" s="167"/>
      <c r="I33" s="154"/>
      <c r="J33" s="707"/>
      <c r="K33" s="151"/>
      <c r="L33" s="705"/>
      <c r="M33" s="79"/>
      <c r="N33" s="158"/>
      <c r="O33" s="150"/>
      <c r="P33" s="752"/>
      <c r="Q33" s="752"/>
      <c r="R33" s="752"/>
      <c r="S33" s="752"/>
      <c r="T33" s="753"/>
      <c r="U33" s="752"/>
      <c r="V33" s="752"/>
      <c r="W33" s="754"/>
      <c r="X33" s="755"/>
      <c r="Y33" s="756"/>
      <c r="Z33" s="757"/>
      <c r="AA33" s="750"/>
    </row>
    <row r="34" spans="1:27">
      <c r="A34" s="326">
        <f t="shared" si="0"/>
        <v>11</v>
      </c>
      <c r="B34" s="729"/>
      <c r="C34" s="45"/>
      <c r="D34" s="46"/>
      <c r="E34" s="47"/>
      <c r="F34" s="126"/>
      <c r="G34" s="167"/>
      <c r="H34" s="167"/>
      <c r="I34" s="154"/>
      <c r="J34" s="707"/>
      <c r="K34" s="151"/>
      <c r="L34" s="577"/>
      <c r="M34" s="79"/>
      <c r="N34" s="158"/>
      <c r="O34" s="150"/>
      <c r="P34" s="752"/>
      <c r="Q34" s="752"/>
      <c r="R34" s="752"/>
      <c r="S34" s="752"/>
      <c r="T34" s="753"/>
      <c r="U34" s="752"/>
      <c r="V34" s="752"/>
      <c r="W34" s="754"/>
      <c r="X34" s="755"/>
      <c r="Y34" s="756"/>
      <c r="Z34" s="757"/>
      <c r="AA34" s="750"/>
    </row>
    <row r="35" spans="1:27">
      <c r="A35" s="326">
        <f t="shared" si="0"/>
        <v>12</v>
      </c>
      <c r="B35" s="729"/>
      <c r="C35" s="45"/>
      <c r="D35" s="46"/>
      <c r="E35" s="47"/>
      <c r="F35" s="126"/>
      <c r="G35" s="167"/>
      <c r="H35" s="167"/>
      <c r="I35" s="154"/>
      <c r="J35" s="707"/>
      <c r="K35" s="151"/>
      <c r="L35" s="577"/>
      <c r="M35" s="79"/>
      <c r="N35" s="158"/>
      <c r="O35" s="150"/>
      <c r="P35" s="752"/>
      <c r="Q35" s="752"/>
      <c r="R35" s="752"/>
      <c r="S35" s="752"/>
      <c r="T35" s="753"/>
      <c r="U35" s="752"/>
      <c r="V35" s="752"/>
      <c r="W35" s="754"/>
      <c r="X35" s="755"/>
      <c r="Y35" s="756"/>
      <c r="Z35" s="757"/>
      <c r="AA35" s="750"/>
    </row>
    <row r="36" spans="1:27">
      <c r="A36" s="326">
        <f t="shared" si="0"/>
        <v>13</v>
      </c>
      <c r="B36" s="729"/>
      <c r="C36" s="45"/>
      <c r="D36" s="46"/>
      <c r="E36" s="47"/>
      <c r="F36" s="126"/>
      <c r="G36" s="167"/>
      <c r="H36" s="167"/>
      <c r="I36" s="154"/>
      <c r="J36" s="707"/>
      <c r="K36" s="151"/>
      <c r="L36" s="577"/>
      <c r="M36" s="79"/>
      <c r="N36" s="158"/>
      <c r="O36" s="150"/>
      <c r="P36" s="752"/>
      <c r="Q36" s="752"/>
      <c r="R36" s="752"/>
      <c r="S36" s="752"/>
      <c r="T36" s="753"/>
      <c r="U36" s="752"/>
      <c r="V36" s="752"/>
      <c r="W36" s="754"/>
      <c r="X36" s="755"/>
      <c r="Y36" s="756"/>
      <c r="Z36" s="757"/>
      <c r="AA36" s="750"/>
    </row>
    <row r="37" spans="1:27">
      <c r="A37" s="326">
        <f t="shared" si="0"/>
        <v>14</v>
      </c>
      <c r="B37" s="729"/>
      <c r="C37" s="45"/>
      <c r="D37" s="46"/>
      <c r="E37" s="47"/>
      <c r="F37" s="126"/>
      <c r="G37" s="167"/>
      <c r="H37" s="167"/>
      <c r="I37" s="154"/>
      <c r="J37" s="707"/>
      <c r="K37" s="151"/>
      <c r="L37" s="577"/>
      <c r="M37" s="79"/>
      <c r="N37" s="158"/>
      <c r="O37" s="150"/>
      <c r="P37" s="752"/>
      <c r="Q37" s="752"/>
      <c r="R37" s="752"/>
      <c r="S37" s="752"/>
      <c r="T37" s="753"/>
      <c r="U37" s="752"/>
      <c r="V37" s="752"/>
      <c r="W37" s="754"/>
      <c r="X37" s="755"/>
      <c r="Y37" s="756"/>
      <c r="Z37" s="757"/>
      <c r="AA37" s="750"/>
    </row>
    <row r="38" spans="1:27">
      <c r="A38" s="326">
        <f t="shared" si="0"/>
        <v>15</v>
      </c>
      <c r="B38" s="729"/>
      <c r="C38" s="45"/>
      <c r="D38" s="46"/>
      <c r="E38" s="47"/>
      <c r="F38" s="126"/>
      <c r="G38" s="167"/>
      <c r="H38" s="167"/>
      <c r="I38" s="154"/>
      <c r="J38" s="707"/>
      <c r="K38" s="151"/>
      <c r="L38" s="577"/>
      <c r="M38" s="79"/>
      <c r="N38" s="158"/>
      <c r="O38" s="150"/>
      <c r="P38" s="752"/>
      <c r="Q38" s="752"/>
      <c r="R38" s="752"/>
      <c r="S38" s="752"/>
      <c r="T38" s="753"/>
      <c r="U38" s="752"/>
      <c r="V38" s="752"/>
      <c r="W38" s="754"/>
      <c r="X38" s="755"/>
      <c r="Y38" s="756"/>
      <c r="Z38" s="757"/>
      <c r="AA38" s="750"/>
    </row>
    <row r="39" spans="1:27">
      <c r="A39" s="326">
        <f t="shared" si="0"/>
        <v>16</v>
      </c>
      <c r="B39" s="729"/>
      <c r="C39" s="45"/>
      <c r="D39" s="46"/>
      <c r="E39" s="47"/>
      <c r="F39" s="126"/>
      <c r="G39" s="167"/>
      <c r="H39" s="167"/>
      <c r="I39" s="154"/>
      <c r="J39" s="707"/>
      <c r="K39" s="151"/>
      <c r="L39" s="577"/>
      <c r="M39" s="79"/>
      <c r="N39" s="158"/>
      <c r="O39" s="150"/>
      <c r="P39" s="752"/>
      <c r="Q39" s="752"/>
      <c r="R39" s="752"/>
      <c r="S39" s="752"/>
      <c r="T39" s="753"/>
      <c r="U39" s="752"/>
      <c r="V39" s="752"/>
      <c r="W39" s="754"/>
      <c r="X39" s="755"/>
      <c r="Y39" s="756"/>
      <c r="Z39" s="757"/>
      <c r="AA39" s="750"/>
    </row>
    <row r="40" spans="1:27">
      <c r="A40" s="326">
        <f t="shared" si="0"/>
        <v>17</v>
      </c>
      <c r="B40" s="729"/>
      <c r="C40" s="45"/>
      <c r="D40" s="46"/>
      <c r="E40" s="47"/>
      <c r="F40" s="126"/>
      <c r="G40" s="167"/>
      <c r="H40" s="167"/>
      <c r="I40" s="154"/>
      <c r="J40" s="707"/>
      <c r="K40" s="151"/>
      <c r="L40" s="577"/>
      <c r="M40" s="79"/>
      <c r="N40" s="158"/>
      <c r="O40" s="150"/>
      <c r="P40" s="752"/>
      <c r="Q40" s="752"/>
      <c r="R40" s="752"/>
      <c r="S40" s="752"/>
      <c r="T40" s="753"/>
      <c r="U40" s="752"/>
      <c r="V40" s="752"/>
      <c r="W40" s="754"/>
      <c r="X40" s="755"/>
      <c r="Y40" s="756"/>
      <c r="Z40" s="757"/>
      <c r="AA40" s="750"/>
    </row>
    <row r="41" spans="1:27">
      <c r="A41" s="326">
        <f t="shared" si="0"/>
        <v>18</v>
      </c>
      <c r="B41" s="729"/>
      <c r="C41" s="45"/>
      <c r="D41" s="46"/>
      <c r="E41" s="47"/>
      <c r="F41" s="126"/>
      <c r="G41" s="167"/>
      <c r="H41" s="167"/>
      <c r="I41" s="154"/>
      <c r="J41" s="707"/>
      <c r="K41" s="151"/>
      <c r="L41" s="577"/>
      <c r="M41" s="79"/>
      <c r="N41" s="158"/>
      <c r="O41" s="150"/>
      <c r="P41" s="752"/>
      <c r="Q41" s="752"/>
      <c r="R41" s="752"/>
      <c r="S41" s="752"/>
      <c r="T41" s="753"/>
      <c r="U41" s="752"/>
      <c r="V41" s="752"/>
      <c r="W41" s="754"/>
      <c r="X41" s="755"/>
      <c r="Y41" s="756"/>
      <c r="Z41" s="757"/>
      <c r="AA41" s="750"/>
    </row>
    <row r="42" spans="1:27">
      <c r="A42" s="326">
        <f t="shared" si="0"/>
        <v>19</v>
      </c>
      <c r="B42" s="729"/>
      <c r="C42" s="45"/>
      <c r="D42" s="46"/>
      <c r="E42" s="47"/>
      <c r="F42" s="126"/>
      <c r="G42" s="167"/>
      <c r="H42" s="167"/>
      <c r="I42" s="154"/>
      <c r="J42" s="707"/>
      <c r="K42" s="151"/>
      <c r="L42" s="577"/>
      <c r="M42" s="79"/>
      <c r="N42" s="158"/>
      <c r="O42" s="150"/>
      <c r="P42" s="752"/>
      <c r="Q42" s="752"/>
      <c r="R42" s="752"/>
      <c r="S42" s="752"/>
      <c r="T42" s="753"/>
      <c r="U42" s="752"/>
      <c r="V42" s="752"/>
      <c r="W42" s="754"/>
      <c r="X42" s="755"/>
      <c r="Y42" s="756"/>
      <c r="Z42" s="757"/>
      <c r="AA42" s="750"/>
    </row>
    <row r="43" spans="1:27">
      <c r="A43" s="326">
        <f t="shared" si="0"/>
        <v>20</v>
      </c>
      <c r="B43" s="729"/>
      <c r="C43" s="45"/>
      <c r="D43" s="46"/>
      <c r="E43" s="47"/>
      <c r="F43" s="126"/>
      <c r="G43" s="167"/>
      <c r="H43" s="167"/>
      <c r="I43" s="154"/>
      <c r="J43" s="707"/>
      <c r="K43" s="151"/>
      <c r="L43" s="577"/>
      <c r="M43" s="79"/>
      <c r="N43" s="158"/>
      <c r="O43" s="150"/>
      <c r="P43" s="752"/>
      <c r="Q43" s="752"/>
      <c r="R43" s="752"/>
      <c r="S43" s="752"/>
      <c r="T43" s="753"/>
      <c r="U43" s="752"/>
      <c r="V43" s="752"/>
      <c r="W43" s="754"/>
      <c r="X43" s="755"/>
      <c r="Y43" s="756"/>
      <c r="Z43" s="757"/>
      <c r="AA43" s="750"/>
    </row>
    <row r="44" spans="1:27">
      <c r="A44" s="326">
        <f t="shared" si="0"/>
        <v>21</v>
      </c>
      <c r="B44" s="729"/>
      <c r="C44" s="45"/>
      <c r="D44" s="46"/>
      <c r="E44" s="47"/>
      <c r="F44" s="126"/>
      <c r="G44" s="167"/>
      <c r="H44" s="167"/>
      <c r="I44" s="154"/>
      <c r="J44" s="707"/>
      <c r="K44" s="151"/>
      <c r="L44" s="577"/>
      <c r="M44" s="79"/>
      <c r="N44" s="158"/>
      <c r="O44" s="150"/>
      <c r="P44" s="752"/>
      <c r="Q44" s="752"/>
      <c r="R44" s="752"/>
      <c r="S44" s="752"/>
      <c r="T44" s="753"/>
      <c r="U44" s="752"/>
      <c r="V44" s="752"/>
      <c r="W44" s="754"/>
      <c r="X44" s="755"/>
      <c r="Y44" s="756"/>
      <c r="Z44" s="757"/>
      <c r="AA44" s="750"/>
    </row>
    <row r="45" spans="1:27">
      <c r="A45" s="326">
        <f t="shared" si="0"/>
        <v>22</v>
      </c>
      <c r="B45" s="729"/>
      <c r="C45" s="45"/>
      <c r="D45" s="46"/>
      <c r="E45" s="47"/>
      <c r="F45" s="126"/>
      <c r="G45" s="167"/>
      <c r="H45" s="167"/>
      <c r="I45" s="154"/>
      <c r="J45" s="707"/>
      <c r="K45" s="151"/>
      <c r="L45" s="577"/>
      <c r="M45" s="79"/>
      <c r="N45" s="158"/>
      <c r="O45" s="150"/>
      <c r="P45" s="752"/>
      <c r="Q45" s="752"/>
      <c r="R45" s="752"/>
      <c r="S45" s="752"/>
      <c r="T45" s="753"/>
      <c r="U45" s="752"/>
      <c r="V45" s="752"/>
      <c r="W45" s="754"/>
      <c r="X45" s="755"/>
      <c r="Y45" s="756"/>
      <c r="Z45" s="757"/>
      <c r="AA45" s="750"/>
    </row>
    <row r="46" spans="1:27">
      <c r="A46" s="326">
        <f t="shared" si="0"/>
        <v>23</v>
      </c>
      <c r="B46" s="729"/>
      <c r="C46" s="45"/>
      <c r="D46" s="46"/>
      <c r="E46" s="47"/>
      <c r="F46" s="126"/>
      <c r="G46" s="167"/>
      <c r="H46" s="167"/>
      <c r="I46" s="154"/>
      <c r="J46" s="707"/>
      <c r="K46" s="151"/>
      <c r="L46" s="577"/>
      <c r="M46" s="79"/>
      <c r="N46" s="158"/>
      <c r="O46" s="150"/>
      <c r="P46" s="752"/>
      <c r="Q46" s="752"/>
      <c r="R46" s="752"/>
      <c r="S46" s="752"/>
      <c r="T46" s="753"/>
      <c r="U46" s="752"/>
      <c r="V46" s="752"/>
      <c r="W46" s="754"/>
      <c r="X46" s="755"/>
      <c r="Y46" s="756"/>
      <c r="Z46" s="757"/>
      <c r="AA46" s="750"/>
    </row>
    <row r="47" spans="1:27">
      <c r="A47" s="326">
        <f t="shared" si="0"/>
        <v>24</v>
      </c>
      <c r="B47" s="729"/>
      <c r="C47" s="45"/>
      <c r="D47" s="46"/>
      <c r="E47" s="47"/>
      <c r="F47" s="126"/>
      <c r="G47" s="167"/>
      <c r="H47" s="167"/>
      <c r="I47" s="154"/>
      <c r="J47" s="707"/>
      <c r="K47" s="151"/>
      <c r="L47" s="577"/>
      <c r="M47" s="79"/>
      <c r="N47" s="158"/>
      <c r="O47" s="150"/>
      <c r="P47" s="752"/>
      <c r="Q47" s="752"/>
      <c r="R47" s="752"/>
      <c r="S47" s="752"/>
      <c r="T47" s="753"/>
      <c r="U47" s="752"/>
      <c r="V47" s="752"/>
      <c r="W47" s="754"/>
      <c r="X47" s="755"/>
      <c r="Y47" s="756"/>
      <c r="Z47" s="757"/>
      <c r="AA47" s="750"/>
    </row>
    <row r="48" spans="1:27">
      <c r="A48" s="326">
        <f t="shared" si="0"/>
        <v>25</v>
      </c>
      <c r="B48" s="729"/>
      <c r="C48" s="45"/>
      <c r="D48" s="46"/>
      <c r="E48" s="47"/>
      <c r="F48" s="126"/>
      <c r="G48" s="167"/>
      <c r="H48" s="167"/>
      <c r="I48" s="154"/>
      <c r="J48" s="707"/>
      <c r="K48" s="151"/>
      <c r="L48" s="577"/>
      <c r="M48" s="79"/>
      <c r="N48" s="158"/>
      <c r="O48" s="150"/>
      <c r="P48" s="752"/>
      <c r="Q48" s="752"/>
      <c r="R48" s="752"/>
      <c r="S48" s="752"/>
      <c r="T48" s="753"/>
      <c r="U48" s="752"/>
      <c r="V48" s="752"/>
      <c r="W48" s="754"/>
      <c r="X48" s="755"/>
      <c r="Y48" s="756"/>
      <c r="Z48" s="757"/>
      <c r="AA48" s="750"/>
    </row>
    <row r="49" spans="1:27">
      <c r="A49" s="326">
        <f t="shared" si="0"/>
        <v>26</v>
      </c>
      <c r="B49" s="729"/>
      <c r="C49" s="45"/>
      <c r="D49" s="46"/>
      <c r="E49" s="47"/>
      <c r="F49" s="126"/>
      <c r="G49" s="167"/>
      <c r="H49" s="167"/>
      <c r="I49" s="154"/>
      <c r="J49" s="707"/>
      <c r="K49" s="151"/>
      <c r="L49" s="577"/>
      <c r="M49" s="79"/>
      <c r="N49" s="158"/>
      <c r="O49" s="150"/>
      <c r="P49" s="752"/>
      <c r="Q49" s="752"/>
      <c r="R49" s="752"/>
      <c r="S49" s="752"/>
      <c r="T49" s="753"/>
      <c r="U49" s="752"/>
      <c r="V49" s="752"/>
      <c r="W49" s="754"/>
      <c r="X49" s="755"/>
      <c r="Y49" s="756"/>
      <c r="Z49" s="757"/>
      <c r="AA49" s="750"/>
    </row>
    <row r="50" spans="1:27">
      <c r="A50" s="326">
        <f t="shared" si="0"/>
        <v>27</v>
      </c>
      <c r="B50" s="729"/>
      <c r="C50" s="45"/>
      <c r="D50" s="46"/>
      <c r="E50" s="47"/>
      <c r="F50" s="126"/>
      <c r="G50" s="167"/>
      <c r="H50" s="167"/>
      <c r="I50" s="154"/>
      <c r="J50" s="707"/>
      <c r="K50" s="151"/>
      <c r="L50" s="577"/>
      <c r="M50" s="79"/>
      <c r="N50" s="158"/>
      <c r="O50" s="150"/>
      <c r="P50" s="752"/>
      <c r="Q50" s="752"/>
      <c r="R50" s="752"/>
      <c r="S50" s="752"/>
      <c r="T50" s="753"/>
      <c r="U50" s="752"/>
      <c r="V50" s="752"/>
      <c r="W50" s="754"/>
      <c r="X50" s="755"/>
      <c r="Y50" s="756"/>
      <c r="Z50" s="757"/>
      <c r="AA50" s="750"/>
    </row>
    <row r="51" spans="1:27">
      <c r="A51" s="326">
        <f t="shared" si="0"/>
        <v>28</v>
      </c>
      <c r="B51" s="729"/>
      <c r="C51" s="45"/>
      <c r="D51" s="46"/>
      <c r="E51" s="47"/>
      <c r="F51" s="126"/>
      <c r="G51" s="167"/>
      <c r="H51" s="167"/>
      <c r="I51" s="154"/>
      <c r="J51" s="707"/>
      <c r="K51" s="151"/>
      <c r="L51" s="577"/>
      <c r="M51" s="79"/>
      <c r="N51" s="158"/>
      <c r="O51" s="150"/>
      <c r="P51" s="752"/>
      <c r="Q51" s="752"/>
      <c r="R51" s="752"/>
      <c r="S51" s="752"/>
      <c r="T51" s="753"/>
      <c r="U51" s="752"/>
      <c r="V51" s="752"/>
      <c r="W51" s="754"/>
      <c r="X51" s="755"/>
      <c r="Y51" s="756"/>
      <c r="Z51" s="757"/>
      <c r="AA51" s="750"/>
    </row>
    <row r="52" spans="1:27">
      <c r="A52" s="326">
        <f t="shared" si="0"/>
        <v>29</v>
      </c>
      <c r="B52" s="729"/>
      <c r="C52" s="45"/>
      <c r="D52" s="46"/>
      <c r="E52" s="47"/>
      <c r="F52" s="126"/>
      <c r="G52" s="167"/>
      <c r="H52" s="167"/>
      <c r="I52" s="154"/>
      <c r="J52" s="707"/>
      <c r="K52" s="151"/>
      <c r="L52" s="577"/>
      <c r="M52" s="79"/>
      <c r="N52" s="158"/>
      <c r="O52" s="150"/>
      <c r="P52" s="752"/>
      <c r="Q52" s="752"/>
      <c r="R52" s="752"/>
      <c r="S52" s="752"/>
      <c r="T52" s="753"/>
      <c r="U52" s="752"/>
      <c r="V52" s="752"/>
      <c r="W52" s="754"/>
      <c r="X52" s="755"/>
      <c r="Y52" s="756"/>
      <c r="Z52" s="757"/>
      <c r="AA52" s="750"/>
    </row>
    <row r="53" spans="1:27">
      <c r="A53" s="326">
        <f t="shared" si="0"/>
        <v>30</v>
      </c>
      <c r="B53" s="729"/>
      <c r="C53" s="45"/>
      <c r="D53" s="46"/>
      <c r="E53" s="47"/>
      <c r="F53" s="126"/>
      <c r="G53" s="167"/>
      <c r="H53" s="167"/>
      <c r="I53" s="154"/>
      <c r="J53" s="707"/>
      <c r="K53" s="151"/>
      <c r="L53" s="577"/>
      <c r="M53" s="79"/>
      <c r="N53" s="158"/>
      <c r="O53" s="150"/>
      <c r="P53" s="752"/>
      <c r="Q53" s="752"/>
      <c r="R53" s="752"/>
      <c r="S53" s="752"/>
      <c r="T53" s="753"/>
      <c r="U53" s="752"/>
      <c r="V53" s="752"/>
      <c r="W53" s="754"/>
      <c r="X53" s="755"/>
      <c r="Y53" s="756"/>
      <c r="Z53" s="757"/>
      <c r="AA53" s="750"/>
    </row>
    <row r="54" spans="1:27">
      <c r="A54" s="326">
        <f t="shared" si="0"/>
        <v>31</v>
      </c>
      <c r="B54" s="729"/>
      <c r="C54" s="45"/>
      <c r="D54" s="46"/>
      <c r="E54" s="47"/>
      <c r="F54" s="126"/>
      <c r="G54" s="167"/>
      <c r="H54" s="167"/>
      <c r="I54" s="154"/>
      <c r="J54" s="707"/>
      <c r="K54" s="151"/>
      <c r="L54" s="577"/>
      <c r="M54" s="79"/>
      <c r="N54" s="158"/>
      <c r="O54" s="150"/>
      <c r="P54" s="752"/>
      <c r="Q54" s="752"/>
      <c r="R54" s="752"/>
      <c r="S54" s="752"/>
      <c r="T54" s="753"/>
      <c r="U54" s="752"/>
      <c r="V54" s="752"/>
      <c r="W54" s="754"/>
      <c r="X54" s="755"/>
      <c r="Y54" s="756"/>
      <c r="Z54" s="757"/>
      <c r="AA54" s="750"/>
    </row>
    <row r="55" spans="1:27">
      <c r="A55" s="326">
        <f t="shared" si="0"/>
        <v>32</v>
      </c>
      <c r="B55" s="729"/>
      <c r="C55" s="45"/>
      <c r="D55" s="46"/>
      <c r="E55" s="47"/>
      <c r="F55" s="126"/>
      <c r="G55" s="167"/>
      <c r="H55" s="167"/>
      <c r="I55" s="154"/>
      <c r="J55" s="707"/>
      <c r="K55" s="151"/>
      <c r="L55" s="577"/>
      <c r="M55" s="79"/>
      <c r="N55" s="158"/>
      <c r="O55" s="150"/>
      <c r="P55" s="752"/>
      <c r="Q55" s="752"/>
      <c r="R55" s="752"/>
      <c r="S55" s="752"/>
      <c r="T55" s="753"/>
      <c r="U55" s="752"/>
      <c r="V55" s="752"/>
      <c r="W55" s="754"/>
      <c r="X55" s="755"/>
      <c r="Y55" s="756"/>
      <c r="Z55" s="757"/>
      <c r="AA55" s="750"/>
    </row>
    <row r="56" spans="1:27">
      <c r="A56" s="326">
        <f t="shared" si="0"/>
        <v>33</v>
      </c>
      <c r="B56" s="729"/>
      <c r="C56" s="45"/>
      <c r="D56" s="46"/>
      <c r="E56" s="47"/>
      <c r="F56" s="126"/>
      <c r="G56" s="167"/>
      <c r="H56" s="167"/>
      <c r="I56" s="154"/>
      <c r="J56" s="707"/>
      <c r="K56" s="151"/>
      <c r="L56" s="577"/>
      <c r="M56" s="79"/>
      <c r="N56" s="158"/>
      <c r="O56" s="150"/>
      <c r="P56" s="752"/>
      <c r="Q56" s="752"/>
      <c r="R56" s="752"/>
      <c r="S56" s="752"/>
      <c r="T56" s="753"/>
      <c r="U56" s="752"/>
      <c r="V56" s="752"/>
      <c r="W56" s="754"/>
      <c r="X56" s="755"/>
      <c r="Y56" s="756"/>
      <c r="Z56" s="757"/>
      <c r="AA56" s="750"/>
    </row>
    <row r="57" spans="1:27">
      <c r="A57" s="326">
        <f t="shared" si="0"/>
        <v>34</v>
      </c>
      <c r="B57" s="729"/>
      <c r="C57" s="45"/>
      <c r="D57" s="46"/>
      <c r="E57" s="47"/>
      <c r="F57" s="126"/>
      <c r="G57" s="167"/>
      <c r="H57" s="167"/>
      <c r="I57" s="154"/>
      <c r="J57" s="707"/>
      <c r="K57" s="151"/>
      <c r="L57" s="577"/>
      <c r="M57" s="79"/>
      <c r="N57" s="158"/>
      <c r="O57" s="150"/>
      <c r="P57" s="752"/>
      <c r="Q57" s="752"/>
      <c r="R57" s="752"/>
      <c r="S57" s="752"/>
      <c r="T57" s="753"/>
      <c r="U57" s="752"/>
      <c r="V57" s="752"/>
      <c r="W57" s="754"/>
      <c r="X57" s="755"/>
      <c r="Y57" s="756"/>
      <c r="Z57" s="757"/>
      <c r="AA57" s="750"/>
    </row>
    <row r="58" spans="1:27">
      <c r="A58" s="326">
        <f t="shared" ref="A58:A121" si="1">+A57+1</f>
        <v>35</v>
      </c>
      <c r="B58" s="729"/>
      <c r="C58" s="45"/>
      <c r="D58" s="46"/>
      <c r="E58" s="47"/>
      <c r="F58" s="126"/>
      <c r="G58" s="167"/>
      <c r="H58" s="167"/>
      <c r="I58" s="154"/>
      <c r="J58" s="707"/>
      <c r="K58" s="151"/>
      <c r="L58" s="577"/>
      <c r="M58" s="79"/>
      <c r="N58" s="158"/>
      <c r="O58" s="150"/>
      <c r="P58" s="752"/>
      <c r="Q58" s="752"/>
      <c r="R58" s="752"/>
      <c r="S58" s="752"/>
      <c r="T58" s="753"/>
      <c r="U58" s="752"/>
      <c r="V58" s="752"/>
      <c r="W58" s="754"/>
      <c r="X58" s="755"/>
      <c r="Y58" s="756"/>
      <c r="Z58" s="757"/>
      <c r="AA58" s="750"/>
    </row>
    <row r="59" spans="1:27">
      <c r="A59" s="326">
        <f t="shared" si="1"/>
        <v>36</v>
      </c>
      <c r="B59" s="729"/>
      <c r="C59" s="45"/>
      <c r="D59" s="46"/>
      <c r="E59" s="47"/>
      <c r="F59" s="126"/>
      <c r="G59" s="167"/>
      <c r="H59" s="167"/>
      <c r="I59" s="154"/>
      <c r="J59" s="707"/>
      <c r="K59" s="151"/>
      <c r="L59" s="577"/>
      <c r="M59" s="79"/>
      <c r="N59" s="158"/>
      <c r="O59" s="150"/>
      <c r="P59" s="752"/>
      <c r="Q59" s="752"/>
      <c r="R59" s="752"/>
      <c r="S59" s="752"/>
      <c r="T59" s="753"/>
      <c r="U59" s="752"/>
      <c r="V59" s="752"/>
      <c r="W59" s="754"/>
      <c r="X59" s="755"/>
      <c r="Y59" s="756"/>
      <c r="Z59" s="757"/>
      <c r="AA59" s="750"/>
    </row>
    <row r="60" spans="1:27">
      <c r="A60" s="326">
        <f t="shared" si="1"/>
        <v>37</v>
      </c>
      <c r="B60" s="729"/>
      <c r="C60" s="45"/>
      <c r="D60" s="46"/>
      <c r="E60" s="47"/>
      <c r="F60" s="126"/>
      <c r="G60" s="167"/>
      <c r="H60" s="167"/>
      <c r="I60" s="154"/>
      <c r="J60" s="707"/>
      <c r="K60" s="151"/>
      <c r="L60" s="577"/>
      <c r="M60" s="79"/>
      <c r="N60" s="158"/>
      <c r="O60" s="150"/>
      <c r="P60" s="752"/>
      <c r="Q60" s="752"/>
      <c r="R60" s="752"/>
      <c r="S60" s="752"/>
      <c r="T60" s="753"/>
      <c r="U60" s="752"/>
      <c r="V60" s="752"/>
      <c r="W60" s="754"/>
      <c r="X60" s="755"/>
      <c r="Y60" s="756"/>
      <c r="Z60" s="757"/>
      <c r="AA60" s="750"/>
    </row>
    <row r="61" spans="1:27">
      <c r="A61" s="326">
        <f t="shared" si="1"/>
        <v>38</v>
      </c>
      <c r="B61" s="729"/>
      <c r="C61" s="45"/>
      <c r="D61" s="46"/>
      <c r="E61" s="47"/>
      <c r="F61" s="126"/>
      <c r="G61" s="167"/>
      <c r="H61" s="167"/>
      <c r="I61" s="154"/>
      <c r="J61" s="707"/>
      <c r="K61" s="151"/>
      <c r="L61" s="577"/>
      <c r="M61" s="79"/>
      <c r="N61" s="158"/>
      <c r="O61" s="150"/>
      <c r="P61" s="752"/>
      <c r="Q61" s="752"/>
      <c r="R61" s="752"/>
      <c r="S61" s="752"/>
      <c r="T61" s="753"/>
      <c r="U61" s="752"/>
      <c r="V61" s="752"/>
      <c r="W61" s="754"/>
      <c r="X61" s="755"/>
      <c r="Y61" s="756"/>
      <c r="Z61" s="757"/>
      <c r="AA61" s="750"/>
    </row>
    <row r="62" spans="1:27">
      <c r="A62" s="326">
        <f t="shared" si="1"/>
        <v>39</v>
      </c>
      <c r="B62" s="729"/>
      <c r="C62" s="45"/>
      <c r="D62" s="46"/>
      <c r="E62" s="47"/>
      <c r="F62" s="126"/>
      <c r="G62" s="167"/>
      <c r="H62" s="167"/>
      <c r="I62" s="154"/>
      <c r="J62" s="707"/>
      <c r="K62" s="151"/>
      <c r="L62" s="577"/>
      <c r="M62" s="79"/>
      <c r="N62" s="158"/>
      <c r="O62" s="150"/>
      <c r="P62" s="752"/>
      <c r="Q62" s="752"/>
      <c r="R62" s="752"/>
      <c r="S62" s="752"/>
      <c r="T62" s="753"/>
      <c r="U62" s="752"/>
      <c r="V62" s="752"/>
      <c r="W62" s="754"/>
      <c r="X62" s="755"/>
      <c r="Y62" s="756"/>
      <c r="Z62" s="757"/>
      <c r="AA62" s="750"/>
    </row>
    <row r="63" spans="1:27">
      <c r="A63" s="326">
        <f t="shared" si="1"/>
        <v>40</v>
      </c>
      <c r="B63" s="729"/>
      <c r="C63" s="45"/>
      <c r="D63" s="46"/>
      <c r="E63" s="47"/>
      <c r="F63" s="126"/>
      <c r="G63" s="167"/>
      <c r="H63" s="167"/>
      <c r="I63" s="154"/>
      <c r="J63" s="707"/>
      <c r="K63" s="151"/>
      <c r="L63" s="577"/>
      <c r="M63" s="79"/>
      <c r="N63" s="158"/>
      <c r="O63" s="150"/>
      <c r="P63" s="752"/>
      <c r="Q63" s="752"/>
      <c r="R63" s="752"/>
      <c r="S63" s="752"/>
      <c r="T63" s="753"/>
      <c r="U63" s="752"/>
      <c r="V63" s="752"/>
      <c r="W63" s="754"/>
      <c r="X63" s="755"/>
      <c r="Y63" s="756"/>
      <c r="Z63" s="757"/>
      <c r="AA63" s="750"/>
    </row>
    <row r="64" spans="1:27">
      <c r="A64" s="326">
        <f t="shared" si="1"/>
        <v>41</v>
      </c>
      <c r="B64" s="729"/>
      <c r="C64" s="45"/>
      <c r="D64" s="46"/>
      <c r="E64" s="47"/>
      <c r="F64" s="126"/>
      <c r="G64" s="167"/>
      <c r="H64" s="167"/>
      <c r="I64" s="154"/>
      <c r="J64" s="707"/>
      <c r="K64" s="151"/>
      <c r="L64" s="577"/>
      <c r="M64" s="79"/>
      <c r="N64" s="158"/>
      <c r="O64" s="150"/>
      <c r="P64" s="752"/>
      <c r="Q64" s="752"/>
      <c r="R64" s="752"/>
      <c r="S64" s="752"/>
      <c r="T64" s="753"/>
      <c r="U64" s="752"/>
      <c r="V64" s="752"/>
      <c r="W64" s="754"/>
      <c r="X64" s="755"/>
      <c r="Y64" s="756"/>
      <c r="Z64" s="757"/>
      <c r="AA64" s="750"/>
    </row>
    <row r="65" spans="1:27">
      <c r="A65" s="326">
        <f t="shared" si="1"/>
        <v>42</v>
      </c>
      <c r="B65" s="729"/>
      <c r="C65" s="45"/>
      <c r="D65" s="46"/>
      <c r="E65" s="47"/>
      <c r="F65" s="126"/>
      <c r="G65" s="167"/>
      <c r="H65" s="167"/>
      <c r="I65" s="154"/>
      <c r="J65" s="707"/>
      <c r="K65" s="151"/>
      <c r="L65" s="577"/>
      <c r="M65" s="79"/>
      <c r="N65" s="158"/>
      <c r="O65" s="150"/>
      <c r="P65" s="752"/>
      <c r="Q65" s="752"/>
      <c r="R65" s="752"/>
      <c r="S65" s="752"/>
      <c r="T65" s="753"/>
      <c r="U65" s="752"/>
      <c r="V65" s="752"/>
      <c r="W65" s="754"/>
      <c r="X65" s="755"/>
      <c r="Y65" s="756"/>
      <c r="Z65" s="757"/>
      <c r="AA65" s="750"/>
    </row>
    <row r="66" spans="1:27">
      <c r="A66" s="326">
        <f t="shared" si="1"/>
        <v>43</v>
      </c>
      <c r="B66" s="729"/>
      <c r="C66" s="45"/>
      <c r="D66" s="46"/>
      <c r="E66" s="47"/>
      <c r="F66" s="126"/>
      <c r="G66" s="167"/>
      <c r="H66" s="167"/>
      <c r="I66" s="154"/>
      <c r="J66" s="707"/>
      <c r="K66" s="151"/>
      <c r="L66" s="577"/>
      <c r="M66" s="79"/>
      <c r="N66" s="158"/>
      <c r="O66" s="150"/>
      <c r="P66" s="752"/>
      <c r="Q66" s="752"/>
      <c r="R66" s="752"/>
      <c r="S66" s="752"/>
      <c r="T66" s="753"/>
      <c r="U66" s="752"/>
      <c r="V66" s="752"/>
      <c r="W66" s="754"/>
      <c r="X66" s="755"/>
      <c r="Y66" s="756"/>
      <c r="Z66" s="757"/>
      <c r="AA66" s="750"/>
    </row>
    <row r="67" spans="1:27">
      <c r="A67" s="326">
        <f t="shared" si="1"/>
        <v>44</v>
      </c>
      <c r="B67" s="729"/>
      <c r="C67" s="45"/>
      <c r="D67" s="46"/>
      <c r="E67" s="47"/>
      <c r="F67" s="126"/>
      <c r="G67" s="167"/>
      <c r="H67" s="167"/>
      <c r="I67" s="154"/>
      <c r="J67" s="707"/>
      <c r="K67" s="151"/>
      <c r="L67" s="577"/>
      <c r="M67" s="79"/>
      <c r="N67" s="158"/>
      <c r="O67" s="150"/>
      <c r="P67" s="752"/>
      <c r="Q67" s="752"/>
      <c r="R67" s="752"/>
      <c r="S67" s="752"/>
      <c r="T67" s="753"/>
      <c r="U67" s="752"/>
      <c r="V67" s="752"/>
      <c r="W67" s="754"/>
      <c r="X67" s="755"/>
      <c r="Y67" s="756"/>
      <c r="Z67" s="757"/>
      <c r="AA67" s="750"/>
    </row>
    <row r="68" spans="1:27">
      <c r="A68" s="326">
        <f t="shared" si="1"/>
        <v>45</v>
      </c>
      <c r="B68" s="729"/>
      <c r="C68" s="45"/>
      <c r="D68" s="46"/>
      <c r="E68" s="47"/>
      <c r="F68" s="126"/>
      <c r="G68" s="167"/>
      <c r="H68" s="167"/>
      <c r="I68" s="154"/>
      <c r="J68" s="707"/>
      <c r="K68" s="151"/>
      <c r="L68" s="577"/>
      <c r="M68" s="79"/>
      <c r="N68" s="158"/>
      <c r="O68" s="150"/>
      <c r="P68" s="752"/>
      <c r="Q68" s="752"/>
      <c r="R68" s="752"/>
      <c r="S68" s="752"/>
      <c r="T68" s="753"/>
      <c r="U68" s="752"/>
      <c r="V68" s="752"/>
      <c r="W68" s="754"/>
      <c r="X68" s="755"/>
      <c r="Y68" s="756"/>
      <c r="Z68" s="757"/>
      <c r="AA68" s="750"/>
    </row>
    <row r="69" spans="1:27">
      <c r="A69" s="326">
        <f t="shared" si="1"/>
        <v>46</v>
      </c>
      <c r="B69" s="729"/>
      <c r="C69" s="45"/>
      <c r="D69" s="46"/>
      <c r="E69" s="47"/>
      <c r="F69" s="126"/>
      <c r="G69" s="167"/>
      <c r="H69" s="167"/>
      <c r="I69" s="154"/>
      <c r="J69" s="707"/>
      <c r="K69" s="151"/>
      <c r="L69" s="577"/>
      <c r="M69" s="79"/>
      <c r="N69" s="158"/>
      <c r="O69" s="150"/>
      <c r="P69" s="752"/>
      <c r="Q69" s="752"/>
      <c r="R69" s="752"/>
      <c r="S69" s="752"/>
      <c r="T69" s="753"/>
      <c r="U69" s="752"/>
      <c r="V69" s="752"/>
      <c r="W69" s="754"/>
      <c r="X69" s="755"/>
      <c r="Y69" s="756"/>
      <c r="Z69" s="757"/>
      <c r="AA69" s="750"/>
    </row>
    <row r="70" spans="1:27">
      <c r="A70" s="326">
        <f t="shared" si="1"/>
        <v>47</v>
      </c>
      <c r="B70" s="729"/>
      <c r="C70" s="45"/>
      <c r="D70" s="46"/>
      <c r="E70" s="47"/>
      <c r="F70" s="126"/>
      <c r="G70" s="167"/>
      <c r="H70" s="167"/>
      <c r="I70" s="154"/>
      <c r="J70" s="707"/>
      <c r="K70" s="151"/>
      <c r="L70" s="577"/>
      <c r="M70" s="79"/>
      <c r="N70" s="158"/>
      <c r="O70" s="150"/>
      <c r="P70" s="752"/>
      <c r="Q70" s="752"/>
      <c r="R70" s="752"/>
      <c r="S70" s="752"/>
      <c r="T70" s="753"/>
      <c r="U70" s="752"/>
      <c r="V70" s="752"/>
      <c r="W70" s="754"/>
      <c r="X70" s="755"/>
      <c r="Y70" s="756"/>
      <c r="Z70" s="757"/>
      <c r="AA70" s="750"/>
    </row>
    <row r="71" spans="1:27">
      <c r="A71" s="326">
        <f t="shared" si="1"/>
        <v>48</v>
      </c>
      <c r="B71" s="729"/>
      <c r="C71" s="45"/>
      <c r="D71" s="46"/>
      <c r="E71" s="47"/>
      <c r="F71" s="126"/>
      <c r="G71" s="167"/>
      <c r="H71" s="167"/>
      <c r="I71" s="154"/>
      <c r="J71" s="707"/>
      <c r="K71" s="151"/>
      <c r="L71" s="577"/>
      <c r="M71" s="79"/>
      <c r="N71" s="158"/>
      <c r="O71" s="150"/>
      <c r="P71" s="752"/>
      <c r="Q71" s="752"/>
      <c r="R71" s="752"/>
      <c r="S71" s="752"/>
      <c r="T71" s="753"/>
      <c r="U71" s="752"/>
      <c r="V71" s="752"/>
      <c r="W71" s="754"/>
      <c r="X71" s="755"/>
      <c r="Y71" s="756"/>
      <c r="Z71" s="757"/>
      <c r="AA71" s="750"/>
    </row>
    <row r="72" spans="1:27">
      <c r="A72" s="326">
        <f t="shared" si="1"/>
        <v>49</v>
      </c>
      <c r="B72" s="729"/>
      <c r="C72" s="45"/>
      <c r="D72" s="46"/>
      <c r="E72" s="47"/>
      <c r="F72" s="126"/>
      <c r="G72" s="167"/>
      <c r="H72" s="167"/>
      <c r="I72" s="154"/>
      <c r="J72" s="707"/>
      <c r="K72" s="151"/>
      <c r="L72" s="577"/>
      <c r="M72" s="79"/>
      <c r="N72" s="158"/>
      <c r="O72" s="150"/>
      <c r="P72" s="752"/>
      <c r="Q72" s="752"/>
      <c r="R72" s="752"/>
      <c r="S72" s="752"/>
      <c r="T72" s="753"/>
      <c r="U72" s="752"/>
      <c r="V72" s="752"/>
      <c r="W72" s="754"/>
      <c r="X72" s="755"/>
      <c r="Y72" s="756"/>
      <c r="Z72" s="757"/>
      <c r="AA72" s="750"/>
    </row>
    <row r="73" spans="1:27">
      <c r="A73" s="326">
        <f t="shared" si="1"/>
        <v>50</v>
      </c>
      <c r="B73" s="729"/>
      <c r="C73" s="45"/>
      <c r="D73" s="46"/>
      <c r="E73" s="47"/>
      <c r="F73" s="126"/>
      <c r="G73" s="167"/>
      <c r="H73" s="167"/>
      <c r="I73" s="154"/>
      <c r="J73" s="707"/>
      <c r="K73" s="151"/>
      <c r="L73" s="577"/>
      <c r="M73" s="79"/>
      <c r="N73" s="158"/>
      <c r="O73" s="150"/>
      <c r="P73" s="752"/>
      <c r="Q73" s="752"/>
      <c r="R73" s="752"/>
      <c r="S73" s="752"/>
      <c r="T73" s="753"/>
      <c r="U73" s="752"/>
      <c r="V73" s="752"/>
      <c r="W73" s="754"/>
      <c r="X73" s="755"/>
      <c r="Y73" s="756"/>
      <c r="Z73" s="757"/>
      <c r="AA73" s="750"/>
    </row>
    <row r="74" spans="1:27">
      <c r="A74" s="326">
        <f t="shared" si="1"/>
        <v>51</v>
      </c>
      <c r="B74" s="729"/>
      <c r="C74" s="45"/>
      <c r="D74" s="46"/>
      <c r="E74" s="47"/>
      <c r="F74" s="126"/>
      <c r="G74" s="167"/>
      <c r="H74" s="167"/>
      <c r="I74" s="154"/>
      <c r="J74" s="707"/>
      <c r="K74" s="151"/>
      <c r="L74" s="577"/>
      <c r="M74" s="79"/>
      <c r="N74" s="158"/>
      <c r="O74" s="150"/>
      <c r="P74" s="752"/>
      <c r="Q74" s="752"/>
      <c r="R74" s="752"/>
      <c r="S74" s="752"/>
      <c r="T74" s="753"/>
      <c r="U74" s="752"/>
      <c r="V74" s="752"/>
      <c r="W74" s="754"/>
      <c r="X74" s="755"/>
      <c r="Y74" s="756"/>
      <c r="Z74" s="757"/>
      <c r="AA74" s="750"/>
    </row>
    <row r="75" spans="1:27">
      <c r="A75" s="326">
        <f t="shared" si="1"/>
        <v>52</v>
      </c>
      <c r="B75" s="729"/>
      <c r="C75" s="45"/>
      <c r="D75" s="46"/>
      <c r="E75" s="47"/>
      <c r="F75" s="126"/>
      <c r="G75" s="167"/>
      <c r="H75" s="167"/>
      <c r="I75" s="154"/>
      <c r="J75" s="707"/>
      <c r="K75" s="151"/>
      <c r="L75" s="577"/>
      <c r="M75" s="79"/>
      <c r="N75" s="158"/>
      <c r="O75" s="150"/>
      <c r="P75" s="752"/>
      <c r="Q75" s="752"/>
      <c r="R75" s="752"/>
      <c r="S75" s="752"/>
      <c r="T75" s="753"/>
      <c r="U75" s="752"/>
      <c r="V75" s="752"/>
      <c r="W75" s="754"/>
      <c r="X75" s="755"/>
      <c r="Y75" s="756"/>
      <c r="Z75" s="757"/>
      <c r="AA75" s="750"/>
    </row>
    <row r="76" spans="1:27">
      <c r="A76" s="326">
        <f t="shared" si="1"/>
        <v>53</v>
      </c>
      <c r="B76" s="729"/>
      <c r="C76" s="45"/>
      <c r="D76" s="46"/>
      <c r="E76" s="47"/>
      <c r="F76" s="126"/>
      <c r="G76" s="167"/>
      <c r="H76" s="167"/>
      <c r="I76" s="154"/>
      <c r="J76" s="707"/>
      <c r="K76" s="151"/>
      <c r="L76" s="577"/>
      <c r="M76" s="79"/>
      <c r="N76" s="158"/>
      <c r="O76" s="150"/>
      <c r="P76" s="752"/>
      <c r="Q76" s="752"/>
      <c r="R76" s="752"/>
      <c r="S76" s="752"/>
      <c r="T76" s="753"/>
      <c r="U76" s="752"/>
      <c r="V76" s="752"/>
      <c r="W76" s="754"/>
      <c r="X76" s="755"/>
      <c r="Y76" s="756"/>
      <c r="Z76" s="757"/>
      <c r="AA76" s="750"/>
    </row>
    <row r="77" spans="1:27">
      <c r="A77" s="326">
        <f t="shared" si="1"/>
        <v>54</v>
      </c>
      <c r="B77" s="729"/>
      <c r="C77" s="45"/>
      <c r="D77" s="46"/>
      <c r="E77" s="47"/>
      <c r="F77" s="126"/>
      <c r="G77" s="167"/>
      <c r="H77" s="167"/>
      <c r="I77" s="154"/>
      <c r="J77" s="707"/>
      <c r="K77" s="151"/>
      <c r="L77" s="577"/>
      <c r="M77" s="79"/>
      <c r="N77" s="158"/>
      <c r="O77" s="150"/>
      <c r="P77" s="752"/>
      <c r="Q77" s="752"/>
      <c r="R77" s="752"/>
      <c r="S77" s="752"/>
      <c r="T77" s="753"/>
      <c r="U77" s="752"/>
      <c r="V77" s="752"/>
      <c r="W77" s="754"/>
      <c r="X77" s="755"/>
      <c r="Y77" s="756"/>
      <c r="Z77" s="757"/>
      <c r="AA77" s="750"/>
    </row>
    <row r="78" spans="1:27">
      <c r="A78" s="326">
        <f t="shared" si="1"/>
        <v>55</v>
      </c>
      <c r="B78" s="729"/>
      <c r="C78" s="45"/>
      <c r="D78" s="46"/>
      <c r="E78" s="47"/>
      <c r="F78" s="126"/>
      <c r="G78" s="167"/>
      <c r="H78" s="167"/>
      <c r="I78" s="154"/>
      <c r="J78" s="707"/>
      <c r="K78" s="151"/>
      <c r="L78" s="577"/>
      <c r="M78" s="79"/>
      <c r="N78" s="158"/>
      <c r="O78" s="150"/>
      <c r="P78" s="752"/>
      <c r="Q78" s="752"/>
      <c r="R78" s="752"/>
      <c r="S78" s="752"/>
      <c r="T78" s="753"/>
      <c r="U78" s="752"/>
      <c r="V78" s="752"/>
      <c r="W78" s="754"/>
      <c r="X78" s="755"/>
      <c r="Y78" s="756"/>
      <c r="Z78" s="757"/>
      <c r="AA78" s="750"/>
    </row>
    <row r="79" spans="1:27">
      <c r="A79" s="326">
        <f t="shared" si="1"/>
        <v>56</v>
      </c>
      <c r="B79" s="729"/>
      <c r="C79" s="45"/>
      <c r="D79" s="46"/>
      <c r="E79" s="47"/>
      <c r="F79" s="126"/>
      <c r="G79" s="167"/>
      <c r="H79" s="167"/>
      <c r="I79" s="154"/>
      <c r="J79" s="707"/>
      <c r="K79" s="151"/>
      <c r="L79" s="577"/>
      <c r="M79" s="79"/>
      <c r="N79" s="158"/>
      <c r="O79" s="150"/>
      <c r="P79" s="752"/>
      <c r="Q79" s="752"/>
      <c r="R79" s="752"/>
      <c r="S79" s="752"/>
      <c r="T79" s="753"/>
      <c r="U79" s="752"/>
      <c r="V79" s="752"/>
      <c r="W79" s="754"/>
      <c r="X79" s="755"/>
      <c r="Y79" s="756"/>
      <c r="Z79" s="757"/>
      <c r="AA79" s="750"/>
    </row>
    <row r="80" spans="1:27">
      <c r="A80" s="326">
        <f t="shared" si="1"/>
        <v>57</v>
      </c>
      <c r="B80" s="729"/>
      <c r="C80" s="45"/>
      <c r="D80" s="46"/>
      <c r="E80" s="47"/>
      <c r="F80" s="126"/>
      <c r="G80" s="167"/>
      <c r="H80" s="167"/>
      <c r="I80" s="154"/>
      <c r="J80" s="707"/>
      <c r="K80" s="151"/>
      <c r="L80" s="577"/>
      <c r="M80" s="79"/>
      <c r="N80" s="158"/>
      <c r="O80" s="150"/>
      <c r="P80" s="752"/>
      <c r="Q80" s="752"/>
      <c r="R80" s="752"/>
      <c r="S80" s="752"/>
      <c r="T80" s="753"/>
      <c r="U80" s="752"/>
      <c r="V80" s="752"/>
      <c r="W80" s="754"/>
      <c r="X80" s="755"/>
      <c r="Y80" s="756"/>
      <c r="Z80" s="757"/>
      <c r="AA80" s="750"/>
    </row>
    <row r="81" spans="1:27">
      <c r="A81" s="326">
        <f t="shared" si="1"/>
        <v>58</v>
      </c>
      <c r="B81" s="729"/>
      <c r="C81" s="45"/>
      <c r="D81" s="46"/>
      <c r="E81" s="47"/>
      <c r="F81" s="126"/>
      <c r="G81" s="167"/>
      <c r="H81" s="167"/>
      <c r="I81" s="154"/>
      <c r="J81" s="707"/>
      <c r="K81" s="151"/>
      <c r="L81" s="577"/>
      <c r="M81" s="79"/>
      <c r="N81" s="158"/>
      <c r="O81" s="150"/>
      <c r="P81" s="752"/>
      <c r="Q81" s="752"/>
      <c r="R81" s="752"/>
      <c r="S81" s="752"/>
      <c r="T81" s="753"/>
      <c r="U81" s="752"/>
      <c r="V81" s="752"/>
      <c r="W81" s="754"/>
      <c r="X81" s="755"/>
      <c r="Y81" s="756"/>
      <c r="Z81" s="757"/>
      <c r="AA81" s="750"/>
    </row>
    <row r="82" spans="1:27">
      <c r="A82" s="326">
        <f t="shared" si="1"/>
        <v>59</v>
      </c>
      <c r="B82" s="295"/>
      <c r="C82" s="45"/>
      <c r="D82" s="46"/>
      <c r="E82" s="47"/>
      <c r="F82" s="126"/>
      <c r="G82" s="167"/>
      <c r="H82" s="167"/>
      <c r="I82" s="154"/>
      <c r="J82" s="707"/>
      <c r="K82" s="151"/>
      <c r="L82" s="577"/>
      <c r="M82" s="79"/>
      <c r="N82" s="158"/>
      <c r="O82" s="150"/>
      <c r="P82" s="752"/>
      <c r="Q82" s="752"/>
      <c r="R82" s="752"/>
      <c r="S82" s="752"/>
      <c r="T82" s="753"/>
      <c r="U82" s="752"/>
      <c r="V82" s="752"/>
      <c r="W82" s="754"/>
      <c r="X82" s="755"/>
      <c r="Y82" s="756"/>
      <c r="Z82" s="757"/>
      <c r="AA82" s="750"/>
    </row>
    <row r="83" spans="1:27">
      <c r="A83" s="326">
        <f t="shared" si="1"/>
        <v>60</v>
      </c>
      <c r="B83" s="295"/>
      <c r="C83" s="45"/>
      <c r="D83" s="46"/>
      <c r="E83" s="47"/>
      <c r="F83" s="126"/>
      <c r="G83" s="167"/>
      <c r="H83" s="167"/>
      <c r="I83" s="154"/>
      <c r="J83" s="707"/>
      <c r="K83" s="151"/>
      <c r="L83" s="577"/>
      <c r="M83" s="79"/>
      <c r="N83" s="158"/>
      <c r="O83" s="150"/>
      <c r="P83" s="752"/>
      <c r="Q83" s="752"/>
      <c r="R83" s="752"/>
      <c r="S83" s="752"/>
      <c r="T83" s="753"/>
      <c r="U83" s="752"/>
      <c r="V83" s="752"/>
      <c r="W83" s="754"/>
      <c r="X83" s="755"/>
      <c r="Y83" s="756"/>
      <c r="Z83" s="757"/>
      <c r="AA83" s="750"/>
    </row>
    <row r="84" spans="1:27">
      <c r="A84" s="326">
        <f t="shared" si="1"/>
        <v>61</v>
      </c>
      <c r="B84" s="295"/>
      <c r="C84" s="45"/>
      <c r="D84" s="46"/>
      <c r="E84" s="47"/>
      <c r="F84" s="126"/>
      <c r="G84" s="167"/>
      <c r="H84" s="167"/>
      <c r="I84" s="154"/>
      <c r="J84" s="707"/>
      <c r="K84" s="151"/>
      <c r="L84" s="577"/>
      <c r="M84" s="79"/>
      <c r="N84" s="158"/>
      <c r="O84" s="150"/>
      <c r="P84" s="752"/>
      <c r="Q84" s="752"/>
      <c r="R84" s="752"/>
      <c r="S84" s="752"/>
      <c r="T84" s="753"/>
      <c r="U84" s="752"/>
      <c r="V84" s="752"/>
      <c r="W84" s="754"/>
      <c r="X84" s="755"/>
      <c r="Y84" s="756"/>
      <c r="Z84" s="757"/>
      <c r="AA84" s="750"/>
    </row>
    <row r="85" spans="1:27">
      <c r="A85" s="326">
        <f t="shared" si="1"/>
        <v>62</v>
      </c>
      <c r="B85" s="295"/>
      <c r="C85" s="45"/>
      <c r="D85" s="46"/>
      <c r="E85" s="47"/>
      <c r="F85" s="126"/>
      <c r="G85" s="167"/>
      <c r="H85" s="167"/>
      <c r="I85" s="154"/>
      <c r="J85" s="707"/>
      <c r="K85" s="151"/>
      <c r="L85" s="577"/>
      <c r="M85" s="79"/>
      <c r="N85" s="158"/>
      <c r="O85" s="150"/>
      <c r="P85" s="752"/>
      <c r="Q85" s="752"/>
      <c r="R85" s="752"/>
      <c r="S85" s="752"/>
      <c r="T85" s="753"/>
      <c r="U85" s="752"/>
      <c r="V85" s="752"/>
      <c r="W85" s="754"/>
      <c r="X85" s="755"/>
      <c r="Y85" s="756"/>
      <c r="Z85" s="757"/>
      <c r="AA85" s="750"/>
    </row>
    <row r="86" spans="1:27">
      <c r="A86" s="326">
        <f t="shared" si="1"/>
        <v>63</v>
      </c>
      <c r="B86" s="295"/>
      <c r="C86" s="45"/>
      <c r="D86" s="46"/>
      <c r="E86" s="47"/>
      <c r="F86" s="126"/>
      <c r="G86" s="167"/>
      <c r="H86" s="167"/>
      <c r="I86" s="154"/>
      <c r="J86" s="707"/>
      <c r="K86" s="151"/>
      <c r="L86" s="577"/>
      <c r="M86" s="79"/>
      <c r="N86" s="158"/>
      <c r="O86" s="150"/>
      <c r="P86" s="752"/>
      <c r="Q86" s="752"/>
      <c r="R86" s="752"/>
      <c r="S86" s="752"/>
      <c r="T86" s="753"/>
      <c r="U86" s="752"/>
      <c r="V86" s="752"/>
      <c r="W86" s="754"/>
      <c r="X86" s="755"/>
      <c r="Y86" s="756"/>
      <c r="Z86" s="757"/>
      <c r="AA86" s="750"/>
    </row>
    <row r="87" spans="1:27">
      <c r="A87" s="326">
        <f t="shared" si="1"/>
        <v>64</v>
      </c>
      <c r="B87" s="295"/>
      <c r="C87" s="45"/>
      <c r="D87" s="46"/>
      <c r="E87" s="47"/>
      <c r="F87" s="126"/>
      <c r="G87" s="167"/>
      <c r="H87" s="167"/>
      <c r="I87" s="154"/>
      <c r="J87" s="707"/>
      <c r="K87" s="151"/>
      <c r="L87" s="577"/>
      <c r="M87" s="79"/>
      <c r="N87" s="158"/>
      <c r="O87" s="150"/>
      <c r="P87" s="752"/>
      <c r="Q87" s="752"/>
      <c r="R87" s="752"/>
      <c r="S87" s="752"/>
      <c r="T87" s="753"/>
      <c r="U87" s="752"/>
      <c r="V87" s="752"/>
      <c r="W87" s="754"/>
      <c r="X87" s="755"/>
      <c r="Y87" s="756"/>
      <c r="Z87" s="757"/>
      <c r="AA87" s="750"/>
    </row>
    <row r="88" spans="1:27">
      <c r="A88" s="326">
        <f t="shared" si="1"/>
        <v>65</v>
      </c>
      <c r="B88" s="295"/>
      <c r="C88" s="45"/>
      <c r="D88" s="46"/>
      <c r="E88" s="47"/>
      <c r="F88" s="126"/>
      <c r="G88" s="167"/>
      <c r="H88" s="167"/>
      <c r="I88" s="154"/>
      <c r="J88" s="707"/>
      <c r="K88" s="151"/>
      <c r="L88" s="577"/>
      <c r="M88" s="79"/>
      <c r="N88" s="158"/>
      <c r="O88" s="150"/>
      <c r="P88" s="752"/>
      <c r="Q88" s="752"/>
      <c r="R88" s="752"/>
      <c r="S88" s="752"/>
      <c r="T88" s="753"/>
      <c r="U88" s="752"/>
      <c r="V88" s="752"/>
      <c r="W88" s="754"/>
      <c r="X88" s="755"/>
      <c r="Y88" s="756"/>
      <c r="Z88" s="757"/>
      <c r="AA88" s="750"/>
    </row>
    <row r="89" spans="1:27">
      <c r="A89" s="326">
        <f t="shared" si="1"/>
        <v>66</v>
      </c>
      <c r="B89" s="295"/>
      <c r="C89" s="45"/>
      <c r="D89" s="46"/>
      <c r="E89" s="47"/>
      <c r="F89" s="126"/>
      <c r="G89" s="167"/>
      <c r="H89" s="167"/>
      <c r="I89" s="154"/>
      <c r="J89" s="707"/>
      <c r="K89" s="151"/>
      <c r="L89" s="577"/>
      <c r="M89" s="79"/>
      <c r="N89" s="158"/>
      <c r="O89" s="150"/>
      <c r="P89" s="752"/>
      <c r="Q89" s="752"/>
      <c r="R89" s="752"/>
      <c r="S89" s="752"/>
      <c r="T89" s="753"/>
      <c r="U89" s="752"/>
      <c r="V89" s="752"/>
      <c r="W89" s="754"/>
      <c r="X89" s="755"/>
      <c r="Y89" s="756"/>
      <c r="Z89" s="757"/>
      <c r="AA89" s="750"/>
    </row>
    <row r="90" spans="1:27">
      <c r="A90" s="326">
        <f t="shared" si="1"/>
        <v>67</v>
      </c>
      <c r="B90" s="295"/>
      <c r="C90" s="45"/>
      <c r="D90" s="46"/>
      <c r="E90" s="47"/>
      <c r="F90" s="126"/>
      <c r="G90" s="167"/>
      <c r="H90" s="167"/>
      <c r="I90" s="154"/>
      <c r="J90" s="707"/>
      <c r="K90" s="151"/>
      <c r="L90" s="577"/>
      <c r="M90" s="79"/>
      <c r="N90" s="158"/>
      <c r="O90" s="150"/>
      <c r="P90" s="752"/>
      <c r="Q90" s="752"/>
      <c r="R90" s="752"/>
      <c r="S90" s="752"/>
      <c r="T90" s="753"/>
      <c r="U90" s="752"/>
      <c r="V90" s="752"/>
      <c r="W90" s="754"/>
      <c r="X90" s="755"/>
      <c r="Y90" s="756"/>
      <c r="Z90" s="757"/>
      <c r="AA90" s="750"/>
    </row>
    <row r="91" spans="1:27">
      <c r="A91" s="326">
        <f t="shared" si="1"/>
        <v>68</v>
      </c>
      <c r="B91" s="295"/>
      <c r="C91" s="45"/>
      <c r="D91" s="46"/>
      <c r="E91" s="47"/>
      <c r="F91" s="126"/>
      <c r="G91" s="167"/>
      <c r="H91" s="167"/>
      <c r="I91" s="154"/>
      <c r="J91" s="707"/>
      <c r="K91" s="151"/>
      <c r="L91" s="577"/>
      <c r="M91" s="79"/>
      <c r="N91" s="158"/>
      <c r="O91" s="150"/>
      <c r="P91" s="752"/>
      <c r="Q91" s="752"/>
      <c r="R91" s="752"/>
      <c r="S91" s="752"/>
      <c r="T91" s="753"/>
      <c r="U91" s="752"/>
      <c r="V91" s="752"/>
      <c r="W91" s="754"/>
      <c r="X91" s="755"/>
      <c r="Y91" s="756"/>
      <c r="Z91" s="757"/>
      <c r="AA91" s="750"/>
    </row>
    <row r="92" spans="1:27">
      <c r="A92" s="326">
        <f t="shared" si="1"/>
        <v>69</v>
      </c>
      <c r="B92" s="295"/>
      <c r="C92" s="45"/>
      <c r="D92" s="46"/>
      <c r="E92" s="47"/>
      <c r="F92" s="126"/>
      <c r="G92" s="167"/>
      <c r="H92" s="167"/>
      <c r="I92" s="154"/>
      <c r="J92" s="707"/>
      <c r="K92" s="151"/>
      <c r="L92" s="577"/>
      <c r="M92" s="79"/>
      <c r="N92" s="158"/>
      <c r="O92" s="150"/>
      <c r="P92" s="752"/>
      <c r="Q92" s="752"/>
      <c r="R92" s="752"/>
      <c r="S92" s="752"/>
      <c r="T92" s="753"/>
      <c r="U92" s="752"/>
      <c r="V92" s="752"/>
      <c r="W92" s="754"/>
      <c r="X92" s="755"/>
      <c r="Y92" s="756"/>
      <c r="Z92" s="757"/>
      <c r="AA92" s="750"/>
    </row>
    <row r="93" spans="1:27">
      <c r="A93" s="326">
        <f t="shared" si="1"/>
        <v>70</v>
      </c>
      <c r="B93" s="295"/>
      <c r="C93" s="45"/>
      <c r="D93" s="46"/>
      <c r="E93" s="47"/>
      <c r="F93" s="126"/>
      <c r="G93" s="167"/>
      <c r="H93" s="167"/>
      <c r="I93" s="154"/>
      <c r="J93" s="707"/>
      <c r="K93" s="151"/>
      <c r="L93" s="577"/>
      <c r="M93" s="79"/>
      <c r="N93" s="158"/>
      <c r="O93" s="150"/>
      <c r="P93" s="752"/>
      <c r="Q93" s="752"/>
      <c r="R93" s="752"/>
      <c r="S93" s="752"/>
      <c r="T93" s="753"/>
      <c r="U93" s="752"/>
      <c r="V93" s="752"/>
      <c r="W93" s="754"/>
      <c r="X93" s="755"/>
      <c r="Y93" s="756"/>
      <c r="Z93" s="757"/>
      <c r="AA93" s="750"/>
    </row>
    <row r="94" spans="1:27">
      <c r="A94" s="326">
        <f t="shared" si="1"/>
        <v>71</v>
      </c>
      <c r="B94" s="295"/>
      <c r="C94" s="45"/>
      <c r="D94" s="46"/>
      <c r="E94" s="47"/>
      <c r="F94" s="126"/>
      <c r="G94" s="167"/>
      <c r="H94" s="167"/>
      <c r="I94" s="154"/>
      <c r="J94" s="707"/>
      <c r="K94" s="151"/>
      <c r="L94" s="577"/>
      <c r="M94" s="79"/>
      <c r="N94" s="158"/>
      <c r="O94" s="150"/>
      <c r="P94" s="752"/>
      <c r="Q94" s="752"/>
      <c r="R94" s="752"/>
      <c r="S94" s="752"/>
      <c r="T94" s="753"/>
      <c r="U94" s="752"/>
      <c r="V94" s="752"/>
      <c r="W94" s="754"/>
      <c r="X94" s="755"/>
      <c r="Y94" s="756"/>
      <c r="Z94" s="757"/>
      <c r="AA94" s="750"/>
    </row>
    <row r="95" spans="1:27">
      <c r="A95" s="326">
        <f t="shared" si="1"/>
        <v>72</v>
      </c>
      <c r="B95" s="295"/>
      <c r="C95" s="45"/>
      <c r="D95" s="46"/>
      <c r="E95" s="47"/>
      <c r="F95" s="126"/>
      <c r="G95" s="167"/>
      <c r="H95" s="167"/>
      <c r="I95" s="154"/>
      <c r="J95" s="707"/>
      <c r="K95" s="151"/>
      <c r="L95" s="577"/>
      <c r="M95" s="79"/>
      <c r="N95" s="158"/>
      <c r="O95" s="150"/>
      <c r="P95" s="752"/>
      <c r="Q95" s="752"/>
      <c r="R95" s="752"/>
      <c r="S95" s="752"/>
      <c r="T95" s="753"/>
      <c r="U95" s="752"/>
      <c r="V95" s="752"/>
      <c r="W95" s="754"/>
      <c r="X95" s="755"/>
      <c r="Y95" s="756"/>
      <c r="Z95" s="757"/>
      <c r="AA95" s="750"/>
    </row>
    <row r="96" spans="1:27">
      <c r="A96" s="326">
        <f t="shared" si="1"/>
        <v>73</v>
      </c>
      <c r="B96" s="295"/>
      <c r="C96" s="45"/>
      <c r="D96" s="46"/>
      <c r="E96" s="47"/>
      <c r="F96" s="126"/>
      <c r="G96" s="167"/>
      <c r="H96" s="167"/>
      <c r="I96" s="154"/>
      <c r="J96" s="707"/>
      <c r="K96" s="151"/>
      <c r="L96" s="577"/>
      <c r="M96" s="79"/>
      <c r="N96" s="158"/>
      <c r="O96" s="150"/>
      <c r="P96" s="752"/>
      <c r="Q96" s="752"/>
      <c r="R96" s="752"/>
      <c r="S96" s="752"/>
      <c r="T96" s="753"/>
      <c r="U96" s="752"/>
      <c r="V96" s="752"/>
      <c r="W96" s="754"/>
      <c r="X96" s="755"/>
      <c r="Y96" s="756"/>
      <c r="Z96" s="757"/>
      <c r="AA96" s="750"/>
    </row>
    <row r="97" spans="1:27">
      <c r="A97" s="326">
        <f t="shared" si="1"/>
        <v>74</v>
      </c>
      <c r="B97" s="295"/>
      <c r="C97" s="45"/>
      <c r="D97" s="46"/>
      <c r="E97" s="47"/>
      <c r="F97" s="126"/>
      <c r="G97" s="167"/>
      <c r="H97" s="167"/>
      <c r="I97" s="154"/>
      <c r="J97" s="707"/>
      <c r="K97" s="151"/>
      <c r="L97" s="577"/>
      <c r="M97" s="79"/>
      <c r="N97" s="158"/>
      <c r="O97" s="150"/>
      <c r="P97" s="752"/>
      <c r="Q97" s="752"/>
      <c r="R97" s="752"/>
      <c r="S97" s="752"/>
      <c r="T97" s="753"/>
      <c r="U97" s="752"/>
      <c r="V97" s="752"/>
      <c r="W97" s="754"/>
      <c r="X97" s="755"/>
      <c r="Y97" s="756"/>
      <c r="Z97" s="757"/>
      <c r="AA97" s="750"/>
    </row>
    <row r="98" spans="1:27">
      <c r="A98" s="326">
        <f t="shared" si="1"/>
        <v>75</v>
      </c>
      <c r="B98" s="295"/>
      <c r="C98" s="45"/>
      <c r="D98" s="46"/>
      <c r="E98" s="47"/>
      <c r="F98" s="126"/>
      <c r="G98" s="167"/>
      <c r="H98" s="167"/>
      <c r="I98" s="154"/>
      <c r="J98" s="707"/>
      <c r="K98" s="151"/>
      <c r="L98" s="577"/>
      <c r="M98" s="79"/>
      <c r="N98" s="158"/>
      <c r="O98" s="150"/>
      <c r="P98" s="752"/>
      <c r="Q98" s="752"/>
      <c r="R98" s="752"/>
      <c r="S98" s="752"/>
      <c r="T98" s="753"/>
      <c r="U98" s="752"/>
      <c r="V98" s="752"/>
      <c r="W98" s="754"/>
      <c r="X98" s="755"/>
      <c r="Y98" s="756"/>
      <c r="Z98" s="757"/>
      <c r="AA98" s="750"/>
    </row>
    <row r="99" spans="1:27">
      <c r="A99" s="326">
        <f t="shared" si="1"/>
        <v>76</v>
      </c>
      <c r="B99" s="295"/>
      <c r="C99" s="45"/>
      <c r="D99" s="46"/>
      <c r="E99" s="47"/>
      <c r="F99" s="126"/>
      <c r="G99" s="167"/>
      <c r="H99" s="167"/>
      <c r="I99" s="154"/>
      <c r="J99" s="707"/>
      <c r="K99" s="151"/>
      <c r="L99" s="577"/>
      <c r="M99" s="79"/>
      <c r="N99" s="158"/>
      <c r="O99" s="150"/>
      <c r="P99" s="752"/>
      <c r="Q99" s="752"/>
      <c r="R99" s="752"/>
      <c r="S99" s="752"/>
      <c r="T99" s="753"/>
      <c r="U99" s="752"/>
      <c r="V99" s="752"/>
      <c r="W99" s="754"/>
      <c r="X99" s="755"/>
      <c r="Y99" s="756"/>
      <c r="Z99" s="757"/>
      <c r="AA99" s="750"/>
    </row>
    <row r="100" spans="1:27">
      <c r="A100" s="326">
        <f t="shared" si="1"/>
        <v>77</v>
      </c>
      <c r="B100" s="295"/>
      <c r="C100" s="45"/>
      <c r="D100" s="46"/>
      <c r="E100" s="47"/>
      <c r="F100" s="126"/>
      <c r="G100" s="167"/>
      <c r="H100" s="167"/>
      <c r="I100" s="154"/>
      <c r="J100" s="707"/>
      <c r="K100" s="151"/>
      <c r="L100" s="577"/>
      <c r="M100" s="79"/>
      <c r="N100" s="158"/>
      <c r="O100" s="150"/>
      <c r="P100" s="752"/>
      <c r="Q100" s="752"/>
      <c r="R100" s="752"/>
      <c r="S100" s="752"/>
      <c r="T100" s="753"/>
      <c r="U100" s="752"/>
      <c r="V100" s="752"/>
      <c r="W100" s="754"/>
      <c r="X100" s="755"/>
      <c r="Y100" s="756"/>
      <c r="Z100" s="757"/>
      <c r="AA100" s="750"/>
    </row>
    <row r="101" spans="1:27">
      <c r="A101" s="326">
        <f t="shared" si="1"/>
        <v>78</v>
      </c>
      <c r="B101" s="295"/>
      <c r="C101" s="45"/>
      <c r="D101" s="46"/>
      <c r="E101" s="47"/>
      <c r="F101" s="126"/>
      <c r="G101" s="167"/>
      <c r="H101" s="167"/>
      <c r="I101" s="154"/>
      <c r="J101" s="707"/>
      <c r="K101" s="151"/>
      <c r="L101" s="577"/>
      <c r="M101" s="79"/>
      <c r="N101" s="158"/>
      <c r="O101" s="150"/>
      <c r="P101" s="752"/>
      <c r="Q101" s="752"/>
      <c r="R101" s="752"/>
      <c r="S101" s="752"/>
      <c r="T101" s="753"/>
      <c r="U101" s="752"/>
      <c r="V101" s="752"/>
      <c r="W101" s="754"/>
      <c r="X101" s="755"/>
      <c r="Y101" s="756"/>
      <c r="Z101" s="757"/>
      <c r="AA101" s="750"/>
    </row>
    <row r="102" spans="1:27">
      <c r="A102" s="326">
        <f t="shared" si="1"/>
        <v>79</v>
      </c>
      <c r="B102" s="295"/>
      <c r="C102" s="45"/>
      <c r="D102" s="46"/>
      <c r="E102" s="47"/>
      <c r="F102" s="126"/>
      <c r="G102" s="167"/>
      <c r="H102" s="167"/>
      <c r="I102" s="154"/>
      <c r="J102" s="707"/>
      <c r="K102" s="151"/>
      <c r="L102" s="577"/>
      <c r="M102" s="79"/>
      <c r="N102" s="158"/>
      <c r="O102" s="150"/>
      <c r="P102" s="752"/>
      <c r="Q102" s="752"/>
      <c r="R102" s="752"/>
      <c r="S102" s="752"/>
      <c r="T102" s="753"/>
      <c r="U102" s="752"/>
      <c r="V102" s="752"/>
      <c r="W102" s="754"/>
      <c r="X102" s="755"/>
      <c r="Y102" s="756"/>
      <c r="Z102" s="757"/>
      <c r="AA102" s="750"/>
    </row>
    <row r="103" spans="1:27">
      <c r="A103" s="326">
        <f t="shared" si="1"/>
        <v>80</v>
      </c>
      <c r="B103" s="295"/>
      <c r="C103" s="45"/>
      <c r="D103" s="46"/>
      <c r="E103" s="47"/>
      <c r="F103" s="126"/>
      <c r="G103" s="167"/>
      <c r="H103" s="167"/>
      <c r="I103" s="154"/>
      <c r="J103" s="707"/>
      <c r="K103" s="151"/>
      <c r="L103" s="577"/>
      <c r="M103" s="79"/>
      <c r="N103" s="158"/>
      <c r="O103" s="150"/>
      <c r="P103" s="752"/>
      <c r="Q103" s="752"/>
      <c r="R103" s="752"/>
      <c r="S103" s="752"/>
      <c r="T103" s="753"/>
      <c r="U103" s="752"/>
      <c r="V103" s="752"/>
      <c r="W103" s="754"/>
      <c r="X103" s="755"/>
      <c r="Y103" s="756"/>
      <c r="Z103" s="757"/>
      <c r="AA103" s="750"/>
    </row>
    <row r="104" spans="1:27">
      <c r="A104" s="326">
        <f t="shared" si="1"/>
        <v>81</v>
      </c>
      <c r="B104" s="295"/>
      <c r="C104" s="45"/>
      <c r="D104" s="46"/>
      <c r="E104" s="47"/>
      <c r="F104" s="126"/>
      <c r="G104" s="167"/>
      <c r="H104" s="167"/>
      <c r="I104" s="154"/>
      <c r="J104" s="707"/>
      <c r="K104" s="151"/>
      <c r="L104" s="577"/>
      <c r="M104" s="79"/>
      <c r="N104" s="158"/>
      <c r="O104" s="150"/>
      <c r="P104" s="752"/>
      <c r="Q104" s="752"/>
      <c r="R104" s="752"/>
      <c r="S104" s="752"/>
      <c r="T104" s="753"/>
      <c r="U104" s="752"/>
      <c r="V104" s="752"/>
      <c r="W104" s="754"/>
      <c r="X104" s="755"/>
      <c r="Y104" s="756"/>
      <c r="Z104" s="757"/>
      <c r="AA104" s="750"/>
    </row>
    <row r="105" spans="1:27">
      <c r="A105" s="326">
        <f t="shared" si="1"/>
        <v>82</v>
      </c>
      <c r="B105" s="295"/>
      <c r="C105" s="45"/>
      <c r="D105" s="46"/>
      <c r="E105" s="47"/>
      <c r="F105" s="126"/>
      <c r="G105" s="167"/>
      <c r="H105" s="167"/>
      <c r="I105" s="154"/>
      <c r="J105" s="707"/>
      <c r="K105" s="151"/>
      <c r="L105" s="577"/>
      <c r="M105" s="79"/>
      <c r="N105" s="158"/>
      <c r="O105" s="150"/>
      <c r="P105" s="752"/>
      <c r="Q105" s="752"/>
      <c r="R105" s="752"/>
      <c r="S105" s="752"/>
      <c r="T105" s="753"/>
      <c r="U105" s="752"/>
      <c r="V105" s="752"/>
      <c r="W105" s="754"/>
      <c r="X105" s="755"/>
      <c r="Y105" s="756"/>
      <c r="Z105" s="757"/>
      <c r="AA105" s="750"/>
    </row>
    <row r="106" spans="1:27">
      <c r="A106" s="326">
        <f t="shared" si="1"/>
        <v>83</v>
      </c>
      <c r="B106" s="295"/>
      <c r="C106" s="45"/>
      <c r="D106" s="46"/>
      <c r="E106" s="47"/>
      <c r="F106" s="126"/>
      <c r="G106" s="167"/>
      <c r="H106" s="167"/>
      <c r="I106" s="154"/>
      <c r="J106" s="707"/>
      <c r="K106" s="151"/>
      <c r="L106" s="577"/>
      <c r="M106" s="79"/>
      <c r="N106" s="158"/>
      <c r="O106" s="150"/>
      <c r="P106" s="752"/>
      <c r="Q106" s="752"/>
      <c r="R106" s="752"/>
      <c r="S106" s="752"/>
      <c r="T106" s="753"/>
      <c r="U106" s="752"/>
      <c r="V106" s="752"/>
      <c r="W106" s="754"/>
      <c r="X106" s="755"/>
      <c r="Y106" s="756"/>
      <c r="Z106" s="757"/>
      <c r="AA106" s="750"/>
    </row>
    <row r="107" spans="1:27">
      <c r="A107" s="326">
        <f t="shared" si="1"/>
        <v>84</v>
      </c>
      <c r="B107" s="295"/>
      <c r="C107" s="45"/>
      <c r="D107" s="46"/>
      <c r="E107" s="47"/>
      <c r="F107" s="126"/>
      <c r="G107" s="167"/>
      <c r="H107" s="167"/>
      <c r="I107" s="154"/>
      <c r="J107" s="707"/>
      <c r="K107" s="151"/>
      <c r="L107" s="577"/>
      <c r="M107" s="79"/>
      <c r="N107" s="158"/>
      <c r="O107" s="150"/>
      <c r="P107" s="752"/>
      <c r="Q107" s="752"/>
      <c r="R107" s="752"/>
      <c r="S107" s="752"/>
      <c r="T107" s="753"/>
      <c r="U107" s="752"/>
      <c r="V107" s="752"/>
      <c r="W107" s="754"/>
      <c r="X107" s="755"/>
      <c r="Y107" s="756"/>
      <c r="Z107" s="757"/>
      <c r="AA107" s="750"/>
    </row>
    <row r="108" spans="1:27">
      <c r="A108" s="326">
        <f t="shared" si="1"/>
        <v>85</v>
      </c>
      <c r="B108" s="295"/>
      <c r="C108" s="45"/>
      <c r="D108" s="46"/>
      <c r="E108" s="47"/>
      <c r="F108" s="126"/>
      <c r="G108" s="167"/>
      <c r="H108" s="167"/>
      <c r="I108" s="154"/>
      <c r="J108" s="707"/>
      <c r="K108" s="151"/>
      <c r="L108" s="577"/>
      <c r="M108" s="79"/>
      <c r="N108" s="158"/>
      <c r="O108" s="150"/>
      <c r="P108" s="752"/>
      <c r="Q108" s="752"/>
      <c r="R108" s="752"/>
      <c r="S108" s="752"/>
      <c r="T108" s="753"/>
      <c r="U108" s="752"/>
      <c r="V108" s="752"/>
      <c r="W108" s="754"/>
      <c r="X108" s="755"/>
      <c r="Y108" s="756"/>
      <c r="Z108" s="757"/>
      <c r="AA108" s="750"/>
    </row>
    <row r="109" spans="1:27">
      <c r="A109" s="326">
        <f t="shared" si="1"/>
        <v>86</v>
      </c>
      <c r="B109" s="295"/>
      <c r="C109" s="45"/>
      <c r="D109" s="46"/>
      <c r="E109" s="47"/>
      <c r="F109" s="126"/>
      <c r="G109" s="167"/>
      <c r="H109" s="167"/>
      <c r="I109" s="154"/>
      <c r="J109" s="707"/>
      <c r="K109" s="151"/>
      <c r="L109" s="577"/>
      <c r="M109" s="79"/>
      <c r="N109" s="158"/>
      <c r="O109" s="150"/>
      <c r="P109" s="752"/>
      <c r="Q109" s="752"/>
      <c r="R109" s="752"/>
      <c r="S109" s="752"/>
      <c r="T109" s="753"/>
      <c r="U109" s="752"/>
      <c r="V109" s="752"/>
      <c r="W109" s="754"/>
      <c r="X109" s="755"/>
      <c r="Y109" s="756"/>
      <c r="Z109" s="757"/>
      <c r="AA109" s="750"/>
    </row>
    <row r="110" spans="1:27">
      <c r="A110" s="326">
        <f t="shared" si="1"/>
        <v>87</v>
      </c>
      <c r="B110" s="295"/>
      <c r="C110" s="45"/>
      <c r="D110" s="46"/>
      <c r="E110" s="47"/>
      <c r="F110" s="126"/>
      <c r="G110" s="167"/>
      <c r="H110" s="167"/>
      <c r="I110" s="154"/>
      <c r="J110" s="707"/>
      <c r="K110" s="151"/>
      <c r="L110" s="577"/>
      <c r="M110" s="79"/>
      <c r="N110" s="158"/>
      <c r="O110" s="150"/>
      <c r="P110" s="752"/>
      <c r="Q110" s="752"/>
      <c r="R110" s="752"/>
      <c r="S110" s="752"/>
      <c r="T110" s="753"/>
      <c r="U110" s="752"/>
      <c r="V110" s="752"/>
      <c r="W110" s="754"/>
      <c r="X110" s="755"/>
      <c r="Y110" s="756"/>
      <c r="Z110" s="757"/>
      <c r="AA110" s="750"/>
    </row>
    <row r="111" spans="1:27">
      <c r="A111" s="326">
        <f t="shared" si="1"/>
        <v>88</v>
      </c>
      <c r="B111" s="295"/>
      <c r="C111" s="45"/>
      <c r="D111" s="46"/>
      <c r="E111" s="47"/>
      <c r="F111" s="126"/>
      <c r="G111" s="167"/>
      <c r="H111" s="167"/>
      <c r="I111" s="154"/>
      <c r="J111" s="707"/>
      <c r="K111" s="151"/>
      <c r="L111" s="577"/>
      <c r="M111" s="79"/>
      <c r="N111" s="158"/>
      <c r="O111" s="150"/>
      <c r="P111" s="752"/>
      <c r="Q111" s="752"/>
      <c r="R111" s="752"/>
      <c r="S111" s="752"/>
      <c r="T111" s="753"/>
      <c r="U111" s="752"/>
      <c r="V111" s="752"/>
      <c r="W111" s="754"/>
      <c r="X111" s="755"/>
      <c r="Y111" s="756"/>
      <c r="Z111" s="757"/>
      <c r="AA111" s="750"/>
    </row>
    <row r="112" spans="1:27">
      <c r="A112" s="326">
        <f t="shared" si="1"/>
        <v>89</v>
      </c>
      <c r="B112" s="295"/>
      <c r="C112" s="45"/>
      <c r="D112" s="46"/>
      <c r="E112" s="47"/>
      <c r="F112" s="126"/>
      <c r="G112" s="167"/>
      <c r="H112" s="167"/>
      <c r="I112" s="154"/>
      <c r="J112" s="707"/>
      <c r="K112" s="151"/>
      <c r="L112" s="577"/>
      <c r="M112" s="79"/>
      <c r="N112" s="158"/>
      <c r="O112" s="150"/>
      <c r="P112" s="752"/>
      <c r="Q112" s="752"/>
      <c r="R112" s="752"/>
      <c r="S112" s="752"/>
      <c r="T112" s="753"/>
      <c r="U112" s="752"/>
      <c r="V112" s="752"/>
      <c r="W112" s="754"/>
      <c r="X112" s="755"/>
      <c r="Y112" s="756"/>
      <c r="Z112" s="757"/>
      <c r="AA112" s="750"/>
    </row>
    <row r="113" spans="1:27">
      <c r="A113" s="326">
        <f t="shared" si="1"/>
        <v>90</v>
      </c>
      <c r="B113" s="295"/>
      <c r="C113" s="45"/>
      <c r="D113" s="46"/>
      <c r="E113" s="47"/>
      <c r="F113" s="126"/>
      <c r="G113" s="167"/>
      <c r="H113" s="167"/>
      <c r="I113" s="154"/>
      <c r="J113" s="707"/>
      <c r="K113" s="151"/>
      <c r="L113" s="577"/>
      <c r="M113" s="79"/>
      <c r="N113" s="158"/>
      <c r="O113" s="150"/>
      <c r="P113" s="752"/>
      <c r="Q113" s="752"/>
      <c r="R113" s="752"/>
      <c r="S113" s="752"/>
      <c r="T113" s="753"/>
      <c r="U113" s="752"/>
      <c r="V113" s="752"/>
      <c r="W113" s="754"/>
      <c r="X113" s="755"/>
      <c r="Y113" s="756"/>
      <c r="Z113" s="757"/>
      <c r="AA113" s="750"/>
    </row>
    <row r="114" spans="1:27">
      <c r="A114" s="326">
        <f t="shared" si="1"/>
        <v>91</v>
      </c>
      <c r="B114" s="295"/>
      <c r="C114" s="45"/>
      <c r="D114" s="46"/>
      <c r="E114" s="47"/>
      <c r="F114" s="126"/>
      <c r="G114" s="167"/>
      <c r="H114" s="167"/>
      <c r="I114" s="154"/>
      <c r="J114" s="707"/>
      <c r="K114" s="151"/>
      <c r="L114" s="577"/>
      <c r="M114" s="79"/>
      <c r="N114" s="158"/>
      <c r="O114" s="150"/>
      <c r="P114" s="752"/>
      <c r="Q114" s="752"/>
      <c r="R114" s="752"/>
      <c r="S114" s="752"/>
      <c r="T114" s="753"/>
      <c r="U114" s="752"/>
      <c r="V114" s="752"/>
      <c r="W114" s="754"/>
      <c r="X114" s="755"/>
      <c r="Y114" s="756"/>
      <c r="Z114" s="757"/>
      <c r="AA114" s="750"/>
    </row>
    <row r="115" spans="1:27">
      <c r="A115" s="326">
        <f t="shared" si="1"/>
        <v>92</v>
      </c>
      <c r="B115" s="295"/>
      <c r="C115" s="45"/>
      <c r="D115" s="46"/>
      <c r="E115" s="47"/>
      <c r="F115" s="126"/>
      <c r="G115" s="167"/>
      <c r="H115" s="167"/>
      <c r="I115" s="154"/>
      <c r="J115" s="707"/>
      <c r="K115" s="151"/>
      <c r="L115" s="577"/>
      <c r="M115" s="79"/>
      <c r="N115" s="158"/>
      <c r="O115" s="150"/>
      <c r="P115" s="752"/>
      <c r="Q115" s="752"/>
      <c r="R115" s="752"/>
      <c r="S115" s="752"/>
      <c r="T115" s="753"/>
      <c r="U115" s="752"/>
      <c r="V115" s="752"/>
      <c r="W115" s="754"/>
      <c r="X115" s="755"/>
      <c r="Y115" s="756"/>
      <c r="Z115" s="757"/>
      <c r="AA115" s="750"/>
    </row>
    <row r="116" spans="1:27">
      <c r="A116" s="326">
        <f t="shared" si="1"/>
        <v>93</v>
      </c>
      <c r="B116" s="295"/>
      <c r="C116" s="45"/>
      <c r="D116" s="46"/>
      <c r="E116" s="47"/>
      <c r="F116" s="126"/>
      <c r="G116" s="167"/>
      <c r="H116" s="167"/>
      <c r="I116" s="154"/>
      <c r="J116" s="707"/>
      <c r="K116" s="151"/>
      <c r="L116" s="577"/>
      <c r="M116" s="79"/>
      <c r="N116" s="158"/>
      <c r="O116" s="150"/>
      <c r="P116" s="752"/>
      <c r="Q116" s="752"/>
      <c r="R116" s="752"/>
      <c r="S116" s="752"/>
      <c r="T116" s="753"/>
      <c r="U116" s="752"/>
      <c r="V116" s="752"/>
      <c r="W116" s="754"/>
      <c r="X116" s="755"/>
      <c r="Y116" s="756"/>
      <c r="Z116" s="757"/>
      <c r="AA116" s="750"/>
    </row>
    <row r="117" spans="1:27">
      <c r="A117" s="326">
        <f t="shared" si="1"/>
        <v>94</v>
      </c>
      <c r="B117" s="295"/>
      <c r="C117" s="45"/>
      <c r="D117" s="46"/>
      <c r="E117" s="47"/>
      <c r="F117" s="126"/>
      <c r="G117" s="167"/>
      <c r="H117" s="167"/>
      <c r="I117" s="154"/>
      <c r="J117" s="707"/>
      <c r="K117" s="151"/>
      <c r="L117" s="577"/>
      <c r="M117" s="79"/>
      <c r="N117" s="158"/>
      <c r="O117" s="150"/>
      <c r="P117" s="752"/>
      <c r="Q117" s="752"/>
      <c r="R117" s="752"/>
      <c r="S117" s="752"/>
      <c r="T117" s="753"/>
      <c r="U117" s="752"/>
      <c r="V117" s="752"/>
      <c r="W117" s="754"/>
      <c r="X117" s="755"/>
      <c r="Y117" s="756"/>
      <c r="Z117" s="757"/>
      <c r="AA117" s="750"/>
    </row>
    <row r="118" spans="1:27">
      <c r="A118" s="326">
        <f t="shared" si="1"/>
        <v>95</v>
      </c>
      <c r="B118" s="295"/>
      <c r="C118" s="45"/>
      <c r="D118" s="46"/>
      <c r="E118" s="47"/>
      <c r="F118" s="126"/>
      <c r="G118" s="167"/>
      <c r="H118" s="167"/>
      <c r="I118" s="154"/>
      <c r="J118" s="707"/>
      <c r="K118" s="151"/>
      <c r="L118" s="577"/>
      <c r="M118" s="79"/>
      <c r="N118" s="158"/>
      <c r="O118" s="150"/>
      <c r="P118" s="752"/>
      <c r="Q118" s="752"/>
      <c r="R118" s="752"/>
      <c r="S118" s="752"/>
      <c r="T118" s="753"/>
      <c r="U118" s="752"/>
      <c r="V118" s="752"/>
      <c r="W118" s="754"/>
      <c r="X118" s="755"/>
      <c r="Y118" s="756"/>
      <c r="Z118" s="757"/>
      <c r="AA118" s="750"/>
    </row>
    <row r="119" spans="1:27">
      <c r="A119" s="326">
        <f t="shared" si="1"/>
        <v>96</v>
      </c>
      <c r="B119" s="295"/>
      <c r="C119" s="45"/>
      <c r="D119" s="46"/>
      <c r="E119" s="47"/>
      <c r="F119" s="126"/>
      <c r="G119" s="167"/>
      <c r="H119" s="167"/>
      <c r="I119" s="154"/>
      <c r="J119" s="707"/>
      <c r="K119" s="151"/>
      <c r="L119" s="577"/>
      <c r="M119" s="79"/>
      <c r="N119" s="158"/>
      <c r="O119" s="150"/>
      <c r="P119" s="752"/>
      <c r="Q119" s="752"/>
      <c r="R119" s="752"/>
      <c r="S119" s="752"/>
      <c r="T119" s="753"/>
      <c r="U119" s="752"/>
      <c r="V119" s="752"/>
      <c r="W119" s="754"/>
      <c r="X119" s="755"/>
      <c r="Y119" s="756"/>
      <c r="Z119" s="757"/>
      <c r="AA119" s="750"/>
    </row>
    <row r="120" spans="1:27">
      <c r="A120" s="326">
        <f t="shared" si="1"/>
        <v>97</v>
      </c>
      <c r="B120" s="295"/>
      <c r="C120" s="45"/>
      <c r="D120" s="46"/>
      <c r="E120" s="47"/>
      <c r="F120" s="126"/>
      <c r="G120" s="167"/>
      <c r="H120" s="167"/>
      <c r="I120" s="154"/>
      <c r="J120" s="707"/>
      <c r="K120" s="151"/>
      <c r="L120" s="577"/>
      <c r="M120" s="79"/>
      <c r="N120" s="158"/>
      <c r="O120" s="150"/>
      <c r="P120" s="752"/>
      <c r="Q120" s="752"/>
      <c r="R120" s="752"/>
      <c r="S120" s="752"/>
      <c r="T120" s="753"/>
      <c r="U120" s="752"/>
      <c r="V120" s="752"/>
      <c r="W120" s="754"/>
      <c r="X120" s="755"/>
      <c r="Y120" s="756"/>
      <c r="Z120" s="757"/>
      <c r="AA120" s="750"/>
    </row>
    <row r="121" spans="1:27">
      <c r="A121" s="326">
        <f t="shared" si="1"/>
        <v>98</v>
      </c>
      <c r="B121" s="295"/>
      <c r="C121" s="45"/>
      <c r="D121" s="46"/>
      <c r="E121" s="47"/>
      <c r="F121" s="126"/>
      <c r="G121" s="167"/>
      <c r="H121" s="167"/>
      <c r="I121" s="154"/>
      <c r="J121" s="707"/>
      <c r="K121" s="151"/>
      <c r="L121" s="577"/>
      <c r="M121" s="79"/>
      <c r="N121" s="158"/>
      <c r="O121" s="150"/>
      <c r="P121" s="752"/>
      <c r="Q121" s="752"/>
      <c r="R121" s="752"/>
      <c r="S121" s="752"/>
      <c r="T121" s="753"/>
      <c r="U121" s="752"/>
      <c r="V121" s="752"/>
      <c r="W121" s="754"/>
      <c r="X121" s="755"/>
      <c r="Y121" s="756"/>
      <c r="Z121" s="757"/>
      <c r="AA121" s="750"/>
    </row>
    <row r="122" spans="1:27">
      <c r="A122" s="326">
        <f t="shared" ref="A122:A133" si="2">+A121+1</f>
        <v>99</v>
      </c>
      <c r="B122" s="295"/>
      <c r="C122" s="45"/>
      <c r="D122" s="46"/>
      <c r="E122" s="47"/>
      <c r="F122" s="126"/>
      <c r="G122" s="167"/>
      <c r="H122" s="167"/>
      <c r="I122" s="154"/>
      <c r="J122" s="707"/>
      <c r="K122" s="151"/>
      <c r="L122" s="577"/>
      <c r="M122" s="79"/>
      <c r="N122" s="158"/>
      <c r="O122" s="150"/>
      <c r="P122" s="752"/>
      <c r="Q122" s="752"/>
      <c r="R122" s="752"/>
      <c r="S122" s="752"/>
      <c r="T122" s="753"/>
      <c r="U122" s="752"/>
      <c r="V122" s="752"/>
      <c r="W122" s="754"/>
      <c r="X122" s="755"/>
      <c r="Y122" s="756"/>
      <c r="Z122" s="757"/>
      <c r="AA122" s="750"/>
    </row>
    <row r="123" spans="1:27">
      <c r="A123" s="326">
        <f t="shared" si="2"/>
        <v>100</v>
      </c>
      <c r="B123" s="295"/>
      <c r="C123" s="45"/>
      <c r="D123" s="46"/>
      <c r="E123" s="47"/>
      <c r="F123" s="126"/>
      <c r="G123" s="167"/>
      <c r="H123" s="167"/>
      <c r="I123" s="154"/>
      <c r="J123" s="707"/>
      <c r="K123" s="151"/>
      <c r="L123" s="577"/>
      <c r="M123" s="79"/>
      <c r="N123" s="158"/>
      <c r="O123" s="150"/>
      <c r="P123" s="752"/>
      <c r="Q123" s="752"/>
      <c r="R123" s="752"/>
      <c r="S123" s="752"/>
      <c r="T123" s="753"/>
      <c r="U123" s="752"/>
      <c r="V123" s="752"/>
      <c r="W123" s="754"/>
      <c r="X123" s="755"/>
      <c r="Y123" s="756"/>
      <c r="Z123" s="757"/>
      <c r="AA123" s="750"/>
    </row>
    <row r="124" spans="1:27">
      <c r="A124" s="326">
        <f t="shared" si="2"/>
        <v>101</v>
      </c>
      <c r="B124" s="295"/>
      <c r="C124" s="45"/>
      <c r="D124" s="46"/>
      <c r="E124" s="47"/>
      <c r="F124" s="126"/>
      <c r="G124" s="167"/>
      <c r="H124" s="167"/>
      <c r="I124" s="154"/>
      <c r="J124" s="707"/>
      <c r="K124" s="151"/>
      <c r="L124" s="577"/>
      <c r="M124" s="79"/>
      <c r="N124" s="158"/>
      <c r="O124" s="150"/>
      <c r="P124" s="752"/>
      <c r="Q124" s="752"/>
      <c r="R124" s="752"/>
      <c r="S124" s="752"/>
      <c r="T124" s="753"/>
      <c r="U124" s="752"/>
      <c r="V124" s="752"/>
      <c r="W124" s="754"/>
      <c r="X124" s="755"/>
      <c r="Y124" s="756"/>
      <c r="Z124" s="757"/>
      <c r="AA124" s="750"/>
    </row>
    <row r="125" spans="1:27">
      <c r="A125" s="326">
        <f t="shared" si="2"/>
        <v>102</v>
      </c>
      <c r="B125" s="295"/>
      <c r="C125" s="45"/>
      <c r="D125" s="46"/>
      <c r="E125" s="47"/>
      <c r="F125" s="126"/>
      <c r="G125" s="167"/>
      <c r="H125" s="167"/>
      <c r="I125" s="154"/>
      <c r="J125" s="707"/>
      <c r="K125" s="151"/>
      <c r="L125" s="577"/>
      <c r="M125" s="79"/>
      <c r="N125" s="158"/>
      <c r="O125" s="150"/>
      <c r="P125" s="752"/>
      <c r="Q125" s="752"/>
      <c r="R125" s="752"/>
      <c r="S125" s="752"/>
      <c r="T125" s="753"/>
      <c r="U125" s="752"/>
      <c r="V125" s="752"/>
      <c r="W125" s="754"/>
      <c r="X125" s="755"/>
      <c r="Y125" s="756"/>
      <c r="Z125" s="757"/>
      <c r="AA125" s="750"/>
    </row>
    <row r="126" spans="1:27">
      <c r="A126" s="326">
        <f t="shared" si="2"/>
        <v>103</v>
      </c>
      <c r="B126" s="295"/>
      <c r="C126" s="45"/>
      <c r="D126" s="46"/>
      <c r="E126" s="47"/>
      <c r="F126" s="126"/>
      <c r="G126" s="167"/>
      <c r="H126" s="167"/>
      <c r="I126" s="154"/>
      <c r="J126" s="707"/>
      <c r="K126" s="151"/>
      <c r="L126" s="577"/>
      <c r="M126" s="79"/>
      <c r="N126" s="158"/>
      <c r="O126" s="150"/>
      <c r="P126" s="752"/>
      <c r="Q126" s="752"/>
      <c r="R126" s="752"/>
      <c r="S126" s="752"/>
      <c r="T126" s="753"/>
      <c r="U126" s="752"/>
      <c r="V126" s="752"/>
      <c r="W126" s="754"/>
      <c r="X126" s="755"/>
      <c r="Y126" s="756"/>
      <c r="Z126" s="757"/>
      <c r="AA126" s="750"/>
    </row>
    <row r="127" spans="1:27">
      <c r="A127" s="326">
        <f t="shared" si="2"/>
        <v>104</v>
      </c>
      <c r="B127" s="295"/>
      <c r="C127" s="45"/>
      <c r="D127" s="46"/>
      <c r="E127" s="47"/>
      <c r="F127" s="126"/>
      <c r="G127" s="167"/>
      <c r="H127" s="167"/>
      <c r="I127" s="154"/>
      <c r="J127" s="707"/>
      <c r="K127" s="151"/>
      <c r="L127" s="577"/>
      <c r="M127" s="79"/>
      <c r="N127" s="158"/>
      <c r="O127" s="150"/>
      <c r="P127" s="752"/>
      <c r="Q127" s="752"/>
      <c r="R127" s="752"/>
      <c r="S127" s="752"/>
      <c r="T127" s="753"/>
      <c r="U127" s="752"/>
      <c r="V127" s="752"/>
      <c r="W127" s="754"/>
      <c r="X127" s="755"/>
      <c r="Y127" s="756"/>
      <c r="Z127" s="757"/>
      <c r="AA127" s="750"/>
    </row>
    <row r="128" spans="1:27">
      <c r="A128" s="326">
        <f t="shared" si="2"/>
        <v>105</v>
      </c>
      <c r="B128" s="295"/>
      <c r="C128" s="45"/>
      <c r="D128" s="46"/>
      <c r="E128" s="47"/>
      <c r="F128" s="126"/>
      <c r="G128" s="167"/>
      <c r="H128" s="167"/>
      <c r="I128" s="154"/>
      <c r="J128" s="707"/>
      <c r="K128" s="151"/>
      <c r="L128" s="577"/>
      <c r="M128" s="79"/>
      <c r="N128" s="158"/>
      <c r="O128" s="150"/>
      <c r="P128" s="752"/>
      <c r="Q128" s="752"/>
      <c r="R128" s="752"/>
      <c r="S128" s="752"/>
      <c r="T128" s="753"/>
      <c r="U128" s="752"/>
      <c r="V128" s="752"/>
      <c r="W128" s="754"/>
      <c r="X128" s="755"/>
      <c r="Y128" s="756"/>
      <c r="Z128" s="757"/>
      <c r="AA128" s="750"/>
    </row>
    <row r="129" spans="1:27">
      <c r="A129" s="326">
        <f t="shared" si="2"/>
        <v>106</v>
      </c>
      <c r="B129" s="295"/>
      <c r="C129" s="45"/>
      <c r="D129" s="46"/>
      <c r="E129" s="47"/>
      <c r="F129" s="126"/>
      <c r="G129" s="167"/>
      <c r="H129" s="167"/>
      <c r="I129" s="154"/>
      <c r="J129" s="707"/>
      <c r="K129" s="151"/>
      <c r="L129" s="577"/>
      <c r="M129" s="79"/>
      <c r="N129" s="158"/>
      <c r="O129" s="150"/>
      <c r="P129" s="752"/>
      <c r="Q129" s="752"/>
      <c r="R129" s="752"/>
      <c r="S129" s="752"/>
      <c r="T129" s="753"/>
      <c r="U129" s="752"/>
      <c r="V129" s="752"/>
      <c r="W129" s="754"/>
      <c r="X129" s="755"/>
      <c r="Y129" s="756"/>
      <c r="Z129" s="757"/>
      <c r="AA129" s="750"/>
    </row>
    <row r="130" spans="1:27">
      <c r="A130" s="326">
        <f t="shared" si="2"/>
        <v>107</v>
      </c>
      <c r="B130" s="295"/>
      <c r="C130" s="45"/>
      <c r="D130" s="46"/>
      <c r="E130" s="47"/>
      <c r="F130" s="126"/>
      <c r="G130" s="167"/>
      <c r="H130" s="167"/>
      <c r="I130" s="154"/>
      <c r="J130" s="707"/>
      <c r="K130" s="151"/>
      <c r="L130" s="577"/>
      <c r="M130" s="79"/>
      <c r="N130" s="158"/>
      <c r="O130" s="150"/>
      <c r="P130" s="752"/>
      <c r="Q130" s="752"/>
      <c r="R130" s="752"/>
      <c r="S130" s="752"/>
      <c r="T130" s="753"/>
      <c r="U130" s="752"/>
      <c r="V130" s="752"/>
      <c r="W130" s="754"/>
      <c r="X130" s="755"/>
      <c r="Y130" s="756"/>
      <c r="Z130" s="757"/>
      <c r="AA130" s="750"/>
    </row>
    <row r="131" spans="1:27">
      <c r="A131" s="326">
        <f t="shared" si="2"/>
        <v>108</v>
      </c>
      <c r="B131" s="295"/>
      <c r="C131" s="45"/>
      <c r="D131" s="46"/>
      <c r="E131" s="47"/>
      <c r="F131" s="126"/>
      <c r="G131" s="167"/>
      <c r="H131" s="167"/>
      <c r="I131" s="154"/>
      <c r="J131" s="707"/>
      <c r="K131" s="151"/>
      <c r="L131" s="577"/>
      <c r="M131" s="79"/>
      <c r="N131" s="158"/>
      <c r="O131" s="150"/>
      <c r="P131" s="752"/>
      <c r="Q131" s="752"/>
      <c r="R131" s="752"/>
      <c r="S131" s="752"/>
      <c r="T131" s="753"/>
      <c r="U131" s="752"/>
      <c r="V131" s="752"/>
      <c r="W131" s="754"/>
      <c r="X131" s="755"/>
      <c r="Y131" s="756"/>
      <c r="Z131" s="757"/>
      <c r="AA131" s="750"/>
    </row>
    <row r="132" spans="1:27">
      <c r="A132" s="326">
        <f t="shared" si="2"/>
        <v>109</v>
      </c>
      <c r="B132" s="295"/>
      <c r="C132" s="45"/>
      <c r="D132" s="46"/>
      <c r="E132" s="47"/>
      <c r="F132" s="126"/>
      <c r="G132" s="167"/>
      <c r="H132" s="167"/>
      <c r="I132" s="154"/>
      <c r="J132" s="707"/>
      <c r="K132" s="151"/>
      <c r="L132" s="577"/>
      <c r="M132" s="79"/>
      <c r="N132" s="158"/>
      <c r="O132" s="150"/>
      <c r="P132" s="752"/>
      <c r="Q132" s="752"/>
      <c r="R132" s="752"/>
      <c r="S132" s="752"/>
      <c r="T132" s="753"/>
      <c r="U132" s="752"/>
      <c r="V132" s="752"/>
      <c r="W132" s="754"/>
      <c r="X132" s="755"/>
      <c r="Y132" s="756"/>
      <c r="Z132" s="757"/>
      <c r="AA132" s="750"/>
    </row>
    <row r="133" spans="1:27">
      <c r="A133" s="326">
        <f t="shared" si="2"/>
        <v>110</v>
      </c>
      <c r="B133" s="295"/>
      <c r="C133" s="45"/>
      <c r="D133" s="46"/>
      <c r="E133" s="47"/>
      <c r="F133" s="126"/>
      <c r="G133" s="167"/>
      <c r="H133" s="167"/>
      <c r="I133" s="154"/>
      <c r="J133" s="707"/>
      <c r="K133" s="151"/>
      <c r="L133" s="577"/>
      <c r="M133" s="79"/>
      <c r="N133" s="158"/>
      <c r="O133" s="150"/>
      <c r="P133" s="752"/>
      <c r="Q133" s="752"/>
      <c r="R133" s="752"/>
      <c r="S133" s="752"/>
      <c r="T133" s="753"/>
      <c r="U133" s="752"/>
      <c r="V133" s="752"/>
      <c r="W133" s="754"/>
      <c r="X133" s="755"/>
      <c r="Y133" s="756"/>
      <c r="Z133" s="757"/>
      <c r="AA133" s="750"/>
    </row>
    <row r="134" spans="1:27">
      <c r="P134" s="752"/>
      <c r="Q134" s="752"/>
      <c r="R134" s="752"/>
      <c r="S134" s="752"/>
      <c r="T134" s="753"/>
      <c r="U134" s="752"/>
      <c r="V134" s="752"/>
      <c r="W134" s="754"/>
      <c r="X134" s="755"/>
      <c r="Y134" s="756"/>
      <c r="Z134" s="757"/>
      <c r="AA134" s="750"/>
    </row>
    <row r="135" spans="1:27">
      <c r="P135" s="752"/>
      <c r="Q135" s="752"/>
      <c r="R135" s="752"/>
      <c r="S135" s="752"/>
      <c r="T135" s="753"/>
      <c r="U135" s="752"/>
      <c r="V135" s="752"/>
      <c r="W135" s="754"/>
      <c r="X135" s="755"/>
      <c r="Y135" s="756"/>
      <c r="Z135" s="757"/>
      <c r="AA135" s="750"/>
    </row>
    <row r="136" spans="1:27">
      <c r="P136" s="752"/>
      <c r="Q136" s="752"/>
      <c r="R136" s="752"/>
      <c r="S136" s="752"/>
      <c r="T136" s="753"/>
      <c r="U136" s="752"/>
      <c r="V136" s="752"/>
      <c r="W136" s="754"/>
      <c r="X136" s="755"/>
      <c r="Y136" s="756"/>
      <c r="Z136" s="757"/>
      <c r="AA136" s="750"/>
    </row>
    <row r="137" spans="1:27">
      <c r="P137" s="752"/>
      <c r="Q137" s="752"/>
      <c r="R137" s="752"/>
      <c r="S137" s="752"/>
      <c r="T137" s="753"/>
      <c r="U137" s="752"/>
      <c r="V137" s="752"/>
      <c r="W137" s="754"/>
      <c r="X137" s="755"/>
      <c r="Y137" s="756"/>
      <c r="Z137" s="757"/>
      <c r="AA137" s="750"/>
    </row>
    <row r="138" spans="1:27">
      <c r="P138" s="752"/>
      <c r="Q138" s="752"/>
      <c r="R138" s="752"/>
      <c r="S138" s="752"/>
      <c r="T138" s="753"/>
      <c r="U138" s="752"/>
      <c r="V138" s="752"/>
      <c r="W138" s="754"/>
      <c r="X138" s="755"/>
      <c r="Y138" s="756"/>
      <c r="Z138" s="757"/>
      <c r="AA138" s="750"/>
    </row>
    <row r="139" spans="1:27">
      <c r="P139" s="752"/>
      <c r="Q139" s="752"/>
      <c r="R139" s="752"/>
      <c r="S139" s="752"/>
      <c r="T139" s="753"/>
      <c r="U139" s="752"/>
      <c r="V139" s="752"/>
      <c r="W139" s="754"/>
      <c r="X139" s="755"/>
      <c r="Y139" s="756"/>
      <c r="Z139" s="757"/>
      <c r="AA139" s="750"/>
    </row>
    <row r="140" spans="1:27">
      <c r="P140" s="752"/>
      <c r="Q140" s="752"/>
      <c r="R140" s="752"/>
      <c r="S140" s="752"/>
      <c r="T140" s="753"/>
      <c r="U140" s="752"/>
      <c r="V140" s="752"/>
      <c r="W140" s="754"/>
      <c r="X140" s="755"/>
      <c r="Y140" s="756"/>
      <c r="Z140" s="757"/>
      <c r="AA140" s="750"/>
    </row>
    <row r="141" spans="1:27">
      <c r="P141" s="752"/>
      <c r="Q141" s="752"/>
      <c r="R141" s="752"/>
      <c r="S141" s="752"/>
      <c r="T141" s="753"/>
      <c r="U141" s="752"/>
      <c r="V141" s="752"/>
      <c r="W141" s="754"/>
      <c r="X141" s="755"/>
      <c r="Y141" s="756"/>
      <c r="Z141" s="757"/>
      <c r="AA141" s="750"/>
    </row>
    <row r="142" spans="1:27">
      <c r="P142" s="752"/>
      <c r="Q142" s="752"/>
      <c r="R142" s="752"/>
      <c r="S142" s="752"/>
      <c r="T142" s="753"/>
      <c r="U142" s="752"/>
      <c r="V142" s="752"/>
      <c r="W142" s="754"/>
      <c r="X142" s="755"/>
      <c r="Y142" s="756"/>
      <c r="Z142" s="757"/>
      <c r="AA142" s="750"/>
    </row>
    <row r="143" spans="1:27">
      <c r="P143" s="752"/>
      <c r="Q143" s="752"/>
      <c r="R143" s="752"/>
      <c r="S143" s="752"/>
      <c r="T143" s="753"/>
      <c r="U143" s="752"/>
      <c r="V143" s="752"/>
      <c r="W143" s="754"/>
      <c r="X143" s="755"/>
      <c r="Y143" s="756"/>
      <c r="Z143" s="757"/>
      <c r="AA143" s="750"/>
    </row>
    <row r="144" spans="1:27">
      <c r="P144" s="752"/>
      <c r="Q144" s="752"/>
      <c r="R144" s="752"/>
      <c r="S144" s="752"/>
      <c r="T144" s="753"/>
      <c r="U144" s="752"/>
      <c r="V144" s="752"/>
      <c r="W144" s="754"/>
      <c r="X144" s="755"/>
      <c r="Y144" s="756"/>
      <c r="Z144" s="757"/>
      <c r="AA144" s="750"/>
    </row>
    <row r="145" spans="16:27">
      <c r="P145" s="752"/>
      <c r="Q145" s="752"/>
      <c r="R145" s="752"/>
      <c r="S145" s="752"/>
      <c r="T145" s="753"/>
      <c r="U145" s="752"/>
      <c r="V145" s="752"/>
      <c r="W145" s="754"/>
      <c r="X145" s="755"/>
      <c r="Y145" s="756"/>
      <c r="Z145" s="757"/>
      <c r="AA145" s="750"/>
    </row>
    <row r="146" spans="16:27">
      <c r="P146" s="752"/>
      <c r="Q146" s="752"/>
      <c r="R146" s="752"/>
      <c r="S146" s="752"/>
      <c r="T146" s="753"/>
      <c r="U146" s="752"/>
      <c r="V146" s="752"/>
      <c r="W146" s="754"/>
      <c r="X146" s="755"/>
      <c r="Y146" s="756"/>
      <c r="Z146" s="757"/>
      <c r="AA146" s="750"/>
    </row>
    <row r="147" spans="16:27">
      <c r="P147" s="752"/>
      <c r="Q147" s="752"/>
      <c r="R147" s="752"/>
      <c r="S147" s="752"/>
      <c r="T147" s="753"/>
      <c r="U147" s="752"/>
      <c r="V147" s="752"/>
      <c r="W147" s="754"/>
      <c r="X147" s="755"/>
      <c r="Y147" s="756"/>
      <c r="Z147" s="757"/>
      <c r="AA147" s="750"/>
    </row>
    <row r="148" spans="16:27">
      <c r="P148" s="752"/>
      <c r="Q148" s="752"/>
      <c r="R148" s="752"/>
      <c r="S148" s="752"/>
      <c r="T148" s="753"/>
      <c r="U148" s="752"/>
      <c r="V148" s="752"/>
      <c r="W148" s="754"/>
      <c r="X148" s="755"/>
      <c r="Y148" s="756"/>
      <c r="Z148" s="757"/>
      <c r="AA148" s="750"/>
    </row>
    <row r="149" spans="16:27">
      <c r="P149" s="752"/>
      <c r="Q149" s="752"/>
      <c r="R149" s="752"/>
      <c r="S149" s="752"/>
      <c r="T149" s="753"/>
      <c r="U149" s="752"/>
      <c r="V149" s="752"/>
      <c r="W149" s="754"/>
      <c r="X149" s="755"/>
      <c r="Y149" s="756"/>
      <c r="Z149" s="757"/>
      <c r="AA149" s="750"/>
    </row>
    <row r="150" spans="16:27">
      <c r="P150" s="752"/>
      <c r="Q150" s="752"/>
      <c r="R150" s="752"/>
      <c r="S150" s="752"/>
      <c r="T150" s="753"/>
      <c r="U150" s="752"/>
      <c r="V150" s="752"/>
      <c r="W150" s="754"/>
      <c r="X150" s="755"/>
      <c r="Y150" s="756"/>
      <c r="Z150" s="757"/>
      <c r="AA150" s="750"/>
    </row>
    <row r="151" spans="16:27">
      <c r="P151" s="752"/>
      <c r="Q151" s="752"/>
      <c r="R151" s="752"/>
      <c r="S151" s="752"/>
      <c r="T151" s="753"/>
      <c r="U151" s="752"/>
      <c r="V151" s="752"/>
      <c r="W151" s="754"/>
      <c r="X151" s="755"/>
      <c r="Y151" s="756"/>
      <c r="Z151" s="757"/>
      <c r="AA151" s="750"/>
    </row>
    <row r="152" spans="16:27">
      <c r="P152" s="752"/>
      <c r="Q152" s="752"/>
      <c r="R152" s="752"/>
      <c r="S152" s="752"/>
      <c r="T152" s="753"/>
      <c r="U152" s="752"/>
      <c r="V152" s="752"/>
      <c r="W152" s="754"/>
      <c r="X152" s="755"/>
      <c r="Y152" s="756"/>
      <c r="Z152" s="757"/>
      <c r="AA152" s="750"/>
    </row>
    <row r="153" spans="16:27">
      <c r="P153" s="752"/>
      <c r="Q153" s="752"/>
      <c r="R153" s="752"/>
      <c r="S153" s="752"/>
      <c r="T153" s="753"/>
      <c r="U153" s="752"/>
      <c r="V153" s="752"/>
      <c r="W153" s="754"/>
      <c r="X153" s="755"/>
      <c r="Y153" s="756"/>
      <c r="Z153" s="757"/>
      <c r="AA153" s="750"/>
    </row>
    <row r="154" spans="16:27">
      <c r="P154" s="752"/>
      <c r="Q154" s="752"/>
      <c r="R154" s="752"/>
      <c r="S154" s="752"/>
      <c r="T154" s="753"/>
      <c r="U154" s="752"/>
      <c r="V154" s="752"/>
      <c r="W154" s="754"/>
      <c r="X154" s="755"/>
      <c r="Y154" s="756"/>
      <c r="Z154" s="757"/>
      <c r="AA154" s="750"/>
    </row>
    <row r="155" spans="16:27">
      <c r="P155" s="752"/>
      <c r="Q155" s="752"/>
      <c r="R155" s="752"/>
      <c r="S155" s="752"/>
      <c r="T155" s="753"/>
      <c r="U155" s="752"/>
      <c r="V155" s="752"/>
      <c r="W155" s="754"/>
      <c r="X155" s="755"/>
      <c r="Y155" s="756"/>
      <c r="Z155" s="757"/>
      <c r="AA155" s="750"/>
    </row>
    <row r="156" spans="16:27">
      <c r="P156" s="752"/>
      <c r="Q156" s="752"/>
      <c r="R156" s="752"/>
      <c r="S156" s="752"/>
      <c r="T156" s="753"/>
      <c r="U156" s="752"/>
      <c r="V156" s="752"/>
      <c r="W156" s="754"/>
      <c r="X156" s="755"/>
      <c r="Y156" s="756"/>
      <c r="Z156" s="757"/>
      <c r="AA156" s="750"/>
    </row>
    <row r="157" spans="16:27">
      <c r="P157" s="752"/>
      <c r="Q157" s="752"/>
      <c r="R157" s="752"/>
      <c r="S157" s="752"/>
      <c r="T157" s="753"/>
      <c r="U157" s="752"/>
      <c r="V157" s="752"/>
      <c r="W157" s="754"/>
      <c r="X157" s="755"/>
      <c r="Y157" s="756"/>
      <c r="Z157" s="757"/>
      <c r="AA157" s="750"/>
    </row>
    <row r="158" spans="16:27">
      <c r="P158" s="752"/>
      <c r="Q158" s="752"/>
      <c r="R158" s="752"/>
      <c r="S158" s="752"/>
      <c r="T158" s="753"/>
      <c r="U158" s="752"/>
      <c r="V158" s="752"/>
      <c r="W158" s="754"/>
      <c r="X158" s="755"/>
      <c r="Y158" s="756"/>
      <c r="Z158" s="757"/>
      <c r="AA158" s="750"/>
    </row>
    <row r="159" spans="16:27">
      <c r="P159" s="752"/>
      <c r="Q159" s="752"/>
      <c r="R159" s="752"/>
      <c r="S159" s="752"/>
      <c r="T159" s="753"/>
      <c r="U159" s="752"/>
      <c r="V159" s="752"/>
      <c r="W159" s="754"/>
      <c r="X159" s="755"/>
      <c r="Y159" s="756"/>
      <c r="Z159" s="757"/>
      <c r="AA159" s="750"/>
    </row>
    <row r="160" spans="16:27">
      <c r="P160" s="752"/>
      <c r="Q160" s="752"/>
      <c r="R160" s="752"/>
      <c r="S160" s="752"/>
      <c r="T160" s="753"/>
      <c r="U160" s="752"/>
      <c r="V160" s="752"/>
      <c r="W160" s="754"/>
      <c r="X160" s="755"/>
      <c r="Y160" s="756"/>
      <c r="Z160" s="757"/>
      <c r="AA160" s="750"/>
    </row>
    <row r="161" spans="16:27">
      <c r="P161" s="752"/>
      <c r="Q161" s="752"/>
      <c r="R161" s="752"/>
      <c r="S161" s="752"/>
      <c r="T161" s="753"/>
      <c r="U161" s="752"/>
      <c r="V161" s="752"/>
      <c r="W161" s="754"/>
      <c r="X161" s="755"/>
      <c r="Y161" s="756"/>
      <c r="Z161" s="757"/>
      <c r="AA161" s="750"/>
    </row>
    <row r="162" spans="16:27">
      <c r="P162" s="752"/>
      <c r="Q162" s="752"/>
      <c r="R162" s="752"/>
      <c r="S162" s="752"/>
      <c r="T162" s="753"/>
      <c r="U162" s="752"/>
      <c r="V162" s="752"/>
      <c r="W162" s="754"/>
      <c r="X162" s="755"/>
      <c r="Y162" s="756"/>
      <c r="Z162" s="757"/>
      <c r="AA162" s="750"/>
    </row>
    <row r="163" spans="16:27">
      <c r="P163" s="752"/>
      <c r="Q163" s="752"/>
      <c r="R163" s="752"/>
      <c r="S163" s="752"/>
      <c r="T163" s="753"/>
      <c r="U163" s="752"/>
      <c r="V163" s="752"/>
      <c r="W163" s="754"/>
      <c r="X163" s="755"/>
      <c r="Y163" s="756"/>
      <c r="Z163" s="757"/>
      <c r="AA163" s="750"/>
    </row>
    <row r="164" spans="16:27">
      <c r="P164" s="752"/>
      <c r="Q164" s="752"/>
      <c r="R164" s="752"/>
      <c r="S164" s="752"/>
      <c r="T164" s="753"/>
      <c r="U164" s="752"/>
      <c r="V164" s="752"/>
      <c r="W164" s="754"/>
      <c r="X164" s="755"/>
      <c r="Y164" s="756"/>
      <c r="Z164" s="757"/>
      <c r="AA164" s="750"/>
    </row>
    <row r="165" spans="16:27">
      <c r="P165" s="752"/>
      <c r="Q165" s="752"/>
      <c r="R165" s="752"/>
      <c r="S165" s="752"/>
      <c r="T165" s="753"/>
      <c r="U165" s="752"/>
      <c r="V165" s="752"/>
      <c r="W165" s="754"/>
      <c r="X165" s="755"/>
      <c r="Y165" s="756"/>
      <c r="Z165" s="757"/>
      <c r="AA165" s="750"/>
    </row>
    <row r="166" spans="16:27">
      <c r="P166" s="752"/>
      <c r="Q166" s="752"/>
      <c r="R166" s="752"/>
      <c r="S166" s="752"/>
      <c r="T166" s="753"/>
      <c r="U166" s="752"/>
      <c r="V166" s="752"/>
      <c r="W166" s="754"/>
      <c r="X166" s="755"/>
      <c r="Y166" s="756"/>
      <c r="Z166" s="757"/>
      <c r="AA166" s="750"/>
    </row>
    <row r="167" spans="16:27">
      <c r="P167" s="752"/>
      <c r="Q167" s="752"/>
      <c r="R167" s="752"/>
      <c r="S167" s="752"/>
      <c r="T167" s="753"/>
      <c r="U167" s="752"/>
      <c r="V167" s="752"/>
      <c r="W167" s="754"/>
      <c r="X167" s="755"/>
      <c r="Y167" s="756"/>
      <c r="Z167" s="757"/>
      <c r="AA167" s="750"/>
    </row>
    <row r="168" spans="16:27">
      <c r="P168" s="752"/>
      <c r="Q168" s="752"/>
      <c r="R168" s="752"/>
      <c r="S168" s="752"/>
      <c r="T168" s="753"/>
      <c r="U168" s="752"/>
      <c r="V168" s="752"/>
      <c r="W168" s="754"/>
      <c r="X168" s="755"/>
      <c r="Y168" s="756"/>
      <c r="Z168" s="757"/>
      <c r="AA168" s="750"/>
    </row>
    <row r="169" spans="16:27">
      <c r="P169" s="752"/>
      <c r="Q169" s="752"/>
      <c r="R169" s="752"/>
      <c r="S169" s="752"/>
      <c r="T169" s="753"/>
      <c r="U169" s="752"/>
      <c r="V169" s="752"/>
      <c r="W169" s="754"/>
      <c r="X169" s="755"/>
      <c r="Y169" s="756"/>
      <c r="Z169" s="757"/>
      <c r="AA169" s="750"/>
    </row>
    <row r="170" spans="16:27">
      <c r="P170" s="752"/>
      <c r="Q170" s="752"/>
      <c r="R170" s="752"/>
      <c r="S170" s="752"/>
      <c r="T170" s="753"/>
      <c r="U170" s="752"/>
      <c r="V170" s="752"/>
      <c r="W170" s="754"/>
      <c r="X170" s="755"/>
      <c r="Y170" s="756"/>
      <c r="Z170" s="757"/>
      <c r="AA170" s="750"/>
    </row>
    <row r="171" spans="16:27">
      <c r="P171" s="752"/>
      <c r="Q171" s="752"/>
      <c r="R171" s="752"/>
      <c r="S171" s="752"/>
      <c r="T171" s="753"/>
      <c r="U171" s="752"/>
      <c r="V171" s="752"/>
      <c r="W171" s="754"/>
      <c r="X171" s="755"/>
      <c r="Y171" s="756"/>
      <c r="Z171" s="757"/>
      <c r="AA171" s="750"/>
    </row>
    <row r="172" spans="16:27">
      <c r="P172" s="752"/>
      <c r="Q172" s="752"/>
      <c r="R172" s="752"/>
      <c r="S172" s="752"/>
      <c r="T172" s="753"/>
      <c r="U172" s="752"/>
      <c r="V172" s="752"/>
      <c r="W172" s="754"/>
      <c r="X172" s="755"/>
      <c r="Y172" s="756"/>
      <c r="Z172" s="757"/>
      <c r="AA172" s="750"/>
    </row>
    <row r="173" spans="16:27">
      <c r="P173" s="752"/>
      <c r="Q173" s="752"/>
      <c r="R173" s="752"/>
      <c r="S173" s="752"/>
      <c r="T173" s="753"/>
      <c r="U173" s="752"/>
      <c r="V173" s="752"/>
      <c r="W173" s="754"/>
      <c r="X173" s="755"/>
      <c r="Y173" s="756"/>
      <c r="Z173" s="757"/>
      <c r="AA173" s="750"/>
    </row>
    <row r="174" spans="16:27">
      <c r="P174" s="752"/>
      <c r="Q174" s="752"/>
      <c r="R174" s="752"/>
      <c r="S174" s="752"/>
      <c r="T174" s="753"/>
      <c r="U174" s="752"/>
      <c r="V174" s="752"/>
      <c r="W174" s="754"/>
      <c r="X174" s="755"/>
      <c r="Y174" s="756"/>
      <c r="Z174" s="757"/>
      <c r="AA174" s="750"/>
    </row>
    <row r="175" spans="16:27">
      <c r="P175" s="752"/>
      <c r="Q175" s="752"/>
      <c r="R175" s="752"/>
      <c r="S175" s="752"/>
      <c r="T175" s="753"/>
      <c r="U175" s="752"/>
      <c r="V175" s="752"/>
      <c r="W175" s="754"/>
      <c r="X175" s="755"/>
      <c r="Y175" s="756"/>
      <c r="Z175" s="757"/>
      <c r="AA175" s="750"/>
    </row>
    <row r="176" spans="16:27">
      <c r="P176" s="752"/>
      <c r="Q176" s="752"/>
      <c r="R176" s="752"/>
      <c r="S176" s="752"/>
      <c r="T176" s="753"/>
      <c r="U176" s="752"/>
      <c r="V176" s="752"/>
      <c r="W176" s="754"/>
      <c r="X176" s="755"/>
      <c r="Y176" s="756"/>
      <c r="Z176" s="757"/>
      <c r="AA176" s="750"/>
    </row>
    <row r="177" spans="16:27">
      <c r="P177" s="752"/>
      <c r="Q177" s="752"/>
      <c r="R177" s="752"/>
      <c r="S177" s="752"/>
      <c r="T177" s="753"/>
      <c r="U177" s="752"/>
      <c r="V177" s="752"/>
      <c r="W177" s="754"/>
      <c r="X177" s="755"/>
      <c r="Y177" s="756"/>
      <c r="Z177" s="757"/>
      <c r="AA177" s="750"/>
    </row>
    <row r="178" spans="16:27">
      <c r="P178" s="752"/>
      <c r="Q178" s="752"/>
      <c r="R178" s="752"/>
      <c r="S178" s="752"/>
      <c r="T178" s="753"/>
      <c r="U178" s="752"/>
      <c r="V178" s="752"/>
      <c r="W178" s="754"/>
      <c r="X178" s="755"/>
      <c r="Y178" s="756"/>
      <c r="Z178" s="757"/>
      <c r="AA178" s="750"/>
    </row>
    <row r="179" spans="16:27">
      <c r="P179" s="752"/>
      <c r="Q179" s="752"/>
      <c r="R179" s="752"/>
      <c r="S179" s="752"/>
      <c r="T179" s="753"/>
      <c r="U179" s="752"/>
      <c r="V179" s="752"/>
      <c r="W179" s="754"/>
      <c r="X179" s="755"/>
      <c r="Y179" s="756"/>
      <c r="Z179" s="757"/>
      <c r="AA179" s="750"/>
    </row>
    <row r="180" spans="16:27">
      <c r="P180" s="752"/>
      <c r="Q180" s="752"/>
      <c r="R180" s="752"/>
      <c r="S180" s="752"/>
      <c r="T180" s="753"/>
      <c r="U180" s="752"/>
      <c r="V180" s="752"/>
      <c r="W180" s="754"/>
      <c r="X180" s="755"/>
      <c r="Y180" s="756"/>
      <c r="Z180" s="757"/>
      <c r="AA180" s="750"/>
    </row>
    <row r="181" spans="16:27">
      <c r="P181" s="752"/>
      <c r="Q181" s="752"/>
      <c r="R181" s="752"/>
      <c r="S181" s="752"/>
      <c r="T181" s="753"/>
      <c r="U181" s="752"/>
      <c r="V181" s="752"/>
      <c r="W181" s="754"/>
      <c r="X181" s="755"/>
      <c r="Y181" s="756"/>
      <c r="Z181" s="757"/>
      <c r="AA181" s="750"/>
    </row>
    <row r="182" spans="16:27">
      <c r="P182" s="752"/>
      <c r="Q182" s="752"/>
      <c r="R182" s="752"/>
      <c r="S182" s="752"/>
      <c r="T182" s="753"/>
      <c r="U182" s="752"/>
      <c r="V182" s="752"/>
      <c r="W182" s="754"/>
      <c r="X182" s="755"/>
      <c r="Y182" s="756"/>
      <c r="Z182" s="757"/>
      <c r="AA182" s="750"/>
    </row>
    <row r="183" spans="16:27">
      <c r="P183" s="752"/>
      <c r="Q183" s="752"/>
      <c r="R183" s="752"/>
      <c r="S183" s="752"/>
      <c r="T183" s="753"/>
      <c r="U183" s="752"/>
      <c r="V183" s="752"/>
      <c r="W183" s="754"/>
      <c r="X183" s="755"/>
      <c r="Y183" s="756"/>
      <c r="Z183" s="757"/>
      <c r="AA183" s="750"/>
    </row>
    <row r="184" spans="16:27">
      <c r="P184" s="752"/>
      <c r="Q184" s="752"/>
      <c r="R184" s="752"/>
      <c r="S184" s="752"/>
      <c r="T184" s="753"/>
      <c r="U184" s="752"/>
      <c r="V184" s="752"/>
      <c r="W184" s="754"/>
      <c r="X184" s="755"/>
      <c r="Y184" s="756"/>
      <c r="Z184" s="757"/>
      <c r="AA184" s="750"/>
    </row>
    <row r="185" spans="16:27">
      <c r="P185" s="752"/>
      <c r="Q185" s="752"/>
      <c r="R185" s="752"/>
      <c r="S185" s="752"/>
      <c r="T185" s="753"/>
      <c r="U185" s="752"/>
      <c r="V185" s="752"/>
      <c r="W185" s="754"/>
      <c r="X185" s="755"/>
      <c r="Y185" s="756"/>
      <c r="Z185" s="757"/>
      <c r="AA185" s="750"/>
    </row>
    <row r="186" spans="16:27">
      <c r="P186" s="752"/>
      <c r="Q186" s="752"/>
      <c r="R186" s="752"/>
      <c r="S186" s="752"/>
      <c r="T186" s="753"/>
      <c r="U186" s="752"/>
      <c r="V186" s="752"/>
      <c r="W186" s="754"/>
      <c r="X186" s="755"/>
      <c r="Y186" s="756"/>
      <c r="Z186" s="757"/>
      <c r="AA186" s="750"/>
    </row>
    <row r="187" spans="16:27">
      <c r="P187" s="752"/>
      <c r="Q187" s="752"/>
      <c r="R187" s="752"/>
      <c r="S187" s="752"/>
      <c r="T187" s="753"/>
      <c r="U187" s="752"/>
      <c r="V187" s="752"/>
      <c r="W187" s="754"/>
      <c r="X187" s="755"/>
      <c r="Y187" s="756"/>
      <c r="Z187" s="757"/>
      <c r="AA187" s="750"/>
    </row>
    <row r="188" spans="16:27">
      <c r="P188" s="752"/>
      <c r="Q188" s="752"/>
      <c r="R188" s="752"/>
      <c r="S188" s="752"/>
      <c r="T188" s="753"/>
      <c r="U188" s="752"/>
      <c r="V188" s="752"/>
      <c r="W188" s="754"/>
      <c r="X188" s="755"/>
      <c r="Y188" s="756"/>
      <c r="Z188" s="757"/>
      <c r="AA188" s="750"/>
    </row>
    <row r="189" spans="16:27">
      <c r="P189" s="752"/>
      <c r="Q189" s="752"/>
      <c r="R189" s="752"/>
      <c r="S189" s="752"/>
      <c r="T189" s="753"/>
      <c r="U189" s="752"/>
      <c r="V189" s="752"/>
      <c r="W189" s="754"/>
      <c r="X189" s="755"/>
      <c r="Y189" s="756"/>
      <c r="Z189" s="757"/>
      <c r="AA189" s="750"/>
    </row>
    <row r="190" spans="16:27">
      <c r="P190" s="752"/>
      <c r="Q190" s="752"/>
      <c r="R190" s="752"/>
      <c r="S190" s="752"/>
      <c r="T190" s="753"/>
      <c r="U190" s="752"/>
      <c r="V190" s="752"/>
      <c r="W190" s="754"/>
      <c r="X190" s="755"/>
      <c r="Y190" s="756"/>
      <c r="Z190" s="757"/>
      <c r="AA190" s="750"/>
    </row>
    <row r="191" spans="16:27">
      <c r="P191" s="752"/>
      <c r="Q191" s="752"/>
      <c r="R191" s="752"/>
      <c r="S191" s="752"/>
      <c r="T191" s="753"/>
      <c r="U191" s="752"/>
      <c r="V191" s="752"/>
      <c r="W191" s="754"/>
      <c r="X191" s="755"/>
      <c r="Y191" s="756"/>
      <c r="Z191" s="757"/>
      <c r="AA191" s="750"/>
    </row>
    <row r="192" spans="16:27">
      <c r="P192" s="752"/>
      <c r="Q192" s="752"/>
      <c r="R192" s="752"/>
      <c r="S192" s="752"/>
      <c r="T192" s="753"/>
      <c r="U192" s="752"/>
      <c r="V192" s="752"/>
      <c r="W192" s="754"/>
      <c r="X192" s="755"/>
      <c r="Y192" s="756"/>
      <c r="Z192" s="757"/>
      <c r="AA192" s="750"/>
    </row>
    <row r="193" spans="16:27">
      <c r="P193" s="752"/>
      <c r="Q193" s="752"/>
      <c r="R193" s="752"/>
      <c r="S193" s="752"/>
      <c r="T193" s="753"/>
      <c r="U193" s="752"/>
      <c r="V193" s="752"/>
      <c r="W193" s="754"/>
      <c r="X193" s="755"/>
      <c r="Y193" s="756"/>
      <c r="Z193" s="757"/>
      <c r="AA193" s="750"/>
    </row>
    <row r="194" spans="16:27">
      <c r="P194" s="752"/>
      <c r="Q194" s="752"/>
      <c r="R194" s="752"/>
      <c r="S194" s="752"/>
      <c r="T194" s="753"/>
      <c r="U194" s="752"/>
      <c r="V194" s="752"/>
      <c r="W194" s="754"/>
      <c r="X194" s="755"/>
      <c r="Y194" s="756"/>
      <c r="Z194" s="757"/>
      <c r="AA194" s="750"/>
    </row>
    <row r="195" spans="16:27">
      <c r="P195" s="752"/>
      <c r="Q195" s="752"/>
      <c r="R195" s="752"/>
      <c r="S195" s="752"/>
      <c r="T195" s="753"/>
      <c r="U195" s="752"/>
      <c r="V195" s="752"/>
      <c r="W195" s="754"/>
      <c r="X195" s="755"/>
      <c r="Y195" s="756"/>
      <c r="Z195" s="757"/>
      <c r="AA195" s="750"/>
    </row>
    <row r="196" spans="16:27">
      <c r="P196" s="752"/>
      <c r="Q196" s="752"/>
      <c r="R196" s="752"/>
      <c r="S196" s="752"/>
      <c r="T196" s="753"/>
      <c r="U196" s="752"/>
      <c r="V196" s="752"/>
      <c r="W196" s="754"/>
      <c r="X196" s="755"/>
      <c r="Y196" s="756"/>
      <c r="Z196" s="757"/>
      <c r="AA196" s="750"/>
    </row>
    <row r="197" spans="16:27">
      <c r="P197" s="752"/>
      <c r="Q197" s="752"/>
      <c r="R197" s="752"/>
      <c r="S197" s="752"/>
      <c r="T197" s="753"/>
      <c r="U197" s="752"/>
      <c r="V197" s="752"/>
      <c r="W197" s="754"/>
      <c r="X197" s="755"/>
      <c r="Y197" s="756"/>
      <c r="Z197" s="757"/>
      <c r="AA197" s="750"/>
    </row>
    <row r="198" spans="16:27">
      <c r="P198" s="752"/>
      <c r="Q198" s="752"/>
      <c r="R198" s="752"/>
      <c r="S198" s="752"/>
      <c r="T198" s="753"/>
      <c r="U198" s="752"/>
      <c r="V198" s="752"/>
      <c r="W198" s="754"/>
      <c r="X198" s="755"/>
      <c r="Y198" s="756"/>
      <c r="Z198" s="757"/>
      <c r="AA198" s="750"/>
    </row>
    <row r="199" spans="16:27">
      <c r="P199" s="752"/>
      <c r="Q199" s="752"/>
      <c r="R199" s="752"/>
      <c r="S199" s="752"/>
      <c r="T199" s="753"/>
      <c r="U199" s="752"/>
      <c r="V199" s="752"/>
      <c r="W199" s="754"/>
      <c r="X199" s="755"/>
      <c r="Y199" s="756"/>
      <c r="Z199" s="757"/>
      <c r="AA199" s="750"/>
    </row>
    <row r="200" spans="16:27">
      <c r="P200" s="752"/>
      <c r="Q200" s="752"/>
      <c r="R200" s="752"/>
      <c r="S200" s="752"/>
      <c r="T200" s="753"/>
      <c r="U200" s="752"/>
      <c r="V200" s="752"/>
      <c r="W200" s="754"/>
      <c r="X200" s="755"/>
      <c r="Y200" s="756"/>
      <c r="Z200" s="757"/>
      <c r="AA200" s="750"/>
    </row>
    <row r="201" spans="16:27">
      <c r="P201" s="752"/>
      <c r="Q201" s="752"/>
      <c r="R201" s="752"/>
      <c r="S201" s="752"/>
      <c r="T201" s="753"/>
      <c r="U201" s="752"/>
      <c r="V201" s="752"/>
      <c r="W201" s="754"/>
      <c r="X201" s="755"/>
      <c r="Y201" s="756"/>
      <c r="Z201" s="757"/>
      <c r="AA201" s="750"/>
    </row>
    <row r="202" spans="16:27">
      <c r="P202" s="752"/>
      <c r="Q202" s="752"/>
      <c r="R202" s="752"/>
      <c r="S202" s="752"/>
      <c r="T202" s="753"/>
      <c r="U202" s="752"/>
      <c r="V202" s="752"/>
      <c r="W202" s="754"/>
      <c r="X202" s="755"/>
      <c r="Y202" s="756"/>
      <c r="Z202" s="757"/>
      <c r="AA202" s="750"/>
    </row>
    <row r="203" spans="16:27">
      <c r="P203" s="752"/>
      <c r="Q203" s="752"/>
      <c r="R203" s="752"/>
      <c r="S203" s="752"/>
      <c r="T203" s="753"/>
      <c r="U203" s="752"/>
      <c r="V203" s="752"/>
      <c r="W203" s="754"/>
      <c r="X203" s="755"/>
      <c r="Y203" s="756"/>
      <c r="Z203" s="757"/>
      <c r="AA203" s="750"/>
    </row>
    <row r="204" spans="16:27">
      <c r="P204" s="752"/>
      <c r="Q204" s="752"/>
      <c r="R204" s="752"/>
      <c r="S204" s="752"/>
      <c r="T204" s="753"/>
      <c r="U204" s="752"/>
      <c r="V204" s="752"/>
      <c r="W204" s="754"/>
      <c r="X204" s="755"/>
      <c r="Y204" s="756"/>
      <c r="Z204" s="757"/>
      <c r="AA204" s="750"/>
    </row>
    <row r="205" spans="16:27">
      <c r="P205" s="752"/>
      <c r="Q205" s="752"/>
      <c r="R205" s="752"/>
      <c r="S205" s="752"/>
      <c r="T205" s="753"/>
      <c r="U205" s="752"/>
      <c r="V205" s="752"/>
      <c r="W205" s="754"/>
      <c r="X205" s="755"/>
      <c r="Y205" s="756"/>
      <c r="Z205" s="757"/>
      <c r="AA205" s="750"/>
    </row>
    <row r="206" spans="16:27">
      <c r="P206" s="752"/>
      <c r="Q206" s="752"/>
      <c r="R206" s="752"/>
      <c r="S206" s="752"/>
      <c r="T206" s="753"/>
      <c r="U206" s="752"/>
      <c r="V206" s="752"/>
      <c r="W206" s="754"/>
      <c r="X206" s="755"/>
      <c r="Y206" s="756"/>
      <c r="Z206" s="757"/>
      <c r="AA206" s="750"/>
    </row>
    <row r="207" spans="16:27">
      <c r="P207" s="752"/>
      <c r="Q207" s="752"/>
      <c r="R207" s="752"/>
      <c r="S207" s="752"/>
      <c r="T207" s="753"/>
      <c r="U207" s="752"/>
      <c r="V207" s="752"/>
      <c r="W207" s="754"/>
      <c r="X207" s="755"/>
      <c r="Y207" s="756"/>
      <c r="Z207" s="757"/>
      <c r="AA207" s="750"/>
    </row>
    <row r="208" spans="16:27">
      <c r="P208" s="752"/>
      <c r="Q208" s="752"/>
      <c r="R208" s="752"/>
      <c r="S208" s="752"/>
      <c r="T208" s="753"/>
      <c r="U208" s="752"/>
      <c r="V208" s="752"/>
      <c r="W208" s="754"/>
      <c r="X208" s="755"/>
      <c r="Y208" s="756"/>
      <c r="Z208" s="757"/>
      <c r="AA208" s="750"/>
    </row>
    <row r="209" spans="16:27">
      <c r="P209" s="752"/>
      <c r="Q209" s="752"/>
      <c r="R209" s="752"/>
      <c r="S209" s="752"/>
      <c r="T209" s="753"/>
      <c r="U209" s="752"/>
      <c r="V209" s="752"/>
      <c r="W209" s="754"/>
      <c r="X209" s="755"/>
      <c r="Y209" s="756"/>
      <c r="Z209" s="757"/>
      <c r="AA209" s="750"/>
    </row>
    <row r="210" spans="16:27">
      <c r="P210" s="752"/>
      <c r="Q210" s="752"/>
      <c r="R210" s="752"/>
      <c r="S210" s="752"/>
      <c r="T210" s="753"/>
      <c r="U210" s="752"/>
      <c r="V210" s="752"/>
      <c r="W210" s="754"/>
      <c r="X210" s="755"/>
      <c r="Y210" s="756"/>
      <c r="Z210" s="757"/>
      <c r="AA210" s="750"/>
    </row>
    <row r="211" spans="16:27">
      <c r="P211" s="752"/>
      <c r="Q211" s="752"/>
      <c r="R211" s="752"/>
      <c r="S211" s="752"/>
      <c r="T211" s="753"/>
      <c r="U211" s="752"/>
      <c r="V211" s="752"/>
      <c r="W211" s="754"/>
      <c r="X211" s="755"/>
      <c r="Y211" s="756"/>
      <c r="Z211" s="757"/>
      <c r="AA211" s="750"/>
    </row>
    <row r="212" spans="16:27">
      <c r="P212" s="752"/>
      <c r="Q212" s="752"/>
      <c r="R212" s="752"/>
      <c r="S212" s="752"/>
      <c r="T212" s="753"/>
      <c r="U212" s="752"/>
      <c r="V212" s="752"/>
      <c r="W212" s="754"/>
      <c r="X212" s="755"/>
      <c r="Y212" s="756"/>
      <c r="Z212" s="757"/>
      <c r="AA212" s="750"/>
    </row>
    <row r="213" spans="16:27">
      <c r="P213" s="752"/>
      <c r="Q213" s="752"/>
      <c r="R213" s="752"/>
      <c r="S213" s="752"/>
      <c r="T213" s="753"/>
      <c r="U213" s="752"/>
      <c r="V213" s="752"/>
      <c r="W213" s="754"/>
      <c r="X213" s="755"/>
      <c r="Y213" s="756"/>
      <c r="Z213" s="757"/>
      <c r="AA213" s="750"/>
    </row>
    <row r="214" spans="16:27">
      <c r="P214" s="752"/>
      <c r="Q214" s="752"/>
      <c r="R214" s="752"/>
      <c r="S214" s="752"/>
      <c r="T214" s="753"/>
      <c r="U214" s="752"/>
      <c r="V214" s="752"/>
      <c r="W214" s="754"/>
      <c r="X214" s="755"/>
      <c r="Y214" s="756"/>
      <c r="Z214" s="757"/>
      <c r="AA214" s="750"/>
    </row>
    <row r="215" spans="16:27">
      <c r="P215" s="752"/>
      <c r="Q215" s="752"/>
      <c r="R215" s="752"/>
      <c r="S215" s="752"/>
      <c r="T215" s="753"/>
      <c r="U215" s="752"/>
      <c r="V215" s="752"/>
      <c r="W215" s="754"/>
      <c r="X215" s="755"/>
      <c r="Y215" s="756"/>
      <c r="Z215" s="757"/>
      <c r="AA215" s="750"/>
    </row>
    <row r="216" spans="16:27">
      <c r="P216" s="752"/>
      <c r="Q216" s="752"/>
      <c r="R216" s="752"/>
      <c r="S216" s="752"/>
      <c r="T216" s="753"/>
      <c r="U216" s="752"/>
      <c r="V216" s="752"/>
      <c r="W216" s="754"/>
      <c r="X216" s="755"/>
      <c r="Y216" s="756"/>
      <c r="Z216" s="757"/>
      <c r="AA216" s="750"/>
    </row>
    <row r="217" spans="16:27">
      <c r="P217" s="752"/>
      <c r="Q217" s="752"/>
      <c r="R217" s="752"/>
      <c r="S217" s="752"/>
      <c r="T217" s="753"/>
      <c r="U217" s="752"/>
      <c r="V217" s="752"/>
      <c r="W217" s="754"/>
      <c r="X217" s="755"/>
      <c r="Y217" s="756"/>
      <c r="Z217" s="757"/>
      <c r="AA217" s="750"/>
    </row>
    <row r="218" spans="16:27">
      <c r="P218" s="752"/>
      <c r="Q218" s="752"/>
      <c r="R218" s="752"/>
      <c r="S218" s="752"/>
      <c r="T218" s="753"/>
      <c r="U218" s="752"/>
      <c r="V218" s="752"/>
      <c r="W218" s="754"/>
      <c r="X218" s="755"/>
      <c r="Y218" s="756"/>
      <c r="Z218" s="757"/>
      <c r="AA218" s="750"/>
    </row>
    <row r="219" spans="16:27">
      <c r="P219" s="752"/>
      <c r="Q219" s="752"/>
      <c r="R219" s="752"/>
      <c r="S219" s="752"/>
      <c r="T219" s="753"/>
      <c r="U219" s="752"/>
      <c r="V219" s="752"/>
      <c r="W219" s="754"/>
      <c r="X219" s="755"/>
      <c r="Y219" s="756"/>
      <c r="Z219" s="757"/>
      <c r="AA219" s="750"/>
    </row>
    <row r="220" spans="16:27">
      <c r="P220" s="752"/>
      <c r="Q220" s="752"/>
      <c r="R220" s="752"/>
      <c r="S220" s="752"/>
      <c r="T220" s="753"/>
      <c r="U220" s="752"/>
      <c r="V220" s="752"/>
      <c r="W220" s="754"/>
      <c r="X220" s="755"/>
      <c r="Y220" s="756"/>
      <c r="Z220" s="757"/>
      <c r="AA220" s="750"/>
    </row>
    <row r="221" spans="16:27">
      <c r="P221" s="752"/>
      <c r="Q221" s="752"/>
      <c r="R221" s="752"/>
      <c r="S221" s="752"/>
      <c r="T221" s="753"/>
      <c r="U221" s="752"/>
      <c r="V221" s="752"/>
      <c r="W221" s="754"/>
      <c r="X221" s="755"/>
      <c r="Y221" s="756"/>
      <c r="Z221" s="757"/>
      <c r="AA221" s="750"/>
    </row>
    <row r="222" spans="16:27">
      <c r="P222" s="752"/>
      <c r="Q222" s="752"/>
      <c r="R222" s="752"/>
      <c r="S222" s="752"/>
      <c r="T222" s="753"/>
      <c r="U222" s="752"/>
      <c r="V222" s="752"/>
      <c r="W222" s="754"/>
      <c r="X222" s="755"/>
      <c r="Y222" s="756"/>
      <c r="Z222" s="757"/>
      <c r="AA222" s="750"/>
    </row>
    <row r="223" spans="16:27">
      <c r="P223" s="752"/>
      <c r="Q223" s="752"/>
      <c r="R223" s="752"/>
      <c r="S223" s="752"/>
      <c r="T223" s="753"/>
      <c r="U223" s="752"/>
      <c r="V223" s="752"/>
      <c r="W223" s="754"/>
      <c r="X223" s="755"/>
      <c r="Y223" s="756"/>
      <c r="Z223" s="757"/>
      <c r="AA223" s="750"/>
    </row>
    <row r="224" spans="16:27">
      <c r="P224" s="752"/>
      <c r="Q224" s="752"/>
      <c r="R224" s="752"/>
      <c r="S224" s="752"/>
      <c r="T224" s="753"/>
      <c r="U224" s="752"/>
      <c r="V224" s="752"/>
      <c r="W224" s="754"/>
      <c r="X224" s="755"/>
      <c r="Y224" s="756"/>
      <c r="Z224" s="757"/>
      <c r="AA224" s="750"/>
    </row>
    <row r="225" spans="16:27">
      <c r="P225" s="752"/>
      <c r="Q225" s="752"/>
      <c r="R225" s="752"/>
      <c r="S225" s="752"/>
      <c r="T225" s="753"/>
      <c r="U225" s="752"/>
      <c r="V225" s="752"/>
      <c r="W225" s="754"/>
      <c r="X225" s="755"/>
      <c r="Y225" s="756"/>
      <c r="Z225" s="757"/>
      <c r="AA225" s="750"/>
    </row>
    <row r="226" spans="16:27">
      <c r="P226" s="752"/>
      <c r="Q226" s="752"/>
      <c r="R226" s="752"/>
      <c r="S226" s="752"/>
      <c r="T226" s="753"/>
      <c r="U226" s="752"/>
      <c r="V226" s="752"/>
      <c r="W226" s="754"/>
      <c r="X226" s="755"/>
      <c r="Y226" s="756"/>
      <c r="Z226" s="757"/>
      <c r="AA226" s="750"/>
    </row>
    <row r="227" spans="16:27">
      <c r="P227" s="752"/>
      <c r="Q227" s="752"/>
      <c r="R227" s="752"/>
      <c r="S227" s="752"/>
      <c r="T227" s="753"/>
      <c r="U227" s="752"/>
      <c r="V227" s="752"/>
      <c r="W227" s="754"/>
      <c r="X227" s="755"/>
      <c r="Y227" s="756"/>
      <c r="Z227" s="757"/>
      <c r="AA227" s="750"/>
    </row>
    <row r="228" spans="16:27">
      <c r="P228" s="752"/>
      <c r="Q228" s="752"/>
      <c r="R228" s="752"/>
      <c r="S228" s="752"/>
      <c r="T228" s="753"/>
      <c r="U228" s="752"/>
      <c r="V228" s="752"/>
      <c r="W228" s="754"/>
      <c r="X228" s="755"/>
      <c r="Y228" s="756"/>
      <c r="Z228" s="757"/>
      <c r="AA228" s="750"/>
    </row>
    <row r="229" spans="16:27">
      <c r="P229" s="752"/>
      <c r="Q229" s="752"/>
      <c r="R229" s="752"/>
      <c r="S229" s="752"/>
      <c r="T229" s="753"/>
      <c r="U229" s="752"/>
      <c r="V229" s="752"/>
      <c r="W229" s="754"/>
      <c r="X229" s="755"/>
      <c r="Y229" s="756"/>
      <c r="Z229" s="757"/>
      <c r="AA229" s="750"/>
    </row>
    <row r="230" spans="16:27">
      <c r="P230" s="752"/>
      <c r="Q230" s="752"/>
      <c r="R230" s="752"/>
      <c r="S230" s="752"/>
      <c r="T230" s="753"/>
      <c r="U230" s="752"/>
      <c r="V230" s="752"/>
      <c r="W230" s="754"/>
      <c r="X230" s="755"/>
      <c r="Y230" s="756"/>
      <c r="Z230" s="757"/>
      <c r="AA230" s="750"/>
    </row>
    <row r="231" spans="16:27">
      <c r="P231" s="752"/>
      <c r="Q231" s="752"/>
      <c r="R231" s="752"/>
      <c r="S231" s="752"/>
      <c r="T231" s="753"/>
      <c r="U231" s="752"/>
      <c r="V231" s="752"/>
      <c r="W231" s="754"/>
      <c r="X231" s="755"/>
      <c r="Y231" s="756"/>
      <c r="Z231" s="757"/>
      <c r="AA231" s="750"/>
    </row>
    <row r="232" spans="16:27">
      <c r="P232" s="752"/>
      <c r="Q232" s="752"/>
      <c r="R232" s="752"/>
      <c r="S232" s="752"/>
      <c r="T232" s="753"/>
      <c r="U232" s="752"/>
      <c r="V232" s="752"/>
      <c r="W232" s="754"/>
      <c r="X232" s="755"/>
      <c r="Y232" s="756"/>
      <c r="Z232" s="757"/>
      <c r="AA232" s="750"/>
    </row>
    <row r="233" spans="16:27">
      <c r="P233" s="752"/>
      <c r="Q233" s="752"/>
      <c r="R233" s="752"/>
      <c r="S233" s="752"/>
      <c r="T233" s="753"/>
      <c r="U233" s="752"/>
      <c r="V233" s="752"/>
      <c r="W233" s="754"/>
      <c r="X233" s="755"/>
      <c r="Y233" s="756"/>
      <c r="Z233" s="757"/>
      <c r="AA233" s="750"/>
    </row>
    <row r="234" spans="16:27">
      <c r="P234" s="752"/>
      <c r="Q234" s="752"/>
      <c r="R234" s="752"/>
      <c r="S234" s="752"/>
      <c r="T234" s="753"/>
      <c r="U234" s="752"/>
      <c r="V234" s="752"/>
      <c r="W234" s="754"/>
      <c r="X234" s="755"/>
      <c r="Y234" s="756"/>
      <c r="Z234" s="757"/>
      <c r="AA234" s="750"/>
    </row>
    <row r="235" spans="16:27">
      <c r="P235" s="752"/>
      <c r="Q235" s="752"/>
      <c r="R235" s="752"/>
      <c r="S235" s="752"/>
      <c r="T235" s="753"/>
      <c r="U235" s="752"/>
      <c r="V235" s="752"/>
      <c r="W235" s="754"/>
      <c r="X235" s="755"/>
      <c r="Y235" s="756"/>
      <c r="Z235" s="757"/>
      <c r="AA235" s="750"/>
    </row>
    <row r="236" spans="16:27">
      <c r="P236" s="752"/>
      <c r="Q236" s="752"/>
      <c r="R236" s="752"/>
      <c r="S236" s="752"/>
      <c r="T236" s="753"/>
      <c r="U236" s="752"/>
      <c r="V236" s="752"/>
      <c r="W236" s="754"/>
      <c r="X236" s="755"/>
      <c r="Y236" s="756"/>
      <c r="Z236" s="757"/>
      <c r="AA236" s="750"/>
    </row>
    <row r="237" spans="16:27">
      <c r="P237" s="752"/>
      <c r="Q237" s="752"/>
      <c r="R237" s="752"/>
      <c r="S237" s="752"/>
      <c r="T237" s="753"/>
      <c r="U237" s="752"/>
      <c r="V237" s="752"/>
      <c r="W237" s="754"/>
      <c r="X237" s="755"/>
      <c r="Y237" s="756"/>
      <c r="Z237" s="757"/>
      <c r="AA237" s="750"/>
    </row>
    <row r="238" spans="16:27">
      <c r="P238" s="752"/>
      <c r="Q238" s="752"/>
      <c r="R238" s="752"/>
      <c r="S238" s="752"/>
      <c r="T238" s="753"/>
      <c r="U238" s="752"/>
      <c r="V238" s="752"/>
      <c r="W238" s="754"/>
      <c r="X238" s="755"/>
      <c r="Y238" s="756"/>
      <c r="Z238" s="757"/>
      <c r="AA238" s="750"/>
    </row>
    <row r="239" spans="16:27">
      <c r="P239" s="752"/>
      <c r="Q239" s="752"/>
      <c r="R239" s="752"/>
      <c r="S239" s="752"/>
      <c r="T239" s="753"/>
      <c r="U239" s="752"/>
      <c r="V239" s="752"/>
      <c r="W239" s="754"/>
      <c r="X239" s="755"/>
      <c r="Y239" s="756"/>
      <c r="Z239" s="757"/>
      <c r="AA239" s="750"/>
    </row>
    <row r="240" spans="16:27">
      <c r="P240" s="752"/>
      <c r="Q240" s="752"/>
      <c r="R240" s="752"/>
      <c r="S240" s="752"/>
      <c r="T240" s="753"/>
      <c r="U240" s="752"/>
      <c r="V240" s="752"/>
      <c r="W240" s="754"/>
      <c r="X240" s="755"/>
      <c r="Y240" s="756"/>
      <c r="Z240" s="757"/>
      <c r="AA240" s="750"/>
    </row>
    <row r="241" spans="16:27">
      <c r="P241" s="752"/>
      <c r="Q241" s="752"/>
      <c r="R241" s="752"/>
      <c r="S241" s="752"/>
      <c r="T241" s="753"/>
      <c r="U241" s="752"/>
      <c r="V241" s="752"/>
      <c r="W241" s="754"/>
      <c r="X241" s="755"/>
      <c r="Y241" s="756"/>
      <c r="Z241" s="757"/>
      <c r="AA241" s="750"/>
    </row>
    <row r="242" spans="16:27">
      <c r="P242" s="752"/>
      <c r="Q242" s="752"/>
      <c r="R242" s="752"/>
      <c r="S242" s="752"/>
      <c r="T242" s="753"/>
      <c r="U242" s="752"/>
      <c r="V242" s="752"/>
      <c r="W242" s="754"/>
      <c r="X242" s="755"/>
      <c r="Y242" s="756"/>
      <c r="Z242" s="757"/>
      <c r="AA242" s="750"/>
    </row>
    <row r="243" spans="16:27">
      <c r="P243" s="752"/>
      <c r="Q243" s="752"/>
      <c r="R243" s="752"/>
      <c r="S243" s="752"/>
      <c r="T243" s="753"/>
      <c r="U243" s="752"/>
      <c r="V243" s="752"/>
      <c r="W243" s="754"/>
      <c r="X243" s="755"/>
      <c r="Y243" s="756"/>
      <c r="Z243" s="757"/>
      <c r="AA243" s="750"/>
    </row>
    <row r="244" spans="16:27">
      <c r="P244" s="752"/>
      <c r="Q244" s="752"/>
      <c r="R244" s="752"/>
      <c r="S244" s="752"/>
      <c r="T244" s="753"/>
      <c r="U244" s="752"/>
      <c r="V244" s="752"/>
      <c r="W244" s="754"/>
      <c r="X244" s="755"/>
      <c r="Y244" s="756"/>
      <c r="Z244" s="757"/>
      <c r="AA244" s="750"/>
    </row>
    <row r="245" spans="16:27">
      <c r="P245" s="752"/>
      <c r="Q245" s="752"/>
      <c r="R245" s="752"/>
      <c r="S245" s="752"/>
      <c r="T245" s="753"/>
      <c r="U245" s="752"/>
      <c r="V245" s="752"/>
      <c r="W245" s="754"/>
      <c r="X245" s="755"/>
      <c r="Y245" s="756"/>
      <c r="Z245" s="757"/>
      <c r="AA245" s="750"/>
    </row>
    <row r="246" spans="16:27">
      <c r="P246" s="752"/>
      <c r="Q246" s="752"/>
      <c r="R246" s="752"/>
      <c r="S246" s="752"/>
      <c r="T246" s="753"/>
      <c r="U246" s="752"/>
      <c r="V246" s="752"/>
      <c r="W246" s="754"/>
      <c r="X246" s="755"/>
      <c r="Y246" s="756"/>
      <c r="Z246" s="757"/>
      <c r="AA246" s="750"/>
    </row>
    <row r="247" spans="16:27">
      <c r="P247" s="752"/>
      <c r="Q247" s="752"/>
      <c r="R247" s="752"/>
      <c r="S247" s="752"/>
      <c r="T247" s="753"/>
      <c r="U247" s="752"/>
      <c r="V247" s="752"/>
      <c r="W247" s="754"/>
      <c r="X247" s="755"/>
      <c r="Y247" s="756"/>
      <c r="Z247" s="757"/>
      <c r="AA247" s="750"/>
    </row>
    <row r="248" spans="16:27">
      <c r="P248" s="752"/>
      <c r="Q248" s="752"/>
      <c r="R248" s="752"/>
      <c r="S248" s="752"/>
      <c r="T248" s="753"/>
      <c r="U248" s="752"/>
      <c r="V248" s="752"/>
      <c r="W248" s="754"/>
      <c r="X248" s="755"/>
      <c r="Y248" s="756"/>
      <c r="Z248" s="757"/>
      <c r="AA248" s="750"/>
    </row>
    <row r="249" spans="16:27">
      <c r="P249" s="752"/>
      <c r="Q249" s="752"/>
      <c r="R249" s="752"/>
      <c r="S249" s="752"/>
      <c r="T249" s="753"/>
      <c r="U249" s="752"/>
      <c r="V249" s="752"/>
      <c r="W249" s="754"/>
      <c r="X249" s="755"/>
      <c r="Y249" s="756"/>
      <c r="Z249" s="757"/>
      <c r="AA249" s="750"/>
    </row>
    <row r="250" spans="16:27">
      <c r="P250" s="752"/>
      <c r="Q250" s="752"/>
      <c r="R250" s="752"/>
      <c r="S250" s="752"/>
      <c r="T250" s="753"/>
      <c r="U250" s="752"/>
      <c r="V250" s="752"/>
      <c r="W250" s="754"/>
      <c r="X250" s="755"/>
      <c r="Y250" s="756"/>
      <c r="Z250" s="757"/>
      <c r="AA250" s="750"/>
    </row>
    <row r="251" spans="16:27">
      <c r="P251" s="752"/>
      <c r="Q251" s="752"/>
      <c r="R251" s="752"/>
      <c r="S251" s="752"/>
      <c r="T251" s="753"/>
      <c r="U251" s="752"/>
      <c r="V251" s="752"/>
      <c r="W251" s="754"/>
      <c r="X251" s="755"/>
      <c r="Y251" s="756"/>
      <c r="Z251" s="757"/>
      <c r="AA251" s="750"/>
    </row>
    <row r="252" spans="16:27">
      <c r="P252" s="752"/>
      <c r="Q252" s="752"/>
      <c r="R252" s="752"/>
      <c r="S252" s="752"/>
      <c r="T252" s="753"/>
      <c r="U252" s="752"/>
      <c r="V252" s="752"/>
      <c r="W252" s="754"/>
      <c r="X252" s="755"/>
      <c r="Y252" s="756"/>
      <c r="Z252" s="757"/>
      <c r="AA252" s="750"/>
    </row>
    <row r="253" spans="16:27">
      <c r="P253" s="752"/>
      <c r="Q253" s="752"/>
      <c r="R253" s="752"/>
      <c r="S253" s="752"/>
      <c r="T253" s="753"/>
      <c r="U253" s="752"/>
      <c r="V253" s="752"/>
      <c r="W253" s="754"/>
      <c r="X253" s="755"/>
      <c r="Y253" s="756"/>
      <c r="Z253" s="757"/>
      <c r="AA253" s="750"/>
    </row>
    <row r="254" spans="16:27">
      <c r="P254" s="752"/>
      <c r="Q254" s="752"/>
      <c r="R254" s="752"/>
      <c r="S254" s="752"/>
      <c r="T254" s="753"/>
      <c r="U254" s="752"/>
      <c r="V254" s="752"/>
      <c r="W254" s="754"/>
      <c r="X254" s="755"/>
      <c r="Y254" s="756"/>
      <c r="Z254" s="757"/>
      <c r="AA254" s="750"/>
    </row>
    <row r="255" spans="16:27">
      <c r="P255" s="752"/>
      <c r="Q255" s="752"/>
      <c r="R255" s="752"/>
      <c r="S255" s="752"/>
      <c r="T255" s="753"/>
      <c r="U255" s="752"/>
      <c r="V255" s="752"/>
      <c r="W255" s="754"/>
      <c r="X255" s="755"/>
      <c r="Y255" s="756"/>
      <c r="Z255" s="757"/>
      <c r="AA255" s="750"/>
    </row>
    <row r="256" spans="16:27">
      <c r="P256" s="752"/>
      <c r="Q256" s="752"/>
      <c r="R256" s="752"/>
      <c r="S256" s="752"/>
      <c r="T256" s="753"/>
      <c r="U256" s="752"/>
      <c r="V256" s="752"/>
      <c r="W256" s="754"/>
      <c r="X256" s="755"/>
      <c r="Y256" s="756"/>
      <c r="Z256" s="757"/>
      <c r="AA256" s="750"/>
    </row>
    <row r="257" spans="16:27">
      <c r="P257" s="752"/>
      <c r="Q257" s="752"/>
      <c r="R257" s="752"/>
      <c r="S257" s="752"/>
      <c r="T257" s="753"/>
      <c r="U257" s="752"/>
      <c r="V257" s="752"/>
      <c r="W257" s="754"/>
      <c r="X257" s="755"/>
      <c r="Y257" s="756"/>
      <c r="Z257" s="757"/>
      <c r="AA257" s="750"/>
    </row>
    <row r="258" spans="16:27">
      <c r="P258" s="752"/>
      <c r="Q258" s="752"/>
      <c r="R258" s="752"/>
      <c r="S258" s="752"/>
      <c r="T258" s="753"/>
      <c r="U258" s="752"/>
      <c r="V258" s="752"/>
      <c r="W258" s="754"/>
      <c r="X258" s="755"/>
      <c r="Y258" s="756"/>
      <c r="Z258" s="757"/>
      <c r="AA258" s="750"/>
    </row>
    <row r="259" spans="16:27">
      <c r="P259" s="752"/>
      <c r="Q259" s="752"/>
      <c r="R259" s="752"/>
      <c r="S259" s="752"/>
      <c r="T259" s="753"/>
      <c r="U259" s="752"/>
      <c r="V259" s="752"/>
      <c r="W259" s="754"/>
      <c r="X259" s="755"/>
      <c r="Y259" s="756"/>
      <c r="Z259" s="757"/>
      <c r="AA259" s="750"/>
    </row>
    <row r="260" spans="16:27">
      <c r="P260" s="752"/>
      <c r="Q260" s="752"/>
      <c r="R260" s="752"/>
      <c r="S260" s="752"/>
      <c r="T260" s="753"/>
      <c r="U260" s="752"/>
      <c r="V260" s="752"/>
      <c r="W260" s="754"/>
      <c r="X260" s="755"/>
      <c r="Y260" s="756"/>
      <c r="Z260" s="757"/>
      <c r="AA260" s="750"/>
    </row>
    <row r="261" spans="16:27">
      <c r="P261" s="752"/>
      <c r="Q261" s="752"/>
      <c r="R261" s="752"/>
      <c r="S261" s="752"/>
      <c r="T261" s="753"/>
      <c r="U261" s="752"/>
      <c r="V261" s="752"/>
      <c r="W261" s="754"/>
      <c r="X261" s="755"/>
      <c r="Y261" s="756"/>
      <c r="Z261" s="757"/>
      <c r="AA261" s="750"/>
    </row>
    <row r="262" spans="16:27">
      <c r="P262" s="752"/>
      <c r="Q262" s="752"/>
      <c r="R262" s="752"/>
      <c r="S262" s="752"/>
      <c r="T262" s="753"/>
      <c r="U262" s="752"/>
      <c r="V262" s="752"/>
      <c r="W262" s="754"/>
      <c r="X262" s="755"/>
      <c r="Y262" s="756"/>
      <c r="Z262" s="757"/>
      <c r="AA262" s="750"/>
    </row>
    <row r="263" spans="16:27">
      <c r="P263" s="752"/>
      <c r="Q263" s="752"/>
      <c r="R263" s="752"/>
      <c r="S263" s="752"/>
      <c r="T263" s="753"/>
      <c r="U263" s="752"/>
      <c r="V263" s="752"/>
      <c r="W263" s="754"/>
      <c r="X263" s="755"/>
      <c r="Y263" s="756"/>
      <c r="Z263" s="757"/>
      <c r="AA263" s="750"/>
    </row>
    <row r="264" spans="16:27">
      <c r="P264" s="752"/>
      <c r="Q264" s="752"/>
      <c r="R264" s="752"/>
      <c r="S264" s="752"/>
      <c r="T264" s="753"/>
      <c r="U264" s="752"/>
      <c r="V264" s="752"/>
      <c r="W264" s="754"/>
      <c r="X264" s="755"/>
      <c r="Y264" s="756"/>
      <c r="Z264" s="757"/>
      <c r="AA264" s="750"/>
    </row>
    <row r="265" spans="16:27">
      <c r="P265" s="752"/>
      <c r="Q265" s="752"/>
      <c r="R265" s="752"/>
      <c r="S265" s="752"/>
      <c r="T265" s="753"/>
      <c r="U265" s="752"/>
      <c r="V265" s="752"/>
      <c r="W265" s="754"/>
      <c r="X265" s="755"/>
      <c r="Y265" s="756"/>
      <c r="Z265" s="757"/>
      <c r="AA265" s="750"/>
    </row>
    <row r="266" spans="16:27">
      <c r="P266" s="752"/>
      <c r="Q266" s="752"/>
      <c r="R266" s="752"/>
      <c r="S266" s="752"/>
      <c r="T266" s="753"/>
      <c r="U266" s="752"/>
      <c r="V266" s="752"/>
      <c r="W266" s="754"/>
      <c r="X266" s="755"/>
      <c r="Y266" s="756"/>
      <c r="Z266" s="757"/>
      <c r="AA266" s="750"/>
    </row>
    <row r="267" spans="16:27">
      <c r="P267" s="752"/>
      <c r="Q267" s="752"/>
      <c r="R267" s="752"/>
      <c r="S267" s="752"/>
      <c r="T267" s="753"/>
      <c r="U267" s="752"/>
      <c r="V267" s="752"/>
      <c r="W267" s="754"/>
      <c r="X267" s="755"/>
      <c r="Y267" s="756"/>
      <c r="Z267" s="757"/>
      <c r="AA267" s="750"/>
    </row>
    <row r="268" spans="16:27">
      <c r="P268" s="752"/>
      <c r="Q268" s="752"/>
      <c r="R268" s="752"/>
      <c r="S268" s="752"/>
      <c r="T268" s="753"/>
      <c r="U268" s="752"/>
      <c r="V268" s="752"/>
      <c r="W268" s="754"/>
      <c r="X268" s="755"/>
      <c r="Y268" s="756"/>
      <c r="Z268" s="757"/>
      <c r="AA268" s="750"/>
    </row>
    <row r="269" spans="16:27">
      <c r="P269" s="752"/>
      <c r="Q269" s="752"/>
      <c r="R269" s="752"/>
      <c r="S269" s="752"/>
      <c r="T269" s="753"/>
      <c r="U269" s="752"/>
      <c r="V269" s="752"/>
      <c r="W269" s="754"/>
      <c r="X269" s="755"/>
      <c r="Y269" s="756"/>
      <c r="Z269" s="757"/>
      <c r="AA269" s="750"/>
    </row>
    <row r="270" spans="16:27">
      <c r="P270" s="752"/>
      <c r="Q270" s="752"/>
      <c r="R270" s="752"/>
      <c r="S270" s="752"/>
      <c r="T270" s="753"/>
      <c r="U270" s="752"/>
      <c r="V270" s="752"/>
      <c r="W270" s="754"/>
      <c r="X270" s="755"/>
      <c r="Y270" s="756"/>
      <c r="Z270" s="757"/>
      <c r="AA270" s="750"/>
    </row>
    <row r="271" spans="16:27">
      <c r="P271" s="752"/>
      <c r="Q271" s="752"/>
      <c r="R271" s="752"/>
      <c r="S271" s="752"/>
      <c r="T271" s="753"/>
      <c r="U271" s="752"/>
      <c r="V271" s="752"/>
      <c r="W271" s="754"/>
      <c r="X271" s="755"/>
      <c r="Y271" s="756"/>
      <c r="Z271" s="757"/>
      <c r="AA271" s="750"/>
    </row>
    <row r="272" spans="16:27">
      <c r="P272" s="752"/>
      <c r="Q272" s="752"/>
      <c r="R272" s="752"/>
      <c r="S272" s="752"/>
      <c r="T272" s="753"/>
      <c r="U272" s="752"/>
      <c r="V272" s="752"/>
      <c r="W272" s="754"/>
      <c r="X272" s="755"/>
      <c r="Y272" s="756"/>
      <c r="Z272" s="757"/>
      <c r="AA272" s="750"/>
    </row>
    <row r="273" spans="16:27">
      <c r="P273" s="752"/>
      <c r="Q273" s="752"/>
      <c r="R273" s="752"/>
      <c r="S273" s="752"/>
      <c r="T273" s="753"/>
      <c r="U273" s="752"/>
      <c r="V273" s="752"/>
      <c r="W273" s="754"/>
      <c r="X273" s="755"/>
      <c r="Y273" s="756"/>
      <c r="Z273" s="757"/>
      <c r="AA273" s="750"/>
    </row>
    <row r="274" spans="16:27">
      <c r="P274" s="752"/>
      <c r="Q274" s="752"/>
      <c r="R274" s="752"/>
      <c r="S274" s="752"/>
      <c r="T274" s="753"/>
      <c r="U274" s="752"/>
      <c r="V274" s="752"/>
      <c r="W274" s="754"/>
      <c r="X274" s="755"/>
      <c r="Y274" s="756"/>
      <c r="Z274" s="757"/>
      <c r="AA274" s="750"/>
    </row>
    <row r="275" spans="16:27">
      <c r="P275" s="752"/>
      <c r="Q275" s="752"/>
      <c r="R275" s="752"/>
      <c r="S275" s="752"/>
      <c r="T275" s="753"/>
      <c r="U275" s="752"/>
      <c r="V275" s="752"/>
      <c r="W275" s="754"/>
      <c r="X275" s="755"/>
      <c r="Y275" s="756"/>
      <c r="Z275" s="757"/>
      <c r="AA275" s="750"/>
    </row>
    <row r="276" spans="16:27">
      <c r="P276" s="752"/>
      <c r="Q276" s="752"/>
      <c r="R276" s="752"/>
      <c r="S276" s="752"/>
      <c r="T276" s="753"/>
      <c r="U276" s="752"/>
      <c r="V276" s="752"/>
      <c r="W276" s="754"/>
      <c r="X276" s="755"/>
      <c r="Y276" s="756"/>
      <c r="Z276" s="757"/>
      <c r="AA276" s="750"/>
    </row>
    <row r="277" spans="16:27">
      <c r="P277" s="752"/>
      <c r="Q277" s="752"/>
      <c r="R277" s="752"/>
      <c r="S277" s="752"/>
      <c r="T277" s="753"/>
      <c r="U277" s="752"/>
      <c r="V277" s="752"/>
      <c r="W277" s="754"/>
      <c r="X277" s="755"/>
      <c r="Y277" s="756"/>
      <c r="Z277" s="757"/>
      <c r="AA277" s="750"/>
    </row>
    <row r="278" spans="16:27">
      <c r="P278" s="752"/>
      <c r="Q278" s="752"/>
      <c r="R278" s="752"/>
      <c r="S278" s="752"/>
      <c r="T278" s="753"/>
      <c r="U278" s="752"/>
      <c r="V278" s="752"/>
      <c r="W278" s="754"/>
      <c r="X278" s="755"/>
      <c r="Y278" s="756"/>
      <c r="Z278" s="757"/>
      <c r="AA278" s="750"/>
    </row>
    <row r="279" spans="16:27">
      <c r="P279" s="752"/>
      <c r="Q279" s="752"/>
      <c r="R279" s="752"/>
      <c r="S279" s="752"/>
      <c r="T279" s="753"/>
      <c r="U279" s="752"/>
      <c r="V279" s="752"/>
      <c r="W279" s="754"/>
      <c r="X279" s="755"/>
      <c r="Y279" s="756"/>
      <c r="Z279" s="757"/>
      <c r="AA279" s="750"/>
    </row>
    <row r="280" spans="16:27">
      <c r="P280" s="752"/>
      <c r="Q280" s="752"/>
      <c r="R280" s="752"/>
      <c r="S280" s="752"/>
      <c r="T280" s="753"/>
      <c r="U280" s="752"/>
      <c r="V280" s="752"/>
      <c r="W280" s="754"/>
      <c r="X280" s="755"/>
      <c r="Y280" s="756"/>
      <c r="Z280" s="757"/>
      <c r="AA280" s="750"/>
    </row>
    <row r="281" spans="16:27">
      <c r="P281" s="752"/>
      <c r="Q281" s="752"/>
      <c r="R281" s="752"/>
      <c r="S281" s="752"/>
      <c r="T281" s="753"/>
      <c r="U281" s="752"/>
      <c r="V281" s="752"/>
      <c r="W281" s="754"/>
      <c r="X281" s="755"/>
      <c r="Y281" s="756"/>
      <c r="Z281" s="757"/>
      <c r="AA281" s="750"/>
    </row>
    <row r="282" spans="16:27">
      <c r="P282" s="752"/>
      <c r="Q282" s="752"/>
      <c r="R282" s="752"/>
      <c r="S282" s="752"/>
      <c r="T282" s="753"/>
      <c r="U282" s="752"/>
      <c r="V282" s="752"/>
      <c r="W282" s="754"/>
      <c r="X282" s="755"/>
      <c r="Y282" s="756"/>
      <c r="Z282" s="757"/>
      <c r="AA282" s="750"/>
    </row>
    <row r="283" spans="16:27">
      <c r="P283" s="752"/>
      <c r="Q283" s="752"/>
      <c r="R283" s="752"/>
      <c r="S283" s="752"/>
      <c r="T283" s="753"/>
      <c r="U283" s="752"/>
      <c r="V283" s="752"/>
      <c r="W283" s="754"/>
      <c r="X283" s="755"/>
      <c r="Y283" s="756"/>
      <c r="Z283" s="757"/>
      <c r="AA283" s="750"/>
    </row>
    <row r="284" spans="16:27">
      <c r="P284" s="752"/>
      <c r="Q284" s="752"/>
      <c r="R284" s="752"/>
      <c r="S284" s="752"/>
      <c r="T284" s="753"/>
      <c r="U284" s="752"/>
      <c r="V284" s="752"/>
      <c r="W284" s="754"/>
      <c r="X284" s="755"/>
      <c r="Y284" s="756"/>
      <c r="Z284" s="757"/>
      <c r="AA284" s="750"/>
    </row>
    <row r="285" spans="16:27">
      <c r="P285" s="752"/>
      <c r="Q285" s="752"/>
      <c r="R285" s="752"/>
      <c r="S285" s="752"/>
      <c r="T285" s="753"/>
      <c r="U285" s="752"/>
      <c r="V285" s="752"/>
      <c r="W285" s="754"/>
      <c r="X285" s="755"/>
      <c r="Y285" s="756"/>
      <c r="Z285" s="757"/>
      <c r="AA285" s="750"/>
    </row>
    <row r="286" spans="16:27">
      <c r="P286" s="752"/>
      <c r="Q286" s="752"/>
      <c r="R286" s="752"/>
      <c r="S286" s="752"/>
      <c r="T286" s="753"/>
      <c r="U286" s="752"/>
      <c r="V286" s="752"/>
      <c r="W286" s="754"/>
      <c r="X286" s="755"/>
      <c r="Y286" s="756"/>
      <c r="Z286" s="757"/>
      <c r="AA286" s="750"/>
    </row>
    <row r="287" spans="16:27">
      <c r="P287" s="752"/>
      <c r="Q287" s="752"/>
      <c r="R287" s="752"/>
      <c r="S287" s="752"/>
      <c r="T287" s="753"/>
      <c r="U287" s="752"/>
      <c r="V287" s="752"/>
      <c r="W287" s="754"/>
      <c r="X287" s="755"/>
      <c r="Y287" s="756"/>
      <c r="Z287" s="757"/>
      <c r="AA287" s="750"/>
    </row>
    <row r="288" spans="16:27">
      <c r="P288" s="752"/>
      <c r="Q288" s="752"/>
      <c r="R288" s="752"/>
      <c r="S288" s="752"/>
      <c r="T288" s="753"/>
      <c r="U288" s="752"/>
      <c r="V288" s="752"/>
      <c r="W288" s="754"/>
      <c r="X288" s="755"/>
      <c r="Y288" s="756"/>
      <c r="Z288" s="757"/>
      <c r="AA288" s="750"/>
    </row>
    <row r="289" spans="16:27">
      <c r="P289" s="752"/>
      <c r="Q289" s="752"/>
      <c r="R289" s="752"/>
      <c r="S289" s="752"/>
      <c r="T289" s="753"/>
      <c r="U289" s="752"/>
      <c r="V289" s="752"/>
      <c r="W289" s="754"/>
      <c r="X289" s="755"/>
      <c r="Y289" s="756"/>
      <c r="Z289" s="757"/>
      <c r="AA289" s="750"/>
    </row>
    <row r="290" spans="16:27">
      <c r="P290" s="752"/>
      <c r="Q290" s="752"/>
      <c r="R290" s="752"/>
      <c r="S290" s="752"/>
      <c r="T290" s="753"/>
      <c r="U290" s="752"/>
      <c r="V290" s="752"/>
      <c r="W290" s="754"/>
      <c r="X290" s="755"/>
      <c r="Y290" s="756"/>
      <c r="Z290" s="757"/>
      <c r="AA290" s="750"/>
    </row>
    <row r="291" spans="16:27">
      <c r="P291" s="752"/>
      <c r="Q291" s="752"/>
      <c r="R291" s="752"/>
      <c r="S291" s="752"/>
      <c r="T291" s="753"/>
      <c r="U291" s="752"/>
      <c r="V291" s="752"/>
      <c r="W291" s="754"/>
      <c r="X291" s="755"/>
      <c r="Y291" s="756"/>
      <c r="Z291" s="757"/>
      <c r="AA291" s="750"/>
    </row>
    <row r="292" spans="16:27">
      <c r="P292" s="752"/>
      <c r="Q292" s="752"/>
      <c r="R292" s="752"/>
      <c r="S292" s="752"/>
      <c r="T292" s="753"/>
      <c r="U292" s="752"/>
      <c r="V292" s="752"/>
      <c r="W292" s="754"/>
      <c r="X292" s="755"/>
      <c r="Y292" s="756"/>
      <c r="Z292" s="757"/>
      <c r="AA292" s="750"/>
    </row>
    <row r="293" spans="16:27">
      <c r="P293" s="752"/>
      <c r="Q293" s="752"/>
      <c r="R293" s="752"/>
      <c r="S293" s="752"/>
      <c r="T293" s="753"/>
      <c r="U293" s="752"/>
      <c r="V293" s="752"/>
      <c r="W293" s="754"/>
      <c r="X293" s="755"/>
      <c r="Y293" s="756"/>
      <c r="Z293" s="757"/>
      <c r="AA293" s="750"/>
    </row>
    <row r="294" spans="16:27">
      <c r="P294" s="752"/>
      <c r="Q294" s="752"/>
      <c r="R294" s="752"/>
      <c r="S294" s="752"/>
      <c r="T294" s="753"/>
      <c r="U294" s="752"/>
      <c r="V294" s="752"/>
      <c r="W294" s="754"/>
      <c r="X294" s="755"/>
      <c r="Y294" s="756"/>
      <c r="Z294" s="757"/>
      <c r="AA294" s="750"/>
    </row>
    <row r="295" spans="16:27">
      <c r="P295" s="752"/>
      <c r="Q295" s="752"/>
      <c r="R295" s="752"/>
      <c r="S295" s="752"/>
      <c r="T295" s="753"/>
      <c r="U295" s="752"/>
      <c r="V295" s="752"/>
      <c r="W295" s="754"/>
      <c r="X295" s="755"/>
      <c r="Y295" s="756"/>
      <c r="Z295" s="757"/>
      <c r="AA295" s="750"/>
    </row>
    <row r="296" spans="16:27">
      <c r="P296" s="752"/>
      <c r="Q296" s="752"/>
      <c r="R296" s="752"/>
      <c r="S296" s="752"/>
      <c r="T296" s="753"/>
      <c r="U296" s="752"/>
      <c r="V296" s="752"/>
      <c r="W296" s="754"/>
      <c r="X296" s="755"/>
      <c r="Y296" s="756"/>
      <c r="Z296" s="757"/>
      <c r="AA296" s="750"/>
    </row>
    <row r="297" spans="16:27">
      <c r="P297" s="752"/>
      <c r="Q297" s="752"/>
      <c r="R297" s="752"/>
      <c r="S297" s="752"/>
      <c r="T297" s="753"/>
      <c r="U297" s="752"/>
      <c r="V297" s="752"/>
      <c r="W297" s="754"/>
      <c r="X297" s="755"/>
      <c r="Y297" s="756"/>
      <c r="Z297" s="757"/>
      <c r="AA297" s="750"/>
    </row>
    <row r="298" spans="16:27">
      <c r="P298" s="752"/>
      <c r="Q298" s="752"/>
      <c r="R298" s="752"/>
      <c r="S298" s="752"/>
      <c r="T298" s="753"/>
      <c r="U298" s="752"/>
      <c r="V298" s="752"/>
      <c r="W298" s="754"/>
      <c r="X298" s="755"/>
      <c r="Y298" s="756"/>
      <c r="Z298" s="757"/>
      <c r="AA298" s="750"/>
    </row>
    <row r="299" spans="16:27">
      <c r="P299" s="752"/>
      <c r="Q299" s="752"/>
      <c r="R299" s="752"/>
      <c r="S299" s="752"/>
      <c r="T299" s="753"/>
      <c r="U299" s="752"/>
      <c r="V299" s="752"/>
      <c r="W299" s="754"/>
      <c r="X299" s="755"/>
      <c r="Y299" s="756"/>
      <c r="Z299" s="757"/>
      <c r="AA299" s="750"/>
    </row>
    <row r="300" spans="16:27">
      <c r="P300" s="752"/>
      <c r="Q300" s="752"/>
      <c r="R300" s="752"/>
      <c r="S300" s="752"/>
      <c r="T300" s="753"/>
      <c r="U300" s="752"/>
      <c r="V300" s="752"/>
      <c r="W300" s="754"/>
      <c r="X300" s="755"/>
      <c r="Y300" s="756"/>
      <c r="Z300" s="757"/>
      <c r="AA300" s="750"/>
    </row>
    <row r="301" spans="16:27">
      <c r="P301" s="752"/>
      <c r="Q301" s="752"/>
      <c r="R301" s="752"/>
      <c r="S301" s="752"/>
      <c r="T301" s="753"/>
      <c r="U301" s="752"/>
      <c r="V301" s="752"/>
      <c r="W301" s="754"/>
      <c r="X301" s="755"/>
      <c r="Y301" s="756"/>
      <c r="Z301" s="757"/>
      <c r="AA301" s="750"/>
    </row>
    <row r="302" spans="16:27">
      <c r="P302" s="752"/>
      <c r="Q302" s="752"/>
      <c r="R302" s="752"/>
      <c r="S302" s="752"/>
      <c r="T302" s="753"/>
      <c r="U302" s="752"/>
      <c r="V302" s="752"/>
      <c r="W302" s="754"/>
      <c r="X302" s="755"/>
      <c r="Y302" s="756"/>
      <c r="Z302" s="757"/>
      <c r="AA302" s="750"/>
    </row>
    <row r="303" spans="16:27">
      <c r="P303" s="752"/>
      <c r="Q303" s="752"/>
      <c r="R303" s="752"/>
      <c r="S303" s="752"/>
      <c r="T303" s="753"/>
      <c r="U303" s="752"/>
      <c r="V303" s="752"/>
      <c r="W303" s="754"/>
      <c r="X303" s="755"/>
      <c r="Y303" s="756"/>
      <c r="Z303" s="757"/>
      <c r="AA303" s="750"/>
    </row>
    <row r="304" spans="16:27">
      <c r="P304" s="752"/>
      <c r="Q304" s="752"/>
      <c r="R304" s="752"/>
      <c r="S304" s="752"/>
      <c r="T304" s="753"/>
      <c r="U304" s="752"/>
      <c r="V304" s="752"/>
      <c r="W304" s="754"/>
      <c r="X304" s="755"/>
      <c r="Y304" s="756"/>
      <c r="Z304" s="757"/>
      <c r="AA304" s="750"/>
    </row>
    <row r="305" spans="16:27">
      <c r="P305" s="752"/>
      <c r="Q305" s="752"/>
      <c r="R305" s="752"/>
      <c r="S305" s="752"/>
      <c r="T305" s="753"/>
      <c r="U305" s="752"/>
      <c r="V305" s="752"/>
      <c r="W305" s="754"/>
      <c r="X305" s="755"/>
      <c r="Y305" s="756"/>
      <c r="Z305" s="757"/>
      <c r="AA305" s="750"/>
    </row>
    <row r="306" spans="16:27">
      <c r="P306" s="752"/>
      <c r="Q306" s="752"/>
      <c r="R306" s="752"/>
      <c r="S306" s="752"/>
      <c r="T306" s="753"/>
      <c r="U306" s="752"/>
      <c r="V306" s="752"/>
      <c r="W306" s="754"/>
      <c r="X306" s="755"/>
      <c r="Y306" s="756"/>
      <c r="Z306" s="757"/>
      <c r="AA306" s="750"/>
    </row>
    <row r="307" spans="16:27">
      <c r="P307" s="752"/>
      <c r="Q307" s="752"/>
      <c r="R307" s="752"/>
      <c r="S307" s="752"/>
      <c r="T307" s="753"/>
      <c r="U307" s="752"/>
      <c r="V307" s="752"/>
      <c r="W307" s="754"/>
      <c r="X307" s="755"/>
      <c r="Y307" s="756"/>
      <c r="Z307" s="757"/>
      <c r="AA307" s="750"/>
    </row>
    <row r="308" spans="16:27">
      <c r="P308" s="752"/>
      <c r="Q308" s="752"/>
      <c r="R308" s="752"/>
      <c r="S308" s="752"/>
      <c r="T308" s="753"/>
      <c r="U308" s="752"/>
      <c r="V308" s="752"/>
      <c r="W308" s="754"/>
      <c r="X308" s="755"/>
      <c r="Y308" s="756"/>
      <c r="Z308" s="757"/>
      <c r="AA308" s="750"/>
    </row>
    <row r="309" spans="16:27">
      <c r="P309" s="752"/>
      <c r="Q309" s="752"/>
      <c r="R309" s="752"/>
      <c r="S309" s="752"/>
      <c r="T309" s="753"/>
      <c r="U309" s="752"/>
      <c r="V309" s="752"/>
      <c r="W309" s="754"/>
      <c r="X309" s="755"/>
      <c r="Y309" s="756"/>
      <c r="Z309" s="757"/>
      <c r="AA309" s="750"/>
    </row>
    <row r="310" spans="16:27">
      <c r="P310" s="752"/>
      <c r="Q310" s="752"/>
      <c r="R310" s="752"/>
      <c r="S310" s="752"/>
      <c r="T310" s="753"/>
      <c r="U310" s="752"/>
      <c r="V310" s="752"/>
      <c r="W310" s="754"/>
      <c r="X310" s="755"/>
      <c r="Y310" s="756"/>
      <c r="Z310" s="757"/>
      <c r="AA310" s="750"/>
    </row>
    <row r="311" spans="16:27">
      <c r="P311" s="752"/>
      <c r="Q311" s="752"/>
      <c r="R311" s="752"/>
      <c r="S311" s="752"/>
      <c r="T311" s="753"/>
      <c r="U311" s="752"/>
      <c r="V311" s="752"/>
      <c r="W311" s="754"/>
      <c r="X311" s="755"/>
      <c r="Y311" s="756"/>
      <c r="Z311" s="757"/>
      <c r="AA311" s="750"/>
    </row>
    <row r="312" spans="16:27">
      <c r="P312" s="752"/>
      <c r="Q312" s="752"/>
      <c r="R312" s="752"/>
      <c r="S312" s="752"/>
      <c r="T312" s="753"/>
      <c r="U312" s="752"/>
      <c r="V312" s="752"/>
      <c r="W312" s="754"/>
      <c r="X312" s="755"/>
      <c r="Y312" s="756"/>
      <c r="Z312" s="757"/>
      <c r="AA312" s="750"/>
    </row>
    <row r="313" spans="16:27">
      <c r="P313" s="752"/>
      <c r="Q313" s="752"/>
      <c r="R313" s="752"/>
      <c r="S313" s="752"/>
      <c r="T313" s="753"/>
      <c r="U313" s="752"/>
      <c r="V313" s="752"/>
      <c r="W313" s="754"/>
      <c r="X313" s="755"/>
      <c r="Y313" s="756"/>
      <c r="Z313" s="757"/>
      <c r="AA313" s="750"/>
    </row>
    <row r="314" spans="16:27">
      <c r="P314" s="752"/>
      <c r="Q314" s="752"/>
      <c r="R314" s="752"/>
      <c r="S314" s="752"/>
      <c r="T314" s="753"/>
      <c r="U314" s="752"/>
      <c r="V314" s="752"/>
      <c r="W314" s="754"/>
      <c r="X314" s="755"/>
      <c r="Y314" s="756"/>
      <c r="Z314" s="757"/>
      <c r="AA314" s="750"/>
    </row>
    <row r="315" spans="16:27">
      <c r="P315" s="752"/>
      <c r="Q315" s="752"/>
      <c r="R315" s="752"/>
      <c r="S315" s="752"/>
      <c r="T315" s="753"/>
      <c r="U315" s="752"/>
      <c r="V315" s="752"/>
      <c r="W315" s="754"/>
      <c r="X315" s="755"/>
      <c r="Y315" s="756"/>
      <c r="Z315" s="757"/>
      <c r="AA315" s="750"/>
    </row>
    <row r="316" spans="16:27">
      <c r="P316" s="752"/>
      <c r="Q316" s="752"/>
      <c r="R316" s="752"/>
      <c r="S316" s="752"/>
      <c r="T316" s="753"/>
      <c r="U316" s="752"/>
      <c r="V316" s="752"/>
      <c r="W316" s="754"/>
      <c r="X316" s="755"/>
      <c r="Y316" s="756"/>
      <c r="Z316" s="757"/>
      <c r="AA316" s="750"/>
    </row>
    <row r="317" spans="16:27">
      <c r="P317" s="752"/>
      <c r="Q317" s="752"/>
      <c r="R317" s="752"/>
      <c r="S317" s="752"/>
      <c r="T317" s="753"/>
      <c r="U317" s="752"/>
      <c r="V317" s="752"/>
      <c r="W317" s="754"/>
      <c r="X317" s="755"/>
      <c r="Y317" s="756"/>
      <c r="Z317" s="757"/>
      <c r="AA317" s="750"/>
    </row>
    <row r="318" spans="16:27">
      <c r="P318" s="752"/>
      <c r="Q318" s="752"/>
      <c r="R318" s="752"/>
      <c r="S318" s="752"/>
      <c r="T318" s="753"/>
      <c r="U318" s="752"/>
      <c r="V318" s="752"/>
      <c r="W318" s="754"/>
      <c r="X318" s="755"/>
      <c r="Y318" s="756"/>
      <c r="Z318" s="757"/>
      <c r="AA318" s="750"/>
    </row>
    <row r="319" spans="16:27">
      <c r="P319" s="752"/>
      <c r="Q319" s="752"/>
      <c r="R319" s="752"/>
      <c r="S319" s="752"/>
      <c r="T319" s="753"/>
      <c r="U319" s="752"/>
      <c r="V319" s="752"/>
      <c r="W319" s="754"/>
      <c r="X319" s="755"/>
      <c r="Y319" s="756"/>
      <c r="Z319" s="757"/>
      <c r="AA319" s="750"/>
    </row>
    <row r="320" spans="16:27">
      <c r="P320" s="752"/>
      <c r="Q320" s="752"/>
      <c r="R320" s="752"/>
      <c r="S320" s="752"/>
      <c r="T320" s="753"/>
      <c r="U320" s="752"/>
      <c r="V320" s="752"/>
      <c r="W320" s="754"/>
      <c r="X320" s="755"/>
      <c r="Y320" s="756"/>
      <c r="Z320" s="757"/>
      <c r="AA320" s="750"/>
    </row>
    <row r="321" spans="16:27">
      <c r="P321" s="752"/>
      <c r="Q321" s="752"/>
      <c r="R321" s="752"/>
      <c r="S321" s="752"/>
      <c r="T321" s="753"/>
      <c r="U321" s="752"/>
      <c r="V321" s="752"/>
      <c r="W321" s="754"/>
      <c r="X321" s="755"/>
      <c r="Y321" s="756"/>
      <c r="Z321" s="757"/>
      <c r="AA321" s="750"/>
    </row>
    <row r="322" spans="16:27">
      <c r="P322" s="752"/>
      <c r="Q322" s="752"/>
      <c r="R322" s="752"/>
      <c r="S322" s="752"/>
      <c r="T322" s="753"/>
      <c r="U322" s="752"/>
      <c r="V322" s="752"/>
      <c r="W322" s="754"/>
      <c r="X322" s="755"/>
      <c r="Y322" s="756"/>
      <c r="Z322" s="757"/>
      <c r="AA322" s="750"/>
    </row>
    <row r="323" spans="16:27">
      <c r="P323" s="752"/>
      <c r="Q323" s="752"/>
      <c r="R323" s="752"/>
      <c r="S323" s="752"/>
      <c r="T323" s="753"/>
      <c r="U323" s="752"/>
      <c r="V323" s="752"/>
      <c r="W323" s="754"/>
      <c r="X323" s="755"/>
      <c r="Y323" s="756"/>
      <c r="Z323" s="757"/>
      <c r="AA323" s="750"/>
    </row>
    <row r="324" spans="16:27">
      <c r="P324" s="752"/>
      <c r="Q324" s="752"/>
      <c r="R324" s="752"/>
      <c r="S324" s="752"/>
      <c r="T324" s="753"/>
      <c r="U324" s="752"/>
      <c r="V324" s="752"/>
      <c r="W324" s="754"/>
      <c r="X324" s="755"/>
      <c r="Y324" s="756"/>
      <c r="Z324" s="757"/>
      <c r="AA324" s="750"/>
    </row>
  </sheetData>
  <mergeCells count="5">
    <mergeCell ref="A23:M23"/>
    <mergeCell ref="A5:M5"/>
    <mergeCell ref="A2:K2"/>
    <mergeCell ref="A7:M7"/>
    <mergeCell ref="A9:M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E16" sqref="E16"/>
    </sheetView>
  </sheetViews>
  <sheetFormatPr defaultRowHeight="14.4"/>
  <cols>
    <col min="1" max="1" width="5.88671875" customWidth="1"/>
    <col min="2" max="2" width="18.109375" customWidth="1"/>
    <col min="3" max="3" width="21.5546875" customWidth="1"/>
    <col min="4" max="4" width="19.44140625" customWidth="1"/>
    <col min="5" max="5" width="22.109375" customWidth="1"/>
    <col min="6" max="6" width="20.44140625" customWidth="1"/>
    <col min="7" max="7" width="18.88671875" customWidth="1"/>
    <col min="8" max="8" width="46.5546875" customWidth="1"/>
    <col min="9" max="9" width="25.88671875" customWidth="1"/>
    <col min="12" max="12" width="9.109375" customWidth="1"/>
  </cols>
  <sheetData>
    <row r="1" spans="1:11" s="689" customFormat="1" ht="37.5" customHeight="1">
      <c r="A1" s="688" t="s">
        <v>2</v>
      </c>
      <c r="B1" s="689" t="s">
        <v>2864</v>
      </c>
      <c r="C1" s="688" t="s">
        <v>2862</v>
      </c>
      <c r="D1" s="688" t="s">
        <v>2863</v>
      </c>
      <c r="E1" s="688" t="s">
        <v>2876</v>
      </c>
      <c r="F1" s="688" t="s">
        <v>2865</v>
      </c>
      <c r="G1" s="688" t="s">
        <v>2866</v>
      </c>
      <c r="H1" s="688" t="s">
        <v>204</v>
      </c>
      <c r="I1" s="690"/>
      <c r="J1" s="690"/>
      <c r="K1" s="690"/>
    </row>
    <row r="2" spans="1:11" ht="27.75" customHeight="1">
      <c r="A2" s="687">
        <v>1</v>
      </c>
      <c r="B2" s="687" t="s">
        <v>2867</v>
      </c>
      <c r="C2" s="695" t="s">
        <v>2871</v>
      </c>
      <c r="D2" s="696" t="s">
        <v>2847</v>
      </c>
      <c r="E2" s="696" t="s">
        <v>2877</v>
      </c>
      <c r="F2" s="696" t="s">
        <v>2878</v>
      </c>
      <c r="G2" s="698" t="s">
        <v>2879</v>
      </c>
      <c r="H2" s="687"/>
      <c r="I2" s="691"/>
      <c r="J2" s="691"/>
      <c r="K2" s="691"/>
    </row>
    <row r="3" spans="1:11" ht="28.8">
      <c r="A3" s="687">
        <v>2</v>
      </c>
      <c r="B3" s="687" t="s">
        <v>2867</v>
      </c>
      <c r="C3" s="695" t="s">
        <v>2870</v>
      </c>
      <c r="D3" s="696" t="s">
        <v>2847</v>
      </c>
      <c r="E3" s="687" t="s">
        <v>2873</v>
      </c>
      <c r="F3" s="696" t="s">
        <v>2872</v>
      </c>
      <c r="G3" s="696" t="s">
        <v>2874</v>
      </c>
      <c r="H3" s="697" t="s">
        <v>2875</v>
      </c>
      <c r="I3" s="692"/>
      <c r="J3" s="691"/>
      <c r="K3" s="691"/>
    </row>
    <row r="4" spans="1:11">
      <c r="A4" s="687">
        <v>3</v>
      </c>
      <c r="B4" s="687"/>
      <c r="C4" s="687"/>
      <c r="D4" s="687"/>
      <c r="E4" s="687"/>
      <c r="F4" s="687"/>
      <c r="G4" s="687"/>
      <c r="H4" s="687"/>
      <c r="I4" s="691"/>
      <c r="J4" s="691"/>
      <c r="K4" s="691"/>
    </row>
    <row r="5" spans="1:11">
      <c r="A5" s="687">
        <v>4</v>
      </c>
      <c r="B5" s="687"/>
      <c r="C5" s="687"/>
      <c r="D5" s="687"/>
      <c r="E5" s="687"/>
      <c r="F5" s="687"/>
      <c r="G5" s="687"/>
      <c r="H5" s="687"/>
      <c r="I5" s="691"/>
      <c r="J5" s="691"/>
      <c r="K5" s="691"/>
    </row>
    <row r="6" spans="1:11">
      <c r="A6" s="687">
        <v>5</v>
      </c>
      <c r="B6" s="687"/>
      <c r="C6" s="687"/>
      <c r="D6" s="687"/>
      <c r="E6" s="687"/>
      <c r="F6" s="687"/>
      <c r="G6" s="687"/>
      <c r="H6" s="687"/>
      <c r="I6" s="691"/>
      <c r="J6" s="691"/>
      <c r="K6" s="691"/>
    </row>
    <row r="7" spans="1:11">
      <c r="A7" s="687">
        <v>6</v>
      </c>
      <c r="B7" s="687"/>
      <c r="C7" s="687"/>
      <c r="D7" s="687"/>
      <c r="E7" s="687"/>
      <c r="F7" s="687"/>
      <c r="G7" s="687"/>
      <c r="H7" s="687"/>
      <c r="I7" s="691"/>
      <c r="J7" s="691"/>
      <c r="K7" s="691"/>
    </row>
    <row r="8" spans="1:11">
      <c r="A8" s="687">
        <v>7</v>
      </c>
      <c r="B8" s="687"/>
      <c r="C8" s="687"/>
      <c r="D8" s="687"/>
      <c r="E8" s="687"/>
      <c r="F8" s="687"/>
      <c r="G8" s="687"/>
      <c r="H8" s="687"/>
      <c r="I8" s="691"/>
      <c r="J8" s="691"/>
      <c r="K8" s="691"/>
    </row>
    <row r="9" spans="1:11">
      <c r="A9" s="687">
        <v>8</v>
      </c>
      <c r="B9" s="687"/>
      <c r="C9" s="687"/>
      <c r="D9" s="687"/>
      <c r="E9" s="687"/>
      <c r="F9" s="687"/>
      <c r="G9" s="687"/>
      <c r="H9" s="687"/>
      <c r="I9" s="691"/>
      <c r="J9" s="691"/>
      <c r="K9" s="691"/>
    </row>
    <row r="10" spans="1:11">
      <c r="A10" s="687">
        <v>9</v>
      </c>
      <c r="B10" s="687"/>
      <c r="C10" s="687"/>
      <c r="D10" s="687"/>
      <c r="E10" s="687"/>
      <c r="F10" s="687"/>
      <c r="G10" s="687"/>
      <c r="H10" s="687"/>
      <c r="I10" s="691"/>
      <c r="J10" s="691"/>
      <c r="K10" s="691"/>
    </row>
    <row r="11" spans="1:11">
      <c r="A11" s="687">
        <v>10</v>
      </c>
      <c r="B11" s="687"/>
      <c r="C11" s="687"/>
      <c r="D11" s="687"/>
      <c r="E11" s="687"/>
      <c r="F11" s="687"/>
      <c r="G11" s="687"/>
      <c r="H11" s="687"/>
      <c r="I11" s="691"/>
      <c r="J11" s="691"/>
      <c r="K11" s="691"/>
    </row>
    <row r="12" spans="1:11">
      <c r="A12" s="687">
        <v>11</v>
      </c>
      <c r="B12" s="687"/>
      <c r="C12" s="687"/>
      <c r="D12" s="687"/>
      <c r="E12" s="687"/>
      <c r="F12" s="687"/>
      <c r="G12" s="687"/>
      <c r="H12" s="687"/>
      <c r="I12" s="691"/>
      <c r="J12" s="691"/>
      <c r="K12" s="691"/>
    </row>
    <row r="13" spans="1:11">
      <c r="A13" s="687">
        <v>12</v>
      </c>
      <c r="B13" s="687"/>
      <c r="C13" s="687"/>
      <c r="D13" s="687"/>
      <c r="E13" s="687"/>
      <c r="F13" s="687"/>
      <c r="G13" s="687"/>
      <c r="H13" s="687"/>
      <c r="I13" s="691"/>
      <c r="J13" s="691"/>
      <c r="K13" s="691"/>
    </row>
    <row r="14" spans="1:11">
      <c r="A14" s="687">
        <v>13</v>
      </c>
      <c r="B14" s="687"/>
      <c r="C14" s="687"/>
      <c r="D14" s="687"/>
      <c r="E14" s="687"/>
      <c r="F14" s="687"/>
      <c r="G14" s="687"/>
      <c r="H14" s="687"/>
      <c r="I14" s="691"/>
      <c r="J14" s="691"/>
      <c r="K14" s="691"/>
    </row>
    <row r="15" spans="1:11">
      <c r="A15" s="687">
        <v>14</v>
      </c>
      <c r="B15" s="687"/>
      <c r="C15" s="687"/>
      <c r="D15" s="687"/>
      <c r="E15" s="687"/>
      <c r="F15" s="687"/>
      <c r="G15" s="687"/>
      <c r="H15" s="687"/>
      <c r="I15" s="691"/>
      <c r="J15" s="691"/>
      <c r="K15" s="691"/>
    </row>
    <row r="16" spans="1:11">
      <c r="A16" s="687">
        <v>15</v>
      </c>
      <c r="B16" s="687"/>
      <c r="C16" s="687"/>
      <c r="D16" s="687"/>
      <c r="E16" s="687"/>
      <c r="F16" s="687"/>
      <c r="G16" s="687"/>
      <c r="H16" s="687"/>
      <c r="I16" s="691"/>
      <c r="J16" s="691"/>
      <c r="K16" s="691"/>
    </row>
    <row r="17" spans="1:11">
      <c r="A17" s="687">
        <v>16</v>
      </c>
      <c r="B17" s="687"/>
      <c r="C17" s="687"/>
      <c r="D17" s="687"/>
      <c r="E17" s="687"/>
      <c r="F17" s="687"/>
      <c r="G17" s="687"/>
      <c r="H17" s="687"/>
      <c r="I17" s="691"/>
      <c r="J17" s="691"/>
      <c r="K17" s="691"/>
    </row>
    <row r="18" spans="1:11">
      <c r="A18" s="687">
        <v>17</v>
      </c>
      <c r="B18" s="687"/>
      <c r="C18" s="687"/>
      <c r="D18" s="687"/>
      <c r="E18" s="687"/>
      <c r="F18" s="687"/>
      <c r="G18" s="687"/>
      <c r="H18" s="687"/>
      <c r="I18" s="691"/>
      <c r="J18" s="691"/>
      <c r="K18" s="691"/>
    </row>
    <row r="19" spans="1:11">
      <c r="A19" s="687">
        <v>18</v>
      </c>
      <c r="B19" s="687"/>
      <c r="C19" s="687"/>
      <c r="D19" s="687"/>
      <c r="E19" s="687"/>
      <c r="F19" s="687"/>
      <c r="G19" s="687"/>
      <c r="H19" s="687"/>
      <c r="I19" s="691"/>
      <c r="J19" s="691"/>
      <c r="K19" s="691"/>
    </row>
    <row r="20" spans="1:11">
      <c r="A20" s="687">
        <v>19</v>
      </c>
      <c r="B20" s="687"/>
      <c r="C20" s="687"/>
      <c r="D20" s="687"/>
      <c r="E20" s="687"/>
      <c r="F20" s="687"/>
      <c r="G20" s="687"/>
      <c r="H20" s="687"/>
      <c r="I20" s="691"/>
      <c r="J20" s="691"/>
      <c r="K20" s="691"/>
    </row>
    <row r="21" spans="1:11">
      <c r="A21" s="687">
        <v>20</v>
      </c>
      <c r="B21" s="687"/>
      <c r="C21" s="687"/>
      <c r="D21" s="687"/>
      <c r="E21" s="687"/>
      <c r="F21" s="687"/>
      <c r="G21" s="687"/>
      <c r="H21" s="687"/>
      <c r="I21" s="691"/>
      <c r="J21" s="691"/>
      <c r="K21" s="691"/>
    </row>
    <row r="22" spans="1:11">
      <c r="A22" s="687">
        <v>21</v>
      </c>
      <c r="B22" s="687"/>
      <c r="C22" s="687"/>
      <c r="D22" s="687"/>
      <c r="E22" s="687"/>
      <c r="F22" s="687"/>
      <c r="G22" s="687"/>
      <c r="H22" s="687"/>
      <c r="I22" s="691"/>
      <c r="J22" s="691"/>
      <c r="K22" s="691"/>
    </row>
    <row r="24" spans="1:11">
      <c r="A24" s="693" t="s">
        <v>2868</v>
      </c>
      <c r="B24" s="694"/>
      <c r="C24" s="694"/>
      <c r="D24" s="694"/>
      <c r="E24" s="694"/>
      <c r="F24" s="694"/>
      <c r="G24" s="694"/>
    </row>
    <row r="25" spans="1:11">
      <c r="A25" s="693" t="s">
        <v>2869</v>
      </c>
      <c r="B25" s="694"/>
      <c r="C25" s="694"/>
      <c r="D25" s="694"/>
      <c r="E25" s="694"/>
      <c r="F25" s="694"/>
      <c r="G25" s="69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415"/>
  <sheetViews>
    <sheetView workbookViewId="0">
      <pane xSplit="11" ySplit="4" topLeftCell="L5" activePane="bottomRight" state="frozen"/>
      <selection activeCell="Q23" sqref="Q23"/>
      <selection pane="topRight" activeCell="Q23" sqref="Q23"/>
      <selection pane="bottomLeft" activeCell="Q23" sqref="Q23"/>
      <selection pane="bottomRight" activeCell="J44" sqref="J44"/>
    </sheetView>
  </sheetViews>
  <sheetFormatPr defaultColWidth="10.33203125" defaultRowHeight="15.6"/>
  <cols>
    <col min="1" max="1" width="7" style="1" customWidth="1"/>
    <col min="2" max="2" width="19.109375" style="504" customWidth="1"/>
    <col min="3" max="3" width="14.109375" style="3" customWidth="1"/>
    <col min="4" max="4" width="14.88671875" style="4" customWidth="1"/>
    <col min="5" max="5" width="11.109375" style="510" customWidth="1"/>
    <col min="6" max="6" width="10.33203125" style="11"/>
    <col min="7" max="9" width="5.109375" style="6" customWidth="1"/>
    <col min="10" max="10" width="14.5546875" style="5" customWidth="1"/>
    <col min="11" max="11" width="17.33203125" style="567" customWidth="1"/>
    <col min="12" max="12" width="14.44140625" style="7" customWidth="1"/>
    <col min="13" max="14" width="12.5546875" style="268" customWidth="1"/>
    <col min="15" max="16" width="12.6640625" style="268" customWidth="1"/>
    <col min="17" max="17" width="10.33203125" style="268" customWidth="1"/>
    <col min="18" max="18" width="10.33203125" style="264" customWidth="1"/>
    <col min="19" max="19" width="12.5546875" style="268" customWidth="1"/>
    <col min="20" max="20" width="14.33203125" style="1" customWidth="1"/>
    <col min="21" max="21" width="17" style="6" customWidth="1"/>
    <col min="22" max="22" width="19.44140625" style="268" customWidth="1"/>
    <col min="23" max="23" width="15.5546875" style="269" customWidth="1"/>
    <col min="24" max="24" width="31" style="270" customWidth="1"/>
    <col min="25" max="25" width="18.6640625" style="271" customWidth="1"/>
    <col min="26" max="26" width="16.6640625" style="272" customWidth="1"/>
    <col min="27" max="27" width="15.109375" style="273" customWidth="1"/>
    <col min="28" max="28" width="37.109375" style="5" customWidth="1"/>
    <col min="29" max="29" width="14.88671875" style="6" customWidth="1"/>
    <col min="30" max="30" width="13.44140625" style="6" customWidth="1"/>
    <col min="31" max="194" width="10.33203125" style="13"/>
    <col min="195" max="195" width="7" style="13" customWidth="1"/>
    <col min="196" max="196" width="13" style="13" customWidth="1"/>
    <col min="197" max="197" width="14.109375" style="13" customWidth="1"/>
    <col min="198" max="198" width="17.33203125" style="13" customWidth="1"/>
    <col min="199" max="199" width="18.88671875" style="13" customWidth="1"/>
    <col min="200" max="200" width="14.109375" style="13" customWidth="1"/>
    <col min="201" max="201" width="21.5546875" style="13" customWidth="1"/>
    <col min="202" max="203" width="14.109375" style="13" customWidth="1"/>
    <col min="204" max="204" width="15" style="13" customWidth="1"/>
    <col min="205" max="205" width="13.33203125" style="13" customWidth="1"/>
    <col min="206" max="206" width="17" style="13" customWidth="1"/>
    <col min="207" max="207" width="24.88671875" style="13" customWidth="1"/>
    <col min="208" max="208" width="14.44140625" style="13" customWidth="1"/>
    <col min="209" max="209" width="23.109375" style="13" customWidth="1"/>
    <col min="210" max="210" width="13.109375" style="13" customWidth="1"/>
    <col min="211" max="214" width="0" style="13" hidden="1" customWidth="1"/>
    <col min="215" max="450" width="10.33203125" style="13"/>
    <col min="451" max="451" width="7" style="13" customWidth="1"/>
    <col min="452" max="452" width="13" style="13" customWidth="1"/>
    <col min="453" max="453" width="14.109375" style="13" customWidth="1"/>
    <col min="454" max="454" width="17.33203125" style="13" customWidth="1"/>
    <col min="455" max="455" width="18.88671875" style="13" customWidth="1"/>
    <col min="456" max="456" width="14.109375" style="13" customWidth="1"/>
    <col min="457" max="457" width="21.5546875" style="13" customWidth="1"/>
    <col min="458" max="459" width="14.109375" style="13" customWidth="1"/>
    <col min="460" max="460" width="15" style="13" customWidth="1"/>
    <col min="461" max="461" width="13.33203125" style="13" customWidth="1"/>
    <col min="462" max="462" width="17" style="13" customWidth="1"/>
    <col min="463" max="463" width="24.88671875" style="13" customWidth="1"/>
    <col min="464" max="464" width="14.44140625" style="13" customWidth="1"/>
    <col min="465" max="465" width="23.109375" style="13" customWidth="1"/>
    <col min="466" max="466" width="13.109375" style="13" customWidth="1"/>
    <col min="467" max="470" width="0" style="13" hidden="1" customWidth="1"/>
    <col min="471" max="706" width="10.33203125" style="13"/>
    <col min="707" max="707" width="7" style="13" customWidth="1"/>
    <col min="708" max="708" width="13" style="13" customWidth="1"/>
    <col min="709" max="709" width="14.109375" style="13" customWidth="1"/>
    <col min="710" max="710" width="17.33203125" style="13" customWidth="1"/>
    <col min="711" max="711" width="18.88671875" style="13" customWidth="1"/>
    <col min="712" max="712" width="14.109375" style="13" customWidth="1"/>
    <col min="713" max="713" width="21.5546875" style="13" customWidth="1"/>
    <col min="714" max="715" width="14.109375" style="13" customWidth="1"/>
    <col min="716" max="716" width="15" style="13" customWidth="1"/>
    <col min="717" max="717" width="13.33203125" style="13" customWidth="1"/>
    <col min="718" max="718" width="17" style="13" customWidth="1"/>
    <col min="719" max="719" width="24.88671875" style="13" customWidth="1"/>
    <col min="720" max="720" width="14.44140625" style="13" customWidth="1"/>
    <col min="721" max="721" width="23.109375" style="13" customWidth="1"/>
    <col min="722" max="722" width="13.109375" style="13" customWidth="1"/>
    <col min="723" max="726" width="0" style="13" hidden="1" customWidth="1"/>
    <col min="727" max="962" width="10.33203125" style="13"/>
    <col min="963" max="963" width="7" style="13" customWidth="1"/>
    <col min="964" max="964" width="13" style="13" customWidth="1"/>
    <col min="965" max="965" width="14.109375" style="13" customWidth="1"/>
    <col min="966" max="966" width="17.33203125" style="13" customWidth="1"/>
    <col min="967" max="967" width="18.88671875" style="13" customWidth="1"/>
    <col min="968" max="968" width="14.109375" style="13" customWidth="1"/>
    <col min="969" max="969" width="21.5546875" style="13" customWidth="1"/>
    <col min="970" max="971" width="14.109375" style="13" customWidth="1"/>
    <col min="972" max="972" width="15" style="13" customWidth="1"/>
    <col min="973" max="973" width="13.33203125" style="13" customWidth="1"/>
    <col min="974" max="974" width="17" style="13" customWidth="1"/>
    <col min="975" max="975" width="24.88671875" style="13" customWidth="1"/>
    <col min="976" max="976" width="14.44140625" style="13" customWidth="1"/>
    <col min="977" max="977" width="23.109375" style="13" customWidth="1"/>
    <col min="978" max="978" width="13.109375" style="13" customWidth="1"/>
    <col min="979" max="982" width="0" style="13" hidden="1" customWidth="1"/>
    <col min="983" max="1218" width="10.33203125" style="13"/>
    <col min="1219" max="1219" width="7" style="13" customWidth="1"/>
    <col min="1220" max="1220" width="13" style="13" customWidth="1"/>
    <col min="1221" max="1221" width="14.109375" style="13" customWidth="1"/>
    <col min="1222" max="1222" width="17.33203125" style="13" customWidth="1"/>
    <col min="1223" max="1223" width="18.88671875" style="13" customWidth="1"/>
    <col min="1224" max="1224" width="14.109375" style="13" customWidth="1"/>
    <col min="1225" max="1225" width="21.5546875" style="13" customWidth="1"/>
    <col min="1226" max="1227" width="14.109375" style="13" customWidth="1"/>
    <col min="1228" max="1228" width="15" style="13" customWidth="1"/>
    <col min="1229" max="1229" width="13.33203125" style="13" customWidth="1"/>
    <col min="1230" max="1230" width="17" style="13" customWidth="1"/>
    <col min="1231" max="1231" width="24.88671875" style="13" customWidth="1"/>
    <col min="1232" max="1232" width="14.44140625" style="13" customWidth="1"/>
    <col min="1233" max="1233" width="23.109375" style="13" customWidth="1"/>
    <col min="1234" max="1234" width="13.109375" style="13" customWidth="1"/>
    <col min="1235" max="1238" width="0" style="13" hidden="1" customWidth="1"/>
    <col min="1239" max="1474" width="10.33203125" style="13"/>
    <col min="1475" max="1475" width="7" style="13" customWidth="1"/>
    <col min="1476" max="1476" width="13" style="13" customWidth="1"/>
    <col min="1477" max="1477" width="14.109375" style="13" customWidth="1"/>
    <col min="1478" max="1478" width="17.33203125" style="13" customWidth="1"/>
    <col min="1479" max="1479" width="18.88671875" style="13" customWidth="1"/>
    <col min="1480" max="1480" width="14.109375" style="13" customWidth="1"/>
    <col min="1481" max="1481" width="21.5546875" style="13" customWidth="1"/>
    <col min="1482" max="1483" width="14.109375" style="13" customWidth="1"/>
    <col min="1484" max="1484" width="15" style="13" customWidth="1"/>
    <col min="1485" max="1485" width="13.33203125" style="13" customWidth="1"/>
    <col min="1486" max="1486" width="17" style="13" customWidth="1"/>
    <col min="1487" max="1487" width="24.88671875" style="13" customWidth="1"/>
    <col min="1488" max="1488" width="14.44140625" style="13" customWidth="1"/>
    <col min="1489" max="1489" width="23.109375" style="13" customWidth="1"/>
    <col min="1490" max="1490" width="13.109375" style="13" customWidth="1"/>
    <col min="1491" max="1494" width="0" style="13" hidden="1" customWidth="1"/>
    <col min="1495" max="1730" width="10.33203125" style="13"/>
    <col min="1731" max="1731" width="7" style="13" customWidth="1"/>
    <col min="1732" max="1732" width="13" style="13" customWidth="1"/>
    <col min="1733" max="1733" width="14.109375" style="13" customWidth="1"/>
    <col min="1734" max="1734" width="17.33203125" style="13" customWidth="1"/>
    <col min="1735" max="1735" width="18.88671875" style="13" customWidth="1"/>
    <col min="1736" max="1736" width="14.109375" style="13" customWidth="1"/>
    <col min="1737" max="1737" width="21.5546875" style="13" customWidth="1"/>
    <col min="1738" max="1739" width="14.109375" style="13" customWidth="1"/>
    <col min="1740" max="1740" width="15" style="13" customWidth="1"/>
    <col min="1741" max="1741" width="13.33203125" style="13" customWidth="1"/>
    <col min="1742" max="1742" width="17" style="13" customWidth="1"/>
    <col min="1743" max="1743" width="24.88671875" style="13" customWidth="1"/>
    <col min="1744" max="1744" width="14.44140625" style="13" customWidth="1"/>
    <col min="1745" max="1745" width="23.109375" style="13" customWidth="1"/>
    <col min="1746" max="1746" width="13.109375" style="13" customWidth="1"/>
    <col min="1747" max="1750" width="0" style="13" hidden="1" customWidth="1"/>
    <col min="1751" max="1986" width="10.33203125" style="13"/>
    <col min="1987" max="1987" width="7" style="13" customWidth="1"/>
    <col min="1988" max="1988" width="13" style="13" customWidth="1"/>
    <col min="1989" max="1989" width="14.109375" style="13" customWidth="1"/>
    <col min="1990" max="1990" width="17.33203125" style="13" customWidth="1"/>
    <col min="1991" max="1991" width="18.88671875" style="13" customWidth="1"/>
    <col min="1992" max="1992" width="14.109375" style="13" customWidth="1"/>
    <col min="1993" max="1993" width="21.5546875" style="13" customWidth="1"/>
    <col min="1994" max="1995" width="14.109375" style="13" customWidth="1"/>
    <col min="1996" max="1996" width="15" style="13" customWidth="1"/>
    <col min="1997" max="1997" width="13.33203125" style="13" customWidth="1"/>
    <col min="1998" max="1998" width="17" style="13" customWidth="1"/>
    <col min="1999" max="1999" width="24.88671875" style="13" customWidth="1"/>
    <col min="2000" max="2000" width="14.44140625" style="13" customWidth="1"/>
    <col min="2001" max="2001" width="23.109375" style="13" customWidth="1"/>
    <col min="2002" max="2002" width="13.109375" style="13" customWidth="1"/>
    <col min="2003" max="2006" width="0" style="13" hidden="1" customWidth="1"/>
    <col min="2007" max="2242" width="10.33203125" style="13"/>
    <col min="2243" max="2243" width="7" style="13" customWidth="1"/>
    <col min="2244" max="2244" width="13" style="13" customWidth="1"/>
    <col min="2245" max="2245" width="14.109375" style="13" customWidth="1"/>
    <col min="2246" max="2246" width="17.33203125" style="13" customWidth="1"/>
    <col min="2247" max="2247" width="18.88671875" style="13" customWidth="1"/>
    <col min="2248" max="2248" width="14.109375" style="13" customWidth="1"/>
    <col min="2249" max="2249" width="21.5546875" style="13" customWidth="1"/>
    <col min="2250" max="2251" width="14.109375" style="13" customWidth="1"/>
    <col min="2252" max="2252" width="15" style="13" customWidth="1"/>
    <col min="2253" max="2253" width="13.33203125" style="13" customWidth="1"/>
    <col min="2254" max="2254" width="17" style="13" customWidth="1"/>
    <col min="2255" max="2255" width="24.88671875" style="13" customWidth="1"/>
    <col min="2256" max="2256" width="14.44140625" style="13" customWidth="1"/>
    <col min="2257" max="2257" width="23.109375" style="13" customWidth="1"/>
    <col min="2258" max="2258" width="13.109375" style="13" customWidth="1"/>
    <col min="2259" max="2262" width="0" style="13" hidden="1" customWidth="1"/>
    <col min="2263" max="2498" width="10.33203125" style="13"/>
    <col min="2499" max="2499" width="7" style="13" customWidth="1"/>
    <col min="2500" max="2500" width="13" style="13" customWidth="1"/>
    <col min="2501" max="2501" width="14.109375" style="13" customWidth="1"/>
    <col min="2502" max="2502" width="17.33203125" style="13" customWidth="1"/>
    <col min="2503" max="2503" width="18.88671875" style="13" customWidth="1"/>
    <col min="2504" max="2504" width="14.109375" style="13" customWidth="1"/>
    <col min="2505" max="2505" width="21.5546875" style="13" customWidth="1"/>
    <col min="2506" max="2507" width="14.109375" style="13" customWidth="1"/>
    <col min="2508" max="2508" width="15" style="13" customWidth="1"/>
    <col min="2509" max="2509" width="13.33203125" style="13" customWidth="1"/>
    <col min="2510" max="2510" width="17" style="13" customWidth="1"/>
    <col min="2511" max="2511" width="24.88671875" style="13" customWidth="1"/>
    <col min="2512" max="2512" width="14.44140625" style="13" customWidth="1"/>
    <col min="2513" max="2513" width="23.109375" style="13" customWidth="1"/>
    <col min="2514" max="2514" width="13.109375" style="13" customWidth="1"/>
    <col min="2515" max="2518" width="0" style="13" hidden="1" customWidth="1"/>
    <col min="2519" max="2754" width="10.33203125" style="13"/>
    <col min="2755" max="2755" width="7" style="13" customWidth="1"/>
    <col min="2756" max="2756" width="13" style="13" customWidth="1"/>
    <col min="2757" max="2757" width="14.109375" style="13" customWidth="1"/>
    <col min="2758" max="2758" width="17.33203125" style="13" customWidth="1"/>
    <col min="2759" max="2759" width="18.88671875" style="13" customWidth="1"/>
    <col min="2760" max="2760" width="14.109375" style="13" customWidth="1"/>
    <col min="2761" max="2761" width="21.5546875" style="13" customWidth="1"/>
    <col min="2762" max="2763" width="14.109375" style="13" customWidth="1"/>
    <col min="2764" max="2764" width="15" style="13" customWidth="1"/>
    <col min="2765" max="2765" width="13.33203125" style="13" customWidth="1"/>
    <col min="2766" max="2766" width="17" style="13" customWidth="1"/>
    <col min="2767" max="2767" width="24.88671875" style="13" customWidth="1"/>
    <col min="2768" max="2768" width="14.44140625" style="13" customWidth="1"/>
    <col min="2769" max="2769" width="23.109375" style="13" customWidth="1"/>
    <col min="2770" max="2770" width="13.109375" style="13" customWidth="1"/>
    <col min="2771" max="2774" width="0" style="13" hidden="1" customWidth="1"/>
    <col min="2775" max="3010" width="10.33203125" style="13"/>
    <col min="3011" max="3011" width="7" style="13" customWidth="1"/>
    <col min="3012" max="3012" width="13" style="13" customWidth="1"/>
    <col min="3013" max="3013" width="14.109375" style="13" customWidth="1"/>
    <col min="3014" max="3014" width="17.33203125" style="13" customWidth="1"/>
    <col min="3015" max="3015" width="18.88671875" style="13" customWidth="1"/>
    <col min="3016" max="3016" width="14.109375" style="13" customWidth="1"/>
    <col min="3017" max="3017" width="21.5546875" style="13" customWidth="1"/>
    <col min="3018" max="3019" width="14.109375" style="13" customWidth="1"/>
    <col min="3020" max="3020" width="15" style="13" customWidth="1"/>
    <col min="3021" max="3021" width="13.33203125" style="13" customWidth="1"/>
    <col min="3022" max="3022" width="17" style="13" customWidth="1"/>
    <col min="3023" max="3023" width="24.88671875" style="13" customWidth="1"/>
    <col min="3024" max="3024" width="14.44140625" style="13" customWidth="1"/>
    <col min="3025" max="3025" width="23.109375" style="13" customWidth="1"/>
    <col min="3026" max="3026" width="13.109375" style="13" customWidth="1"/>
    <col min="3027" max="3030" width="0" style="13" hidden="1" customWidth="1"/>
    <col min="3031" max="3266" width="10.33203125" style="13"/>
    <col min="3267" max="3267" width="7" style="13" customWidth="1"/>
    <col min="3268" max="3268" width="13" style="13" customWidth="1"/>
    <col min="3269" max="3269" width="14.109375" style="13" customWidth="1"/>
    <col min="3270" max="3270" width="17.33203125" style="13" customWidth="1"/>
    <col min="3271" max="3271" width="18.88671875" style="13" customWidth="1"/>
    <col min="3272" max="3272" width="14.109375" style="13" customWidth="1"/>
    <col min="3273" max="3273" width="21.5546875" style="13" customWidth="1"/>
    <col min="3274" max="3275" width="14.109375" style="13" customWidth="1"/>
    <col min="3276" max="3276" width="15" style="13" customWidth="1"/>
    <col min="3277" max="3277" width="13.33203125" style="13" customWidth="1"/>
    <col min="3278" max="3278" width="17" style="13" customWidth="1"/>
    <col min="3279" max="3279" width="24.88671875" style="13" customWidth="1"/>
    <col min="3280" max="3280" width="14.44140625" style="13" customWidth="1"/>
    <col min="3281" max="3281" width="23.109375" style="13" customWidth="1"/>
    <col min="3282" max="3282" width="13.109375" style="13" customWidth="1"/>
    <col min="3283" max="3286" width="0" style="13" hidden="1" customWidth="1"/>
    <col min="3287" max="3522" width="10.33203125" style="13"/>
    <col min="3523" max="3523" width="7" style="13" customWidth="1"/>
    <col min="3524" max="3524" width="13" style="13" customWidth="1"/>
    <col min="3525" max="3525" width="14.109375" style="13" customWidth="1"/>
    <col min="3526" max="3526" width="17.33203125" style="13" customWidth="1"/>
    <col min="3527" max="3527" width="18.88671875" style="13" customWidth="1"/>
    <col min="3528" max="3528" width="14.109375" style="13" customWidth="1"/>
    <col min="3529" max="3529" width="21.5546875" style="13" customWidth="1"/>
    <col min="3530" max="3531" width="14.109375" style="13" customWidth="1"/>
    <col min="3532" max="3532" width="15" style="13" customWidth="1"/>
    <col min="3533" max="3533" width="13.33203125" style="13" customWidth="1"/>
    <col min="3534" max="3534" width="17" style="13" customWidth="1"/>
    <col min="3535" max="3535" width="24.88671875" style="13" customWidth="1"/>
    <col min="3536" max="3536" width="14.44140625" style="13" customWidth="1"/>
    <col min="3537" max="3537" width="23.109375" style="13" customWidth="1"/>
    <col min="3538" max="3538" width="13.109375" style="13" customWidth="1"/>
    <col min="3539" max="3542" width="0" style="13" hidden="1" customWidth="1"/>
    <col min="3543" max="3778" width="10.33203125" style="13"/>
    <col min="3779" max="3779" width="7" style="13" customWidth="1"/>
    <col min="3780" max="3780" width="13" style="13" customWidth="1"/>
    <col min="3781" max="3781" width="14.109375" style="13" customWidth="1"/>
    <col min="3782" max="3782" width="17.33203125" style="13" customWidth="1"/>
    <col min="3783" max="3783" width="18.88671875" style="13" customWidth="1"/>
    <col min="3784" max="3784" width="14.109375" style="13" customWidth="1"/>
    <col min="3785" max="3785" width="21.5546875" style="13" customWidth="1"/>
    <col min="3786" max="3787" width="14.109375" style="13" customWidth="1"/>
    <col min="3788" max="3788" width="15" style="13" customWidth="1"/>
    <col min="3789" max="3789" width="13.33203125" style="13" customWidth="1"/>
    <col min="3790" max="3790" width="17" style="13" customWidth="1"/>
    <col min="3791" max="3791" width="24.88671875" style="13" customWidth="1"/>
    <col min="3792" max="3792" width="14.44140625" style="13" customWidth="1"/>
    <col min="3793" max="3793" width="23.109375" style="13" customWidth="1"/>
    <col min="3794" max="3794" width="13.109375" style="13" customWidth="1"/>
    <col min="3795" max="3798" width="0" style="13" hidden="1" customWidth="1"/>
    <col min="3799" max="4034" width="10.33203125" style="13"/>
    <col min="4035" max="4035" width="7" style="13" customWidth="1"/>
    <col min="4036" max="4036" width="13" style="13" customWidth="1"/>
    <col min="4037" max="4037" width="14.109375" style="13" customWidth="1"/>
    <col min="4038" max="4038" width="17.33203125" style="13" customWidth="1"/>
    <col min="4039" max="4039" width="18.88671875" style="13" customWidth="1"/>
    <col min="4040" max="4040" width="14.109375" style="13" customWidth="1"/>
    <col min="4041" max="4041" width="21.5546875" style="13" customWidth="1"/>
    <col min="4042" max="4043" width="14.109375" style="13" customWidth="1"/>
    <col min="4044" max="4044" width="15" style="13" customWidth="1"/>
    <col min="4045" max="4045" width="13.33203125" style="13" customWidth="1"/>
    <col min="4046" max="4046" width="17" style="13" customWidth="1"/>
    <col min="4047" max="4047" width="24.88671875" style="13" customWidth="1"/>
    <col min="4048" max="4048" width="14.44140625" style="13" customWidth="1"/>
    <col min="4049" max="4049" width="23.109375" style="13" customWidth="1"/>
    <col min="4050" max="4050" width="13.109375" style="13" customWidth="1"/>
    <col min="4051" max="4054" width="0" style="13" hidden="1" customWidth="1"/>
    <col min="4055" max="4290" width="10.33203125" style="13"/>
    <col min="4291" max="4291" width="7" style="13" customWidth="1"/>
    <col min="4292" max="4292" width="13" style="13" customWidth="1"/>
    <col min="4293" max="4293" width="14.109375" style="13" customWidth="1"/>
    <col min="4294" max="4294" width="17.33203125" style="13" customWidth="1"/>
    <col min="4295" max="4295" width="18.88671875" style="13" customWidth="1"/>
    <col min="4296" max="4296" width="14.109375" style="13" customWidth="1"/>
    <col min="4297" max="4297" width="21.5546875" style="13" customWidth="1"/>
    <col min="4298" max="4299" width="14.109375" style="13" customWidth="1"/>
    <col min="4300" max="4300" width="15" style="13" customWidth="1"/>
    <col min="4301" max="4301" width="13.33203125" style="13" customWidth="1"/>
    <col min="4302" max="4302" width="17" style="13" customWidth="1"/>
    <col min="4303" max="4303" width="24.88671875" style="13" customWidth="1"/>
    <col min="4304" max="4304" width="14.44140625" style="13" customWidth="1"/>
    <col min="4305" max="4305" width="23.109375" style="13" customWidth="1"/>
    <col min="4306" max="4306" width="13.109375" style="13" customWidth="1"/>
    <col min="4307" max="4310" width="0" style="13" hidden="1" customWidth="1"/>
    <col min="4311" max="4546" width="10.33203125" style="13"/>
    <col min="4547" max="4547" width="7" style="13" customWidth="1"/>
    <col min="4548" max="4548" width="13" style="13" customWidth="1"/>
    <col min="4549" max="4549" width="14.109375" style="13" customWidth="1"/>
    <col min="4550" max="4550" width="17.33203125" style="13" customWidth="1"/>
    <col min="4551" max="4551" width="18.88671875" style="13" customWidth="1"/>
    <col min="4552" max="4552" width="14.109375" style="13" customWidth="1"/>
    <col min="4553" max="4553" width="21.5546875" style="13" customWidth="1"/>
    <col min="4554" max="4555" width="14.109375" style="13" customWidth="1"/>
    <col min="4556" max="4556" width="15" style="13" customWidth="1"/>
    <col min="4557" max="4557" width="13.33203125" style="13" customWidth="1"/>
    <col min="4558" max="4558" width="17" style="13" customWidth="1"/>
    <col min="4559" max="4559" width="24.88671875" style="13" customWidth="1"/>
    <col min="4560" max="4560" width="14.44140625" style="13" customWidth="1"/>
    <col min="4561" max="4561" width="23.109375" style="13" customWidth="1"/>
    <col min="4562" max="4562" width="13.109375" style="13" customWidth="1"/>
    <col min="4563" max="4566" width="0" style="13" hidden="1" customWidth="1"/>
    <col min="4567" max="4802" width="10.33203125" style="13"/>
    <col min="4803" max="4803" width="7" style="13" customWidth="1"/>
    <col min="4804" max="4804" width="13" style="13" customWidth="1"/>
    <col min="4805" max="4805" width="14.109375" style="13" customWidth="1"/>
    <col min="4806" max="4806" width="17.33203125" style="13" customWidth="1"/>
    <col min="4807" max="4807" width="18.88671875" style="13" customWidth="1"/>
    <col min="4808" max="4808" width="14.109375" style="13" customWidth="1"/>
    <col min="4809" max="4809" width="21.5546875" style="13" customWidth="1"/>
    <col min="4810" max="4811" width="14.109375" style="13" customWidth="1"/>
    <col min="4812" max="4812" width="15" style="13" customWidth="1"/>
    <col min="4813" max="4813" width="13.33203125" style="13" customWidth="1"/>
    <col min="4814" max="4814" width="17" style="13" customWidth="1"/>
    <col min="4815" max="4815" width="24.88671875" style="13" customWidth="1"/>
    <col min="4816" max="4816" width="14.44140625" style="13" customWidth="1"/>
    <col min="4817" max="4817" width="23.109375" style="13" customWidth="1"/>
    <col min="4818" max="4818" width="13.109375" style="13" customWidth="1"/>
    <col min="4819" max="4822" width="0" style="13" hidden="1" customWidth="1"/>
    <col min="4823" max="5058" width="10.33203125" style="13"/>
    <col min="5059" max="5059" width="7" style="13" customWidth="1"/>
    <col min="5060" max="5060" width="13" style="13" customWidth="1"/>
    <col min="5061" max="5061" width="14.109375" style="13" customWidth="1"/>
    <col min="5062" max="5062" width="17.33203125" style="13" customWidth="1"/>
    <col min="5063" max="5063" width="18.88671875" style="13" customWidth="1"/>
    <col min="5064" max="5064" width="14.109375" style="13" customWidth="1"/>
    <col min="5065" max="5065" width="21.5546875" style="13" customWidth="1"/>
    <col min="5066" max="5067" width="14.109375" style="13" customWidth="1"/>
    <col min="5068" max="5068" width="15" style="13" customWidth="1"/>
    <col min="5069" max="5069" width="13.33203125" style="13" customWidth="1"/>
    <col min="5070" max="5070" width="17" style="13" customWidth="1"/>
    <col min="5071" max="5071" width="24.88671875" style="13" customWidth="1"/>
    <col min="5072" max="5072" width="14.44140625" style="13" customWidth="1"/>
    <col min="5073" max="5073" width="23.109375" style="13" customWidth="1"/>
    <col min="5074" max="5074" width="13.109375" style="13" customWidth="1"/>
    <col min="5075" max="5078" width="0" style="13" hidden="1" customWidth="1"/>
    <col min="5079" max="5314" width="10.33203125" style="13"/>
    <col min="5315" max="5315" width="7" style="13" customWidth="1"/>
    <col min="5316" max="5316" width="13" style="13" customWidth="1"/>
    <col min="5317" max="5317" width="14.109375" style="13" customWidth="1"/>
    <col min="5318" max="5318" width="17.33203125" style="13" customWidth="1"/>
    <col min="5319" max="5319" width="18.88671875" style="13" customWidth="1"/>
    <col min="5320" max="5320" width="14.109375" style="13" customWidth="1"/>
    <col min="5321" max="5321" width="21.5546875" style="13" customWidth="1"/>
    <col min="5322" max="5323" width="14.109375" style="13" customWidth="1"/>
    <col min="5324" max="5324" width="15" style="13" customWidth="1"/>
    <col min="5325" max="5325" width="13.33203125" style="13" customWidth="1"/>
    <col min="5326" max="5326" width="17" style="13" customWidth="1"/>
    <col min="5327" max="5327" width="24.88671875" style="13" customWidth="1"/>
    <col min="5328" max="5328" width="14.44140625" style="13" customWidth="1"/>
    <col min="5329" max="5329" width="23.109375" style="13" customWidth="1"/>
    <col min="5330" max="5330" width="13.109375" style="13" customWidth="1"/>
    <col min="5331" max="5334" width="0" style="13" hidden="1" customWidth="1"/>
    <col min="5335" max="5570" width="10.33203125" style="13"/>
    <col min="5571" max="5571" width="7" style="13" customWidth="1"/>
    <col min="5572" max="5572" width="13" style="13" customWidth="1"/>
    <col min="5573" max="5573" width="14.109375" style="13" customWidth="1"/>
    <col min="5574" max="5574" width="17.33203125" style="13" customWidth="1"/>
    <col min="5575" max="5575" width="18.88671875" style="13" customWidth="1"/>
    <col min="5576" max="5576" width="14.109375" style="13" customWidth="1"/>
    <col min="5577" max="5577" width="21.5546875" style="13" customWidth="1"/>
    <col min="5578" max="5579" width="14.109375" style="13" customWidth="1"/>
    <col min="5580" max="5580" width="15" style="13" customWidth="1"/>
    <col min="5581" max="5581" width="13.33203125" style="13" customWidth="1"/>
    <col min="5582" max="5582" width="17" style="13" customWidth="1"/>
    <col min="5583" max="5583" width="24.88671875" style="13" customWidth="1"/>
    <col min="5584" max="5584" width="14.44140625" style="13" customWidth="1"/>
    <col min="5585" max="5585" width="23.109375" style="13" customWidth="1"/>
    <col min="5586" max="5586" width="13.109375" style="13" customWidth="1"/>
    <col min="5587" max="5590" width="0" style="13" hidden="1" customWidth="1"/>
    <col min="5591" max="5826" width="10.33203125" style="13"/>
    <col min="5827" max="5827" width="7" style="13" customWidth="1"/>
    <col min="5828" max="5828" width="13" style="13" customWidth="1"/>
    <col min="5829" max="5829" width="14.109375" style="13" customWidth="1"/>
    <col min="5830" max="5830" width="17.33203125" style="13" customWidth="1"/>
    <col min="5831" max="5831" width="18.88671875" style="13" customWidth="1"/>
    <col min="5832" max="5832" width="14.109375" style="13" customWidth="1"/>
    <col min="5833" max="5833" width="21.5546875" style="13" customWidth="1"/>
    <col min="5834" max="5835" width="14.109375" style="13" customWidth="1"/>
    <col min="5836" max="5836" width="15" style="13" customWidth="1"/>
    <col min="5837" max="5837" width="13.33203125" style="13" customWidth="1"/>
    <col min="5838" max="5838" width="17" style="13" customWidth="1"/>
    <col min="5839" max="5839" width="24.88671875" style="13" customWidth="1"/>
    <col min="5840" max="5840" width="14.44140625" style="13" customWidth="1"/>
    <col min="5841" max="5841" width="23.109375" style="13" customWidth="1"/>
    <col min="5842" max="5842" width="13.109375" style="13" customWidth="1"/>
    <col min="5843" max="5846" width="0" style="13" hidden="1" customWidth="1"/>
    <col min="5847" max="6082" width="10.33203125" style="13"/>
    <col min="6083" max="6083" width="7" style="13" customWidth="1"/>
    <col min="6084" max="6084" width="13" style="13" customWidth="1"/>
    <col min="6085" max="6085" width="14.109375" style="13" customWidth="1"/>
    <col min="6086" max="6086" width="17.33203125" style="13" customWidth="1"/>
    <col min="6087" max="6087" width="18.88671875" style="13" customWidth="1"/>
    <col min="6088" max="6088" width="14.109375" style="13" customWidth="1"/>
    <col min="6089" max="6089" width="21.5546875" style="13" customWidth="1"/>
    <col min="6090" max="6091" width="14.109375" style="13" customWidth="1"/>
    <col min="6092" max="6092" width="15" style="13" customWidth="1"/>
    <col min="6093" max="6093" width="13.33203125" style="13" customWidth="1"/>
    <col min="6094" max="6094" width="17" style="13" customWidth="1"/>
    <col min="6095" max="6095" width="24.88671875" style="13" customWidth="1"/>
    <col min="6096" max="6096" width="14.44140625" style="13" customWidth="1"/>
    <col min="6097" max="6097" width="23.109375" style="13" customWidth="1"/>
    <col min="6098" max="6098" width="13.109375" style="13" customWidth="1"/>
    <col min="6099" max="6102" width="0" style="13" hidden="1" customWidth="1"/>
    <col min="6103" max="6338" width="10.33203125" style="13"/>
    <col min="6339" max="6339" width="7" style="13" customWidth="1"/>
    <col min="6340" max="6340" width="13" style="13" customWidth="1"/>
    <col min="6341" max="6341" width="14.109375" style="13" customWidth="1"/>
    <col min="6342" max="6342" width="17.33203125" style="13" customWidth="1"/>
    <col min="6343" max="6343" width="18.88671875" style="13" customWidth="1"/>
    <col min="6344" max="6344" width="14.109375" style="13" customWidth="1"/>
    <col min="6345" max="6345" width="21.5546875" style="13" customWidth="1"/>
    <col min="6346" max="6347" width="14.109375" style="13" customWidth="1"/>
    <col min="6348" max="6348" width="15" style="13" customWidth="1"/>
    <col min="6349" max="6349" width="13.33203125" style="13" customWidth="1"/>
    <col min="6350" max="6350" width="17" style="13" customWidth="1"/>
    <col min="6351" max="6351" width="24.88671875" style="13" customWidth="1"/>
    <col min="6352" max="6352" width="14.44140625" style="13" customWidth="1"/>
    <col min="6353" max="6353" width="23.109375" style="13" customWidth="1"/>
    <col min="6354" max="6354" width="13.109375" style="13" customWidth="1"/>
    <col min="6355" max="6358" width="0" style="13" hidden="1" customWidth="1"/>
    <col min="6359" max="6594" width="10.33203125" style="13"/>
    <col min="6595" max="6595" width="7" style="13" customWidth="1"/>
    <col min="6596" max="6596" width="13" style="13" customWidth="1"/>
    <col min="6597" max="6597" width="14.109375" style="13" customWidth="1"/>
    <col min="6598" max="6598" width="17.33203125" style="13" customWidth="1"/>
    <col min="6599" max="6599" width="18.88671875" style="13" customWidth="1"/>
    <col min="6600" max="6600" width="14.109375" style="13" customWidth="1"/>
    <col min="6601" max="6601" width="21.5546875" style="13" customWidth="1"/>
    <col min="6602" max="6603" width="14.109375" style="13" customWidth="1"/>
    <col min="6604" max="6604" width="15" style="13" customWidth="1"/>
    <col min="6605" max="6605" width="13.33203125" style="13" customWidth="1"/>
    <col min="6606" max="6606" width="17" style="13" customWidth="1"/>
    <col min="6607" max="6607" width="24.88671875" style="13" customWidth="1"/>
    <col min="6608" max="6608" width="14.44140625" style="13" customWidth="1"/>
    <col min="6609" max="6609" width="23.109375" style="13" customWidth="1"/>
    <col min="6610" max="6610" width="13.109375" style="13" customWidth="1"/>
    <col min="6611" max="6614" width="0" style="13" hidden="1" customWidth="1"/>
    <col min="6615" max="6850" width="10.33203125" style="13"/>
    <col min="6851" max="6851" width="7" style="13" customWidth="1"/>
    <col min="6852" max="6852" width="13" style="13" customWidth="1"/>
    <col min="6853" max="6853" width="14.109375" style="13" customWidth="1"/>
    <col min="6854" max="6854" width="17.33203125" style="13" customWidth="1"/>
    <col min="6855" max="6855" width="18.88671875" style="13" customWidth="1"/>
    <col min="6856" max="6856" width="14.109375" style="13" customWidth="1"/>
    <col min="6857" max="6857" width="21.5546875" style="13" customWidth="1"/>
    <col min="6858" max="6859" width="14.109375" style="13" customWidth="1"/>
    <col min="6860" max="6860" width="15" style="13" customWidth="1"/>
    <col min="6861" max="6861" width="13.33203125" style="13" customWidth="1"/>
    <col min="6862" max="6862" width="17" style="13" customWidth="1"/>
    <col min="6863" max="6863" width="24.88671875" style="13" customWidth="1"/>
    <col min="6864" max="6864" width="14.44140625" style="13" customWidth="1"/>
    <col min="6865" max="6865" width="23.109375" style="13" customWidth="1"/>
    <col min="6866" max="6866" width="13.109375" style="13" customWidth="1"/>
    <col min="6867" max="6870" width="0" style="13" hidden="1" customWidth="1"/>
    <col min="6871" max="7106" width="10.33203125" style="13"/>
    <col min="7107" max="7107" width="7" style="13" customWidth="1"/>
    <col min="7108" max="7108" width="13" style="13" customWidth="1"/>
    <col min="7109" max="7109" width="14.109375" style="13" customWidth="1"/>
    <col min="7110" max="7110" width="17.33203125" style="13" customWidth="1"/>
    <col min="7111" max="7111" width="18.88671875" style="13" customWidth="1"/>
    <col min="7112" max="7112" width="14.109375" style="13" customWidth="1"/>
    <col min="7113" max="7113" width="21.5546875" style="13" customWidth="1"/>
    <col min="7114" max="7115" width="14.109375" style="13" customWidth="1"/>
    <col min="7116" max="7116" width="15" style="13" customWidth="1"/>
    <col min="7117" max="7117" width="13.33203125" style="13" customWidth="1"/>
    <col min="7118" max="7118" width="17" style="13" customWidth="1"/>
    <col min="7119" max="7119" width="24.88671875" style="13" customWidth="1"/>
    <col min="7120" max="7120" width="14.44140625" style="13" customWidth="1"/>
    <col min="7121" max="7121" width="23.109375" style="13" customWidth="1"/>
    <col min="7122" max="7122" width="13.109375" style="13" customWidth="1"/>
    <col min="7123" max="7126" width="0" style="13" hidden="1" customWidth="1"/>
    <col min="7127" max="7362" width="10.33203125" style="13"/>
    <col min="7363" max="7363" width="7" style="13" customWidth="1"/>
    <col min="7364" max="7364" width="13" style="13" customWidth="1"/>
    <col min="7365" max="7365" width="14.109375" style="13" customWidth="1"/>
    <col min="7366" max="7366" width="17.33203125" style="13" customWidth="1"/>
    <col min="7367" max="7367" width="18.88671875" style="13" customWidth="1"/>
    <col min="7368" max="7368" width="14.109375" style="13" customWidth="1"/>
    <col min="7369" max="7369" width="21.5546875" style="13" customWidth="1"/>
    <col min="7370" max="7371" width="14.109375" style="13" customWidth="1"/>
    <col min="7372" max="7372" width="15" style="13" customWidth="1"/>
    <col min="7373" max="7373" width="13.33203125" style="13" customWidth="1"/>
    <col min="7374" max="7374" width="17" style="13" customWidth="1"/>
    <col min="7375" max="7375" width="24.88671875" style="13" customWidth="1"/>
    <col min="7376" max="7376" width="14.44140625" style="13" customWidth="1"/>
    <col min="7377" max="7377" width="23.109375" style="13" customWidth="1"/>
    <col min="7378" max="7378" width="13.109375" style="13" customWidth="1"/>
    <col min="7379" max="7382" width="0" style="13" hidden="1" customWidth="1"/>
    <col min="7383" max="7618" width="10.33203125" style="13"/>
    <col min="7619" max="7619" width="7" style="13" customWidth="1"/>
    <col min="7620" max="7620" width="13" style="13" customWidth="1"/>
    <col min="7621" max="7621" width="14.109375" style="13" customWidth="1"/>
    <col min="7622" max="7622" width="17.33203125" style="13" customWidth="1"/>
    <col min="7623" max="7623" width="18.88671875" style="13" customWidth="1"/>
    <col min="7624" max="7624" width="14.109375" style="13" customWidth="1"/>
    <col min="7625" max="7625" width="21.5546875" style="13" customWidth="1"/>
    <col min="7626" max="7627" width="14.109375" style="13" customWidth="1"/>
    <col min="7628" max="7628" width="15" style="13" customWidth="1"/>
    <col min="7629" max="7629" width="13.33203125" style="13" customWidth="1"/>
    <col min="7630" max="7630" width="17" style="13" customWidth="1"/>
    <col min="7631" max="7631" width="24.88671875" style="13" customWidth="1"/>
    <col min="7632" max="7632" width="14.44140625" style="13" customWidth="1"/>
    <col min="7633" max="7633" width="23.109375" style="13" customWidth="1"/>
    <col min="7634" max="7634" width="13.109375" style="13" customWidth="1"/>
    <col min="7635" max="7638" width="0" style="13" hidden="1" customWidth="1"/>
    <col min="7639" max="7874" width="10.33203125" style="13"/>
    <col min="7875" max="7875" width="7" style="13" customWidth="1"/>
    <col min="7876" max="7876" width="13" style="13" customWidth="1"/>
    <col min="7877" max="7877" width="14.109375" style="13" customWidth="1"/>
    <col min="7878" max="7878" width="17.33203125" style="13" customWidth="1"/>
    <col min="7879" max="7879" width="18.88671875" style="13" customWidth="1"/>
    <col min="7880" max="7880" width="14.109375" style="13" customWidth="1"/>
    <col min="7881" max="7881" width="21.5546875" style="13" customWidth="1"/>
    <col min="7882" max="7883" width="14.109375" style="13" customWidth="1"/>
    <col min="7884" max="7884" width="15" style="13" customWidth="1"/>
    <col min="7885" max="7885" width="13.33203125" style="13" customWidth="1"/>
    <col min="7886" max="7886" width="17" style="13" customWidth="1"/>
    <col min="7887" max="7887" width="24.88671875" style="13" customWidth="1"/>
    <col min="7888" max="7888" width="14.44140625" style="13" customWidth="1"/>
    <col min="7889" max="7889" width="23.109375" style="13" customWidth="1"/>
    <col min="7890" max="7890" width="13.109375" style="13" customWidth="1"/>
    <col min="7891" max="7894" width="0" style="13" hidden="1" customWidth="1"/>
    <col min="7895" max="8130" width="10.33203125" style="13"/>
    <col min="8131" max="8131" width="7" style="13" customWidth="1"/>
    <col min="8132" max="8132" width="13" style="13" customWidth="1"/>
    <col min="8133" max="8133" width="14.109375" style="13" customWidth="1"/>
    <col min="8134" max="8134" width="17.33203125" style="13" customWidth="1"/>
    <col min="8135" max="8135" width="18.88671875" style="13" customWidth="1"/>
    <col min="8136" max="8136" width="14.109375" style="13" customWidth="1"/>
    <col min="8137" max="8137" width="21.5546875" style="13" customWidth="1"/>
    <col min="8138" max="8139" width="14.109375" style="13" customWidth="1"/>
    <col min="8140" max="8140" width="15" style="13" customWidth="1"/>
    <col min="8141" max="8141" width="13.33203125" style="13" customWidth="1"/>
    <col min="8142" max="8142" width="17" style="13" customWidth="1"/>
    <col min="8143" max="8143" width="24.88671875" style="13" customWidth="1"/>
    <col min="8144" max="8144" width="14.44140625" style="13" customWidth="1"/>
    <col min="8145" max="8145" width="23.109375" style="13" customWidth="1"/>
    <col min="8146" max="8146" width="13.109375" style="13" customWidth="1"/>
    <col min="8147" max="8150" width="0" style="13" hidden="1" customWidth="1"/>
    <col min="8151" max="8386" width="10.33203125" style="13"/>
    <col min="8387" max="8387" width="7" style="13" customWidth="1"/>
    <col min="8388" max="8388" width="13" style="13" customWidth="1"/>
    <col min="8389" max="8389" width="14.109375" style="13" customWidth="1"/>
    <col min="8390" max="8390" width="17.33203125" style="13" customWidth="1"/>
    <col min="8391" max="8391" width="18.88671875" style="13" customWidth="1"/>
    <col min="8392" max="8392" width="14.109375" style="13" customWidth="1"/>
    <col min="8393" max="8393" width="21.5546875" style="13" customWidth="1"/>
    <col min="8394" max="8395" width="14.109375" style="13" customWidth="1"/>
    <col min="8396" max="8396" width="15" style="13" customWidth="1"/>
    <col min="8397" max="8397" width="13.33203125" style="13" customWidth="1"/>
    <col min="8398" max="8398" width="17" style="13" customWidth="1"/>
    <col min="8399" max="8399" width="24.88671875" style="13" customWidth="1"/>
    <col min="8400" max="8400" width="14.44140625" style="13" customWidth="1"/>
    <col min="8401" max="8401" width="23.109375" style="13" customWidth="1"/>
    <col min="8402" max="8402" width="13.109375" style="13" customWidth="1"/>
    <col min="8403" max="8406" width="0" style="13" hidden="1" customWidth="1"/>
    <col min="8407" max="8642" width="10.33203125" style="13"/>
    <col min="8643" max="8643" width="7" style="13" customWidth="1"/>
    <col min="8644" max="8644" width="13" style="13" customWidth="1"/>
    <col min="8645" max="8645" width="14.109375" style="13" customWidth="1"/>
    <col min="8646" max="8646" width="17.33203125" style="13" customWidth="1"/>
    <col min="8647" max="8647" width="18.88671875" style="13" customWidth="1"/>
    <col min="8648" max="8648" width="14.109375" style="13" customWidth="1"/>
    <col min="8649" max="8649" width="21.5546875" style="13" customWidth="1"/>
    <col min="8650" max="8651" width="14.109375" style="13" customWidth="1"/>
    <col min="8652" max="8652" width="15" style="13" customWidth="1"/>
    <col min="8653" max="8653" width="13.33203125" style="13" customWidth="1"/>
    <col min="8654" max="8654" width="17" style="13" customWidth="1"/>
    <col min="8655" max="8655" width="24.88671875" style="13" customWidth="1"/>
    <col min="8656" max="8656" width="14.44140625" style="13" customWidth="1"/>
    <col min="8657" max="8657" width="23.109375" style="13" customWidth="1"/>
    <col min="8658" max="8658" width="13.109375" style="13" customWidth="1"/>
    <col min="8659" max="8662" width="0" style="13" hidden="1" customWidth="1"/>
    <col min="8663" max="8898" width="10.33203125" style="13"/>
    <col min="8899" max="8899" width="7" style="13" customWidth="1"/>
    <col min="8900" max="8900" width="13" style="13" customWidth="1"/>
    <col min="8901" max="8901" width="14.109375" style="13" customWidth="1"/>
    <col min="8902" max="8902" width="17.33203125" style="13" customWidth="1"/>
    <col min="8903" max="8903" width="18.88671875" style="13" customWidth="1"/>
    <col min="8904" max="8904" width="14.109375" style="13" customWidth="1"/>
    <col min="8905" max="8905" width="21.5546875" style="13" customWidth="1"/>
    <col min="8906" max="8907" width="14.109375" style="13" customWidth="1"/>
    <col min="8908" max="8908" width="15" style="13" customWidth="1"/>
    <col min="8909" max="8909" width="13.33203125" style="13" customWidth="1"/>
    <col min="8910" max="8910" width="17" style="13" customWidth="1"/>
    <col min="8911" max="8911" width="24.88671875" style="13" customWidth="1"/>
    <col min="8912" max="8912" width="14.44140625" style="13" customWidth="1"/>
    <col min="8913" max="8913" width="23.109375" style="13" customWidth="1"/>
    <col min="8914" max="8914" width="13.109375" style="13" customWidth="1"/>
    <col min="8915" max="8918" width="0" style="13" hidden="1" customWidth="1"/>
    <col min="8919" max="9154" width="10.33203125" style="13"/>
    <col min="9155" max="9155" width="7" style="13" customWidth="1"/>
    <col min="9156" max="9156" width="13" style="13" customWidth="1"/>
    <col min="9157" max="9157" width="14.109375" style="13" customWidth="1"/>
    <col min="9158" max="9158" width="17.33203125" style="13" customWidth="1"/>
    <col min="9159" max="9159" width="18.88671875" style="13" customWidth="1"/>
    <col min="9160" max="9160" width="14.109375" style="13" customWidth="1"/>
    <col min="9161" max="9161" width="21.5546875" style="13" customWidth="1"/>
    <col min="9162" max="9163" width="14.109375" style="13" customWidth="1"/>
    <col min="9164" max="9164" width="15" style="13" customWidth="1"/>
    <col min="9165" max="9165" width="13.33203125" style="13" customWidth="1"/>
    <col min="9166" max="9166" width="17" style="13" customWidth="1"/>
    <col min="9167" max="9167" width="24.88671875" style="13" customWidth="1"/>
    <col min="9168" max="9168" width="14.44140625" style="13" customWidth="1"/>
    <col min="9169" max="9169" width="23.109375" style="13" customWidth="1"/>
    <col min="9170" max="9170" width="13.109375" style="13" customWidth="1"/>
    <col min="9171" max="9174" width="0" style="13" hidden="1" customWidth="1"/>
    <col min="9175" max="9410" width="10.33203125" style="13"/>
    <col min="9411" max="9411" width="7" style="13" customWidth="1"/>
    <col min="9412" max="9412" width="13" style="13" customWidth="1"/>
    <col min="9413" max="9413" width="14.109375" style="13" customWidth="1"/>
    <col min="9414" max="9414" width="17.33203125" style="13" customWidth="1"/>
    <col min="9415" max="9415" width="18.88671875" style="13" customWidth="1"/>
    <col min="9416" max="9416" width="14.109375" style="13" customWidth="1"/>
    <col min="9417" max="9417" width="21.5546875" style="13" customWidth="1"/>
    <col min="9418" max="9419" width="14.109375" style="13" customWidth="1"/>
    <col min="9420" max="9420" width="15" style="13" customWidth="1"/>
    <col min="9421" max="9421" width="13.33203125" style="13" customWidth="1"/>
    <col min="9422" max="9422" width="17" style="13" customWidth="1"/>
    <col min="9423" max="9423" width="24.88671875" style="13" customWidth="1"/>
    <col min="9424" max="9424" width="14.44140625" style="13" customWidth="1"/>
    <col min="9425" max="9425" width="23.109375" style="13" customWidth="1"/>
    <col min="9426" max="9426" width="13.109375" style="13" customWidth="1"/>
    <col min="9427" max="9430" width="0" style="13" hidden="1" customWidth="1"/>
    <col min="9431" max="9666" width="10.33203125" style="13"/>
    <col min="9667" max="9667" width="7" style="13" customWidth="1"/>
    <col min="9668" max="9668" width="13" style="13" customWidth="1"/>
    <col min="9669" max="9669" width="14.109375" style="13" customWidth="1"/>
    <col min="9670" max="9670" width="17.33203125" style="13" customWidth="1"/>
    <col min="9671" max="9671" width="18.88671875" style="13" customWidth="1"/>
    <col min="9672" max="9672" width="14.109375" style="13" customWidth="1"/>
    <col min="9673" max="9673" width="21.5546875" style="13" customWidth="1"/>
    <col min="9674" max="9675" width="14.109375" style="13" customWidth="1"/>
    <col min="9676" max="9676" width="15" style="13" customWidth="1"/>
    <col min="9677" max="9677" width="13.33203125" style="13" customWidth="1"/>
    <col min="9678" max="9678" width="17" style="13" customWidth="1"/>
    <col min="9679" max="9679" width="24.88671875" style="13" customWidth="1"/>
    <col min="9680" max="9680" width="14.44140625" style="13" customWidth="1"/>
    <col min="9681" max="9681" width="23.109375" style="13" customWidth="1"/>
    <col min="9682" max="9682" width="13.109375" style="13" customWidth="1"/>
    <col min="9683" max="9686" width="0" style="13" hidden="1" customWidth="1"/>
    <col min="9687" max="9922" width="10.33203125" style="13"/>
    <col min="9923" max="9923" width="7" style="13" customWidth="1"/>
    <col min="9924" max="9924" width="13" style="13" customWidth="1"/>
    <col min="9925" max="9925" width="14.109375" style="13" customWidth="1"/>
    <col min="9926" max="9926" width="17.33203125" style="13" customWidth="1"/>
    <col min="9927" max="9927" width="18.88671875" style="13" customWidth="1"/>
    <col min="9928" max="9928" width="14.109375" style="13" customWidth="1"/>
    <col min="9929" max="9929" width="21.5546875" style="13" customWidth="1"/>
    <col min="9930" max="9931" width="14.109375" style="13" customWidth="1"/>
    <col min="9932" max="9932" width="15" style="13" customWidth="1"/>
    <col min="9933" max="9933" width="13.33203125" style="13" customWidth="1"/>
    <col min="9934" max="9934" width="17" style="13" customWidth="1"/>
    <col min="9935" max="9935" width="24.88671875" style="13" customWidth="1"/>
    <col min="9936" max="9936" width="14.44140625" style="13" customWidth="1"/>
    <col min="9937" max="9937" width="23.109375" style="13" customWidth="1"/>
    <col min="9938" max="9938" width="13.109375" style="13" customWidth="1"/>
    <col min="9939" max="9942" width="0" style="13" hidden="1" customWidth="1"/>
    <col min="9943" max="10178" width="10.33203125" style="13"/>
    <col min="10179" max="10179" width="7" style="13" customWidth="1"/>
    <col min="10180" max="10180" width="13" style="13" customWidth="1"/>
    <col min="10181" max="10181" width="14.109375" style="13" customWidth="1"/>
    <col min="10182" max="10182" width="17.33203125" style="13" customWidth="1"/>
    <col min="10183" max="10183" width="18.88671875" style="13" customWidth="1"/>
    <col min="10184" max="10184" width="14.109375" style="13" customWidth="1"/>
    <col min="10185" max="10185" width="21.5546875" style="13" customWidth="1"/>
    <col min="10186" max="10187" width="14.109375" style="13" customWidth="1"/>
    <col min="10188" max="10188" width="15" style="13" customWidth="1"/>
    <col min="10189" max="10189" width="13.33203125" style="13" customWidth="1"/>
    <col min="10190" max="10190" width="17" style="13" customWidth="1"/>
    <col min="10191" max="10191" width="24.88671875" style="13" customWidth="1"/>
    <col min="10192" max="10192" width="14.44140625" style="13" customWidth="1"/>
    <col min="10193" max="10193" width="23.109375" style="13" customWidth="1"/>
    <col min="10194" max="10194" width="13.109375" style="13" customWidth="1"/>
    <col min="10195" max="10198" width="0" style="13" hidden="1" customWidth="1"/>
    <col min="10199" max="10434" width="10.33203125" style="13"/>
    <col min="10435" max="10435" width="7" style="13" customWidth="1"/>
    <col min="10436" max="10436" width="13" style="13" customWidth="1"/>
    <col min="10437" max="10437" width="14.109375" style="13" customWidth="1"/>
    <col min="10438" max="10438" width="17.33203125" style="13" customWidth="1"/>
    <col min="10439" max="10439" width="18.88671875" style="13" customWidth="1"/>
    <col min="10440" max="10440" width="14.109375" style="13" customWidth="1"/>
    <col min="10441" max="10441" width="21.5546875" style="13" customWidth="1"/>
    <col min="10442" max="10443" width="14.109375" style="13" customWidth="1"/>
    <col min="10444" max="10444" width="15" style="13" customWidth="1"/>
    <col min="10445" max="10445" width="13.33203125" style="13" customWidth="1"/>
    <col min="10446" max="10446" width="17" style="13" customWidth="1"/>
    <col min="10447" max="10447" width="24.88671875" style="13" customWidth="1"/>
    <col min="10448" max="10448" width="14.44140625" style="13" customWidth="1"/>
    <col min="10449" max="10449" width="23.109375" style="13" customWidth="1"/>
    <col min="10450" max="10450" width="13.109375" style="13" customWidth="1"/>
    <col min="10451" max="10454" width="0" style="13" hidden="1" customWidth="1"/>
    <col min="10455" max="10690" width="10.33203125" style="13"/>
    <col min="10691" max="10691" width="7" style="13" customWidth="1"/>
    <col min="10692" max="10692" width="13" style="13" customWidth="1"/>
    <col min="10693" max="10693" width="14.109375" style="13" customWidth="1"/>
    <col min="10694" max="10694" width="17.33203125" style="13" customWidth="1"/>
    <col min="10695" max="10695" width="18.88671875" style="13" customWidth="1"/>
    <col min="10696" max="10696" width="14.109375" style="13" customWidth="1"/>
    <col min="10697" max="10697" width="21.5546875" style="13" customWidth="1"/>
    <col min="10698" max="10699" width="14.109375" style="13" customWidth="1"/>
    <col min="10700" max="10700" width="15" style="13" customWidth="1"/>
    <col min="10701" max="10701" width="13.33203125" style="13" customWidth="1"/>
    <col min="10702" max="10702" width="17" style="13" customWidth="1"/>
    <col min="10703" max="10703" width="24.88671875" style="13" customWidth="1"/>
    <col min="10704" max="10704" width="14.44140625" style="13" customWidth="1"/>
    <col min="10705" max="10705" width="23.109375" style="13" customWidth="1"/>
    <col min="10706" max="10706" width="13.109375" style="13" customWidth="1"/>
    <col min="10707" max="10710" width="0" style="13" hidden="1" customWidth="1"/>
    <col min="10711" max="10946" width="10.33203125" style="13"/>
    <col min="10947" max="10947" width="7" style="13" customWidth="1"/>
    <col min="10948" max="10948" width="13" style="13" customWidth="1"/>
    <col min="10949" max="10949" width="14.109375" style="13" customWidth="1"/>
    <col min="10950" max="10950" width="17.33203125" style="13" customWidth="1"/>
    <col min="10951" max="10951" width="18.88671875" style="13" customWidth="1"/>
    <col min="10952" max="10952" width="14.109375" style="13" customWidth="1"/>
    <col min="10953" max="10953" width="21.5546875" style="13" customWidth="1"/>
    <col min="10954" max="10955" width="14.109375" style="13" customWidth="1"/>
    <col min="10956" max="10956" width="15" style="13" customWidth="1"/>
    <col min="10957" max="10957" width="13.33203125" style="13" customWidth="1"/>
    <col min="10958" max="10958" width="17" style="13" customWidth="1"/>
    <col min="10959" max="10959" width="24.88671875" style="13" customWidth="1"/>
    <col min="10960" max="10960" width="14.44140625" style="13" customWidth="1"/>
    <col min="10961" max="10961" width="23.109375" style="13" customWidth="1"/>
    <col min="10962" max="10962" width="13.109375" style="13" customWidth="1"/>
    <col min="10963" max="10966" width="0" style="13" hidden="1" customWidth="1"/>
    <col min="10967" max="11202" width="10.33203125" style="13"/>
    <col min="11203" max="11203" width="7" style="13" customWidth="1"/>
    <col min="11204" max="11204" width="13" style="13" customWidth="1"/>
    <col min="11205" max="11205" width="14.109375" style="13" customWidth="1"/>
    <col min="11206" max="11206" width="17.33203125" style="13" customWidth="1"/>
    <col min="11207" max="11207" width="18.88671875" style="13" customWidth="1"/>
    <col min="11208" max="11208" width="14.109375" style="13" customWidth="1"/>
    <col min="11209" max="11209" width="21.5546875" style="13" customWidth="1"/>
    <col min="11210" max="11211" width="14.109375" style="13" customWidth="1"/>
    <col min="11212" max="11212" width="15" style="13" customWidth="1"/>
    <col min="11213" max="11213" width="13.33203125" style="13" customWidth="1"/>
    <col min="11214" max="11214" width="17" style="13" customWidth="1"/>
    <col min="11215" max="11215" width="24.88671875" style="13" customWidth="1"/>
    <col min="11216" max="11216" width="14.44140625" style="13" customWidth="1"/>
    <col min="11217" max="11217" width="23.109375" style="13" customWidth="1"/>
    <col min="11218" max="11218" width="13.109375" style="13" customWidth="1"/>
    <col min="11219" max="11222" width="0" style="13" hidden="1" customWidth="1"/>
    <col min="11223" max="11458" width="10.33203125" style="13"/>
    <col min="11459" max="11459" width="7" style="13" customWidth="1"/>
    <col min="11460" max="11460" width="13" style="13" customWidth="1"/>
    <col min="11461" max="11461" width="14.109375" style="13" customWidth="1"/>
    <col min="11462" max="11462" width="17.33203125" style="13" customWidth="1"/>
    <col min="11463" max="11463" width="18.88671875" style="13" customWidth="1"/>
    <col min="11464" max="11464" width="14.109375" style="13" customWidth="1"/>
    <col min="11465" max="11465" width="21.5546875" style="13" customWidth="1"/>
    <col min="11466" max="11467" width="14.109375" style="13" customWidth="1"/>
    <col min="11468" max="11468" width="15" style="13" customWidth="1"/>
    <col min="11469" max="11469" width="13.33203125" style="13" customWidth="1"/>
    <col min="11470" max="11470" width="17" style="13" customWidth="1"/>
    <col min="11471" max="11471" width="24.88671875" style="13" customWidth="1"/>
    <col min="11472" max="11472" width="14.44140625" style="13" customWidth="1"/>
    <col min="11473" max="11473" width="23.109375" style="13" customWidth="1"/>
    <col min="11474" max="11474" width="13.109375" style="13" customWidth="1"/>
    <col min="11475" max="11478" width="0" style="13" hidden="1" customWidth="1"/>
    <col min="11479" max="11714" width="10.33203125" style="13"/>
    <col min="11715" max="11715" width="7" style="13" customWidth="1"/>
    <col min="11716" max="11716" width="13" style="13" customWidth="1"/>
    <col min="11717" max="11717" width="14.109375" style="13" customWidth="1"/>
    <col min="11718" max="11718" width="17.33203125" style="13" customWidth="1"/>
    <col min="11719" max="11719" width="18.88671875" style="13" customWidth="1"/>
    <col min="11720" max="11720" width="14.109375" style="13" customWidth="1"/>
    <col min="11721" max="11721" width="21.5546875" style="13" customWidth="1"/>
    <col min="11722" max="11723" width="14.109375" style="13" customWidth="1"/>
    <col min="11724" max="11724" width="15" style="13" customWidth="1"/>
    <col min="11725" max="11725" width="13.33203125" style="13" customWidth="1"/>
    <col min="11726" max="11726" width="17" style="13" customWidth="1"/>
    <col min="11727" max="11727" width="24.88671875" style="13" customWidth="1"/>
    <col min="11728" max="11728" width="14.44140625" style="13" customWidth="1"/>
    <col min="11729" max="11729" width="23.109375" style="13" customWidth="1"/>
    <col min="11730" max="11730" width="13.109375" style="13" customWidth="1"/>
    <col min="11731" max="11734" width="0" style="13" hidden="1" customWidth="1"/>
    <col min="11735" max="11970" width="10.33203125" style="13"/>
    <col min="11971" max="11971" width="7" style="13" customWidth="1"/>
    <col min="11972" max="11972" width="13" style="13" customWidth="1"/>
    <col min="11973" max="11973" width="14.109375" style="13" customWidth="1"/>
    <col min="11974" max="11974" width="17.33203125" style="13" customWidth="1"/>
    <col min="11975" max="11975" width="18.88671875" style="13" customWidth="1"/>
    <col min="11976" max="11976" width="14.109375" style="13" customWidth="1"/>
    <col min="11977" max="11977" width="21.5546875" style="13" customWidth="1"/>
    <col min="11978" max="11979" width="14.109375" style="13" customWidth="1"/>
    <col min="11980" max="11980" width="15" style="13" customWidth="1"/>
    <col min="11981" max="11981" width="13.33203125" style="13" customWidth="1"/>
    <col min="11982" max="11982" width="17" style="13" customWidth="1"/>
    <col min="11983" max="11983" width="24.88671875" style="13" customWidth="1"/>
    <col min="11984" max="11984" width="14.44140625" style="13" customWidth="1"/>
    <col min="11985" max="11985" width="23.109375" style="13" customWidth="1"/>
    <col min="11986" max="11986" width="13.109375" style="13" customWidth="1"/>
    <col min="11987" max="11990" width="0" style="13" hidden="1" customWidth="1"/>
    <col min="11991" max="12226" width="10.33203125" style="13"/>
    <col min="12227" max="12227" width="7" style="13" customWidth="1"/>
    <col min="12228" max="12228" width="13" style="13" customWidth="1"/>
    <col min="12229" max="12229" width="14.109375" style="13" customWidth="1"/>
    <col min="12230" max="12230" width="17.33203125" style="13" customWidth="1"/>
    <col min="12231" max="12231" width="18.88671875" style="13" customWidth="1"/>
    <col min="12232" max="12232" width="14.109375" style="13" customWidth="1"/>
    <col min="12233" max="12233" width="21.5546875" style="13" customWidth="1"/>
    <col min="12234" max="12235" width="14.109375" style="13" customWidth="1"/>
    <col min="12236" max="12236" width="15" style="13" customWidth="1"/>
    <col min="12237" max="12237" width="13.33203125" style="13" customWidth="1"/>
    <col min="12238" max="12238" width="17" style="13" customWidth="1"/>
    <col min="12239" max="12239" width="24.88671875" style="13" customWidth="1"/>
    <col min="12240" max="12240" width="14.44140625" style="13" customWidth="1"/>
    <col min="12241" max="12241" width="23.109375" style="13" customWidth="1"/>
    <col min="12242" max="12242" width="13.109375" style="13" customWidth="1"/>
    <col min="12243" max="12246" width="0" style="13" hidden="1" customWidth="1"/>
    <col min="12247" max="12482" width="10.33203125" style="13"/>
    <col min="12483" max="12483" width="7" style="13" customWidth="1"/>
    <col min="12484" max="12484" width="13" style="13" customWidth="1"/>
    <col min="12485" max="12485" width="14.109375" style="13" customWidth="1"/>
    <col min="12486" max="12486" width="17.33203125" style="13" customWidth="1"/>
    <col min="12487" max="12487" width="18.88671875" style="13" customWidth="1"/>
    <col min="12488" max="12488" width="14.109375" style="13" customWidth="1"/>
    <col min="12489" max="12489" width="21.5546875" style="13" customWidth="1"/>
    <col min="12490" max="12491" width="14.109375" style="13" customWidth="1"/>
    <col min="12492" max="12492" width="15" style="13" customWidth="1"/>
    <col min="12493" max="12493" width="13.33203125" style="13" customWidth="1"/>
    <col min="12494" max="12494" width="17" style="13" customWidth="1"/>
    <col min="12495" max="12495" width="24.88671875" style="13" customWidth="1"/>
    <col min="12496" max="12496" width="14.44140625" style="13" customWidth="1"/>
    <col min="12497" max="12497" width="23.109375" style="13" customWidth="1"/>
    <col min="12498" max="12498" width="13.109375" style="13" customWidth="1"/>
    <col min="12499" max="12502" width="0" style="13" hidden="1" customWidth="1"/>
    <col min="12503" max="12738" width="10.33203125" style="13"/>
    <col min="12739" max="12739" width="7" style="13" customWidth="1"/>
    <col min="12740" max="12740" width="13" style="13" customWidth="1"/>
    <col min="12741" max="12741" width="14.109375" style="13" customWidth="1"/>
    <col min="12742" max="12742" width="17.33203125" style="13" customWidth="1"/>
    <col min="12743" max="12743" width="18.88671875" style="13" customWidth="1"/>
    <col min="12744" max="12744" width="14.109375" style="13" customWidth="1"/>
    <col min="12745" max="12745" width="21.5546875" style="13" customWidth="1"/>
    <col min="12746" max="12747" width="14.109375" style="13" customWidth="1"/>
    <col min="12748" max="12748" width="15" style="13" customWidth="1"/>
    <col min="12749" max="12749" width="13.33203125" style="13" customWidth="1"/>
    <col min="12750" max="12750" width="17" style="13" customWidth="1"/>
    <col min="12751" max="12751" width="24.88671875" style="13" customWidth="1"/>
    <col min="12752" max="12752" width="14.44140625" style="13" customWidth="1"/>
    <col min="12753" max="12753" width="23.109375" style="13" customWidth="1"/>
    <col min="12754" max="12754" width="13.109375" style="13" customWidth="1"/>
    <col min="12755" max="12758" width="0" style="13" hidden="1" customWidth="1"/>
    <col min="12759" max="12994" width="10.33203125" style="13"/>
    <col min="12995" max="12995" width="7" style="13" customWidth="1"/>
    <col min="12996" max="12996" width="13" style="13" customWidth="1"/>
    <col min="12997" max="12997" width="14.109375" style="13" customWidth="1"/>
    <col min="12998" max="12998" width="17.33203125" style="13" customWidth="1"/>
    <col min="12999" max="12999" width="18.88671875" style="13" customWidth="1"/>
    <col min="13000" max="13000" width="14.109375" style="13" customWidth="1"/>
    <col min="13001" max="13001" width="21.5546875" style="13" customWidth="1"/>
    <col min="13002" max="13003" width="14.109375" style="13" customWidth="1"/>
    <col min="13004" max="13004" width="15" style="13" customWidth="1"/>
    <col min="13005" max="13005" width="13.33203125" style="13" customWidth="1"/>
    <col min="13006" max="13006" width="17" style="13" customWidth="1"/>
    <col min="13007" max="13007" width="24.88671875" style="13" customWidth="1"/>
    <col min="13008" max="13008" width="14.44140625" style="13" customWidth="1"/>
    <col min="13009" max="13009" width="23.109375" style="13" customWidth="1"/>
    <col min="13010" max="13010" width="13.109375" style="13" customWidth="1"/>
    <col min="13011" max="13014" width="0" style="13" hidden="1" customWidth="1"/>
    <col min="13015" max="13250" width="10.33203125" style="13"/>
    <col min="13251" max="13251" width="7" style="13" customWidth="1"/>
    <col min="13252" max="13252" width="13" style="13" customWidth="1"/>
    <col min="13253" max="13253" width="14.109375" style="13" customWidth="1"/>
    <col min="13254" max="13254" width="17.33203125" style="13" customWidth="1"/>
    <col min="13255" max="13255" width="18.88671875" style="13" customWidth="1"/>
    <col min="13256" max="13256" width="14.109375" style="13" customWidth="1"/>
    <col min="13257" max="13257" width="21.5546875" style="13" customWidth="1"/>
    <col min="13258" max="13259" width="14.109375" style="13" customWidth="1"/>
    <col min="13260" max="13260" width="15" style="13" customWidth="1"/>
    <col min="13261" max="13261" width="13.33203125" style="13" customWidth="1"/>
    <col min="13262" max="13262" width="17" style="13" customWidth="1"/>
    <col min="13263" max="13263" width="24.88671875" style="13" customWidth="1"/>
    <col min="13264" max="13264" width="14.44140625" style="13" customWidth="1"/>
    <col min="13265" max="13265" width="23.109375" style="13" customWidth="1"/>
    <col min="13266" max="13266" width="13.109375" style="13" customWidth="1"/>
    <col min="13267" max="13270" width="0" style="13" hidden="1" customWidth="1"/>
    <col min="13271" max="13506" width="10.33203125" style="13"/>
    <col min="13507" max="13507" width="7" style="13" customWidth="1"/>
    <col min="13508" max="13508" width="13" style="13" customWidth="1"/>
    <col min="13509" max="13509" width="14.109375" style="13" customWidth="1"/>
    <col min="13510" max="13510" width="17.33203125" style="13" customWidth="1"/>
    <col min="13511" max="13511" width="18.88671875" style="13" customWidth="1"/>
    <col min="13512" max="13512" width="14.109375" style="13" customWidth="1"/>
    <col min="13513" max="13513" width="21.5546875" style="13" customWidth="1"/>
    <col min="13514" max="13515" width="14.109375" style="13" customWidth="1"/>
    <col min="13516" max="13516" width="15" style="13" customWidth="1"/>
    <col min="13517" max="13517" width="13.33203125" style="13" customWidth="1"/>
    <col min="13518" max="13518" width="17" style="13" customWidth="1"/>
    <col min="13519" max="13519" width="24.88671875" style="13" customWidth="1"/>
    <col min="13520" max="13520" width="14.44140625" style="13" customWidth="1"/>
    <col min="13521" max="13521" width="23.109375" style="13" customWidth="1"/>
    <col min="13522" max="13522" width="13.109375" style="13" customWidth="1"/>
    <col min="13523" max="13526" width="0" style="13" hidden="1" customWidth="1"/>
    <col min="13527" max="13762" width="10.33203125" style="13"/>
    <col min="13763" max="13763" width="7" style="13" customWidth="1"/>
    <col min="13764" max="13764" width="13" style="13" customWidth="1"/>
    <col min="13765" max="13765" width="14.109375" style="13" customWidth="1"/>
    <col min="13766" max="13766" width="17.33203125" style="13" customWidth="1"/>
    <col min="13767" max="13767" width="18.88671875" style="13" customWidth="1"/>
    <col min="13768" max="13768" width="14.109375" style="13" customWidth="1"/>
    <col min="13769" max="13769" width="21.5546875" style="13" customWidth="1"/>
    <col min="13770" max="13771" width="14.109375" style="13" customWidth="1"/>
    <col min="13772" max="13772" width="15" style="13" customWidth="1"/>
    <col min="13773" max="13773" width="13.33203125" style="13" customWidth="1"/>
    <col min="13774" max="13774" width="17" style="13" customWidth="1"/>
    <col min="13775" max="13775" width="24.88671875" style="13" customWidth="1"/>
    <col min="13776" max="13776" width="14.44140625" style="13" customWidth="1"/>
    <col min="13777" max="13777" width="23.109375" style="13" customWidth="1"/>
    <col min="13778" max="13778" width="13.109375" style="13" customWidth="1"/>
    <col min="13779" max="13782" width="0" style="13" hidden="1" customWidth="1"/>
    <col min="13783" max="14018" width="10.33203125" style="13"/>
    <col min="14019" max="14019" width="7" style="13" customWidth="1"/>
    <col min="14020" max="14020" width="13" style="13" customWidth="1"/>
    <col min="14021" max="14021" width="14.109375" style="13" customWidth="1"/>
    <col min="14022" max="14022" width="17.33203125" style="13" customWidth="1"/>
    <col min="14023" max="14023" width="18.88671875" style="13" customWidth="1"/>
    <col min="14024" max="14024" width="14.109375" style="13" customWidth="1"/>
    <col min="14025" max="14025" width="21.5546875" style="13" customWidth="1"/>
    <col min="14026" max="14027" width="14.109375" style="13" customWidth="1"/>
    <col min="14028" max="14028" width="15" style="13" customWidth="1"/>
    <col min="14029" max="14029" width="13.33203125" style="13" customWidth="1"/>
    <col min="14030" max="14030" width="17" style="13" customWidth="1"/>
    <col min="14031" max="14031" width="24.88671875" style="13" customWidth="1"/>
    <col min="14032" max="14032" width="14.44140625" style="13" customWidth="1"/>
    <col min="14033" max="14033" width="23.109375" style="13" customWidth="1"/>
    <col min="14034" max="14034" width="13.109375" style="13" customWidth="1"/>
    <col min="14035" max="14038" width="0" style="13" hidden="1" customWidth="1"/>
    <col min="14039" max="14274" width="10.33203125" style="13"/>
    <col min="14275" max="14275" width="7" style="13" customWidth="1"/>
    <col min="14276" max="14276" width="13" style="13" customWidth="1"/>
    <col min="14277" max="14277" width="14.109375" style="13" customWidth="1"/>
    <col min="14278" max="14278" width="17.33203125" style="13" customWidth="1"/>
    <col min="14279" max="14279" width="18.88671875" style="13" customWidth="1"/>
    <col min="14280" max="14280" width="14.109375" style="13" customWidth="1"/>
    <col min="14281" max="14281" width="21.5546875" style="13" customWidth="1"/>
    <col min="14282" max="14283" width="14.109375" style="13" customWidth="1"/>
    <col min="14284" max="14284" width="15" style="13" customWidth="1"/>
    <col min="14285" max="14285" width="13.33203125" style="13" customWidth="1"/>
    <col min="14286" max="14286" width="17" style="13" customWidth="1"/>
    <col min="14287" max="14287" width="24.88671875" style="13" customWidth="1"/>
    <col min="14288" max="14288" width="14.44140625" style="13" customWidth="1"/>
    <col min="14289" max="14289" width="23.109375" style="13" customWidth="1"/>
    <col min="14290" max="14290" width="13.109375" style="13" customWidth="1"/>
    <col min="14291" max="14294" width="0" style="13" hidden="1" customWidth="1"/>
    <col min="14295" max="14530" width="10.33203125" style="13"/>
    <col min="14531" max="14531" width="7" style="13" customWidth="1"/>
    <col min="14532" max="14532" width="13" style="13" customWidth="1"/>
    <col min="14533" max="14533" width="14.109375" style="13" customWidth="1"/>
    <col min="14534" max="14534" width="17.33203125" style="13" customWidth="1"/>
    <col min="14535" max="14535" width="18.88671875" style="13" customWidth="1"/>
    <col min="14536" max="14536" width="14.109375" style="13" customWidth="1"/>
    <col min="14537" max="14537" width="21.5546875" style="13" customWidth="1"/>
    <col min="14538" max="14539" width="14.109375" style="13" customWidth="1"/>
    <col min="14540" max="14540" width="15" style="13" customWidth="1"/>
    <col min="14541" max="14541" width="13.33203125" style="13" customWidth="1"/>
    <col min="14542" max="14542" width="17" style="13" customWidth="1"/>
    <col min="14543" max="14543" width="24.88671875" style="13" customWidth="1"/>
    <col min="14544" max="14544" width="14.44140625" style="13" customWidth="1"/>
    <col min="14545" max="14545" width="23.109375" style="13" customWidth="1"/>
    <col min="14546" max="14546" width="13.109375" style="13" customWidth="1"/>
    <col min="14547" max="14550" width="0" style="13" hidden="1" customWidth="1"/>
    <col min="14551" max="14786" width="10.33203125" style="13"/>
    <col min="14787" max="14787" width="7" style="13" customWidth="1"/>
    <col min="14788" max="14788" width="13" style="13" customWidth="1"/>
    <col min="14789" max="14789" width="14.109375" style="13" customWidth="1"/>
    <col min="14790" max="14790" width="17.33203125" style="13" customWidth="1"/>
    <col min="14791" max="14791" width="18.88671875" style="13" customWidth="1"/>
    <col min="14792" max="14792" width="14.109375" style="13" customWidth="1"/>
    <col min="14793" max="14793" width="21.5546875" style="13" customWidth="1"/>
    <col min="14794" max="14795" width="14.109375" style="13" customWidth="1"/>
    <col min="14796" max="14796" width="15" style="13" customWidth="1"/>
    <col min="14797" max="14797" width="13.33203125" style="13" customWidth="1"/>
    <col min="14798" max="14798" width="17" style="13" customWidth="1"/>
    <col min="14799" max="14799" width="24.88671875" style="13" customWidth="1"/>
    <col min="14800" max="14800" width="14.44140625" style="13" customWidth="1"/>
    <col min="14801" max="14801" width="23.109375" style="13" customWidth="1"/>
    <col min="14802" max="14802" width="13.109375" style="13" customWidth="1"/>
    <col min="14803" max="14806" width="0" style="13" hidden="1" customWidth="1"/>
    <col min="14807" max="15042" width="10.33203125" style="13"/>
    <col min="15043" max="15043" width="7" style="13" customWidth="1"/>
    <col min="15044" max="15044" width="13" style="13" customWidth="1"/>
    <col min="15045" max="15045" width="14.109375" style="13" customWidth="1"/>
    <col min="15046" max="15046" width="17.33203125" style="13" customWidth="1"/>
    <col min="15047" max="15047" width="18.88671875" style="13" customWidth="1"/>
    <col min="15048" max="15048" width="14.109375" style="13" customWidth="1"/>
    <col min="15049" max="15049" width="21.5546875" style="13" customWidth="1"/>
    <col min="15050" max="15051" width="14.109375" style="13" customWidth="1"/>
    <col min="15052" max="15052" width="15" style="13" customWidth="1"/>
    <col min="15053" max="15053" width="13.33203125" style="13" customWidth="1"/>
    <col min="15054" max="15054" width="17" style="13" customWidth="1"/>
    <col min="15055" max="15055" width="24.88671875" style="13" customWidth="1"/>
    <col min="15056" max="15056" width="14.44140625" style="13" customWidth="1"/>
    <col min="15057" max="15057" width="23.109375" style="13" customWidth="1"/>
    <col min="15058" max="15058" width="13.109375" style="13" customWidth="1"/>
    <col min="15059" max="15062" width="0" style="13" hidden="1" customWidth="1"/>
    <col min="15063" max="15298" width="10.33203125" style="13"/>
    <col min="15299" max="15299" width="7" style="13" customWidth="1"/>
    <col min="15300" max="15300" width="13" style="13" customWidth="1"/>
    <col min="15301" max="15301" width="14.109375" style="13" customWidth="1"/>
    <col min="15302" max="15302" width="17.33203125" style="13" customWidth="1"/>
    <col min="15303" max="15303" width="18.88671875" style="13" customWidth="1"/>
    <col min="15304" max="15304" width="14.109375" style="13" customWidth="1"/>
    <col min="15305" max="15305" width="21.5546875" style="13" customWidth="1"/>
    <col min="15306" max="15307" width="14.109375" style="13" customWidth="1"/>
    <col min="15308" max="15308" width="15" style="13" customWidth="1"/>
    <col min="15309" max="15309" width="13.33203125" style="13" customWidth="1"/>
    <col min="15310" max="15310" width="17" style="13" customWidth="1"/>
    <col min="15311" max="15311" width="24.88671875" style="13" customWidth="1"/>
    <col min="15312" max="15312" width="14.44140625" style="13" customWidth="1"/>
    <col min="15313" max="15313" width="23.109375" style="13" customWidth="1"/>
    <col min="15314" max="15314" width="13.109375" style="13" customWidth="1"/>
    <col min="15315" max="15318" width="0" style="13" hidden="1" customWidth="1"/>
    <col min="15319" max="15554" width="10.33203125" style="13"/>
    <col min="15555" max="15555" width="7" style="13" customWidth="1"/>
    <col min="15556" max="15556" width="13" style="13" customWidth="1"/>
    <col min="15557" max="15557" width="14.109375" style="13" customWidth="1"/>
    <col min="15558" max="15558" width="17.33203125" style="13" customWidth="1"/>
    <col min="15559" max="15559" width="18.88671875" style="13" customWidth="1"/>
    <col min="15560" max="15560" width="14.109375" style="13" customWidth="1"/>
    <col min="15561" max="15561" width="21.5546875" style="13" customWidth="1"/>
    <col min="15562" max="15563" width="14.109375" style="13" customWidth="1"/>
    <col min="15564" max="15564" width="15" style="13" customWidth="1"/>
    <col min="15565" max="15565" width="13.33203125" style="13" customWidth="1"/>
    <col min="15566" max="15566" width="17" style="13" customWidth="1"/>
    <col min="15567" max="15567" width="24.88671875" style="13" customWidth="1"/>
    <col min="15568" max="15568" width="14.44140625" style="13" customWidth="1"/>
    <col min="15569" max="15569" width="23.109375" style="13" customWidth="1"/>
    <col min="15570" max="15570" width="13.109375" style="13" customWidth="1"/>
    <col min="15571" max="15574" width="0" style="13" hidden="1" customWidth="1"/>
    <col min="15575" max="15810" width="10.33203125" style="13"/>
    <col min="15811" max="15811" width="7" style="13" customWidth="1"/>
    <col min="15812" max="15812" width="13" style="13" customWidth="1"/>
    <col min="15813" max="15813" width="14.109375" style="13" customWidth="1"/>
    <col min="15814" max="15814" width="17.33203125" style="13" customWidth="1"/>
    <col min="15815" max="15815" width="18.88671875" style="13" customWidth="1"/>
    <col min="15816" max="15816" width="14.109375" style="13" customWidth="1"/>
    <col min="15817" max="15817" width="21.5546875" style="13" customWidth="1"/>
    <col min="15818" max="15819" width="14.109375" style="13" customWidth="1"/>
    <col min="15820" max="15820" width="15" style="13" customWidth="1"/>
    <col min="15821" max="15821" width="13.33203125" style="13" customWidth="1"/>
    <col min="15822" max="15822" width="17" style="13" customWidth="1"/>
    <col min="15823" max="15823" width="24.88671875" style="13" customWidth="1"/>
    <col min="15824" max="15824" width="14.44140625" style="13" customWidth="1"/>
    <col min="15825" max="15825" width="23.109375" style="13" customWidth="1"/>
    <col min="15826" max="15826" width="13.109375" style="13" customWidth="1"/>
    <col min="15827" max="15830" width="0" style="13" hidden="1" customWidth="1"/>
    <col min="15831" max="16066" width="10.33203125" style="13"/>
    <col min="16067" max="16067" width="7" style="13" customWidth="1"/>
    <col min="16068" max="16068" width="13" style="13" customWidth="1"/>
    <col min="16069" max="16069" width="14.109375" style="13" customWidth="1"/>
    <col min="16070" max="16070" width="17.33203125" style="13" customWidth="1"/>
    <col min="16071" max="16071" width="18.88671875" style="13" customWidth="1"/>
    <col min="16072" max="16072" width="14.109375" style="13" customWidth="1"/>
    <col min="16073" max="16073" width="21.5546875" style="13" customWidth="1"/>
    <col min="16074" max="16075" width="14.109375" style="13" customWidth="1"/>
    <col min="16076" max="16076" width="15" style="13" customWidth="1"/>
    <col min="16077" max="16077" width="13.33203125" style="13" customWidth="1"/>
    <col min="16078" max="16078" width="17" style="13" customWidth="1"/>
    <col min="16079" max="16079" width="24.88671875" style="13" customWidth="1"/>
    <col min="16080" max="16080" width="14.44140625" style="13" customWidth="1"/>
    <col min="16081" max="16081" width="23.109375" style="13" customWidth="1"/>
    <col min="16082" max="16082" width="13.109375" style="13" customWidth="1"/>
    <col min="16083" max="16086" width="0" style="13" hidden="1" customWidth="1"/>
    <col min="16087" max="16384" width="10.33203125" style="13"/>
  </cols>
  <sheetData>
    <row r="1" spans="1:30" ht="15" customHeight="1">
      <c r="M1" s="322"/>
      <c r="N1" s="322"/>
      <c r="O1" s="322"/>
      <c r="P1" s="322"/>
      <c r="Q1" s="322"/>
      <c r="R1" s="322"/>
      <c r="S1" s="322"/>
      <c r="T1" s="125"/>
      <c r="U1" s="125"/>
      <c r="V1" s="322"/>
      <c r="W1" s="322"/>
      <c r="X1" s="322"/>
      <c r="Y1" s="322"/>
      <c r="Z1" s="322"/>
      <c r="AA1" s="322"/>
      <c r="AB1" s="13"/>
      <c r="AC1" s="125"/>
      <c r="AD1" s="125"/>
    </row>
    <row r="2" spans="1:30" ht="35.25" customHeight="1">
      <c r="A2" s="3719" t="s">
        <v>1314</v>
      </c>
      <c r="B2" s="3793"/>
      <c r="C2" s="3793"/>
      <c r="D2" s="3793"/>
      <c r="E2" s="3793"/>
      <c r="F2" s="3793"/>
      <c r="G2" s="480"/>
      <c r="H2" s="480"/>
      <c r="I2" s="480"/>
      <c r="J2" s="480"/>
      <c r="K2" s="568"/>
      <c r="L2" s="480"/>
      <c r="M2" s="322"/>
      <c r="N2" s="322"/>
      <c r="O2" s="322"/>
      <c r="P2" s="322"/>
      <c r="Q2" s="322"/>
      <c r="R2" s="322"/>
      <c r="S2" s="322"/>
      <c r="T2" s="294"/>
      <c r="U2" s="294"/>
      <c r="V2" s="322"/>
      <c r="W2" s="322"/>
      <c r="X2" s="322"/>
      <c r="Y2" s="322"/>
      <c r="Z2" s="322"/>
      <c r="AA2" s="322"/>
      <c r="AB2" s="13"/>
      <c r="AC2" s="294"/>
      <c r="AD2" s="294"/>
    </row>
    <row r="3" spans="1:30">
      <c r="B3" s="504" t="s">
        <v>658</v>
      </c>
      <c r="C3" s="3">
        <v>3700566036</v>
      </c>
      <c r="G3" s="481" t="s">
        <v>1413</v>
      </c>
      <c r="H3" s="481"/>
      <c r="I3" s="481"/>
      <c r="J3" s="478"/>
      <c r="K3" s="569"/>
      <c r="T3" s="478"/>
      <c r="U3" s="478"/>
      <c r="AC3" s="478"/>
      <c r="AD3" s="478"/>
    </row>
    <row r="4" spans="1:30" ht="52.8">
      <c r="A4" s="29" t="s">
        <v>2</v>
      </c>
      <c r="B4" s="505" t="s">
        <v>3</v>
      </c>
      <c r="C4" s="31" t="s">
        <v>4</v>
      </c>
      <c r="D4" s="30" t="s">
        <v>5</v>
      </c>
      <c r="E4" s="511" t="s">
        <v>401</v>
      </c>
      <c r="F4" s="40" t="s">
        <v>63</v>
      </c>
      <c r="G4" s="33" t="s">
        <v>8</v>
      </c>
      <c r="H4" s="33" t="s">
        <v>9</v>
      </c>
      <c r="I4" s="33" t="s">
        <v>102</v>
      </c>
      <c r="J4" s="32" t="s">
        <v>1417</v>
      </c>
      <c r="K4" s="570" t="s">
        <v>15</v>
      </c>
      <c r="L4" s="323" t="s">
        <v>290</v>
      </c>
      <c r="M4" s="217" t="s">
        <v>1291</v>
      </c>
      <c r="N4" s="217" t="s">
        <v>190</v>
      </c>
      <c r="O4" s="217" t="s">
        <v>191</v>
      </c>
      <c r="P4" s="217" t="s">
        <v>1313</v>
      </c>
      <c r="Q4" s="218" t="s">
        <v>192</v>
      </c>
      <c r="R4" s="218" t="s">
        <v>193</v>
      </c>
      <c r="S4" s="219" t="s">
        <v>194</v>
      </c>
      <c r="T4" s="219" t="s">
        <v>1473</v>
      </c>
      <c r="U4" s="217" t="s">
        <v>1418</v>
      </c>
      <c r="V4" s="219" t="s">
        <v>195</v>
      </c>
      <c r="W4" s="220" t="s">
        <v>196</v>
      </c>
      <c r="X4" s="221" t="s">
        <v>197</v>
      </c>
      <c r="Y4" s="218" t="s">
        <v>198</v>
      </c>
      <c r="Z4" s="219" t="s">
        <v>199</v>
      </c>
      <c r="AA4" s="222" t="s">
        <v>200</v>
      </c>
      <c r="AB4" s="36" t="s">
        <v>204</v>
      </c>
      <c r="AC4" s="484" t="s">
        <v>1369</v>
      </c>
      <c r="AD4" s="484" t="s">
        <v>1424</v>
      </c>
    </row>
    <row r="5" spans="1:30" ht="29.25" customHeight="1">
      <c r="A5" s="326">
        <v>1</v>
      </c>
      <c r="B5" s="506">
        <v>305687210640</v>
      </c>
      <c r="C5" s="386" t="s">
        <v>1357</v>
      </c>
      <c r="D5" s="47" t="s">
        <v>1391</v>
      </c>
      <c r="E5" s="512" t="s">
        <v>1299</v>
      </c>
      <c r="F5" s="40" t="s">
        <v>210</v>
      </c>
      <c r="G5" s="167"/>
      <c r="H5" s="167">
        <v>2</v>
      </c>
      <c r="I5" s="167"/>
      <c r="J5" s="127" t="s">
        <v>1419</v>
      </c>
      <c r="K5" s="329" t="s">
        <v>1358</v>
      </c>
      <c r="L5" s="327" t="s">
        <v>1359</v>
      </c>
      <c r="M5" s="248"/>
      <c r="N5" s="248"/>
      <c r="O5" s="248"/>
      <c r="P5" s="371">
        <v>1000000</v>
      </c>
      <c r="Q5" s="248"/>
      <c r="R5" s="247"/>
      <c r="S5" s="248"/>
      <c r="T5" s="137"/>
      <c r="U5" s="341"/>
      <c r="V5" s="340">
        <f>M5+P5+S5</f>
        <v>1000000</v>
      </c>
      <c r="W5" s="344">
        <f>+R5</f>
        <v>0</v>
      </c>
      <c r="X5" s="249"/>
      <c r="Y5" s="341">
        <f>(4650000+800000)*2</f>
        <v>10900000</v>
      </c>
      <c r="Z5" s="342">
        <f>+((U5+Y5)*1.08)+V5+W5</f>
        <v>12772000</v>
      </c>
      <c r="AA5" s="252"/>
      <c r="AB5" s="142"/>
      <c r="AC5" s="3801" t="s">
        <v>1425</v>
      </c>
      <c r="AD5" s="3798" t="s">
        <v>1426</v>
      </c>
    </row>
    <row r="6" spans="1:30" ht="34.5" customHeight="1">
      <c r="A6" s="326">
        <f>+A5+1</f>
        <v>2</v>
      </c>
      <c r="B6" s="506">
        <v>305692203410</v>
      </c>
      <c r="C6" s="46" t="s">
        <v>1362</v>
      </c>
      <c r="D6" s="47" t="s">
        <v>1392</v>
      </c>
      <c r="E6" s="512" t="s">
        <v>1299</v>
      </c>
      <c r="F6" s="40" t="s">
        <v>210</v>
      </c>
      <c r="G6" s="167"/>
      <c r="H6" s="167">
        <v>1</v>
      </c>
      <c r="I6" s="167"/>
      <c r="J6" s="127" t="s">
        <v>1420</v>
      </c>
      <c r="K6" s="329" t="s">
        <v>1364</v>
      </c>
      <c r="L6" s="327" t="s">
        <v>1363</v>
      </c>
      <c r="M6" s="248"/>
      <c r="N6" s="248"/>
      <c r="O6" s="248"/>
      <c r="P6" s="371">
        <v>500000</v>
      </c>
      <c r="Q6" s="248"/>
      <c r="R6" s="247"/>
      <c r="S6" s="248"/>
      <c r="T6" s="137"/>
      <c r="U6" s="341"/>
      <c r="V6" s="340">
        <f>M6+P6+S6</f>
        <v>500000</v>
      </c>
      <c r="W6" s="344">
        <f t="shared" ref="W6:W40" si="0">+R6</f>
        <v>0</v>
      </c>
      <c r="X6" s="249"/>
      <c r="Y6" s="341">
        <f>(4350000+800000)</f>
        <v>5150000</v>
      </c>
      <c r="Z6" s="342">
        <f t="shared" ref="Z6:Z40" si="1">+((U6+Y6)*1.08)+V6+W6</f>
        <v>6062000</v>
      </c>
      <c r="AA6" s="252"/>
      <c r="AB6" s="142"/>
      <c r="AC6" s="3802"/>
      <c r="AD6" s="3799"/>
    </row>
    <row r="7" spans="1:30" ht="29.25" customHeight="1">
      <c r="A7" s="326">
        <f t="shared" ref="A7:A62" si="2">+A6+1</f>
        <v>3</v>
      </c>
      <c r="B7" s="507">
        <v>105600243600</v>
      </c>
      <c r="C7" s="46" t="s">
        <v>1357</v>
      </c>
      <c r="D7" s="47" t="s">
        <v>1390</v>
      </c>
      <c r="E7" s="512" t="s">
        <v>1300</v>
      </c>
      <c r="F7" s="476" t="s">
        <v>136</v>
      </c>
      <c r="G7" s="167"/>
      <c r="H7" s="167">
        <v>1</v>
      </c>
      <c r="I7" s="167"/>
      <c r="J7" s="127" t="s">
        <v>1421</v>
      </c>
      <c r="K7" s="163" t="s">
        <v>1388</v>
      </c>
      <c r="L7" s="139" t="s">
        <v>1389</v>
      </c>
      <c r="M7" s="248"/>
      <c r="N7" s="324">
        <v>615600</v>
      </c>
      <c r="O7" s="248"/>
      <c r="P7" s="248"/>
      <c r="Q7" s="248"/>
      <c r="R7" s="247"/>
      <c r="S7" s="248"/>
      <c r="T7" s="248"/>
      <c r="U7" s="341"/>
      <c r="V7" s="340">
        <f>M7+P7+S7</f>
        <v>0</v>
      </c>
      <c r="W7" s="344">
        <f t="shared" si="0"/>
        <v>0</v>
      </c>
      <c r="X7" s="391" t="s">
        <v>1422</v>
      </c>
      <c r="Y7" s="341">
        <f>4420000+800000+1000000</f>
        <v>6220000</v>
      </c>
      <c r="Z7" s="342">
        <f t="shared" si="1"/>
        <v>6717600</v>
      </c>
      <c r="AA7" s="252"/>
      <c r="AB7" s="141"/>
      <c r="AC7" s="4170"/>
      <c r="AD7" s="3800"/>
    </row>
    <row r="8" spans="1:30" ht="22.5" customHeight="1">
      <c r="A8" s="3701" t="s">
        <v>1374</v>
      </c>
      <c r="B8" s="3702"/>
      <c r="C8" s="3702"/>
      <c r="D8" s="3702"/>
      <c r="E8" s="3702"/>
      <c r="F8" s="3702"/>
      <c r="G8" s="3702"/>
      <c r="H8" s="3702"/>
      <c r="I8" s="346"/>
      <c r="J8" s="369"/>
      <c r="K8" s="571"/>
      <c r="L8" s="346"/>
      <c r="M8" s="486"/>
      <c r="N8" s="486"/>
      <c r="O8" s="486"/>
      <c r="P8" s="486"/>
      <c r="Q8" s="486"/>
      <c r="R8" s="487"/>
      <c r="S8" s="486"/>
      <c r="T8" s="486"/>
      <c r="U8" s="488">
        <f>SUM(U5:U7)</f>
        <v>0</v>
      </c>
      <c r="V8" s="486">
        <f>SUM(V5:V7)</f>
        <v>1500000</v>
      </c>
      <c r="W8" s="489">
        <f>SUM(W5:W7)</f>
        <v>0</v>
      </c>
      <c r="X8" s="490"/>
      <c r="Y8" s="488">
        <f>SUM(Y5:Y7)</f>
        <v>22270000</v>
      </c>
      <c r="Z8" s="491">
        <f>((Y8+U8)*1.08)+V8</f>
        <v>25551600</v>
      </c>
      <c r="AA8" s="492"/>
      <c r="AB8" s="493"/>
      <c r="AC8" s="346"/>
      <c r="AD8" s="346"/>
    </row>
    <row r="9" spans="1:30" ht="22.5" customHeight="1">
      <c r="A9" s="326">
        <v>1</v>
      </c>
      <c r="B9" s="507">
        <v>105600243600</v>
      </c>
      <c r="C9" s="46" t="s">
        <v>1357</v>
      </c>
      <c r="D9" s="47" t="s">
        <v>1390</v>
      </c>
      <c r="E9" s="512" t="s">
        <v>1300</v>
      </c>
      <c r="F9" s="92"/>
      <c r="G9" s="167"/>
      <c r="H9" s="167">
        <v>1</v>
      </c>
      <c r="I9" s="167"/>
      <c r="J9" s="127" t="s">
        <v>1421</v>
      </c>
      <c r="K9" s="163" t="s">
        <v>1388</v>
      </c>
      <c r="L9" s="139" t="s">
        <v>1389</v>
      </c>
      <c r="M9" s="248"/>
      <c r="N9" s="248"/>
      <c r="O9" s="248"/>
      <c r="P9" s="248"/>
      <c r="Q9" s="248"/>
      <c r="R9" s="247"/>
      <c r="S9" s="248"/>
      <c r="T9" s="324">
        <v>927000</v>
      </c>
      <c r="U9" s="341"/>
      <c r="V9" s="340">
        <f>M9+P9+S9+T9</f>
        <v>927000</v>
      </c>
      <c r="W9" s="344">
        <f t="shared" si="0"/>
        <v>0</v>
      </c>
      <c r="X9" s="249" t="s">
        <v>1445</v>
      </c>
      <c r="Y9" s="341">
        <v>3000000</v>
      </c>
      <c r="Z9" s="342">
        <f t="shared" si="1"/>
        <v>4167000</v>
      </c>
      <c r="AA9" s="252"/>
      <c r="AB9" s="142"/>
      <c r="AC9" s="3801" t="s">
        <v>1535</v>
      </c>
      <c r="AD9" s="4171"/>
    </row>
    <row r="10" spans="1:30" ht="43.5" customHeight="1">
      <c r="A10" s="326">
        <f t="shared" si="2"/>
        <v>2</v>
      </c>
      <c r="B10" s="508">
        <v>105619520160</v>
      </c>
      <c r="C10" s="46">
        <v>45142</v>
      </c>
      <c r="D10" s="47" t="s">
        <v>1439</v>
      </c>
      <c r="E10" s="512" t="s">
        <v>1300</v>
      </c>
      <c r="F10" s="476" t="s">
        <v>136</v>
      </c>
      <c r="G10" s="167">
        <v>1</v>
      </c>
      <c r="H10" s="167"/>
      <c r="I10" s="167"/>
      <c r="J10" s="498" t="s">
        <v>1536</v>
      </c>
      <c r="K10" s="164" t="s">
        <v>1435</v>
      </c>
      <c r="L10" s="162" t="s">
        <v>1434</v>
      </c>
      <c r="M10" s="248"/>
      <c r="N10" s="324">
        <v>432000</v>
      </c>
      <c r="O10" s="248"/>
      <c r="P10" s="248"/>
      <c r="Q10" s="248"/>
      <c r="R10" s="247"/>
      <c r="S10" s="248"/>
      <c r="T10" s="248"/>
      <c r="U10" s="341"/>
      <c r="V10" s="340">
        <f>M10+P10+S10+T10</f>
        <v>0</v>
      </c>
      <c r="W10" s="344">
        <f>+R10</f>
        <v>0</v>
      </c>
      <c r="X10" s="208" t="s">
        <v>1451</v>
      </c>
      <c r="Y10" s="341">
        <f>3500000+800000+1000000+3000000</f>
        <v>8300000</v>
      </c>
      <c r="Z10" s="342">
        <f t="shared" si="1"/>
        <v>8964000</v>
      </c>
      <c r="AA10" s="252"/>
      <c r="AB10" s="142"/>
      <c r="AC10" s="3802"/>
      <c r="AD10" s="4172"/>
    </row>
    <row r="11" spans="1:30" ht="22.5" customHeight="1">
      <c r="A11" s="326">
        <f t="shared" si="2"/>
        <v>3</v>
      </c>
      <c r="B11" s="506">
        <v>305737600030</v>
      </c>
      <c r="C11" s="46" t="s">
        <v>1469</v>
      </c>
      <c r="D11" s="47" t="s">
        <v>1472</v>
      </c>
      <c r="E11" s="512" t="s">
        <v>1299</v>
      </c>
      <c r="F11" s="40" t="s">
        <v>210</v>
      </c>
      <c r="G11" s="167"/>
      <c r="H11" s="167">
        <v>1</v>
      </c>
      <c r="I11" s="167"/>
      <c r="J11" s="495">
        <v>12847.46</v>
      </c>
      <c r="K11" s="164" t="s">
        <v>1470</v>
      </c>
      <c r="L11" s="162" t="s">
        <v>1471</v>
      </c>
      <c r="M11" s="248"/>
      <c r="N11" s="248"/>
      <c r="O11" s="248"/>
      <c r="P11" s="324">
        <v>500000</v>
      </c>
      <c r="Q11" s="248"/>
      <c r="R11" s="247"/>
      <c r="S11" s="248"/>
      <c r="T11" s="248"/>
      <c r="U11" s="341"/>
      <c r="V11" s="340">
        <f>M11+P11+S11+T11</f>
        <v>500000</v>
      </c>
      <c r="W11" s="344">
        <f t="shared" si="0"/>
        <v>0</v>
      </c>
      <c r="X11" s="249"/>
      <c r="Y11" s="341">
        <f>(4350000+800000)</f>
        <v>5150000</v>
      </c>
      <c r="Z11" s="342">
        <f>+((U11+Y11)*1.08)+V11+W11</f>
        <v>6062000</v>
      </c>
      <c r="AA11" s="252"/>
      <c r="AB11" s="142"/>
      <c r="AC11" s="3802"/>
      <c r="AD11" s="4172"/>
    </row>
    <row r="12" spans="1:30" ht="22.5" customHeight="1">
      <c r="A12" s="326">
        <f t="shared" si="2"/>
        <v>4</v>
      </c>
      <c r="B12" s="506">
        <v>305766061440</v>
      </c>
      <c r="C12" s="46" t="s">
        <v>1531</v>
      </c>
      <c r="D12" s="47" t="s">
        <v>1534</v>
      </c>
      <c r="E12" s="512" t="s">
        <v>1299</v>
      </c>
      <c r="F12" s="40" t="s">
        <v>210</v>
      </c>
      <c r="G12" s="167"/>
      <c r="H12" s="167">
        <v>1</v>
      </c>
      <c r="I12" s="167"/>
      <c r="J12" s="127">
        <v>10852</v>
      </c>
      <c r="K12" s="164" t="s">
        <v>1532</v>
      </c>
      <c r="L12" s="162" t="s">
        <v>1533</v>
      </c>
      <c r="M12" s="248"/>
      <c r="N12" s="248"/>
      <c r="O12" s="248"/>
      <c r="P12" s="324">
        <v>500000</v>
      </c>
      <c r="Q12" s="248"/>
      <c r="R12" s="247"/>
      <c r="S12" s="248"/>
      <c r="T12" s="137"/>
      <c r="U12" s="341"/>
      <c r="V12" s="340">
        <f>M12+P12+S12+T12</f>
        <v>500000</v>
      </c>
      <c r="W12" s="344">
        <f t="shared" si="0"/>
        <v>0</v>
      </c>
      <c r="X12" s="249"/>
      <c r="Y12" s="341">
        <f>(4350000+800000)</f>
        <v>5150000</v>
      </c>
      <c r="Z12" s="342">
        <f t="shared" si="1"/>
        <v>6062000</v>
      </c>
      <c r="AA12" s="252"/>
      <c r="AB12" s="142"/>
      <c r="AC12" s="3802"/>
      <c r="AD12" s="4172"/>
    </row>
    <row r="13" spans="1:30" ht="22.5" customHeight="1">
      <c r="A13" s="3701" t="s">
        <v>1507</v>
      </c>
      <c r="B13" s="3702"/>
      <c r="C13" s="3702"/>
      <c r="D13" s="3702"/>
      <c r="E13" s="3702"/>
      <c r="F13" s="3702"/>
      <c r="G13" s="3702"/>
      <c r="H13" s="3702"/>
      <c r="I13" s="346"/>
      <c r="J13" s="369"/>
      <c r="K13" s="571"/>
      <c r="L13" s="346"/>
      <c r="M13" s="486"/>
      <c r="N13" s="486"/>
      <c r="O13" s="486"/>
      <c r="P13" s="486"/>
      <c r="Q13" s="486"/>
      <c r="R13" s="487"/>
      <c r="S13" s="486"/>
      <c r="T13" s="486"/>
      <c r="U13" s="486">
        <f>SUM(U9:U12)</f>
        <v>0</v>
      </c>
      <c r="V13" s="486">
        <f>SUM(V9:V12)</f>
        <v>1927000</v>
      </c>
      <c r="W13" s="486">
        <f>SUM(W9:W12)</f>
        <v>0</v>
      </c>
      <c r="X13" s="490"/>
      <c r="Y13" s="486">
        <f>SUM(Y9:Y12)</f>
        <v>21600000</v>
      </c>
      <c r="Z13" s="491">
        <f>((Y13+U13)*1.08)+V13</f>
        <v>25255000</v>
      </c>
      <c r="AA13" s="492"/>
      <c r="AB13" s="493"/>
      <c r="AC13" s="346"/>
      <c r="AD13" s="346"/>
    </row>
    <row r="14" spans="1:30" ht="22.5" customHeight="1">
      <c r="A14" s="326">
        <v>1</v>
      </c>
      <c r="B14" s="506" t="s">
        <v>1543</v>
      </c>
      <c r="C14" s="331" t="s">
        <v>1544</v>
      </c>
      <c r="D14" s="332" t="s">
        <v>1547</v>
      </c>
      <c r="E14" s="512" t="s">
        <v>1299</v>
      </c>
      <c r="F14" s="40" t="s">
        <v>210</v>
      </c>
      <c r="G14" s="167"/>
      <c r="H14" s="167">
        <v>1</v>
      </c>
      <c r="I14" s="167"/>
      <c r="J14" s="127">
        <v>10612.55</v>
      </c>
      <c r="K14" s="334" t="s">
        <v>1545</v>
      </c>
      <c r="L14" s="516" t="s">
        <v>1546</v>
      </c>
      <c r="M14" s="515"/>
      <c r="N14" s="248"/>
      <c r="O14" s="248"/>
      <c r="P14" s="371">
        <v>500000</v>
      </c>
      <c r="Q14" s="248"/>
      <c r="R14" s="247"/>
      <c r="S14" s="248"/>
      <c r="T14" s="137"/>
      <c r="U14" s="341"/>
      <c r="V14" s="340">
        <f t="shared" ref="V14:V40" si="3">M14+P14+S14</f>
        <v>500000</v>
      </c>
      <c r="W14" s="344">
        <f t="shared" si="0"/>
        <v>0</v>
      </c>
      <c r="X14" s="249"/>
      <c r="Y14" s="341">
        <f>4350000+800000</f>
        <v>5150000</v>
      </c>
      <c r="Z14" s="342">
        <f t="shared" si="1"/>
        <v>6062000</v>
      </c>
      <c r="AA14" s="250">
        <f>+Y14*1.08</f>
        <v>5562000</v>
      </c>
      <c r="AB14" s="336"/>
      <c r="AC14" s="3801" t="s">
        <v>1645</v>
      </c>
      <c r="AD14" s="4171"/>
    </row>
    <row r="15" spans="1:30" ht="22.5" customHeight="1">
      <c r="A15" s="326">
        <f t="shared" si="2"/>
        <v>2</v>
      </c>
      <c r="B15" s="506">
        <v>305800180510</v>
      </c>
      <c r="C15" s="46">
        <v>45180</v>
      </c>
      <c r="D15" s="47" t="s">
        <v>1576</v>
      </c>
      <c r="E15" s="512" t="s">
        <v>1299</v>
      </c>
      <c r="F15" s="40" t="s">
        <v>210</v>
      </c>
      <c r="G15" s="167"/>
      <c r="H15" s="167">
        <v>1</v>
      </c>
      <c r="I15" s="167"/>
      <c r="J15" s="127">
        <v>10531.5</v>
      </c>
      <c r="K15" s="164" t="s">
        <v>1575</v>
      </c>
      <c r="L15" s="516" t="s">
        <v>1577</v>
      </c>
      <c r="M15" s="248"/>
      <c r="N15" s="248"/>
      <c r="O15" s="248"/>
      <c r="P15" s="371">
        <v>500000</v>
      </c>
      <c r="Q15" s="248"/>
      <c r="R15" s="247"/>
      <c r="S15" s="248"/>
      <c r="T15" s="137"/>
      <c r="U15" s="341"/>
      <c r="V15" s="340">
        <f t="shared" si="3"/>
        <v>500000</v>
      </c>
      <c r="W15" s="344">
        <f t="shared" si="0"/>
        <v>0</v>
      </c>
      <c r="X15" s="249"/>
      <c r="Y15" s="341">
        <f>4350000+800000</f>
        <v>5150000</v>
      </c>
      <c r="Z15" s="342">
        <f t="shared" si="1"/>
        <v>6062000</v>
      </c>
      <c r="AA15" s="250">
        <f t="shared" ref="AA15:AA34" si="4">+Y15*1.08</f>
        <v>5562000</v>
      </c>
      <c r="AB15" s="141"/>
      <c r="AC15" s="3802"/>
      <c r="AD15" s="4172"/>
    </row>
    <row r="16" spans="1:30" ht="34.5" customHeight="1">
      <c r="A16" s="326">
        <f t="shared" si="2"/>
        <v>3</v>
      </c>
      <c r="B16" s="506" t="s">
        <v>1597</v>
      </c>
      <c r="C16" s="46" t="s">
        <v>1598</v>
      </c>
      <c r="D16" s="47" t="s">
        <v>1605</v>
      </c>
      <c r="E16" s="512" t="s">
        <v>1299</v>
      </c>
      <c r="F16" s="476" t="s">
        <v>136</v>
      </c>
      <c r="G16" s="167"/>
      <c r="H16" s="167">
        <v>1</v>
      </c>
      <c r="I16" s="167"/>
      <c r="J16" s="127">
        <v>14676.77</v>
      </c>
      <c r="K16" s="572" t="s">
        <v>1599</v>
      </c>
      <c r="L16" s="149" t="s">
        <v>1600</v>
      </c>
      <c r="M16" s="248"/>
      <c r="N16" s="248"/>
      <c r="O16" s="248"/>
      <c r="P16" s="371">
        <v>500000</v>
      </c>
      <c r="Q16" s="248"/>
      <c r="R16" s="247"/>
      <c r="S16" s="324">
        <v>70000</v>
      </c>
      <c r="T16" s="137"/>
      <c r="U16" s="341">
        <v>400000</v>
      </c>
      <c r="V16" s="340">
        <f t="shared" si="3"/>
        <v>570000</v>
      </c>
      <c r="W16" s="344">
        <f t="shared" si="0"/>
        <v>0</v>
      </c>
      <c r="X16" s="391" t="s">
        <v>1639</v>
      </c>
      <c r="Y16" s="341">
        <f>4350000+800000+500000</f>
        <v>5650000</v>
      </c>
      <c r="Z16" s="342">
        <f>+((U16+Y16)*1.08)+V16+W16</f>
        <v>7104000</v>
      </c>
      <c r="AA16" s="250">
        <f t="shared" si="4"/>
        <v>6102000</v>
      </c>
      <c r="AB16" s="141"/>
      <c r="AC16" s="3802"/>
      <c r="AD16" s="4172"/>
    </row>
    <row r="17" spans="1:30" ht="29.25" customHeight="1">
      <c r="A17" s="326">
        <f t="shared" si="2"/>
        <v>4</v>
      </c>
      <c r="B17" s="506" t="s">
        <v>1631</v>
      </c>
      <c r="C17" s="46" t="s">
        <v>1632</v>
      </c>
      <c r="D17" s="47" t="s">
        <v>1638</v>
      </c>
      <c r="E17" s="512" t="s">
        <v>1299</v>
      </c>
      <c r="F17" s="476" t="s">
        <v>136</v>
      </c>
      <c r="G17" s="167"/>
      <c r="H17" s="167">
        <v>1</v>
      </c>
      <c r="I17" s="167"/>
      <c r="J17" s="127">
        <v>11321.6</v>
      </c>
      <c r="K17" s="572" t="s">
        <v>1633</v>
      </c>
      <c r="L17" s="144" t="s">
        <v>1634</v>
      </c>
      <c r="M17" s="248"/>
      <c r="N17" s="248"/>
      <c r="O17" s="248"/>
      <c r="P17" s="371">
        <v>500000</v>
      </c>
      <c r="Q17" s="248"/>
      <c r="R17" s="247"/>
      <c r="S17" s="324">
        <v>475000</v>
      </c>
      <c r="T17" s="137"/>
      <c r="U17" s="341">
        <v>400000</v>
      </c>
      <c r="V17" s="340">
        <f t="shared" si="3"/>
        <v>975000</v>
      </c>
      <c r="W17" s="344">
        <f t="shared" si="0"/>
        <v>0</v>
      </c>
      <c r="X17" s="391" t="s">
        <v>1422</v>
      </c>
      <c r="Y17" s="341">
        <f>4350000+800000+1000000</f>
        <v>6150000</v>
      </c>
      <c r="Z17" s="342">
        <f t="shared" si="1"/>
        <v>8049000</v>
      </c>
      <c r="AA17" s="250">
        <f t="shared" si="4"/>
        <v>6642000</v>
      </c>
      <c r="AB17" s="141"/>
      <c r="AC17" s="3802"/>
      <c r="AD17" s="4172"/>
    </row>
    <row r="18" spans="1:30" ht="22.5" customHeight="1">
      <c r="A18" s="326">
        <f t="shared" si="2"/>
        <v>5</v>
      </c>
      <c r="B18" s="506">
        <v>305843532540</v>
      </c>
      <c r="C18" s="46" t="s">
        <v>1653</v>
      </c>
      <c r="D18" s="47" t="s">
        <v>1656</v>
      </c>
      <c r="E18" s="512" t="s">
        <v>1299</v>
      </c>
      <c r="F18" s="40" t="s">
        <v>210</v>
      </c>
      <c r="G18" s="167"/>
      <c r="H18" s="167">
        <v>1</v>
      </c>
      <c r="I18" s="167"/>
      <c r="J18" s="127">
        <v>11431</v>
      </c>
      <c r="K18" s="572" t="s">
        <v>1654</v>
      </c>
      <c r="L18" s="144" t="s">
        <v>1655</v>
      </c>
      <c r="M18" s="248"/>
      <c r="N18" s="248"/>
      <c r="O18" s="248"/>
      <c r="P18" s="324">
        <v>500000</v>
      </c>
      <c r="Q18" s="248"/>
      <c r="R18" s="247"/>
      <c r="S18" s="248"/>
      <c r="T18" s="137"/>
      <c r="U18" s="341"/>
      <c r="V18" s="340">
        <f t="shared" si="3"/>
        <v>500000</v>
      </c>
      <c r="W18" s="344">
        <f t="shared" si="0"/>
        <v>0</v>
      </c>
      <c r="X18" s="249"/>
      <c r="Y18" s="341">
        <f>4350000+800000</f>
        <v>5150000</v>
      </c>
      <c r="Z18" s="342">
        <f t="shared" si="1"/>
        <v>6062000</v>
      </c>
      <c r="AA18" s="250">
        <f t="shared" si="4"/>
        <v>5562000</v>
      </c>
      <c r="AB18" s="141"/>
      <c r="AC18" s="4170"/>
      <c r="AD18" s="4173"/>
    </row>
    <row r="19" spans="1:30" ht="22.5" customHeight="1">
      <c r="A19" s="3701" t="s">
        <v>1626</v>
      </c>
      <c r="B19" s="3702"/>
      <c r="C19" s="3702"/>
      <c r="D19" s="3702"/>
      <c r="E19" s="3702"/>
      <c r="F19" s="3702"/>
      <c r="G19" s="3702"/>
      <c r="H19" s="3702"/>
      <c r="I19" s="346"/>
      <c r="J19" s="369"/>
      <c r="K19" s="571"/>
      <c r="L19" s="346"/>
      <c r="M19" s="486"/>
      <c r="N19" s="486"/>
      <c r="O19" s="486"/>
      <c r="P19" s="486"/>
      <c r="Q19" s="486"/>
      <c r="R19" s="487"/>
      <c r="S19" s="486"/>
      <c r="T19" s="486"/>
      <c r="U19" s="486">
        <f>SUM(U15:U18)</f>
        <v>800000</v>
      </c>
      <c r="V19" s="486">
        <f>SUM(V15:V18)</f>
        <v>2545000</v>
      </c>
      <c r="W19" s="486">
        <f>SUM(W15:W18)</f>
        <v>0</v>
      </c>
      <c r="X19" s="490"/>
      <c r="Y19" s="486">
        <f>SUM(Y15:Y18)</f>
        <v>22100000</v>
      </c>
      <c r="Z19" s="491">
        <f>((Y19+U19)*1.08)+V19</f>
        <v>27277000</v>
      </c>
      <c r="AA19" s="492"/>
      <c r="AB19" s="493"/>
      <c r="AC19" s="346"/>
      <c r="AD19" s="346"/>
    </row>
    <row r="20" spans="1:30" ht="22.5" customHeight="1">
      <c r="A20" s="326">
        <v>1</v>
      </c>
      <c r="B20" s="506">
        <v>305879630030</v>
      </c>
      <c r="C20" s="46">
        <v>45210</v>
      </c>
      <c r="D20" s="47" t="s">
        <v>1693</v>
      </c>
      <c r="E20" s="512" t="s">
        <v>1299</v>
      </c>
      <c r="F20" s="40" t="s">
        <v>748</v>
      </c>
      <c r="G20" s="167"/>
      <c r="H20" s="167">
        <v>1</v>
      </c>
      <c r="I20" s="167"/>
      <c r="J20" s="127" t="s">
        <v>1750</v>
      </c>
      <c r="K20" s="573" t="s">
        <v>1692</v>
      </c>
      <c r="L20" s="144" t="s">
        <v>1694</v>
      </c>
      <c r="M20" s="248"/>
      <c r="N20" s="248"/>
      <c r="O20" s="248"/>
      <c r="P20" s="371">
        <v>500000</v>
      </c>
      <c r="Q20" s="248"/>
      <c r="R20" s="247"/>
      <c r="S20" s="248"/>
      <c r="T20" s="137"/>
      <c r="U20" s="341"/>
      <c r="V20" s="340">
        <f t="shared" si="3"/>
        <v>500000</v>
      </c>
      <c r="W20" s="344">
        <f t="shared" si="0"/>
        <v>0</v>
      </c>
      <c r="X20" s="249"/>
      <c r="Y20" s="341">
        <f>4350000+800000</f>
        <v>5150000</v>
      </c>
      <c r="Z20" s="342">
        <f t="shared" si="1"/>
        <v>6062000</v>
      </c>
      <c r="AA20" s="250">
        <f t="shared" si="4"/>
        <v>5562000</v>
      </c>
      <c r="AB20" s="141"/>
      <c r="AC20" s="295"/>
      <c r="AD20" s="136"/>
    </row>
    <row r="21" spans="1:30" ht="22.5" customHeight="1">
      <c r="A21" s="326">
        <f t="shared" si="2"/>
        <v>2</v>
      </c>
      <c r="B21" s="506">
        <v>305882102210</v>
      </c>
      <c r="C21" s="46">
        <v>45211</v>
      </c>
      <c r="D21" s="47" t="s">
        <v>1696</v>
      </c>
      <c r="E21" s="512" t="s">
        <v>1299</v>
      </c>
      <c r="F21" s="40" t="s">
        <v>748</v>
      </c>
      <c r="G21" s="167"/>
      <c r="H21" s="167">
        <v>1</v>
      </c>
      <c r="I21" s="167"/>
      <c r="J21" s="127" t="s">
        <v>1751</v>
      </c>
      <c r="K21" s="573" t="s">
        <v>1692</v>
      </c>
      <c r="L21" s="144" t="s">
        <v>1695</v>
      </c>
      <c r="M21" s="248"/>
      <c r="N21" s="248"/>
      <c r="O21" s="248"/>
      <c r="P21" s="371">
        <v>500000</v>
      </c>
      <c r="Q21" s="248"/>
      <c r="R21" s="247"/>
      <c r="S21" s="248"/>
      <c r="T21" s="137"/>
      <c r="U21" s="341"/>
      <c r="V21" s="340">
        <f t="shared" si="3"/>
        <v>500000</v>
      </c>
      <c r="W21" s="344">
        <f t="shared" si="0"/>
        <v>0</v>
      </c>
      <c r="X21" s="249"/>
      <c r="Y21" s="341">
        <f>4350000+800000</f>
        <v>5150000</v>
      </c>
      <c r="Z21" s="342">
        <f t="shared" si="1"/>
        <v>6062000</v>
      </c>
      <c r="AA21" s="250">
        <f t="shared" si="4"/>
        <v>5562000</v>
      </c>
      <c r="AB21" s="141"/>
      <c r="AC21" s="295"/>
      <c r="AD21" s="136"/>
    </row>
    <row r="22" spans="1:30" ht="22.5" customHeight="1">
      <c r="A22" s="326">
        <f t="shared" si="2"/>
        <v>3</v>
      </c>
      <c r="B22" s="506">
        <v>305920665540</v>
      </c>
      <c r="C22" s="46">
        <v>45224</v>
      </c>
      <c r="D22" s="47" t="s">
        <v>1749</v>
      </c>
      <c r="E22" s="512" t="s">
        <v>1299</v>
      </c>
      <c r="F22" s="40" t="s">
        <v>748</v>
      </c>
      <c r="G22" s="167"/>
      <c r="H22" s="167">
        <v>1</v>
      </c>
      <c r="I22" s="167"/>
      <c r="J22" s="127">
        <v>11003</v>
      </c>
      <c r="K22" s="573" t="s">
        <v>1747</v>
      </c>
      <c r="L22" s="151" t="s">
        <v>1748</v>
      </c>
      <c r="M22" s="248"/>
      <c r="N22" s="248"/>
      <c r="O22" s="248"/>
      <c r="P22" s="371">
        <v>500000</v>
      </c>
      <c r="Q22" s="248"/>
      <c r="R22" s="247"/>
      <c r="S22" s="248"/>
      <c r="T22" s="137"/>
      <c r="U22" s="341"/>
      <c r="V22" s="340">
        <f t="shared" si="3"/>
        <v>500000</v>
      </c>
      <c r="W22" s="344">
        <f t="shared" si="0"/>
        <v>0</v>
      </c>
      <c r="X22" s="249"/>
      <c r="Y22" s="341">
        <f>4350000+800000</f>
        <v>5150000</v>
      </c>
      <c r="Z22" s="342">
        <f t="shared" si="1"/>
        <v>6062000</v>
      </c>
      <c r="AA22" s="250">
        <f t="shared" si="4"/>
        <v>5562000</v>
      </c>
      <c r="AB22" s="141"/>
      <c r="AC22" s="295"/>
      <c r="AD22" s="136"/>
    </row>
    <row r="23" spans="1:30" ht="22.5" customHeight="1">
      <c r="A23" s="326">
        <f t="shared" si="2"/>
        <v>4</v>
      </c>
      <c r="B23" s="506">
        <v>305925003920</v>
      </c>
      <c r="C23" s="46" t="s">
        <v>1763</v>
      </c>
      <c r="D23" s="47" t="s">
        <v>1762</v>
      </c>
      <c r="E23" s="512" t="s">
        <v>1299</v>
      </c>
      <c r="F23" s="40" t="s">
        <v>210</v>
      </c>
      <c r="G23" s="167"/>
      <c r="H23" s="167">
        <v>1</v>
      </c>
      <c r="I23" s="167"/>
      <c r="J23" s="127" t="s">
        <v>1765</v>
      </c>
      <c r="K23" s="573" t="s">
        <v>1747</v>
      </c>
      <c r="L23" s="140" t="s">
        <v>1764</v>
      </c>
      <c r="M23" s="248"/>
      <c r="N23" s="248"/>
      <c r="O23" s="248"/>
      <c r="P23" s="324">
        <v>500000</v>
      </c>
      <c r="Q23" s="248"/>
      <c r="R23" s="247"/>
      <c r="S23" s="248"/>
      <c r="T23" s="137"/>
      <c r="U23" s="341"/>
      <c r="V23" s="340">
        <f t="shared" si="3"/>
        <v>500000</v>
      </c>
      <c r="W23" s="344">
        <f t="shared" si="0"/>
        <v>0</v>
      </c>
      <c r="X23" s="249"/>
      <c r="Y23" s="341">
        <f>4350000+800000</f>
        <v>5150000</v>
      </c>
      <c r="Z23" s="342">
        <f t="shared" si="1"/>
        <v>6062000</v>
      </c>
      <c r="AA23" s="250">
        <f t="shared" si="4"/>
        <v>5562000</v>
      </c>
      <c r="AB23" s="141"/>
      <c r="AC23" s="295"/>
      <c r="AD23" s="136"/>
    </row>
    <row r="24" spans="1:30" ht="22.5" customHeight="1">
      <c r="A24" s="3701" t="s">
        <v>1721</v>
      </c>
      <c r="B24" s="3702"/>
      <c r="C24" s="3702"/>
      <c r="D24" s="3702"/>
      <c r="E24" s="3702"/>
      <c r="F24" s="3702"/>
      <c r="G24" s="3702"/>
      <c r="H24" s="3702"/>
      <c r="I24" s="346"/>
      <c r="J24" s="369"/>
      <c r="K24" s="571"/>
      <c r="L24" s="346"/>
      <c r="M24" s="486"/>
      <c r="N24" s="486"/>
      <c r="O24" s="486"/>
      <c r="P24" s="486"/>
      <c r="Q24" s="486"/>
      <c r="R24" s="487"/>
      <c r="S24" s="486"/>
      <c r="T24" s="486"/>
      <c r="U24" s="486">
        <f>SUM(U20:U23)</f>
        <v>0</v>
      </c>
      <c r="V24" s="486">
        <f>SUM(V20:V23)</f>
        <v>2000000</v>
      </c>
      <c r="W24" s="486">
        <f>SUM(W20:W23)</f>
        <v>0</v>
      </c>
      <c r="X24" s="490"/>
      <c r="Y24" s="486">
        <f>SUM(Y20:Y23)</f>
        <v>20600000</v>
      </c>
      <c r="Z24" s="491">
        <f>((Y24+U24)*1.08)+V24</f>
        <v>24248000</v>
      </c>
      <c r="AA24" s="492"/>
      <c r="AB24" s="493"/>
      <c r="AC24" s="346"/>
      <c r="AD24" s="346"/>
    </row>
    <row r="25" spans="1:30" ht="22.5" customHeight="1">
      <c r="A25" s="326">
        <v>1</v>
      </c>
      <c r="B25" s="506">
        <v>305938816100</v>
      </c>
      <c r="C25" s="46" t="s">
        <v>1774</v>
      </c>
      <c r="D25" s="47" t="s">
        <v>1775</v>
      </c>
      <c r="E25" s="512" t="s">
        <v>210</v>
      </c>
      <c r="F25" s="79" t="s">
        <v>210</v>
      </c>
      <c r="G25" s="167"/>
      <c r="H25" s="167">
        <v>1</v>
      </c>
      <c r="I25" s="167"/>
      <c r="J25" s="127">
        <v>11759</v>
      </c>
      <c r="K25" s="573" t="s">
        <v>1773</v>
      </c>
      <c r="L25" s="151" t="s">
        <v>1776</v>
      </c>
      <c r="M25" s="248"/>
      <c r="N25" s="248"/>
      <c r="O25" s="248"/>
      <c r="P25" s="371">
        <v>500000</v>
      </c>
      <c r="Q25" s="248"/>
      <c r="R25" s="247"/>
      <c r="S25" s="248"/>
      <c r="T25" s="137"/>
      <c r="U25" s="341"/>
      <c r="V25" s="340">
        <f t="shared" si="3"/>
        <v>500000</v>
      </c>
      <c r="W25" s="344">
        <f t="shared" si="0"/>
        <v>0</v>
      </c>
      <c r="X25" s="249"/>
      <c r="Y25" s="341">
        <f>4350000+800000</f>
        <v>5150000</v>
      </c>
      <c r="Z25" s="342">
        <f t="shared" si="1"/>
        <v>6062000</v>
      </c>
      <c r="AA25" s="250">
        <f t="shared" si="4"/>
        <v>5562000</v>
      </c>
      <c r="AB25" s="141"/>
      <c r="AC25" s="295"/>
      <c r="AD25" s="136"/>
    </row>
    <row r="26" spans="1:30" ht="22.5" customHeight="1">
      <c r="A26" s="326">
        <f t="shared" si="2"/>
        <v>2</v>
      </c>
      <c r="B26" s="545">
        <v>305972554000</v>
      </c>
      <c r="C26" s="46" t="s">
        <v>1812</v>
      </c>
      <c r="D26" s="47" t="s">
        <v>1815</v>
      </c>
      <c r="E26" s="512" t="s">
        <v>210</v>
      </c>
      <c r="F26" s="79" t="s">
        <v>210</v>
      </c>
      <c r="G26" s="167"/>
      <c r="H26" s="167">
        <v>1</v>
      </c>
      <c r="I26" s="167"/>
      <c r="J26" s="127">
        <v>11291</v>
      </c>
      <c r="K26" s="574" t="s">
        <v>1814</v>
      </c>
      <c r="L26" s="151" t="s">
        <v>1813</v>
      </c>
      <c r="M26" s="248"/>
      <c r="N26" s="248"/>
      <c r="O26" s="248"/>
      <c r="P26" s="371">
        <v>500000</v>
      </c>
      <c r="Q26" s="248"/>
      <c r="R26" s="247"/>
      <c r="S26" s="248"/>
      <c r="T26" s="137"/>
      <c r="U26" s="341"/>
      <c r="V26" s="340">
        <f t="shared" si="3"/>
        <v>500000</v>
      </c>
      <c r="W26" s="344">
        <f t="shared" si="0"/>
        <v>0</v>
      </c>
      <c r="X26" s="249"/>
      <c r="Y26" s="341">
        <f t="shared" ref="Y26:Y34" si="5">4350000+800000</f>
        <v>5150000</v>
      </c>
      <c r="Z26" s="342">
        <f t="shared" si="1"/>
        <v>6062000</v>
      </c>
      <c r="AA26" s="250">
        <f t="shared" si="4"/>
        <v>5562000</v>
      </c>
      <c r="AB26" s="141"/>
      <c r="AC26" s="295"/>
      <c r="AD26" s="136"/>
    </row>
    <row r="27" spans="1:30" ht="22.5" customHeight="1">
      <c r="A27" s="326">
        <f t="shared" si="2"/>
        <v>3</v>
      </c>
      <c r="B27" s="545">
        <v>305981252860</v>
      </c>
      <c r="C27" s="46" t="s">
        <v>1827</v>
      </c>
      <c r="D27" s="47" t="s">
        <v>1830</v>
      </c>
      <c r="E27" s="512" t="s">
        <v>210</v>
      </c>
      <c r="F27" s="79" t="s">
        <v>210</v>
      </c>
      <c r="G27" s="167"/>
      <c r="H27" s="167">
        <v>1</v>
      </c>
      <c r="I27" s="167"/>
      <c r="J27" s="127" t="s">
        <v>1879</v>
      </c>
      <c r="K27" s="573" t="s">
        <v>1828</v>
      </c>
      <c r="L27" s="151" t="s">
        <v>1829</v>
      </c>
      <c r="M27" s="248"/>
      <c r="N27" s="248"/>
      <c r="O27" s="248"/>
      <c r="P27" s="371">
        <v>500000</v>
      </c>
      <c r="Q27" s="248"/>
      <c r="R27" s="247"/>
      <c r="S27" s="248"/>
      <c r="T27" s="137"/>
      <c r="U27" s="341"/>
      <c r="V27" s="340">
        <f t="shared" si="3"/>
        <v>500000</v>
      </c>
      <c r="W27" s="344">
        <f t="shared" si="0"/>
        <v>0</v>
      </c>
      <c r="X27" s="249"/>
      <c r="Y27" s="341">
        <f t="shared" si="5"/>
        <v>5150000</v>
      </c>
      <c r="Z27" s="342">
        <f t="shared" si="1"/>
        <v>6062000</v>
      </c>
      <c r="AA27" s="250">
        <f t="shared" si="4"/>
        <v>5562000</v>
      </c>
      <c r="AB27" s="141"/>
      <c r="AC27" s="295"/>
      <c r="AD27" s="136"/>
    </row>
    <row r="28" spans="1:30" ht="22.5" customHeight="1">
      <c r="A28" s="326">
        <f t="shared" si="2"/>
        <v>4</v>
      </c>
      <c r="B28" s="545">
        <v>306013274250</v>
      </c>
      <c r="C28" s="46" t="s">
        <v>1874</v>
      </c>
      <c r="D28" s="47" t="s">
        <v>1878</v>
      </c>
      <c r="E28" s="512" t="s">
        <v>210</v>
      </c>
      <c r="F28" s="79" t="s">
        <v>210</v>
      </c>
      <c r="G28" s="167"/>
      <c r="H28" s="167">
        <v>1</v>
      </c>
      <c r="I28" s="167"/>
      <c r="J28" s="127" t="s">
        <v>1877</v>
      </c>
      <c r="K28" s="573" t="s">
        <v>1875</v>
      </c>
      <c r="L28" s="151" t="s">
        <v>1876</v>
      </c>
      <c r="M28" s="248"/>
      <c r="N28" s="248"/>
      <c r="O28" s="248"/>
      <c r="P28" s="371">
        <v>500000</v>
      </c>
      <c r="Q28" s="248"/>
      <c r="R28" s="247"/>
      <c r="S28" s="248"/>
      <c r="T28" s="137"/>
      <c r="U28" s="341"/>
      <c r="V28" s="340">
        <f t="shared" si="3"/>
        <v>500000</v>
      </c>
      <c r="W28" s="344">
        <f t="shared" si="0"/>
        <v>0</v>
      </c>
      <c r="X28" s="249"/>
      <c r="Y28" s="341">
        <f t="shared" si="5"/>
        <v>5150000</v>
      </c>
      <c r="Z28" s="342">
        <f t="shared" si="1"/>
        <v>6062000</v>
      </c>
      <c r="AA28" s="250">
        <f t="shared" si="4"/>
        <v>5562000</v>
      </c>
      <c r="AB28" s="141"/>
      <c r="AC28" s="295"/>
      <c r="AD28" s="136"/>
    </row>
    <row r="29" spans="1:30" ht="22.5" customHeight="1">
      <c r="A29" s="3701" t="s">
        <v>1869</v>
      </c>
      <c r="B29" s="3702"/>
      <c r="C29" s="3702"/>
      <c r="D29" s="3702"/>
      <c r="E29" s="3702"/>
      <c r="F29" s="3702"/>
      <c r="G29" s="3702"/>
      <c r="H29" s="3702"/>
      <c r="I29" s="346"/>
      <c r="J29" s="369"/>
      <c r="K29" s="571"/>
      <c r="L29" s="346"/>
      <c r="M29" s="486"/>
      <c r="N29" s="486"/>
      <c r="O29" s="486"/>
      <c r="P29" s="486"/>
      <c r="Q29" s="486"/>
      <c r="R29" s="487"/>
      <c r="S29" s="486"/>
      <c r="T29" s="486"/>
      <c r="U29" s="486">
        <f>SUM(U25:U28)</f>
        <v>0</v>
      </c>
      <c r="V29" s="486">
        <f>SUM(V25:V28)</f>
        <v>2000000</v>
      </c>
      <c r="W29" s="486">
        <f>SUM(W25:W28)</f>
        <v>0</v>
      </c>
      <c r="X29" s="490"/>
      <c r="Y29" s="486">
        <f>SUM(Y25:Y28)</f>
        <v>20600000</v>
      </c>
      <c r="Z29" s="491">
        <f>((Y29+U29)*1.08)+V29</f>
        <v>24248000</v>
      </c>
      <c r="AA29" s="492"/>
      <c r="AB29" s="493"/>
      <c r="AC29" s="346"/>
      <c r="AD29" s="346"/>
    </row>
    <row r="30" spans="1:30" ht="22.5" customHeight="1">
      <c r="A30" s="326">
        <v>1</v>
      </c>
      <c r="B30" s="545">
        <v>306028405930</v>
      </c>
      <c r="C30" s="46" t="s">
        <v>1905</v>
      </c>
      <c r="D30" s="47" t="s">
        <v>1913</v>
      </c>
      <c r="E30" s="512" t="s">
        <v>210</v>
      </c>
      <c r="F30" s="79" t="s">
        <v>210</v>
      </c>
      <c r="G30" s="167"/>
      <c r="H30" s="167">
        <v>1</v>
      </c>
      <c r="I30" s="167"/>
      <c r="J30" s="127" t="s">
        <v>1906</v>
      </c>
      <c r="K30" s="573" t="s">
        <v>1907</v>
      </c>
      <c r="L30" s="151" t="s">
        <v>1908</v>
      </c>
      <c r="M30" s="248"/>
      <c r="N30" s="248"/>
      <c r="O30" s="248"/>
      <c r="P30" s="371">
        <v>500000</v>
      </c>
      <c r="Q30" s="248"/>
      <c r="R30" s="247"/>
      <c r="S30" s="248"/>
      <c r="T30" s="152"/>
      <c r="U30" s="341"/>
      <c r="V30" s="340">
        <f t="shared" si="3"/>
        <v>500000</v>
      </c>
      <c r="W30" s="344">
        <f t="shared" si="0"/>
        <v>0</v>
      </c>
      <c r="X30" s="249"/>
      <c r="Y30" s="341">
        <f t="shared" si="5"/>
        <v>5150000</v>
      </c>
      <c r="Z30" s="342">
        <f t="shared" si="1"/>
        <v>6062000</v>
      </c>
      <c r="AA30" s="250">
        <f t="shared" si="4"/>
        <v>5562000</v>
      </c>
      <c r="AB30" s="141"/>
      <c r="AC30" s="295"/>
      <c r="AD30" s="136"/>
    </row>
    <row r="31" spans="1:30" ht="22.5" customHeight="1">
      <c r="A31" s="326">
        <f t="shared" si="2"/>
        <v>2</v>
      </c>
      <c r="B31" s="545">
        <v>306031777830</v>
      </c>
      <c r="C31" s="46" t="s">
        <v>1932</v>
      </c>
      <c r="D31" s="47" t="s">
        <v>1930</v>
      </c>
      <c r="E31" s="512" t="s">
        <v>210</v>
      </c>
      <c r="F31" s="79" t="s">
        <v>210</v>
      </c>
      <c r="G31" s="167"/>
      <c r="H31" s="167">
        <v>1</v>
      </c>
      <c r="I31" s="167"/>
      <c r="J31" s="127">
        <v>10912</v>
      </c>
      <c r="K31" s="573" t="s">
        <v>1929</v>
      </c>
      <c r="L31" s="151" t="s">
        <v>1931</v>
      </c>
      <c r="M31" s="248"/>
      <c r="N31" s="248"/>
      <c r="O31" s="248"/>
      <c r="P31" s="371">
        <v>500000</v>
      </c>
      <c r="Q31" s="248"/>
      <c r="R31" s="247"/>
      <c r="S31" s="248"/>
      <c r="T31" s="152"/>
      <c r="U31" s="341"/>
      <c r="V31" s="340">
        <f t="shared" si="3"/>
        <v>500000</v>
      </c>
      <c r="W31" s="344">
        <f t="shared" si="0"/>
        <v>0</v>
      </c>
      <c r="X31" s="249"/>
      <c r="Y31" s="341">
        <f t="shared" si="5"/>
        <v>5150000</v>
      </c>
      <c r="Z31" s="342">
        <f t="shared" si="1"/>
        <v>6062000</v>
      </c>
      <c r="AA31" s="250">
        <f t="shared" si="4"/>
        <v>5562000</v>
      </c>
      <c r="AB31" s="141"/>
      <c r="AC31" s="295"/>
      <c r="AD31" s="136"/>
    </row>
    <row r="32" spans="1:30" ht="22.5" customHeight="1">
      <c r="A32" s="326">
        <f t="shared" si="2"/>
        <v>3</v>
      </c>
      <c r="B32" s="457">
        <v>306047877500</v>
      </c>
      <c r="C32" s="46">
        <v>45266</v>
      </c>
      <c r="D32" s="47" t="s">
        <v>1951</v>
      </c>
      <c r="E32" s="513" t="s">
        <v>210</v>
      </c>
      <c r="F32" s="79" t="s">
        <v>210</v>
      </c>
      <c r="G32" s="167"/>
      <c r="H32" s="167">
        <v>1</v>
      </c>
      <c r="I32" s="167"/>
      <c r="J32" s="127" t="s">
        <v>1977</v>
      </c>
      <c r="K32" s="573" t="s">
        <v>1950</v>
      </c>
      <c r="L32" s="151" t="s">
        <v>1952</v>
      </c>
      <c r="M32" s="248"/>
      <c r="N32" s="248"/>
      <c r="O32" s="248"/>
      <c r="P32" s="371">
        <v>500000</v>
      </c>
      <c r="Q32" s="248"/>
      <c r="R32" s="247"/>
      <c r="S32" s="248"/>
      <c r="T32" s="152"/>
      <c r="U32" s="341"/>
      <c r="V32" s="340">
        <f t="shared" si="3"/>
        <v>500000</v>
      </c>
      <c r="W32" s="344">
        <f t="shared" si="0"/>
        <v>0</v>
      </c>
      <c r="X32" s="249"/>
      <c r="Y32" s="341">
        <f t="shared" si="5"/>
        <v>5150000</v>
      </c>
      <c r="Z32" s="342">
        <f t="shared" si="1"/>
        <v>6062000</v>
      </c>
      <c r="AA32" s="250">
        <f t="shared" si="4"/>
        <v>5562000</v>
      </c>
      <c r="AB32" s="141"/>
      <c r="AC32" s="295"/>
      <c r="AD32" s="136"/>
    </row>
    <row r="33" spans="1:30" ht="22.5" customHeight="1">
      <c r="A33" s="326">
        <f t="shared" si="2"/>
        <v>4</v>
      </c>
      <c r="B33" s="457">
        <v>306081295460</v>
      </c>
      <c r="C33" s="46" t="s">
        <v>1995</v>
      </c>
      <c r="D33" s="47" t="s">
        <v>2007</v>
      </c>
      <c r="E33" s="512" t="s">
        <v>210</v>
      </c>
      <c r="F33" s="79" t="s">
        <v>210</v>
      </c>
      <c r="G33" s="167"/>
      <c r="H33" s="167">
        <v>1</v>
      </c>
      <c r="I33" s="167"/>
      <c r="J33" s="127">
        <v>10804.6</v>
      </c>
      <c r="K33" s="573" t="s">
        <v>2003</v>
      </c>
      <c r="L33" s="151" t="s">
        <v>2004</v>
      </c>
      <c r="M33" s="248"/>
      <c r="N33" s="248"/>
      <c r="O33" s="248"/>
      <c r="P33" s="371">
        <v>500000</v>
      </c>
      <c r="Q33" s="248"/>
      <c r="R33" s="247"/>
      <c r="S33" s="248"/>
      <c r="T33" s="137"/>
      <c r="U33" s="341"/>
      <c r="V33" s="340">
        <f t="shared" si="3"/>
        <v>500000</v>
      </c>
      <c r="W33" s="344">
        <f t="shared" si="0"/>
        <v>0</v>
      </c>
      <c r="X33" s="249"/>
      <c r="Y33" s="341">
        <f t="shared" si="5"/>
        <v>5150000</v>
      </c>
      <c r="Z33" s="342">
        <f t="shared" si="1"/>
        <v>6062000</v>
      </c>
      <c r="AA33" s="250">
        <f t="shared" si="4"/>
        <v>5562000</v>
      </c>
      <c r="AB33" s="141"/>
      <c r="AC33" s="295"/>
      <c r="AD33" s="136"/>
    </row>
    <row r="34" spans="1:30" ht="22.5" customHeight="1">
      <c r="A34" s="326">
        <f t="shared" si="2"/>
        <v>5</v>
      </c>
      <c r="B34" s="457">
        <v>306084652220</v>
      </c>
      <c r="C34" s="46" t="s">
        <v>2005</v>
      </c>
      <c r="D34" s="47" t="s">
        <v>2008</v>
      </c>
      <c r="E34" s="512" t="s">
        <v>210</v>
      </c>
      <c r="F34" s="79" t="s">
        <v>210</v>
      </c>
      <c r="G34" s="167"/>
      <c r="H34" s="167">
        <v>1</v>
      </c>
      <c r="I34" s="167"/>
      <c r="J34" s="154">
        <v>12588.56</v>
      </c>
      <c r="K34" s="573" t="s">
        <v>2003</v>
      </c>
      <c r="L34" s="151" t="s">
        <v>2006</v>
      </c>
      <c r="M34" s="248"/>
      <c r="N34" s="248"/>
      <c r="O34" s="248"/>
      <c r="P34" s="371">
        <v>500000</v>
      </c>
      <c r="Q34" s="248"/>
      <c r="R34" s="247"/>
      <c r="S34" s="248"/>
      <c r="T34" s="157"/>
      <c r="U34" s="341"/>
      <c r="V34" s="340">
        <f t="shared" si="3"/>
        <v>500000</v>
      </c>
      <c r="W34" s="344">
        <f t="shared" si="0"/>
        <v>0</v>
      </c>
      <c r="X34" s="249"/>
      <c r="Y34" s="341">
        <f t="shared" si="5"/>
        <v>5150000</v>
      </c>
      <c r="Z34" s="342">
        <f t="shared" si="1"/>
        <v>6062000</v>
      </c>
      <c r="AA34" s="250">
        <f t="shared" si="4"/>
        <v>5562000</v>
      </c>
      <c r="AB34" s="141"/>
      <c r="AC34" s="295"/>
      <c r="AD34" s="156"/>
    </row>
    <row r="35" spans="1:30" ht="22.5" customHeight="1">
      <c r="A35" s="326">
        <f t="shared" si="2"/>
        <v>6</v>
      </c>
      <c r="B35" s="576">
        <v>105951755011</v>
      </c>
      <c r="C35" s="46">
        <v>45272</v>
      </c>
      <c r="D35" s="47" t="s">
        <v>2012</v>
      </c>
      <c r="E35" s="514" t="s">
        <v>1300</v>
      </c>
      <c r="F35" s="575" t="s">
        <v>136</v>
      </c>
      <c r="G35" s="167"/>
      <c r="H35" s="167"/>
      <c r="I35" s="167">
        <v>1</v>
      </c>
      <c r="J35" s="154" t="s">
        <v>2010</v>
      </c>
      <c r="K35" s="573" t="s">
        <v>2011</v>
      </c>
      <c r="L35" s="151"/>
      <c r="M35" s="248"/>
      <c r="N35" s="248"/>
      <c r="O35" s="248"/>
      <c r="P35" s="248"/>
      <c r="Q35" s="248"/>
      <c r="R35" s="247"/>
      <c r="S35" s="248"/>
      <c r="T35" s="157"/>
      <c r="U35" s="341"/>
      <c r="V35" s="340">
        <f>M35+P35+S35</f>
        <v>0</v>
      </c>
      <c r="W35" s="344">
        <f>+R35</f>
        <v>0</v>
      </c>
      <c r="X35" s="391" t="s">
        <v>2013</v>
      </c>
      <c r="Y35" s="341">
        <v>2500000</v>
      </c>
      <c r="Z35" s="342">
        <f>+((U35+Y35)*1.08)+V35+W35</f>
        <v>2700000</v>
      </c>
      <c r="AA35" s="250">
        <f>+Y35*1.08</f>
        <v>2700000</v>
      </c>
      <c r="AB35" s="141"/>
      <c r="AC35" s="295"/>
      <c r="AD35" s="156"/>
    </row>
    <row r="36" spans="1:30" ht="22.5" customHeight="1">
      <c r="A36" s="3701" t="s">
        <v>1991</v>
      </c>
      <c r="B36" s="3702"/>
      <c r="C36" s="3702"/>
      <c r="D36" s="3702"/>
      <c r="E36" s="3702"/>
      <c r="F36" s="3702"/>
      <c r="G36" s="3702"/>
      <c r="H36" s="3702"/>
      <c r="I36" s="346"/>
      <c r="J36" s="369"/>
      <c r="K36" s="571"/>
      <c r="L36" s="346"/>
      <c r="M36" s="486"/>
      <c r="N36" s="486"/>
      <c r="O36" s="486"/>
      <c r="P36" s="486"/>
      <c r="Q36" s="486"/>
      <c r="R36" s="487"/>
      <c r="S36" s="486"/>
      <c r="T36" s="486"/>
      <c r="U36" s="486">
        <f>SUM(U31:U34)</f>
        <v>0</v>
      </c>
      <c r="V36" s="486">
        <f>SUM(V30:V35)</f>
        <v>2500000</v>
      </c>
      <c r="W36" s="486">
        <f>SUM(W31:W34)</f>
        <v>0</v>
      </c>
      <c r="X36" s="490"/>
      <c r="Y36" s="486">
        <f>SUM(Y30:Y35)</f>
        <v>28250000</v>
      </c>
      <c r="Z36" s="491">
        <f>((Y36+U36)*1.08)+V36</f>
        <v>33010000.000000004</v>
      </c>
      <c r="AA36" s="492"/>
      <c r="AB36" s="493"/>
      <c r="AC36" s="346"/>
      <c r="AD36" s="346"/>
    </row>
    <row r="37" spans="1:30" ht="22.5" customHeight="1">
      <c r="A37" s="326">
        <v>1</v>
      </c>
      <c r="B37" s="457">
        <v>306105493320</v>
      </c>
      <c r="C37" s="46" t="s">
        <v>2046</v>
      </c>
      <c r="D37" s="47" t="s">
        <v>2052</v>
      </c>
      <c r="E37" s="512" t="s">
        <v>210</v>
      </c>
      <c r="F37" s="86" t="s">
        <v>210</v>
      </c>
      <c r="G37" s="167"/>
      <c r="H37" s="167">
        <v>1</v>
      </c>
      <c r="I37" s="167"/>
      <c r="J37" s="46" t="s">
        <v>2051</v>
      </c>
      <c r="K37" s="154" t="s">
        <v>2049</v>
      </c>
      <c r="L37" s="573" t="s">
        <v>2047</v>
      </c>
      <c r="M37" s="248"/>
      <c r="N37" s="248"/>
      <c r="O37" s="248"/>
      <c r="P37" s="371">
        <v>500000</v>
      </c>
      <c r="Q37" s="248"/>
      <c r="R37" s="247"/>
      <c r="S37" s="248"/>
      <c r="T37" s="157"/>
      <c r="U37" s="341"/>
      <c r="V37" s="340">
        <f t="shared" si="3"/>
        <v>500000</v>
      </c>
      <c r="W37" s="344">
        <f t="shared" si="0"/>
        <v>0</v>
      </c>
      <c r="X37" s="249"/>
      <c r="Y37" s="341">
        <f>4350000+800000</f>
        <v>5150000</v>
      </c>
      <c r="Z37" s="342">
        <f t="shared" si="1"/>
        <v>6062000</v>
      </c>
      <c r="AA37" s="252"/>
      <c r="AB37" s="141"/>
      <c r="AC37" s="295"/>
      <c r="AD37" s="156"/>
    </row>
    <row r="38" spans="1:30" ht="22.5" customHeight="1">
      <c r="A38" s="326">
        <f t="shared" si="2"/>
        <v>2</v>
      </c>
      <c r="B38" s="457">
        <v>306106405860</v>
      </c>
      <c r="C38" s="46" t="s">
        <v>2046</v>
      </c>
      <c r="D38" s="47" t="s">
        <v>2053</v>
      </c>
      <c r="E38" s="512" t="s">
        <v>210</v>
      </c>
      <c r="F38" s="86" t="s">
        <v>210</v>
      </c>
      <c r="G38" s="167"/>
      <c r="H38" s="167">
        <v>1</v>
      </c>
      <c r="I38" s="167"/>
      <c r="J38" s="46" t="s">
        <v>2050</v>
      </c>
      <c r="K38" s="154" t="s">
        <v>2049</v>
      </c>
      <c r="L38" s="573" t="s">
        <v>2048</v>
      </c>
      <c r="M38" s="248"/>
      <c r="N38" s="248"/>
      <c r="O38" s="248"/>
      <c r="P38" s="371">
        <v>500000</v>
      </c>
      <c r="Q38" s="248"/>
      <c r="R38" s="247"/>
      <c r="S38" s="248"/>
      <c r="T38" s="157"/>
      <c r="U38" s="341"/>
      <c r="V38" s="340">
        <f t="shared" si="3"/>
        <v>500000</v>
      </c>
      <c r="W38" s="344">
        <f t="shared" si="0"/>
        <v>0</v>
      </c>
      <c r="X38" s="249"/>
      <c r="Y38" s="341">
        <f>4350000+800000</f>
        <v>5150000</v>
      </c>
      <c r="Z38" s="342">
        <f t="shared" si="1"/>
        <v>6062000</v>
      </c>
      <c r="AA38" s="252"/>
      <c r="AB38" s="141"/>
      <c r="AC38" s="295"/>
      <c r="AD38" s="156"/>
    </row>
    <row r="39" spans="1:30" ht="22.5" customHeight="1">
      <c r="A39" s="326">
        <f t="shared" si="2"/>
        <v>3</v>
      </c>
      <c r="B39" s="545">
        <v>306143951320</v>
      </c>
      <c r="C39" s="46" t="s">
        <v>2079</v>
      </c>
      <c r="D39" s="47" t="s">
        <v>2085</v>
      </c>
      <c r="E39" s="512" t="s">
        <v>210</v>
      </c>
      <c r="F39" s="86" t="s">
        <v>210</v>
      </c>
      <c r="G39" s="167"/>
      <c r="H39" s="167">
        <v>1</v>
      </c>
      <c r="I39" s="167"/>
      <c r="J39" s="498" t="s">
        <v>2139</v>
      </c>
      <c r="K39" s="154" t="s">
        <v>2084</v>
      </c>
      <c r="L39" s="573" t="s">
        <v>2083</v>
      </c>
      <c r="M39" s="579"/>
      <c r="N39" s="579"/>
      <c r="O39" s="248"/>
      <c r="P39" s="371">
        <v>500000</v>
      </c>
      <c r="Q39" s="248"/>
      <c r="R39" s="247"/>
      <c r="S39" s="248"/>
      <c r="T39" s="157"/>
      <c r="U39" s="341"/>
      <c r="V39" s="340">
        <f t="shared" si="3"/>
        <v>500000</v>
      </c>
      <c r="W39" s="344">
        <f t="shared" si="0"/>
        <v>0</v>
      </c>
      <c r="X39" s="249"/>
      <c r="Y39" s="341">
        <f>4350000+800000</f>
        <v>5150000</v>
      </c>
      <c r="Z39" s="342">
        <f t="shared" si="1"/>
        <v>6062000</v>
      </c>
      <c r="AA39" s="252"/>
      <c r="AB39" s="141"/>
      <c r="AC39" s="295"/>
      <c r="AD39" s="156"/>
    </row>
    <row r="40" spans="1:30" ht="27.75" customHeight="1">
      <c r="A40" s="326">
        <f>+A41+1</f>
        <v>5</v>
      </c>
      <c r="B40" s="545">
        <v>306169122400</v>
      </c>
      <c r="C40" s="46" t="s">
        <v>2131</v>
      </c>
      <c r="D40" s="47" t="s">
        <v>2142</v>
      </c>
      <c r="E40" s="512" t="s">
        <v>210</v>
      </c>
      <c r="F40" s="86" t="s">
        <v>210</v>
      </c>
      <c r="G40" s="167"/>
      <c r="H40" s="167">
        <v>2</v>
      </c>
      <c r="I40" s="167"/>
      <c r="J40" s="154" t="s">
        <v>2141</v>
      </c>
      <c r="K40" s="154" t="s">
        <v>2137</v>
      </c>
      <c r="L40" s="151" t="s">
        <v>2140</v>
      </c>
      <c r="M40" s="248"/>
      <c r="N40" s="248"/>
      <c r="O40" s="248"/>
      <c r="P40" s="371">
        <v>1000000</v>
      </c>
      <c r="Q40" s="248"/>
      <c r="R40" s="247"/>
      <c r="S40" s="248"/>
      <c r="T40" s="157"/>
      <c r="U40" s="341"/>
      <c r="V40" s="340">
        <f t="shared" si="3"/>
        <v>1000000</v>
      </c>
      <c r="W40" s="344">
        <f t="shared" si="0"/>
        <v>0</v>
      </c>
      <c r="X40" s="249"/>
      <c r="Y40" s="341">
        <f>(4350000+800000)*2</f>
        <v>10300000</v>
      </c>
      <c r="Z40" s="342">
        <f t="shared" si="1"/>
        <v>12124000</v>
      </c>
      <c r="AA40" s="252"/>
      <c r="AB40" s="141"/>
      <c r="AC40" s="295"/>
      <c r="AD40" s="156"/>
    </row>
    <row r="41" spans="1:30" ht="22.5" customHeight="1">
      <c r="A41" s="326">
        <f>+A39+1</f>
        <v>4</v>
      </c>
      <c r="B41" s="545">
        <v>306157223320</v>
      </c>
      <c r="C41" s="46" t="s">
        <v>2121</v>
      </c>
      <c r="D41" s="47" t="s">
        <v>2138</v>
      </c>
      <c r="E41" s="512" t="s">
        <v>210</v>
      </c>
      <c r="F41" s="86" t="s">
        <v>210</v>
      </c>
      <c r="G41" s="167"/>
      <c r="H41" s="167"/>
      <c r="I41" s="167"/>
      <c r="J41" s="154"/>
      <c r="K41" s="154" t="s">
        <v>2136</v>
      </c>
      <c r="L41" s="151"/>
      <c r="M41" s="248"/>
      <c r="N41" s="248"/>
      <c r="O41" s="248"/>
      <c r="P41" s="248"/>
      <c r="Q41" s="248"/>
      <c r="R41" s="247"/>
      <c r="S41" s="248"/>
      <c r="T41" s="157"/>
      <c r="U41" s="341"/>
      <c r="V41" s="340">
        <f>M41+P41+S41</f>
        <v>0</v>
      </c>
      <c r="W41" s="344">
        <f>+R41</f>
        <v>0</v>
      </c>
      <c r="X41" s="391" t="s">
        <v>2135</v>
      </c>
      <c r="Y41" s="341">
        <v>4200000</v>
      </c>
      <c r="Z41" s="342">
        <f>+((U41+Y41)*1.08)+V41+W41</f>
        <v>4536000</v>
      </c>
      <c r="AA41" s="252"/>
      <c r="AB41" s="141"/>
      <c r="AC41" s="295"/>
      <c r="AD41" s="156"/>
    </row>
    <row r="42" spans="1:30" ht="22.5" customHeight="1">
      <c r="A42" s="3701" t="s">
        <v>2104</v>
      </c>
      <c r="B42" s="3702"/>
      <c r="C42" s="3702"/>
      <c r="D42" s="3702"/>
      <c r="E42" s="3702"/>
      <c r="F42" s="3702"/>
      <c r="G42" s="3702"/>
      <c r="H42" s="3702"/>
      <c r="I42" s="346"/>
      <c r="J42" s="369"/>
      <c r="K42" s="571"/>
      <c r="L42" s="346"/>
      <c r="M42" s="486"/>
      <c r="N42" s="486"/>
      <c r="O42" s="486"/>
      <c r="P42" s="486"/>
      <c r="Q42" s="486"/>
      <c r="R42" s="487"/>
      <c r="S42" s="486"/>
      <c r="T42" s="486"/>
      <c r="U42" s="486">
        <f>SUM(U37:U41)</f>
        <v>0</v>
      </c>
      <c r="V42" s="486">
        <f>SUM(V36:V40)</f>
        <v>5000000</v>
      </c>
      <c r="W42" s="486">
        <f>SUM(W37:W41)</f>
        <v>0</v>
      </c>
      <c r="X42" s="490"/>
      <c r="Y42" s="486">
        <f>SUM(Y36:Y40)</f>
        <v>54000000</v>
      </c>
      <c r="Z42" s="491">
        <f>((Y42+U42)*1.08)+V42</f>
        <v>63320000.000000007</v>
      </c>
      <c r="AA42" s="492"/>
      <c r="AB42" s="493"/>
      <c r="AC42" s="346"/>
      <c r="AD42" s="346"/>
    </row>
    <row r="43" spans="1:30" ht="22.5" customHeight="1">
      <c r="A43" s="326">
        <v>1</v>
      </c>
      <c r="B43" s="509"/>
      <c r="C43" s="46"/>
      <c r="D43" s="47"/>
      <c r="E43" s="512"/>
      <c r="F43" s="79"/>
      <c r="G43" s="167"/>
      <c r="H43" s="167"/>
      <c r="I43" s="167"/>
      <c r="J43" s="154"/>
      <c r="K43" s="573"/>
      <c r="L43" s="151"/>
      <c r="M43" s="248"/>
      <c r="N43" s="248"/>
      <c r="O43" s="248"/>
      <c r="P43" s="248"/>
      <c r="Q43" s="248"/>
      <c r="R43" s="247"/>
      <c r="S43" s="248"/>
      <c r="T43" s="157"/>
      <c r="U43" s="341"/>
      <c r="V43" s="340">
        <f t="shared" ref="V43:V62" si="6">M43+P43+S43</f>
        <v>0</v>
      </c>
      <c r="W43" s="344">
        <f t="shared" ref="W43:W62" si="7">+R43</f>
        <v>0</v>
      </c>
      <c r="X43" s="249"/>
      <c r="Y43" s="341">
        <v>0</v>
      </c>
      <c r="Z43" s="342">
        <f t="shared" ref="Z43:Z62" si="8">+((U43+Y43)*1.08)+V43+W43</f>
        <v>0</v>
      </c>
      <c r="AA43" s="252"/>
      <c r="AB43" s="141"/>
      <c r="AC43" s="295"/>
      <c r="AD43" s="156"/>
    </row>
    <row r="44" spans="1:30" ht="22.5" customHeight="1">
      <c r="A44" s="326">
        <f t="shared" si="2"/>
        <v>2</v>
      </c>
      <c r="B44" s="509"/>
      <c r="C44" s="46"/>
      <c r="D44" s="47"/>
      <c r="E44" s="512"/>
      <c r="F44" s="79"/>
      <c r="G44" s="167"/>
      <c r="H44" s="167"/>
      <c r="I44" s="167"/>
      <c r="J44" s="154"/>
      <c r="K44" s="573"/>
      <c r="L44" s="151"/>
      <c r="M44" s="248"/>
      <c r="N44" s="248"/>
      <c r="O44" s="248"/>
      <c r="P44" s="248"/>
      <c r="Q44" s="248"/>
      <c r="R44" s="247"/>
      <c r="S44" s="248"/>
      <c r="T44" s="157"/>
      <c r="U44" s="341"/>
      <c r="V44" s="340">
        <f t="shared" si="6"/>
        <v>0</v>
      </c>
      <c r="W44" s="344">
        <f t="shared" si="7"/>
        <v>0</v>
      </c>
      <c r="X44" s="249"/>
      <c r="Y44" s="341">
        <v>0</v>
      </c>
      <c r="Z44" s="342">
        <f t="shared" si="8"/>
        <v>0</v>
      </c>
      <c r="AA44" s="252"/>
      <c r="AB44" s="141"/>
      <c r="AC44" s="295"/>
      <c r="AD44" s="156"/>
    </row>
    <row r="45" spans="1:30" ht="22.5" customHeight="1">
      <c r="A45" s="326">
        <f t="shared" si="2"/>
        <v>3</v>
      </c>
      <c r="B45" s="509"/>
      <c r="C45" s="46"/>
      <c r="D45" s="47"/>
      <c r="E45" s="512"/>
      <c r="F45" s="79"/>
      <c r="G45" s="167"/>
      <c r="H45" s="167"/>
      <c r="I45" s="167"/>
      <c r="J45" s="154"/>
      <c r="K45" s="573"/>
      <c r="L45" s="151"/>
      <c r="M45" s="248"/>
      <c r="N45" s="248"/>
      <c r="O45" s="248"/>
      <c r="P45" s="248"/>
      <c r="Q45" s="248"/>
      <c r="R45" s="247"/>
      <c r="S45" s="248"/>
      <c r="T45" s="157"/>
      <c r="U45" s="341"/>
      <c r="V45" s="340">
        <f t="shared" si="6"/>
        <v>0</v>
      </c>
      <c r="W45" s="344">
        <f t="shared" si="7"/>
        <v>0</v>
      </c>
      <c r="X45" s="249"/>
      <c r="Y45" s="341">
        <v>0</v>
      </c>
      <c r="Z45" s="342">
        <f t="shared" si="8"/>
        <v>0</v>
      </c>
      <c r="AA45" s="252"/>
      <c r="AB45" s="141"/>
      <c r="AC45" s="295"/>
      <c r="AD45" s="156"/>
    </row>
    <row r="46" spans="1:30" ht="22.5" customHeight="1">
      <c r="A46" s="326">
        <f t="shared" si="2"/>
        <v>4</v>
      </c>
      <c r="B46" s="509"/>
      <c r="C46" s="46"/>
      <c r="D46" s="47"/>
      <c r="E46" s="512"/>
      <c r="F46" s="79"/>
      <c r="G46" s="167"/>
      <c r="H46" s="167"/>
      <c r="I46" s="167"/>
      <c r="J46" s="154"/>
      <c r="K46" s="573"/>
      <c r="L46" s="151"/>
      <c r="M46" s="248"/>
      <c r="N46" s="248"/>
      <c r="O46" s="248"/>
      <c r="P46" s="248"/>
      <c r="Q46" s="248"/>
      <c r="R46" s="247"/>
      <c r="S46" s="248"/>
      <c r="T46" s="157"/>
      <c r="U46" s="341"/>
      <c r="V46" s="340">
        <f t="shared" si="6"/>
        <v>0</v>
      </c>
      <c r="W46" s="344">
        <f t="shared" si="7"/>
        <v>0</v>
      </c>
      <c r="X46" s="249"/>
      <c r="Y46" s="341">
        <v>0</v>
      </c>
      <c r="Z46" s="342">
        <f t="shared" si="8"/>
        <v>0</v>
      </c>
      <c r="AA46" s="252"/>
      <c r="AB46" s="141"/>
      <c r="AC46" s="295"/>
      <c r="AD46" s="156"/>
    </row>
    <row r="47" spans="1:30" ht="22.5" customHeight="1">
      <c r="A47" s="326">
        <f t="shared" si="2"/>
        <v>5</v>
      </c>
      <c r="B47" s="509"/>
      <c r="C47" s="46"/>
      <c r="D47" s="47"/>
      <c r="E47" s="512"/>
      <c r="F47" s="79"/>
      <c r="G47" s="167"/>
      <c r="H47" s="167"/>
      <c r="I47" s="167"/>
      <c r="J47" s="154"/>
      <c r="K47" s="573"/>
      <c r="L47" s="151"/>
      <c r="M47" s="248"/>
      <c r="N47" s="248"/>
      <c r="O47" s="248"/>
      <c r="P47" s="248"/>
      <c r="Q47" s="248"/>
      <c r="R47" s="247"/>
      <c r="S47" s="248"/>
      <c r="T47" s="157"/>
      <c r="U47" s="341"/>
      <c r="V47" s="340">
        <f t="shared" si="6"/>
        <v>0</v>
      </c>
      <c r="W47" s="344">
        <f t="shared" si="7"/>
        <v>0</v>
      </c>
      <c r="X47" s="249"/>
      <c r="Y47" s="341">
        <v>0</v>
      </c>
      <c r="Z47" s="342">
        <f t="shared" si="8"/>
        <v>0</v>
      </c>
      <c r="AA47" s="252"/>
      <c r="AB47" s="141"/>
      <c r="AC47" s="295"/>
      <c r="AD47" s="156"/>
    </row>
    <row r="48" spans="1:30" ht="22.5" customHeight="1">
      <c r="A48" s="326">
        <f t="shared" si="2"/>
        <v>6</v>
      </c>
      <c r="B48" s="509"/>
      <c r="C48" s="46"/>
      <c r="D48" s="47"/>
      <c r="E48" s="512"/>
      <c r="F48" s="79"/>
      <c r="G48" s="167"/>
      <c r="H48" s="167"/>
      <c r="I48" s="167"/>
      <c r="J48" s="154"/>
      <c r="K48" s="573"/>
      <c r="L48" s="151"/>
      <c r="M48" s="248"/>
      <c r="N48" s="248"/>
      <c r="O48" s="248"/>
      <c r="P48" s="248"/>
      <c r="Q48" s="248"/>
      <c r="R48" s="247"/>
      <c r="S48" s="248"/>
      <c r="T48" s="157"/>
      <c r="U48" s="341"/>
      <c r="V48" s="340">
        <f t="shared" si="6"/>
        <v>0</v>
      </c>
      <c r="W48" s="344">
        <f t="shared" si="7"/>
        <v>0</v>
      </c>
      <c r="X48" s="249"/>
      <c r="Y48" s="341">
        <v>0</v>
      </c>
      <c r="Z48" s="342">
        <f t="shared" si="8"/>
        <v>0</v>
      </c>
      <c r="AA48" s="252"/>
      <c r="AB48" s="141"/>
      <c r="AC48" s="295"/>
      <c r="AD48" s="156"/>
    </row>
    <row r="49" spans="1:30" ht="22.5" customHeight="1">
      <c r="A49" s="326">
        <f t="shared" si="2"/>
        <v>7</v>
      </c>
      <c r="B49" s="509"/>
      <c r="C49" s="46"/>
      <c r="D49" s="47"/>
      <c r="E49" s="512"/>
      <c r="F49" s="79"/>
      <c r="G49" s="167"/>
      <c r="H49" s="167"/>
      <c r="I49" s="167"/>
      <c r="J49" s="154"/>
      <c r="K49" s="573"/>
      <c r="L49" s="151"/>
      <c r="M49" s="248"/>
      <c r="N49" s="248"/>
      <c r="O49" s="248"/>
      <c r="P49" s="248"/>
      <c r="Q49" s="248"/>
      <c r="R49" s="247"/>
      <c r="S49" s="248"/>
      <c r="T49" s="157"/>
      <c r="U49" s="341"/>
      <c r="V49" s="340">
        <f t="shared" si="6"/>
        <v>0</v>
      </c>
      <c r="W49" s="344">
        <f t="shared" si="7"/>
        <v>0</v>
      </c>
      <c r="X49" s="249"/>
      <c r="Y49" s="341">
        <v>0</v>
      </c>
      <c r="Z49" s="342">
        <f t="shared" si="8"/>
        <v>0</v>
      </c>
      <c r="AA49" s="252"/>
      <c r="AB49" s="141"/>
      <c r="AC49" s="295"/>
      <c r="AD49" s="156"/>
    </row>
    <row r="50" spans="1:30" ht="22.5" customHeight="1">
      <c r="A50" s="326">
        <f t="shared" si="2"/>
        <v>8</v>
      </c>
      <c r="B50" s="509"/>
      <c r="C50" s="46"/>
      <c r="D50" s="47"/>
      <c r="E50" s="512"/>
      <c r="F50" s="79"/>
      <c r="G50" s="167"/>
      <c r="H50" s="167"/>
      <c r="I50" s="167"/>
      <c r="J50" s="154"/>
      <c r="K50" s="573"/>
      <c r="L50" s="151"/>
      <c r="M50" s="248"/>
      <c r="N50" s="248"/>
      <c r="O50" s="248"/>
      <c r="P50" s="248"/>
      <c r="Q50" s="248"/>
      <c r="R50" s="247"/>
      <c r="S50" s="248"/>
      <c r="T50" s="157"/>
      <c r="U50" s="341"/>
      <c r="V50" s="340">
        <f t="shared" si="6"/>
        <v>0</v>
      </c>
      <c r="W50" s="344">
        <f t="shared" si="7"/>
        <v>0</v>
      </c>
      <c r="X50" s="249"/>
      <c r="Y50" s="341">
        <v>0</v>
      </c>
      <c r="Z50" s="342">
        <f t="shared" si="8"/>
        <v>0</v>
      </c>
      <c r="AA50" s="252"/>
      <c r="AB50" s="141"/>
      <c r="AC50" s="295"/>
      <c r="AD50" s="156"/>
    </row>
    <row r="51" spans="1:30" ht="22.5" customHeight="1">
      <c r="A51" s="326">
        <f t="shared" si="2"/>
        <v>9</v>
      </c>
      <c r="B51" s="509"/>
      <c r="C51" s="46"/>
      <c r="D51" s="47"/>
      <c r="E51" s="512"/>
      <c r="F51" s="79"/>
      <c r="G51" s="167"/>
      <c r="H51" s="167"/>
      <c r="I51" s="167"/>
      <c r="J51" s="154"/>
      <c r="K51" s="573"/>
      <c r="L51" s="151"/>
      <c r="M51" s="248"/>
      <c r="N51" s="248"/>
      <c r="O51" s="248"/>
      <c r="P51" s="248"/>
      <c r="Q51" s="248"/>
      <c r="R51" s="247"/>
      <c r="S51" s="248"/>
      <c r="T51" s="157"/>
      <c r="U51" s="341"/>
      <c r="V51" s="340">
        <f t="shared" si="6"/>
        <v>0</v>
      </c>
      <c r="W51" s="344">
        <f t="shared" si="7"/>
        <v>0</v>
      </c>
      <c r="X51" s="249"/>
      <c r="Y51" s="341">
        <v>0</v>
      </c>
      <c r="Z51" s="342">
        <f t="shared" si="8"/>
        <v>0</v>
      </c>
      <c r="AA51" s="252"/>
      <c r="AB51" s="141"/>
      <c r="AC51" s="295"/>
      <c r="AD51" s="156"/>
    </row>
    <row r="52" spans="1:30" ht="22.5" customHeight="1">
      <c r="A52" s="326">
        <f t="shared" si="2"/>
        <v>10</v>
      </c>
      <c r="B52" s="509"/>
      <c r="C52" s="46"/>
      <c r="D52" s="47"/>
      <c r="E52" s="512"/>
      <c r="F52" s="79"/>
      <c r="G52" s="167"/>
      <c r="H52" s="167"/>
      <c r="I52" s="167"/>
      <c r="J52" s="154"/>
      <c r="K52" s="573"/>
      <c r="L52" s="151"/>
      <c r="M52" s="248"/>
      <c r="N52" s="248"/>
      <c r="O52" s="248"/>
      <c r="P52" s="248"/>
      <c r="Q52" s="248"/>
      <c r="R52" s="247"/>
      <c r="S52" s="248"/>
      <c r="T52" s="157"/>
      <c r="U52" s="341"/>
      <c r="V52" s="340">
        <f t="shared" si="6"/>
        <v>0</v>
      </c>
      <c r="W52" s="344">
        <f t="shared" si="7"/>
        <v>0</v>
      </c>
      <c r="X52" s="249"/>
      <c r="Y52" s="341">
        <v>0</v>
      </c>
      <c r="Z52" s="342">
        <f t="shared" si="8"/>
        <v>0</v>
      </c>
      <c r="AA52" s="252"/>
      <c r="AB52" s="141"/>
      <c r="AC52" s="295"/>
      <c r="AD52" s="156"/>
    </row>
    <row r="53" spans="1:30" ht="22.5" customHeight="1">
      <c r="A53" s="326">
        <f t="shared" si="2"/>
        <v>11</v>
      </c>
      <c r="B53" s="509"/>
      <c r="C53" s="46"/>
      <c r="D53" s="47"/>
      <c r="E53" s="512"/>
      <c r="F53" s="79"/>
      <c r="G53" s="167"/>
      <c r="H53" s="167"/>
      <c r="I53" s="167"/>
      <c r="J53" s="154"/>
      <c r="K53" s="573"/>
      <c r="L53" s="151"/>
      <c r="M53" s="248"/>
      <c r="N53" s="248"/>
      <c r="O53" s="248"/>
      <c r="P53" s="248"/>
      <c r="Q53" s="248"/>
      <c r="R53" s="247"/>
      <c r="S53" s="248"/>
      <c r="T53" s="157"/>
      <c r="U53" s="341"/>
      <c r="V53" s="340">
        <f t="shared" si="6"/>
        <v>0</v>
      </c>
      <c r="W53" s="344">
        <f t="shared" si="7"/>
        <v>0</v>
      </c>
      <c r="X53" s="249"/>
      <c r="Y53" s="341">
        <v>0</v>
      </c>
      <c r="Z53" s="342">
        <f t="shared" si="8"/>
        <v>0</v>
      </c>
      <c r="AA53" s="252"/>
      <c r="AB53" s="141"/>
      <c r="AC53" s="295"/>
      <c r="AD53" s="156"/>
    </row>
    <row r="54" spans="1:30" ht="22.5" customHeight="1">
      <c r="A54" s="326">
        <f t="shared" si="2"/>
        <v>12</v>
      </c>
      <c r="B54" s="509"/>
      <c r="C54" s="46"/>
      <c r="D54" s="47"/>
      <c r="E54" s="512"/>
      <c r="F54" s="79"/>
      <c r="G54" s="167"/>
      <c r="H54" s="167"/>
      <c r="I54" s="167"/>
      <c r="J54" s="154"/>
      <c r="K54" s="573"/>
      <c r="L54" s="151"/>
      <c r="M54" s="248"/>
      <c r="N54" s="248"/>
      <c r="O54" s="248"/>
      <c r="P54" s="248"/>
      <c r="Q54" s="248"/>
      <c r="R54" s="247"/>
      <c r="S54" s="248"/>
      <c r="T54" s="157"/>
      <c r="U54" s="341"/>
      <c r="V54" s="340">
        <f t="shared" si="6"/>
        <v>0</v>
      </c>
      <c r="W54" s="344">
        <f t="shared" si="7"/>
        <v>0</v>
      </c>
      <c r="X54" s="249"/>
      <c r="Y54" s="341">
        <v>0</v>
      </c>
      <c r="Z54" s="342">
        <f t="shared" si="8"/>
        <v>0</v>
      </c>
      <c r="AA54" s="252"/>
      <c r="AB54" s="141"/>
      <c r="AC54" s="295"/>
      <c r="AD54" s="156"/>
    </row>
    <row r="55" spans="1:30" ht="22.5" customHeight="1">
      <c r="A55" s="326">
        <f t="shared" si="2"/>
        <v>13</v>
      </c>
      <c r="B55" s="509"/>
      <c r="C55" s="46"/>
      <c r="D55" s="47"/>
      <c r="E55" s="512"/>
      <c r="F55" s="79"/>
      <c r="G55" s="167"/>
      <c r="H55" s="167"/>
      <c r="I55" s="167"/>
      <c r="J55" s="154"/>
      <c r="K55" s="573"/>
      <c r="L55" s="151"/>
      <c r="M55" s="248"/>
      <c r="N55" s="248"/>
      <c r="O55" s="248"/>
      <c r="P55" s="248"/>
      <c r="Q55" s="248"/>
      <c r="R55" s="247"/>
      <c r="S55" s="248"/>
      <c r="T55" s="157"/>
      <c r="U55" s="341"/>
      <c r="V55" s="340">
        <f t="shared" si="6"/>
        <v>0</v>
      </c>
      <c r="W55" s="344">
        <f t="shared" si="7"/>
        <v>0</v>
      </c>
      <c r="X55" s="249"/>
      <c r="Y55" s="341">
        <v>0</v>
      </c>
      <c r="Z55" s="342">
        <f t="shared" si="8"/>
        <v>0</v>
      </c>
      <c r="AA55" s="252"/>
      <c r="AB55" s="141"/>
      <c r="AC55" s="295"/>
      <c r="AD55" s="156"/>
    </row>
    <row r="56" spans="1:30" ht="22.5" customHeight="1">
      <c r="A56" s="326">
        <f t="shared" si="2"/>
        <v>14</v>
      </c>
      <c r="B56" s="509"/>
      <c r="C56" s="46"/>
      <c r="D56" s="47"/>
      <c r="E56" s="512"/>
      <c r="F56" s="79"/>
      <c r="G56" s="167"/>
      <c r="H56" s="167"/>
      <c r="I56" s="167"/>
      <c r="J56" s="154"/>
      <c r="K56" s="573"/>
      <c r="L56" s="151"/>
      <c r="M56" s="248"/>
      <c r="N56" s="248"/>
      <c r="O56" s="248"/>
      <c r="P56" s="248"/>
      <c r="Q56" s="248"/>
      <c r="R56" s="247"/>
      <c r="S56" s="248"/>
      <c r="T56" s="157"/>
      <c r="U56" s="341"/>
      <c r="V56" s="340">
        <f t="shared" si="6"/>
        <v>0</v>
      </c>
      <c r="W56" s="344">
        <f t="shared" si="7"/>
        <v>0</v>
      </c>
      <c r="X56" s="249"/>
      <c r="Y56" s="341">
        <v>0</v>
      </c>
      <c r="Z56" s="342">
        <f t="shared" si="8"/>
        <v>0</v>
      </c>
      <c r="AA56" s="252"/>
      <c r="AB56" s="141"/>
      <c r="AC56" s="295"/>
      <c r="AD56" s="156"/>
    </row>
    <row r="57" spans="1:30" ht="22.5" customHeight="1">
      <c r="A57" s="326">
        <f t="shared" si="2"/>
        <v>15</v>
      </c>
      <c r="B57" s="509"/>
      <c r="C57" s="46"/>
      <c r="D57" s="47"/>
      <c r="E57" s="512"/>
      <c r="F57" s="79"/>
      <c r="G57" s="167"/>
      <c r="H57" s="167"/>
      <c r="I57" s="167"/>
      <c r="J57" s="154"/>
      <c r="K57" s="573"/>
      <c r="L57" s="151"/>
      <c r="M57" s="248"/>
      <c r="N57" s="248"/>
      <c r="O57" s="248"/>
      <c r="P57" s="248"/>
      <c r="Q57" s="248"/>
      <c r="R57" s="247"/>
      <c r="S57" s="248"/>
      <c r="T57" s="157"/>
      <c r="U57" s="341"/>
      <c r="V57" s="340">
        <f t="shared" si="6"/>
        <v>0</v>
      </c>
      <c r="W57" s="344">
        <f t="shared" si="7"/>
        <v>0</v>
      </c>
      <c r="X57" s="249"/>
      <c r="Y57" s="341">
        <v>0</v>
      </c>
      <c r="Z57" s="342">
        <f t="shared" si="8"/>
        <v>0</v>
      </c>
      <c r="AA57" s="252"/>
      <c r="AB57" s="141"/>
      <c r="AC57" s="295"/>
      <c r="AD57" s="156"/>
    </row>
    <row r="58" spans="1:30" ht="22.5" customHeight="1">
      <c r="A58" s="326">
        <f t="shared" si="2"/>
        <v>16</v>
      </c>
      <c r="B58" s="509"/>
      <c r="C58" s="46"/>
      <c r="D58" s="47"/>
      <c r="E58" s="512"/>
      <c r="F58" s="79"/>
      <c r="G58" s="167"/>
      <c r="H58" s="167"/>
      <c r="I58" s="167"/>
      <c r="J58" s="154"/>
      <c r="K58" s="573"/>
      <c r="L58" s="151"/>
      <c r="M58" s="248"/>
      <c r="N58" s="248"/>
      <c r="O58" s="248"/>
      <c r="P58" s="248"/>
      <c r="Q58" s="248"/>
      <c r="R58" s="247"/>
      <c r="S58" s="248"/>
      <c r="T58" s="157"/>
      <c r="U58" s="341"/>
      <c r="V58" s="340">
        <f t="shared" si="6"/>
        <v>0</v>
      </c>
      <c r="W58" s="344">
        <f t="shared" si="7"/>
        <v>0</v>
      </c>
      <c r="X58" s="249"/>
      <c r="Y58" s="341">
        <v>0</v>
      </c>
      <c r="Z58" s="342">
        <f t="shared" si="8"/>
        <v>0</v>
      </c>
      <c r="AA58" s="252"/>
      <c r="AB58" s="141"/>
      <c r="AC58" s="295"/>
      <c r="AD58" s="156"/>
    </row>
    <row r="59" spans="1:30" ht="22.5" customHeight="1">
      <c r="A59" s="326">
        <f t="shared" si="2"/>
        <v>17</v>
      </c>
      <c r="B59" s="509"/>
      <c r="C59" s="46"/>
      <c r="D59" s="47"/>
      <c r="E59" s="512"/>
      <c r="F59" s="79"/>
      <c r="G59" s="167"/>
      <c r="H59" s="167"/>
      <c r="I59" s="167"/>
      <c r="J59" s="154"/>
      <c r="K59" s="573"/>
      <c r="L59" s="151"/>
      <c r="M59" s="248"/>
      <c r="N59" s="248"/>
      <c r="O59" s="248"/>
      <c r="P59" s="248"/>
      <c r="Q59" s="248"/>
      <c r="R59" s="247"/>
      <c r="S59" s="248"/>
      <c r="T59" s="157"/>
      <c r="U59" s="341"/>
      <c r="V59" s="340">
        <f t="shared" si="6"/>
        <v>0</v>
      </c>
      <c r="W59" s="344">
        <f t="shared" si="7"/>
        <v>0</v>
      </c>
      <c r="X59" s="249"/>
      <c r="Y59" s="341">
        <v>0</v>
      </c>
      <c r="Z59" s="342">
        <f t="shared" si="8"/>
        <v>0</v>
      </c>
      <c r="AA59" s="252"/>
      <c r="AB59" s="141"/>
      <c r="AC59" s="295"/>
      <c r="AD59" s="156"/>
    </row>
    <row r="60" spans="1:30" ht="22.5" customHeight="1">
      <c r="A60" s="326">
        <f t="shared" si="2"/>
        <v>18</v>
      </c>
      <c r="B60" s="509"/>
      <c r="C60" s="46"/>
      <c r="D60" s="47"/>
      <c r="E60" s="512"/>
      <c r="F60" s="79"/>
      <c r="G60" s="167"/>
      <c r="H60" s="167"/>
      <c r="I60" s="167"/>
      <c r="J60" s="154"/>
      <c r="K60" s="573"/>
      <c r="L60" s="151"/>
      <c r="M60" s="248"/>
      <c r="N60" s="248"/>
      <c r="O60" s="248"/>
      <c r="P60" s="248"/>
      <c r="Q60" s="248"/>
      <c r="R60" s="247"/>
      <c r="S60" s="248"/>
      <c r="T60" s="157"/>
      <c r="U60" s="341"/>
      <c r="V60" s="340">
        <f t="shared" si="6"/>
        <v>0</v>
      </c>
      <c r="W60" s="344">
        <f t="shared" si="7"/>
        <v>0</v>
      </c>
      <c r="X60" s="249"/>
      <c r="Y60" s="341">
        <v>0</v>
      </c>
      <c r="Z60" s="342">
        <f t="shared" si="8"/>
        <v>0</v>
      </c>
      <c r="AA60" s="252"/>
      <c r="AB60" s="141"/>
      <c r="AC60" s="295"/>
      <c r="AD60" s="156"/>
    </row>
    <row r="61" spans="1:30" ht="22.5" customHeight="1">
      <c r="A61" s="326">
        <f t="shared" si="2"/>
        <v>19</v>
      </c>
      <c r="B61" s="509"/>
      <c r="C61" s="46"/>
      <c r="D61" s="47"/>
      <c r="E61" s="512"/>
      <c r="F61" s="79"/>
      <c r="G61" s="167"/>
      <c r="H61" s="167"/>
      <c r="I61" s="167"/>
      <c r="J61" s="154"/>
      <c r="K61" s="573"/>
      <c r="L61" s="151"/>
      <c r="M61" s="248"/>
      <c r="N61" s="248"/>
      <c r="O61" s="248"/>
      <c r="P61" s="248"/>
      <c r="Q61" s="248"/>
      <c r="R61" s="247"/>
      <c r="S61" s="248"/>
      <c r="T61" s="157"/>
      <c r="U61" s="341"/>
      <c r="V61" s="340">
        <f t="shared" si="6"/>
        <v>0</v>
      </c>
      <c r="W61" s="344">
        <f t="shared" si="7"/>
        <v>0</v>
      </c>
      <c r="X61" s="249"/>
      <c r="Y61" s="341">
        <v>0</v>
      </c>
      <c r="Z61" s="342">
        <f t="shared" si="8"/>
        <v>0</v>
      </c>
      <c r="AA61" s="252"/>
      <c r="AB61" s="141"/>
      <c r="AC61" s="295"/>
      <c r="AD61" s="156"/>
    </row>
    <row r="62" spans="1:30" ht="22.5" customHeight="1">
      <c r="A62" s="326">
        <f t="shared" si="2"/>
        <v>20</v>
      </c>
      <c r="B62" s="509"/>
      <c r="C62" s="46"/>
      <c r="D62" s="47"/>
      <c r="E62" s="512"/>
      <c r="F62" s="79"/>
      <c r="G62" s="167"/>
      <c r="H62" s="167"/>
      <c r="I62" s="167"/>
      <c r="J62" s="154"/>
      <c r="K62" s="573"/>
      <c r="L62" s="151"/>
      <c r="M62" s="248"/>
      <c r="N62" s="248"/>
      <c r="O62" s="248"/>
      <c r="P62" s="248"/>
      <c r="Q62" s="248"/>
      <c r="R62" s="247"/>
      <c r="S62" s="248"/>
      <c r="T62" s="157"/>
      <c r="U62" s="341"/>
      <c r="V62" s="340">
        <f t="shared" si="6"/>
        <v>0</v>
      </c>
      <c r="W62" s="344">
        <f t="shared" si="7"/>
        <v>0</v>
      </c>
      <c r="X62" s="249"/>
      <c r="Y62" s="341">
        <v>0</v>
      </c>
      <c r="Z62" s="342">
        <f t="shared" si="8"/>
        <v>0</v>
      </c>
      <c r="AA62" s="252"/>
      <c r="AB62" s="141"/>
      <c r="AC62" s="295"/>
      <c r="AD62" s="156"/>
    </row>
    <row r="63" spans="1:30">
      <c r="M63" s="248"/>
      <c r="N63" s="248"/>
      <c r="O63" s="248"/>
      <c r="P63" s="248"/>
      <c r="Q63" s="248"/>
      <c r="R63" s="247"/>
      <c r="S63" s="248"/>
      <c r="V63" s="248"/>
      <c r="W63" s="194"/>
      <c r="X63" s="249"/>
      <c r="Y63" s="250"/>
      <c r="Z63" s="251"/>
      <c r="AA63" s="252"/>
    </row>
    <row r="64" spans="1:30">
      <c r="M64" s="248"/>
      <c r="N64" s="248"/>
      <c r="O64" s="248"/>
      <c r="P64" s="248"/>
      <c r="Q64" s="248"/>
      <c r="R64" s="247"/>
      <c r="S64" s="248"/>
      <c r="V64" s="248"/>
      <c r="W64" s="194"/>
      <c r="X64" s="249"/>
      <c r="Y64" s="250"/>
      <c r="Z64" s="251"/>
      <c r="AA64" s="252"/>
    </row>
    <row r="65" spans="13:27">
      <c r="M65" s="248"/>
      <c r="N65" s="248"/>
      <c r="O65" s="248"/>
      <c r="P65" s="248"/>
      <c r="Q65" s="248"/>
      <c r="R65" s="247"/>
      <c r="S65" s="248"/>
      <c r="V65" s="248"/>
      <c r="W65" s="194"/>
      <c r="X65" s="249"/>
      <c r="Y65" s="250"/>
      <c r="Z65" s="251"/>
      <c r="AA65" s="252"/>
    </row>
    <row r="66" spans="13:27">
      <c r="M66" s="248"/>
      <c r="N66" s="248"/>
      <c r="O66" s="248"/>
      <c r="P66" s="248"/>
      <c r="Q66" s="248"/>
      <c r="R66" s="247"/>
      <c r="S66" s="248"/>
      <c r="V66" s="248"/>
      <c r="W66" s="194"/>
      <c r="X66" s="249"/>
      <c r="Y66" s="250"/>
      <c r="Z66" s="251"/>
      <c r="AA66" s="252"/>
    </row>
    <row r="67" spans="13:27">
      <c r="M67" s="248"/>
      <c r="N67" s="248"/>
      <c r="O67" s="248"/>
      <c r="P67" s="248"/>
      <c r="Q67" s="248"/>
      <c r="R67" s="247"/>
      <c r="S67" s="248"/>
      <c r="V67" s="248"/>
      <c r="W67" s="194"/>
      <c r="X67" s="249"/>
      <c r="Y67" s="250"/>
      <c r="Z67" s="251"/>
      <c r="AA67" s="252"/>
    </row>
    <row r="68" spans="13:27">
      <c r="M68" s="248"/>
      <c r="N68" s="248"/>
      <c r="O68" s="248"/>
      <c r="P68" s="248"/>
      <c r="Q68" s="248"/>
      <c r="R68" s="247"/>
      <c r="S68" s="248"/>
      <c r="V68" s="248"/>
      <c r="W68" s="194"/>
      <c r="X68" s="249"/>
      <c r="Y68" s="250"/>
      <c r="Z68" s="251"/>
      <c r="AA68" s="252"/>
    </row>
    <row r="69" spans="13:27">
      <c r="M69" s="248"/>
      <c r="N69" s="248"/>
      <c r="O69" s="248"/>
      <c r="P69" s="248"/>
      <c r="Q69" s="248"/>
      <c r="R69" s="247"/>
      <c r="S69" s="248"/>
      <c r="V69" s="248"/>
      <c r="W69" s="194"/>
      <c r="X69" s="249"/>
      <c r="Y69" s="250"/>
      <c r="Z69" s="251"/>
      <c r="AA69" s="252"/>
    </row>
    <row r="70" spans="13:27">
      <c r="M70" s="248"/>
      <c r="N70" s="248"/>
      <c r="O70" s="248"/>
      <c r="P70" s="248"/>
      <c r="Q70" s="248"/>
      <c r="R70" s="247"/>
      <c r="S70" s="248"/>
      <c r="V70" s="248"/>
      <c r="W70" s="194"/>
      <c r="X70" s="249"/>
      <c r="Y70" s="250"/>
      <c r="Z70" s="251"/>
      <c r="AA70" s="252"/>
    </row>
    <row r="71" spans="13:27">
      <c r="M71" s="248"/>
      <c r="N71" s="248"/>
      <c r="O71" s="248"/>
      <c r="P71" s="248"/>
      <c r="Q71" s="248"/>
      <c r="R71" s="247"/>
      <c r="S71" s="248"/>
      <c r="V71" s="248"/>
      <c r="W71" s="194"/>
      <c r="X71" s="249"/>
      <c r="Y71" s="250"/>
      <c r="Z71" s="251"/>
      <c r="AA71" s="252"/>
    </row>
    <row r="72" spans="13:27">
      <c r="M72" s="248"/>
      <c r="N72" s="248"/>
      <c r="O72" s="248"/>
      <c r="P72" s="248"/>
      <c r="Q72" s="248"/>
      <c r="R72" s="247"/>
      <c r="S72" s="248"/>
      <c r="V72" s="248"/>
      <c r="W72" s="194"/>
      <c r="X72" s="249"/>
      <c r="Y72" s="250"/>
      <c r="Z72" s="251"/>
      <c r="AA72" s="252"/>
    </row>
    <row r="73" spans="13:27">
      <c r="M73" s="248"/>
      <c r="N73" s="248"/>
      <c r="O73" s="248"/>
      <c r="P73" s="248"/>
      <c r="Q73" s="248"/>
      <c r="R73" s="247"/>
      <c r="S73" s="248"/>
      <c r="V73" s="248"/>
      <c r="W73" s="194"/>
      <c r="X73" s="249"/>
      <c r="Y73" s="250"/>
      <c r="Z73" s="251"/>
      <c r="AA73" s="252"/>
    </row>
    <row r="74" spans="13:27">
      <c r="M74" s="248"/>
      <c r="N74" s="248"/>
      <c r="O74" s="248"/>
      <c r="P74" s="248"/>
      <c r="Q74" s="248"/>
      <c r="R74" s="247"/>
      <c r="S74" s="248"/>
      <c r="V74" s="248"/>
      <c r="W74" s="194"/>
      <c r="X74" s="249"/>
      <c r="Y74" s="250"/>
      <c r="Z74" s="251"/>
      <c r="AA74" s="252"/>
    </row>
    <row r="75" spans="13:27">
      <c r="M75" s="248"/>
      <c r="N75" s="248"/>
      <c r="O75" s="248"/>
      <c r="P75" s="248"/>
      <c r="Q75" s="248"/>
      <c r="R75" s="247"/>
      <c r="S75" s="248"/>
      <c r="V75" s="248"/>
      <c r="W75" s="194"/>
      <c r="X75" s="249"/>
      <c r="Y75" s="250"/>
      <c r="Z75" s="251"/>
      <c r="AA75" s="252"/>
    </row>
    <row r="76" spans="13:27">
      <c r="M76" s="248"/>
      <c r="N76" s="248"/>
      <c r="O76" s="248"/>
      <c r="P76" s="248"/>
      <c r="Q76" s="248"/>
      <c r="R76" s="247"/>
      <c r="S76" s="248"/>
      <c r="V76" s="248"/>
      <c r="W76" s="194"/>
      <c r="X76" s="249"/>
      <c r="Y76" s="250"/>
      <c r="Z76" s="251"/>
      <c r="AA76" s="252"/>
    </row>
    <row r="77" spans="13:27">
      <c r="M77" s="248"/>
      <c r="N77" s="248"/>
      <c r="O77" s="248"/>
      <c r="P77" s="248"/>
      <c r="Q77" s="248"/>
      <c r="R77" s="247"/>
      <c r="S77" s="248"/>
      <c r="V77" s="248"/>
      <c r="W77" s="194"/>
      <c r="X77" s="249"/>
      <c r="Y77" s="250"/>
      <c r="Z77" s="251"/>
      <c r="AA77" s="252"/>
    </row>
    <row r="78" spans="13:27">
      <c r="M78" s="248"/>
      <c r="N78" s="248"/>
      <c r="O78" s="248"/>
      <c r="P78" s="248"/>
      <c r="Q78" s="248"/>
      <c r="R78" s="247"/>
      <c r="S78" s="248"/>
      <c r="V78" s="248"/>
      <c r="W78" s="194"/>
      <c r="X78" s="249"/>
      <c r="Y78" s="250"/>
      <c r="Z78" s="251"/>
      <c r="AA78" s="252"/>
    </row>
    <row r="79" spans="13:27">
      <c r="M79" s="248"/>
      <c r="N79" s="248"/>
      <c r="O79" s="248"/>
      <c r="P79" s="248"/>
      <c r="Q79" s="248"/>
      <c r="R79" s="247"/>
      <c r="S79" s="248"/>
      <c r="V79" s="248"/>
      <c r="W79" s="194"/>
      <c r="X79" s="249"/>
      <c r="Y79" s="250"/>
      <c r="Z79" s="251"/>
      <c r="AA79" s="252"/>
    </row>
    <row r="80" spans="13:27">
      <c r="M80" s="248"/>
      <c r="N80" s="248"/>
      <c r="O80" s="248"/>
      <c r="P80" s="248"/>
      <c r="Q80" s="248"/>
      <c r="R80" s="247"/>
      <c r="S80" s="248"/>
      <c r="V80" s="248"/>
      <c r="W80" s="194"/>
      <c r="X80" s="249"/>
      <c r="Y80" s="250"/>
      <c r="Z80" s="251"/>
      <c r="AA80" s="252"/>
    </row>
    <row r="81" spans="13:27">
      <c r="M81" s="248"/>
      <c r="N81" s="248"/>
      <c r="O81" s="248"/>
      <c r="P81" s="248"/>
      <c r="Q81" s="248"/>
      <c r="R81" s="247"/>
      <c r="S81" s="248"/>
      <c r="V81" s="248"/>
      <c r="W81" s="194"/>
      <c r="X81" s="249"/>
      <c r="Y81" s="250"/>
      <c r="Z81" s="251"/>
      <c r="AA81" s="252"/>
    </row>
    <row r="82" spans="13:27">
      <c r="M82" s="248"/>
      <c r="N82" s="248"/>
      <c r="O82" s="248"/>
      <c r="P82" s="248"/>
      <c r="Q82" s="248"/>
      <c r="R82" s="247"/>
      <c r="S82" s="248"/>
      <c r="V82" s="248"/>
      <c r="W82" s="194"/>
      <c r="X82" s="249"/>
      <c r="Y82" s="250"/>
      <c r="Z82" s="251"/>
      <c r="AA82" s="252"/>
    </row>
    <row r="83" spans="13:27">
      <c r="M83" s="248"/>
      <c r="N83" s="248"/>
      <c r="O83" s="248"/>
      <c r="P83" s="248"/>
      <c r="Q83" s="248"/>
      <c r="R83" s="247"/>
      <c r="S83" s="248"/>
      <c r="V83" s="248"/>
      <c r="W83" s="194"/>
      <c r="X83" s="249"/>
      <c r="Y83" s="250"/>
      <c r="Z83" s="251"/>
      <c r="AA83" s="252"/>
    </row>
    <row r="84" spans="13:27">
      <c r="M84" s="248"/>
      <c r="N84" s="248"/>
      <c r="O84" s="248"/>
      <c r="P84" s="248"/>
      <c r="Q84" s="248"/>
      <c r="R84" s="247"/>
      <c r="S84" s="248"/>
      <c r="V84" s="248"/>
      <c r="W84" s="194"/>
      <c r="X84" s="249"/>
      <c r="Y84" s="250"/>
      <c r="Z84" s="251"/>
      <c r="AA84" s="252"/>
    </row>
    <row r="85" spans="13:27">
      <c r="M85" s="248"/>
      <c r="N85" s="248"/>
      <c r="O85" s="248"/>
      <c r="P85" s="248"/>
      <c r="Q85" s="248"/>
      <c r="R85" s="247"/>
      <c r="S85" s="248"/>
      <c r="V85" s="248"/>
      <c r="W85" s="194"/>
      <c r="X85" s="249"/>
      <c r="Y85" s="250"/>
      <c r="Z85" s="251"/>
      <c r="AA85" s="252"/>
    </row>
    <row r="86" spans="13:27">
      <c r="M86" s="248"/>
      <c r="N86" s="248"/>
      <c r="O86" s="248"/>
      <c r="P86" s="248"/>
      <c r="Q86" s="248"/>
      <c r="R86" s="247"/>
      <c r="S86" s="248"/>
      <c r="V86" s="248"/>
      <c r="W86" s="194"/>
      <c r="X86" s="249"/>
      <c r="Y86" s="250"/>
      <c r="Z86" s="251"/>
      <c r="AA86" s="252"/>
    </row>
    <row r="87" spans="13:27">
      <c r="M87" s="248"/>
      <c r="N87" s="248"/>
      <c r="O87" s="248"/>
      <c r="P87" s="248"/>
      <c r="Q87" s="248"/>
      <c r="R87" s="247"/>
      <c r="S87" s="248"/>
      <c r="V87" s="248"/>
      <c r="W87" s="194"/>
      <c r="X87" s="249"/>
      <c r="Y87" s="250"/>
      <c r="Z87" s="251"/>
      <c r="AA87" s="252"/>
    </row>
    <row r="88" spans="13:27">
      <c r="M88" s="248"/>
      <c r="N88" s="248"/>
      <c r="O88" s="248"/>
      <c r="P88" s="248"/>
      <c r="Q88" s="248"/>
      <c r="R88" s="247"/>
      <c r="S88" s="248"/>
      <c r="V88" s="248"/>
      <c r="W88" s="194"/>
      <c r="X88" s="249"/>
      <c r="Y88" s="250"/>
      <c r="Z88" s="251"/>
      <c r="AA88" s="252"/>
    </row>
    <row r="89" spans="13:27">
      <c r="M89" s="248"/>
      <c r="N89" s="248"/>
      <c r="O89" s="248"/>
      <c r="P89" s="248"/>
      <c r="Q89" s="248"/>
      <c r="R89" s="247"/>
      <c r="S89" s="248"/>
      <c r="V89" s="248"/>
      <c r="W89" s="194"/>
      <c r="X89" s="249"/>
      <c r="Y89" s="250"/>
      <c r="Z89" s="251"/>
      <c r="AA89" s="252"/>
    </row>
    <row r="90" spans="13:27">
      <c r="M90" s="248"/>
      <c r="N90" s="248"/>
      <c r="O90" s="248"/>
      <c r="P90" s="248"/>
      <c r="Q90" s="248"/>
      <c r="R90" s="247"/>
      <c r="S90" s="248"/>
      <c r="V90" s="248"/>
      <c r="W90" s="194"/>
      <c r="X90" s="249"/>
      <c r="Y90" s="250"/>
      <c r="Z90" s="251"/>
      <c r="AA90" s="252"/>
    </row>
    <row r="91" spans="13:27">
      <c r="M91" s="248"/>
      <c r="N91" s="248"/>
      <c r="O91" s="248"/>
      <c r="P91" s="248"/>
      <c r="Q91" s="248"/>
      <c r="R91" s="247"/>
      <c r="S91" s="248"/>
      <c r="V91" s="248"/>
      <c r="W91" s="194"/>
      <c r="X91" s="249"/>
      <c r="Y91" s="250"/>
      <c r="Z91" s="251"/>
      <c r="AA91" s="252"/>
    </row>
    <row r="92" spans="13:27">
      <c r="M92" s="248"/>
      <c r="N92" s="248"/>
      <c r="O92" s="248"/>
      <c r="P92" s="248"/>
      <c r="Q92" s="248"/>
      <c r="R92" s="247"/>
      <c r="S92" s="248"/>
      <c r="V92" s="248"/>
      <c r="W92" s="194"/>
      <c r="X92" s="249"/>
      <c r="Y92" s="250"/>
      <c r="Z92" s="251"/>
      <c r="AA92" s="252"/>
    </row>
    <row r="93" spans="13:27">
      <c r="M93" s="248"/>
      <c r="N93" s="248"/>
      <c r="O93" s="248"/>
      <c r="P93" s="248"/>
      <c r="Q93" s="248"/>
      <c r="R93" s="247"/>
      <c r="S93" s="248"/>
      <c r="V93" s="248"/>
      <c r="W93" s="194"/>
      <c r="X93" s="249"/>
      <c r="Y93" s="250"/>
      <c r="Z93" s="251"/>
      <c r="AA93" s="252"/>
    </row>
    <row r="94" spans="13:27">
      <c r="M94" s="248"/>
      <c r="N94" s="248"/>
      <c r="O94" s="248"/>
      <c r="P94" s="248"/>
      <c r="Q94" s="248"/>
      <c r="R94" s="247"/>
      <c r="S94" s="248"/>
      <c r="V94" s="248"/>
      <c r="W94" s="194"/>
      <c r="X94" s="249"/>
      <c r="Y94" s="250"/>
      <c r="Z94" s="251"/>
      <c r="AA94" s="252"/>
    </row>
    <row r="95" spans="13:27">
      <c r="M95" s="248"/>
      <c r="N95" s="248"/>
      <c r="O95" s="248"/>
      <c r="P95" s="248"/>
      <c r="Q95" s="248"/>
      <c r="R95" s="247"/>
      <c r="S95" s="248"/>
      <c r="V95" s="248"/>
      <c r="W95" s="194"/>
      <c r="X95" s="249"/>
      <c r="Y95" s="250"/>
      <c r="Z95" s="251"/>
      <c r="AA95" s="252"/>
    </row>
    <row r="96" spans="13:27">
      <c r="M96" s="248"/>
      <c r="N96" s="248"/>
      <c r="O96" s="248"/>
      <c r="P96" s="248"/>
      <c r="Q96" s="248"/>
      <c r="R96" s="247"/>
      <c r="S96" s="248"/>
      <c r="V96" s="248"/>
      <c r="W96" s="194"/>
      <c r="X96" s="249"/>
      <c r="Y96" s="250"/>
      <c r="Z96" s="251"/>
      <c r="AA96" s="252"/>
    </row>
    <row r="97" spans="13:27">
      <c r="M97" s="248"/>
      <c r="N97" s="248"/>
      <c r="O97" s="248"/>
      <c r="P97" s="248"/>
      <c r="Q97" s="248"/>
      <c r="R97" s="247"/>
      <c r="S97" s="248"/>
      <c r="V97" s="248"/>
      <c r="W97" s="194"/>
      <c r="X97" s="249"/>
      <c r="Y97" s="250"/>
      <c r="Z97" s="251"/>
      <c r="AA97" s="252"/>
    </row>
    <row r="98" spans="13:27">
      <c r="M98" s="248"/>
      <c r="N98" s="248"/>
      <c r="O98" s="248"/>
      <c r="P98" s="248"/>
      <c r="Q98" s="248"/>
      <c r="R98" s="247"/>
      <c r="S98" s="248"/>
      <c r="V98" s="248"/>
      <c r="W98" s="194"/>
      <c r="X98" s="249"/>
      <c r="Y98" s="250"/>
      <c r="Z98" s="251"/>
      <c r="AA98" s="252"/>
    </row>
    <row r="99" spans="13:27">
      <c r="M99" s="248"/>
      <c r="N99" s="248"/>
      <c r="O99" s="248"/>
      <c r="P99" s="248"/>
      <c r="Q99" s="248"/>
      <c r="R99" s="247"/>
      <c r="S99" s="248"/>
      <c r="V99" s="248"/>
      <c r="W99" s="194"/>
      <c r="X99" s="249"/>
      <c r="Y99" s="250"/>
      <c r="Z99" s="251"/>
      <c r="AA99" s="252"/>
    </row>
    <row r="100" spans="13:27">
      <c r="M100" s="248"/>
      <c r="N100" s="248"/>
      <c r="O100" s="248"/>
      <c r="P100" s="248"/>
      <c r="Q100" s="248"/>
      <c r="R100" s="247"/>
      <c r="S100" s="248"/>
      <c r="V100" s="248"/>
      <c r="W100" s="194"/>
      <c r="X100" s="249"/>
      <c r="Y100" s="250"/>
      <c r="Z100" s="251"/>
      <c r="AA100" s="252"/>
    </row>
    <row r="101" spans="13:27">
      <c r="M101" s="248"/>
      <c r="N101" s="248"/>
      <c r="O101" s="248"/>
      <c r="P101" s="248"/>
      <c r="Q101" s="248"/>
      <c r="R101" s="247"/>
      <c r="S101" s="248"/>
      <c r="V101" s="248"/>
      <c r="W101" s="194"/>
      <c r="X101" s="249"/>
      <c r="Y101" s="250"/>
      <c r="Z101" s="251"/>
      <c r="AA101" s="252"/>
    </row>
    <row r="102" spans="13:27">
      <c r="M102" s="248"/>
      <c r="N102" s="248"/>
      <c r="O102" s="248"/>
      <c r="P102" s="248"/>
      <c r="Q102" s="248"/>
      <c r="R102" s="247"/>
      <c r="S102" s="248"/>
      <c r="V102" s="248"/>
      <c r="W102" s="194"/>
      <c r="X102" s="249"/>
      <c r="Y102" s="250"/>
      <c r="Z102" s="251"/>
      <c r="AA102" s="252"/>
    </row>
    <row r="103" spans="13:27">
      <c r="M103" s="248"/>
      <c r="N103" s="248"/>
      <c r="O103" s="248"/>
      <c r="P103" s="248"/>
      <c r="Q103" s="248"/>
      <c r="R103" s="247"/>
      <c r="S103" s="248"/>
      <c r="V103" s="248"/>
      <c r="W103" s="194"/>
      <c r="X103" s="249"/>
      <c r="Y103" s="250"/>
      <c r="Z103" s="251"/>
      <c r="AA103" s="252"/>
    </row>
    <row r="104" spans="13:27">
      <c r="M104" s="248"/>
      <c r="N104" s="248"/>
      <c r="O104" s="248"/>
      <c r="P104" s="248"/>
      <c r="Q104" s="248"/>
      <c r="R104" s="247"/>
      <c r="S104" s="248"/>
      <c r="V104" s="248"/>
      <c r="W104" s="194"/>
      <c r="X104" s="249"/>
      <c r="Y104" s="250"/>
      <c r="Z104" s="251"/>
      <c r="AA104" s="252"/>
    </row>
    <row r="105" spans="13:27">
      <c r="M105" s="248"/>
      <c r="N105" s="248"/>
      <c r="O105" s="248"/>
      <c r="P105" s="248"/>
      <c r="Q105" s="248"/>
      <c r="R105" s="247"/>
      <c r="S105" s="248"/>
      <c r="V105" s="248"/>
      <c r="W105" s="194"/>
      <c r="X105" s="249"/>
      <c r="Y105" s="250"/>
      <c r="Z105" s="251"/>
      <c r="AA105" s="252"/>
    </row>
    <row r="106" spans="13:27">
      <c r="M106" s="248"/>
      <c r="N106" s="248"/>
      <c r="O106" s="248"/>
      <c r="P106" s="248"/>
      <c r="Q106" s="248"/>
      <c r="R106" s="247"/>
      <c r="S106" s="248"/>
      <c r="V106" s="248"/>
      <c r="W106" s="194"/>
      <c r="X106" s="249"/>
      <c r="Y106" s="250"/>
      <c r="Z106" s="251"/>
      <c r="AA106" s="252"/>
    </row>
    <row r="107" spans="13:27">
      <c r="M107" s="248"/>
      <c r="N107" s="248"/>
      <c r="O107" s="248"/>
      <c r="P107" s="248"/>
      <c r="Q107" s="248"/>
      <c r="R107" s="247"/>
      <c r="S107" s="248"/>
      <c r="V107" s="248"/>
      <c r="W107" s="194"/>
      <c r="X107" s="249"/>
      <c r="Y107" s="250"/>
      <c r="Z107" s="251"/>
      <c r="AA107" s="252"/>
    </row>
    <row r="108" spans="13:27">
      <c r="M108" s="248"/>
      <c r="N108" s="248"/>
      <c r="O108" s="248"/>
      <c r="P108" s="248"/>
      <c r="Q108" s="248"/>
      <c r="R108" s="247"/>
      <c r="S108" s="248"/>
      <c r="V108" s="248"/>
      <c r="W108" s="194"/>
      <c r="X108" s="249"/>
      <c r="Y108" s="250"/>
      <c r="Z108" s="251"/>
      <c r="AA108" s="252"/>
    </row>
    <row r="109" spans="13:27">
      <c r="M109" s="248"/>
      <c r="N109" s="248"/>
      <c r="O109" s="248"/>
      <c r="P109" s="248"/>
      <c r="Q109" s="248"/>
      <c r="R109" s="247"/>
      <c r="S109" s="248"/>
      <c r="V109" s="248"/>
      <c r="W109" s="194"/>
      <c r="X109" s="249"/>
      <c r="Y109" s="250"/>
      <c r="Z109" s="251"/>
      <c r="AA109" s="252"/>
    </row>
    <row r="110" spans="13:27">
      <c r="M110" s="248"/>
      <c r="N110" s="248"/>
      <c r="O110" s="248"/>
      <c r="P110" s="248"/>
      <c r="Q110" s="248"/>
      <c r="R110" s="247"/>
      <c r="S110" s="248"/>
      <c r="V110" s="248"/>
      <c r="W110" s="194"/>
      <c r="X110" s="249"/>
      <c r="Y110" s="250"/>
      <c r="Z110" s="251"/>
      <c r="AA110" s="252"/>
    </row>
    <row r="111" spans="13:27">
      <c r="M111" s="248"/>
      <c r="N111" s="248"/>
      <c r="O111" s="248"/>
      <c r="P111" s="248"/>
      <c r="Q111" s="248"/>
      <c r="R111" s="247"/>
      <c r="S111" s="248"/>
      <c r="V111" s="248"/>
      <c r="W111" s="194"/>
      <c r="X111" s="249"/>
      <c r="Y111" s="250"/>
      <c r="Z111" s="251"/>
      <c r="AA111" s="252"/>
    </row>
    <row r="112" spans="13:27">
      <c r="M112" s="248"/>
      <c r="N112" s="248"/>
      <c r="O112" s="248"/>
      <c r="P112" s="248"/>
      <c r="Q112" s="248"/>
      <c r="R112" s="247"/>
      <c r="S112" s="248"/>
      <c r="V112" s="248"/>
      <c r="W112" s="194"/>
      <c r="X112" s="249"/>
      <c r="Y112" s="250"/>
      <c r="Z112" s="251"/>
      <c r="AA112" s="252"/>
    </row>
    <row r="113" spans="13:27">
      <c r="M113" s="248"/>
      <c r="N113" s="248"/>
      <c r="O113" s="248"/>
      <c r="P113" s="248"/>
      <c r="Q113" s="248"/>
      <c r="R113" s="247"/>
      <c r="S113" s="248"/>
      <c r="V113" s="248"/>
      <c r="W113" s="194"/>
      <c r="X113" s="249"/>
      <c r="Y113" s="250"/>
      <c r="Z113" s="251"/>
      <c r="AA113" s="252"/>
    </row>
    <row r="114" spans="13:27">
      <c r="M114" s="248"/>
      <c r="N114" s="248"/>
      <c r="O114" s="248"/>
      <c r="P114" s="248"/>
      <c r="Q114" s="248"/>
      <c r="R114" s="247"/>
      <c r="S114" s="248"/>
      <c r="V114" s="248"/>
      <c r="W114" s="194"/>
      <c r="X114" s="249"/>
      <c r="Y114" s="250"/>
      <c r="Z114" s="251"/>
      <c r="AA114" s="252"/>
    </row>
    <row r="115" spans="13:27">
      <c r="M115" s="248"/>
      <c r="N115" s="248"/>
      <c r="O115" s="248"/>
      <c r="P115" s="248"/>
      <c r="Q115" s="248"/>
      <c r="R115" s="247"/>
      <c r="S115" s="248"/>
      <c r="V115" s="248"/>
      <c r="W115" s="194"/>
      <c r="X115" s="249"/>
      <c r="Y115" s="250"/>
      <c r="Z115" s="251"/>
      <c r="AA115" s="252"/>
    </row>
    <row r="116" spans="13:27">
      <c r="M116" s="248"/>
      <c r="N116" s="248"/>
      <c r="O116" s="248"/>
      <c r="P116" s="248"/>
      <c r="Q116" s="248"/>
      <c r="R116" s="247"/>
      <c r="S116" s="248"/>
      <c r="V116" s="248"/>
      <c r="W116" s="194"/>
      <c r="X116" s="249"/>
      <c r="Y116" s="250"/>
      <c r="Z116" s="251"/>
      <c r="AA116" s="252"/>
    </row>
    <row r="117" spans="13:27">
      <c r="M117" s="248"/>
      <c r="N117" s="248"/>
      <c r="O117" s="248"/>
      <c r="P117" s="248"/>
      <c r="Q117" s="248"/>
      <c r="R117" s="247"/>
      <c r="S117" s="248"/>
      <c r="V117" s="248"/>
      <c r="W117" s="194"/>
      <c r="X117" s="249"/>
      <c r="Y117" s="250"/>
      <c r="Z117" s="251"/>
      <c r="AA117" s="252"/>
    </row>
    <row r="118" spans="13:27">
      <c r="M118" s="248"/>
      <c r="N118" s="248"/>
      <c r="O118" s="248"/>
      <c r="P118" s="248"/>
      <c r="Q118" s="248"/>
      <c r="R118" s="247"/>
      <c r="S118" s="248"/>
      <c r="V118" s="248"/>
      <c r="W118" s="194"/>
      <c r="X118" s="249"/>
      <c r="Y118" s="250"/>
      <c r="Z118" s="251"/>
      <c r="AA118" s="252"/>
    </row>
    <row r="119" spans="13:27">
      <c r="M119" s="248"/>
      <c r="N119" s="248"/>
      <c r="O119" s="248"/>
      <c r="P119" s="248"/>
      <c r="Q119" s="248"/>
      <c r="R119" s="247"/>
      <c r="S119" s="248"/>
      <c r="V119" s="248"/>
      <c r="W119" s="194"/>
      <c r="X119" s="249"/>
      <c r="Y119" s="250"/>
      <c r="Z119" s="251"/>
      <c r="AA119" s="252"/>
    </row>
    <row r="120" spans="13:27">
      <c r="M120" s="248"/>
      <c r="N120" s="248"/>
      <c r="O120" s="248"/>
      <c r="P120" s="248"/>
      <c r="Q120" s="248"/>
      <c r="R120" s="247"/>
      <c r="S120" s="248"/>
      <c r="V120" s="248"/>
      <c r="W120" s="194"/>
      <c r="X120" s="249"/>
      <c r="Y120" s="250"/>
      <c r="Z120" s="251"/>
      <c r="AA120" s="252"/>
    </row>
    <row r="121" spans="13:27">
      <c r="M121" s="248"/>
      <c r="N121" s="248"/>
      <c r="O121" s="248"/>
      <c r="P121" s="248"/>
      <c r="Q121" s="248"/>
      <c r="R121" s="247"/>
      <c r="S121" s="248"/>
      <c r="V121" s="248"/>
      <c r="W121" s="194"/>
      <c r="X121" s="249"/>
      <c r="Y121" s="250"/>
      <c r="Z121" s="251"/>
      <c r="AA121" s="252"/>
    </row>
    <row r="122" spans="13:27">
      <c r="M122" s="248"/>
      <c r="N122" s="248"/>
      <c r="O122" s="248"/>
      <c r="P122" s="248"/>
      <c r="Q122" s="248"/>
      <c r="R122" s="247"/>
      <c r="S122" s="248"/>
      <c r="V122" s="248"/>
      <c r="W122" s="194"/>
      <c r="X122" s="249"/>
      <c r="Y122" s="250"/>
      <c r="Z122" s="251"/>
      <c r="AA122" s="252"/>
    </row>
    <row r="123" spans="13:27">
      <c r="M123" s="248"/>
      <c r="N123" s="248"/>
      <c r="O123" s="248"/>
      <c r="P123" s="248"/>
      <c r="Q123" s="248"/>
      <c r="R123" s="247"/>
      <c r="S123" s="248"/>
      <c r="V123" s="248"/>
      <c r="W123" s="194"/>
      <c r="X123" s="249"/>
      <c r="Y123" s="250"/>
      <c r="Z123" s="251"/>
      <c r="AA123" s="252"/>
    </row>
    <row r="124" spans="13:27">
      <c r="M124" s="248"/>
      <c r="N124" s="248"/>
      <c r="O124" s="248"/>
      <c r="P124" s="248"/>
      <c r="Q124" s="248"/>
      <c r="R124" s="247"/>
      <c r="S124" s="248"/>
      <c r="V124" s="248"/>
      <c r="W124" s="194"/>
      <c r="X124" s="249"/>
      <c r="Y124" s="250"/>
      <c r="Z124" s="251"/>
      <c r="AA124" s="252"/>
    </row>
    <row r="125" spans="13:27">
      <c r="M125" s="248"/>
      <c r="N125" s="248"/>
      <c r="O125" s="248"/>
      <c r="P125" s="248"/>
      <c r="Q125" s="248"/>
      <c r="R125" s="247"/>
      <c r="S125" s="248"/>
      <c r="V125" s="248"/>
      <c r="W125" s="194"/>
      <c r="X125" s="249"/>
      <c r="Y125" s="250"/>
      <c r="Z125" s="251"/>
      <c r="AA125" s="252"/>
    </row>
    <row r="126" spans="13:27">
      <c r="M126" s="248"/>
      <c r="N126" s="248"/>
      <c r="O126" s="248"/>
      <c r="P126" s="248"/>
      <c r="Q126" s="248"/>
      <c r="R126" s="247"/>
      <c r="S126" s="248"/>
      <c r="V126" s="248"/>
      <c r="W126" s="194"/>
      <c r="X126" s="249"/>
      <c r="Y126" s="250"/>
      <c r="Z126" s="251"/>
      <c r="AA126" s="252"/>
    </row>
    <row r="127" spans="13:27">
      <c r="M127" s="248"/>
      <c r="N127" s="248"/>
      <c r="O127" s="248"/>
      <c r="P127" s="248"/>
      <c r="Q127" s="248"/>
      <c r="R127" s="247"/>
      <c r="S127" s="248"/>
      <c r="V127" s="248"/>
      <c r="W127" s="194"/>
      <c r="X127" s="249"/>
      <c r="Y127" s="250"/>
      <c r="Z127" s="251"/>
      <c r="AA127" s="252"/>
    </row>
    <row r="128" spans="13:27">
      <c r="M128" s="248"/>
      <c r="N128" s="248"/>
      <c r="O128" s="248"/>
      <c r="P128" s="248"/>
      <c r="Q128" s="248"/>
      <c r="R128" s="247"/>
      <c r="S128" s="248"/>
      <c r="V128" s="248"/>
      <c r="W128" s="194"/>
      <c r="X128" s="249"/>
      <c r="Y128" s="250"/>
      <c r="Z128" s="251"/>
      <c r="AA128" s="252"/>
    </row>
    <row r="129" spans="13:27">
      <c r="M129" s="248"/>
      <c r="N129" s="248"/>
      <c r="O129" s="248"/>
      <c r="P129" s="248"/>
      <c r="Q129" s="248"/>
      <c r="R129" s="247"/>
      <c r="S129" s="248"/>
      <c r="V129" s="248"/>
      <c r="W129" s="194"/>
      <c r="X129" s="249"/>
      <c r="Y129" s="250"/>
      <c r="Z129" s="251"/>
      <c r="AA129" s="252"/>
    </row>
    <row r="130" spans="13:27">
      <c r="M130" s="248"/>
      <c r="N130" s="248"/>
      <c r="O130" s="248"/>
      <c r="P130" s="248"/>
      <c r="Q130" s="248"/>
      <c r="R130" s="247"/>
      <c r="S130" s="248"/>
      <c r="V130" s="248"/>
      <c r="W130" s="194"/>
      <c r="X130" s="249"/>
      <c r="Y130" s="250"/>
      <c r="Z130" s="251"/>
      <c r="AA130" s="252"/>
    </row>
    <row r="131" spans="13:27">
      <c r="M131" s="248"/>
      <c r="N131" s="248"/>
      <c r="O131" s="248"/>
      <c r="P131" s="248"/>
      <c r="Q131" s="248"/>
      <c r="R131" s="247"/>
      <c r="S131" s="248"/>
      <c r="V131" s="248"/>
      <c r="W131" s="194"/>
      <c r="X131" s="249"/>
      <c r="Y131" s="250"/>
      <c r="Z131" s="251"/>
      <c r="AA131" s="252"/>
    </row>
    <row r="132" spans="13:27">
      <c r="M132" s="248"/>
      <c r="N132" s="248"/>
      <c r="O132" s="248"/>
      <c r="P132" s="248"/>
      <c r="Q132" s="248"/>
      <c r="R132" s="247"/>
      <c r="S132" s="248"/>
      <c r="V132" s="248"/>
      <c r="W132" s="194"/>
      <c r="X132" s="249"/>
      <c r="Y132" s="250"/>
      <c r="Z132" s="251"/>
      <c r="AA132" s="252"/>
    </row>
    <row r="133" spans="13:27">
      <c r="M133" s="248"/>
      <c r="N133" s="248"/>
      <c r="O133" s="248"/>
      <c r="P133" s="248"/>
      <c r="Q133" s="248"/>
      <c r="R133" s="247"/>
      <c r="S133" s="248"/>
      <c r="V133" s="248"/>
      <c r="W133" s="194"/>
      <c r="X133" s="249"/>
      <c r="Y133" s="250"/>
      <c r="Z133" s="251"/>
      <c r="AA133" s="252"/>
    </row>
    <row r="134" spans="13:27">
      <c r="M134" s="248"/>
      <c r="N134" s="248"/>
      <c r="O134" s="248"/>
      <c r="P134" s="248"/>
      <c r="Q134" s="248"/>
      <c r="R134" s="247"/>
      <c r="S134" s="248"/>
      <c r="V134" s="248"/>
      <c r="W134" s="194"/>
      <c r="X134" s="249"/>
      <c r="Y134" s="250"/>
      <c r="Z134" s="251"/>
      <c r="AA134" s="252"/>
    </row>
    <row r="135" spans="13:27">
      <c r="M135" s="248"/>
      <c r="N135" s="248"/>
      <c r="O135" s="248"/>
      <c r="P135" s="248"/>
      <c r="Q135" s="248"/>
      <c r="R135" s="247"/>
      <c r="S135" s="248"/>
      <c r="V135" s="248"/>
      <c r="W135" s="194"/>
      <c r="X135" s="249"/>
      <c r="Y135" s="250"/>
      <c r="Z135" s="251"/>
      <c r="AA135" s="252"/>
    </row>
    <row r="136" spans="13:27">
      <c r="M136" s="248"/>
      <c r="N136" s="248"/>
      <c r="O136" s="248"/>
      <c r="P136" s="248"/>
      <c r="Q136" s="248"/>
      <c r="R136" s="247"/>
      <c r="S136" s="248"/>
      <c r="V136" s="248"/>
      <c r="W136" s="194"/>
      <c r="X136" s="249"/>
      <c r="Y136" s="250"/>
      <c r="Z136" s="251"/>
      <c r="AA136" s="252"/>
    </row>
    <row r="137" spans="13:27">
      <c r="M137" s="248"/>
      <c r="N137" s="248"/>
      <c r="O137" s="248"/>
      <c r="P137" s="248"/>
      <c r="Q137" s="248"/>
      <c r="R137" s="247"/>
      <c r="S137" s="248"/>
      <c r="V137" s="248"/>
      <c r="W137" s="194"/>
      <c r="X137" s="249"/>
      <c r="Y137" s="250"/>
      <c r="Z137" s="251"/>
      <c r="AA137" s="252"/>
    </row>
    <row r="138" spans="13:27">
      <c r="M138" s="248"/>
      <c r="N138" s="248"/>
      <c r="O138" s="248"/>
      <c r="P138" s="248"/>
      <c r="Q138" s="248"/>
      <c r="R138" s="247"/>
      <c r="S138" s="248"/>
      <c r="V138" s="248"/>
      <c r="W138" s="194"/>
      <c r="X138" s="249"/>
      <c r="Y138" s="250"/>
      <c r="Z138" s="251"/>
      <c r="AA138" s="252"/>
    </row>
    <row r="139" spans="13:27">
      <c r="M139" s="248"/>
      <c r="N139" s="248"/>
      <c r="O139" s="248"/>
      <c r="P139" s="248"/>
      <c r="Q139" s="248"/>
      <c r="R139" s="247"/>
      <c r="S139" s="248"/>
      <c r="V139" s="248"/>
      <c r="W139" s="194"/>
      <c r="X139" s="249"/>
      <c r="Y139" s="250"/>
      <c r="Z139" s="251"/>
      <c r="AA139" s="252"/>
    </row>
    <row r="140" spans="13:27">
      <c r="M140" s="248"/>
      <c r="N140" s="248"/>
      <c r="O140" s="248"/>
      <c r="P140" s="248"/>
      <c r="Q140" s="248"/>
      <c r="R140" s="247"/>
      <c r="S140" s="248"/>
      <c r="V140" s="248"/>
      <c r="W140" s="194"/>
      <c r="X140" s="249"/>
      <c r="Y140" s="250"/>
      <c r="Z140" s="251"/>
      <c r="AA140" s="252"/>
    </row>
    <row r="141" spans="13:27">
      <c r="M141" s="248"/>
      <c r="N141" s="248"/>
      <c r="O141" s="248"/>
      <c r="P141" s="248"/>
      <c r="Q141" s="248"/>
      <c r="R141" s="247"/>
      <c r="S141" s="248"/>
      <c r="V141" s="248"/>
      <c r="W141" s="194"/>
      <c r="X141" s="249"/>
      <c r="Y141" s="250"/>
      <c r="Z141" s="251"/>
      <c r="AA141" s="252"/>
    </row>
    <row r="142" spans="13:27">
      <c r="M142" s="248"/>
      <c r="N142" s="248"/>
      <c r="O142" s="248"/>
      <c r="P142" s="248"/>
      <c r="Q142" s="248"/>
      <c r="R142" s="247"/>
      <c r="S142" s="248"/>
      <c r="V142" s="248"/>
      <c r="W142" s="194"/>
      <c r="X142" s="249"/>
      <c r="Y142" s="250"/>
      <c r="Z142" s="251"/>
      <c r="AA142" s="252"/>
    </row>
    <row r="143" spans="13:27">
      <c r="M143" s="248"/>
      <c r="N143" s="248"/>
      <c r="O143" s="248"/>
      <c r="P143" s="248"/>
      <c r="Q143" s="248"/>
      <c r="R143" s="247"/>
      <c r="S143" s="248"/>
      <c r="V143" s="248"/>
      <c r="W143" s="194"/>
      <c r="X143" s="249"/>
      <c r="Y143" s="250"/>
      <c r="Z143" s="251"/>
      <c r="AA143" s="252"/>
    </row>
    <row r="144" spans="13:27">
      <c r="M144" s="248"/>
      <c r="N144" s="248"/>
      <c r="O144" s="248"/>
      <c r="P144" s="248"/>
      <c r="Q144" s="248"/>
      <c r="R144" s="247"/>
      <c r="S144" s="248"/>
      <c r="V144" s="248"/>
      <c r="W144" s="194"/>
      <c r="X144" s="249"/>
      <c r="Y144" s="250"/>
      <c r="Z144" s="251"/>
      <c r="AA144" s="252"/>
    </row>
    <row r="145" spans="13:27">
      <c r="M145" s="248"/>
      <c r="N145" s="248"/>
      <c r="O145" s="248"/>
      <c r="P145" s="248"/>
      <c r="Q145" s="248"/>
      <c r="R145" s="247"/>
      <c r="S145" s="248"/>
      <c r="V145" s="248"/>
      <c r="W145" s="194"/>
      <c r="X145" s="249"/>
      <c r="Y145" s="250"/>
      <c r="Z145" s="251"/>
      <c r="AA145" s="252"/>
    </row>
    <row r="146" spans="13:27">
      <c r="M146" s="248"/>
      <c r="N146" s="248"/>
      <c r="O146" s="248"/>
      <c r="P146" s="248"/>
      <c r="Q146" s="248"/>
      <c r="R146" s="247"/>
      <c r="S146" s="248"/>
      <c r="V146" s="248"/>
      <c r="W146" s="194"/>
      <c r="X146" s="249"/>
      <c r="Y146" s="250"/>
      <c r="Z146" s="251"/>
      <c r="AA146" s="252"/>
    </row>
    <row r="147" spans="13:27">
      <c r="M147" s="248"/>
      <c r="N147" s="248"/>
      <c r="O147" s="248"/>
      <c r="P147" s="248"/>
      <c r="Q147" s="248"/>
      <c r="R147" s="247"/>
      <c r="S147" s="248"/>
      <c r="V147" s="248"/>
      <c r="W147" s="194"/>
      <c r="X147" s="249"/>
      <c r="Y147" s="250"/>
      <c r="Z147" s="251"/>
      <c r="AA147" s="252"/>
    </row>
    <row r="148" spans="13:27">
      <c r="M148" s="248"/>
      <c r="N148" s="248"/>
      <c r="O148" s="248"/>
      <c r="P148" s="248"/>
      <c r="Q148" s="248"/>
      <c r="R148" s="247"/>
      <c r="S148" s="248"/>
      <c r="V148" s="248"/>
      <c r="W148" s="194"/>
      <c r="X148" s="249"/>
      <c r="Y148" s="250"/>
      <c r="Z148" s="251"/>
      <c r="AA148" s="252"/>
    </row>
    <row r="149" spans="13:27">
      <c r="M149" s="248"/>
      <c r="N149" s="248"/>
      <c r="O149" s="248"/>
      <c r="P149" s="248"/>
      <c r="Q149" s="248"/>
      <c r="R149" s="247"/>
      <c r="S149" s="248"/>
      <c r="V149" s="248"/>
      <c r="W149" s="194"/>
      <c r="X149" s="249"/>
      <c r="Y149" s="250"/>
      <c r="Z149" s="251"/>
      <c r="AA149" s="252"/>
    </row>
    <row r="150" spans="13:27">
      <c r="M150" s="248"/>
      <c r="N150" s="248"/>
      <c r="O150" s="248"/>
      <c r="P150" s="248"/>
      <c r="Q150" s="248"/>
      <c r="R150" s="247"/>
      <c r="S150" s="248"/>
      <c r="V150" s="248"/>
      <c r="W150" s="194"/>
      <c r="X150" s="249"/>
      <c r="Y150" s="250"/>
      <c r="Z150" s="251"/>
      <c r="AA150" s="252"/>
    </row>
    <row r="151" spans="13:27">
      <c r="M151" s="248"/>
      <c r="N151" s="248"/>
      <c r="O151" s="248"/>
      <c r="P151" s="248"/>
      <c r="Q151" s="248"/>
      <c r="R151" s="247"/>
      <c r="S151" s="248"/>
      <c r="V151" s="248"/>
      <c r="W151" s="194"/>
      <c r="X151" s="249"/>
      <c r="Y151" s="250"/>
      <c r="Z151" s="251"/>
      <c r="AA151" s="252"/>
    </row>
    <row r="152" spans="13:27">
      <c r="M152" s="248"/>
      <c r="N152" s="248"/>
      <c r="O152" s="248"/>
      <c r="P152" s="248"/>
      <c r="Q152" s="248"/>
      <c r="R152" s="247"/>
      <c r="S152" s="248"/>
      <c r="V152" s="248"/>
      <c r="W152" s="194"/>
      <c r="X152" s="249"/>
      <c r="Y152" s="250"/>
      <c r="Z152" s="251"/>
      <c r="AA152" s="252"/>
    </row>
    <row r="153" spans="13:27">
      <c r="M153" s="248"/>
      <c r="N153" s="248"/>
      <c r="O153" s="248"/>
      <c r="P153" s="248"/>
      <c r="Q153" s="248"/>
      <c r="R153" s="247"/>
      <c r="S153" s="248"/>
      <c r="V153" s="248"/>
      <c r="W153" s="194"/>
      <c r="X153" s="249"/>
      <c r="Y153" s="250"/>
      <c r="Z153" s="251"/>
      <c r="AA153" s="252"/>
    </row>
    <row r="154" spans="13:27">
      <c r="M154" s="248"/>
      <c r="N154" s="248"/>
      <c r="O154" s="248"/>
      <c r="P154" s="248"/>
      <c r="Q154" s="248"/>
      <c r="R154" s="247"/>
      <c r="S154" s="248"/>
      <c r="V154" s="248"/>
      <c r="W154" s="194"/>
      <c r="X154" s="249"/>
      <c r="Y154" s="250"/>
      <c r="Z154" s="251"/>
      <c r="AA154" s="252"/>
    </row>
    <row r="155" spans="13:27">
      <c r="M155" s="248"/>
      <c r="N155" s="248"/>
      <c r="O155" s="248"/>
      <c r="P155" s="248"/>
      <c r="Q155" s="248"/>
      <c r="R155" s="247"/>
      <c r="S155" s="248"/>
      <c r="V155" s="248"/>
      <c r="W155" s="194"/>
      <c r="X155" s="249"/>
      <c r="Y155" s="250"/>
      <c r="Z155" s="251"/>
      <c r="AA155" s="252"/>
    </row>
    <row r="156" spans="13:27">
      <c r="M156" s="248"/>
      <c r="N156" s="248"/>
      <c r="O156" s="248"/>
      <c r="P156" s="248"/>
      <c r="Q156" s="248"/>
      <c r="R156" s="247"/>
      <c r="S156" s="248"/>
      <c r="V156" s="248"/>
      <c r="W156" s="194"/>
      <c r="X156" s="249"/>
      <c r="Y156" s="250"/>
      <c r="Z156" s="251"/>
      <c r="AA156" s="252"/>
    </row>
    <row r="157" spans="13:27">
      <c r="M157" s="248"/>
      <c r="N157" s="248"/>
      <c r="O157" s="248"/>
      <c r="P157" s="248"/>
      <c r="Q157" s="248"/>
      <c r="R157" s="247"/>
      <c r="S157" s="248"/>
      <c r="V157" s="248"/>
      <c r="W157" s="194"/>
      <c r="X157" s="249"/>
      <c r="Y157" s="250"/>
      <c r="Z157" s="251"/>
      <c r="AA157" s="252"/>
    </row>
    <row r="158" spans="13:27">
      <c r="M158" s="248"/>
      <c r="N158" s="248"/>
      <c r="O158" s="248"/>
      <c r="P158" s="248"/>
      <c r="Q158" s="248"/>
      <c r="R158" s="247"/>
      <c r="S158" s="248"/>
      <c r="V158" s="248"/>
      <c r="W158" s="194"/>
      <c r="X158" s="249"/>
      <c r="Y158" s="250"/>
      <c r="Z158" s="251"/>
      <c r="AA158" s="252"/>
    </row>
    <row r="159" spans="13:27">
      <c r="M159" s="248"/>
      <c r="N159" s="248"/>
      <c r="O159" s="248"/>
      <c r="P159" s="248"/>
      <c r="Q159" s="248"/>
      <c r="R159" s="247"/>
      <c r="S159" s="248"/>
      <c r="V159" s="248"/>
      <c r="W159" s="194"/>
      <c r="X159" s="249"/>
      <c r="Y159" s="250"/>
      <c r="Z159" s="251"/>
      <c r="AA159" s="252"/>
    </row>
    <row r="160" spans="13:27">
      <c r="M160" s="248"/>
      <c r="N160" s="248"/>
      <c r="O160" s="248"/>
      <c r="P160" s="248"/>
      <c r="Q160" s="248"/>
      <c r="R160" s="247"/>
      <c r="S160" s="248"/>
      <c r="V160" s="248"/>
      <c r="W160" s="194"/>
      <c r="X160" s="249"/>
      <c r="Y160" s="250"/>
      <c r="Z160" s="251"/>
      <c r="AA160" s="252"/>
    </row>
    <row r="161" spans="13:27">
      <c r="M161" s="248"/>
      <c r="N161" s="248"/>
      <c r="O161" s="248"/>
      <c r="P161" s="248"/>
      <c r="Q161" s="248"/>
      <c r="R161" s="247"/>
      <c r="S161" s="248"/>
      <c r="V161" s="248"/>
      <c r="W161" s="194"/>
      <c r="X161" s="249"/>
      <c r="Y161" s="250"/>
      <c r="Z161" s="251"/>
      <c r="AA161" s="252"/>
    </row>
    <row r="162" spans="13:27">
      <c r="M162" s="248"/>
      <c r="N162" s="248"/>
      <c r="O162" s="248"/>
      <c r="P162" s="248"/>
      <c r="Q162" s="248"/>
      <c r="R162" s="247"/>
      <c r="S162" s="248"/>
      <c r="V162" s="248"/>
      <c r="W162" s="194"/>
      <c r="X162" s="249"/>
      <c r="Y162" s="250"/>
      <c r="Z162" s="251"/>
      <c r="AA162" s="252"/>
    </row>
    <row r="163" spans="13:27">
      <c r="M163" s="248"/>
      <c r="N163" s="248"/>
      <c r="O163" s="248"/>
      <c r="P163" s="248"/>
      <c r="Q163" s="248"/>
      <c r="R163" s="247"/>
      <c r="S163" s="248"/>
      <c r="V163" s="248"/>
      <c r="W163" s="194"/>
      <c r="X163" s="249"/>
      <c r="Y163" s="250"/>
      <c r="Z163" s="251"/>
      <c r="AA163" s="252"/>
    </row>
    <row r="164" spans="13:27">
      <c r="M164" s="248"/>
      <c r="N164" s="248"/>
      <c r="O164" s="248"/>
      <c r="P164" s="248"/>
      <c r="Q164" s="248"/>
      <c r="R164" s="247"/>
      <c r="S164" s="248"/>
      <c r="V164" s="248"/>
      <c r="W164" s="194"/>
      <c r="X164" s="249"/>
      <c r="Y164" s="250"/>
      <c r="Z164" s="251"/>
      <c r="AA164" s="252"/>
    </row>
    <row r="165" spans="13:27">
      <c r="M165" s="248"/>
      <c r="N165" s="248"/>
      <c r="O165" s="248"/>
      <c r="P165" s="248"/>
      <c r="Q165" s="248"/>
      <c r="R165" s="247"/>
      <c r="S165" s="248"/>
      <c r="V165" s="248"/>
      <c r="W165" s="194"/>
      <c r="X165" s="249"/>
      <c r="Y165" s="250"/>
      <c r="Z165" s="251"/>
      <c r="AA165" s="252"/>
    </row>
    <row r="166" spans="13:27">
      <c r="M166" s="248"/>
      <c r="N166" s="248"/>
      <c r="O166" s="248"/>
      <c r="P166" s="248"/>
      <c r="Q166" s="248"/>
      <c r="R166" s="247"/>
      <c r="S166" s="248"/>
      <c r="V166" s="248"/>
      <c r="W166" s="194"/>
      <c r="X166" s="249"/>
      <c r="Y166" s="250"/>
      <c r="Z166" s="251"/>
      <c r="AA166" s="252"/>
    </row>
    <row r="167" spans="13:27">
      <c r="M167" s="248"/>
      <c r="N167" s="248"/>
      <c r="O167" s="248"/>
      <c r="P167" s="248"/>
      <c r="Q167" s="248"/>
      <c r="R167" s="247"/>
      <c r="S167" s="248"/>
      <c r="V167" s="248"/>
      <c r="W167" s="194"/>
      <c r="X167" s="249"/>
      <c r="Y167" s="250"/>
      <c r="Z167" s="251"/>
      <c r="AA167" s="252"/>
    </row>
    <row r="168" spans="13:27">
      <c r="M168" s="248"/>
      <c r="N168" s="248"/>
      <c r="O168" s="248"/>
      <c r="P168" s="248"/>
      <c r="Q168" s="248"/>
      <c r="R168" s="247"/>
      <c r="S168" s="248"/>
      <c r="V168" s="248"/>
      <c r="W168" s="194"/>
      <c r="X168" s="249"/>
      <c r="Y168" s="250"/>
      <c r="Z168" s="251"/>
      <c r="AA168" s="252"/>
    </row>
    <row r="169" spans="13:27">
      <c r="M169" s="248"/>
      <c r="N169" s="248"/>
      <c r="O169" s="248"/>
      <c r="P169" s="248"/>
      <c r="Q169" s="248"/>
      <c r="R169" s="247"/>
      <c r="S169" s="248"/>
      <c r="V169" s="248"/>
      <c r="W169" s="194"/>
      <c r="X169" s="249"/>
      <c r="Y169" s="250"/>
      <c r="Z169" s="251"/>
      <c r="AA169" s="252"/>
    </row>
    <row r="170" spans="13:27">
      <c r="M170" s="248"/>
      <c r="N170" s="248"/>
      <c r="O170" s="248"/>
      <c r="P170" s="248"/>
      <c r="Q170" s="248"/>
      <c r="R170" s="247"/>
      <c r="S170" s="248"/>
      <c r="V170" s="248"/>
      <c r="W170" s="194"/>
      <c r="X170" s="249"/>
      <c r="Y170" s="250"/>
      <c r="Z170" s="251"/>
      <c r="AA170" s="252"/>
    </row>
    <row r="171" spans="13:27">
      <c r="M171" s="248"/>
      <c r="N171" s="248"/>
      <c r="O171" s="248"/>
      <c r="P171" s="248"/>
      <c r="Q171" s="248"/>
      <c r="R171" s="247"/>
      <c r="S171" s="248"/>
      <c r="V171" s="248"/>
      <c r="W171" s="194"/>
      <c r="X171" s="249"/>
      <c r="Y171" s="250"/>
      <c r="Z171" s="251"/>
      <c r="AA171" s="252"/>
    </row>
    <row r="172" spans="13:27">
      <c r="M172" s="248"/>
      <c r="N172" s="248"/>
      <c r="O172" s="248"/>
      <c r="P172" s="248"/>
      <c r="Q172" s="248"/>
      <c r="R172" s="247"/>
      <c r="S172" s="248"/>
      <c r="V172" s="248"/>
      <c r="W172" s="194"/>
      <c r="X172" s="249"/>
      <c r="Y172" s="250"/>
      <c r="Z172" s="251"/>
      <c r="AA172" s="252"/>
    </row>
    <row r="173" spans="13:27">
      <c r="M173" s="248"/>
      <c r="N173" s="248"/>
      <c r="O173" s="248"/>
      <c r="P173" s="248"/>
      <c r="Q173" s="248"/>
      <c r="R173" s="247"/>
      <c r="S173" s="248"/>
      <c r="V173" s="248"/>
      <c r="W173" s="194"/>
      <c r="X173" s="249"/>
      <c r="Y173" s="250"/>
      <c r="Z173" s="251"/>
      <c r="AA173" s="252"/>
    </row>
    <row r="174" spans="13:27">
      <c r="M174" s="248"/>
      <c r="N174" s="248"/>
      <c r="O174" s="248"/>
      <c r="P174" s="248"/>
      <c r="Q174" s="248"/>
      <c r="R174" s="247"/>
      <c r="S174" s="248"/>
      <c r="V174" s="248"/>
      <c r="W174" s="194"/>
      <c r="X174" s="249"/>
      <c r="Y174" s="250"/>
      <c r="Z174" s="251"/>
      <c r="AA174" s="252"/>
    </row>
    <row r="175" spans="13:27">
      <c r="M175" s="248"/>
      <c r="N175" s="248"/>
      <c r="O175" s="248"/>
      <c r="P175" s="248"/>
      <c r="Q175" s="248"/>
      <c r="R175" s="247"/>
      <c r="S175" s="248"/>
      <c r="V175" s="248"/>
      <c r="W175" s="194"/>
      <c r="X175" s="249"/>
      <c r="Y175" s="250"/>
      <c r="Z175" s="251"/>
      <c r="AA175" s="252"/>
    </row>
    <row r="176" spans="13:27">
      <c r="M176" s="248"/>
      <c r="N176" s="248"/>
      <c r="O176" s="248"/>
      <c r="P176" s="248"/>
      <c r="Q176" s="248"/>
      <c r="R176" s="247"/>
      <c r="S176" s="248"/>
      <c r="V176" s="248"/>
      <c r="W176" s="194"/>
      <c r="X176" s="249"/>
      <c r="Y176" s="250"/>
      <c r="Z176" s="251"/>
      <c r="AA176" s="252"/>
    </row>
    <row r="177" spans="13:27">
      <c r="M177" s="248"/>
      <c r="N177" s="248"/>
      <c r="O177" s="248"/>
      <c r="P177" s="248"/>
      <c r="Q177" s="248"/>
      <c r="R177" s="247"/>
      <c r="S177" s="248"/>
      <c r="V177" s="248"/>
      <c r="W177" s="194"/>
      <c r="X177" s="249"/>
      <c r="Y177" s="250"/>
      <c r="Z177" s="251"/>
      <c r="AA177" s="252"/>
    </row>
    <row r="178" spans="13:27">
      <c r="M178" s="248"/>
      <c r="N178" s="248"/>
      <c r="O178" s="248"/>
      <c r="P178" s="248"/>
      <c r="Q178" s="248"/>
      <c r="R178" s="247"/>
      <c r="S178" s="248"/>
      <c r="V178" s="248"/>
      <c r="W178" s="194"/>
      <c r="X178" s="249"/>
      <c r="Y178" s="250"/>
      <c r="Z178" s="251"/>
      <c r="AA178" s="252"/>
    </row>
    <row r="179" spans="13:27">
      <c r="M179" s="248"/>
      <c r="N179" s="248"/>
      <c r="O179" s="248"/>
      <c r="P179" s="248"/>
      <c r="Q179" s="248"/>
      <c r="R179" s="247"/>
      <c r="S179" s="248"/>
      <c r="V179" s="248"/>
      <c r="W179" s="194"/>
      <c r="X179" s="249"/>
      <c r="Y179" s="250"/>
      <c r="Z179" s="251"/>
      <c r="AA179" s="252"/>
    </row>
    <row r="180" spans="13:27">
      <c r="M180" s="248"/>
      <c r="N180" s="248"/>
      <c r="O180" s="248"/>
      <c r="P180" s="248"/>
      <c r="Q180" s="248"/>
      <c r="R180" s="247"/>
      <c r="S180" s="248"/>
      <c r="V180" s="248"/>
      <c r="W180" s="194"/>
      <c r="X180" s="249"/>
      <c r="Y180" s="250"/>
      <c r="Z180" s="251"/>
      <c r="AA180" s="252"/>
    </row>
    <row r="181" spans="13:27">
      <c r="M181" s="248"/>
      <c r="N181" s="248"/>
      <c r="O181" s="248"/>
      <c r="P181" s="248"/>
      <c r="Q181" s="248"/>
      <c r="R181" s="247"/>
      <c r="S181" s="248"/>
      <c r="V181" s="248"/>
      <c r="W181" s="194"/>
      <c r="X181" s="249"/>
      <c r="Y181" s="250"/>
      <c r="Z181" s="251"/>
      <c r="AA181" s="252"/>
    </row>
    <row r="182" spans="13:27">
      <c r="M182" s="248"/>
      <c r="N182" s="248"/>
      <c r="O182" s="248"/>
      <c r="P182" s="248"/>
      <c r="Q182" s="248"/>
      <c r="R182" s="247"/>
      <c r="S182" s="248"/>
      <c r="V182" s="248"/>
      <c r="W182" s="194"/>
      <c r="X182" s="249"/>
      <c r="Y182" s="250"/>
      <c r="Z182" s="251"/>
      <c r="AA182" s="252"/>
    </row>
    <row r="183" spans="13:27">
      <c r="M183" s="248"/>
      <c r="N183" s="248"/>
      <c r="O183" s="248"/>
      <c r="P183" s="248"/>
      <c r="Q183" s="248"/>
      <c r="R183" s="247"/>
      <c r="S183" s="248"/>
      <c r="V183" s="248"/>
      <c r="W183" s="194"/>
      <c r="X183" s="249"/>
      <c r="Y183" s="250"/>
      <c r="Z183" s="251"/>
      <c r="AA183" s="252"/>
    </row>
    <row r="184" spans="13:27">
      <c r="M184" s="248"/>
      <c r="N184" s="248"/>
      <c r="O184" s="248"/>
      <c r="P184" s="248"/>
      <c r="Q184" s="248"/>
      <c r="R184" s="247"/>
      <c r="S184" s="248"/>
      <c r="V184" s="248"/>
      <c r="W184" s="194"/>
      <c r="X184" s="249"/>
      <c r="Y184" s="250"/>
      <c r="Z184" s="251"/>
      <c r="AA184" s="252"/>
    </row>
    <row r="185" spans="13:27">
      <c r="M185" s="248"/>
      <c r="N185" s="248"/>
      <c r="O185" s="248"/>
      <c r="P185" s="248"/>
      <c r="Q185" s="248"/>
      <c r="R185" s="247"/>
      <c r="S185" s="248"/>
      <c r="V185" s="248"/>
      <c r="W185" s="194"/>
      <c r="X185" s="249"/>
      <c r="Y185" s="250"/>
      <c r="Z185" s="251"/>
      <c r="AA185" s="252"/>
    </row>
    <row r="186" spans="13:27">
      <c r="M186" s="248"/>
      <c r="N186" s="248"/>
      <c r="O186" s="248"/>
      <c r="P186" s="248"/>
      <c r="Q186" s="248"/>
      <c r="R186" s="247"/>
      <c r="S186" s="248"/>
      <c r="V186" s="248"/>
      <c r="W186" s="194"/>
      <c r="X186" s="249"/>
      <c r="Y186" s="250"/>
      <c r="Z186" s="251"/>
      <c r="AA186" s="252"/>
    </row>
    <row r="187" spans="13:27">
      <c r="M187" s="248"/>
      <c r="N187" s="248"/>
      <c r="O187" s="248"/>
      <c r="P187" s="248"/>
      <c r="Q187" s="248"/>
      <c r="R187" s="247"/>
      <c r="S187" s="248"/>
      <c r="V187" s="248"/>
      <c r="W187" s="194"/>
      <c r="X187" s="249"/>
      <c r="Y187" s="250"/>
      <c r="Z187" s="251"/>
      <c r="AA187" s="252"/>
    </row>
    <row r="188" spans="13:27">
      <c r="M188" s="248"/>
      <c r="N188" s="248"/>
      <c r="O188" s="248"/>
      <c r="P188" s="248"/>
      <c r="Q188" s="248"/>
      <c r="R188" s="247"/>
      <c r="S188" s="248"/>
      <c r="V188" s="248"/>
      <c r="W188" s="194"/>
      <c r="X188" s="249"/>
      <c r="Y188" s="250"/>
      <c r="Z188" s="251"/>
      <c r="AA188" s="252"/>
    </row>
    <row r="189" spans="13:27">
      <c r="M189" s="248"/>
      <c r="N189" s="248"/>
      <c r="O189" s="248"/>
      <c r="P189" s="248"/>
      <c r="Q189" s="248"/>
      <c r="R189" s="247"/>
      <c r="S189" s="248"/>
      <c r="V189" s="248"/>
      <c r="W189" s="194"/>
      <c r="X189" s="249"/>
      <c r="Y189" s="250"/>
      <c r="Z189" s="251"/>
      <c r="AA189" s="252"/>
    </row>
    <row r="190" spans="13:27">
      <c r="M190" s="248"/>
      <c r="N190" s="248"/>
      <c r="O190" s="248"/>
      <c r="P190" s="248"/>
      <c r="Q190" s="248"/>
      <c r="R190" s="247"/>
      <c r="S190" s="248"/>
      <c r="V190" s="248"/>
      <c r="W190" s="194"/>
      <c r="X190" s="249"/>
      <c r="Y190" s="250"/>
      <c r="Z190" s="251"/>
      <c r="AA190" s="252"/>
    </row>
    <row r="191" spans="13:27">
      <c r="M191" s="248"/>
      <c r="N191" s="248"/>
      <c r="O191" s="248"/>
      <c r="P191" s="248"/>
      <c r="Q191" s="248"/>
      <c r="R191" s="247"/>
      <c r="S191" s="248"/>
      <c r="V191" s="248"/>
      <c r="W191" s="194"/>
      <c r="X191" s="249"/>
      <c r="Y191" s="250"/>
      <c r="Z191" s="251"/>
      <c r="AA191" s="252"/>
    </row>
    <row r="192" spans="13:27">
      <c r="M192" s="248"/>
      <c r="N192" s="248"/>
      <c r="O192" s="248"/>
      <c r="P192" s="248"/>
      <c r="Q192" s="248"/>
      <c r="R192" s="247"/>
      <c r="S192" s="248"/>
      <c r="V192" s="248"/>
      <c r="W192" s="194"/>
      <c r="X192" s="249"/>
      <c r="Y192" s="250"/>
      <c r="Z192" s="251"/>
      <c r="AA192" s="252"/>
    </row>
    <row r="193" spans="13:27">
      <c r="M193" s="248"/>
      <c r="N193" s="248"/>
      <c r="O193" s="248"/>
      <c r="P193" s="248"/>
      <c r="Q193" s="248"/>
      <c r="R193" s="247"/>
      <c r="S193" s="248"/>
      <c r="V193" s="248"/>
      <c r="W193" s="194"/>
      <c r="X193" s="249"/>
      <c r="Y193" s="250"/>
      <c r="Z193" s="251"/>
      <c r="AA193" s="252"/>
    </row>
    <row r="194" spans="13:27">
      <c r="M194" s="248"/>
      <c r="N194" s="248"/>
      <c r="O194" s="248"/>
      <c r="P194" s="248"/>
      <c r="Q194" s="248"/>
      <c r="R194" s="247"/>
      <c r="S194" s="248"/>
      <c r="V194" s="248"/>
      <c r="W194" s="194"/>
      <c r="X194" s="249"/>
      <c r="Y194" s="250"/>
      <c r="Z194" s="251"/>
      <c r="AA194" s="252"/>
    </row>
    <row r="195" spans="13:27">
      <c r="M195" s="248"/>
      <c r="N195" s="248"/>
      <c r="O195" s="248"/>
      <c r="P195" s="248"/>
      <c r="Q195" s="248"/>
      <c r="R195" s="247"/>
      <c r="S195" s="248"/>
      <c r="V195" s="248"/>
      <c r="W195" s="194"/>
      <c r="X195" s="249"/>
      <c r="Y195" s="250"/>
      <c r="Z195" s="251"/>
      <c r="AA195" s="252"/>
    </row>
    <row r="196" spans="13:27">
      <c r="M196" s="248"/>
      <c r="N196" s="248"/>
      <c r="O196" s="248"/>
      <c r="P196" s="248"/>
      <c r="Q196" s="248"/>
      <c r="R196" s="247"/>
      <c r="S196" s="248"/>
      <c r="V196" s="248"/>
      <c r="W196" s="194"/>
      <c r="X196" s="249"/>
      <c r="Y196" s="250"/>
      <c r="Z196" s="251"/>
      <c r="AA196" s="252"/>
    </row>
    <row r="197" spans="13:27">
      <c r="M197" s="248"/>
      <c r="N197" s="248"/>
      <c r="O197" s="248"/>
      <c r="P197" s="248"/>
      <c r="Q197" s="248"/>
      <c r="R197" s="247"/>
      <c r="S197" s="248"/>
      <c r="V197" s="248"/>
      <c r="W197" s="194"/>
      <c r="X197" s="249"/>
      <c r="Y197" s="250"/>
      <c r="Z197" s="251"/>
      <c r="AA197" s="252"/>
    </row>
    <row r="198" spans="13:27">
      <c r="M198" s="248"/>
      <c r="N198" s="248"/>
      <c r="O198" s="248"/>
      <c r="P198" s="248"/>
      <c r="Q198" s="248"/>
      <c r="R198" s="247"/>
      <c r="S198" s="248"/>
      <c r="V198" s="248"/>
      <c r="W198" s="194"/>
      <c r="X198" s="249"/>
      <c r="Y198" s="250"/>
      <c r="Z198" s="251"/>
      <c r="AA198" s="252"/>
    </row>
    <row r="199" spans="13:27">
      <c r="M199" s="248"/>
      <c r="N199" s="248"/>
      <c r="O199" s="248"/>
      <c r="P199" s="248"/>
      <c r="Q199" s="248"/>
      <c r="R199" s="247"/>
      <c r="S199" s="248"/>
      <c r="V199" s="248"/>
      <c r="W199" s="194"/>
      <c r="X199" s="249"/>
      <c r="Y199" s="250"/>
      <c r="Z199" s="251"/>
      <c r="AA199" s="252"/>
    </row>
    <row r="200" spans="13:27">
      <c r="M200" s="248"/>
      <c r="N200" s="248"/>
      <c r="O200" s="248"/>
      <c r="P200" s="248"/>
      <c r="Q200" s="248"/>
      <c r="R200" s="247"/>
      <c r="S200" s="248"/>
      <c r="V200" s="248"/>
      <c r="W200" s="194"/>
      <c r="X200" s="249"/>
      <c r="Y200" s="250"/>
      <c r="Z200" s="251"/>
      <c r="AA200" s="252"/>
    </row>
    <row r="201" spans="13:27">
      <c r="M201" s="248"/>
      <c r="N201" s="248"/>
      <c r="O201" s="248"/>
      <c r="P201" s="248"/>
      <c r="Q201" s="248"/>
      <c r="R201" s="247"/>
      <c r="S201" s="248"/>
      <c r="V201" s="248"/>
      <c r="W201" s="194"/>
      <c r="X201" s="249"/>
      <c r="Y201" s="250"/>
      <c r="Z201" s="251"/>
      <c r="AA201" s="252"/>
    </row>
    <row r="202" spans="13:27">
      <c r="M202" s="248"/>
      <c r="N202" s="248"/>
      <c r="O202" s="248"/>
      <c r="P202" s="248"/>
      <c r="Q202" s="248"/>
      <c r="R202" s="247"/>
      <c r="S202" s="248"/>
      <c r="V202" s="248"/>
      <c r="W202" s="194"/>
      <c r="X202" s="249"/>
      <c r="Y202" s="250"/>
      <c r="Z202" s="251"/>
      <c r="AA202" s="252"/>
    </row>
    <row r="203" spans="13:27">
      <c r="M203" s="248"/>
      <c r="N203" s="248"/>
      <c r="O203" s="248"/>
      <c r="P203" s="248"/>
      <c r="Q203" s="248"/>
      <c r="R203" s="247"/>
      <c r="S203" s="248"/>
      <c r="V203" s="248"/>
      <c r="W203" s="194"/>
      <c r="X203" s="249"/>
      <c r="Y203" s="250"/>
      <c r="Z203" s="251"/>
      <c r="AA203" s="252"/>
    </row>
    <row r="204" spans="13:27">
      <c r="M204" s="248"/>
      <c r="N204" s="248"/>
      <c r="O204" s="248"/>
      <c r="P204" s="248"/>
      <c r="Q204" s="248"/>
      <c r="R204" s="247"/>
      <c r="S204" s="248"/>
      <c r="V204" s="248"/>
      <c r="W204" s="194"/>
      <c r="X204" s="249"/>
      <c r="Y204" s="250"/>
      <c r="Z204" s="251"/>
      <c r="AA204" s="252"/>
    </row>
    <row r="205" spans="13:27">
      <c r="M205" s="248"/>
      <c r="N205" s="248"/>
      <c r="O205" s="248"/>
      <c r="P205" s="248"/>
      <c r="Q205" s="248"/>
      <c r="R205" s="247"/>
      <c r="S205" s="248"/>
      <c r="V205" s="248"/>
      <c r="W205" s="194"/>
      <c r="X205" s="249"/>
      <c r="Y205" s="250"/>
      <c r="Z205" s="251"/>
      <c r="AA205" s="252"/>
    </row>
    <row r="206" spans="13:27">
      <c r="M206" s="248"/>
      <c r="N206" s="248"/>
      <c r="O206" s="248"/>
      <c r="P206" s="248"/>
      <c r="Q206" s="248"/>
      <c r="R206" s="247"/>
      <c r="S206" s="248"/>
      <c r="V206" s="248"/>
      <c r="W206" s="194"/>
      <c r="X206" s="249"/>
      <c r="Y206" s="250"/>
      <c r="Z206" s="251"/>
      <c r="AA206" s="252"/>
    </row>
    <row r="207" spans="13:27">
      <c r="M207" s="248"/>
      <c r="N207" s="248"/>
      <c r="O207" s="248"/>
      <c r="P207" s="248"/>
      <c r="Q207" s="248"/>
      <c r="R207" s="247"/>
      <c r="S207" s="248"/>
      <c r="V207" s="248"/>
      <c r="W207" s="194"/>
      <c r="X207" s="249"/>
      <c r="Y207" s="250"/>
      <c r="Z207" s="251"/>
      <c r="AA207" s="252"/>
    </row>
    <row r="208" spans="13:27">
      <c r="M208" s="248"/>
      <c r="N208" s="248"/>
      <c r="O208" s="248"/>
      <c r="P208" s="248"/>
      <c r="Q208" s="248"/>
      <c r="R208" s="247"/>
      <c r="S208" s="248"/>
      <c r="V208" s="248"/>
      <c r="W208" s="194"/>
      <c r="X208" s="249"/>
      <c r="Y208" s="250"/>
      <c r="Z208" s="251"/>
      <c r="AA208" s="252"/>
    </row>
    <row r="209" spans="13:27">
      <c r="M209" s="248"/>
      <c r="N209" s="248"/>
      <c r="O209" s="248"/>
      <c r="P209" s="248"/>
      <c r="Q209" s="248"/>
      <c r="R209" s="247"/>
      <c r="S209" s="248"/>
      <c r="V209" s="248"/>
      <c r="W209" s="194"/>
      <c r="X209" s="249"/>
      <c r="Y209" s="250"/>
      <c r="Z209" s="251"/>
      <c r="AA209" s="252"/>
    </row>
    <row r="210" spans="13:27">
      <c r="M210" s="248"/>
      <c r="N210" s="248"/>
      <c r="O210" s="248"/>
      <c r="P210" s="248"/>
      <c r="Q210" s="248"/>
      <c r="R210" s="247"/>
      <c r="S210" s="248"/>
      <c r="V210" s="248"/>
      <c r="W210" s="194"/>
      <c r="X210" s="249"/>
      <c r="Y210" s="250"/>
      <c r="Z210" s="251"/>
      <c r="AA210" s="252"/>
    </row>
    <row r="211" spans="13:27">
      <c r="M211" s="248"/>
      <c r="N211" s="248"/>
      <c r="O211" s="248"/>
      <c r="P211" s="248"/>
      <c r="Q211" s="248"/>
      <c r="R211" s="247"/>
      <c r="S211" s="248"/>
      <c r="V211" s="248"/>
      <c r="W211" s="194"/>
      <c r="X211" s="249"/>
      <c r="Y211" s="250"/>
      <c r="Z211" s="251"/>
      <c r="AA211" s="252"/>
    </row>
    <row r="212" spans="13:27">
      <c r="M212" s="248"/>
      <c r="N212" s="248"/>
      <c r="O212" s="248"/>
      <c r="P212" s="248"/>
      <c r="Q212" s="248"/>
      <c r="R212" s="247"/>
      <c r="S212" s="248"/>
      <c r="V212" s="248"/>
      <c r="W212" s="194"/>
      <c r="X212" s="249"/>
      <c r="Y212" s="250"/>
      <c r="Z212" s="251"/>
      <c r="AA212" s="252"/>
    </row>
    <row r="213" spans="13:27">
      <c r="M213" s="248"/>
      <c r="N213" s="248"/>
      <c r="O213" s="248"/>
      <c r="P213" s="248"/>
      <c r="Q213" s="248"/>
      <c r="R213" s="247"/>
      <c r="S213" s="248"/>
      <c r="V213" s="248"/>
      <c r="W213" s="194"/>
      <c r="X213" s="249"/>
      <c r="Y213" s="250"/>
      <c r="Z213" s="251"/>
      <c r="AA213" s="252"/>
    </row>
    <row r="214" spans="13:27">
      <c r="M214" s="248"/>
      <c r="N214" s="248"/>
      <c r="O214" s="248"/>
      <c r="P214" s="248"/>
      <c r="Q214" s="248"/>
      <c r="R214" s="247"/>
      <c r="S214" s="248"/>
      <c r="V214" s="248"/>
      <c r="W214" s="194"/>
      <c r="X214" s="249"/>
      <c r="Y214" s="250"/>
      <c r="Z214" s="251"/>
      <c r="AA214" s="252"/>
    </row>
    <row r="215" spans="13:27">
      <c r="M215" s="248"/>
      <c r="N215" s="248"/>
      <c r="O215" s="248"/>
      <c r="P215" s="248"/>
      <c r="Q215" s="248"/>
      <c r="R215" s="247"/>
      <c r="S215" s="248"/>
      <c r="V215" s="248"/>
      <c r="W215" s="194"/>
      <c r="X215" s="249"/>
      <c r="Y215" s="250"/>
      <c r="Z215" s="251"/>
      <c r="AA215" s="252"/>
    </row>
    <row r="216" spans="13:27">
      <c r="M216" s="248"/>
      <c r="N216" s="248"/>
      <c r="O216" s="248"/>
      <c r="P216" s="248"/>
      <c r="Q216" s="248"/>
      <c r="R216" s="247"/>
      <c r="S216" s="248"/>
      <c r="V216" s="248"/>
      <c r="W216" s="194"/>
      <c r="X216" s="249"/>
      <c r="Y216" s="250"/>
      <c r="Z216" s="251"/>
      <c r="AA216" s="252"/>
    </row>
    <row r="217" spans="13:27">
      <c r="M217" s="248"/>
      <c r="N217" s="248"/>
      <c r="O217" s="248"/>
      <c r="P217" s="248"/>
      <c r="Q217" s="248"/>
      <c r="R217" s="247"/>
      <c r="S217" s="248"/>
      <c r="V217" s="248"/>
      <c r="W217" s="194"/>
      <c r="X217" s="249"/>
      <c r="Y217" s="250"/>
      <c r="Z217" s="251"/>
      <c r="AA217" s="252"/>
    </row>
    <row r="218" spans="13:27">
      <c r="M218" s="248"/>
      <c r="N218" s="248"/>
      <c r="O218" s="248"/>
      <c r="P218" s="248"/>
      <c r="Q218" s="248"/>
      <c r="R218" s="247"/>
      <c r="S218" s="248"/>
      <c r="V218" s="248"/>
      <c r="W218" s="194"/>
      <c r="X218" s="249"/>
      <c r="Y218" s="250"/>
      <c r="Z218" s="251"/>
      <c r="AA218" s="252"/>
    </row>
    <row r="219" spans="13:27">
      <c r="M219" s="248"/>
      <c r="N219" s="248"/>
      <c r="O219" s="248"/>
      <c r="P219" s="248"/>
      <c r="Q219" s="248"/>
      <c r="R219" s="247"/>
      <c r="S219" s="248"/>
      <c r="V219" s="248"/>
      <c r="W219" s="194"/>
      <c r="X219" s="249"/>
      <c r="Y219" s="250"/>
      <c r="Z219" s="251"/>
      <c r="AA219" s="252"/>
    </row>
    <row r="220" spans="13:27">
      <c r="M220" s="248"/>
      <c r="N220" s="248"/>
      <c r="O220" s="248"/>
      <c r="P220" s="248"/>
      <c r="Q220" s="248"/>
      <c r="R220" s="247"/>
      <c r="S220" s="248"/>
      <c r="V220" s="248"/>
      <c r="W220" s="194"/>
      <c r="X220" s="249"/>
      <c r="Y220" s="250"/>
      <c r="Z220" s="251"/>
      <c r="AA220" s="252"/>
    </row>
    <row r="221" spans="13:27">
      <c r="M221" s="248"/>
      <c r="N221" s="248"/>
      <c r="O221" s="248"/>
      <c r="P221" s="248"/>
      <c r="Q221" s="248"/>
      <c r="R221" s="247"/>
      <c r="S221" s="248"/>
      <c r="V221" s="248"/>
      <c r="W221" s="194"/>
      <c r="X221" s="249"/>
      <c r="Y221" s="250"/>
      <c r="Z221" s="251"/>
      <c r="AA221" s="252"/>
    </row>
    <row r="222" spans="13:27">
      <c r="M222" s="248"/>
      <c r="N222" s="248"/>
      <c r="O222" s="248"/>
      <c r="P222" s="248"/>
      <c r="Q222" s="248"/>
      <c r="R222" s="247"/>
      <c r="S222" s="248"/>
      <c r="V222" s="248"/>
      <c r="W222" s="194"/>
      <c r="X222" s="249"/>
      <c r="Y222" s="250"/>
      <c r="Z222" s="251"/>
      <c r="AA222" s="252"/>
    </row>
    <row r="223" spans="13:27">
      <c r="M223" s="248"/>
      <c r="N223" s="248"/>
      <c r="O223" s="248"/>
      <c r="P223" s="248"/>
      <c r="Q223" s="248"/>
      <c r="R223" s="247"/>
      <c r="S223" s="248"/>
      <c r="V223" s="248"/>
      <c r="W223" s="194"/>
      <c r="X223" s="249"/>
      <c r="Y223" s="250"/>
      <c r="Z223" s="251"/>
      <c r="AA223" s="252"/>
    </row>
    <row r="224" spans="13:27">
      <c r="M224" s="248"/>
      <c r="N224" s="248"/>
      <c r="O224" s="248"/>
      <c r="P224" s="248"/>
      <c r="Q224" s="248"/>
      <c r="R224" s="247"/>
      <c r="S224" s="248"/>
      <c r="V224" s="248"/>
      <c r="W224" s="194"/>
      <c r="X224" s="249"/>
      <c r="Y224" s="250"/>
      <c r="Z224" s="251"/>
      <c r="AA224" s="252"/>
    </row>
    <row r="225" spans="13:27">
      <c r="M225" s="248"/>
      <c r="N225" s="248"/>
      <c r="O225" s="248"/>
      <c r="P225" s="248"/>
      <c r="Q225" s="248"/>
      <c r="R225" s="247"/>
      <c r="S225" s="248"/>
      <c r="V225" s="248"/>
      <c r="W225" s="194"/>
      <c r="X225" s="249"/>
      <c r="Y225" s="250"/>
      <c r="Z225" s="251"/>
      <c r="AA225" s="252"/>
    </row>
    <row r="226" spans="13:27">
      <c r="M226" s="248"/>
      <c r="N226" s="248"/>
      <c r="O226" s="248"/>
      <c r="P226" s="248"/>
      <c r="Q226" s="248"/>
      <c r="R226" s="247"/>
      <c r="S226" s="248"/>
      <c r="V226" s="248"/>
      <c r="W226" s="194"/>
      <c r="X226" s="249"/>
      <c r="Y226" s="250"/>
      <c r="Z226" s="251"/>
      <c r="AA226" s="252"/>
    </row>
    <row r="227" spans="13:27">
      <c r="M227" s="248"/>
      <c r="N227" s="248"/>
      <c r="O227" s="248"/>
      <c r="P227" s="248"/>
      <c r="Q227" s="248"/>
      <c r="R227" s="247"/>
      <c r="S227" s="248"/>
      <c r="V227" s="248"/>
      <c r="W227" s="194"/>
      <c r="X227" s="249"/>
      <c r="Y227" s="250"/>
      <c r="Z227" s="251"/>
      <c r="AA227" s="252"/>
    </row>
    <row r="228" spans="13:27">
      <c r="M228" s="248"/>
      <c r="N228" s="248"/>
      <c r="O228" s="248"/>
      <c r="P228" s="248"/>
      <c r="Q228" s="248"/>
      <c r="R228" s="247"/>
      <c r="S228" s="248"/>
      <c r="V228" s="248"/>
      <c r="W228" s="194"/>
      <c r="X228" s="249"/>
      <c r="Y228" s="250"/>
      <c r="Z228" s="251"/>
      <c r="AA228" s="252"/>
    </row>
    <row r="229" spans="13:27">
      <c r="M229" s="248"/>
      <c r="N229" s="248"/>
      <c r="O229" s="248"/>
      <c r="P229" s="248"/>
      <c r="Q229" s="248"/>
      <c r="R229" s="247"/>
      <c r="S229" s="248"/>
      <c r="V229" s="248"/>
      <c r="W229" s="194"/>
      <c r="X229" s="249"/>
      <c r="Y229" s="250"/>
      <c r="Z229" s="251"/>
      <c r="AA229" s="252"/>
    </row>
    <row r="230" spans="13:27">
      <c r="M230" s="248"/>
      <c r="N230" s="248"/>
      <c r="O230" s="248"/>
      <c r="P230" s="248"/>
      <c r="Q230" s="248"/>
      <c r="R230" s="247"/>
      <c r="S230" s="248"/>
      <c r="V230" s="248"/>
      <c r="W230" s="194"/>
      <c r="X230" s="249"/>
      <c r="Y230" s="250"/>
      <c r="Z230" s="251"/>
      <c r="AA230" s="252"/>
    </row>
    <row r="231" spans="13:27">
      <c r="M231" s="248"/>
      <c r="N231" s="248"/>
      <c r="O231" s="248"/>
      <c r="P231" s="248"/>
      <c r="Q231" s="248"/>
      <c r="R231" s="247"/>
      <c r="S231" s="248"/>
      <c r="V231" s="248"/>
      <c r="W231" s="194"/>
      <c r="X231" s="249"/>
      <c r="Y231" s="250"/>
      <c r="Z231" s="251"/>
      <c r="AA231" s="252"/>
    </row>
    <row r="232" spans="13:27">
      <c r="M232" s="248"/>
      <c r="N232" s="248"/>
      <c r="O232" s="248"/>
      <c r="P232" s="248"/>
      <c r="Q232" s="248"/>
      <c r="R232" s="247"/>
      <c r="S232" s="248"/>
      <c r="V232" s="248"/>
      <c r="W232" s="194"/>
      <c r="X232" s="249"/>
      <c r="Y232" s="250"/>
      <c r="Z232" s="251"/>
      <c r="AA232" s="252"/>
    </row>
    <row r="233" spans="13:27">
      <c r="M233" s="248"/>
      <c r="N233" s="248"/>
      <c r="O233" s="248"/>
      <c r="P233" s="248"/>
      <c r="Q233" s="248"/>
      <c r="R233" s="247"/>
      <c r="S233" s="248"/>
      <c r="V233" s="248"/>
      <c r="W233" s="194"/>
      <c r="X233" s="249"/>
      <c r="Y233" s="250"/>
      <c r="Z233" s="251"/>
      <c r="AA233" s="252"/>
    </row>
    <row r="234" spans="13:27">
      <c r="M234" s="248"/>
      <c r="N234" s="248"/>
      <c r="O234" s="248"/>
      <c r="P234" s="248"/>
      <c r="Q234" s="248"/>
      <c r="R234" s="247"/>
      <c r="S234" s="248"/>
      <c r="V234" s="248"/>
      <c r="W234" s="194"/>
      <c r="X234" s="249"/>
      <c r="Y234" s="250"/>
      <c r="Z234" s="251"/>
      <c r="AA234" s="252"/>
    </row>
    <row r="235" spans="13:27">
      <c r="M235" s="248"/>
      <c r="N235" s="248"/>
      <c r="O235" s="248"/>
      <c r="P235" s="248"/>
      <c r="Q235" s="248"/>
      <c r="R235" s="247"/>
      <c r="S235" s="248"/>
      <c r="V235" s="248"/>
      <c r="W235" s="194"/>
      <c r="X235" s="249"/>
      <c r="Y235" s="250"/>
      <c r="Z235" s="251"/>
      <c r="AA235" s="252"/>
    </row>
    <row r="236" spans="13:27">
      <c r="M236" s="248"/>
      <c r="N236" s="248"/>
      <c r="O236" s="248"/>
      <c r="P236" s="248"/>
      <c r="Q236" s="248"/>
      <c r="R236" s="247"/>
      <c r="S236" s="248"/>
      <c r="V236" s="248"/>
      <c r="W236" s="194"/>
      <c r="X236" s="249"/>
      <c r="Y236" s="250"/>
      <c r="Z236" s="251"/>
      <c r="AA236" s="252"/>
    </row>
    <row r="237" spans="13:27">
      <c r="M237" s="248"/>
      <c r="N237" s="248"/>
      <c r="O237" s="248"/>
      <c r="P237" s="248"/>
      <c r="Q237" s="248"/>
      <c r="R237" s="247"/>
      <c r="S237" s="248"/>
      <c r="V237" s="248"/>
      <c r="W237" s="194"/>
      <c r="X237" s="249"/>
      <c r="Y237" s="250"/>
      <c r="Z237" s="251"/>
      <c r="AA237" s="252"/>
    </row>
    <row r="238" spans="13:27">
      <c r="M238" s="248"/>
      <c r="N238" s="248"/>
      <c r="O238" s="248"/>
      <c r="P238" s="248"/>
      <c r="Q238" s="248"/>
      <c r="R238" s="247"/>
      <c r="S238" s="248"/>
      <c r="V238" s="248"/>
      <c r="W238" s="194"/>
      <c r="X238" s="249"/>
      <c r="Y238" s="250"/>
      <c r="Z238" s="251"/>
      <c r="AA238" s="252"/>
    </row>
    <row r="239" spans="13:27">
      <c r="M239" s="248"/>
      <c r="N239" s="248"/>
      <c r="O239" s="248"/>
      <c r="P239" s="248"/>
      <c r="Q239" s="248"/>
      <c r="R239" s="247"/>
      <c r="S239" s="248"/>
      <c r="V239" s="248"/>
      <c r="W239" s="194"/>
      <c r="X239" s="249"/>
      <c r="Y239" s="250"/>
      <c r="Z239" s="251"/>
      <c r="AA239" s="252"/>
    </row>
    <row r="240" spans="13:27">
      <c r="M240" s="248"/>
      <c r="N240" s="248"/>
      <c r="O240" s="248"/>
      <c r="P240" s="248"/>
      <c r="Q240" s="248"/>
      <c r="R240" s="247"/>
      <c r="S240" s="248"/>
      <c r="V240" s="248"/>
      <c r="W240" s="194"/>
      <c r="X240" s="249"/>
      <c r="Y240" s="250"/>
      <c r="Z240" s="251"/>
      <c r="AA240" s="252"/>
    </row>
    <row r="241" spans="13:27">
      <c r="M241" s="248"/>
      <c r="N241" s="248"/>
      <c r="O241" s="248"/>
      <c r="P241" s="248"/>
      <c r="Q241" s="248"/>
      <c r="R241" s="247"/>
      <c r="S241" s="248"/>
      <c r="V241" s="248"/>
      <c r="W241" s="194"/>
      <c r="X241" s="249"/>
      <c r="Y241" s="250"/>
      <c r="Z241" s="251"/>
      <c r="AA241" s="252"/>
    </row>
    <row r="242" spans="13:27">
      <c r="M242" s="248"/>
      <c r="N242" s="248"/>
      <c r="O242" s="248"/>
      <c r="P242" s="248"/>
      <c r="Q242" s="248"/>
      <c r="R242" s="247"/>
      <c r="S242" s="248"/>
      <c r="V242" s="248"/>
      <c r="W242" s="194"/>
      <c r="X242" s="249"/>
      <c r="Y242" s="250"/>
      <c r="Z242" s="251"/>
      <c r="AA242" s="252"/>
    </row>
    <row r="243" spans="13:27">
      <c r="M243" s="248"/>
      <c r="N243" s="248"/>
      <c r="O243" s="248"/>
      <c r="P243" s="248"/>
      <c r="Q243" s="248"/>
      <c r="R243" s="247"/>
      <c r="S243" s="248"/>
      <c r="V243" s="248"/>
      <c r="W243" s="194"/>
      <c r="X243" s="249"/>
      <c r="Y243" s="250"/>
      <c r="Z243" s="251"/>
      <c r="AA243" s="252"/>
    </row>
    <row r="244" spans="13:27">
      <c r="M244" s="248"/>
      <c r="N244" s="248"/>
      <c r="O244" s="248"/>
      <c r="P244" s="248"/>
      <c r="Q244" s="248"/>
      <c r="R244" s="247"/>
      <c r="S244" s="248"/>
      <c r="V244" s="248"/>
      <c r="W244" s="194"/>
      <c r="X244" s="249"/>
      <c r="Y244" s="250"/>
      <c r="Z244" s="251"/>
      <c r="AA244" s="252"/>
    </row>
    <row r="245" spans="13:27">
      <c r="M245" s="248"/>
      <c r="N245" s="248"/>
      <c r="O245" s="248"/>
      <c r="P245" s="248"/>
      <c r="Q245" s="248"/>
      <c r="R245" s="247"/>
      <c r="S245" s="248"/>
      <c r="V245" s="248"/>
      <c r="W245" s="194"/>
      <c r="X245" s="249"/>
      <c r="Y245" s="250"/>
      <c r="Z245" s="251"/>
      <c r="AA245" s="252"/>
    </row>
    <row r="246" spans="13:27">
      <c r="M246" s="248"/>
      <c r="N246" s="248"/>
      <c r="O246" s="248"/>
      <c r="P246" s="248"/>
      <c r="Q246" s="248"/>
      <c r="R246" s="247"/>
      <c r="S246" s="248"/>
      <c r="V246" s="248"/>
      <c r="W246" s="194"/>
      <c r="X246" s="249"/>
      <c r="Y246" s="250"/>
      <c r="Z246" s="251"/>
      <c r="AA246" s="252"/>
    </row>
    <row r="247" spans="13:27">
      <c r="M247" s="248"/>
      <c r="N247" s="248"/>
      <c r="O247" s="248"/>
      <c r="P247" s="248"/>
      <c r="Q247" s="248"/>
      <c r="R247" s="247"/>
      <c r="S247" s="248"/>
      <c r="V247" s="248"/>
      <c r="W247" s="194"/>
      <c r="X247" s="249"/>
      <c r="Y247" s="250"/>
      <c r="Z247" s="251"/>
      <c r="AA247" s="252"/>
    </row>
    <row r="248" spans="13:27">
      <c r="M248" s="248"/>
      <c r="N248" s="248"/>
      <c r="O248" s="248"/>
      <c r="P248" s="248"/>
      <c r="Q248" s="248"/>
      <c r="R248" s="247"/>
      <c r="S248" s="248"/>
      <c r="V248" s="248"/>
      <c r="W248" s="194"/>
      <c r="X248" s="249"/>
      <c r="Y248" s="250"/>
      <c r="Z248" s="251"/>
      <c r="AA248" s="252"/>
    </row>
    <row r="249" spans="13:27">
      <c r="M249" s="248"/>
      <c r="N249" s="248"/>
      <c r="O249" s="248"/>
      <c r="P249" s="248"/>
      <c r="Q249" s="248"/>
      <c r="R249" s="247"/>
      <c r="S249" s="248"/>
      <c r="V249" s="248"/>
      <c r="W249" s="194"/>
      <c r="X249" s="249"/>
      <c r="Y249" s="250"/>
      <c r="Z249" s="251"/>
      <c r="AA249" s="252"/>
    </row>
    <row r="250" spans="13:27">
      <c r="M250" s="248"/>
      <c r="N250" s="248"/>
      <c r="O250" s="248"/>
      <c r="P250" s="248"/>
      <c r="Q250" s="248"/>
      <c r="R250" s="247"/>
      <c r="S250" s="248"/>
      <c r="V250" s="248"/>
      <c r="W250" s="194"/>
      <c r="X250" s="249"/>
      <c r="Y250" s="250"/>
      <c r="Z250" s="251"/>
      <c r="AA250" s="252"/>
    </row>
    <row r="251" spans="13:27">
      <c r="M251" s="248"/>
      <c r="N251" s="248"/>
      <c r="O251" s="248"/>
      <c r="P251" s="248"/>
      <c r="Q251" s="248"/>
      <c r="R251" s="247"/>
      <c r="S251" s="248"/>
      <c r="V251" s="248"/>
      <c r="W251" s="194"/>
      <c r="X251" s="249"/>
      <c r="Y251" s="250"/>
      <c r="Z251" s="251"/>
      <c r="AA251" s="252"/>
    </row>
    <row r="252" spans="13:27">
      <c r="M252" s="248"/>
      <c r="N252" s="248"/>
      <c r="O252" s="248"/>
      <c r="P252" s="248"/>
      <c r="Q252" s="248"/>
      <c r="R252" s="247"/>
      <c r="S252" s="248"/>
      <c r="V252" s="248"/>
      <c r="W252" s="194"/>
      <c r="X252" s="249"/>
      <c r="Y252" s="250"/>
      <c r="Z252" s="251"/>
      <c r="AA252" s="252"/>
    </row>
    <row r="253" spans="13:27">
      <c r="M253" s="248"/>
      <c r="N253" s="248"/>
      <c r="O253" s="248"/>
      <c r="P253" s="248"/>
      <c r="Q253" s="248"/>
      <c r="R253" s="247"/>
      <c r="S253" s="248"/>
      <c r="V253" s="248"/>
      <c r="W253" s="194"/>
      <c r="X253" s="249"/>
      <c r="Y253" s="250"/>
      <c r="Z253" s="251"/>
      <c r="AA253" s="252"/>
    </row>
    <row r="254" spans="13:27">
      <c r="M254" s="248"/>
      <c r="N254" s="248"/>
      <c r="O254" s="248"/>
      <c r="P254" s="248"/>
      <c r="Q254" s="248"/>
      <c r="R254" s="247"/>
      <c r="S254" s="248"/>
      <c r="V254" s="248"/>
      <c r="W254" s="194"/>
      <c r="X254" s="249"/>
      <c r="Y254" s="250"/>
      <c r="Z254" s="251"/>
      <c r="AA254" s="252"/>
    </row>
    <row r="255" spans="13:27">
      <c r="M255" s="248"/>
      <c r="N255" s="248"/>
      <c r="O255" s="248"/>
      <c r="P255" s="248"/>
      <c r="Q255" s="248"/>
      <c r="R255" s="247"/>
      <c r="S255" s="248"/>
      <c r="V255" s="248"/>
      <c r="W255" s="194"/>
      <c r="X255" s="249"/>
      <c r="Y255" s="250"/>
      <c r="Z255" s="251"/>
      <c r="AA255" s="252"/>
    </row>
    <row r="256" spans="13:27">
      <c r="M256" s="248"/>
      <c r="N256" s="248"/>
      <c r="O256" s="248"/>
      <c r="P256" s="248"/>
      <c r="Q256" s="248"/>
      <c r="R256" s="247"/>
      <c r="S256" s="248"/>
      <c r="V256" s="248"/>
      <c r="W256" s="194"/>
      <c r="X256" s="249"/>
      <c r="Y256" s="250"/>
      <c r="Z256" s="251"/>
      <c r="AA256" s="252"/>
    </row>
    <row r="257" spans="13:27">
      <c r="M257" s="248"/>
      <c r="N257" s="248"/>
      <c r="O257" s="248"/>
      <c r="P257" s="248"/>
      <c r="Q257" s="248"/>
      <c r="R257" s="247"/>
      <c r="S257" s="248"/>
      <c r="V257" s="248"/>
      <c r="W257" s="194"/>
      <c r="X257" s="249"/>
      <c r="Y257" s="250"/>
      <c r="Z257" s="251"/>
      <c r="AA257" s="252"/>
    </row>
    <row r="258" spans="13:27">
      <c r="M258" s="248"/>
      <c r="N258" s="248"/>
      <c r="O258" s="248"/>
      <c r="P258" s="248"/>
      <c r="Q258" s="248"/>
      <c r="R258" s="247"/>
      <c r="S258" s="248"/>
      <c r="V258" s="248"/>
      <c r="W258" s="194"/>
      <c r="X258" s="249"/>
      <c r="Y258" s="250"/>
      <c r="Z258" s="251"/>
      <c r="AA258" s="252"/>
    </row>
    <row r="259" spans="13:27">
      <c r="M259" s="248"/>
      <c r="N259" s="248"/>
      <c r="O259" s="248"/>
      <c r="P259" s="248"/>
      <c r="Q259" s="248"/>
      <c r="R259" s="247"/>
      <c r="S259" s="248"/>
      <c r="V259" s="248"/>
      <c r="W259" s="194"/>
      <c r="X259" s="249"/>
      <c r="Y259" s="250"/>
      <c r="Z259" s="251"/>
      <c r="AA259" s="252"/>
    </row>
    <row r="260" spans="13:27">
      <c r="M260" s="248"/>
      <c r="N260" s="248"/>
      <c r="O260" s="248"/>
      <c r="P260" s="248"/>
      <c r="Q260" s="248"/>
      <c r="R260" s="247"/>
      <c r="S260" s="248"/>
      <c r="V260" s="248"/>
      <c r="W260" s="194"/>
      <c r="X260" s="249"/>
      <c r="Y260" s="250"/>
      <c r="Z260" s="251"/>
      <c r="AA260" s="252"/>
    </row>
    <row r="261" spans="13:27">
      <c r="M261" s="248"/>
      <c r="N261" s="248"/>
      <c r="O261" s="248"/>
      <c r="P261" s="248"/>
      <c r="Q261" s="248"/>
      <c r="R261" s="247"/>
      <c r="S261" s="248"/>
      <c r="V261" s="248"/>
      <c r="W261" s="194"/>
      <c r="X261" s="249"/>
      <c r="Y261" s="250"/>
      <c r="Z261" s="251"/>
      <c r="AA261" s="252"/>
    </row>
    <row r="262" spans="13:27">
      <c r="M262" s="248"/>
      <c r="N262" s="248"/>
      <c r="O262" s="248"/>
      <c r="P262" s="248"/>
      <c r="Q262" s="248"/>
      <c r="R262" s="247"/>
      <c r="S262" s="248"/>
      <c r="V262" s="248"/>
      <c r="W262" s="194"/>
      <c r="X262" s="249"/>
      <c r="Y262" s="250"/>
      <c r="Z262" s="251"/>
      <c r="AA262" s="252"/>
    </row>
    <row r="263" spans="13:27">
      <c r="M263" s="248"/>
      <c r="N263" s="248"/>
      <c r="O263" s="248"/>
      <c r="P263" s="248"/>
      <c r="Q263" s="248"/>
      <c r="R263" s="247"/>
      <c r="S263" s="248"/>
      <c r="V263" s="248"/>
      <c r="W263" s="194"/>
      <c r="X263" s="249"/>
      <c r="Y263" s="250"/>
      <c r="Z263" s="251"/>
      <c r="AA263" s="252"/>
    </row>
    <row r="264" spans="13:27">
      <c r="M264" s="248"/>
      <c r="N264" s="248"/>
      <c r="O264" s="248"/>
      <c r="P264" s="248"/>
      <c r="Q264" s="248"/>
      <c r="R264" s="247"/>
      <c r="S264" s="248"/>
      <c r="V264" s="248"/>
      <c r="W264" s="194"/>
      <c r="X264" s="249"/>
      <c r="Y264" s="250"/>
      <c r="Z264" s="251"/>
      <c r="AA264" s="252"/>
    </row>
    <row r="265" spans="13:27">
      <c r="M265" s="248"/>
      <c r="N265" s="248"/>
      <c r="O265" s="248"/>
      <c r="P265" s="248"/>
      <c r="Q265" s="248"/>
      <c r="R265" s="247"/>
      <c r="S265" s="248"/>
      <c r="V265" s="248"/>
      <c r="W265" s="194"/>
      <c r="X265" s="249"/>
      <c r="Y265" s="250"/>
      <c r="Z265" s="251"/>
      <c r="AA265" s="252"/>
    </row>
    <row r="266" spans="13:27">
      <c r="M266" s="248"/>
      <c r="N266" s="248"/>
      <c r="O266" s="248"/>
      <c r="P266" s="248"/>
      <c r="Q266" s="248"/>
      <c r="R266" s="247"/>
      <c r="S266" s="248"/>
      <c r="V266" s="248"/>
      <c r="W266" s="194"/>
      <c r="X266" s="249"/>
      <c r="Y266" s="250"/>
      <c r="Z266" s="251"/>
      <c r="AA266" s="252"/>
    </row>
    <row r="267" spans="13:27">
      <c r="M267" s="248"/>
      <c r="N267" s="248"/>
      <c r="O267" s="248"/>
      <c r="P267" s="248"/>
      <c r="Q267" s="248"/>
      <c r="R267" s="247"/>
      <c r="S267" s="248"/>
      <c r="V267" s="248"/>
      <c r="W267" s="194"/>
      <c r="X267" s="249"/>
      <c r="Y267" s="250"/>
      <c r="Z267" s="251"/>
      <c r="AA267" s="252"/>
    </row>
    <row r="268" spans="13:27">
      <c r="M268" s="248"/>
      <c r="N268" s="248"/>
      <c r="O268" s="248"/>
      <c r="P268" s="248"/>
      <c r="Q268" s="248"/>
      <c r="R268" s="247"/>
      <c r="S268" s="248"/>
      <c r="V268" s="248"/>
      <c r="W268" s="194"/>
      <c r="X268" s="249"/>
      <c r="Y268" s="250"/>
      <c r="Z268" s="251"/>
      <c r="AA268" s="252"/>
    </row>
    <row r="269" spans="13:27">
      <c r="M269" s="248"/>
      <c r="N269" s="248"/>
      <c r="O269" s="248"/>
      <c r="P269" s="248"/>
      <c r="Q269" s="248"/>
      <c r="R269" s="247"/>
      <c r="S269" s="248"/>
      <c r="V269" s="248"/>
      <c r="W269" s="194"/>
      <c r="X269" s="249"/>
      <c r="Y269" s="250"/>
      <c r="Z269" s="251"/>
      <c r="AA269" s="252"/>
    </row>
    <row r="270" spans="13:27">
      <c r="M270" s="248"/>
      <c r="N270" s="248"/>
      <c r="O270" s="248"/>
      <c r="P270" s="248"/>
      <c r="Q270" s="248"/>
      <c r="R270" s="247"/>
      <c r="S270" s="248"/>
      <c r="V270" s="248"/>
      <c r="W270" s="194"/>
      <c r="X270" s="249"/>
      <c r="Y270" s="250"/>
      <c r="Z270" s="251"/>
      <c r="AA270" s="252"/>
    </row>
    <row r="271" spans="13:27">
      <c r="M271" s="248"/>
      <c r="N271" s="248"/>
      <c r="O271" s="248"/>
      <c r="P271" s="248"/>
      <c r="Q271" s="248"/>
      <c r="R271" s="247"/>
      <c r="S271" s="248"/>
      <c r="V271" s="248"/>
      <c r="W271" s="194"/>
      <c r="X271" s="249"/>
      <c r="Y271" s="250"/>
      <c r="Z271" s="251"/>
      <c r="AA271" s="252"/>
    </row>
    <row r="272" spans="13:27">
      <c r="M272" s="248"/>
      <c r="N272" s="248"/>
      <c r="O272" s="248"/>
      <c r="P272" s="248"/>
      <c r="Q272" s="248"/>
      <c r="R272" s="247"/>
      <c r="S272" s="248"/>
      <c r="V272" s="248"/>
      <c r="W272" s="194"/>
      <c r="X272" s="249"/>
      <c r="Y272" s="250"/>
      <c r="Z272" s="251"/>
      <c r="AA272" s="252"/>
    </row>
    <row r="273" spans="13:27">
      <c r="M273" s="248"/>
      <c r="N273" s="248"/>
      <c r="O273" s="248"/>
      <c r="P273" s="248"/>
      <c r="Q273" s="248"/>
      <c r="R273" s="247"/>
      <c r="S273" s="248"/>
      <c r="V273" s="248"/>
      <c r="W273" s="194"/>
      <c r="X273" s="249"/>
      <c r="Y273" s="250"/>
      <c r="Z273" s="251"/>
      <c r="AA273" s="252"/>
    </row>
    <row r="274" spans="13:27">
      <c r="M274" s="248"/>
      <c r="N274" s="248"/>
      <c r="O274" s="248"/>
      <c r="P274" s="248"/>
      <c r="Q274" s="248"/>
      <c r="R274" s="247"/>
      <c r="S274" s="248"/>
      <c r="V274" s="248"/>
      <c r="W274" s="194"/>
      <c r="X274" s="249"/>
      <c r="Y274" s="250"/>
      <c r="Z274" s="251"/>
      <c r="AA274" s="252"/>
    </row>
    <row r="275" spans="13:27">
      <c r="M275" s="248"/>
      <c r="N275" s="248"/>
      <c r="O275" s="248"/>
      <c r="P275" s="248"/>
      <c r="Q275" s="248"/>
      <c r="R275" s="247"/>
      <c r="S275" s="248"/>
      <c r="V275" s="248"/>
      <c r="W275" s="194"/>
      <c r="X275" s="249"/>
      <c r="Y275" s="250"/>
      <c r="Z275" s="251"/>
      <c r="AA275" s="252"/>
    </row>
    <row r="276" spans="13:27">
      <c r="M276" s="248"/>
      <c r="N276" s="248"/>
      <c r="O276" s="248"/>
      <c r="P276" s="248"/>
      <c r="Q276" s="248"/>
      <c r="R276" s="247"/>
      <c r="S276" s="248"/>
      <c r="V276" s="248"/>
      <c r="W276" s="194"/>
      <c r="X276" s="249"/>
      <c r="Y276" s="250"/>
      <c r="Z276" s="251"/>
      <c r="AA276" s="252"/>
    </row>
    <row r="277" spans="13:27">
      <c r="M277" s="248"/>
      <c r="N277" s="248"/>
      <c r="O277" s="248"/>
      <c r="P277" s="248"/>
      <c r="Q277" s="248"/>
      <c r="R277" s="247"/>
      <c r="S277" s="248"/>
      <c r="V277" s="248"/>
      <c r="W277" s="194"/>
      <c r="X277" s="249"/>
      <c r="Y277" s="250"/>
      <c r="Z277" s="251"/>
      <c r="AA277" s="252"/>
    </row>
    <row r="278" spans="13:27">
      <c r="M278" s="248"/>
      <c r="N278" s="248"/>
      <c r="O278" s="248"/>
      <c r="P278" s="248"/>
      <c r="Q278" s="248"/>
      <c r="R278" s="247"/>
      <c r="S278" s="248"/>
      <c r="V278" s="248"/>
      <c r="W278" s="194"/>
      <c r="X278" s="249"/>
      <c r="Y278" s="250"/>
      <c r="Z278" s="251"/>
      <c r="AA278" s="252"/>
    </row>
    <row r="279" spans="13:27">
      <c r="M279" s="248"/>
      <c r="N279" s="248"/>
      <c r="O279" s="248"/>
      <c r="P279" s="248"/>
      <c r="Q279" s="248"/>
      <c r="R279" s="247"/>
      <c r="S279" s="248"/>
      <c r="V279" s="248"/>
      <c r="W279" s="194"/>
      <c r="X279" s="249"/>
      <c r="Y279" s="250"/>
      <c r="Z279" s="251"/>
      <c r="AA279" s="252"/>
    </row>
    <row r="280" spans="13:27">
      <c r="M280" s="248"/>
      <c r="N280" s="248"/>
      <c r="O280" s="248"/>
      <c r="P280" s="248"/>
      <c r="Q280" s="248"/>
      <c r="R280" s="247"/>
      <c r="S280" s="248"/>
      <c r="V280" s="248"/>
      <c r="W280" s="194"/>
      <c r="X280" s="249"/>
      <c r="Y280" s="250"/>
      <c r="Z280" s="251"/>
      <c r="AA280" s="252"/>
    </row>
    <row r="281" spans="13:27">
      <c r="M281" s="248"/>
      <c r="N281" s="248"/>
      <c r="O281" s="248"/>
      <c r="P281" s="248"/>
      <c r="Q281" s="248"/>
      <c r="R281" s="247"/>
      <c r="S281" s="248"/>
      <c r="V281" s="248"/>
      <c r="W281" s="194"/>
      <c r="X281" s="249"/>
      <c r="Y281" s="250"/>
      <c r="Z281" s="251"/>
      <c r="AA281" s="252"/>
    </row>
    <row r="282" spans="13:27">
      <c r="M282" s="248"/>
      <c r="N282" s="248"/>
      <c r="O282" s="248"/>
      <c r="P282" s="248"/>
      <c r="Q282" s="248"/>
      <c r="R282" s="247"/>
      <c r="S282" s="248"/>
      <c r="V282" s="248"/>
      <c r="W282" s="194"/>
      <c r="X282" s="249"/>
      <c r="Y282" s="250"/>
      <c r="Z282" s="251"/>
      <c r="AA282" s="252"/>
    </row>
    <row r="283" spans="13:27">
      <c r="M283" s="248"/>
      <c r="N283" s="248"/>
      <c r="O283" s="248"/>
      <c r="P283" s="248"/>
      <c r="Q283" s="248"/>
      <c r="R283" s="247"/>
      <c r="S283" s="248"/>
      <c r="V283" s="248"/>
      <c r="W283" s="194"/>
      <c r="X283" s="249"/>
      <c r="Y283" s="250"/>
      <c r="Z283" s="251"/>
      <c r="AA283" s="252"/>
    </row>
    <row r="284" spans="13:27">
      <c r="M284" s="248"/>
      <c r="N284" s="248"/>
      <c r="O284" s="248"/>
      <c r="P284" s="248"/>
      <c r="Q284" s="248"/>
      <c r="R284" s="247"/>
      <c r="S284" s="248"/>
      <c r="V284" s="248"/>
      <c r="W284" s="194"/>
      <c r="X284" s="249"/>
      <c r="Y284" s="250"/>
      <c r="Z284" s="251"/>
      <c r="AA284" s="252"/>
    </row>
    <row r="285" spans="13:27">
      <c r="M285" s="248"/>
      <c r="N285" s="248"/>
      <c r="O285" s="248"/>
      <c r="P285" s="248"/>
      <c r="Q285" s="248"/>
      <c r="R285" s="247"/>
      <c r="S285" s="248"/>
      <c r="V285" s="248"/>
      <c r="W285" s="194"/>
      <c r="X285" s="249"/>
      <c r="Y285" s="250"/>
      <c r="Z285" s="251"/>
      <c r="AA285" s="252"/>
    </row>
    <row r="286" spans="13:27">
      <c r="M286" s="248"/>
      <c r="N286" s="248"/>
      <c r="O286" s="248"/>
      <c r="P286" s="248"/>
      <c r="Q286" s="248"/>
      <c r="R286" s="247"/>
      <c r="S286" s="248"/>
      <c r="V286" s="248"/>
      <c r="W286" s="194"/>
      <c r="X286" s="249"/>
      <c r="Y286" s="250"/>
      <c r="Z286" s="251"/>
      <c r="AA286" s="252"/>
    </row>
    <row r="287" spans="13:27">
      <c r="M287" s="248"/>
      <c r="N287" s="248"/>
      <c r="O287" s="248"/>
      <c r="P287" s="248"/>
      <c r="Q287" s="248"/>
      <c r="R287" s="247"/>
      <c r="S287" s="248"/>
      <c r="V287" s="248"/>
      <c r="W287" s="194"/>
      <c r="X287" s="249"/>
      <c r="Y287" s="250"/>
      <c r="Z287" s="251"/>
      <c r="AA287" s="252"/>
    </row>
    <row r="288" spans="13:27">
      <c r="M288" s="248"/>
      <c r="N288" s="248"/>
      <c r="O288" s="248"/>
      <c r="P288" s="248"/>
      <c r="Q288" s="248"/>
      <c r="R288" s="247"/>
      <c r="S288" s="248"/>
      <c r="V288" s="248"/>
      <c r="W288" s="194"/>
      <c r="X288" s="249"/>
      <c r="Y288" s="250"/>
      <c r="Z288" s="251"/>
      <c r="AA288" s="252"/>
    </row>
    <row r="289" spans="13:27">
      <c r="M289" s="248"/>
      <c r="N289" s="248"/>
      <c r="O289" s="248"/>
      <c r="P289" s="248"/>
      <c r="Q289" s="248"/>
      <c r="R289" s="247"/>
      <c r="S289" s="248"/>
      <c r="V289" s="248"/>
      <c r="W289" s="194"/>
      <c r="X289" s="249"/>
      <c r="Y289" s="250"/>
      <c r="Z289" s="251"/>
      <c r="AA289" s="252"/>
    </row>
    <row r="290" spans="13:27">
      <c r="M290" s="248"/>
      <c r="N290" s="248"/>
      <c r="O290" s="248"/>
      <c r="P290" s="248"/>
      <c r="Q290" s="248"/>
      <c r="R290" s="247"/>
      <c r="S290" s="248"/>
      <c r="V290" s="248"/>
      <c r="W290" s="194"/>
      <c r="X290" s="249"/>
      <c r="Y290" s="250"/>
      <c r="Z290" s="251"/>
      <c r="AA290" s="252"/>
    </row>
    <row r="291" spans="13:27">
      <c r="M291" s="248"/>
      <c r="N291" s="248"/>
      <c r="O291" s="248"/>
      <c r="P291" s="248"/>
      <c r="Q291" s="248"/>
      <c r="R291" s="247"/>
      <c r="S291" s="248"/>
      <c r="V291" s="248"/>
      <c r="W291" s="194"/>
      <c r="X291" s="249"/>
      <c r="Y291" s="250"/>
      <c r="Z291" s="251"/>
      <c r="AA291" s="252"/>
    </row>
    <row r="292" spans="13:27">
      <c r="M292" s="248"/>
      <c r="N292" s="248"/>
      <c r="O292" s="248"/>
      <c r="P292" s="248"/>
      <c r="Q292" s="248"/>
      <c r="R292" s="247"/>
      <c r="S292" s="248"/>
      <c r="V292" s="248"/>
      <c r="W292" s="194"/>
      <c r="X292" s="249"/>
      <c r="Y292" s="250"/>
      <c r="Z292" s="251"/>
      <c r="AA292" s="252"/>
    </row>
    <row r="293" spans="13:27">
      <c r="M293" s="248"/>
      <c r="N293" s="248"/>
      <c r="O293" s="248"/>
      <c r="P293" s="248"/>
      <c r="Q293" s="248"/>
      <c r="R293" s="247"/>
      <c r="S293" s="248"/>
      <c r="V293" s="248"/>
      <c r="W293" s="194"/>
      <c r="X293" s="249"/>
      <c r="Y293" s="250"/>
      <c r="Z293" s="251"/>
      <c r="AA293" s="252"/>
    </row>
    <row r="294" spans="13:27">
      <c r="M294" s="248"/>
      <c r="N294" s="248"/>
      <c r="O294" s="248"/>
      <c r="P294" s="248"/>
      <c r="Q294" s="248"/>
      <c r="R294" s="247"/>
      <c r="S294" s="248"/>
      <c r="V294" s="248"/>
      <c r="W294" s="194"/>
      <c r="X294" s="249"/>
      <c r="Y294" s="250"/>
      <c r="Z294" s="251"/>
      <c r="AA294" s="252"/>
    </row>
    <row r="295" spans="13:27">
      <c r="M295" s="248"/>
      <c r="N295" s="248"/>
      <c r="O295" s="248"/>
      <c r="P295" s="248"/>
      <c r="Q295" s="248"/>
      <c r="R295" s="247"/>
      <c r="S295" s="248"/>
      <c r="V295" s="248"/>
      <c r="W295" s="194"/>
      <c r="X295" s="249"/>
      <c r="Y295" s="250"/>
      <c r="Z295" s="251"/>
      <c r="AA295" s="252"/>
    </row>
    <row r="296" spans="13:27">
      <c r="M296" s="248"/>
      <c r="N296" s="248"/>
      <c r="O296" s="248"/>
      <c r="P296" s="248"/>
      <c r="Q296" s="248"/>
      <c r="R296" s="247"/>
      <c r="S296" s="248"/>
      <c r="V296" s="248"/>
      <c r="W296" s="194"/>
      <c r="X296" s="249"/>
      <c r="Y296" s="250"/>
      <c r="Z296" s="251"/>
      <c r="AA296" s="252"/>
    </row>
    <row r="297" spans="13:27">
      <c r="M297" s="248"/>
      <c r="N297" s="248"/>
      <c r="O297" s="248"/>
      <c r="P297" s="248"/>
      <c r="Q297" s="248"/>
      <c r="R297" s="247"/>
      <c r="S297" s="248"/>
      <c r="V297" s="248"/>
      <c r="W297" s="194"/>
      <c r="X297" s="249"/>
      <c r="Y297" s="250"/>
      <c r="Z297" s="251"/>
      <c r="AA297" s="252"/>
    </row>
    <row r="298" spans="13:27">
      <c r="M298" s="248"/>
      <c r="N298" s="248"/>
      <c r="O298" s="248"/>
      <c r="P298" s="248"/>
      <c r="Q298" s="248"/>
      <c r="R298" s="247"/>
      <c r="S298" s="248"/>
      <c r="V298" s="248"/>
      <c r="W298" s="194"/>
      <c r="X298" s="249"/>
      <c r="Y298" s="250"/>
      <c r="Z298" s="251"/>
      <c r="AA298" s="252"/>
    </row>
    <row r="299" spans="13:27">
      <c r="M299" s="248"/>
      <c r="N299" s="248"/>
      <c r="O299" s="248"/>
      <c r="P299" s="248"/>
      <c r="Q299" s="248"/>
      <c r="R299" s="247"/>
      <c r="S299" s="248"/>
      <c r="V299" s="248"/>
      <c r="W299" s="194"/>
      <c r="X299" s="249"/>
      <c r="Y299" s="250"/>
      <c r="Z299" s="251"/>
      <c r="AA299" s="252"/>
    </row>
    <row r="300" spans="13:27">
      <c r="M300" s="248"/>
      <c r="N300" s="248"/>
      <c r="O300" s="248"/>
      <c r="P300" s="248"/>
      <c r="Q300" s="248"/>
      <c r="R300" s="247"/>
      <c r="S300" s="248"/>
      <c r="V300" s="248"/>
      <c r="W300" s="194"/>
      <c r="X300" s="249"/>
      <c r="Y300" s="250"/>
      <c r="Z300" s="251"/>
      <c r="AA300" s="252"/>
    </row>
    <row r="301" spans="13:27">
      <c r="M301" s="248"/>
      <c r="N301" s="248"/>
      <c r="O301" s="248"/>
      <c r="P301" s="248"/>
      <c r="Q301" s="248"/>
      <c r="R301" s="247"/>
      <c r="S301" s="248"/>
      <c r="V301" s="248"/>
      <c r="W301" s="194"/>
      <c r="X301" s="249"/>
      <c r="Y301" s="250"/>
      <c r="Z301" s="251"/>
      <c r="AA301" s="252"/>
    </row>
    <row r="302" spans="13:27">
      <c r="M302" s="248"/>
      <c r="N302" s="248"/>
      <c r="O302" s="248"/>
      <c r="P302" s="248"/>
      <c r="Q302" s="248"/>
      <c r="R302" s="247"/>
      <c r="S302" s="248"/>
      <c r="V302" s="248"/>
      <c r="W302" s="194"/>
      <c r="X302" s="249"/>
      <c r="Y302" s="250"/>
      <c r="Z302" s="251"/>
      <c r="AA302" s="252"/>
    </row>
    <row r="303" spans="13:27">
      <c r="M303" s="248"/>
      <c r="N303" s="248"/>
      <c r="O303" s="248"/>
      <c r="P303" s="248"/>
      <c r="Q303" s="248"/>
      <c r="R303" s="247"/>
      <c r="S303" s="248"/>
      <c r="V303" s="248"/>
      <c r="W303" s="194"/>
      <c r="X303" s="249"/>
      <c r="Y303" s="250"/>
      <c r="Z303" s="251"/>
      <c r="AA303" s="252"/>
    </row>
    <row r="304" spans="13:27">
      <c r="M304" s="248"/>
      <c r="N304" s="248"/>
      <c r="O304" s="248"/>
      <c r="P304" s="248"/>
      <c r="Q304" s="248"/>
      <c r="R304" s="247"/>
      <c r="S304" s="248"/>
      <c r="V304" s="248"/>
      <c r="W304" s="194"/>
      <c r="X304" s="249"/>
      <c r="Y304" s="250"/>
      <c r="Z304" s="251"/>
      <c r="AA304" s="252"/>
    </row>
    <row r="305" spans="13:27">
      <c r="M305" s="248"/>
      <c r="N305" s="248"/>
      <c r="O305" s="248"/>
      <c r="P305" s="248"/>
      <c r="Q305" s="248"/>
      <c r="R305" s="247"/>
      <c r="S305" s="248"/>
      <c r="V305" s="248"/>
      <c r="W305" s="194"/>
      <c r="X305" s="249"/>
      <c r="Y305" s="250"/>
      <c r="Z305" s="251"/>
      <c r="AA305" s="252"/>
    </row>
    <row r="306" spans="13:27">
      <c r="M306" s="248"/>
      <c r="N306" s="248"/>
      <c r="O306" s="248"/>
      <c r="P306" s="248"/>
      <c r="Q306" s="248"/>
      <c r="R306" s="247"/>
      <c r="S306" s="248"/>
      <c r="V306" s="248"/>
      <c r="W306" s="194"/>
      <c r="X306" s="249"/>
      <c r="Y306" s="250"/>
      <c r="Z306" s="251"/>
      <c r="AA306" s="252"/>
    </row>
    <row r="307" spans="13:27">
      <c r="M307" s="248"/>
      <c r="N307" s="248"/>
      <c r="O307" s="248"/>
      <c r="P307" s="248"/>
      <c r="Q307" s="248"/>
      <c r="R307" s="247"/>
      <c r="S307" s="248"/>
      <c r="V307" s="248"/>
      <c r="W307" s="194"/>
      <c r="X307" s="249"/>
      <c r="Y307" s="250"/>
      <c r="Z307" s="251"/>
      <c r="AA307" s="252"/>
    </row>
    <row r="308" spans="13:27">
      <c r="M308" s="248"/>
      <c r="N308" s="248"/>
      <c r="O308" s="248"/>
      <c r="P308" s="248"/>
      <c r="Q308" s="248"/>
      <c r="R308" s="247"/>
      <c r="S308" s="248"/>
      <c r="V308" s="248"/>
      <c r="W308" s="194"/>
      <c r="X308" s="249"/>
      <c r="Y308" s="250"/>
      <c r="Z308" s="251"/>
      <c r="AA308" s="252"/>
    </row>
    <row r="309" spans="13:27">
      <c r="M309" s="248"/>
      <c r="N309" s="248"/>
      <c r="O309" s="248"/>
      <c r="P309" s="248"/>
      <c r="Q309" s="248"/>
      <c r="R309" s="247"/>
      <c r="S309" s="248"/>
      <c r="V309" s="248"/>
      <c r="W309" s="194"/>
      <c r="X309" s="249"/>
      <c r="Y309" s="250"/>
      <c r="Z309" s="251"/>
      <c r="AA309" s="252"/>
    </row>
    <row r="310" spans="13:27">
      <c r="M310" s="248"/>
      <c r="N310" s="248"/>
      <c r="O310" s="248"/>
      <c r="P310" s="248"/>
      <c r="Q310" s="248"/>
      <c r="R310" s="247"/>
      <c r="S310" s="248"/>
      <c r="V310" s="248"/>
      <c r="W310" s="194"/>
      <c r="X310" s="249"/>
      <c r="Y310" s="250"/>
      <c r="Z310" s="251"/>
      <c r="AA310" s="252"/>
    </row>
    <row r="311" spans="13:27">
      <c r="M311" s="248"/>
      <c r="N311" s="248"/>
      <c r="O311" s="248"/>
      <c r="P311" s="248"/>
      <c r="Q311" s="248"/>
      <c r="R311" s="247"/>
      <c r="S311" s="248"/>
      <c r="V311" s="248"/>
      <c r="W311" s="194"/>
      <c r="X311" s="249"/>
      <c r="Y311" s="250"/>
      <c r="Z311" s="251"/>
      <c r="AA311" s="252"/>
    </row>
    <row r="312" spans="13:27">
      <c r="M312" s="248"/>
      <c r="N312" s="248"/>
      <c r="O312" s="248"/>
      <c r="P312" s="248"/>
      <c r="Q312" s="248"/>
      <c r="R312" s="247"/>
      <c r="S312" s="248"/>
      <c r="V312" s="248"/>
      <c r="W312" s="194"/>
      <c r="X312" s="249"/>
      <c r="Y312" s="250"/>
      <c r="Z312" s="251"/>
      <c r="AA312" s="252"/>
    </row>
    <row r="313" spans="13:27">
      <c r="M313" s="248"/>
      <c r="N313" s="248"/>
      <c r="O313" s="248"/>
      <c r="P313" s="248"/>
      <c r="Q313" s="248"/>
      <c r="R313" s="247"/>
      <c r="S313" s="248"/>
      <c r="V313" s="248"/>
      <c r="W313" s="194"/>
      <c r="X313" s="249"/>
      <c r="Y313" s="250"/>
      <c r="Z313" s="251"/>
      <c r="AA313" s="252"/>
    </row>
    <row r="314" spans="13:27">
      <c r="M314" s="248"/>
      <c r="N314" s="248"/>
      <c r="O314" s="248"/>
      <c r="P314" s="248"/>
      <c r="Q314" s="248"/>
      <c r="R314" s="247"/>
      <c r="S314" s="248"/>
      <c r="V314" s="248"/>
      <c r="W314" s="194"/>
      <c r="X314" s="249"/>
      <c r="Y314" s="250"/>
      <c r="Z314" s="251"/>
      <c r="AA314" s="252"/>
    </row>
    <row r="315" spans="13:27">
      <c r="M315" s="248"/>
      <c r="N315" s="248"/>
      <c r="O315" s="248"/>
      <c r="P315" s="248"/>
      <c r="Q315" s="248"/>
      <c r="R315" s="247"/>
      <c r="S315" s="248"/>
      <c r="V315" s="248"/>
      <c r="W315" s="194"/>
      <c r="X315" s="249"/>
      <c r="Y315" s="250"/>
      <c r="Z315" s="251"/>
      <c r="AA315" s="252"/>
    </row>
    <row r="316" spans="13:27">
      <c r="M316" s="248"/>
      <c r="N316" s="248"/>
      <c r="O316" s="248"/>
      <c r="P316" s="248"/>
      <c r="Q316" s="248"/>
      <c r="R316" s="247"/>
      <c r="S316" s="248"/>
      <c r="V316" s="248"/>
      <c r="W316" s="194"/>
      <c r="X316" s="249"/>
      <c r="Y316" s="250"/>
      <c r="Z316" s="251"/>
      <c r="AA316" s="252"/>
    </row>
    <row r="317" spans="13:27">
      <c r="M317" s="248"/>
      <c r="N317" s="248"/>
      <c r="O317" s="248"/>
      <c r="P317" s="248"/>
      <c r="Q317" s="248"/>
      <c r="R317" s="247"/>
      <c r="S317" s="248"/>
      <c r="V317" s="248"/>
      <c r="W317" s="194"/>
      <c r="X317" s="249"/>
      <c r="Y317" s="250"/>
      <c r="Z317" s="251"/>
      <c r="AA317" s="252"/>
    </row>
    <row r="318" spans="13:27">
      <c r="M318" s="248"/>
      <c r="N318" s="248"/>
      <c r="O318" s="248"/>
      <c r="P318" s="248"/>
      <c r="Q318" s="248"/>
      <c r="R318" s="247"/>
      <c r="S318" s="248"/>
      <c r="V318" s="248"/>
      <c r="W318" s="194"/>
      <c r="X318" s="249"/>
      <c r="Y318" s="250"/>
      <c r="Z318" s="251"/>
      <c r="AA318" s="252"/>
    </row>
    <row r="319" spans="13:27">
      <c r="M319" s="248"/>
      <c r="N319" s="248"/>
      <c r="O319" s="248"/>
      <c r="P319" s="248"/>
      <c r="Q319" s="248"/>
      <c r="R319" s="247"/>
      <c r="S319" s="248"/>
      <c r="V319" s="248"/>
      <c r="W319" s="194"/>
      <c r="X319" s="249"/>
      <c r="Y319" s="250"/>
      <c r="Z319" s="251"/>
      <c r="AA319" s="252"/>
    </row>
    <row r="320" spans="13:27">
      <c r="M320" s="248"/>
      <c r="N320" s="248"/>
      <c r="O320" s="248"/>
      <c r="P320" s="248"/>
      <c r="Q320" s="248"/>
      <c r="R320" s="247"/>
      <c r="S320" s="248"/>
      <c r="V320" s="248"/>
      <c r="W320" s="194"/>
      <c r="X320" s="249"/>
      <c r="Y320" s="250"/>
      <c r="Z320" s="251"/>
      <c r="AA320" s="252"/>
    </row>
    <row r="321" spans="13:27">
      <c r="M321" s="248"/>
      <c r="N321" s="248"/>
      <c r="O321" s="248"/>
      <c r="P321" s="248"/>
      <c r="Q321" s="248"/>
      <c r="R321" s="247"/>
      <c r="S321" s="248"/>
      <c r="V321" s="248"/>
      <c r="W321" s="194"/>
      <c r="X321" s="249"/>
      <c r="Y321" s="250"/>
      <c r="Z321" s="251"/>
      <c r="AA321" s="252"/>
    </row>
    <row r="322" spans="13:27">
      <c r="M322" s="248"/>
      <c r="N322" s="248"/>
      <c r="O322" s="248"/>
      <c r="P322" s="248"/>
      <c r="Q322" s="248"/>
      <c r="R322" s="247"/>
      <c r="S322" s="248"/>
      <c r="V322" s="248"/>
      <c r="W322" s="194"/>
      <c r="X322" s="249"/>
      <c r="Y322" s="250"/>
      <c r="Z322" s="251"/>
      <c r="AA322" s="252"/>
    </row>
    <row r="323" spans="13:27">
      <c r="M323" s="248"/>
      <c r="N323" s="248"/>
      <c r="O323" s="248"/>
      <c r="P323" s="248"/>
      <c r="Q323" s="248"/>
      <c r="R323" s="247"/>
      <c r="S323" s="248"/>
      <c r="V323" s="248"/>
      <c r="W323" s="194"/>
      <c r="X323" s="249"/>
      <c r="Y323" s="250"/>
      <c r="Z323" s="251"/>
      <c r="AA323" s="252"/>
    </row>
    <row r="324" spans="13:27">
      <c r="M324" s="248"/>
      <c r="N324" s="248"/>
      <c r="O324" s="248"/>
      <c r="P324" s="248"/>
      <c r="Q324" s="248"/>
      <c r="R324" s="247"/>
      <c r="S324" s="248"/>
      <c r="V324" s="248"/>
      <c r="W324" s="194"/>
      <c r="X324" s="249"/>
      <c r="Y324" s="250"/>
      <c r="Z324" s="251"/>
      <c r="AA324" s="252"/>
    </row>
    <row r="325" spans="13:27">
      <c r="M325" s="248"/>
      <c r="N325" s="248"/>
      <c r="O325" s="248"/>
      <c r="P325" s="248"/>
      <c r="Q325" s="248"/>
      <c r="R325" s="247"/>
      <c r="S325" s="248"/>
      <c r="V325" s="248"/>
      <c r="W325" s="194"/>
      <c r="X325" s="249"/>
      <c r="Y325" s="250"/>
      <c r="Z325" s="251"/>
      <c r="AA325" s="252"/>
    </row>
    <row r="326" spans="13:27">
      <c r="M326" s="248"/>
      <c r="N326" s="248"/>
      <c r="O326" s="248"/>
      <c r="P326" s="248"/>
      <c r="Q326" s="248"/>
      <c r="R326" s="247"/>
      <c r="S326" s="248"/>
      <c r="V326" s="248"/>
      <c r="W326" s="194"/>
      <c r="X326" s="249"/>
      <c r="Y326" s="250"/>
      <c r="Z326" s="251"/>
      <c r="AA326" s="252"/>
    </row>
    <row r="327" spans="13:27">
      <c r="M327" s="248"/>
      <c r="N327" s="248"/>
      <c r="O327" s="248"/>
      <c r="P327" s="248"/>
      <c r="Q327" s="248"/>
      <c r="R327" s="247"/>
      <c r="S327" s="248"/>
      <c r="V327" s="248"/>
      <c r="W327" s="194"/>
      <c r="X327" s="249"/>
      <c r="Y327" s="250"/>
      <c r="Z327" s="251"/>
      <c r="AA327" s="252"/>
    </row>
    <row r="328" spans="13:27">
      <c r="M328" s="248"/>
      <c r="N328" s="248"/>
      <c r="O328" s="248"/>
      <c r="P328" s="248"/>
      <c r="Q328" s="248"/>
      <c r="R328" s="247"/>
      <c r="S328" s="248"/>
      <c r="V328" s="248"/>
      <c r="W328" s="194"/>
      <c r="X328" s="249"/>
      <c r="Y328" s="250"/>
      <c r="Z328" s="251"/>
      <c r="AA328" s="252"/>
    </row>
    <row r="329" spans="13:27">
      <c r="M329" s="248"/>
      <c r="N329" s="248"/>
      <c r="O329" s="248"/>
      <c r="P329" s="248"/>
      <c r="Q329" s="248"/>
      <c r="R329" s="247"/>
      <c r="S329" s="248"/>
      <c r="V329" s="248"/>
      <c r="W329" s="194"/>
      <c r="X329" s="249"/>
      <c r="Y329" s="250"/>
      <c r="Z329" s="251"/>
      <c r="AA329" s="252"/>
    </row>
    <row r="330" spans="13:27">
      <c r="M330" s="248"/>
      <c r="N330" s="248"/>
      <c r="O330" s="248"/>
      <c r="P330" s="248"/>
      <c r="Q330" s="248"/>
      <c r="R330" s="247"/>
      <c r="S330" s="248"/>
      <c r="V330" s="248"/>
      <c r="W330" s="194"/>
      <c r="X330" s="249"/>
      <c r="Y330" s="250"/>
      <c r="Z330" s="251"/>
      <c r="AA330" s="252"/>
    </row>
    <row r="331" spans="13:27">
      <c r="M331" s="248"/>
      <c r="N331" s="248"/>
      <c r="O331" s="248"/>
      <c r="P331" s="248"/>
      <c r="Q331" s="248"/>
      <c r="R331" s="247"/>
      <c r="S331" s="248"/>
      <c r="V331" s="248"/>
      <c r="W331" s="194"/>
      <c r="X331" s="249"/>
      <c r="Y331" s="250"/>
      <c r="Z331" s="251"/>
      <c r="AA331" s="252"/>
    </row>
    <row r="332" spans="13:27">
      <c r="M332" s="248"/>
      <c r="N332" s="248"/>
      <c r="O332" s="248"/>
      <c r="P332" s="248"/>
      <c r="Q332" s="248"/>
      <c r="R332" s="247"/>
      <c r="S332" s="248"/>
      <c r="V332" s="248"/>
      <c r="W332" s="194"/>
      <c r="X332" s="249"/>
      <c r="Y332" s="250"/>
      <c r="Z332" s="251"/>
      <c r="AA332" s="252"/>
    </row>
    <row r="333" spans="13:27">
      <c r="M333" s="248"/>
      <c r="N333" s="248"/>
      <c r="O333" s="248"/>
      <c r="P333" s="248"/>
      <c r="Q333" s="248"/>
      <c r="R333" s="247"/>
      <c r="S333" s="248"/>
      <c r="V333" s="248"/>
      <c r="W333" s="194"/>
      <c r="X333" s="249"/>
      <c r="Y333" s="250"/>
      <c r="Z333" s="251"/>
      <c r="AA333" s="252"/>
    </row>
    <row r="334" spans="13:27">
      <c r="M334" s="248"/>
      <c r="N334" s="248"/>
      <c r="O334" s="248"/>
      <c r="P334" s="248"/>
      <c r="Q334" s="248"/>
      <c r="R334" s="247"/>
      <c r="S334" s="248"/>
      <c r="V334" s="248"/>
      <c r="W334" s="194"/>
      <c r="X334" s="249"/>
      <c r="Y334" s="250"/>
      <c r="Z334" s="251"/>
      <c r="AA334" s="252"/>
    </row>
    <row r="335" spans="13:27">
      <c r="M335" s="248"/>
      <c r="N335" s="248"/>
      <c r="O335" s="248"/>
      <c r="P335" s="248"/>
      <c r="Q335" s="248"/>
      <c r="R335" s="247"/>
      <c r="S335" s="248"/>
      <c r="V335" s="248"/>
      <c r="W335" s="194"/>
      <c r="X335" s="249"/>
      <c r="Y335" s="250"/>
      <c r="Z335" s="251"/>
      <c r="AA335" s="252"/>
    </row>
    <row r="336" spans="13:27">
      <c r="M336" s="248"/>
      <c r="N336" s="248"/>
      <c r="O336" s="248"/>
      <c r="P336" s="248"/>
      <c r="Q336" s="248"/>
      <c r="R336" s="247"/>
      <c r="S336" s="248"/>
      <c r="V336" s="248"/>
      <c r="W336" s="194"/>
      <c r="X336" s="249"/>
      <c r="Y336" s="250"/>
      <c r="Z336" s="251"/>
      <c r="AA336" s="252"/>
    </row>
    <row r="337" spans="13:27">
      <c r="M337" s="248"/>
      <c r="N337" s="248"/>
      <c r="O337" s="248"/>
      <c r="P337" s="248"/>
      <c r="Q337" s="248"/>
      <c r="R337" s="247"/>
      <c r="S337" s="248"/>
      <c r="V337" s="248"/>
      <c r="W337" s="194"/>
      <c r="X337" s="249"/>
      <c r="Y337" s="250"/>
      <c r="Z337" s="251"/>
      <c r="AA337" s="252"/>
    </row>
    <row r="338" spans="13:27">
      <c r="M338" s="248"/>
      <c r="N338" s="248"/>
      <c r="O338" s="248"/>
      <c r="P338" s="248"/>
      <c r="Q338" s="248"/>
      <c r="R338" s="247"/>
      <c r="S338" s="248"/>
      <c r="V338" s="248"/>
      <c r="W338" s="194"/>
      <c r="X338" s="249"/>
      <c r="Y338" s="250"/>
      <c r="Z338" s="251"/>
      <c r="AA338" s="252"/>
    </row>
    <row r="339" spans="13:27">
      <c r="M339" s="248"/>
      <c r="N339" s="248"/>
      <c r="O339" s="248"/>
      <c r="P339" s="248"/>
      <c r="Q339" s="248"/>
      <c r="R339" s="247"/>
      <c r="S339" s="248"/>
      <c r="V339" s="248"/>
      <c r="W339" s="194"/>
      <c r="X339" s="249"/>
      <c r="Y339" s="250"/>
      <c r="Z339" s="251"/>
      <c r="AA339" s="252"/>
    </row>
    <row r="340" spans="13:27">
      <c r="M340" s="248"/>
      <c r="N340" s="248"/>
      <c r="O340" s="248"/>
      <c r="P340" s="248"/>
      <c r="Q340" s="248"/>
      <c r="R340" s="247"/>
      <c r="S340" s="248"/>
      <c r="V340" s="248"/>
      <c r="W340" s="194"/>
      <c r="X340" s="249"/>
      <c r="Y340" s="250"/>
      <c r="Z340" s="251"/>
      <c r="AA340" s="252"/>
    </row>
    <row r="341" spans="13:27">
      <c r="M341" s="248"/>
      <c r="N341" s="248"/>
      <c r="O341" s="248"/>
      <c r="P341" s="248"/>
      <c r="Q341" s="248"/>
      <c r="R341" s="247"/>
      <c r="S341" s="248"/>
      <c r="V341" s="248"/>
      <c r="W341" s="194"/>
      <c r="X341" s="249"/>
      <c r="Y341" s="250"/>
      <c r="Z341" s="251"/>
      <c r="AA341" s="252"/>
    </row>
    <row r="342" spans="13:27">
      <c r="M342" s="248"/>
      <c r="N342" s="248"/>
      <c r="O342" s="248"/>
      <c r="P342" s="248"/>
      <c r="Q342" s="248"/>
      <c r="R342" s="247"/>
      <c r="S342" s="248"/>
      <c r="V342" s="248"/>
      <c r="W342" s="194"/>
      <c r="X342" s="249"/>
      <c r="Y342" s="250"/>
      <c r="Z342" s="251"/>
      <c r="AA342" s="252"/>
    </row>
    <row r="343" spans="13:27">
      <c r="M343" s="248"/>
      <c r="N343" s="248"/>
      <c r="O343" s="248"/>
      <c r="P343" s="248"/>
      <c r="Q343" s="248"/>
      <c r="R343" s="247"/>
      <c r="S343" s="248"/>
      <c r="V343" s="248"/>
      <c r="W343" s="194"/>
      <c r="X343" s="249"/>
      <c r="Y343" s="250"/>
      <c r="Z343" s="251"/>
      <c r="AA343" s="252"/>
    </row>
    <row r="344" spans="13:27">
      <c r="M344" s="248"/>
      <c r="N344" s="248"/>
      <c r="O344" s="248"/>
      <c r="P344" s="248"/>
      <c r="Q344" s="248"/>
      <c r="R344" s="247"/>
      <c r="S344" s="248"/>
      <c r="V344" s="248"/>
      <c r="W344" s="194"/>
      <c r="X344" s="249"/>
      <c r="Y344" s="250"/>
      <c r="Z344" s="251"/>
      <c r="AA344" s="252"/>
    </row>
    <row r="345" spans="13:27">
      <c r="M345" s="248"/>
      <c r="N345" s="248"/>
      <c r="O345" s="248"/>
      <c r="P345" s="248"/>
      <c r="Q345" s="248"/>
      <c r="R345" s="247"/>
      <c r="S345" s="248"/>
      <c r="V345" s="248"/>
      <c r="W345" s="194"/>
      <c r="X345" s="249"/>
      <c r="Y345" s="250"/>
      <c r="Z345" s="251"/>
      <c r="AA345" s="252"/>
    </row>
    <row r="346" spans="13:27">
      <c r="M346" s="248"/>
      <c r="N346" s="248"/>
      <c r="O346" s="248"/>
      <c r="P346" s="248"/>
      <c r="Q346" s="248"/>
      <c r="R346" s="247"/>
      <c r="S346" s="248"/>
      <c r="V346" s="248"/>
      <c r="W346" s="194"/>
      <c r="X346" s="249"/>
      <c r="Y346" s="250"/>
      <c r="Z346" s="251"/>
      <c r="AA346" s="252"/>
    </row>
    <row r="347" spans="13:27">
      <c r="M347" s="248"/>
      <c r="N347" s="248"/>
      <c r="O347" s="248"/>
      <c r="P347" s="248"/>
      <c r="Q347" s="248"/>
      <c r="R347" s="247"/>
      <c r="S347" s="248"/>
      <c r="V347" s="248"/>
      <c r="W347" s="194"/>
      <c r="X347" s="249"/>
      <c r="Y347" s="250"/>
      <c r="Z347" s="251"/>
      <c r="AA347" s="252"/>
    </row>
    <row r="348" spans="13:27">
      <c r="M348" s="248"/>
      <c r="N348" s="248"/>
      <c r="O348" s="248"/>
      <c r="P348" s="248"/>
      <c r="Q348" s="248"/>
      <c r="R348" s="247"/>
      <c r="S348" s="248"/>
      <c r="V348" s="248"/>
      <c r="W348" s="194"/>
      <c r="X348" s="249"/>
      <c r="Y348" s="250"/>
      <c r="Z348" s="251"/>
      <c r="AA348" s="252"/>
    </row>
    <row r="349" spans="13:27">
      <c r="M349" s="248"/>
      <c r="N349" s="248"/>
      <c r="O349" s="248"/>
      <c r="P349" s="248"/>
      <c r="Q349" s="248"/>
      <c r="R349" s="247"/>
      <c r="S349" s="248"/>
      <c r="V349" s="248"/>
      <c r="W349" s="194"/>
      <c r="X349" s="249"/>
      <c r="Y349" s="250"/>
      <c r="Z349" s="251"/>
      <c r="AA349" s="252"/>
    </row>
    <row r="350" spans="13:27">
      <c r="M350" s="248"/>
      <c r="N350" s="248"/>
      <c r="O350" s="248"/>
      <c r="P350" s="248"/>
      <c r="Q350" s="248"/>
      <c r="R350" s="247"/>
      <c r="S350" s="248"/>
      <c r="V350" s="248"/>
      <c r="W350" s="194"/>
      <c r="X350" s="249"/>
      <c r="Y350" s="250"/>
      <c r="Z350" s="251"/>
      <c r="AA350" s="252"/>
    </row>
    <row r="351" spans="13:27">
      <c r="M351" s="248"/>
      <c r="N351" s="248"/>
      <c r="O351" s="248"/>
      <c r="P351" s="248"/>
      <c r="Q351" s="248"/>
      <c r="R351" s="247"/>
      <c r="S351" s="248"/>
      <c r="V351" s="248"/>
      <c r="W351" s="194"/>
      <c r="X351" s="249"/>
      <c r="Y351" s="250"/>
      <c r="Z351" s="251"/>
      <c r="AA351" s="252"/>
    </row>
    <row r="352" spans="13:27">
      <c r="M352" s="248"/>
      <c r="N352" s="248"/>
      <c r="O352" s="248"/>
      <c r="P352" s="248"/>
      <c r="Q352" s="248"/>
      <c r="R352" s="247"/>
      <c r="S352" s="248"/>
      <c r="V352" s="248"/>
      <c r="W352" s="194"/>
      <c r="X352" s="249"/>
      <c r="Y352" s="250"/>
      <c r="Z352" s="251"/>
      <c r="AA352" s="252"/>
    </row>
    <row r="353" spans="13:27">
      <c r="M353" s="248"/>
      <c r="N353" s="248"/>
      <c r="O353" s="248"/>
      <c r="P353" s="248"/>
      <c r="Q353" s="248"/>
      <c r="R353" s="247"/>
      <c r="S353" s="248"/>
      <c r="V353" s="248"/>
      <c r="W353" s="194"/>
      <c r="X353" s="249"/>
      <c r="Y353" s="250"/>
      <c r="Z353" s="251"/>
      <c r="AA353" s="252"/>
    </row>
    <row r="354" spans="13:27">
      <c r="M354" s="248"/>
      <c r="N354" s="248"/>
      <c r="O354" s="248"/>
      <c r="P354" s="248"/>
      <c r="Q354" s="248"/>
      <c r="R354" s="247"/>
      <c r="S354" s="248"/>
      <c r="V354" s="248"/>
      <c r="W354" s="194"/>
      <c r="X354" s="249"/>
      <c r="Y354" s="250"/>
      <c r="Z354" s="251"/>
      <c r="AA354" s="252"/>
    </row>
    <row r="355" spans="13:27">
      <c r="M355" s="248"/>
      <c r="N355" s="248"/>
      <c r="O355" s="248"/>
      <c r="P355" s="248"/>
      <c r="Q355" s="248"/>
      <c r="R355" s="247"/>
      <c r="S355" s="248"/>
      <c r="V355" s="248"/>
      <c r="W355" s="194"/>
      <c r="X355" s="249"/>
      <c r="Y355" s="250"/>
      <c r="Z355" s="251"/>
      <c r="AA355" s="252"/>
    </row>
    <row r="356" spans="13:27">
      <c r="M356" s="248"/>
      <c r="N356" s="248"/>
      <c r="O356" s="248"/>
      <c r="P356" s="248"/>
      <c r="Q356" s="248"/>
      <c r="R356" s="247"/>
      <c r="S356" s="248"/>
      <c r="V356" s="248"/>
      <c r="W356" s="194"/>
      <c r="X356" s="249"/>
      <c r="Y356" s="250"/>
      <c r="Z356" s="251"/>
      <c r="AA356" s="252"/>
    </row>
    <row r="357" spans="13:27">
      <c r="M357" s="248"/>
      <c r="N357" s="248"/>
      <c r="O357" s="248"/>
      <c r="P357" s="248"/>
      <c r="Q357" s="248"/>
      <c r="R357" s="247"/>
      <c r="S357" s="248"/>
      <c r="V357" s="248"/>
      <c r="W357" s="194"/>
      <c r="X357" s="249"/>
      <c r="Y357" s="250"/>
      <c r="Z357" s="251"/>
      <c r="AA357" s="252"/>
    </row>
    <row r="358" spans="13:27">
      <c r="M358" s="248"/>
      <c r="N358" s="248"/>
      <c r="O358" s="248"/>
      <c r="P358" s="248"/>
      <c r="Q358" s="248"/>
      <c r="R358" s="247"/>
      <c r="S358" s="248"/>
      <c r="V358" s="248"/>
      <c r="W358" s="194"/>
      <c r="X358" s="249"/>
      <c r="Y358" s="250"/>
      <c r="Z358" s="251"/>
      <c r="AA358" s="252"/>
    </row>
    <row r="359" spans="13:27">
      <c r="M359" s="248"/>
      <c r="N359" s="248"/>
      <c r="O359" s="248"/>
      <c r="P359" s="248"/>
      <c r="Q359" s="248"/>
      <c r="R359" s="247"/>
      <c r="S359" s="248"/>
      <c r="V359" s="248"/>
      <c r="W359" s="194"/>
      <c r="X359" s="249"/>
      <c r="Y359" s="250"/>
      <c r="Z359" s="251"/>
      <c r="AA359" s="252"/>
    </row>
    <row r="360" spans="13:27">
      <c r="M360" s="248"/>
      <c r="N360" s="248"/>
      <c r="O360" s="248"/>
      <c r="P360" s="248"/>
      <c r="Q360" s="248"/>
      <c r="R360" s="247"/>
      <c r="S360" s="248"/>
      <c r="V360" s="248"/>
      <c r="W360" s="194"/>
      <c r="X360" s="249"/>
      <c r="Y360" s="250"/>
      <c r="Z360" s="251"/>
      <c r="AA360" s="252"/>
    </row>
    <row r="361" spans="13:27">
      <c r="M361" s="248"/>
      <c r="N361" s="248"/>
      <c r="O361" s="248"/>
      <c r="P361" s="248"/>
      <c r="Q361" s="248"/>
      <c r="R361" s="247"/>
      <c r="S361" s="248"/>
      <c r="V361" s="248"/>
      <c r="W361" s="194"/>
      <c r="X361" s="249"/>
      <c r="Y361" s="250"/>
      <c r="Z361" s="251"/>
      <c r="AA361" s="252"/>
    </row>
    <row r="362" spans="13:27">
      <c r="M362" s="248"/>
      <c r="N362" s="248"/>
      <c r="O362" s="248"/>
      <c r="P362" s="248"/>
      <c r="Q362" s="248"/>
      <c r="R362" s="247"/>
      <c r="S362" s="248"/>
      <c r="V362" s="248"/>
      <c r="W362" s="194"/>
      <c r="X362" s="249"/>
      <c r="Y362" s="250"/>
      <c r="Z362" s="251"/>
      <c r="AA362" s="252"/>
    </row>
    <row r="363" spans="13:27">
      <c r="M363" s="248"/>
      <c r="N363" s="248"/>
      <c r="O363" s="248"/>
      <c r="P363" s="248"/>
      <c r="Q363" s="248"/>
      <c r="R363" s="247"/>
      <c r="S363" s="248"/>
      <c r="V363" s="248"/>
      <c r="W363" s="194"/>
      <c r="X363" s="249"/>
      <c r="Y363" s="250"/>
      <c r="Z363" s="251"/>
      <c r="AA363" s="252"/>
    </row>
    <row r="364" spans="13:27">
      <c r="M364" s="248"/>
      <c r="N364" s="248"/>
      <c r="O364" s="248"/>
      <c r="P364" s="248"/>
      <c r="Q364" s="248"/>
      <c r="R364" s="247"/>
      <c r="S364" s="248"/>
      <c r="V364" s="248"/>
      <c r="W364" s="194"/>
      <c r="X364" s="249"/>
      <c r="Y364" s="250"/>
      <c r="Z364" s="251"/>
      <c r="AA364" s="252"/>
    </row>
    <row r="365" spans="13:27">
      <c r="M365" s="248"/>
      <c r="N365" s="248"/>
      <c r="O365" s="248"/>
      <c r="P365" s="248"/>
      <c r="Q365" s="248"/>
      <c r="R365" s="247"/>
      <c r="S365" s="248"/>
      <c r="V365" s="248"/>
      <c r="W365" s="194"/>
      <c r="X365" s="249"/>
      <c r="Y365" s="250"/>
      <c r="Z365" s="251"/>
      <c r="AA365" s="252"/>
    </row>
    <row r="366" spans="13:27">
      <c r="M366" s="248"/>
      <c r="N366" s="248"/>
      <c r="O366" s="248"/>
      <c r="P366" s="248"/>
      <c r="Q366" s="248"/>
      <c r="R366" s="247"/>
      <c r="S366" s="248"/>
      <c r="V366" s="248"/>
      <c r="W366" s="194"/>
      <c r="X366" s="249"/>
      <c r="Y366" s="250"/>
      <c r="Z366" s="251"/>
      <c r="AA366" s="252"/>
    </row>
    <row r="367" spans="13:27">
      <c r="M367" s="248"/>
      <c r="N367" s="248"/>
      <c r="O367" s="248"/>
      <c r="P367" s="248"/>
      <c r="Q367" s="248"/>
      <c r="R367" s="247"/>
      <c r="S367" s="248"/>
      <c r="V367" s="248"/>
      <c r="W367" s="194"/>
      <c r="X367" s="249"/>
      <c r="Y367" s="250"/>
      <c r="Z367" s="251"/>
      <c r="AA367" s="252"/>
    </row>
    <row r="368" spans="13:27">
      <c r="M368" s="248"/>
      <c r="N368" s="248"/>
      <c r="O368" s="248"/>
      <c r="P368" s="248"/>
      <c r="Q368" s="248"/>
      <c r="R368" s="247"/>
      <c r="S368" s="248"/>
      <c r="V368" s="248"/>
      <c r="W368" s="194"/>
      <c r="X368" s="249"/>
      <c r="Y368" s="250"/>
      <c r="Z368" s="251"/>
      <c r="AA368" s="252"/>
    </row>
    <row r="369" spans="13:27">
      <c r="M369" s="248"/>
      <c r="N369" s="248"/>
      <c r="O369" s="248"/>
      <c r="P369" s="248"/>
      <c r="Q369" s="248"/>
      <c r="R369" s="247"/>
      <c r="S369" s="248"/>
      <c r="V369" s="248"/>
      <c r="W369" s="194"/>
      <c r="X369" s="249"/>
      <c r="Y369" s="250"/>
      <c r="Z369" s="251"/>
      <c r="AA369" s="252"/>
    </row>
    <row r="370" spans="13:27">
      <c r="M370" s="248"/>
      <c r="N370" s="248"/>
      <c r="O370" s="248"/>
      <c r="P370" s="248"/>
      <c r="Q370" s="248"/>
      <c r="R370" s="247"/>
      <c r="S370" s="248"/>
      <c r="V370" s="248"/>
      <c r="W370" s="194"/>
      <c r="X370" s="249"/>
      <c r="Y370" s="250"/>
      <c r="Z370" s="251"/>
      <c r="AA370" s="252"/>
    </row>
    <row r="371" spans="13:27">
      <c r="M371" s="248"/>
      <c r="N371" s="248"/>
      <c r="O371" s="248"/>
      <c r="P371" s="248"/>
      <c r="Q371" s="248"/>
      <c r="R371" s="247"/>
      <c r="S371" s="248"/>
      <c r="V371" s="248"/>
      <c r="W371" s="194"/>
      <c r="X371" s="249"/>
      <c r="Y371" s="250"/>
      <c r="Z371" s="251"/>
      <c r="AA371" s="252"/>
    </row>
    <row r="372" spans="13:27">
      <c r="M372" s="248"/>
      <c r="N372" s="248"/>
      <c r="O372" s="248"/>
      <c r="P372" s="248"/>
      <c r="Q372" s="248"/>
      <c r="R372" s="247"/>
      <c r="S372" s="248"/>
      <c r="V372" s="248"/>
      <c r="W372" s="194"/>
      <c r="X372" s="249"/>
      <c r="Y372" s="250"/>
      <c r="Z372" s="251"/>
      <c r="AA372" s="252"/>
    </row>
    <row r="373" spans="13:27">
      <c r="M373" s="248"/>
      <c r="N373" s="248"/>
      <c r="O373" s="248"/>
      <c r="P373" s="248"/>
      <c r="Q373" s="248"/>
      <c r="R373" s="247"/>
      <c r="S373" s="248"/>
      <c r="V373" s="248"/>
      <c r="W373" s="194"/>
      <c r="X373" s="249"/>
      <c r="Y373" s="250"/>
      <c r="Z373" s="251"/>
      <c r="AA373" s="252"/>
    </row>
    <row r="374" spans="13:27">
      <c r="M374" s="248"/>
      <c r="N374" s="248"/>
      <c r="O374" s="248"/>
      <c r="P374" s="248"/>
      <c r="Q374" s="248"/>
      <c r="R374" s="247"/>
      <c r="S374" s="248"/>
      <c r="V374" s="248"/>
      <c r="W374" s="194"/>
      <c r="X374" s="249"/>
      <c r="Y374" s="250"/>
      <c r="Z374" s="251"/>
      <c r="AA374" s="252"/>
    </row>
    <row r="375" spans="13:27">
      <c r="M375" s="248"/>
      <c r="N375" s="248"/>
      <c r="O375" s="248"/>
      <c r="P375" s="248"/>
      <c r="Q375" s="248"/>
      <c r="R375" s="247"/>
      <c r="S375" s="248"/>
      <c r="V375" s="248"/>
      <c r="W375" s="194"/>
      <c r="X375" s="249"/>
      <c r="Y375" s="250"/>
      <c r="Z375" s="251"/>
      <c r="AA375" s="252"/>
    </row>
    <row r="376" spans="13:27">
      <c r="M376" s="248"/>
      <c r="N376" s="248"/>
      <c r="O376" s="248"/>
      <c r="P376" s="248"/>
      <c r="Q376" s="248"/>
      <c r="R376" s="247"/>
      <c r="S376" s="248"/>
      <c r="V376" s="248"/>
      <c r="W376" s="194"/>
      <c r="X376" s="249"/>
      <c r="Y376" s="250"/>
      <c r="Z376" s="251"/>
      <c r="AA376" s="252"/>
    </row>
    <row r="377" spans="13:27">
      <c r="M377" s="248"/>
      <c r="N377" s="248"/>
      <c r="O377" s="248"/>
      <c r="P377" s="248"/>
      <c r="Q377" s="248"/>
      <c r="R377" s="247"/>
      <c r="S377" s="248"/>
      <c r="V377" s="248"/>
      <c r="W377" s="194"/>
      <c r="X377" s="249"/>
      <c r="Y377" s="250"/>
      <c r="Z377" s="251"/>
      <c r="AA377" s="252"/>
    </row>
    <row r="378" spans="13:27">
      <c r="M378" s="248"/>
      <c r="N378" s="248"/>
      <c r="O378" s="248"/>
      <c r="P378" s="248"/>
      <c r="Q378" s="248"/>
      <c r="R378" s="247"/>
      <c r="S378" s="248"/>
      <c r="V378" s="248"/>
      <c r="W378" s="194"/>
      <c r="X378" s="249"/>
      <c r="Y378" s="250"/>
      <c r="Z378" s="251"/>
      <c r="AA378" s="252"/>
    </row>
    <row r="379" spans="13:27">
      <c r="M379" s="248"/>
      <c r="N379" s="248"/>
      <c r="O379" s="248"/>
      <c r="P379" s="248"/>
      <c r="Q379" s="248"/>
      <c r="R379" s="247"/>
      <c r="S379" s="248"/>
      <c r="V379" s="248"/>
      <c r="W379" s="194"/>
      <c r="X379" s="249"/>
      <c r="Y379" s="250"/>
      <c r="Z379" s="251"/>
      <c r="AA379" s="252"/>
    </row>
    <row r="380" spans="13:27">
      <c r="M380" s="248"/>
      <c r="N380" s="248"/>
      <c r="O380" s="248"/>
      <c r="P380" s="248"/>
      <c r="Q380" s="248"/>
      <c r="R380" s="247"/>
      <c r="S380" s="248"/>
      <c r="V380" s="248"/>
      <c r="W380" s="194"/>
      <c r="X380" s="249"/>
      <c r="Y380" s="250"/>
      <c r="Z380" s="251"/>
      <c r="AA380" s="252"/>
    </row>
    <row r="381" spans="13:27">
      <c r="M381" s="248"/>
      <c r="N381" s="248"/>
      <c r="O381" s="248"/>
      <c r="P381" s="248"/>
      <c r="Q381" s="248"/>
      <c r="R381" s="247"/>
      <c r="S381" s="248"/>
      <c r="V381" s="248"/>
      <c r="W381" s="194"/>
      <c r="X381" s="249"/>
      <c r="Y381" s="250"/>
      <c r="Z381" s="251"/>
      <c r="AA381" s="252"/>
    </row>
    <row r="382" spans="13:27">
      <c r="M382" s="248"/>
      <c r="N382" s="248"/>
      <c r="O382" s="248"/>
      <c r="P382" s="248"/>
      <c r="Q382" s="248"/>
      <c r="R382" s="247"/>
      <c r="S382" s="248"/>
      <c r="V382" s="248"/>
      <c r="W382" s="194"/>
      <c r="X382" s="249"/>
      <c r="Y382" s="250"/>
      <c r="Z382" s="251"/>
      <c r="AA382" s="252"/>
    </row>
    <row r="383" spans="13:27">
      <c r="M383" s="248"/>
      <c r="N383" s="248"/>
      <c r="O383" s="248"/>
      <c r="P383" s="248"/>
      <c r="Q383" s="248"/>
      <c r="R383" s="247"/>
      <c r="S383" s="248"/>
      <c r="V383" s="248"/>
      <c r="W383" s="194"/>
      <c r="X383" s="249"/>
      <c r="Y383" s="250"/>
      <c r="Z383" s="251"/>
      <c r="AA383" s="252"/>
    </row>
    <row r="384" spans="13:27">
      <c r="M384" s="248"/>
      <c r="N384" s="248"/>
      <c r="O384" s="248"/>
      <c r="P384" s="248"/>
      <c r="Q384" s="248"/>
      <c r="R384" s="247"/>
      <c r="S384" s="248"/>
      <c r="V384" s="248"/>
      <c r="W384" s="194"/>
      <c r="X384" s="249"/>
      <c r="Y384" s="250"/>
      <c r="Z384" s="251"/>
      <c r="AA384" s="252"/>
    </row>
    <row r="385" spans="13:27">
      <c r="M385" s="248"/>
      <c r="N385" s="248"/>
      <c r="O385" s="248"/>
      <c r="P385" s="248"/>
      <c r="Q385" s="248"/>
      <c r="R385" s="247"/>
      <c r="S385" s="248"/>
      <c r="V385" s="248"/>
      <c r="W385" s="194"/>
      <c r="X385" s="249"/>
      <c r="Y385" s="250"/>
      <c r="Z385" s="251"/>
      <c r="AA385" s="252"/>
    </row>
    <row r="386" spans="13:27">
      <c r="M386" s="248"/>
      <c r="N386" s="248"/>
      <c r="O386" s="248"/>
      <c r="P386" s="248"/>
      <c r="Q386" s="248"/>
      <c r="R386" s="247"/>
      <c r="S386" s="248"/>
      <c r="V386" s="248"/>
      <c r="W386" s="194"/>
      <c r="X386" s="249"/>
      <c r="Y386" s="250"/>
      <c r="Z386" s="251"/>
      <c r="AA386" s="252"/>
    </row>
    <row r="387" spans="13:27">
      <c r="M387" s="248"/>
      <c r="N387" s="248"/>
      <c r="O387" s="248"/>
      <c r="P387" s="248"/>
      <c r="Q387" s="248"/>
      <c r="R387" s="247"/>
      <c r="S387" s="248"/>
      <c r="V387" s="248"/>
      <c r="W387" s="194"/>
      <c r="X387" s="249"/>
      <c r="Y387" s="250"/>
      <c r="Z387" s="251"/>
      <c r="AA387" s="252"/>
    </row>
    <row r="388" spans="13:27">
      <c r="M388" s="248"/>
      <c r="N388" s="248"/>
      <c r="O388" s="248"/>
      <c r="P388" s="248"/>
      <c r="Q388" s="248"/>
      <c r="R388" s="247"/>
      <c r="S388" s="248"/>
      <c r="V388" s="248"/>
      <c r="W388" s="194"/>
      <c r="X388" s="249"/>
      <c r="Y388" s="250"/>
      <c r="Z388" s="251"/>
      <c r="AA388" s="252"/>
    </row>
    <row r="389" spans="13:27">
      <c r="M389" s="248"/>
      <c r="N389" s="248"/>
      <c r="O389" s="248"/>
      <c r="P389" s="248"/>
      <c r="Q389" s="248"/>
      <c r="R389" s="247"/>
      <c r="S389" s="248"/>
      <c r="V389" s="248"/>
      <c r="W389" s="194"/>
      <c r="X389" s="249"/>
      <c r="Y389" s="250"/>
      <c r="Z389" s="251"/>
      <c r="AA389" s="252"/>
    </row>
    <row r="390" spans="13:27">
      <c r="M390" s="248"/>
      <c r="N390" s="248"/>
      <c r="O390" s="248"/>
      <c r="P390" s="248"/>
      <c r="Q390" s="248"/>
      <c r="R390" s="247"/>
      <c r="S390" s="248"/>
      <c r="V390" s="248"/>
      <c r="W390" s="194"/>
      <c r="X390" s="249"/>
      <c r="Y390" s="250"/>
      <c r="Z390" s="251"/>
      <c r="AA390" s="252"/>
    </row>
    <row r="391" spans="13:27">
      <c r="M391" s="248"/>
      <c r="N391" s="248"/>
      <c r="O391" s="248"/>
      <c r="P391" s="248"/>
      <c r="Q391" s="248"/>
      <c r="R391" s="247"/>
      <c r="S391" s="248"/>
      <c r="V391" s="248"/>
      <c r="W391" s="194"/>
      <c r="X391" s="249"/>
      <c r="Y391" s="250"/>
      <c r="Z391" s="251"/>
      <c r="AA391" s="252"/>
    </row>
    <row r="392" spans="13:27">
      <c r="M392" s="248"/>
      <c r="N392" s="248"/>
      <c r="O392" s="248"/>
      <c r="P392" s="248"/>
      <c r="Q392" s="248"/>
      <c r="R392" s="247"/>
      <c r="S392" s="248"/>
      <c r="V392" s="248"/>
      <c r="W392" s="194"/>
      <c r="X392" s="249"/>
      <c r="Y392" s="250"/>
      <c r="Z392" s="251"/>
      <c r="AA392" s="252"/>
    </row>
    <row r="393" spans="13:27">
      <c r="M393" s="248"/>
      <c r="N393" s="248"/>
      <c r="O393" s="248"/>
      <c r="P393" s="248"/>
      <c r="Q393" s="248"/>
      <c r="R393" s="247"/>
      <c r="S393" s="248"/>
      <c r="V393" s="248"/>
      <c r="W393" s="194"/>
      <c r="X393" s="249"/>
      <c r="Y393" s="250"/>
      <c r="Z393" s="251"/>
      <c r="AA393" s="252"/>
    </row>
    <row r="394" spans="13:27">
      <c r="M394" s="248"/>
      <c r="N394" s="248"/>
      <c r="O394" s="248"/>
      <c r="P394" s="248"/>
      <c r="Q394" s="248"/>
      <c r="R394" s="247"/>
      <c r="S394" s="248"/>
      <c r="V394" s="248"/>
      <c r="W394" s="194"/>
      <c r="X394" s="249"/>
      <c r="Y394" s="250"/>
      <c r="Z394" s="251"/>
      <c r="AA394" s="252"/>
    </row>
    <row r="395" spans="13:27">
      <c r="M395" s="248"/>
      <c r="N395" s="248"/>
      <c r="O395" s="248"/>
      <c r="P395" s="248"/>
      <c r="Q395" s="248"/>
      <c r="R395" s="247"/>
      <c r="S395" s="248"/>
      <c r="V395" s="248"/>
      <c r="W395" s="194"/>
      <c r="X395" s="249"/>
      <c r="Y395" s="250"/>
      <c r="Z395" s="251"/>
      <c r="AA395" s="252"/>
    </row>
    <row r="396" spans="13:27">
      <c r="M396" s="248"/>
      <c r="N396" s="248"/>
      <c r="O396" s="248"/>
      <c r="P396" s="248"/>
      <c r="Q396" s="248"/>
      <c r="R396" s="247"/>
      <c r="S396" s="248"/>
      <c r="V396" s="248"/>
      <c r="W396" s="194"/>
      <c r="X396" s="249"/>
      <c r="Y396" s="250"/>
      <c r="Z396" s="251"/>
      <c r="AA396" s="252"/>
    </row>
    <row r="397" spans="13:27">
      <c r="M397" s="248"/>
      <c r="N397" s="248"/>
      <c r="O397" s="248"/>
      <c r="P397" s="248"/>
      <c r="Q397" s="248"/>
      <c r="R397" s="247"/>
      <c r="S397" s="248"/>
      <c r="V397" s="248"/>
      <c r="W397" s="194"/>
      <c r="X397" s="249"/>
      <c r="Y397" s="250"/>
      <c r="Z397" s="251"/>
      <c r="AA397" s="252"/>
    </row>
    <row r="398" spans="13:27">
      <c r="M398" s="248"/>
      <c r="N398" s="248"/>
      <c r="O398" s="248"/>
      <c r="P398" s="248"/>
      <c r="Q398" s="248"/>
      <c r="R398" s="247"/>
      <c r="S398" s="248"/>
      <c r="V398" s="248"/>
      <c r="W398" s="194"/>
      <c r="X398" s="249"/>
      <c r="Y398" s="250"/>
      <c r="Z398" s="251"/>
      <c r="AA398" s="252"/>
    </row>
    <row r="399" spans="13:27">
      <c r="M399" s="248"/>
      <c r="N399" s="248"/>
      <c r="O399" s="248"/>
      <c r="P399" s="248"/>
      <c r="Q399" s="248"/>
      <c r="R399" s="247"/>
      <c r="S399" s="248"/>
      <c r="V399" s="248"/>
      <c r="W399" s="194"/>
      <c r="X399" s="249"/>
      <c r="Y399" s="250"/>
      <c r="Z399" s="251"/>
      <c r="AA399" s="252"/>
    </row>
    <row r="400" spans="13:27">
      <c r="M400" s="248"/>
      <c r="N400" s="248"/>
      <c r="O400" s="248"/>
      <c r="P400" s="248"/>
      <c r="Q400" s="248"/>
      <c r="R400" s="247"/>
      <c r="S400" s="248"/>
      <c r="V400" s="248"/>
      <c r="W400" s="194"/>
      <c r="X400" s="249"/>
      <c r="Y400" s="250"/>
      <c r="Z400" s="251"/>
      <c r="AA400" s="252"/>
    </row>
    <row r="401" spans="13:27">
      <c r="M401" s="248"/>
      <c r="N401" s="248"/>
      <c r="O401" s="248"/>
      <c r="P401" s="248"/>
      <c r="Q401" s="248"/>
      <c r="R401" s="247"/>
      <c r="S401" s="248"/>
      <c r="V401" s="248"/>
      <c r="W401" s="194"/>
      <c r="X401" s="249"/>
      <c r="Y401" s="250"/>
      <c r="Z401" s="251"/>
      <c r="AA401" s="252"/>
    </row>
    <row r="402" spans="13:27">
      <c r="M402" s="248"/>
      <c r="N402" s="248"/>
      <c r="O402" s="248"/>
      <c r="P402" s="248"/>
      <c r="Q402" s="248"/>
      <c r="R402" s="247"/>
      <c r="S402" s="248"/>
      <c r="V402" s="248"/>
      <c r="W402" s="194"/>
      <c r="X402" s="249"/>
      <c r="Y402" s="250"/>
      <c r="Z402" s="251"/>
      <c r="AA402" s="252"/>
    </row>
    <row r="403" spans="13:27">
      <c r="M403" s="248"/>
      <c r="N403" s="248"/>
      <c r="O403" s="248"/>
      <c r="P403" s="248"/>
      <c r="Q403" s="248"/>
      <c r="R403" s="247"/>
      <c r="S403" s="248"/>
      <c r="V403" s="248"/>
      <c r="W403" s="194"/>
      <c r="X403" s="249"/>
      <c r="Y403" s="250"/>
      <c r="Z403" s="251"/>
      <c r="AA403" s="252"/>
    </row>
    <row r="404" spans="13:27">
      <c r="M404" s="248"/>
      <c r="N404" s="248"/>
      <c r="O404" s="248"/>
      <c r="P404" s="248"/>
      <c r="Q404" s="248"/>
      <c r="R404" s="247"/>
      <c r="S404" s="248"/>
      <c r="V404" s="248"/>
      <c r="W404" s="194"/>
      <c r="X404" s="249"/>
      <c r="Y404" s="250"/>
      <c r="Z404" s="251"/>
      <c r="AA404" s="252"/>
    </row>
    <row r="405" spans="13:27">
      <c r="M405" s="248"/>
      <c r="N405" s="248"/>
      <c r="O405" s="248"/>
      <c r="P405" s="248"/>
      <c r="Q405" s="248"/>
      <c r="R405" s="247"/>
      <c r="S405" s="248"/>
      <c r="V405" s="248"/>
      <c r="W405" s="194"/>
      <c r="X405" s="249"/>
      <c r="Y405" s="250"/>
      <c r="Z405" s="251"/>
      <c r="AA405" s="252"/>
    </row>
    <row r="406" spans="13:27">
      <c r="M406" s="248"/>
      <c r="N406" s="248"/>
      <c r="O406" s="248"/>
      <c r="P406" s="248"/>
      <c r="Q406" s="248"/>
      <c r="R406" s="247"/>
      <c r="S406" s="248"/>
      <c r="V406" s="248"/>
      <c r="W406" s="194"/>
      <c r="X406" s="249"/>
      <c r="Y406" s="250"/>
      <c r="Z406" s="251"/>
      <c r="AA406" s="252"/>
    </row>
    <row r="407" spans="13:27">
      <c r="M407" s="248"/>
      <c r="N407" s="248"/>
      <c r="O407" s="248"/>
      <c r="P407" s="248"/>
      <c r="Q407" s="248"/>
      <c r="R407" s="247"/>
      <c r="S407" s="248"/>
      <c r="V407" s="248"/>
      <c r="W407" s="194"/>
      <c r="X407" s="249"/>
      <c r="Y407" s="250"/>
      <c r="Z407" s="251"/>
      <c r="AA407" s="252"/>
    </row>
    <row r="408" spans="13:27">
      <c r="M408" s="248"/>
      <c r="N408" s="248"/>
      <c r="O408" s="248"/>
      <c r="P408" s="248"/>
      <c r="Q408" s="248"/>
      <c r="R408" s="247"/>
      <c r="S408" s="248"/>
      <c r="V408" s="248"/>
      <c r="W408" s="194"/>
      <c r="X408" s="249"/>
      <c r="Y408" s="250"/>
      <c r="Z408" s="251"/>
      <c r="AA408" s="252"/>
    </row>
    <row r="409" spans="13:27">
      <c r="M409" s="248"/>
      <c r="N409" s="248"/>
      <c r="O409" s="248"/>
      <c r="P409" s="248"/>
      <c r="Q409" s="248"/>
      <c r="R409" s="247"/>
      <c r="S409" s="248"/>
      <c r="V409" s="248"/>
      <c r="W409" s="194"/>
      <c r="X409" s="249"/>
      <c r="Y409" s="250"/>
      <c r="Z409" s="251"/>
      <c r="AA409" s="252"/>
    </row>
    <row r="410" spans="13:27">
      <c r="M410" s="248"/>
      <c r="N410" s="248"/>
      <c r="O410" s="248"/>
      <c r="P410" s="248"/>
      <c r="Q410" s="248"/>
      <c r="R410" s="247"/>
      <c r="S410" s="248"/>
      <c r="V410" s="248"/>
      <c r="W410" s="194"/>
      <c r="X410" s="249"/>
      <c r="Y410" s="250"/>
      <c r="Z410" s="251"/>
      <c r="AA410" s="252"/>
    </row>
    <row r="411" spans="13:27">
      <c r="M411" s="248"/>
      <c r="N411" s="248"/>
      <c r="O411" s="248"/>
      <c r="P411" s="248"/>
      <c r="Q411" s="248"/>
      <c r="R411" s="247"/>
      <c r="S411" s="248"/>
      <c r="V411" s="248"/>
      <c r="W411" s="194"/>
      <c r="X411" s="249"/>
      <c r="Y411" s="250"/>
      <c r="Z411" s="251"/>
      <c r="AA411" s="252"/>
    </row>
    <row r="412" spans="13:27">
      <c r="M412" s="248"/>
      <c r="N412" s="248"/>
      <c r="O412" s="248"/>
      <c r="P412" s="248"/>
      <c r="Q412" s="248"/>
      <c r="R412" s="247"/>
      <c r="S412" s="248"/>
      <c r="V412" s="248"/>
      <c r="W412" s="194"/>
      <c r="X412" s="249"/>
      <c r="Y412" s="250"/>
      <c r="Z412" s="251"/>
      <c r="AA412" s="252"/>
    </row>
    <row r="413" spans="13:27">
      <c r="M413" s="248"/>
      <c r="N413" s="248"/>
      <c r="O413" s="248"/>
      <c r="P413" s="248"/>
      <c r="Q413" s="248"/>
      <c r="R413" s="247"/>
      <c r="S413" s="248"/>
      <c r="V413" s="248"/>
      <c r="W413" s="194"/>
      <c r="X413" s="249"/>
      <c r="Y413" s="250"/>
      <c r="Z413" s="251"/>
      <c r="AA413" s="252"/>
    </row>
    <row r="414" spans="13:27">
      <c r="M414" s="248"/>
      <c r="N414" s="248"/>
      <c r="O414" s="248"/>
      <c r="P414" s="248"/>
      <c r="Q414" s="248"/>
      <c r="R414" s="247"/>
      <c r="S414" s="248"/>
      <c r="V414" s="248"/>
      <c r="W414" s="194"/>
      <c r="X414" s="249"/>
      <c r="Y414" s="250"/>
      <c r="Z414" s="251"/>
      <c r="AA414" s="252"/>
    </row>
    <row r="415" spans="13:27">
      <c r="M415" s="248"/>
      <c r="N415" s="248"/>
      <c r="O415" s="248"/>
      <c r="P415" s="248"/>
      <c r="Q415" s="248"/>
      <c r="R415" s="247"/>
      <c r="S415" s="248"/>
      <c r="V415" s="248"/>
      <c r="W415" s="194"/>
      <c r="X415" s="249"/>
      <c r="Y415" s="250"/>
      <c r="Z415" s="251"/>
      <c r="AA415" s="252"/>
    </row>
  </sheetData>
  <mergeCells count="14">
    <mergeCell ref="AC14:AC18"/>
    <mergeCell ref="AD14:AD18"/>
    <mergeCell ref="A2:F2"/>
    <mergeCell ref="AC5:AC7"/>
    <mergeCell ref="AD5:AD7"/>
    <mergeCell ref="A8:H8"/>
    <mergeCell ref="A13:H13"/>
    <mergeCell ref="AC9:AC12"/>
    <mergeCell ref="AD9:AD12"/>
    <mergeCell ref="A42:H42"/>
    <mergeCell ref="A36:H36"/>
    <mergeCell ref="A29:H29"/>
    <mergeCell ref="A24:H24"/>
    <mergeCell ref="A19:H19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0DF4CE5456A34D9E06DC7ED819F06F" ma:contentTypeVersion="14" ma:contentTypeDescription="Create a new document." ma:contentTypeScope="" ma:versionID="fae5b745458d83276b3ecc8244d5a783">
  <xsd:schema xmlns:xsd="http://www.w3.org/2001/XMLSchema" xmlns:xs="http://www.w3.org/2001/XMLSchema" xmlns:p="http://schemas.microsoft.com/office/2006/metadata/properties" xmlns:ns3="31eeb9e7-a731-474e-b34c-ca9604acd4ae" xmlns:ns4="c7e90c32-67d7-4aa1-a82d-8eecdd21ff96" targetNamespace="http://schemas.microsoft.com/office/2006/metadata/properties" ma:root="true" ma:fieldsID="ed5868a9d06707ab9cb7d5f69b74a854" ns3:_="" ns4:_="">
    <xsd:import namespace="31eeb9e7-a731-474e-b34c-ca9604acd4ae"/>
    <xsd:import namespace="c7e90c32-67d7-4aa1-a82d-8eecdd21ff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e7-a731-474e-b34c-ca9604acd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0c32-67d7-4aa1-a82d-8eecdd21ff9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9F0B8B-C61C-411C-9EB0-8354F0BE0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e7-a731-474e-b34c-ca9604acd4ae"/>
    <ds:schemaRef ds:uri="c7e90c32-67d7-4aa1-a82d-8eecdd21ff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663DF-5E84-45CC-A7E6-8712774E76B0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  <ds:schemaRef ds:uri="c7e90c32-67d7-4aa1-a82d-8eecdd21ff96"/>
    <ds:schemaRef ds:uri="http://schemas.microsoft.com/office/infopath/2007/PartnerControls"/>
    <ds:schemaRef ds:uri="http://schemas.openxmlformats.org/package/2006/metadata/core-properties"/>
    <ds:schemaRef ds:uri="31eeb9e7-a731-474e-b34c-ca9604acd4ae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EB4689-1AF1-4A83-A669-8773D9DAEC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 CHAU</vt:lpstr>
      <vt:lpstr>FOLIOT</vt:lpstr>
      <vt:lpstr>SUNAGRO</vt:lpstr>
      <vt:lpstr>ZASI</vt:lpstr>
      <vt:lpstr>SONG LONG</vt:lpstr>
      <vt:lpstr>SONG LONG- XTC</vt:lpstr>
      <vt:lpstr>ĐẠI HÀO</vt:lpstr>
      <vt:lpstr>CHÍNH NGUYÊN</vt:lpstr>
      <vt:lpstr>LESSOHOME</vt:lpstr>
      <vt:lpstr>BLUELAKE</vt:lpstr>
      <vt:lpstr>MPF</vt:lpstr>
      <vt:lpstr>NOVA XUẤT</vt:lpstr>
      <vt:lpstr>NOVA NHẬP</vt:lpstr>
      <vt:lpstr>LIÊN Á</vt:lpstr>
      <vt:lpstr>VIETSTAR XTN - NTC</vt:lpstr>
      <vt:lpstr>VIET STAR NHẬP XUẤT</vt:lpstr>
      <vt:lpstr>LABEL</vt:lpstr>
      <vt:lpstr>VIETSTAR CHUYEN KHO</vt:lpstr>
      <vt:lpstr>CHÍNH NGUYÊN - NHẬP TC</vt:lpstr>
      <vt:lpstr>CHÍNH NGUYÊN - TÁI NHẬP</vt:lpstr>
      <vt:lpstr>HIGH POINT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APC</dc:creator>
  <cp:lastModifiedBy>MSI</cp:lastModifiedBy>
  <cp:lastPrinted>2025-12-02T10:02:34Z</cp:lastPrinted>
  <dcterms:created xsi:type="dcterms:W3CDTF">2023-01-17T07:08:03Z</dcterms:created>
  <dcterms:modified xsi:type="dcterms:W3CDTF">2025-12-17T14:25:08Z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0x010100DA0DF4CE5456A34D9E06DC7ED819F06F</vt:lpwstr>
  </property>
</Properties>
</file>